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showInkAnnotation="0" codeName="Workbook________"/>
  <bookViews>
    <workbookView xWindow="120" yWindow="45" windowWidth="15480" windowHeight="7215" tabRatio="913" firstSheet="1" activeTab="2"/>
  </bookViews>
  <sheets>
    <sheet name="Control list" sheetId="4" r:id="rId1"/>
    <sheet name="Commodities_prices" sheetId="70" r:id="rId2"/>
    <sheet name="Total" sheetId="57" r:id="rId3"/>
    <sheet name="Financing" sheetId="95" r:id="rId4"/>
    <sheet name="Ni segment" sheetId="47" r:id="rId5"/>
    <sheet name="Fenix" sheetId="90" r:id="rId6"/>
    <sheet name="Acquila" sheetId="88" r:id="rId7"/>
    <sheet name="Indonesia Aquila" sheetId="85" r:id="rId8"/>
    <sheet name="DSO" sheetId="89" r:id="rId9"/>
    <sheet name="Kurilgeo" sheetId="92" r:id="rId10"/>
    <sheet name="Cu segment" sheetId="56" r:id="rId11"/>
    <sheet name="Zn Pb segment" sheetId="64" r:id="rId12"/>
    <sheet name="Real Estate" sheetId="72" r:id="rId13"/>
    <sheet name="Total Chemical" sheetId="81" r:id="rId14"/>
    <sheet name="M" sheetId="80" r:id="rId15"/>
    <sheet name="S" sheetId="79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>
    <definedName name="__DCF1">#REF!</definedName>
    <definedName name="__FCF1">#REF!</definedName>
    <definedName name="__FCF2015">#REF!</definedName>
    <definedName name="__FCF2022">#REF!</definedName>
    <definedName name="__FCF2027">#REF!</definedName>
    <definedName name="__NPV1">#REF!</definedName>
    <definedName name="__NPV2">#REF!</definedName>
    <definedName name="__NPV2015">#REF!</definedName>
    <definedName name="__NPV2022">#REF!</definedName>
    <definedName name="__NPV2027">#REF!</definedName>
    <definedName name="__NPV2035">#REF!</definedName>
    <definedName name="__NPV3">#REF!</definedName>
    <definedName name="__NPV4">#REF!</definedName>
    <definedName name="__NPV5">#REF!</definedName>
    <definedName name="__sub747">#REF!</definedName>
    <definedName name="_DAT10" localSheetId="8">#REF!</definedName>
    <definedName name="_DAT10" localSheetId="9">#REF!</definedName>
    <definedName name="_DAT10">#REF!</definedName>
    <definedName name="_DAT11" localSheetId="8">#REF!</definedName>
    <definedName name="_DAT11" localSheetId="9">#REF!</definedName>
    <definedName name="_DAT11">#REF!</definedName>
    <definedName name="_DAT12" localSheetId="8">#REF!</definedName>
    <definedName name="_DAT12" localSheetId="9">#REF!</definedName>
    <definedName name="_DAT12">#REF!</definedName>
    <definedName name="_DAT13" localSheetId="8">#REF!</definedName>
    <definedName name="_DAT13" localSheetId="9">#REF!</definedName>
    <definedName name="_DAT13">#REF!</definedName>
    <definedName name="_DAT14" localSheetId="8">#REF!</definedName>
    <definedName name="_DAT14" localSheetId="9">#REF!</definedName>
    <definedName name="_DAT14">#REF!</definedName>
    <definedName name="_DAT15" localSheetId="8">#REF!</definedName>
    <definedName name="_DAT15" localSheetId="9">#REF!</definedName>
    <definedName name="_DAT15">#REF!</definedName>
    <definedName name="_DAT16" localSheetId="8">#REF!</definedName>
    <definedName name="_DAT16" localSheetId="9">#REF!</definedName>
    <definedName name="_DAT16">#REF!</definedName>
    <definedName name="_DAT17" localSheetId="8">#REF!</definedName>
    <definedName name="_DAT17" localSheetId="9">#REF!</definedName>
    <definedName name="_DAT17">#REF!</definedName>
    <definedName name="_DAT5" localSheetId="8">#REF!</definedName>
    <definedName name="_DAT5" localSheetId="9">#REF!</definedName>
    <definedName name="_DAT5">#REF!</definedName>
    <definedName name="_DAT7" localSheetId="8">#REF!</definedName>
    <definedName name="_DAT7" localSheetId="9">#REF!</definedName>
    <definedName name="_DAT7">#REF!</definedName>
    <definedName name="_DAT8" localSheetId="8">#REF!</definedName>
    <definedName name="_DAT8" localSheetId="9">#REF!</definedName>
    <definedName name="_DAT8">#REF!</definedName>
    <definedName name="_DAT9" localSheetId="8">#REF!</definedName>
    <definedName name="_DAT9" localSheetId="9">#REF!</definedName>
    <definedName name="_DAT9">#REF!</definedName>
    <definedName name="_DCF1" localSheetId="5">#REF!</definedName>
    <definedName name="_DCF1">#REF!</definedName>
    <definedName name="_FCF1" localSheetId="1">Commodities_prices!#REF!</definedName>
    <definedName name="_FCF1" localSheetId="5">#REF!</definedName>
    <definedName name="_FCF1">#REF!</definedName>
    <definedName name="_FCF2015" localSheetId="5">#REF!</definedName>
    <definedName name="_FCF2015">#REF!</definedName>
    <definedName name="_FCF2022" localSheetId="5">#REF!</definedName>
    <definedName name="_FCF2022">#REF!</definedName>
    <definedName name="_FCF2027" localSheetId="5">#REF!</definedName>
    <definedName name="_FCF2027">#REF!</definedName>
    <definedName name="_NPV1" localSheetId="5">#REF!</definedName>
    <definedName name="_NPV1">#REF!</definedName>
    <definedName name="_NPV2" localSheetId="5">#REF!</definedName>
    <definedName name="_NPV2">#REF!</definedName>
    <definedName name="_NPV2015" localSheetId="5">#REF!</definedName>
    <definedName name="_NPV2015">#REF!</definedName>
    <definedName name="_NPV2022" localSheetId="5">#REF!</definedName>
    <definedName name="_NPV2022">#REF!</definedName>
    <definedName name="_NPV2027" localSheetId="5">#REF!</definedName>
    <definedName name="_NPV2027">#REF!</definedName>
    <definedName name="_NPV2035" localSheetId="5">#REF!</definedName>
    <definedName name="_NPV2035">#REF!</definedName>
    <definedName name="_NPV3" localSheetId="5">#REF!</definedName>
    <definedName name="_NPV3">#REF!</definedName>
    <definedName name="_NPV4" localSheetId="5">#REF!</definedName>
    <definedName name="_NPV4">#REF!</definedName>
    <definedName name="_NPV5" localSheetId="5">#REF!</definedName>
    <definedName name="_NPV5">#REF!</definedName>
    <definedName name="_Order1" hidden="1">255</definedName>
    <definedName name="_Order2" hidden="1">255</definedName>
    <definedName name="_sub747">#REF!</definedName>
    <definedName name="_xlnm._FilterDatabase" localSheetId="8" hidden="1">DSO!$A$5:$M$583</definedName>
    <definedName name="_xlnm._FilterDatabase" localSheetId="4" hidden="1">'Ni segment'!$A$9:$ID$9</definedName>
    <definedName name="ALLDATA">#REF!</definedName>
    <definedName name="alpha">[1]Input!$B$30:$P$30</definedName>
    <definedName name="Annual_Capacity_Factor" localSheetId="5">#REF!</definedName>
    <definedName name="Annual_Capacity_Factor">#REF!</definedName>
    <definedName name="Annual_Fuel_Consumption" localSheetId="5">#REF!</definedName>
    <definedName name="Annual_Fuel_Consumption">#REF!</definedName>
    <definedName name="Annual_Limestone_Consumption" localSheetId="5">#REF!</definedName>
    <definedName name="Annual_Limestone_Consumption">#REF!</definedName>
    <definedName name="Annual_Net_Generation" localSheetId="5">#REF!</definedName>
    <definedName name="Annual_Net_Generation">#REF!</definedName>
    <definedName name="Annual_Purchased_Power" localSheetId="5">#REF!</definedName>
    <definedName name="Annual_Purchased_Power">#REF!</definedName>
    <definedName name="Annual_Steam_Generation" localSheetId="5">#REF!</definedName>
    <definedName name="Annual_Steam_Generation">#REF!</definedName>
    <definedName name="Annual_Water_Consumption" localSheetId="5">#REF!</definedName>
    <definedName name="Annual_Water_Consumption">#REF!</definedName>
    <definedName name="antonov">[2]antonovpl!$C$3:$AE$94</definedName>
    <definedName name="antytd">[2]antonovpl!$C$103:$AE$178</definedName>
    <definedName name="App_date">#REF!</definedName>
    <definedName name="Av_USD_rate">28.815</definedName>
    <definedName name="ave_tax_rate">24%</definedName>
    <definedName name="ave_USD_rate">29.4545</definedName>
    <definedName name="Average_DCR" localSheetId="5">#REF!</definedName>
    <definedName name="Average_DCR">#REF!</definedName>
    <definedName name="baza">#REF!</definedName>
    <definedName name="BR_Date1" localSheetId="8">[3]O3!#REF!</definedName>
    <definedName name="BR_Date1" localSheetId="5">[3]O3!#REF!</definedName>
    <definedName name="BR_Date1" localSheetId="7">[3]O3!#REF!</definedName>
    <definedName name="BR_Date1" localSheetId="9">[3]O3!#REF!</definedName>
    <definedName name="BR_Date1" localSheetId="14">[3]O3!#REF!</definedName>
    <definedName name="BR_Date1" localSheetId="12">[3]O3!#REF!</definedName>
    <definedName name="BR_Date1" localSheetId="15">[3]O3!#REF!</definedName>
    <definedName name="BR_Date1" localSheetId="13">[3]O3!#REF!</definedName>
    <definedName name="BR_Date1">[3]O3!#REF!</definedName>
    <definedName name="CashSweepFactor1" localSheetId="5">#REF!</definedName>
    <definedName name="CashSweepFactor1">#REF!</definedName>
    <definedName name="CashSweepFactor2" localSheetId="5">#REF!</definedName>
    <definedName name="CashSweepFactor2">#REF!</definedName>
    <definedName name="CashSweepThreshold1" localSheetId="5">#REF!</definedName>
    <definedName name="CashSweepThreshold1">#REF!</definedName>
    <definedName name="CashSweepThreshold2" localSheetId="5">#REF!</definedName>
    <definedName name="CashSweepThreshold2">#REF!</definedName>
    <definedName name="cert">[2]certpl!$C$3:$AE$7</definedName>
    <definedName name="certytd">[2]certpl!$C$10:$AE$12</definedName>
    <definedName name="Cl_tax_rate">24%</definedName>
    <definedName name="Cl_USD_rate">29.4545</definedName>
    <definedName name="Cl_USD_rate_2004">27.7487</definedName>
    <definedName name="ClDate">[4]Info!$G$6</definedName>
    <definedName name="CommitmentFee" localSheetId="5">#REF!</definedName>
    <definedName name="CommitmentFee">#REF!</definedName>
    <definedName name="CompName">[4]Info!$F$2</definedName>
    <definedName name="CompNameE">[4]Info!$G$2</definedName>
    <definedName name="confBand">[1]Input!$C$6:$C$8</definedName>
    <definedName name="Construction_Duration" localSheetId="5">#REF!</definedName>
    <definedName name="Construction_Duration">#REF!</definedName>
    <definedName name="Construction_Start_Date" localSheetId="5">#REF!</definedName>
    <definedName name="Construction_Start_Date">#REF!</definedName>
    <definedName name="CostOverrunFacility" localSheetId="5">#REF!</definedName>
    <definedName name="CostOverrunFacility">#REF!</definedName>
    <definedName name="CumDCF" localSheetId="5">#REF!</definedName>
    <definedName name="CumDCF">#REF!</definedName>
    <definedName name="CumDCF1" localSheetId="5">#REF!</definedName>
    <definedName name="CumDCF1">#REF!</definedName>
    <definedName name="CumDCFQ" localSheetId="5">#REF!</definedName>
    <definedName name="CumDCFQ">#REF!</definedName>
    <definedName name="CumFCF" localSheetId="5">#REF!</definedName>
    <definedName name="CumFCF">#REF!</definedName>
    <definedName name="CumFCF1" localSheetId="5">#REF!</definedName>
    <definedName name="CumFCF1">#REF!</definedName>
    <definedName name="CumFCFQ" localSheetId="5">#REF!</definedName>
    <definedName name="CumFCFQ">#REF!</definedName>
    <definedName name="data">#REF!</definedName>
    <definedName name="date" localSheetId="8">#REF!</definedName>
    <definedName name="date" localSheetId="5">#REF!</definedName>
    <definedName name="date" localSheetId="7">#REF!</definedName>
    <definedName name="date" localSheetId="9">#REF!</definedName>
    <definedName name="date" localSheetId="14">#REF!</definedName>
    <definedName name="date" localSheetId="12">#REF!</definedName>
    <definedName name="date" localSheetId="15">#REF!</definedName>
    <definedName name="date" localSheetId="13">#REF!</definedName>
    <definedName name="date">#REF!</definedName>
    <definedName name="Date1" localSheetId="8">[3]Info!#REF!</definedName>
    <definedName name="Date1" localSheetId="5">[3]Info!#REF!</definedName>
    <definedName name="Date1" localSheetId="7">[3]Info!#REF!</definedName>
    <definedName name="Date1" localSheetId="9">[3]Info!#REF!</definedName>
    <definedName name="Date1" localSheetId="14">[3]Info!#REF!</definedName>
    <definedName name="Date1" localSheetId="12">[3]Info!#REF!</definedName>
    <definedName name="Date1" localSheetId="15">[3]Info!#REF!</definedName>
    <definedName name="Date1" localSheetId="13">[3]Info!#REF!</definedName>
    <definedName name="Date1">[3]Info!#REF!</definedName>
    <definedName name="Date2">[3]Info!$D$5</definedName>
    <definedName name="Date3">[3]Info!$D$6</definedName>
    <definedName name="DCF" localSheetId="5">#REF!</definedName>
    <definedName name="DCF">#REF!</definedName>
    <definedName name="DCF_analysis___Standard_model" localSheetId="1">#REF!</definedName>
    <definedName name="DCF_analysis___Standard_model" localSheetId="5">#REF!</definedName>
    <definedName name="DCF_analysis___Standard_model">#REF!</definedName>
    <definedName name="DCF_MAIN" localSheetId="1">Commodities_prices!#REF!</definedName>
    <definedName name="DCF_MAIN" localSheetId="10">[5]Analysis!#REF!</definedName>
    <definedName name="DCF_MAIN" localSheetId="8">[5]Analysis!#REF!</definedName>
    <definedName name="DCF_MAIN" localSheetId="5">#REF!</definedName>
    <definedName name="DCF_MAIN" localSheetId="7">#REF!</definedName>
    <definedName name="DCF_MAIN" localSheetId="9">[5]Analysis!#REF!</definedName>
    <definedName name="DCF_MAIN" localSheetId="14">[6]Analysis!#REF!</definedName>
    <definedName name="DCF_MAIN" localSheetId="12">[5]Analysis!#REF!</definedName>
    <definedName name="DCF_MAIN" localSheetId="15">[6]Analysis!#REF!</definedName>
    <definedName name="DCF_MAIN" localSheetId="13">[6]Analysis!#REF!</definedName>
    <definedName name="DCF_MAIN" localSheetId="11">[7]Analysis!#REF!</definedName>
    <definedName name="DCF_MAIN">#REF!</definedName>
    <definedName name="Dec06Equity" localSheetId="5">#REF!</definedName>
    <definedName name="Dec06Equity">#REF!</definedName>
    <definedName name="DelType">#REF!</definedName>
    <definedName name="depth" localSheetId="8">#REF!</definedName>
    <definedName name="depth" localSheetId="5">#REF!</definedName>
    <definedName name="depth" localSheetId="9">#REF!</definedName>
    <definedName name="depth">#REF!</definedName>
    <definedName name="detail">#REF!</definedName>
    <definedName name="divs">#REF!</definedName>
    <definedName name="dogovor">#REF!</definedName>
    <definedName name="dPlanningMateriality">[8]Sheet1!$B$45</definedName>
    <definedName name="draft" localSheetId="6">'[9]Conrol list'!$F$28</definedName>
    <definedName name="draft" localSheetId="1">#REF!</definedName>
    <definedName name="draft" localSheetId="5">'[10]Conrol list'!$F$32</definedName>
    <definedName name="draft">'Control list'!$F$33</definedName>
    <definedName name="EndNumber">'[11]Analysis for banks'!$AA$101</definedName>
    <definedName name="Equity_NPV" localSheetId="5">#REF!</definedName>
    <definedName name="Equity_NPV">#REF!</definedName>
    <definedName name="EquityCost" localSheetId="5">#REF!</definedName>
    <definedName name="EquityCost">#REF!</definedName>
    <definedName name="Escalation_Base_Year" localSheetId="5">#REF!</definedName>
    <definedName name="Escalation_Base_Year">#REF!</definedName>
    <definedName name="Escalation_Capacity_Payment" localSheetId="5">#REF!</definedName>
    <definedName name="Escalation_Capacity_Payment">#REF!</definedName>
    <definedName name="Escalation_FOM" localSheetId="5">#REF!</definedName>
    <definedName name="Escalation_FOM">#REF!</definedName>
    <definedName name="Escalation_Fuel_Price" localSheetId="5">#REF!</definedName>
    <definedName name="Escalation_Fuel_Price">#REF!</definedName>
    <definedName name="Escalation_Power_Price" localSheetId="5">#REF!</definedName>
    <definedName name="Escalation_Power_Price">#REF!</definedName>
    <definedName name="Escalation_Steam_Price" localSheetId="5">#REF!</definedName>
    <definedName name="Escalation_Steam_Price">#REF!</definedName>
    <definedName name="Escalation_VOM" localSheetId="5">#REF!</definedName>
    <definedName name="Escalation_VOM">#REF!</definedName>
    <definedName name="expend">[12]certpl!$C$14:$AG$16</definedName>
    <definedName name="expendytd">[12]certpl!$C$18:$AG$20</definedName>
    <definedName name="FA_Date1" localSheetId="8">[13]A2!#REF!</definedName>
    <definedName name="FA_Date1" localSheetId="5">[13]A2!#REF!</definedName>
    <definedName name="FA_Date1" localSheetId="7">[13]A2!#REF!</definedName>
    <definedName name="FA_Date1" localSheetId="9">[13]A2!#REF!</definedName>
    <definedName name="FA_Date1" localSheetId="14">[13]A2!#REF!</definedName>
    <definedName name="FA_Date1" localSheetId="12">[13]A2!#REF!</definedName>
    <definedName name="FA_Date1" localSheetId="15">[13]A2!#REF!</definedName>
    <definedName name="FA_Date1" localSheetId="13">[13]A2!#REF!</definedName>
    <definedName name="FA_Date1">[13]A2!#REF!</definedName>
    <definedName name="FCF" localSheetId="1">Commodities_prices!#REF!</definedName>
    <definedName name="FCF" localSheetId="5">#REF!</definedName>
    <definedName name="FCF">#REF!</definedName>
    <definedName name="FCFQ" localSheetId="5">#REF!</definedName>
    <definedName name="FCFQ">#REF!</definedName>
    <definedName name="FCP_Heat_Rate" localSheetId="5">#REF!</definedName>
    <definedName name="FCP_Heat_Rate">#REF!</definedName>
    <definedName name="file" localSheetId="5">#REF!</definedName>
    <definedName name="file">#REF!</definedName>
    <definedName name="Fixed_INQ_ACT" localSheetId="8">#REF!</definedName>
    <definedName name="Fixed_INQ_ACT" localSheetId="9">#REF!</definedName>
    <definedName name="Fixed_INQ_ACT">#REF!</definedName>
    <definedName name="Fixed_PO_ACT" localSheetId="8">#REF!</definedName>
    <definedName name="Fixed_PO_ACT" localSheetId="9">#REF!</definedName>
    <definedName name="Fixed_PO_ACT">#REF!</definedName>
    <definedName name="Fixed_PR_ACT" localSheetId="8">#REF!</definedName>
    <definedName name="Fixed_PR_ACT" localSheetId="9">#REF!</definedName>
    <definedName name="Fixed_PR_ACT">#REF!</definedName>
    <definedName name="ForeignUnit">[4]Info!$E$39</definedName>
    <definedName name="FORIRR" localSheetId="5">#REF!,#REF!</definedName>
    <definedName name="FORIRR">#REF!,#REF!</definedName>
    <definedName name="Free_CF_Unit_Valuation" localSheetId="5">#REF!</definedName>
    <definedName name="Free_CF_Unit_Valuation">#REF!</definedName>
    <definedName name="Free_CF_Valuation" localSheetId="5">#REF!</definedName>
    <definedName name="Free_CF_Valuation">#REF!</definedName>
    <definedName name="Fuel_Consumption_HHV" localSheetId="5">#REF!</definedName>
    <definedName name="Fuel_Consumption_HHV">#REF!</definedName>
    <definedName name="Fuel_Consumption_LHV" localSheetId="5">#REF!</definedName>
    <definedName name="Fuel_Consumption_LHV">#REF!</definedName>
    <definedName name="fwdCurve">[1]Input!$B$36:$P$283</definedName>
    <definedName name="fx">[14]Scenarios!$K$24</definedName>
    <definedName name="GovernmentStake" localSheetId="5">#REF!</definedName>
    <definedName name="GovernmentStake">#REF!</definedName>
    <definedName name="group">[15]Grouplist!$A$2:$D$319</definedName>
    <definedName name="halfLife">[1]Input!$B$31:$P$31</definedName>
    <definedName name="Height" localSheetId="8">#REF!</definedName>
    <definedName name="Height" localSheetId="5">#REF!</definedName>
    <definedName name="Height" localSheetId="9">#REF!</definedName>
    <definedName name="Height">#REF!</definedName>
    <definedName name="ilushin">[2]ilpl!$C$3:$AE$94</definedName>
    <definedName name="ilushinytd">[2]ilpl!$C$103:$AE$178</definedName>
    <definedName name="IN_Date1" localSheetId="8">[3]A4!#REF!</definedName>
    <definedName name="IN_Date1" localSheetId="5">[3]A4!#REF!</definedName>
    <definedName name="IN_Date1" localSheetId="7">[3]A4!#REF!</definedName>
    <definedName name="IN_Date1" localSheetId="9">[3]A4!#REF!</definedName>
    <definedName name="IN_Date1" localSheetId="14">[3]A4!#REF!</definedName>
    <definedName name="IN_Date1" localSheetId="12">[3]A4!#REF!</definedName>
    <definedName name="IN_Date1" localSheetId="15">[3]A4!#REF!</definedName>
    <definedName name="IN_Date1" localSheetId="13">[3]A4!#REF!</definedName>
    <definedName name="IN_Date1">[3]A4!#REF!</definedName>
    <definedName name="in_sumprint" localSheetId="8">[16]inspect!#REF!</definedName>
    <definedName name="in_sumprint" localSheetId="9">[16]inspect!#REF!</definedName>
    <definedName name="in_sumprint">[16]inspect!#REF!</definedName>
    <definedName name="infl">[14]Scenarios!$K$25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INTEL_EPS_EST" hidden="1">"c24729"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ACRO_SURVEY_CONSUMER_SENTIMENT" hidden="1">"c20808"</definedName>
    <definedName name="IQ_MONTH" hidden="1">15000</definedName>
    <definedName name="IQ_NAMES_REVISION_DATE_" hidden="1">40584.5810069444</definedName>
    <definedName name="IQ_NTM" hidden="1">6000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jobs" localSheetId="12">[17]Sheet1!$A$1:$A$930</definedName>
    <definedName name="jobs">[18]Sheet1!$A$1:$A$930</definedName>
    <definedName name="jun_USD_rate">29.0274</definedName>
    <definedName name="Ltitle" localSheetId="1">#REF!</definedName>
    <definedName name="Ltitle" localSheetId="5">#REF!</definedName>
    <definedName name="Ltitle">#REF!</definedName>
    <definedName name="Major_A">#REF!</definedName>
    <definedName name="Matrix">#REF!</definedName>
    <definedName name="mcurr">[4]Info!$F$9</definedName>
    <definedName name="minAlpha">[1]Input!$B$32:$P$32</definedName>
    <definedName name="MODEL">#REF!</definedName>
    <definedName name="monthYear">[1]Input!$A$35</definedName>
    <definedName name="name" localSheetId="1">[19]inputs!$C$3</definedName>
    <definedName name="name">[20]inputs!$C$3</definedName>
    <definedName name="NickelPriceLongTerm" localSheetId="5">#REF!</definedName>
    <definedName name="NickelPriceLongTerm">#REF!</definedName>
    <definedName name="NickelPriceYear1" localSheetId="5">#REF!</definedName>
    <definedName name="NickelPriceYear1">#REF!</definedName>
    <definedName name="NickelPriceYear2" localSheetId="5">#REF!</definedName>
    <definedName name="NickelPriceYear2">#REF!</definedName>
    <definedName name="NickelPriceYear3" localSheetId="5">#REF!</definedName>
    <definedName name="NickelPriceYear3">#REF!</definedName>
    <definedName name="NSR" localSheetId="5">'[21]Sensitivity Analysis'!$D$96</definedName>
    <definedName name="NSR">'[22]Sensitivity Analysis'!$D$96</definedName>
    <definedName name="numScenarios">[1]Input!$C$9</definedName>
    <definedName name="op_tax_rate">24%</definedName>
    <definedName name="Op_USD_rate">31.7844</definedName>
    <definedName name="OpDate">[4]Info!$G$5</definedName>
    <definedName name="Operations_End_Date" localSheetId="5">#REF!</definedName>
    <definedName name="Operations_End_Date">#REF!</definedName>
    <definedName name="Operations_Start_Date" localSheetId="5">#REF!</definedName>
    <definedName name="Operations_Start_Date">#REF!</definedName>
    <definedName name="P_ID">#REF!</definedName>
    <definedName name="PartnerStake" localSheetId="5">#REF!</definedName>
    <definedName name="PartnerStake">#REF!</definedName>
    <definedName name="Period_tax_rate">24%</definedName>
    <definedName name="Period1" localSheetId="8">[3]Info!#REF!</definedName>
    <definedName name="Period1" localSheetId="5">[3]Info!#REF!</definedName>
    <definedName name="Period1" localSheetId="7">[3]Info!#REF!</definedName>
    <definedName name="Period1" localSheetId="9">[3]Info!#REF!</definedName>
    <definedName name="Period1" localSheetId="14">[3]Info!#REF!</definedName>
    <definedName name="Period1" localSheetId="12">[3]Info!#REF!</definedName>
    <definedName name="Period1" localSheetId="15">[3]Info!#REF!</definedName>
    <definedName name="Period1" localSheetId="13">[3]Info!#REF!</definedName>
    <definedName name="Period1">[3]Info!#REF!</definedName>
    <definedName name="PIR" localSheetId="5">'[21]Sensitivity Analysis'!$E$96</definedName>
    <definedName name="PIR">'[22]Sensitivity Analysis'!$E$96</definedName>
    <definedName name="Pivot">#REF!</definedName>
    <definedName name="Pivot2">#REF!</definedName>
    <definedName name="Plant_Aux_Load" localSheetId="5">#REF!</definedName>
    <definedName name="Plant_Aux_Load">#REF!</definedName>
    <definedName name="Plant_Gross_Output" localSheetId="5">#REF!</definedName>
    <definedName name="Plant_Gross_Output">#REF!</definedName>
    <definedName name="Plant_Net_Cycle_Heat_Rate" localSheetId="5">#REF!</definedName>
    <definedName name="Plant_Net_Cycle_Heat_Rate">#REF!</definedName>
    <definedName name="Plant_Net_Output" localSheetId="5">#REF!</definedName>
    <definedName name="Plant_Net_Output">#REF!</definedName>
    <definedName name="pr_sumprint" localSheetId="8">#REF!</definedName>
    <definedName name="pr_sumprint" localSheetId="9">#REF!</definedName>
    <definedName name="pr_sumprint">#REF!</definedName>
    <definedName name="Project_Holding_Period" localSheetId="5">#REF!</definedName>
    <definedName name="Project_Holding_Period">#REF!</definedName>
    <definedName name="Project_IRR" localSheetId="5">#REF!</definedName>
    <definedName name="Project_IRR">#REF!</definedName>
    <definedName name="ProjectName" localSheetId="5">{"Client Name or Project Name"}</definedName>
    <definedName name="ProjectName">{"Client Name or Project Name"}</definedName>
    <definedName name="PSRall" localSheetId="8">#REF!</definedName>
    <definedName name="PSRall" localSheetId="9">#REF!</definedName>
    <definedName name="PSRall">#REF!</definedName>
    <definedName name="q" localSheetId="8">#REF!</definedName>
    <definedName name="q" localSheetId="9">#REF!</definedName>
    <definedName name="q">#REF!</definedName>
    <definedName name="Rate" localSheetId="8">#REF!</definedName>
    <definedName name="Rate" localSheetId="5">#REF!</definedName>
    <definedName name="Rate" localSheetId="7">#REF!</definedName>
    <definedName name="Rate" localSheetId="9">#REF!</definedName>
    <definedName name="Rate" localSheetId="14">#REF!</definedName>
    <definedName name="Rate" localSheetId="12">#REF!</definedName>
    <definedName name="Rate" localSheetId="15">#REF!</definedName>
    <definedName name="Rate" localSheetId="13">#REF!</definedName>
    <definedName name="Rate">#REF!</definedName>
    <definedName name="rates">[4]Rates!$A$2:$D$146</definedName>
    <definedName name="ReceivedInterestRate" localSheetId="5">#REF!</definedName>
    <definedName name="ReceivedInterestRate">#REF!</definedName>
    <definedName name="RefinancingRate" localSheetId="5">#REF!</definedName>
    <definedName name="RefinancingRate">#REF!</definedName>
    <definedName name="RestrictedPaymentsRatio" localSheetId="5">#REF!</definedName>
    <definedName name="RestrictedPaymentsRatio">#REF!</definedName>
    <definedName name="Risk">'[23]Risk Assumptions'!$F$1</definedName>
    <definedName name="RiskAutoStopPercChange">1.5</definedName>
    <definedName name="RiskCollectDistributionSamples">2</definedName>
    <definedName name="RiskExcelReportsGoInNewWorkbook">FALSE</definedName>
    <definedName name="RiskExcelReportsToGenerate">32</definedName>
    <definedName name="RiskFixedSeed">1</definedName>
    <definedName name="RiskGenerateExcelReportsAtEndOfSimulation">TRUE</definedName>
    <definedName name="RiskHasSettings">TRUE</definedName>
    <definedName name="RiskMinimizeOnStart">FALSE</definedName>
    <definedName name="RiskMonitorConvergence">FALSE</definedName>
    <definedName name="RiskNumIterations">10000</definedName>
    <definedName name="RiskNumSimulations">1</definedName>
    <definedName name="RiskPauseOnError">FALSE</definedName>
    <definedName name="RiskRealTimeResults">FALSE</definedName>
    <definedName name="RiskReportGraphFormat">0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howRiskWindowAtEndOfSimulation">TRUE</definedName>
    <definedName name="RiskStandardRecalc">1</definedName>
    <definedName name="RiskTemplateSheetName">"myTemplate"</definedName>
    <definedName name="RiskUpdateDisplay">FALSE</definedName>
    <definedName name="RiskUseDifferentSeedForEachSim">FALSE</definedName>
    <definedName name="RiskUseFixedSeed">FALSE</definedName>
    <definedName name="RiskUseMultipleCPUs">FALSE</definedName>
    <definedName name="Rtitle" localSheetId="1">#REF!</definedName>
    <definedName name="Rtitle" localSheetId="5">#REF!</definedName>
    <definedName name="Rtitle">#REF!</definedName>
    <definedName name="sched">[2]scheduledpl!$C$3:$AE$5</definedName>
    <definedName name="SCHEDYTD">[2]scheduledpl!$C$8:$AE$10</definedName>
    <definedName name="SeniorDebtAmount" localSheetId="5">#REF!</definedName>
    <definedName name="SeniorDebtAmount">#REF!</definedName>
    <definedName name="SeniorDebtRate" localSheetId="5">#REF!</definedName>
    <definedName name="SeniorDebtRate">#REF!</definedName>
    <definedName name="SeniorNotesAmount" localSheetId="5">#REF!</definedName>
    <definedName name="SeniorNotesAmount">#REF!</definedName>
    <definedName name="SeniorNotesCoupon" localSheetId="5">#REF!</definedName>
    <definedName name="SeniorNotesCoupon">#REF!</definedName>
    <definedName name="sep_USD_rate">29.2171</definedName>
    <definedName name="sigma">[1]Input!$B$15:$P$26</definedName>
    <definedName name="span" localSheetId="8">#REF!</definedName>
    <definedName name="span" localSheetId="5">#REF!</definedName>
    <definedName name="span" localSheetId="9">#REF!</definedName>
    <definedName name="span">#REF!</definedName>
    <definedName name="startDate">[1]Input!$C$5</definedName>
    <definedName name="startValue" localSheetId="8">[1]Input!#REF!</definedName>
    <definedName name="startValue" localSheetId="9">[1]Input!#REF!</definedName>
    <definedName name="startValue">[1]Input!#REF!</definedName>
    <definedName name="Steam_Exports" localSheetId="5">#REF!</definedName>
    <definedName name="Steam_Exports">#REF!</definedName>
    <definedName name="sub747y">#REF!</definedName>
    <definedName name="subchart">'[2]CHARTERPL-IL'!$C$3:$AE$94</definedName>
    <definedName name="subchartytd">'[2]CHARTERPL-IL'!$C$103:$AE$178</definedName>
    <definedName name="SubDebtAmount" localSheetId="8">#REF!</definedName>
    <definedName name="SubDebtAmount" localSheetId="5">#REF!</definedName>
    <definedName name="SubDebtAmount" localSheetId="9">#REF!</definedName>
    <definedName name="SubDebtAmount">#REF!</definedName>
    <definedName name="SubDebtRate" localSheetId="8">#REF!</definedName>
    <definedName name="SubDebtRate" localSheetId="5">#REF!</definedName>
    <definedName name="SubDebtRate" localSheetId="9">#REF!</definedName>
    <definedName name="SubDebtRate">#REF!</definedName>
    <definedName name="SubDebtRepaymentFactor" localSheetId="8">#REF!</definedName>
    <definedName name="SubDebtRepaymentFactor" localSheetId="5">#REF!</definedName>
    <definedName name="SubDebtRepaymentFactor" localSheetId="9">#REF!</definedName>
    <definedName name="SubDebtRepaymentFactor">#REF!</definedName>
    <definedName name="subheader" localSheetId="1">[19]inputs!$C$5</definedName>
    <definedName name="subheader">[20]inputs!$C$5</definedName>
    <definedName name="Summar">#REF!</definedName>
    <definedName name="Tab2_1_5" localSheetId="8">[24]Ф2!#REF!</definedName>
    <definedName name="Tab2_1_5" localSheetId="5">[24]Ф2!#REF!</definedName>
    <definedName name="Tab2_1_5" localSheetId="7">[24]Ф2!#REF!</definedName>
    <definedName name="Tab2_1_5" localSheetId="9">[24]Ф2!#REF!</definedName>
    <definedName name="Tab2_1_5" localSheetId="14">[24]Ф2!#REF!</definedName>
    <definedName name="Tab2_1_5" localSheetId="15">[24]Ф2!#REF!</definedName>
    <definedName name="Tab2_1_5" localSheetId="13">[24]Ф2!#REF!</definedName>
    <definedName name="Tab2_1_5">[24]Ф2!#REF!</definedName>
    <definedName name="totalpl">#REF!</definedName>
    <definedName name="totalplytd">#REF!</definedName>
    <definedName name="Unit">[3]Info!$D$17</definedName>
    <definedName name="valueUnit">[1]Input!$B$4:$P$4</definedName>
    <definedName name="variableName">[1]Input!$B$3:$P$3</definedName>
    <definedName name="VAT_DATE1" localSheetId="8">[3]A5!#REF!</definedName>
    <definedName name="VAT_DATE1" localSheetId="5">[3]A5!#REF!</definedName>
    <definedName name="VAT_DATE1" localSheetId="7">[3]A5!#REF!</definedName>
    <definedName name="VAT_DATE1" localSheetId="9">[3]A5!#REF!</definedName>
    <definedName name="VAT_DATE1" localSheetId="14">[3]A5!#REF!</definedName>
    <definedName name="VAT_DATE1" localSheetId="12">[3]A5!#REF!</definedName>
    <definedName name="VAT_DATE1" localSheetId="15">[3]A5!#REF!</definedName>
    <definedName name="VAT_DATE1" localSheetId="13">[3]A5!#REF!</definedName>
    <definedName name="VAT_DATE1">[3]A5!#REF!</definedName>
    <definedName name="VAT_DATE2" localSheetId="8">[3]A5!#REF!</definedName>
    <definedName name="VAT_DATE2" localSheetId="5">[3]A5!#REF!</definedName>
    <definedName name="VAT_DATE2" localSheetId="7">[3]A5!#REF!</definedName>
    <definedName name="VAT_DATE2" localSheetId="9">[3]A5!#REF!</definedName>
    <definedName name="VAT_DATE2" localSheetId="14">[3]A5!#REF!</definedName>
    <definedName name="VAT_DATE2" localSheetId="12">[3]A5!#REF!</definedName>
    <definedName name="VAT_DATE2" localSheetId="15">[3]A5!#REF!</definedName>
    <definedName name="VAT_DATE2" localSheetId="13">[3]A5!#REF!</definedName>
    <definedName name="VAT_DATE2">[3]A5!#REF!</definedName>
    <definedName name="VAT_date3" localSheetId="8">[3]A5!#REF!</definedName>
    <definedName name="VAT_date3" localSheetId="5">[3]A5!#REF!</definedName>
    <definedName name="VAT_date3" localSheetId="7">[3]A5!#REF!</definedName>
    <definedName name="VAT_date3" localSheetId="9">[3]A5!#REF!</definedName>
    <definedName name="VAT_date3" localSheetId="14">[3]A5!#REF!</definedName>
    <definedName name="VAT_date3" localSheetId="12">[3]A5!#REF!</definedName>
    <definedName name="VAT_date3" localSheetId="15">[3]A5!#REF!</definedName>
    <definedName name="VAT_date3" localSheetId="13">[3]A5!#REF!</definedName>
    <definedName name="VAT_date3">[3]A5!#REF!</definedName>
    <definedName name="width" localSheetId="8">#REF!</definedName>
    <definedName name="width" localSheetId="5">#REF!</definedName>
    <definedName name="width" localSheetId="9">#REF!</definedName>
    <definedName name="width">#REF!</definedName>
    <definedName name="workall" localSheetId="8">#REF!</definedName>
    <definedName name="workall" localSheetId="9">#REF!</definedName>
    <definedName name="workall">#REF!</definedName>
    <definedName name="workstat" localSheetId="8">#REF!</definedName>
    <definedName name="workstat" localSheetId="9">#REF!</definedName>
    <definedName name="workstat">#REF!</definedName>
    <definedName name="wrn.REPORT1." localSheetId="6" hidden="1">{"PRINTME",#N/A,FALSE,"FINAL-10"}</definedName>
    <definedName name="wrn.REPORT1." localSheetId="1" hidden="1">{"PRINTME",#N/A,FALSE,"FINAL-10"}</definedName>
    <definedName name="wrn.REPORT1." localSheetId="5" hidden="1">{"PRINTME",#N/A,FALSE,"FINAL-10"}</definedName>
    <definedName name="wrn.REPORT1." localSheetId="12" hidden="1">{"PRINTME",#N/A,FALSE,"FINAL-10"}</definedName>
    <definedName name="wrn.REPORT1." localSheetId="11" hidden="1">{"PRINTME",#N/A,FALSE,"FINAL-10"}</definedName>
    <definedName name="wrn.REPORT1." hidden="1">{"PRINTME",#N/A,FALSE,"FINAL-10"}</definedName>
    <definedName name="wshops">#REF!</definedName>
    <definedName name="x">#REF!</definedName>
    <definedName name="YEAR" localSheetId="5">#REF!</definedName>
    <definedName name="YEAR">#REF!</definedName>
    <definedName name="YEAR1" localSheetId="1">Commodities_prices!#REF!</definedName>
    <definedName name="YEAR1" localSheetId="10">[5]Analysis!#REF!</definedName>
    <definedName name="YEAR1" localSheetId="8">[5]Analysis!#REF!</definedName>
    <definedName name="YEAR1" localSheetId="5">#REF!</definedName>
    <definedName name="YEAR1" localSheetId="7">#REF!</definedName>
    <definedName name="YEAR1" localSheetId="9">[5]Analysis!#REF!</definedName>
    <definedName name="YEAR1" localSheetId="14">[6]Analysis!#REF!</definedName>
    <definedName name="YEAR1" localSheetId="12">[5]Analysis!#REF!</definedName>
    <definedName name="YEAR1" localSheetId="15">[6]Analysis!#REF!</definedName>
    <definedName name="YEAR1" localSheetId="13">[6]Analysis!#REF!</definedName>
    <definedName name="YEAR1" localSheetId="11">[7]Analysis!#REF!</definedName>
    <definedName name="YEAR1">#REF!</definedName>
    <definedName name="а1" localSheetId="5">#REF!</definedName>
    <definedName name="а1">#REF!</definedName>
    <definedName name="А59" localSheetId="6">#REF!</definedName>
    <definedName name="А59">#REF!</definedName>
    <definedName name="Агент">'[25]Расчеты с контрагентами'!$B$12:$B$472</definedName>
    <definedName name="_xlnm.Database" localSheetId="12">#REF!</definedName>
    <definedName name="_xlnm.Database">#REF!</definedName>
    <definedName name="База_Первонач_ст_ти" localSheetId="12">#REF!</definedName>
    <definedName name="База_Первонач_ст_ти">#REF!</definedName>
    <definedName name="БД_КАЛЬКУЛЯЦИИ" localSheetId="12">'[26]Пл кальк07'!$A$5:$N$437</definedName>
    <definedName name="БД_КАЛЬКУЛЯЦИИ">'[27]Пл кальк07'!$A$5:$N$437</definedName>
    <definedName name="БИЗНЕС" localSheetId="6">#REF!</definedName>
    <definedName name="БИЗНЕС" localSheetId="8">#REF!</definedName>
    <definedName name="БИЗНЕС" localSheetId="5">#REF!</definedName>
    <definedName name="БИЗНЕС" localSheetId="7">#REF!</definedName>
    <definedName name="БИЗНЕС" localSheetId="9">#REF!</definedName>
    <definedName name="БИЗНЕС" localSheetId="14">#REF!</definedName>
    <definedName name="БИЗНЕС" localSheetId="15">#REF!</definedName>
    <definedName name="БИЗНЕС" localSheetId="13">#REF!</definedName>
    <definedName name="БИЗНЕС">#REF!</definedName>
    <definedName name="ВесПокупки">'[25]Покупки-Продажи'!$K$8:$K$1294</definedName>
    <definedName name="ВесПродажи">'[25]Покупки-Продажи'!$P$8:$P$1294</definedName>
    <definedName name="ВидОплаты" localSheetId="6">'[28]Расчеты с контрагентами'!$D$12:$D$426</definedName>
    <definedName name="ВидОплаты">'[29]Расчеты с контрагентами'!$D$12:$D$426</definedName>
    <definedName name="ВидСырья">'[25]Покупки-Продажи'!$B$8:$B$1294</definedName>
    <definedName name="Все" localSheetId="12">#REF!</definedName>
    <definedName name="Все">#REF!</definedName>
    <definedName name="Год" localSheetId="1">Commodities_prices!#REF!</definedName>
    <definedName name="Год" localSheetId="8">#REF!</definedName>
    <definedName name="Год" localSheetId="5">#REF!</definedName>
    <definedName name="Год" localSheetId="7">#REF!</definedName>
    <definedName name="Год" localSheetId="9">#REF!</definedName>
    <definedName name="Год" localSheetId="14">#REF!</definedName>
    <definedName name="Год" localSheetId="12">[30]Analysis!#REF!</definedName>
    <definedName name="Год" localSheetId="15">#REF!</definedName>
    <definedName name="Год" localSheetId="13">#REF!</definedName>
    <definedName name="Год">#REF!</definedName>
    <definedName name="Год20" localSheetId="5">#REF!</definedName>
    <definedName name="Год20">#REF!</definedName>
    <definedName name="Год25" localSheetId="5">#REF!</definedName>
    <definedName name="Год25">#REF!</definedName>
    <definedName name="дата">[31]Итого!$D$2</definedName>
    <definedName name="ДискПотокДенСредств" localSheetId="1">Commodities_prices!#REF!</definedName>
    <definedName name="ДискПотокДенСредств" localSheetId="5">#REF!</definedName>
    <definedName name="ДискПотокДенСредств">#REF!</definedName>
    <definedName name="ДСДП" localSheetId="5">#REF!</definedName>
    <definedName name="ДСДП">#REF!</definedName>
    <definedName name="ДСДП00" localSheetId="5">#REF!</definedName>
    <definedName name="ДСДП00">#REF!</definedName>
    <definedName name="ДСДП1" localSheetId="5">#REF!</definedName>
    <definedName name="ДСДП1">#REF!</definedName>
    <definedName name="ДСДП11" localSheetId="5">#REF!</definedName>
    <definedName name="ДСДП11">#REF!</definedName>
    <definedName name="ДСДП123" localSheetId="5">#REF!</definedName>
    <definedName name="ДСДП123">#REF!</definedName>
    <definedName name="ДСДП1234" localSheetId="5">#REF!</definedName>
    <definedName name="ДСДП1234">#REF!</definedName>
    <definedName name="ДСДП12345" localSheetId="5">#REF!</definedName>
    <definedName name="ДСДП12345">#REF!</definedName>
    <definedName name="ДСДП123456" localSheetId="5">#REF!</definedName>
    <definedName name="ДСДП123456">#REF!</definedName>
    <definedName name="ДСДП22" localSheetId="5">#REF!</definedName>
    <definedName name="ДСДП22">#REF!</definedName>
    <definedName name="ДСДП222" localSheetId="5">#REF!</definedName>
    <definedName name="ДСДП222">#REF!</definedName>
    <definedName name="ДСДП33" localSheetId="5">#REF!</definedName>
    <definedName name="ДСДП33">#REF!</definedName>
    <definedName name="ДСДП333" localSheetId="5">#REF!</definedName>
    <definedName name="ДСДП333">#REF!</definedName>
    <definedName name="ДСДП44" localSheetId="5">#REF!</definedName>
    <definedName name="ДСДП44">#REF!</definedName>
    <definedName name="ДСДП444" localSheetId="5">#REF!</definedName>
    <definedName name="ДСДП444">#REF!</definedName>
    <definedName name="ДСДП55" localSheetId="5">#REF!</definedName>
    <definedName name="ДСДП55">#REF!</definedName>
    <definedName name="ДСДП555" localSheetId="5">#REF!</definedName>
    <definedName name="ДСДП555">#REF!</definedName>
    <definedName name="_xlnm.Print_Titles" localSheetId="12">#N/A</definedName>
    <definedName name="_xlnm.Print_Titles">#N/A</definedName>
    <definedName name="Зачеты">'[25]Расчеты с контрагентами'!$AH$12:$AH$472</definedName>
    <definedName name="Капвложения" localSheetId="6">Acquila!#REF!</definedName>
    <definedName name="Капвложения" localSheetId="10">'Cu segment'!#REF!</definedName>
    <definedName name="Капвложения" localSheetId="8">DSO!#REF!</definedName>
    <definedName name="Капвложения" localSheetId="5">Fenix!#REF!</definedName>
    <definedName name="Капвложения" localSheetId="9">Kurilgeo!#REF!</definedName>
    <definedName name="Капвложения" localSheetId="14">M!#REF!</definedName>
    <definedName name="Капвложения" localSheetId="4">'Ni segment'!#REF!</definedName>
    <definedName name="Капвложения" localSheetId="12">'Real Estate'!#REF!</definedName>
    <definedName name="Капвложения" localSheetId="15">S!#REF!</definedName>
    <definedName name="Капвложения" localSheetId="2">Total!#REF!</definedName>
    <definedName name="Капвложения" localSheetId="13">'Total Chemical'!#REF!</definedName>
    <definedName name="Капвложения" localSheetId="11">'Zn Pb segment'!#REF!</definedName>
    <definedName name="Капвложения">#REF!</definedName>
    <definedName name="Квартал" localSheetId="5">#REF!</definedName>
    <definedName name="Квартал">#REF!</definedName>
    <definedName name="КВАРТАЛ1" localSheetId="5">#REF!</definedName>
    <definedName name="КВАРТАЛ1">#REF!</definedName>
    <definedName name="КДЧПДС" localSheetId="5">#REF!</definedName>
    <definedName name="КДЧПДС">#REF!</definedName>
    <definedName name="КДЧПС" localSheetId="5">#REF!</definedName>
    <definedName name="КДЧПС">#REF!</definedName>
    <definedName name="Клиент">[32]Загрузка!$D$12:$D$711</definedName>
    <definedName name="конец" localSheetId="12">#REF!</definedName>
    <definedName name="конец">#REF!</definedName>
    <definedName name="КумДискПотокДенСредств" localSheetId="1">Commodities_prices!#REF!</definedName>
    <definedName name="КумДискПотокДенСредств" localSheetId="8">#REF!</definedName>
    <definedName name="КумДискПотокДенСредств" localSheetId="5">#REF!</definedName>
    <definedName name="КумДискПотокДенСредств" localSheetId="7">#REF!</definedName>
    <definedName name="КумДискПотокДенСредств" localSheetId="9">#REF!</definedName>
    <definedName name="КумДискПотокДенСредств" localSheetId="14">#REF!</definedName>
    <definedName name="КумДискПотокДенСредств" localSheetId="12">[30]Analysis!#REF!</definedName>
    <definedName name="КумДискПотокДенСредств" localSheetId="15">#REF!</definedName>
    <definedName name="КумДискПотокДенСредств" localSheetId="13">#REF!</definedName>
    <definedName name="КумДискПотокДенСредств">#REF!</definedName>
    <definedName name="КумЧистПотокДенСредств" localSheetId="1">Commodities_prices!#REF!</definedName>
    <definedName name="КумЧистПотокДенСредств" localSheetId="8">#REF!</definedName>
    <definedName name="КумЧистПотокДенСредств" localSheetId="5">#REF!</definedName>
    <definedName name="КумЧистПотокДенСредств" localSheetId="7">#REF!</definedName>
    <definedName name="КумЧистПотокДенСредств" localSheetId="9">#REF!</definedName>
    <definedName name="КумЧистПотокДенСредств" localSheetId="14">#REF!</definedName>
    <definedName name="КумЧистПотокДенСредств" localSheetId="12">[30]Analysis!#REF!</definedName>
    <definedName name="КумЧистПотокДенСредств" localSheetId="15">#REF!</definedName>
    <definedName name="КумЧистПотокДенСредств" localSheetId="13">#REF!</definedName>
    <definedName name="КумЧистПотокДенСредств">#REF!</definedName>
    <definedName name="КураторДопПр" localSheetId="6">#REF!</definedName>
    <definedName name="КураторДопПр" localSheetId="8">#REF!</definedName>
    <definedName name="КураторДопПр" localSheetId="5">#REF!</definedName>
    <definedName name="КураторДопПр" localSheetId="7">#REF!</definedName>
    <definedName name="КураторДопПр" localSheetId="9">#REF!</definedName>
    <definedName name="КураторДопПр" localSheetId="14">#REF!</definedName>
    <definedName name="КураторДопПр" localSheetId="15">#REF!</definedName>
    <definedName name="КураторДопПр" localSheetId="13">#REF!</definedName>
    <definedName name="КураторДопПр">#REF!</definedName>
    <definedName name="курс">#REF!</definedName>
    <definedName name="КЧПДС" localSheetId="5">#REF!</definedName>
    <definedName name="КЧПДС">#REF!</definedName>
    <definedName name="Месяц">[25]Календарь!$B$1</definedName>
    <definedName name="Назначение">[33]реестр!$C$6:$C$3103</definedName>
    <definedName name="НачИнвест" localSheetId="5">#REF!</definedName>
    <definedName name="НачИнвест">#REF!</definedName>
    <definedName name="_xlnm.Print_Area" localSheetId="6">Acquila!$B$2:$P$607</definedName>
    <definedName name="_xlnm.Print_Area" localSheetId="1">Commodities_prices!$B$2:$X$48</definedName>
    <definedName name="_xlnm.Print_Area" localSheetId="0">'Control list'!$B$2:$AD$61</definedName>
    <definedName name="_xlnm.Print_Area" localSheetId="10">'Cu segment'!$B$2:$O$595</definedName>
    <definedName name="_xlnm.Print_Area" localSheetId="8">DSO!$A$1:$M$583</definedName>
    <definedName name="_xlnm.Print_Area" localSheetId="5">Fenix!$B$2:$N$883</definedName>
    <definedName name="_xlnm.Print_Area" localSheetId="9">Kurilgeo!$B$2:$O$482</definedName>
    <definedName name="_xlnm.Print_Area" localSheetId="14">M!$B$2:$N$690</definedName>
    <definedName name="_xlnm.Print_Area" localSheetId="4">'Ni segment'!$B$2:$N$576</definedName>
    <definedName name="_xlnm.Print_Area" localSheetId="12">'Real Estate'!$B$2:$O$83</definedName>
    <definedName name="_xlnm.Print_Area" localSheetId="15">S!$B$2:$N$688</definedName>
    <definedName name="_xlnm.Print_Area" localSheetId="2">Total!$B$1:$AA$181</definedName>
    <definedName name="_xlnm.Print_Area" localSheetId="13">'Total Chemical'!$B$2:$N$688</definedName>
    <definedName name="_xlnm.Print_Area" localSheetId="11">'Zn Pb segment'!$C$2:$O$505</definedName>
    <definedName name="Оплата1_1">'[25]Расчеты с контрагентами'!$J$12:$J$472</definedName>
    <definedName name="Оплата1_2">'[25]Расчеты с контрагентами'!$K$12:$K$472</definedName>
    <definedName name="Оплата1_3">'[25]Расчеты с контрагентами'!$L$12:$L$472</definedName>
    <definedName name="Оплата2_1">'[25]Расчеты с контрагентами'!$N$12:$N$472</definedName>
    <definedName name="Оплата2_2">'[25]Расчеты с контрагентами'!$O$12:$O$472</definedName>
    <definedName name="Оплата2_3">'[25]Расчеты с контрагентами'!$P$12:$P$472</definedName>
    <definedName name="Оплата3_1">'[25]Расчеты с контрагентами'!$R$12:$R$472</definedName>
    <definedName name="Оплата3_2">'[25]Расчеты с контрагентами'!$S$12:$S$472</definedName>
    <definedName name="Оплата3_3">'[25]Расчеты с контрагентами'!$T$12:$T$472</definedName>
    <definedName name="Оплата4_1">'[25]Расчеты с контрагентами'!$V$12:$V$472</definedName>
    <definedName name="Оплата4_2">'[25]Расчеты с контрагентами'!$W$12:$W$472</definedName>
    <definedName name="Оплата4_3">'[25]Расчеты с контрагентами'!$X$12:$X$472</definedName>
    <definedName name="Оплата5_1">'[25]Расчеты с контрагентами'!$Z$12:$Z$472</definedName>
    <definedName name="Оплата5_2">'[25]Расчеты с контрагентами'!$AA$12:$AA$472</definedName>
    <definedName name="Оплата5_3">'[25]Расчеты с контрагентами'!$AB$12:$AB$472</definedName>
    <definedName name="Отгруженные_в_январе">#REF!</definedName>
    <definedName name="отгрузка_1">'[25]Расчеты с контрагентами'!$AX$12:$AX$472</definedName>
    <definedName name="отгрузка_2">'[25]Расчеты с контрагентами'!$AY$12:$AY$472</definedName>
    <definedName name="отгрузка_3">'[25]Расчеты с контрагентами'!$AZ$12:$AZ$472</definedName>
    <definedName name="П000010001003" localSheetId="8">[24]Ф2!#REF!</definedName>
    <definedName name="П000010001003" localSheetId="5">[24]Ф2!#REF!</definedName>
    <definedName name="П000010001003" localSheetId="7">[24]Ф2!#REF!</definedName>
    <definedName name="П000010001003" localSheetId="9">[24]Ф2!#REF!</definedName>
    <definedName name="П000010001003" localSheetId="14">[24]Ф2!#REF!</definedName>
    <definedName name="П000010001003" localSheetId="15">[24]Ф2!#REF!</definedName>
    <definedName name="П000010001003" localSheetId="13">[24]Ф2!#REF!</definedName>
    <definedName name="П000010001003">[24]Ф2!#REF!</definedName>
    <definedName name="П000010001004" localSheetId="8">[24]Ф2!#REF!</definedName>
    <definedName name="П000010001004" localSheetId="5">[24]Ф2!#REF!</definedName>
    <definedName name="П000010001004" localSheetId="7">[24]Ф2!#REF!</definedName>
    <definedName name="П000010001004" localSheetId="9">[24]Ф2!#REF!</definedName>
    <definedName name="П000010001004" localSheetId="14">[24]Ф2!#REF!</definedName>
    <definedName name="П000010001004" localSheetId="15">[24]Ф2!#REF!</definedName>
    <definedName name="П000010001004" localSheetId="13">[24]Ф2!#REF!</definedName>
    <definedName name="П000010001004">[24]Ф2!#REF!</definedName>
    <definedName name="П000010002003" localSheetId="8">[24]Ф2!#REF!</definedName>
    <definedName name="П000010002003" localSheetId="5">[24]Ф2!#REF!</definedName>
    <definedName name="П000010002003" localSheetId="7">[24]Ф2!#REF!</definedName>
    <definedName name="П000010002003" localSheetId="9">[24]Ф2!#REF!</definedName>
    <definedName name="П000010002003" localSheetId="14">[24]Ф2!#REF!</definedName>
    <definedName name="П000010002003" localSheetId="15">[24]Ф2!#REF!</definedName>
    <definedName name="П000010002003" localSheetId="13">[24]Ф2!#REF!</definedName>
    <definedName name="П000010002003">[24]Ф2!#REF!</definedName>
    <definedName name="П000010002004" localSheetId="8">[24]Ф2!#REF!</definedName>
    <definedName name="П000010002004" localSheetId="5">[24]Ф2!#REF!</definedName>
    <definedName name="П000010002004" localSheetId="7">[24]Ф2!#REF!</definedName>
    <definedName name="П000010002004" localSheetId="9">[24]Ф2!#REF!</definedName>
    <definedName name="П000010002004" localSheetId="14">[24]Ф2!#REF!</definedName>
    <definedName name="П000010002004" localSheetId="15">[24]Ф2!#REF!</definedName>
    <definedName name="П000010002004" localSheetId="13">[24]Ф2!#REF!</definedName>
    <definedName name="П000010002004">[24]Ф2!#REF!</definedName>
    <definedName name="П000010002903" localSheetId="8">[24]Ф2!#REF!</definedName>
    <definedName name="П000010002903" localSheetId="5">[24]Ф2!#REF!</definedName>
    <definedName name="П000010002903" localSheetId="7">[24]Ф2!#REF!</definedName>
    <definedName name="П000010002903" localSheetId="9">[24]Ф2!#REF!</definedName>
    <definedName name="П000010002903" localSheetId="14">[24]Ф2!#REF!</definedName>
    <definedName name="П000010002903" localSheetId="15">[24]Ф2!#REF!</definedName>
    <definedName name="П000010002903" localSheetId="13">[24]Ф2!#REF!</definedName>
    <definedName name="П000010002903">[24]Ф2!#REF!</definedName>
    <definedName name="П000010002904" localSheetId="8">[24]Ф2!#REF!</definedName>
    <definedName name="П000010002904" localSheetId="5">[24]Ф2!#REF!</definedName>
    <definedName name="П000010002904" localSheetId="7">[24]Ф2!#REF!</definedName>
    <definedName name="П000010002904" localSheetId="9">[24]Ф2!#REF!</definedName>
    <definedName name="П000010002904" localSheetId="14">[24]Ф2!#REF!</definedName>
    <definedName name="П000010002904" localSheetId="15">[24]Ф2!#REF!</definedName>
    <definedName name="П000010002904" localSheetId="13">[24]Ф2!#REF!</definedName>
    <definedName name="П000010002904">[24]Ф2!#REF!</definedName>
    <definedName name="П000010003003" localSheetId="8">[24]Ф2!#REF!</definedName>
    <definedName name="П000010003003" localSheetId="5">[24]Ф2!#REF!</definedName>
    <definedName name="П000010003003" localSheetId="7">[24]Ф2!#REF!</definedName>
    <definedName name="П000010003003" localSheetId="9">[24]Ф2!#REF!</definedName>
    <definedName name="П000010003003" localSheetId="14">[24]Ф2!#REF!</definedName>
    <definedName name="П000010003003" localSheetId="15">[24]Ф2!#REF!</definedName>
    <definedName name="П000010003003" localSheetId="13">[24]Ф2!#REF!</definedName>
    <definedName name="П000010003003">[24]Ф2!#REF!</definedName>
    <definedName name="П000010003004" localSheetId="8">[24]Ф2!#REF!</definedName>
    <definedName name="П000010003004" localSheetId="5">[24]Ф2!#REF!</definedName>
    <definedName name="П000010003004" localSheetId="7">[24]Ф2!#REF!</definedName>
    <definedName name="П000010003004" localSheetId="9">[24]Ф2!#REF!</definedName>
    <definedName name="П000010003004" localSheetId="14">[24]Ф2!#REF!</definedName>
    <definedName name="П000010003004" localSheetId="15">[24]Ф2!#REF!</definedName>
    <definedName name="П000010003004" localSheetId="13">[24]Ф2!#REF!</definedName>
    <definedName name="П000010003004">[24]Ф2!#REF!</definedName>
    <definedName name="П000010004003" localSheetId="8">[24]Ф2!#REF!</definedName>
    <definedName name="П000010004003" localSheetId="5">[24]Ф2!#REF!</definedName>
    <definedName name="П000010004003" localSheetId="7">[24]Ф2!#REF!</definedName>
    <definedName name="П000010004003" localSheetId="9">[24]Ф2!#REF!</definedName>
    <definedName name="П000010004003" localSheetId="14">[24]Ф2!#REF!</definedName>
    <definedName name="П000010004003" localSheetId="15">[24]Ф2!#REF!</definedName>
    <definedName name="П000010004003" localSheetId="13">[24]Ф2!#REF!</definedName>
    <definedName name="П000010004003">[24]Ф2!#REF!</definedName>
    <definedName name="П000010004004" localSheetId="8">[24]Ф2!#REF!</definedName>
    <definedName name="П000010004004" localSheetId="5">[24]Ф2!#REF!</definedName>
    <definedName name="П000010004004" localSheetId="7">[24]Ф2!#REF!</definedName>
    <definedName name="П000010004004" localSheetId="9">[24]Ф2!#REF!</definedName>
    <definedName name="П000010004004" localSheetId="14">[24]Ф2!#REF!</definedName>
    <definedName name="П000010004004" localSheetId="15">[24]Ф2!#REF!</definedName>
    <definedName name="П000010004004" localSheetId="13">[24]Ф2!#REF!</definedName>
    <definedName name="П000010004004">[24]Ф2!#REF!</definedName>
    <definedName name="П000010005003" localSheetId="8">[24]Ф2!#REF!</definedName>
    <definedName name="П000010005003" localSheetId="5">[24]Ф2!#REF!</definedName>
    <definedName name="П000010005003" localSheetId="7">[24]Ф2!#REF!</definedName>
    <definedName name="П000010005003" localSheetId="9">[24]Ф2!#REF!</definedName>
    <definedName name="П000010005003" localSheetId="14">[24]Ф2!#REF!</definedName>
    <definedName name="П000010005003" localSheetId="15">[24]Ф2!#REF!</definedName>
    <definedName name="П000010005003" localSheetId="13">[24]Ф2!#REF!</definedName>
    <definedName name="П000010005003">[24]Ф2!#REF!</definedName>
    <definedName name="П000010005004" localSheetId="8">[24]Ф2!#REF!</definedName>
    <definedName name="П000010005004" localSheetId="5">[24]Ф2!#REF!</definedName>
    <definedName name="П000010005004" localSheetId="7">[24]Ф2!#REF!</definedName>
    <definedName name="П000010005004" localSheetId="9">[24]Ф2!#REF!</definedName>
    <definedName name="П000010005004" localSheetId="14">[24]Ф2!#REF!</definedName>
    <definedName name="П000010005004" localSheetId="15">[24]Ф2!#REF!</definedName>
    <definedName name="П000010005004" localSheetId="13">[24]Ф2!#REF!</definedName>
    <definedName name="П000010005004">[24]Ф2!#REF!</definedName>
    <definedName name="П000020006003" localSheetId="8">[24]Ф2!#REF!</definedName>
    <definedName name="П000020006003" localSheetId="5">[24]Ф2!#REF!</definedName>
    <definedName name="П000020006003" localSheetId="7">[24]Ф2!#REF!</definedName>
    <definedName name="П000020006003" localSheetId="9">[24]Ф2!#REF!</definedName>
    <definedName name="П000020006003" localSheetId="14">[24]Ф2!#REF!</definedName>
    <definedName name="П000020006003" localSheetId="15">[24]Ф2!#REF!</definedName>
    <definedName name="П000020006003" localSheetId="13">[24]Ф2!#REF!</definedName>
    <definedName name="П000020006003">[24]Ф2!#REF!</definedName>
    <definedName name="П000020006004" localSheetId="8">[24]Ф2!#REF!</definedName>
    <definedName name="П000020006004" localSheetId="5">[24]Ф2!#REF!</definedName>
    <definedName name="П000020006004" localSheetId="7">[24]Ф2!#REF!</definedName>
    <definedName name="П000020006004" localSheetId="9">[24]Ф2!#REF!</definedName>
    <definedName name="П000020006004" localSheetId="14">[24]Ф2!#REF!</definedName>
    <definedName name="П000020006004" localSheetId="15">[24]Ф2!#REF!</definedName>
    <definedName name="П000020006004" localSheetId="13">[24]Ф2!#REF!</definedName>
    <definedName name="П000020006004">[24]Ф2!#REF!</definedName>
    <definedName name="П000020007003" localSheetId="8">[24]Ф2!#REF!</definedName>
    <definedName name="П000020007003" localSheetId="5">[24]Ф2!#REF!</definedName>
    <definedName name="П000020007003" localSheetId="7">[24]Ф2!#REF!</definedName>
    <definedName name="П000020007003" localSheetId="9">[24]Ф2!#REF!</definedName>
    <definedName name="П000020007003" localSheetId="14">[24]Ф2!#REF!</definedName>
    <definedName name="П000020007003" localSheetId="15">[24]Ф2!#REF!</definedName>
    <definedName name="П000020007003" localSheetId="13">[24]Ф2!#REF!</definedName>
    <definedName name="П000020007003">[24]Ф2!#REF!</definedName>
    <definedName name="П000020007004" localSheetId="8">[24]Ф2!#REF!</definedName>
    <definedName name="П000020007004" localSheetId="5">[24]Ф2!#REF!</definedName>
    <definedName name="П000020007004" localSheetId="7">[24]Ф2!#REF!</definedName>
    <definedName name="П000020007004" localSheetId="9">[24]Ф2!#REF!</definedName>
    <definedName name="П000020007004" localSheetId="14">[24]Ф2!#REF!</definedName>
    <definedName name="П000020007004" localSheetId="15">[24]Ф2!#REF!</definedName>
    <definedName name="П000020007004" localSheetId="13">[24]Ф2!#REF!</definedName>
    <definedName name="П000020007004">[24]Ф2!#REF!</definedName>
    <definedName name="П000020008003" localSheetId="8">[24]Ф2!#REF!</definedName>
    <definedName name="П000020008003" localSheetId="5">[24]Ф2!#REF!</definedName>
    <definedName name="П000020008003" localSheetId="7">[24]Ф2!#REF!</definedName>
    <definedName name="П000020008003" localSheetId="9">[24]Ф2!#REF!</definedName>
    <definedName name="П000020008003" localSheetId="14">[24]Ф2!#REF!</definedName>
    <definedName name="П000020008003" localSheetId="15">[24]Ф2!#REF!</definedName>
    <definedName name="П000020008003" localSheetId="13">[24]Ф2!#REF!</definedName>
    <definedName name="П000020008003">[24]Ф2!#REF!</definedName>
    <definedName name="П000020008004" localSheetId="8">[24]Ф2!#REF!</definedName>
    <definedName name="П000020008004" localSheetId="5">[24]Ф2!#REF!</definedName>
    <definedName name="П000020008004" localSheetId="7">[24]Ф2!#REF!</definedName>
    <definedName name="П000020008004" localSheetId="9">[24]Ф2!#REF!</definedName>
    <definedName name="П000020008004" localSheetId="14">[24]Ф2!#REF!</definedName>
    <definedName name="П000020008004" localSheetId="15">[24]Ф2!#REF!</definedName>
    <definedName name="П000020008004" localSheetId="13">[24]Ф2!#REF!</definedName>
    <definedName name="П000020008004">[24]Ф2!#REF!</definedName>
    <definedName name="П000020009003" localSheetId="8">[24]Ф2!#REF!</definedName>
    <definedName name="П000020009003" localSheetId="5">[24]Ф2!#REF!</definedName>
    <definedName name="П000020009003" localSheetId="7">[24]Ф2!#REF!</definedName>
    <definedName name="П000020009003" localSheetId="9">[24]Ф2!#REF!</definedName>
    <definedName name="П000020009003" localSheetId="14">[24]Ф2!#REF!</definedName>
    <definedName name="П000020009003" localSheetId="15">[24]Ф2!#REF!</definedName>
    <definedName name="П000020009003" localSheetId="13">[24]Ф2!#REF!</definedName>
    <definedName name="П000020009003">[24]Ф2!#REF!</definedName>
    <definedName name="П000020009004" localSheetId="8">[24]Ф2!#REF!</definedName>
    <definedName name="П000020009004" localSheetId="5">[24]Ф2!#REF!</definedName>
    <definedName name="П000020009004" localSheetId="7">[24]Ф2!#REF!</definedName>
    <definedName name="П000020009004" localSheetId="9">[24]Ф2!#REF!</definedName>
    <definedName name="П000020009004" localSheetId="14">[24]Ф2!#REF!</definedName>
    <definedName name="П000020009004" localSheetId="15">[24]Ф2!#REF!</definedName>
    <definedName name="П000020009004" localSheetId="13">[24]Ф2!#REF!</definedName>
    <definedName name="П000020009004">[24]Ф2!#REF!</definedName>
    <definedName name="П000020010003" localSheetId="8">[24]Ф2!#REF!</definedName>
    <definedName name="П000020010003" localSheetId="5">[24]Ф2!#REF!</definedName>
    <definedName name="П000020010003" localSheetId="7">[24]Ф2!#REF!</definedName>
    <definedName name="П000020010003" localSheetId="9">[24]Ф2!#REF!</definedName>
    <definedName name="П000020010003" localSheetId="14">[24]Ф2!#REF!</definedName>
    <definedName name="П000020010003" localSheetId="15">[24]Ф2!#REF!</definedName>
    <definedName name="П000020010003" localSheetId="13">[24]Ф2!#REF!</definedName>
    <definedName name="П000020010003">[24]Ф2!#REF!</definedName>
    <definedName name="П000020010004" localSheetId="8">[24]Ф2!#REF!</definedName>
    <definedName name="П000020010004" localSheetId="5">[24]Ф2!#REF!</definedName>
    <definedName name="П000020010004" localSheetId="7">[24]Ф2!#REF!</definedName>
    <definedName name="П000020010004" localSheetId="9">[24]Ф2!#REF!</definedName>
    <definedName name="П000020010004" localSheetId="14">[24]Ф2!#REF!</definedName>
    <definedName name="П000020010004" localSheetId="15">[24]Ф2!#REF!</definedName>
    <definedName name="П000020010004" localSheetId="13">[24]Ф2!#REF!</definedName>
    <definedName name="П000020010004">[24]Ф2!#REF!</definedName>
    <definedName name="П000030012003" localSheetId="8">[24]Ф2!#REF!</definedName>
    <definedName name="П000030012003" localSheetId="5">[24]Ф2!#REF!</definedName>
    <definedName name="П000030012003" localSheetId="7">[24]Ф2!#REF!</definedName>
    <definedName name="П000030012003" localSheetId="9">[24]Ф2!#REF!</definedName>
    <definedName name="П000030012003" localSheetId="14">[24]Ф2!#REF!</definedName>
    <definedName name="П000030012003" localSheetId="15">[24]Ф2!#REF!</definedName>
    <definedName name="П000030012003" localSheetId="13">[24]Ф2!#REF!</definedName>
    <definedName name="П000030012003">[24]Ф2!#REF!</definedName>
    <definedName name="П000030012004" localSheetId="8">[24]Ф2!#REF!</definedName>
    <definedName name="П000030012004" localSheetId="5">[24]Ф2!#REF!</definedName>
    <definedName name="П000030012004" localSheetId="7">[24]Ф2!#REF!</definedName>
    <definedName name="П000030012004" localSheetId="9">[24]Ф2!#REF!</definedName>
    <definedName name="П000030012004" localSheetId="14">[24]Ф2!#REF!</definedName>
    <definedName name="П000030012004" localSheetId="15">[24]Ф2!#REF!</definedName>
    <definedName name="П000030012004" localSheetId="13">[24]Ф2!#REF!</definedName>
    <definedName name="П000030012004">[24]Ф2!#REF!</definedName>
    <definedName name="П000030013003" localSheetId="8">[24]Ф2!#REF!</definedName>
    <definedName name="П000030013003" localSheetId="5">[24]Ф2!#REF!</definedName>
    <definedName name="П000030013003" localSheetId="7">[24]Ф2!#REF!</definedName>
    <definedName name="П000030013003" localSheetId="9">[24]Ф2!#REF!</definedName>
    <definedName name="П000030013003" localSheetId="14">[24]Ф2!#REF!</definedName>
    <definedName name="П000030013003" localSheetId="15">[24]Ф2!#REF!</definedName>
    <definedName name="П000030013003" localSheetId="13">[24]Ф2!#REF!</definedName>
    <definedName name="П000030013003">[24]Ф2!#REF!</definedName>
    <definedName name="П000030013004" localSheetId="8">[24]Ф2!#REF!</definedName>
    <definedName name="П000030013004" localSheetId="5">[24]Ф2!#REF!</definedName>
    <definedName name="П000030013004" localSheetId="7">[24]Ф2!#REF!</definedName>
    <definedName name="П000030013004" localSheetId="9">[24]Ф2!#REF!</definedName>
    <definedName name="П000030013004" localSheetId="14">[24]Ф2!#REF!</definedName>
    <definedName name="П000030013004" localSheetId="15">[24]Ф2!#REF!</definedName>
    <definedName name="П000030013004" localSheetId="13">[24]Ф2!#REF!</definedName>
    <definedName name="П000030013004">[24]Ф2!#REF!</definedName>
    <definedName name="П000030014003" localSheetId="8">[24]Ф2!#REF!</definedName>
    <definedName name="П000030014003" localSheetId="5">[24]Ф2!#REF!</definedName>
    <definedName name="П000030014003" localSheetId="7">[24]Ф2!#REF!</definedName>
    <definedName name="П000030014003" localSheetId="9">[24]Ф2!#REF!</definedName>
    <definedName name="П000030014003" localSheetId="14">[24]Ф2!#REF!</definedName>
    <definedName name="П000030014003" localSheetId="15">[24]Ф2!#REF!</definedName>
    <definedName name="П000030014003" localSheetId="13">[24]Ф2!#REF!</definedName>
    <definedName name="П000030014003">[24]Ф2!#REF!</definedName>
    <definedName name="П000030014004" localSheetId="8">[24]Ф2!#REF!</definedName>
    <definedName name="П000030014004" localSheetId="5">[24]Ф2!#REF!</definedName>
    <definedName name="П000030014004" localSheetId="7">[24]Ф2!#REF!</definedName>
    <definedName name="П000030014004" localSheetId="9">[24]Ф2!#REF!</definedName>
    <definedName name="П000030014004" localSheetId="14">[24]Ф2!#REF!</definedName>
    <definedName name="П000030014004" localSheetId="15">[24]Ф2!#REF!</definedName>
    <definedName name="П000030014004" localSheetId="13">[24]Ф2!#REF!</definedName>
    <definedName name="П000030014004">[24]Ф2!#REF!</definedName>
    <definedName name="П000040017003" localSheetId="8">[24]Ф2!#REF!</definedName>
    <definedName name="П000040017003" localSheetId="5">[24]Ф2!#REF!</definedName>
    <definedName name="П000040017003" localSheetId="7">[24]Ф2!#REF!</definedName>
    <definedName name="П000040017003" localSheetId="9">[24]Ф2!#REF!</definedName>
    <definedName name="П000040017003" localSheetId="14">[24]Ф2!#REF!</definedName>
    <definedName name="П000040017003" localSheetId="15">[24]Ф2!#REF!</definedName>
    <definedName name="П000040017003" localSheetId="13">[24]Ф2!#REF!</definedName>
    <definedName name="П000040017003">[24]Ф2!#REF!</definedName>
    <definedName name="П000040017004" localSheetId="8">[24]Ф2!#REF!</definedName>
    <definedName name="П000040017004" localSheetId="5">[24]Ф2!#REF!</definedName>
    <definedName name="П000040017004" localSheetId="7">[24]Ф2!#REF!</definedName>
    <definedName name="П000040017004" localSheetId="9">[24]Ф2!#REF!</definedName>
    <definedName name="П000040017004" localSheetId="14">[24]Ф2!#REF!</definedName>
    <definedName name="П000040017004" localSheetId="15">[24]Ф2!#REF!</definedName>
    <definedName name="П000040017004" localSheetId="13">[24]Ф2!#REF!</definedName>
    <definedName name="П000040017004">[24]Ф2!#REF!</definedName>
    <definedName name="П000040018003" localSheetId="8">[24]Ф2!#REF!</definedName>
    <definedName name="П000040018003" localSheetId="5">[24]Ф2!#REF!</definedName>
    <definedName name="П000040018003" localSheetId="7">[24]Ф2!#REF!</definedName>
    <definedName name="П000040018003" localSheetId="9">[24]Ф2!#REF!</definedName>
    <definedName name="П000040018003" localSheetId="14">[24]Ф2!#REF!</definedName>
    <definedName name="П000040018003" localSheetId="15">[24]Ф2!#REF!</definedName>
    <definedName name="П000040018003" localSheetId="13">[24]Ф2!#REF!</definedName>
    <definedName name="П000040018003">[24]Ф2!#REF!</definedName>
    <definedName name="П000040018004" localSheetId="8">[24]Ф2!#REF!</definedName>
    <definedName name="П000040018004" localSheetId="5">[24]Ф2!#REF!</definedName>
    <definedName name="П000040018004" localSheetId="7">[24]Ф2!#REF!</definedName>
    <definedName name="П000040018004" localSheetId="9">[24]Ф2!#REF!</definedName>
    <definedName name="П000040018004" localSheetId="14">[24]Ф2!#REF!</definedName>
    <definedName name="П000040018004" localSheetId="15">[24]Ф2!#REF!</definedName>
    <definedName name="П000040018004" localSheetId="13">[24]Ф2!#REF!</definedName>
    <definedName name="П000040018004">[24]Ф2!#REF!</definedName>
    <definedName name="П000040019003" localSheetId="8">[24]Ф2!#REF!</definedName>
    <definedName name="П000040019003" localSheetId="5">[24]Ф2!#REF!</definedName>
    <definedName name="П000040019003" localSheetId="7">[24]Ф2!#REF!</definedName>
    <definedName name="П000040019003" localSheetId="9">[24]Ф2!#REF!</definedName>
    <definedName name="П000040019003" localSheetId="14">[24]Ф2!#REF!</definedName>
    <definedName name="П000040019003" localSheetId="15">[24]Ф2!#REF!</definedName>
    <definedName name="П000040019003" localSheetId="13">[24]Ф2!#REF!</definedName>
    <definedName name="П000040019003">[24]Ф2!#REF!</definedName>
    <definedName name="П000040019004" localSheetId="8">[24]Ф2!#REF!</definedName>
    <definedName name="П000040019004" localSheetId="5">[24]Ф2!#REF!</definedName>
    <definedName name="П000040019004" localSheetId="7">[24]Ф2!#REF!</definedName>
    <definedName name="П000040019004" localSheetId="9">[24]Ф2!#REF!</definedName>
    <definedName name="П000040019004" localSheetId="14">[24]Ф2!#REF!</definedName>
    <definedName name="П000040019004" localSheetId="15">[24]Ф2!#REF!</definedName>
    <definedName name="П000040019004" localSheetId="13">[24]Ф2!#REF!</definedName>
    <definedName name="П000040019004">[24]Ф2!#REF!</definedName>
    <definedName name="Покупатель">'[25]Покупки-Продажи'!$T$8:$T$1294</definedName>
    <definedName name="Поставщик">'[25]Покупки-Продажи'!$O$8:$O$1294</definedName>
    <definedName name="Примечание" localSheetId="6">#REF!</definedName>
    <definedName name="Примечание">#REF!</definedName>
    <definedName name="С_26" localSheetId="12">#REF!</definedName>
    <definedName name="С_26">#REF!</definedName>
    <definedName name="СальдоВходящее">'[25]Расчеты с контрагентами'!$G$12:$G$472</definedName>
    <definedName name="СДП" localSheetId="5">#REF!</definedName>
    <definedName name="СДП">#REF!</definedName>
    <definedName name="СДП1" localSheetId="5">#REF!</definedName>
    <definedName name="СДП1">#REF!</definedName>
    <definedName name="СДП2" localSheetId="5">#REF!</definedName>
    <definedName name="СДП2">#REF!</definedName>
    <definedName name="СДП22" localSheetId="5">#REF!</definedName>
    <definedName name="СДП22">#REF!</definedName>
    <definedName name="СДП3" localSheetId="5">#REF!</definedName>
    <definedName name="СДП3">#REF!</definedName>
    <definedName name="СДП33" localSheetId="5">#REF!</definedName>
    <definedName name="СДП33">#REF!</definedName>
    <definedName name="СДП4" localSheetId="5">#REF!</definedName>
    <definedName name="СДП4">#REF!</definedName>
    <definedName name="СДП44" localSheetId="5">#REF!</definedName>
    <definedName name="СДП44">#REF!</definedName>
    <definedName name="СДП5" localSheetId="5">#REF!</definedName>
    <definedName name="СДП5">#REF!</definedName>
    <definedName name="СДП55" localSheetId="5">#REF!</definedName>
    <definedName name="СДП55">#REF!</definedName>
    <definedName name="СтавкаДисконта" localSheetId="1">Commodities_prices!$J$44</definedName>
    <definedName name="СтавкаДисконта" localSheetId="5">#REF!</definedName>
    <definedName name="СтавкаДисконта">#REF!</definedName>
    <definedName name="СтанДоп" localSheetId="6">#REF!</definedName>
    <definedName name="СтанДоп">#REF!</definedName>
    <definedName name="СтанДопПр" localSheetId="6">#REF!</definedName>
    <definedName name="СтанДопПр" localSheetId="8">#REF!</definedName>
    <definedName name="СтанДопПр" localSheetId="5">#REF!</definedName>
    <definedName name="СтанДопПр" localSheetId="7">#REF!</definedName>
    <definedName name="СтанДопПр" localSheetId="9">#REF!</definedName>
    <definedName name="СтанДопПр" localSheetId="14">#REF!</definedName>
    <definedName name="СтанДопПр" localSheetId="15">#REF!</definedName>
    <definedName name="СтанДопПр" localSheetId="13">#REF!</definedName>
    <definedName name="СтанДопПр">#REF!</definedName>
    <definedName name="СТанДопПр1" localSheetId="8">#REF!</definedName>
    <definedName name="СТанДопПр1" localSheetId="9">#REF!</definedName>
    <definedName name="СТанДопПр1">#REF!</definedName>
    <definedName name="СтанСнятие" localSheetId="6">#REF!</definedName>
    <definedName name="СтанСнятие">#REF!</definedName>
    <definedName name="Статья">'[25]Расчеты с контрагентами'!$C$12:$C$472</definedName>
    <definedName name="Сумма">[32]Загрузка!$S$12:$S$711</definedName>
    <definedName name="СуммаПлан">[32]Загрузка!$Q$12:$Q$711</definedName>
    <definedName name="СуммаПокупки">'[25]Покупки-Продажи'!$N$8:$N$1294</definedName>
    <definedName name="СуммаПродажи">'[25]Покупки-Продажи'!$S$8:$S$1294</definedName>
    <definedName name="Тоннаж">[32]Загрузка!$R$12:$R$711</definedName>
    <definedName name="ТоннажДопПр" localSheetId="6">#REF!</definedName>
    <definedName name="ТоннажДопПр" localSheetId="8">#REF!</definedName>
    <definedName name="ТоннажДопПр" localSheetId="5">#REF!</definedName>
    <definedName name="ТоннажДопПр" localSheetId="7">#REF!</definedName>
    <definedName name="ТоннажДопПр" localSheetId="9">#REF!</definedName>
    <definedName name="ТоннажДопПр" localSheetId="14">#REF!</definedName>
    <definedName name="ТоннажДопПр" localSheetId="15">#REF!</definedName>
    <definedName name="ТоннажДопПр" localSheetId="13">#REF!</definedName>
    <definedName name="ТоннажДопПр">#REF!</definedName>
    <definedName name="ТоннажПлан">[32]Загрузка!$I$12:$I$711</definedName>
    <definedName name="ТоннажПланДоп" localSheetId="6">#REF!</definedName>
    <definedName name="ТоннажПланДоп">#REF!</definedName>
    <definedName name="ТоннажСнятие" localSheetId="6">#REF!</definedName>
    <definedName name="ТоннажСнятие">#REF!</definedName>
    <definedName name="ТоннажФактДопПр" localSheetId="6">#REF!</definedName>
    <definedName name="ТоннажФактДопПр" localSheetId="8">#REF!</definedName>
    <definedName name="ТоннажФактДопПр" localSheetId="5">#REF!</definedName>
    <definedName name="ТоннажФактДопПр" localSheetId="7">#REF!</definedName>
    <definedName name="ТоннажФактДопПр" localSheetId="9">#REF!</definedName>
    <definedName name="ТоннажФактДопПр" localSheetId="14">#REF!</definedName>
    <definedName name="ТоннажФактДопПр" localSheetId="15">#REF!</definedName>
    <definedName name="ТоннажФактДопПр" localSheetId="13">#REF!</definedName>
    <definedName name="ТоннажФактДопПр">#REF!</definedName>
    <definedName name="фин.пл.3" localSheetId="6">#REF!</definedName>
    <definedName name="фин.пл.3" localSheetId="8">#REF!</definedName>
    <definedName name="фин.пл.3" localSheetId="5">#REF!</definedName>
    <definedName name="фин.пл.3" localSheetId="7">#REF!</definedName>
    <definedName name="фин.пл.3" localSheetId="9">#REF!</definedName>
    <definedName name="фин.пл.3" localSheetId="14">#REF!</definedName>
    <definedName name="фин.пл.3" localSheetId="15">#REF!</definedName>
    <definedName name="фин.пл.3" localSheetId="13">#REF!</definedName>
    <definedName name="фин.пл.3">#REF!</definedName>
    <definedName name="ЧистНастСтоим" localSheetId="1">Commodities_prices!#REF!</definedName>
    <definedName name="ЧистНастСтоим" localSheetId="8">#REF!</definedName>
    <definedName name="ЧистНастСтоим" localSheetId="5">#REF!</definedName>
    <definedName name="ЧистНастСтоим" localSheetId="7">#REF!</definedName>
    <definedName name="ЧистНастСтоим" localSheetId="9">#REF!</definedName>
    <definedName name="ЧистНастСтоим" localSheetId="14">#REF!</definedName>
    <definedName name="ЧистНастСтоим" localSheetId="12">[30]Analysis!#REF!</definedName>
    <definedName name="ЧистНастСтоим" localSheetId="15">#REF!</definedName>
    <definedName name="ЧистНастСтоим" localSheetId="13">#REF!</definedName>
    <definedName name="ЧистНастСтоим">#REF!</definedName>
    <definedName name="ЧистПотокДенСредств" localSheetId="1">Commodities_prices!#REF!</definedName>
    <definedName name="ЧистПотокДенСредств" localSheetId="8">#REF!</definedName>
    <definedName name="ЧистПотокДенСредств" localSheetId="5">#REF!</definedName>
    <definedName name="ЧистПотокДенСредств" localSheetId="7">#REF!</definedName>
    <definedName name="ЧистПотокДенСредств" localSheetId="9">#REF!</definedName>
    <definedName name="ЧистПотокДенСредств" localSheetId="14">#REF!</definedName>
    <definedName name="ЧистПотокДенСредств" localSheetId="12">[30]Analysis!#REF!</definedName>
    <definedName name="ЧистПотокДенСредств" localSheetId="15">#REF!</definedName>
    <definedName name="ЧистПотокДенСредств" localSheetId="13">#REF!</definedName>
    <definedName name="ЧистПотокДенСредств">#REF!</definedName>
  </definedNames>
  <calcPr calcId="145621"/>
</workbook>
</file>

<file path=xl/calcChain.xml><?xml version="1.0" encoding="utf-8"?>
<calcChain xmlns="http://schemas.openxmlformats.org/spreadsheetml/2006/main">
  <c r="K17" i="88" l="1"/>
  <c r="D357" i="88"/>
  <c r="H530" i="89" l="1"/>
  <c r="H434" i="89"/>
  <c r="H338" i="89"/>
  <c r="H240" i="89"/>
  <c r="N149" i="70"/>
  <c r="O149" i="70"/>
  <c r="P149" i="70"/>
  <c r="M149" i="70"/>
  <c r="N147" i="70"/>
  <c r="O147" i="70"/>
  <c r="P147" i="70"/>
  <c r="M147" i="70"/>
  <c r="N145" i="70"/>
  <c r="O145" i="70"/>
  <c r="P145" i="70"/>
  <c r="M145" i="70"/>
  <c r="N143" i="70"/>
  <c r="O143" i="70"/>
  <c r="P143" i="70"/>
  <c r="M143" i="70"/>
  <c r="Q135" i="70"/>
  <c r="R135" i="70"/>
  <c r="S135" i="70"/>
  <c r="T135" i="70"/>
  <c r="U135" i="70"/>
  <c r="V135" i="70"/>
  <c r="P135" i="70"/>
  <c r="Q134" i="70"/>
  <c r="R134" i="70"/>
  <c r="S134" i="70"/>
  <c r="T134" i="70"/>
  <c r="U134" i="70"/>
  <c r="V134" i="70"/>
  <c r="P134" i="70"/>
  <c r="M20" i="4"/>
  <c r="N20" i="4"/>
  <c r="O20" i="4"/>
  <c r="P20" i="4"/>
  <c r="Q20" i="4"/>
  <c r="R20" i="4"/>
  <c r="L20" i="4"/>
  <c r="I19" i="4"/>
  <c r="J19" i="4"/>
  <c r="K19" i="4"/>
  <c r="L19" i="4"/>
  <c r="M19" i="4"/>
  <c r="N19" i="4"/>
  <c r="O19" i="4"/>
  <c r="P19" i="4"/>
  <c r="Q19" i="4"/>
  <c r="R19" i="4"/>
  <c r="H19" i="4"/>
  <c r="N144" i="57"/>
  <c r="O144" i="57"/>
  <c r="P124" i="70"/>
  <c r="P17" i="47" s="1"/>
  <c r="O124" i="70"/>
  <c r="O17" i="47" s="1"/>
  <c r="N124" i="70"/>
  <c r="M124" i="70"/>
  <c r="P806" i="90" l="1"/>
  <c r="R182" i="47" l="1"/>
  <c r="R180" i="47"/>
  <c r="R176" i="47"/>
  <c r="R185" i="47" l="1"/>
  <c r="R197" i="47" l="1"/>
  <c r="R191" i="47"/>
  <c r="R192" i="47"/>
  <c r="R193" i="47"/>
  <c r="R195" i="47" s="1"/>
  <c r="R91" i="47"/>
  <c r="R188" i="47"/>
  <c r="R178" i="47" l="1"/>
  <c r="R163" i="47"/>
  <c r="R115" i="47" l="1"/>
  <c r="R166" i="47"/>
  <c r="R158" i="47"/>
  <c r="R154" i="47"/>
  <c r="S154" i="47" s="1"/>
  <c r="R152" i="47"/>
  <c r="S152" i="47" s="1"/>
  <c r="R74" i="47"/>
  <c r="R87" i="47" s="1"/>
  <c r="R73" i="47"/>
  <c r="R85" i="47" s="1"/>
  <c r="R232" i="56"/>
  <c r="S232" i="56" s="1"/>
  <c r="R231" i="56"/>
  <c r="R230" i="56"/>
  <c r="R229" i="56"/>
  <c r="R228" i="56"/>
  <c r="R17" i="56"/>
  <c r="Q46" i="57"/>
  <c r="P132" i="57"/>
  <c r="AA124" i="57"/>
  <c r="B9" i="95"/>
  <c r="B10" i="95" s="1"/>
  <c r="B11" i="95" s="1"/>
  <c r="A9" i="95"/>
  <c r="A10" i="95" s="1"/>
  <c r="A11" i="95" s="1"/>
  <c r="A12" i="95" s="1"/>
  <c r="A13" i="95" s="1"/>
  <c r="A14" i="95" s="1"/>
  <c r="A15" i="95" s="1"/>
  <c r="A16" i="95" s="1"/>
  <c r="A17" i="95" s="1"/>
  <c r="A18" i="95" s="1"/>
  <c r="A19" i="95" s="1"/>
  <c r="A20" i="95" s="1"/>
  <c r="F10" i="95"/>
  <c r="F11" i="95"/>
  <c r="F12" i="95" s="1"/>
  <c r="F13" i="95" s="1"/>
  <c r="F14" i="95" s="1"/>
  <c r="F15" i="95" s="1"/>
  <c r="F16" i="95" s="1"/>
  <c r="F17" i="95" s="1"/>
  <c r="F18" i="95" s="1"/>
  <c r="F19" i="95" s="1"/>
  <c r="F20" i="95" s="1"/>
  <c r="G10" i="95"/>
  <c r="G11" i="95" s="1"/>
  <c r="G12" i="95" s="1"/>
  <c r="G13" i="95" s="1"/>
  <c r="G14" i="95" s="1"/>
  <c r="G15" i="95" s="1"/>
  <c r="G16" i="95" s="1"/>
  <c r="G17" i="95" s="1"/>
  <c r="G18" i="95" s="1"/>
  <c r="G19" i="95" s="1"/>
  <c r="G20" i="95" s="1"/>
  <c r="C8" i="95"/>
  <c r="C17" i="95" s="1"/>
  <c r="L236" i="89"/>
  <c r="L331" i="89"/>
  <c r="L334" i="89" s="1"/>
  <c r="K331" i="89"/>
  <c r="U144" i="57"/>
  <c r="AA163" i="57"/>
  <c r="T18" i="90"/>
  <c r="T303" i="90" s="1"/>
  <c r="U303" i="90" s="1"/>
  <c r="K300" i="89"/>
  <c r="L300" i="89" s="1"/>
  <c r="L397" i="89" s="1"/>
  <c r="L493" i="89" s="1"/>
  <c r="K203" i="89"/>
  <c r="L203" i="89" s="1"/>
  <c r="K105" i="89"/>
  <c r="L105" i="89" s="1"/>
  <c r="R518" i="47"/>
  <c r="R521" i="47" s="1"/>
  <c r="R381" i="47" s="1"/>
  <c r="S45" i="57"/>
  <c r="S88" i="57" s="1"/>
  <c r="S19" i="72"/>
  <c r="T45" i="57" s="1"/>
  <c r="T88" i="57" s="1"/>
  <c r="U19" i="72"/>
  <c r="U107" i="57"/>
  <c r="AA107" i="57" s="1"/>
  <c r="U155" i="57"/>
  <c r="U141" i="57"/>
  <c r="S123" i="47"/>
  <c r="S115" i="47" s="1"/>
  <c r="T175" i="57"/>
  <c r="T141" i="57"/>
  <c r="S141" i="57"/>
  <c r="S175" i="57"/>
  <c r="T146" i="57"/>
  <c r="S16" i="56" s="1"/>
  <c r="S22" i="56" s="1"/>
  <c r="S25" i="56" s="1"/>
  <c r="T147" i="57"/>
  <c r="T148" i="57"/>
  <c r="T149" i="57"/>
  <c r="T150" i="57"/>
  <c r="S147" i="57"/>
  <c r="S148" i="57"/>
  <c r="S149" i="57"/>
  <c r="S150" i="57"/>
  <c r="S158" i="57"/>
  <c r="T61" i="57"/>
  <c r="S61" i="57"/>
  <c r="T166" i="57"/>
  <c r="T155" i="57"/>
  <c r="S155" i="57"/>
  <c r="T116" i="57"/>
  <c r="T117" i="57" s="1"/>
  <c r="S526" i="90"/>
  <c r="S530" i="90" s="1"/>
  <c r="S532" i="90" s="1"/>
  <c r="S534" i="90" s="1"/>
  <c r="T633" i="90"/>
  <c r="S83" i="57"/>
  <c r="S166" i="57" s="1"/>
  <c r="T108" i="57"/>
  <c r="S108" i="57"/>
  <c r="S171" i="57" s="1"/>
  <c r="S112" i="57"/>
  <c r="Q85" i="57"/>
  <c r="P85" i="57"/>
  <c r="P168" i="57" s="1"/>
  <c r="P86" i="57"/>
  <c r="S87" i="57"/>
  <c r="S69" i="57"/>
  <c r="S68" i="57"/>
  <c r="S74" i="56"/>
  <c r="R74" i="56"/>
  <c r="S63" i="56"/>
  <c r="R63" i="56"/>
  <c r="S40" i="56"/>
  <c r="S41" i="56" s="1"/>
  <c r="R32" i="56"/>
  <c r="S32" i="56"/>
  <c r="R451" i="47"/>
  <c r="S14" i="92"/>
  <c r="T128" i="90"/>
  <c r="U128" i="90" s="1"/>
  <c r="V150" i="57"/>
  <c r="V24" i="64" s="1"/>
  <c r="V147" i="57"/>
  <c r="V13" i="64" s="1"/>
  <c r="V148" i="57"/>
  <c r="R131" i="70" s="1"/>
  <c r="V21" i="64" s="1"/>
  <c r="V149" i="57"/>
  <c r="U18" i="56" s="1"/>
  <c r="V146" i="57"/>
  <c r="W146" i="57" s="1"/>
  <c r="P107" i="57"/>
  <c r="P175" i="57" s="1"/>
  <c r="R633" i="90"/>
  <c r="R526" i="90" s="1"/>
  <c r="R530" i="90" s="1"/>
  <c r="U81" i="57"/>
  <c r="T81" i="57" s="1"/>
  <c r="R236" i="92"/>
  <c r="S16" i="92"/>
  <c r="T16" i="92" s="1"/>
  <c r="S17" i="92"/>
  <c r="T17" i="92" s="1"/>
  <c r="S21" i="92"/>
  <c r="S22" i="92"/>
  <c r="T22" i="92" s="1"/>
  <c r="S23" i="92"/>
  <c r="T23" i="92" s="1"/>
  <c r="S24" i="92"/>
  <c r="T24" i="92" s="1"/>
  <c r="S27" i="92"/>
  <c r="T27" i="92" s="1"/>
  <c r="S28" i="92"/>
  <c r="T28" i="92" s="1"/>
  <c r="S29" i="92"/>
  <c r="S30" i="92"/>
  <c r="T30" i="92" s="1"/>
  <c r="S31" i="92"/>
  <c r="S32" i="92"/>
  <c r="T32" i="92" s="1"/>
  <c r="S33" i="92"/>
  <c r="T33" i="92" s="1"/>
  <c r="S34" i="92"/>
  <c r="T34" i="92" s="1"/>
  <c r="S39" i="92"/>
  <c r="T39" i="92" s="1"/>
  <c r="S40" i="92"/>
  <c r="S41" i="92"/>
  <c r="S42" i="92"/>
  <c r="T42" i="92" s="1"/>
  <c r="S43" i="92"/>
  <c r="S44" i="92"/>
  <c r="T44" i="92" s="1"/>
  <c r="S47" i="92"/>
  <c r="T47" i="92" s="1"/>
  <c r="S48" i="92"/>
  <c r="T48" i="92" s="1"/>
  <c r="S49" i="92"/>
  <c r="T49" i="92" s="1"/>
  <c r="S50" i="92"/>
  <c r="T50" i="92" s="1"/>
  <c r="S51" i="92"/>
  <c r="T51" i="92" s="1"/>
  <c r="S54" i="92"/>
  <c r="T54" i="92" s="1"/>
  <c r="S58" i="92"/>
  <c r="T58" i="92" s="1"/>
  <c r="S59" i="92"/>
  <c r="T59" i="92" s="1"/>
  <c r="S60" i="92"/>
  <c r="T60" i="92" s="1"/>
  <c r="S62" i="92"/>
  <c r="T62" i="92" s="1"/>
  <c r="S64" i="92"/>
  <c r="T64" i="92" s="1"/>
  <c r="S65" i="92"/>
  <c r="T65" i="92" s="1"/>
  <c r="S66" i="92"/>
  <c r="T66" i="92" s="1"/>
  <c r="S67" i="92"/>
  <c r="T67" i="92" s="1"/>
  <c r="S68" i="92"/>
  <c r="T68" i="92" s="1"/>
  <c r="S69" i="92"/>
  <c r="T69" i="92" s="1"/>
  <c r="S70" i="92"/>
  <c r="T70" i="92" s="1"/>
  <c r="S71" i="92"/>
  <c r="T71" i="92" s="1"/>
  <c r="S72" i="92"/>
  <c r="S73" i="92"/>
  <c r="S74" i="92"/>
  <c r="S75" i="92"/>
  <c r="T75" i="92" s="1"/>
  <c r="S76" i="92"/>
  <c r="T76" i="92" s="1"/>
  <c r="S77" i="92"/>
  <c r="T77" i="92" s="1"/>
  <c r="S78" i="92"/>
  <c r="T78" i="92" s="1"/>
  <c r="S81" i="92"/>
  <c r="T81" i="92" s="1"/>
  <c r="S82" i="92"/>
  <c r="T82" i="92" s="1"/>
  <c r="S93" i="92"/>
  <c r="T93" i="92" s="1"/>
  <c r="S94" i="92"/>
  <c r="T94" i="92" s="1"/>
  <c r="S97" i="92"/>
  <c r="T97" i="92" s="1"/>
  <c r="S98" i="92"/>
  <c r="T98" i="92" s="1"/>
  <c r="S106" i="92"/>
  <c r="T106" i="92" s="1"/>
  <c r="S110" i="92"/>
  <c r="T110" i="92" s="1"/>
  <c r="S113" i="92"/>
  <c r="T113" i="92" s="1"/>
  <c r="S114" i="92"/>
  <c r="T114" i="92" s="1"/>
  <c r="S116" i="92"/>
  <c r="S120" i="92"/>
  <c r="S122" i="92"/>
  <c r="T122" i="92" s="1"/>
  <c r="S130" i="92"/>
  <c r="T130" i="92" s="1"/>
  <c r="S132" i="92"/>
  <c r="T132" i="92" s="1"/>
  <c r="S134" i="92"/>
  <c r="T134" i="92" s="1"/>
  <c r="S137" i="92"/>
  <c r="T137" i="92" s="1"/>
  <c r="S139" i="92"/>
  <c r="S141" i="92"/>
  <c r="S153" i="92"/>
  <c r="S154" i="92"/>
  <c r="T154" i="92" s="1"/>
  <c r="S155" i="92"/>
  <c r="S158" i="92"/>
  <c r="T158" i="92" s="1"/>
  <c r="S160" i="92"/>
  <c r="T160" i="92" s="1"/>
  <c r="S164" i="92"/>
  <c r="T164" i="92" s="1"/>
  <c r="S165" i="92"/>
  <c r="T165" i="92" s="1"/>
  <c r="S166" i="92"/>
  <c r="T166" i="92" s="1"/>
  <c r="S167" i="92"/>
  <c r="T167" i="92" s="1"/>
  <c r="S168" i="92"/>
  <c r="T168" i="92" s="1"/>
  <c r="S169" i="92"/>
  <c r="T169" i="92" s="1"/>
  <c r="S170" i="92"/>
  <c r="T170" i="92" s="1"/>
  <c r="S173" i="92"/>
  <c r="T173" i="92" s="1"/>
  <c r="S174" i="92"/>
  <c r="T174" i="92" s="1"/>
  <c r="S175" i="92"/>
  <c r="T175" i="92" s="1"/>
  <c r="S176" i="92"/>
  <c r="T176" i="92" s="1"/>
  <c r="S177" i="92"/>
  <c r="T177" i="92" s="1"/>
  <c r="S178" i="92"/>
  <c r="T178" i="92" s="1"/>
  <c r="S179" i="92"/>
  <c r="T179" i="92" s="1"/>
  <c r="S180" i="92"/>
  <c r="T180" i="92" s="1"/>
  <c r="S183" i="92"/>
  <c r="T183" i="92" s="1"/>
  <c r="S184" i="92"/>
  <c r="T184" i="92" s="1"/>
  <c r="S185" i="92"/>
  <c r="T185" i="92" s="1"/>
  <c r="S194" i="92"/>
  <c r="T194" i="92" s="1"/>
  <c r="S199" i="92"/>
  <c r="T199" i="92" s="1"/>
  <c r="S201" i="92"/>
  <c r="S202" i="92"/>
  <c r="S208" i="92"/>
  <c r="T208" i="92" s="1"/>
  <c r="S212" i="92"/>
  <c r="T212" i="92" s="1"/>
  <c r="S214" i="92"/>
  <c r="T214" i="92" s="1"/>
  <c r="S216" i="92"/>
  <c r="T216" i="92" s="1"/>
  <c r="S218" i="92"/>
  <c r="T218" i="92" s="1"/>
  <c r="S220" i="92"/>
  <c r="T220" i="92" s="1"/>
  <c r="S223" i="92"/>
  <c r="T223" i="92" s="1"/>
  <c r="S224" i="92"/>
  <c r="T224" i="92" s="1"/>
  <c r="S225" i="92"/>
  <c r="S226" i="92"/>
  <c r="T226" i="92" s="1"/>
  <c r="S227" i="92"/>
  <c r="T227" i="92" s="1"/>
  <c r="S228" i="92"/>
  <c r="T228" i="92" s="1"/>
  <c r="S229" i="92"/>
  <c r="T229" i="92" s="1"/>
  <c r="S230" i="92"/>
  <c r="S233" i="92"/>
  <c r="T233" i="92" s="1"/>
  <c r="S234" i="92"/>
  <c r="T234" i="92" s="1"/>
  <c r="S235" i="92"/>
  <c r="T235" i="92" s="1"/>
  <c r="S246" i="92"/>
  <c r="T246" i="92" s="1"/>
  <c r="S247" i="92"/>
  <c r="T247" i="92" s="1"/>
  <c r="S253" i="92"/>
  <c r="T253" i="92" s="1"/>
  <c r="S255" i="92"/>
  <c r="T255" i="92" s="1"/>
  <c r="S257" i="92"/>
  <c r="T257" i="92" s="1"/>
  <c r="S258" i="92"/>
  <c r="T258" i="92" s="1"/>
  <c r="S263" i="92"/>
  <c r="T263" i="92" s="1"/>
  <c r="S264" i="92"/>
  <c r="T264" i="92" s="1"/>
  <c r="S266" i="92"/>
  <c r="T266" i="92" s="1"/>
  <c r="S268" i="92"/>
  <c r="T268" i="92" s="1"/>
  <c r="S269" i="92"/>
  <c r="T269" i="92" s="1"/>
  <c r="S271" i="92"/>
  <c r="T271" i="92" s="1"/>
  <c r="S272" i="92"/>
  <c r="T272" i="92" s="1"/>
  <c r="S273" i="92"/>
  <c r="S274" i="92"/>
  <c r="T274" i="92" s="1"/>
  <c r="S275" i="92"/>
  <c r="S276" i="92"/>
  <c r="S277" i="92"/>
  <c r="S278" i="92"/>
  <c r="S279" i="92"/>
  <c r="S280" i="92"/>
  <c r="S283" i="92"/>
  <c r="T283" i="92" s="1"/>
  <c r="S284" i="92"/>
  <c r="T284" i="92" s="1"/>
  <c r="S287" i="92"/>
  <c r="T287" i="92" s="1"/>
  <c r="S288" i="92"/>
  <c r="T288" i="92" s="1"/>
  <c r="S289" i="92"/>
  <c r="T289" i="92" s="1"/>
  <c r="S290" i="92"/>
  <c r="T290" i="92" s="1"/>
  <c r="S291" i="92"/>
  <c r="T291" i="92" s="1"/>
  <c r="S292" i="92"/>
  <c r="T292" i="92" s="1"/>
  <c r="S296" i="92"/>
  <c r="T296" i="92" s="1"/>
  <c r="S297" i="92"/>
  <c r="T297" i="92" s="1"/>
  <c r="S298" i="92"/>
  <c r="T298" i="92" s="1"/>
  <c r="S301" i="92"/>
  <c r="S303" i="92"/>
  <c r="S305" i="92"/>
  <c r="S306" i="92"/>
  <c r="T306" i="92" s="1"/>
  <c r="S312" i="92"/>
  <c r="T312" i="92" s="1"/>
  <c r="S313" i="92"/>
  <c r="T313" i="92" s="1"/>
  <c r="S323" i="92"/>
  <c r="T323" i="92" s="1"/>
  <c r="S324" i="92"/>
  <c r="T324" i="92" s="1"/>
  <c r="S325" i="92"/>
  <c r="T325" i="92" s="1"/>
  <c r="S326" i="92"/>
  <c r="T326" i="92" s="1"/>
  <c r="S327" i="92"/>
  <c r="S328" i="92"/>
  <c r="T328" i="92" s="1"/>
  <c r="S329" i="92"/>
  <c r="T329" i="92" s="1"/>
  <c r="S332" i="92"/>
  <c r="T332" i="92" s="1"/>
  <c r="S333" i="92"/>
  <c r="T333" i="92" s="1"/>
  <c r="S335" i="92"/>
  <c r="T335" i="92" s="1"/>
  <c r="T248" i="92" s="1"/>
  <c r="U87" i="57" s="1"/>
  <c r="S336" i="92"/>
  <c r="T336" i="92" s="1"/>
  <c r="S337" i="92"/>
  <c r="T337" i="92" s="1"/>
  <c r="S340" i="92"/>
  <c r="S342" i="92"/>
  <c r="T342" i="92" s="1"/>
  <c r="S344" i="92"/>
  <c r="T344" i="92" s="1"/>
  <c r="S346" i="92"/>
  <c r="T346" i="92" s="1"/>
  <c r="S349" i="92"/>
  <c r="T349" i="92" s="1"/>
  <c r="S350" i="92"/>
  <c r="T350" i="92" s="1"/>
  <c r="S351" i="92"/>
  <c r="S352" i="92"/>
  <c r="T352" i="92" s="1"/>
  <c r="S353" i="92"/>
  <c r="T353" i="92" s="1"/>
  <c r="S354" i="92"/>
  <c r="T354" i="92" s="1"/>
  <c r="S355" i="92"/>
  <c r="T355" i="92" s="1"/>
  <c r="S356" i="92"/>
  <c r="T356" i="92" s="1"/>
  <c r="S357" i="92"/>
  <c r="T357" i="92" s="1"/>
  <c r="S359" i="92"/>
  <c r="T359" i="92" s="1"/>
  <c r="S360" i="92"/>
  <c r="S361" i="92"/>
  <c r="S362" i="92"/>
  <c r="T362" i="92" s="1"/>
  <c r="S363" i="92"/>
  <c r="T363" i="92" s="1"/>
  <c r="S364" i="92"/>
  <c r="T364" i="92" s="1"/>
  <c r="S365" i="92"/>
  <c r="T365" i="92" s="1"/>
  <c r="S366" i="92"/>
  <c r="T366" i="92" s="1"/>
  <c r="S367" i="92"/>
  <c r="S368" i="92"/>
  <c r="T368" i="92" s="1"/>
  <c r="S369" i="92"/>
  <c r="T369" i="92" s="1"/>
  <c r="S370" i="92"/>
  <c r="T370" i="92" s="1"/>
  <c r="S371" i="92"/>
  <c r="T371" i="92" s="1"/>
  <c r="S374" i="92"/>
  <c r="T374" i="92" s="1"/>
  <c r="S375" i="92"/>
  <c r="T375" i="92" s="1"/>
  <c r="S376" i="92"/>
  <c r="T376" i="92" s="1"/>
  <c r="S377" i="92"/>
  <c r="T377" i="92" s="1"/>
  <c r="S378" i="92"/>
  <c r="S379" i="92"/>
  <c r="T379" i="92" s="1"/>
  <c r="S380" i="92"/>
  <c r="T380" i="92" s="1"/>
  <c r="S383" i="92"/>
  <c r="T383" i="92" s="1"/>
  <c r="S384" i="92"/>
  <c r="T384" i="92" s="1"/>
  <c r="S387" i="92"/>
  <c r="T387" i="92" s="1"/>
  <c r="S388" i="92"/>
  <c r="S389" i="92"/>
  <c r="S391" i="92"/>
  <c r="S392" i="92"/>
  <c r="T392" i="92" s="1"/>
  <c r="S394" i="92"/>
  <c r="T394" i="92" s="1"/>
  <c r="S395" i="92"/>
  <c r="T395" i="92" s="1"/>
  <c r="S396" i="92"/>
  <c r="T396" i="92" s="1"/>
  <c r="S397" i="92"/>
  <c r="T397" i="92" s="1"/>
  <c r="S398" i="92"/>
  <c r="T398" i="92" s="1"/>
  <c r="S399" i="92"/>
  <c r="S400" i="92"/>
  <c r="T400" i="92" s="1"/>
  <c r="S401" i="92"/>
  <c r="T401" i="92" s="1"/>
  <c r="S402" i="92"/>
  <c r="T402" i="92" s="1"/>
  <c r="S403" i="92"/>
  <c r="T403" i="92" s="1"/>
  <c r="S406" i="92"/>
  <c r="T406" i="92" s="1"/>
  <c r="S407" i="92"/>
  <c r="T407" i="92" s="1"/>
  <c r="S415" i="92"/>
  <c r="T415" i="92" s="1"/>
  <c r="S416" i="92"/>
  <c r="T416" i="92" s="1"/>
  <c r="S421" i="92"/>
  <c r="T421" i="92" s="1"/>
  <c r="S422" i="92"/>
  <c r="T422" i="92" s="1"/>
  <c r="S424" i="92"/>
  <c r="T424" i="92" s="1"/>
  <c r="S425" i="92"/>
  <c r="T425" i="92" s="1"/>
  <c r="S427" i="92"/>
  <c r="T427" i="92" s="1"/>
  <c r="S429" i="92"/>
  <c r="T429" i="92" s="1"/>
  <c r="S430" i="92"/>
  <c r="T430" i="92" s="1"/>
  <c r="S434" i="92"/>
  <c r="T434" i="92" s="1"/>
  <c r="S436" i="92"/>
  <c r="T436" i="92" s="1"/>
  <c r="S439" i="92"/>
  <c r="T439" i="92" s="1"/>
  <c r="S440" i="92"/>
  <c r="T440" i="92" s="1"/>
  <c r="S441" i="92"/>
  <c r="T441" i="92" s="1"/>
  <c r="S442" i="92"/>
  <c r="T442" i="92" s="1"/>
  <c r="S443" i="92"/>
  <c r="T443" i="92" s="1"/>
  <c r="S444" i="92"/>
  <c r="T444" i="92" s="1"/>
  <c r="S445" i="92"/>
  <c r="S446" i="92"/>
  <c r="T446" i="92" s="1"/>
  <c r="S449" i="92"/>
  <c r="T449" i="92" s="1"/>
  <c r="S450" i="92"/>
  <c r="T450" i="92" s="1"/>
  <c r="S451" i="92"/>
  <c r="T451" i="92" s="1"/>
  <c r="S457" i="92"/>
  <c r="T457" i="92" s="1"/>
  <c r="S458" i="92"/>
  <c r="T458" i="92" s="1"/>
  <c r="S460" i="92"/>
  <c r="T460" i="92" s="1"/>
  <c r="S461" i="92"/>
  <c r="T461" i="92" s="1"/>
  <c r="S462" i="92"/>
  <c r="T462" i="92" s="1"/>
  <c r="S464" i="92"/>
  <c r="T464" i="92" s="1"/>
  <c r="S465" i="92"/>
  <c r="T465" i="92" s="1"/>
  <c r="S471" i="92"/>
  <c r="T471" i="92" s="1"/>
  <c r="S473" i="92"/>
  <c r="T473" i="92" s="1"/>
  <c r="S475" i="92"/>
  <c r="T475" i="92" s="1"/>
  <c r="T14" i="92"/>
  <c r="T15" i="92"/>
  <c r="S15" i="92" s="1"/>
  <c r="T21" i="92"/>
  <c r="T29" i="92"/>
  <c r="T31" i="92"/>
  <c r="T40" i="92"/>
  <c r="T41" i="92"/>
  <c r="T43" i="92"/>
  <c r="T72" i="92"/>
  <c r="T73" i="92"/>
  <c r="T74" i="92"/>
  <c r="T116" i="92"/>
  <c r="T120" i="92"/>
  <c r="T139" i="92"/>
  <c r="T141" i="92"/>
  <c r="T153" i="92"/>
  <c r="T155" i="92"/>
  <c r="T201" i="92"/>
  <c r="T202" i="92"/>
  <c r="T225" i="92"/>
  <c r="T230" i="92"/>
  <c r="T273" i="92"/>
  <c r="T275" i="92"/>
  <c r="T276" i="92"/>
  <c r="T277" i="92"/>
  <c r="T278" i="92"/>
  <c r="T279" i="92"/>
  <c r="T280" i="92"/>
  <c r="T301" i="92"/>
  <c r="T303" i="92"/>
  <c r="T305" i="92"/>
  <c r="T327" i="92"/>
  <c r="T340" i="92"/>
  <c r="T351" i="92"/>
  <c r="T360" i="92"/>
  <c r="T361" i="92"/>
  <c r="T367" i="92"/>
  <c r="T378" i="92"/>
  <c r="T388" i="92"/>
  <c r="T389" i="92"/>
  <c r="T391" i="92"/>
  <c r="T399" i="92"/>
  <c r="T445" i="92"/>
  <c r="R11" i="92"/>
  <c r="K687" i="80"/>
  <c r="L687" i="80" s="1"/>
  <c r="M687" i="80" s="1"/>
  <c r="N687" i="80" s="1"/>
  <c r="O687" i="80" s="1"/>
  <c r="P687" i="80" s="1"/>
  <c r="Q687" i="80" s="1"/>
  <c r="R687" i="80" s="1"/>
  <c r="S687" i="80" s="1"/>
  <c r="P686" i="80"/>
  <c r="O682" i="80"/>
  <c r="P682" i="80" s="1"/>
  <c r="Q682" i="80" s="1"/>
  <c r="R682" i="80" s="1"/>
  <c r="S682" i="80" s="1"/>
  <c r="L682" i="80"/>
  <c r="K682" i="80"/>
  <c r="P679" i="80"/>
  <c r="P678" i="80"/>
  <c r="P676" i="80"/>
  <c r="K671" i="80"/>
  <c r="M669" i="80"/>
  <c r="K669" i="80"/>
  <c r="L669" i="80" s="1"/>
  <c r="N668" i="80"/>
  <c r="K668" i="80"/>
  <c r="L668" i="80" s="1"/>
  <c r="K667" i="80"/>
  <c r="L667" i="80" s="1"/>
  <c r="M667" i="80" s="1"/>
  <c r="N667" i="80" s="1"/>
  <c r="O667" i="80" s="1"/>
  <c r="K663" i="80"/>
  <c r="K679" i="80" s="1"/>
  <c r="K661" i="80"/>
  <c r="K660" i="80"/>
  <c r="K659" i="80"/>
  <c r="S641" i="80"/>
  <c r="R641" i="80"/>
  <c r="Q641" i="80"/>
  <c r="P641" i="80"/>
  <c r="J641" i="80"/>
  <c r="J644" i="80" s="1"/>
  <c r="K664" i="80" s="1"/>
  <c r="K686" i="80" s="1"/>
  <c r="K688" i="80" s="1"/>
  <c r="I641" i="80"/>
  <c r="I644" i="80" s="1"/>
  <c r="J664" i="80" s="1"/>
  <c r="H641" i="80"/>
  <c r="H644" i="80" s="1"/>
  <c r="I664" i="80" s="1"/>
  <c r="P639" i="80"/>
  <c r="P390" i="80" s="1"/>
  <c r="Q637" i="80" s="1"/>
  <c r="Q639" i="80" s="1"/>
  <c r="M390" i="80"/>
  <c r="N637" i="80" s="1"/>
  <c r="L663" i="80"/>
  <c r="L679" i="80" s="1"/>
  <c r="K638" i="80"/>
  <c r="K440" i="80" s="1"/>
  <c r="K637" i="80"/>
  <c r="P632" i="80"/>
  <c r="P439" i="80" s="1"/>
  <c r="K632" i="80"/>
  <c r="K439" i="80" s="1"/>
  <c r="J632" i="80"/>
  <c r="J439" i="80" s="1"/>
  <c r="I632" i="80"/>
  <c r="H632" i="80"/>
  <c r="M629" i="80"/>
  <c r="L629" i="80"/>
  <c r="L632" i="80" s="1"/>
  <c r="L439" i="80" s="1"/>
  <c r="Q628" i="80"/>
  <c r="R628" i="80" s="1"/>
  <c r="L628" i="80"/>
  <c r="L621" i="80" s="1"/>
  <c r="Q624" i="80"/>
  <c r="R624" i="80" s="1"/>
  <c r="M624" i="80"/>
  <c r="L623" i="80"/>
  <c r="L661" i="80" s="1"/>
  <c r="Q622" i="80"/>
  <c r="Q660" i="80" s="1"/>
  <c r="Q676" i="80" s="1"/>
  <c r="P616" i="80"/>
  <c r="S615" i="80"/>
  <c r="R615" i="80"/>
  <c r="Q615" i="80"/>
  <c r="P615" i="80"/>
  <c r="O615" i="80"/>
  <c r="N615" i="80"/>
  <c r="M615" i="80"/>
  <c r="S613" i="80"/>
  <c r="R613" i="80"/>
  <c r="Q613" i="80"/>
  <c r="P613" i="80"/>
  <c r="O613" i="80"/>
  <c r="N613" i="80"/>
  <c r="M613" i="80"/>
  <c r="L613" i="80"/>
  <c r="K613" i="80"/>
  <c r="L598" i="80"/>
  <c r="M598" i="80" s="1"/>
  <c r="S593" i="80"/>
  <c r="R593" i="80"/>
  <c r="Q593" i="80"/>
  <c r="P593" i="80"/>
  <c r="O593" i="80"/>
  <c r="N593" i="80"/>
  <c r="M593" i="80"/>
  <c r="L593" i="80"/>
  <c r="S592" i="80"/>
  <c r="S594" i="80" s="1"/>
  <c r="R592" i="80"/>
  <c r="R594" i="80" s="1"/>
  <c r="Q592" i="80"/>
  <c r="Q594" i="80" s="1"/>
  <c r="P592" i="80"/>
  <c r="O592" i="80"/>
  <c r="O594" i="80" s="1"/>
  <c r="O596" i="80" s="1"/>
  <c r="N592" i="80"/>
  <c r="M592" i="80"/>
  <c r="L592" i="80"/>
  <c r="L591" i="80"/>
  <c r="S588" i="80"/>
  <c r="S444" i="80" s="1"/>
  <c r="R588" i="80"/>
  <c r="R444" i="80" s="1"/>
  <c r="Q588" i="80"/>
  <c r="Q568" i="80" s="1"/>
  <c r="P588" i="80"/>
  <c r="P568" i="80" s="1"/>
  <c r="O588" i="80"/>
  <c r="O568" i="80" s="1"/>
  <c r="N588" i="80"/>
  <c r="N568" i="80" s="1"/>
  <c r="M588" i="80"/>
  <c r="M444" i="80" s="1"/>
  <c r="L588" i="80"/>
  <c r="L568" i="80" s="1"/>
  <c r="S583" i="80"/>
  <c r="R583" i="80"/>
  <c r="Q583" i="80"/>
  <c r="P583" i="80"/>
  <c r="O583" i="80"/>
  <c r="L580" i="80"/>
  <c r="M580" i="80" s="1"/>
  <c r="N580" i="80" s="1"/>
  <c r="O580" i="80" s="1"/>
  <c r="L573" i="80"/>
  <c r="L576" i="80" s="1"/>
  <c r="M573" i="80" s="1"/>
  <c r="M576" i="80" s="1"/>
  <c r="N573" i="80" s="1"/>
  <c r="N576" i="80" s="1"/>
  <c r="O573" i="80" s="1"/>
  <c r="O576" i="80" s="1"/>
  <c r="P573" i="80" s="1"/>
  <c r="P576" i="80" s="1"/>
  <c r="Q573" i="80" s="1"/>
  <c r="Q576" i="80" s="1"/>
  <c r="R573" i="80" s="1"/>
  <c r="R576" i="80" s="1"/>
  <c r="S573" i="80" s="1"/>
  <c r="S576" i="80" s="1"/>
  <c r="I570" i="80"/>
  <c r="I396" i="80" s="1"/>
  <c r="K568" i="80"/>
  <c r="N567" i="80"/>
  <c r="L567" i="80"/>
  <c r="K567" i="80"/>
  <c r="K566" i="80"/>
  <c r="S565" i="80"/>
  <c r="S614" i="80" s="1"/>
  <c r="R565" i="80"/>
  <c r="R614" i="80" s="1"/>
  <c r="Q565" i="80"/>
  <c r="Q614" i="80" s="1"/>
  <c r="P565" i="80"/>
  <c r="P614" i="80" s="1"/>
  <c r="O565" i="80"/>
  <c r="O442" i="80" s="1"/>
  <c r="N565" i="80"/>
  <c r="N442" i="80" s="1"/>
  <c r="M565" i="80"/>
  <c r="M442" i="80" s="1"/>
  <c r="L565" i="80"/>
  <c r="L442" i="80" s="1"/>
  <c r="K565" i="80"/>
  <c r="K442" i="80" s="1"/>
  <c r="S546" i="80"/>
  <c r="S418" i="80" s="1"/>
  <c r="R546" i="80"/>
  <c r="R308" i="80" s="1"/>
  <c r="Q546" i="80"/>
  <c r="Q418" i="80" s="1"/>
  <c r="P546" i="80"/>
  <c r="P308" i="80" s="1"/>
  <c r="J546" i="80"/>
  <c r="J308" i="80" s="1"/>
  <c r="E538" i="80"/>
  <c r="F538" i="80" s="1"/>
  <c r="O538" i="80" s="1"/>
  <c r="E537" i="80"/>
  <c r="F536" i="80"/>
  <c r="F533" i="80"/>
  <c r="L533" i="80" s="1"/>
  <c r="O528" i="80"/>
  <c r="O567" i="80" s="1"/>
  <c r="L528" i="80"/>
  <c r="K526" i="80"/>
  <c r="L525" i="80"/>
  <c r="J523" i="80"/>
  <c r="J376" i="80" s="1"/>
  <c r="I523" i="80"/>
  <c r="I376" i="80" s="1"/>
  <c r="H523" i="80"/>
  <c r="G523" i="80"/>
  <c r="F523" i="80"/>
  <c r="E523" i="80"/>
  <c r="L522" i="80"/>
  <c r="M522" i="80" s="1"/>
  <c r="K521" i="80"/>
  <c r="K523" i="80" s="1"/>
  <c r="N526" i="80"/>
  <c r="F540" i="80"/>
  <c r="J503" i="80"/>
  <c r="I503" i="80"/>
  <c r="H503" i="80"/>
  <c r="G503" i="80"/>
  <c r="F503" i="80"/>
  <c r="E503" i="80"/>
  <c r="M494" i="80"/>
  <c r="L494" i="80"/>
  <c r="K494" i="80"/>
  <c r="L492" i="80"/>
  <c r="M492" i="80" s="1"/>
  <c r="N492" i="80" s="1"/>
  <c r="O492" i="80" s="1"/>
  <c r="L491" i="80"/>
  <c r="M491" i="80" s="1"/>
  <c r="N491" i="80" s="1"/>
  <c r="O491" i="80" s="1"/>
  <c r="L490" i="80"/>
  <c r="M490" i="80" s="1"/>
  <c r="N490" i="80" s="1"/>
  <c r="O490" i="80" s="1"/>
  <c r="L489" i="80"/>
  <c r="M489" i="80" s="1"/>
  <c r="N489" i="80" s="1"/>
  <c r="O489" i="80" s="1"/>
  <c r="L488" i="80"/>
  <c r="M488" i="80" s="1"/>
  <c r="N488" i="80" s="1"/>
  <c r="O488" i="80" s="1"/>
  <c r="O476" i="80"/>
  <c r="O475" i="80"/>
  <c r="L475" i="80"/>
  <c r="N474" i="80"/>
  <c r="O474" i="80" s="1"/>
  <c r="L474" i="80"/>
  <c r="L473" i="80"/>
  <c r="L471" i="80"/>
  <c r="M471" i="80" s="1"/>
  <c r="O470" i="80"/>
  <c r="L470" i="80"/>
  <c r="M470" i="80" s="1"/>
  <c r="K466" i="80"/>
  <c r="K481" i="80" s="1"/>
  <c r="K371" i="80" s="1"/>
  <c r="S445" i="80"/>
  <c r="R445" i="80"/>
  <c r="Q445" i="80"/>
  <c r="P445" i="80"/>
  <c r="O445" i="80"/>
  <c r="K444" i="80"/>
  <c r="J444" i="80"/>
  <c r="K443" i="80"/>
  <c r="J443" i="80"/>
  <c r="Q442" i="80"/>
  <c r="J442" i="80"/>
  <c r="S441" i="80"/>
  <c r="R441" i="80"/>
  <c r="Q441" i="80"/>
  <c r="P441" i="80"/>
  <c r="O441" i="80"/>
  <c r="N441" i="80"/>
  <c r="M441" i="80"/>
  <c r="L441" i="80"/>
  <c r="K441" i="80"/>
  <c r="J441" i="80"/>
  <c r="S440" i="80"/>
  <c r="R440" i="80"/>
  <c r="Q440" i="80"/>
  <c r="P440" i="80"/>
  <c r="J440" i="80"/>
  <c r="M431" i="80"/>
  <c r="N431" i="80" s="1"/>
  <c r="O431" i="80" s="1"/>
  <c r="P431" i="80" s="1"/>
  <c r="Q431" i="80" s="1"/>
  <c r="R431" i="80" s="1"/>
  <c r="S431" i="80" s="1"/>
  <c r="J430" i="80"/>
  <c r="K430" i="80" s="1"/>
  <c r="K429" i="80"/>
  <c r="J429" i="80"/>
  <c r="K428" i="80"/>
  <c r="J428" i="80"/>
  <c r="K423" i="80"/>
  <c r="K422" i="80"/>
  <c r="J421" i="80"/>
  <c r="S420" i="80"/>
  <c r="R420" i="80"/>
  <c r="Q420" i="80"/>
  <c r="P420" i="80"/>
  <c r="S419" i="80"/>
  <c r="R419" i="80"/>
  <c r="Q419" i="80"/>
  <c r="P419" i="80"/>
  <c r="P418" i="80"/>
  <c r="K418" i="80"/>
  <c r="J396" i="80"/>
  <c r="N392" i="80"/>
  <c r="O392" i="80" s="1"/>
  <c r="P392" i="80" s="1"/>
  <c r="Q392" i="80" s="1"/>
  <c r="R392" i="80" s="1"/>
  <c r="S392" i="80" s="1"/>
  <c r="K391" i="80"/>
  <c r="J391" i="80"/>
  <c r="I391" i="80"/>
  <c r="J390" i="80"/>
  <c r="I390" i="80"/>
  <c r="S387" i="80"/>
  <c r="R387" i="80"/>
  <c r="Q387" i="80"/>
  <c r="P387" i="80"/>
  <c r="J387" i="80"/>
  <c r="I387" i="80"/>
  <c r="S386" i="80"/>
  <c r="R386" i="80"/>
  <c r="Q386" i="80"/>
  <c r="P386" i="80"/>
  <c r="J386" i="80"/>
  <c r="I386" i="80"/>
  <c r="S385" i="80"/>
  <c r="R385" i="80"/>
  <c r="Q385" i="80"/>
  <c r="P385" i="80"/>
  <c r="J385" i="80"/>
  <c r="I385" i="80"/>
  <c r="Q379" i="80"/>
  <c r="R379" i="80" s="1"/>
  <c r="S379" i="80" s="1"/>
  <c r="O379" i="80"/>
  <c r="N379" i="80"/>
  <c r="S378" i="80"/>
  <c r="R378" i="80"/>
  <c r="Q378" i="80"/>
  <c r="P378" i="80"/>
  <c r="J378" i="80"/>
  <c r="I378" i="80"/>
  <c r="K377" i="80"/>
  <c r="J377" i="80"/>
  <c r="I377" i="80"/>
  <c r="S373" i="80"/>
  <c r="R373" i="80"/>
  <c r="Q373" i="80"/>
  <c r="P373" i="80"/>
  <c r="J373" i="80"/>
  <c r="I373" i="80"/>
  <c r="N372" i="80"/>
  <c r="N494" i="80" s="1"/>
  <c r="S371" i="80"/>
  <c r="R371" i="80"/>
  <c r="Q371" i="80"/>
  <c r="P371" i="80"/>
  <c r="J371" i="80"/>
  <c r="I371" i="80"/>
  <c r="S370" i="80"/>
  <c r="R370" i="80"/>
  <c r="Q370" i="80"/>
  <c r="P370" i="80"/>
  <c r="J370" i="80"/>
  <c r="J368" i="80" s="1"/>
  <c r="I370" i="80"/>
  <c r="S369" i="80"/>
  <c r="R369" i="80"/>
  <c r="Q369" i="80"/>
  <c r="P369" i="80"/>
  <c r="J369" i="80"/>
  <c r="I369" i="80"/>
  <c r="I367" i="80"/>
  <c r="L352" i="80"/>
  <c r="M352" i="80" s="1"/>
  <c r="N352" i="80" s="1"/>
  <c r="O352" i="80" s="1"/>
  <c r="M351" i="80"/>
  <c r="L344" i="80"/>
  <c r="M344" i="80" s="1"/>
  <c r="N344" i="80" s="1"/>
  <c r="O344" i="80" s="1"/>
  <c r="L337" i="80"/>
  <c r="M337" i="80" s="1"/>
  <c r="L335" i="80"/>
  <c r="M335" i="80" s="1"/>
  <c r="M325" i="80"/>
  <c r="M324" i="80"/>
  <c r="M317" i="80"/>
  <c r="M424" i="80" s="1"/>
  <c r="K317" i="80"/>
  <c r="K424" i="80" s="1"/>
  <c r="N445" i="80"/>
  <c r="M314" i="80"/>
  <c r="M445" i="80" s="1"/>
  <c r="L445" i="80"/>
  <c r="K308" i="80"/>
  <c r="S301" i="80"/>
  <c r="R301" i="80"/>
  <c r="Q301" i="80"/>
  <c r="P301" i="80"/>
  <c r="L300" i="80"/>
  <c r="L299" i="80" s="1"/>
  <c r="M299" i="80" s="1"/>
  <c r="K298" i="80"/>
  <c r="K306" i="80" s="1"/>
  <c r="P294" i="80"/>
  <c r="Q294" i="80" s="1"/>
  <c r="R294" i="80" s="1"/>
  <c r="S294" i="80" s="1"/>
  <c r="K291" i="80"/>
  <c r="K465" i="80" s="1"/>
  <c r="S289" i="80"/>
  <c r="S610" i="80" s="1"/>
  <c r="R289" i="80"/>
  <c r="R656" i="80" s="1"/>
  <c r="Q289" i="80"/>
  <c r="Q414" i="80" s="1"/>
  <c r="Q656" i="80"/>
  <c r="P289" i="80"/>
  <c r="P332" i="80" s="1"/>
  <c r="O289" i="80"/>
  <c r="O513" i="80" s="1"/>
  <c r="L289" i="80"/>
  <c r="L364" i="80" s="1"/>
  <c r="S287" i="80"/>
  <c r="S654" i="80" s="1"/>
  <c r="R287" i="80"/>
  <c r="R412" i="80" s="1"/>
  <c r="Q287" i="80"/>
  <c r="Q412" i="80" s="1"/>
  <c r="P287" i="80"/>
  <c r="P654" i="80" s="1"/>
  <c r="O287" i="80"/>
  <c r="O412" i="80" s="1"/>
  <c r="L287" i="80"/>
  <c r="M287" i="80" s="1"/>
  <c r="S279" i="80"/>
  <c r="R279" i="80"/>
  <c r="Q279" i="80"/>
  <c r="P279" i="80"/>
  <c r="N279" i="80"/>
  <c r="O254" i="80"/>
  <c r="N254" i="80"/>
  <c r="M254" i="80"/>
  <c r="L254" i="80"/>
  <c r="O244" i="80"/>
  <c r="L244" i="80"/>
  <c r="O234" i="80"/>
  <c r="N234" i="80"/>
  <c r="L234" i="80"/>
  <c r="S224" i="80"/>
  <c r="R224" i="80"/>
  <c r="Q224" i="80"/>
  <c r="P224" i="80"/>
  <c r="S222" i="80"/>
  <c r="R222" i="80"/>
  <c r="Q222" i="80"/>
  <c r="P222" i="80"/>
  <c r="S214" i="80"/>
  <c r="R214" i="80"/>
  <c r="Q214" i="80"/>
  <c r="P214" i="80"/>
  <c r="S204" i="80"/>
  <c r="R204" i="80"/>
  <c r="Q204" i="80"/>
  <c r="P204" i="80"/>
  <c r="L204" i="80"/>
  <c r="S197" i="80"/>
  <c r="R197" i="80"/>
  <c r="Q197" i="80"/>
  <c r="P197" i="80"/>
  <c r="O197" i="80"/>
  <c r="L197" i="80"/>
  <c r="M197" i="80" s="1"/>
  <c r="N197" i="80" s="1"/>
  <c r="S195" i="80"/>
  <c r="R195" i="80"/>
  <c r="Q195" i="80"/>
  <c r="P195" i="80"/>
  <c r="O195" i="80"/>
  <c r="O188" i="80"/>
  <c r="P186" i="80"/>
  <c r="Q186" i="80" s="1"/>
  <c r="R186" i="80" s="1"/>
  <c r="S186" i="80" s="1"/>
  <c r="P185" i="80"/>
  <c r="Q185" i="80" s="1"/>
  <c r="R185" i="80" s="1"/>
  <c r="S185" i="80" s="1"/>
  <c r="P184" i="80"/>
  <c r="P183" i="80" s="1"/>
  <c r="L184" i="80"/>
  <c r="L183" i="80" s="1"/>
  <c r="P182" i="80"/>
  <c r="Q182" i="80" s="1"/>
  <c r="R182" i="80" s="1"/>
  <c r="S182" i="80" s="1"/>
  <c r="P181" i="80"/>
  <c r="Q181" i="80" s="1"/>
  <c r="R181" i="80" s="1"/>
  <c r="S181" i="80" s="1"/>
  <c r="P180" i="80"/>
  <c r="N178" i="80"/>
  <c r="O178" i="80" s="1"/>
  <c r="L178" i="80"/>
  <c r="P177" i="80"/>
  <c r="Q177" i="80" s="1"/>
  <c r="R177" i="80" s="1"/>
  <c r="S177" i="80" s="1"/>
  <c r="L177" i="80"/>
  <c r="P176" i="80"/>
  <c r="Q176" i="80" s="1"/>
  <c r="R176" i="80" s="1"/>
  <c r="S176" i="80" s="1"/>
  <c r="L176" i="80"/>
  <c r="P175" i="80"/>
  <c r="P174" i="80" s="1"/>
  <c r="L175" i="80"/>
  <c r="L174" i="80" s="1"/>
  <c r="P173" i="80"/>
  <c r="Q173" i="80" s="1"/>
  <c r="R173" i="80" s="1"/>
  <c r="S173" i="80" s="1"/>
  <c r="L173" i="80"/>
  <c r="L171" i="80" s="1"/>
  <c r="L262" i="80" s="1"/>
  <c r="P172" i="80"/>
  <c r="L172" i="80"/>
  <c r="O170" i="80"/>
  <c r="P170" i="80" s="1"/>
  <c r="L170" i="80"/>
  <c r="P168" i="80"/>
  <c r="Q168" i="80" s="1"/>
  <c r="R168" i="80" s="1"/>
  <c r="S168" i="80" s="1"/>
  <c r="L168" i="80"/>
  <c r="P167" i="80"/>
  <c r="Q167" i="80" s="1"/>
  <c r="R167" i="80" s="1"/>
  <c r="S167" i="80" s="1"/>
  <c r="L167" i="80"/>
  <c r="P166" i="80"/>
  <c r="P165" i="80" s="1"/>
  <c r="L166" i="80"/>
  <c r="L165" i="80" s="1"/>
  <c r="P164" i="80"/>
  <c r="Q164" i="80" s="1"/>
  <c r="R164" i="80" s="1"/>
  <c r="S164" i="80" s="1"/>
  <c r="L164" i="80"/>
  <c r="P163" i="80"/>
  <c r="Q163" i="80" s="1"/>
  <c r="R163" i="80" s="1"/>
  <c r="S163" i="80" s="1"/>
  <c r="L163" i="80"/>
  <c r="P162" i="80"/>
  <c r="Q162" i="80" s="1"/>
  <c r="R162" i="80" s="1"/>
  <c r="L162" i="80"/>
  <c r="O161" i="80"/>
  <c r="O252" i="80" s="1"/>
  <c r="P160" i="80"/>
  <c r="Q160" i="80" s="1"/>
  <c r="R160" i="80" s="1"/>
  <c r="S160" i="80" s="1"/>
  <c r="P159" i="80"/>
  <c r="Q159" i="80" s="1"/>
  <c r="R159" i="80" s="1"/>
  <c r="S159" i="80" s="1"/>
  <c r="P158" i="80"/>
  <c r="Q158" i="80" s="1"/>
  <c r="P156" i="80"/>
  <c r="Q156" i="80" s="1"/>
  <c r="R156" i="80" s="1"/>
  <c r="S156" i="80" s="1"/>
  <c r="P155" i="80"/>
  <c r="Q155" i="80" s="1"/>
  <c r="P154" i="80"/>
  <c r="L154" i="80"/>
  <c r="P153" i="80"/>
  <c r="L153" i="80"/>
  <c r="O152" i="80"/>
  <c r="O242" i="80" s="1"/>
  <c r="P151" i="80"/>
  <c r="Q151" i="80" s="1"/>
  <c r="R151" i="80" s="1"/>
  <c r="S151" i="80" s="1"/>
  <c r="P150" i="80"/>
  <c r="Q150" i="80" s="1"/>
  <c r="R150" i="80" s="1"/>
  <c r="S150" i="80" s="1"/>
  <c r="P149" i="80"/>
  <c r="Q149" i="80" s="1"/>
  <c r="P147" i="80"/>
  <c r="Q147" i="80" s="1"/>
  <c r="R147" i="80" s="1"/>
  <c r="S147" i="80" s="1"/>
  <c r="P146" i="80"/>
  <c r="P145" i="80" s="1"/>
  <c r="M146" i="80"/>
  <c r="L145" i="80"/>
  <c r="P144" i="80"/>
  <c r="Q144" i="80" s="1"/>
  <c r="R144" i="80" s="1"/>
  <c r="S144" i="80" s="1"/>
  <c r="P143" i="80"/>
  <c r="Q143" i="80" s="1"/>
  <c r="R143" i="80" s="1"/>
  <c r="S143" i="80" s="1"/>
  <c r="L143" i="80"/>
  <c r="P141" i="80"/>
  <c r="Q141" i="80" s="1"/>
  <c r="L139" i="80"/>
  <c r="P140" i="80"/>
  <c r="Q140" i="80" s="1"/>
  <c r="R140" i="80" s="1"/>
  <c r="S140" i="80" s="1"/>
  <c r="M140" i="80"/>
  <c r="N139" i="80"/>
  <c r="O138" i="80"/>
  <c r="O232" i="80" s="1"/>
  <c r="M136" i="80"/>
  <c r="M133" i="80"/>
  <c r="L132" i="80"/>
  <c r="M130" i="80"/>
  <c r="L125" i="80"/>
  <c r="O122" i="80"/>
  <c r="M122" i="80"/>
  <c r="L122" i="80"/>
  <c r="L121" i="80" s="1"/>
  <c r="L118" i="80"/>
  <c r="L117" i="80"/>
  <c r="O112" i="80"/>
  <c r="M112" i="80"/>
  <c r="L113" i="80"/>
  <c r="S111" i="80"/>
  <c r="S212" i="80" s="1"/>
  <c r="R111" i="80"/>
  <c r="R212" i="80" s="1"/>
  <c r="Q111" i="80"/>
  <c r="Q212" i="80" s="1"/>
  <c r="P111" i="80"/>
  <c r="P212" i="80" s="1"/>
  <c r="O106" i="80"/>
  <c r="N169" i="80"/>
  <c r="M157" i="80"/>
  <c r="N107" i="80"/>
  <c r="N106" i="80" s="1"/>
  <c r="O183" i="80"/>
  <c r="O179" i="80" s="1"/>
  <c r="N148" i="80"/>
  <c r="L102" i="80"/>
  <c r="S97" i="80"/>
  <c r="S202" i="80" s="1"/>
  <c r="R97" i="80"/>
  <c r="R202" i="80"/>
  <c r="Q97" i="80"/>
  <c r="Q202" i="80" s="1"/>
  <c r="P97" i="80"/>
  <c r="P202" i="80" s="1"/>
  <c r="S93" i="80"/>
  <c r="R93" i="80"/>
  <c r="Q93" i="80"/>
  <c r="P93" i="80"/>
  <c r="O93" i="80"/>
  <c r="L93" i="80"/>
  <c r="L195" i="80" s="1"/>
  <c r="M195" i="80" s="1"/>
  <c r="N195" i="80" s="1"/>
  <c r="N275" i="80"/>
  <c r="P76" i="80"/>
  <c r="Q76" i="80" s="1"/>
  <c r="P75" i="80"/>
  <c r="N244" i="80"/>
  <c r="M75" i="80"/>
  <c r="M244" i="80" s="1"/>
  <c r="P74" i="80"/>
  <c r="Q74" i="80" s="1"/>
  <c r="R74" i="80" s="1"/>
  <c r="S74" i="80" s="1"/>
  <c r="N224" i="80"/>
  <c r="N204" i="80"/>
  <c r="M67" i="80"/>
  <c r="M234" i="80" s="1"/>
  <c r="M65" i="80"/>
  <c r="M214" i="80" s="1"/>
  <c r="N23" i="80"/>
  <c r="N272" i="80" s="1"/>
  <c r="M23" i="80"/>
  <c r="M272" i="80" s="1"/>
  <c r="L23" i="80"/>
  <c r="L272" i="80" s="1"/>
  <c r="N22" i="80"/>
  <c r="M22" i="80"/>
  <c r="M270" i="80" s="1"/>
  <c r="N21" i="80"/>
  <c r="N260" i="80" s="1"/>
  <c r="M21" i="80"/>
  <c r="M260" i="80" s="1"/>
  <c r="L21" i="80"/>
  <c r="L260" i="80" s="1"/>
  <c r="P57" i="80"/>
  <c r="Q57" i="80" s="1"/>
  <c r="R57" i="80" s="1"/>
  <c r="S57" i="80" s="1"/>
  <c r="N20" i="80"/>
  <c r="N250" i="80" s="1"/>
  <c r="L20" i="80"/>
  <c r="L250" i="80" s="1"/>
  <c r="N56" i="80"/>
  <c r="P55" i="80"/>
  <c r="Q55" i="80" s="1"/>
  <c r="R55" i="80" s="1"/>
  <c r="S55" i="80" s="1"/>
  <c r="L19" i="80"/>
  <c r="L240" i="80" s="1"/>
  <c r="P54" i="80"/>
  <c r="N17" i="80"/>
  <c r="M19" i="80"/>
  <c r="M240" i="80" s="1"/>
  <c r="L17" i="80"/>
  <c r="O52" i="80"/>
  <c r="N52" i="80"/>
  <c r="M52" i="80"/>
  <c r="N15" i="80"/>
  <c r="O49" i="80"/>
  <c r="N49" i="80"/>
  <c r="M49" i="80"/>
  <c r="N13" i="80"/>
  <c r="M13" i="80"/>
  <c r="N12" i="80"/>
  <c r="N200" i="80" s="1"/>
  <c r="M12" i="80"/>
  <c r="L12" i="80"/>
  <c r="S43" i="80"/>
  <c r="R43" i="80"/>
  <c r="Q43" i="80"/>
  <c r="P43" i="80"/>
  <c r="M43" i="80"/>
  <c r="P42" i="80"/>
  <c r="Q42" i="80" s="1"/>
  <c r="L41" i="80"/>
  <c r="O40" i="80"/>
  <c r="P39" i="80"/>
  <c r="P38" i="80"/>
  <c r="Q38" i="80" s="1"/>
  <c r="P37" i="80"/>
  <c r="P26" i="80" s="1"/>
  <c r="P36" i="80"/>
  <c r="P17" i="80" s="1"/>
  <c r="O35" i="80"/>
  <c r="O26" i="80" s="1"/>
  <c r="M35" i="80"/>
  <c r="M279" i="80" s="1"/>
  <c r="M66" i="80"/>
  <c r="O34" i="80"/>
  <c r="M34" i="80"/>
  <c r="L34" i="80"/>
  <c r="L279" i="80" s="1"/>
  <c r="N33" i="80"/>
  <c r="N43" i="80" s="1"/>
  <c r="O32" i="80"/>
  <c r="O43" i="80" s="1"/>
  <c r="L32" i="80"/>
  <c r="O31" i="80"/>
  <c r="O204" i="80" s="1"/>
  <c r="M31" i="80"/>
  <c r="M204" i="80" s="1"/>
  <c r="L26" i="80"/>
  <c r="N25" i="80"/>
  <c r="L25" i="80"/>
  <c r="O23" i="80"/>
  <c r="O272" i="80" s="1"/>
  <c r="S22" i="80"/>
  <c r="R22" i="80"/>
  <c r="Q22" i="80"/>
  <c r="P22" i="80"/>
  <c r="O22" i="80"/>
  <c r="S21" i="80"/>
  <c r="S260" i="80" s="1"/>
  <c r="R21" i="80"/>
  <c r="R260" i="80" s="1"/>
  <c r="Q21" i="80"/>
  <c r="Q260" i="80" s="1"/>
  <c r="P21" i="80"/>
  <c r="P260" i="80" s="1"/>
  <c r="O20" i="80"/>
  <c r="O250" i="80" s="1"/>
  <c r="O19" i="80"/>
  <c r="O240" i="80" s="1"/>
  <c r="N19" i="80"/>
  <c r="N240" i="80" s="1"/>
  <c r="O18" i="80"/>
  <c r="N18" i="80"/>
  <c r="M18" i="80"/>
  <c r="L18" i="80"/>
  <c r="O17" i="80"/>
  <c r="S16" i="80"/>
  <c r="R16" i="80"/>
  <c r="Q16" i="80"/>
  <c r="P16" i="80"/>
  <c r="N16" i="80"/>
  <c r="M16" i="80"/>
  <c r="L16" i="80"/>
  <c r="S15" i="80"/>
  <c r="S220" i="80" s="1"/>
  <c r="R15" i="80"/>
  <c r="Q15" i="80"/>
  <c r="P15" i="80"/>
  <c r="S14" i="80"/>
  <c r="S210" i="80" s="1"/>
  <c r="R14" i="80"/>
  <c r="Q14" i="80"/>
  <c r="P14" i="80"/>
  <c r="O14" i="80"/>
  <c r="M14" i="80"/>
  <c r="L14" i="80"/>
  <c r="S13" i="80"/>
  <c r="R13" i="80"/>
  <c r="Q13" i="80"/>
  <c r="P13" i="80"/>
  <c r="S12" i="80"/>
  <c r="S200" i="80" s="1"/>
  <c r="R12" i="80"/>
  <c r="R200" i="80" s="1"/>
  <c r="Q12" i="80"/>
  <c r="Q200" i="80" s="1"/>
  <c r="P12" i="80"/>
  <c r="P200" i="80" s="1"/>
  <c r="J11" i="80"/>
  <c r="P38" i="57"/>
  <c r="P46" i="57" s="1"/>
  <c r="F541" i="80"/>
  <c r="O541" i="80" s="1"/>
  <c r="P656" i="80"/>
  <c r="Q662" i="80"/>
  <c r="Q678" i="80" s="1"/>
  <c r="N624" i="80"/>
  <c r="L511" i="80"/>
  <c r="P412" i="80"/>
  <c r="P414" i="80"/>
  <c r="O558" i="80"/>
  <c r="Q663" i="80"/>
  <c r="Q679" i="80" s="1"/>
  <c r="L214" i="80"/>
  <c r="T220" i="90"/>
  <c r="R220" i="90"/>
  <c r="R219" i="90"/>
  <c r="T219" i="90"/>
  <c r="T135" i="90"/>
  <c r="T215" i="90" s="1"/>
  <c r="U215" i="90" s="1"/>
  <c r="R135" i="90"/>
  <c r="R215" i="90" s="1"/>
  <c r="R216" i="90" s="1"/>
  <c r="R128" i="90"/>
  <c r="R132" i="90" s="1"/>
  <c r="R204" i="90" s="1"/>
  <c r="R205" i="90" s="1"/>
  <c r="V15" i="92"/>
  <c r="W15" i="92"/>
  <c r="X15" i="92"/>
  <c r="Y15" i="92"/>
  <c r="Z15" i="92" s="1"/>
  <c r="AA15" i="92" s="1"/>
  <c r="AB15" i="92" s="1"/>
  <c r="AC15" i="92" s="1"/>
  <c r="S178" i="64"/>
  <c r="S176" i="64"/>
  <c r="T176" i="64" s="1"/>
  <c r="S173" i="64"/>
  <c r="T173" i="64" s="1"/>
  <c r="S171" i="64"/>
  <c r="T171" i="64" s="1"/>
  <c r="S169" i="64"/>
  <c r="T169" i="64" s="1"/>
  <c r="S163" i="64"/>
  <c r="T163" i="64" s="1"/>
  <c r="S161" i="64"/>
  <c r="S160" i="64"/>
  <c r="T160" i="64" s="1"/>
  <c r="S158" i="64"/>
  <c r="T158" i="64" s="1"/>
  <c r="R254" i="56"/>
  <c r="R252" i="56"/>
  <c r="R250" i="56"/>
  <c r="S250" i="56" s="1"/>
  <c r="R247" i="56"/>
  <c r="S247" i="56" s="1"/>
  <c r="R245" i="56"/>
  <c r="S245" i="56" s="1"/>
  <c r="R243" i="56"/>
  <c r="S243" i="56" s="1"/>
  <c r="R235" i="56"/>
  <c r="S235" i="56" s="1"/>
  <c r="R233" i="56"/>
  <c r="R226" i="56"/>
  <c r="S226" i="56" s="1"/>
  <c r="R224" i="56"/>
  <c r="W151" i="57"/>
  <c r="X151" i="57" s="1"/>
  <c r="Y151" i="57" s="1"/>
  <c r="Z151" i="57" s="1"/>
  <c r="W144" i="57"/>
  <c r="S124" i="70" s="1"/>
  <c r="W18" i="90" s="1"/>
  <c r="W303" i="90" s="1"/>
  <c r="P22" i="72"/>
  <c r="Q49" i="57" s="1"/>
  <c r="H299" i="89"/>
  <c r="H301" i="89" s="1"/>
  <c r="P21" i="72"/>
  <c r="Q179" i="64"/>
  <c r="P106" i="56"/>
  <c r="P253" i="56"/>
  <c r="P283" i="47"/>
  <c r="U277" i="90"/>
  <c r="U276" i="90"/>
  <c r="T276" i="90"/>
  <c r="S276" i="90"/>
  <c r="U185" i="90"/>
  <c r="U184" i="90"/>
  <c r="T184" i="90"/>
  <c r="S184" i="90"/>
  <c r="U86" i="90"/>
  <c r="U85" i="90"/>
  <c r="T85" i="90"/>
  <c r="S85" i="90"/>
  <c r="U49" i="90"/>
  <c r="U48" i="90"/>
  <c r="T48" i="90"/>
  <c r="S48" i="90"/>
  <c r="U32" i="90"/>
  <c r="U31" i="90"/>
  <c r="T31" i="90"/>
  <c r="S31" i="90"/>
  <c r="U848" i="90"/>
  <c r="T848" i="90"/>
  <c r="S848" i="90"/>
  <c r="U806" i="90"/>
  <c r="T806" i="90"/>
  <c r="S806" i="90"/>
  <c r="U619" i="90"/>
  <c r="U618" i="90"/>
  <c r="T618" i="90"/>
  <c r="S618" i="90"/>
  <c r="U556" i="90"/>
  <c r="T556" i="90"/>
  <c r="S556" i="90"/>
  <c r="U511" i="90"/>
  <c r="U510" i="90"/>
  <c r="T510" i="90"/>
  <c r="S510" i="90"/>
  <c r="U454" i="90"/>
  <c r="U453" i="90"/>
  <c r="T453" i="90"/>
  <c r="S453" i="90"/>
  <c r="U408" i="90"/>
  <c r="T408" i="90"/>
  <c r="S408" i="90"/>
  <c r="U24" i="64"/>
  <c r="U21" i="64"/>
  <c r="U13" i="64"/>
  <c r="T18" i="56"/>
  <c r="T17" i="56"/>
  <c r="T16" i="56"/>
  <c r="T22" i="56" s="1"/>
  <c r="T25" i="56" s="1"/>
  <c r="S17" i="47"/>
  <c r="T188" i="57" s="1"/>
  <c r="S188" i="57"/>
  <c r="V18" i="56"/>
  <c r="X18" i="56"/>
  <c r="Y18" i="56"/>
  <c r="V145" i="57"/>
  <c r="R125" i="70" s="1"/>
  <c r="M105" i="89" s="1"/>
  <c r="R124" i="70"/>
  <c r="V18" i="90" s="1"/>
  <c r="V359" i="90" s="1"/>
  <c r="T417" i="47"/>
  <c r="T467" i="47"/>
  <c r="T455" i="47"/>
  <c r="T454" i="47"/>
  <c r="T453" i="47"/>
  <c r="T451" i="47"/>
  <c r="T448" i="47"/>
  <c r="T446" i="47"/>
  <c r="T420" i="47"/>
  <c r="T419" i="47"/>
  <c r="U45" i="57"/>
  <c r="AA45" i="57" s="1"/>
  <c r="U35" i="57"/>
  <c r="U22" i="57"/>
  <c r="U26" i="57"/>
  <c r="T75" i="72"/>
  <c r="T74" i="72"/>
  <c r="T73" i="72"/>
  <c r="T70" i="72"/>
  <c r="T64" i="72"/>
  <c r="T62" i="72"/>
  <c r="T52" i="72"/>
  <c r="T50" i="72"/>
  <c r="T48" i="72"/>
  <c r="T20" i="72"/>
  <c r="T13" i="72"/>
  <c r="X486" i="64"/>
  <c r="V486" i="64"/>
  <c r="W486" i="64"/>
  <c r="U486" i="64"/>
  <c r="U489" i="64" s="1"/>
  <c r="U297" i="64" s="1"/>
  <c r="R486" i="64"/>
  <c r="W536" i="56"/>
  <c r="U536" i="56"/>
  <c r="V536" i="56"/>
  <c r="T536" i="56"/>
  <c r="Q536" i="56"/>
  <c r="Q486" i="64"/>
  <c r="P536" i="56"/>
  <c r="AA89" i="57"/>
  <c r="AA85" i="57"/>
  <c r="AA48" i="57"/>
  <c r="AA108" i="57"/>
  <c r="AA91" i="57"/>
  <c r="Z70" i="57"/>
  <c r="Y70" i="57"/>
  <c r="X70" i="57"/>
  <c r="Z53" i="57"/>
  <c r="Y53" i="57"/>
  <c r="X53" i="57"/>
  <c r="Z43" i="57"/>
  <c r="Y43" i="57"/>
  <c r="X43" i="57"/>
  <c r="Z35" i="57"/>
  <c r="Y35" i="57"/>
  <c r="X35" i="57"/>
  <c r="Z26" i="57"/>
  <c r="Y26" i="57"/>
  <c r="X26" i="57"/>
  <c r="Z22" i="57"/>
  <c r="Y22" i="57"/>
  <c r="X22" i="57"/>
  <c r="Y15" i="57"/>
  <c r="Z15" i="57"/>
  <c r="X15" i="57"/>
  <c r="U70" i="57"/>
  <c r="T53" i="57"/>
  <c r="S53" i="57"/>
  <c r="T43" i="57"/>
  <c r="S43" i="57"/>
  <c r="T35" i="57"/>
  <c r="S35" i="57"/>
  <c r="T26" i="57"/>
  <c r="S26" i="57"/>
  <c r="T22" i="57"/>
  <c r="S22" i="57"/>
  <c r="U43" i="57"/>
  <c r="U15" i="57"/>
  <c r="T15" i="57"/>
  <c r="S15" i="57"/>
  <c r="R15" i="57"/>
  <c r="U116" i="57"/>
  <c r="AA116" i="57" s="1"/>
  <c r="U112" i="57"/>
  <c r="U158" i="57" s="1"/>
  <c r="AA158" i="57" s="1"/>
  <c r="U106" i="57"/>
  <c r="S106" i="57" s="1"/>
  <c r="U105" i="57"/>
  <c r="S105" i="57" s="1"/>
  <c r="U103" i="57"/>
  <c r="S103" i="57" s="1"/>
  <c r="U13" i="90"/>
  <c r="U14" i="90"/>
  <c r="U15" i="90"/>
  <c r="U19" i="90"/>
  <c r="U34" i="90"/>
  <c r="U35" i="90"/>
  <c r="U36" i="90"/>
  <c r="U37" i="90"/>
  <c r="U38" i="90"/>
  <c r="U39" i="90"/>
  <c r="U40" i="90"/>
  <c r="U41" i="90"/>
  <c r="U42" i="90"/>
  <c r="U51" i="90"/>
  <c r="U53" i="90"/>
  <c r="U54" i="90"/>
  <c r="U55" i="90"/>
  <c r="U56" i="90"/>
  <c r="U58" i="90"/>
  <c r="U59" i="90"/>
  <c r="U60" i="90"/>
  <c r="U61" i="90"/>
  <c r="U62" i="90"/>
  <c r="U63" i="90"/>
  <c r="U64" i="90"/>
  <c r="U65" i="90"/>
  <c r="U66" i="90"/>
  <c r="U67" i="90"/>
  <c r="U68" i="90"/>
  <c r="U69" i="90"/>
  <c r="U70" i="90"/>
  <c r="U71" i="90"/>
  <c r="U72" i="90"/>
  <c r="U73" i="90"/>
  <c r="U74" i="90"/>
  <c r="U75" i="90"/>
  <c r="U76" i="90"/>
  <c r="U77" i="90"/>
  <c r="U78" i="90"/>
  <c r="U125" i="90"/>
  <c r="U130" i="90"/>
  <c r="U135" i="90"/>
  <c r="U137" i="90"/>
  <c r="U138" i="90"/>
  <c r="U140" i="90"/>
  <c r="U141" i="90"/>
  <c r="U142" i="90"/>
  <c r="U143" i="90"/>
  <c r="U144" i="90"/>
  <c r="U145" i="90"/>
  <c r="U146" i="90"/>
  <c r="U148" i="90"/>
  <c r="U149" i="90"/>
  <c r="U150" i="90"/>
  <c r="U151" i="90"/>
  <c r="U160" i="90"/>
  <c r="U161" i="90"/>
  <c r="U164" i="90"/>
  <c r="U187" i="90"/>
  <c r="U192" i="90"/>
  <c r="U195" i="90"/>
  <c r="U202" i="90"/>
  <c r="U207" i="90"/>
  <c r="U208" i="90"/>
  <c r="U213" i="90"/>
  <c r="U217" i="90"/>
  <c r="U219" i="90"/>
  <c r="U220" i="90"/>
  <c r="U221" i="90"/>
  <c r="U222" i="90"/>
  <c r="U223" i="90"/>
  <c r="U233" i="90"/>
  <c r="U234" i="90"/>
  <c r="U237" i="90"/>
  <c r="U245" i="90"/>
  <c r="U246" i="90"/>
  <c r="U263" i="90"/>
  <c r="U264" i="90"/>
  <c r="U265" i="90"/>
  <c r="U269" i="90"/>
  <c r="U270" i="90"/>
  <c r="U271" i="90"/>
  <c r="U272" i="90"/>
  <c r="U273" i="90"/>
  <c r="U274" i="90"/>
  <c r="U275" i="90"/>
  <c r="U279" i="90"/>
  <c r="U280" i="90"/>
  <c r="U281" i="90"/>
  <c r="U282" i="90"/>
  <c r="U283" i="90"/>
  <c r="U284" i="90"/>
  <c r="U285" i="90"/>
  <c r="U291" i="90"/>
  <c r="U296" i="90"/>
  <c r="U297" i="90"/>
  <c r="U298" i="90"/>
  <c r="U299" i="90"/>
  <c r="U300" i="90"/>
  <c r="U302" i="90"/>
  <c r="U305" i="90"/>
  <c r="U307" i="90"/>
  <c r="U312" i="90"/>
  <c r="U313" i="90"/>
  <c r="U314" i="90"/>
  <c r="U318" i="90"/>
  <c r="U320" i="90"/>
  <c r="U321" i="90"/>
  <c r="U325" i="90"/>
  <c r="U326" i="90"/>
  <c r="U330" i="90"/>
  <c r="U331" i="90"/>
  <c r="U335" i="90"/>
  <c r="U336" i="90"/>
  <c r="U340" i="90"/>
  <c r="U341" i="90"/>
  <c r="U345" i="90"/>
  <c r="U346" i="90"/>
  <c r="U350" i="90"/>
  <c r="U351" i="90"/>
  <c r="U355" i="90"/>
  <c r="U357" i="90"/>
  <c r="U358" i="90"/>
  <c r="U360" i="90"/>
  <c r="U362" i="90"/>
  <c r="U363" i="90"/>
  <c r="U365" i="90"/>
  <c r="U369" i="90"/>
  <c r="U372" i="90"/>
  <c r="U373" i="90"/>
  <c r="U374" i="90"/>
  <c r="U378" i="90"/>
  <c r="U381" i="90"/>
  <c r="U382" i="90"/>
  <c r="U384" i="90"/>
  <c r="U385" i="90"/>
  <c r="U388" i="90"/>
  <c r="U389" i="90"/>
  <c r="U394" i="90"/>
  <c r="U395" i="90"/>
  <c r="U397" i="90"/>
  <c r="U398" i="90"/>
  <c r="U402" i="90"/>
  <c r="U403" i="90"/>
  <c r="U404" i="90"/>
  <c r="U405" i="90"/>
  <c r="U406" i="90"/>
  <c r="U407" i="90"/>
  <c r="U411" i="90"/>
  <c r="U419" i="90"/>
  <c r="U429" i="90"/>
  <c r="U431" i="90"/>
  <c r="U433" i="90"/>
  <c r="U435" i="90"/>
  <c r="U436" i="90"/>
  <c r="U438" i="90"/>
  <c r="U447" i="90"/>
  <c r="U448" i="90"/>
  <c r="U456" i="90"/>
  <c r="U457" i="90"/>
  <c r="U464" i="90"/>
  <c r="U466" i="90"/>
  <c r="U468" i="90"/>
  <c r="U476" i="90"/>
  <c r="U477" i="90"/>
  <c r="U479" i="90"/>
  <c r="U480" i="90"/>
  <c r="U486" i="90"/>
  <c r="U488" i="90"/>
  <c r="U493" i="90"/>
  <c r="U495" i="90"/>
  <c r="U501" i="90"/>
  <c r="U503" i="90"/>
  <c r="U505" i="90"/>
  <c r="U506" i="90"/>
  <c r="U507" i="90"/>
  <c r="U508" i="90"/>
  <c r="U509" i="90"/>
  <c r="U513" i="90"/>
  <c r="U514" i="90"/>
  <c r="U524" i="90"/>
  <c r="U525" i="90"/>
  <c r="U527" i="90"/>
  <c r="U528" i="90"/>
  <c r="U529" i="90"/>
  <c r="U531" i="90"/>
  <c r="U535" i="90"/>
  <c r="U536" i="90"/>
  <c r="U539" i="90"/>
  <c r="U541" i="90"/>
  <c r="U543" i="90"/>
  <c r="U559" i="90"/>
  <c r="U563" i="90"/>
  <c r="U564" i="90"/>
  <c r="U566" i="90"/>
  <c r="U567" i="90"/>
  <c r="U568" i="90"/>
  <c r="U572" i="90"/>
  <c r="U573" i="90"/>
  <c r="U574" i="90"/>
  <c r="U575" i="90"/>
  <c r="U578" i="90"/>
  <c r="U580" i="90"/>
  <c r="U585" i="90"/>
  <c r="U586" i="90"/>
  <c r="U587" i="90"/>
  <c r="U588" i="90"/>
  <c r="U596" i="90"/>
  <c r="U600" i="90"/>
  <c r="U603" i="90"/>
  <c r="U621" i="90"/>
  <c r="U622" i="90"/>
  <c r="U623" i="90"/>
  <c r="U628" i="90"/>
  <c r="U634" i="90"/>
  <c r="U635" i="90"/>
  <c r="U636" i="90"/>
  <c r="U637" i="90"/>
  <c r="U638" i="90"/>
  <c r="U640" i="90"/>
  <c r="U641" i="90"/>
  <c r="U642" i="90"/>
  <c r="U643" i="90"/>
  <c r="U644" i="90"/>
  <c r="U645" i="90"/>
  <c r="U646" i="90"/>
  <c r="U647" i="90"/>
  <c r="U648" i="90"/>
  <c r="U649" i="90"/>
  <c r="U650" i="90"/>
  <c r="U651" i="90"/>
  <c r="U652" i="90"/>
  <c r="U653" i="90"/>
  <c r="U654" i="90"/>
  <c r="U655" i="90"/>
  <c r="U656" i="90"/>
  <c r="U657" i="90"/>
  <c r="U658" i="90"/>
  <c r="U659" i="90"/>
  <c r="U660" i="90"/>
  <c r="U661" i="90"/>
  <c r="U662" i="90"/>
  <c r="U684" i="90"/>
  <c r="U685" i="90"/>
  <c r="U686" i="90"/>
  <c r="U687" i="90"/>
  <c r="U694" i="90"/>
  <c r="U695" i="90"/>
  <c r="U696" i="90"/>
  <c r="U697" i="90"/>
  <c r="U708" i="90"/>
  <c r="U709" i="90"/>
  <c r="U711" i="90"/>
  <c r="U526" i="90" s="1"/>
  <c r="U86" i="57" s="1"/>
  <c r="U168" i="57" s="1"/>
  <c r="U713" i="90"/>
  <c r="U714" i="90"/>
  <c r="U716" i="90"/>
  <c r="U719" i="90"/>
  <c r="U720" i="90"/>
  <c r="U729" i="90"/>
  <c r="U730" i="90"/>
  <c r="U731" i="90"/>
  <c r="U732" i="90"/>
  <c r="U733" i="90"/>
  <c r="U734" i="90"/>
  <c r="U736" i="90"/>
  <c r="U737" i="90"/>
  <c r="U738" i="90"/>
  <c r="U739" i="90"/>
  <c r="U740" i="90"/>
  <c r="U741" i="90"/>
  <c r="U743" i="90"/>
  <c r="U744" i="90"/>
  <c r="U745" i="90"/>
  <c r="U746" i="90"/>
  <c r="U747" i="90"/>
  <c r="U748" i="90"/>
  <c r="U750" i="90"/>
  <c r="U751" i="90"/>
  <c r="U752" i="90"/>
  <c r="U753" i="90"/>
  <c r="U754" i="90"/>
  <c r="U755" i="90"/>
  <c r="U757" i="90"/>
  <c r="U764" i="90"/>
  <c r="U765" i="90"/>
  <c r="U766" i="90"/>
  <c r="U767" i="90"/>
  <c r="U768" i="90"/>
  <c r="U769" i="90"/>
  <c r="U784" i="90"/>
  <c r="U790" i="90"/>
  <c r="U791" i="90"/>
  <c r="U809" i="90"/>
  <c r="U811" i="90"/>
  <c r="U816" i="90"/>
  <c r="U817" i="90"/>
  <c r="U822" i="90"/>
  <c r="U823" i="90"/>
  <c r="U824" i="90"/>
  <c r="X824" i="90" s="1"/>
  <c r="X827" i="90" s="1"/>
  <c r="X537" i="90" s="1"/>
  <c r="U825" i="90"/>
  <c r="U826" i="90"/>
  <c r="U828" i="90"/>
  <c r="U830" i="90"/>
  <c r="U831" i="90"/>
  <c r="U833" i="90"/>
  <c r="U835" i="90"/>
  <c r="U837" i="90"/>
  <c r="U851" i="90"/>
  <c r="U852" i="90"/>
  <c r="U858" i="90"/>
  <c r="U859" i="90"/>
  <c r="U864" i="90"/>
  <c r="U865" i="90"/>
  <c r="U866" i="90"/>
  <c r="U872" i="90"/>
  <c r="U874" i="90"/>
  <c r="U876" i="90"/>
  <c r="U880" i="90"/>
  <c r="L305" i="89"/>
  <c r="L319" i="89" s="1"/>
  <c r="L304" i="89"/>
  <c r="L208" i="89"/>
  <c r="L207" i="89"/>
  <c r="L206" i="89" s="1"/>
  <c r="L110" i="89"/>
  <c r="L124" i="89" s="1"/>
  <c r="L109" i="89"/>
  <c r="L123" i="89" s="1"/>
  <c r="L581" i="89"/>
  <c r="L577" i="89"/>
  <c r="L566" i="89"/>
  <c r="L560" i="89"/>
  <c r="L558" i="89"/>
  <c r="L557" i="89"/>
  <c r="L532" i="89"/>
  <c r="L531" i="89"/>
  <c r="L524" i="89"/>
  <c r="L523" i="89"/>
  <c r="L522" i="89"/>
  <c r="L516" i="89"/>
  <c r="L515" i="89"/>
  <c r="L513" i="89"/>
  <c r="L509" i="89"/>
  <c r="L506" i="89"/>
  <c r="L512" i="89" s="1"/>
  <c r="L501" i="89"/>
  <c r="L511" i="89" s="1"/>
  <c r="L496" i="89"/>
  <c r="L488" i="89"/>
  <c r="L547" i="89" s="1"/>
  <c r="L485" i="89"/>
  <c r="L481" i="89"/>
  <c r="L470" i="89"/>
  <c r="L464" i="89"/>
  <c r="L462" i="89"/>
  <c r="L461" i="89"/>
  <c r="L436" i="89"/>
  <c r="L435" i="89"/>
  <c r="L428" i="89"/>
  <c r="L427" i="89"/>
  <c r="L426" i="89"/>
  <c r="L420" i="89"/>
  <c r="L419" i="89"/>
  <c r="L417" i="89"/>
  <c r="L413" i="89"/>
  <c r="L410" i="89"/>
  <c r="L416" i="89" s="1"/>
  <c r="L414" i="89" s="1"/>
  <c r="L418" i="89" s="1"/>
  <c r="L405" i="89"/>
  <c r="L415" i="89" s="1"/>
  <c r="L400" i="89"/>
  <c r="L392" i="89"/>
  <c r="L437" i="89" s="1"/>
  <c r="L385" i="89"/>
  <c r="L374" i="89"/>
  <c r="L368" i="89"/>
  <c r="L366" i="89"/>
  <c r="L365" i="89"/>
  <c r="L288" i="89"/>
  <c r="L276" i="89"/>
  <c r="L36" i="89" s="1"/>
  <c r="L271" i="89"/>
  <c r="L269" i="89"/>
  <c r="L29" i="89" s="1"/>
  <c r="L268" i="89"/>
  <c r="L232" i="89"/>
  <c r="L235" i="89" s="1"/>
  <c r="L191" i="89"/>
  <c r="L179" i="89"/>
  <c r="L174" i="89"/>
  <c r="L172" i="89"/>
  <c r="L171" i="89"/>
  <c r="L28" i="89" s="1"/>
  <c r="L139" i="89"/>
  <c r="L138" i="89"/>
  <c r="L141" i="89" s="1"/>
  <c r="L102" i="89"/>
  <c r="L78" i="89"/>
  <c r="L82" i="89"/>
  <c r="L47" i="89"/>
  <c r="L46" i="89"/>
  <c r="L45" i="89"/>
  <c r="L44" i="89"/>
  <c r="L35" i="89"/>
  <c r="L26" i="89"/>
  <c r="L25" i="89"/>
  <c r="L24" i="89"/>
  <c r="L10" i="89"/>
  <c r="L8" i="89"/>
  <c r="L131" i="89"/>
  <c r="U554" i="64"/>
  <c r="U550" i="64"/>
  <c r="U551" i="64" s="1"/>
  <c r="U547" i="64"/>
  <c r="U540" i="64"/>
  <c r="U535" i="64"/>
  <c r="U519" i="64"/>
  <c r="U518" i="64"/>
  <c r="U494" i="64"/>
  <c r="U482" i="64"/>
  <c r="U517" i="64"/>
  <c r="U481" i="64"/>
  <c r="U516" i="64" s="1"/>
  <c r="U474" i="64"/>
  <c r="U472" i="64"/>
  <c r="U458" i="64"/>
  <c r="U453" i="64"/>
  <c r="U452" i="64"/>
  <c r="U448" i="64"/>
  <c r="U302" i="64" s="1"/>
  <c r="U440" i="64"/>
  <c r="U433" i="64"/>
  <c r="U436" i="64" s="1"/>
  <c r="U425" i="64"/>
  <c r="U300" i="64" s="1"/>
  <c r="U369" i="64"/>
  <c r="U286" i="64" s="1"/>
  <c r="U303" i="64"/>
  <c r="U299" i="64"/>
  <c r="U289" i="64"/>
  <c r="U288" i="64"/>
  <c r="U287" i="64"/>
  <c r="U250" i="64"/>
  <c r="U237" i="64"/>
  <c r="U148" i="64"/>
  <c r="U189" i="64" s="1"/>
  <c r="U219" i="64" s="1"/>
  <c r="U270" i="64" s="1"/>
  <c r="U318" i="64" s="1"/>
  <c r="U364" i="64" s="1"/>
  <c r="U418" i="64" s="1"/>
  <c r="U467" i="64" s="1"/>
  <c r="U510" i="64" s="1"/>
  <c r="U136" i="64"/>
  <c r="U167" i="64" s="1"/>
  <c r="S167" i="64" s="1"/>
  <c r="T167" i="64" s="1"/>
  <c r="U102" i="64"/>
  <c r="U100" i="64"/>
  <c r="U98" i="64"/>
  <c r="U94" i="64"/>
  <c r="U93" i="64"/>
  <c r="U92" i="64"/>
  <c r="U135" i="64" s="1"/>
  <c r="U165" i="64" s="1"/>
  <c r="U91" i="64"/>
  <c r="U82" i="64"/>
  <c r="U129" i="64" s="1"/>
  <c r="U81" i="64"/>
  <c r="U128" i="64" s="1"/>
  <c r="U80" i="64"/>
  <c r="U127" i="64" s="1"/>
  <c r="U79" i="64"/>
  <c r="U126" i="64" s="1"/>
  <c r="U78" i="64"/>
  <c r="U125" i="64" s="1"/>
  <c r="U75" i="64"/>
  <c r="U122" i="64" s="1"/>
  <c r="U74" i="64"/>
  <c r="U121" i="64" s="1"/>
  <c r="U72" i="64"/>
  <c r="U119" i="64" s="1"/>
  <c r="U70" i="64"/>
  <c r="U117" i="64" s="1"/>
  <c r="U45" i="64"/>
  <c r="U46" i="64" s="1"/>
  <c r="U49" i="64" s="1"/>
  <c r="U43" i="64"/>
  <c r="U47" i="64" s="1"/>
  <c r="U50" i="64" s="1"/>
  <c r="U37" i="64"/>
  <c r="U36" i="64"/>
  <c r="U35" i="64"/>
  <c r="U112" i="64"/>
  <c r="U63" i="64"/>
  <c r="U111" i="64" s="1"/>
  <c r="T405" i="56"/>
  <c r="T281" i="56"/>
  <c r="T603" i="56"/>
  <c r="T599" i="56"/>
  <c r="T600" i="56" s="1"/>
  <c r="T596" i="56"/>
  <c r="T590" i="56"/>
  <c r="T585" i="56"/>
  <c r="T576" i="56"/>
  <c r="T568" i="56"/>
  <c r="T582" i="56"/>
  <c r="T560" i="56"/>
  <c r="T544" i="56"/>
  <c r="T538" i="56"/>
  <c r="T532" i="56" s="1"/>
  <c r="T567" i="56" s="1"/>
  <c r="T581" i="56" s="1"/>
  <c r="T531" i="56"/>
  <c r="T566" i="56" s="1"/>
  <c r="T580" i="56" s="1"/>
  <c r="T524" i="56"/>
  <c r="T523" i="56"/>
  <c r="T522" i="56"/>
  <c r="T517" i="56"/>
  <c r="T503" i="56"/>
  <c r="T494" i="56"/>
  <c r="T448" i="56"/>
  <c r="T361" i="56" s="1"/>
  <c r="R361" i="56" s="1"/>
  <c r="T394" i="56"/>
  <c r="T375" i="56"/>
  <c r="T374" i="56"/>
  <c r="T364" i="56"/>
  <c r="T363" i="56"/>
  <c r="T362" i="56"/>
  <c r="T357" i="56"/>
  <c r="T344" i="56"/>
  <c r="T324" i="56"/>
  <c r="T311" i="56"/>
  <c r="T294" i="56"/>
  <c r="T285" i="56"/>
  <c r="T264" i="56"/>
  <c r="T218" i="56"/>
  <c r="T210" i="56"/>
  <c r="T209" i="56"/>
  <c r="T208" i="56"/>
  <c r="T206" i="56"/>
  <c r="T203" i="56"/>
  <c r="T202" i="56"/>
  <c r="T179" i="56"/>
  <c r="T178" i="56"/>
  <c r="S231" i="56"/>
  <c r="T177" i="56"/>
  <c r="T176" i="56"/>
  <c r="T175" i="56"/>
  <c r="T172" i="56"/>
  <c r="T173" i="56" s="1"/>
  <c r="T171" i="56"/>
  <c r="T159" i="56"/>
  <c r="T161" i="56" s="1"/>
  <c r="T150" i="56"/>
  <c r="T151" i="56" s="1"/>
  <c r="T138" i="56"/>
  <c r="T132" i="56"/>
  <c r="T113" i="56"/>
  <c r="T107" i="56"/>
  <c r="T158" i="56" s="1"/>
  <c r="T106" i="56"/>
  <c r="T105" i="56"/>
  <c r="T156" i="56" s="1"/>
  <c r="T104" i="56"/>
  <c r="T155" i="56" s="1"/>
  <c r="T100" i="56"/>
  <c r="T124" i="56" s="1"/>
  <c r="T98" i="56"/>
  <c r="T97" i="56"/>
  <c r="T149" i="56" s="1"/>
  <c r="T94" i="56"/>
  <c r="T95" i="56" s="1"/>
  <c r="T81" i="56"/>
  <c r="T62" i="56"/>
  <c r="T61" i="56"/>
  <c r="T39" i="56"/>
  <c r="T91" i="56" s="1"/>
  <c r="T146" i="56" s="1"/>
  <c r="T38" i="56"/>
  <c r="T54" i="56" s="1"/>
  <c r="T36" i="56"/>
  <c r="T443" i="56"/>
  <c r="T362" i="47"/>
  <c r="T368" i="47"/>
  <c r="T369" i="47"/>
  <c r="T371" i="47"/>
  <c r="T372" i="47"/>
  <c r="T373" i="47"/>
  <c r="T375" i="47"/>
  <c r="T377" i="47"/>
  <c r="T379" i="47"/>
  <c r="T380" i="47"/>
  <c r="T383" i="47"/>
  <c r="T385" i="47"/>
  <c r="T387" i="47"/>
  <c r="T263" i="47"/>
  <c r="T265" i="47"/>
  <c r="T267" i="47"/>
  <c r="T272" i="47"/>
  <c r="T274" i="47"/>
  <c r="T276" i="47"/>
  <c r="T279" i="47"/>
  <c r="T282" i="47"/>
  <c r="T18" i="47"/>
  <c r="U46" i="57"/>
  <c r="AA46" i="57" s="1"/>
  <c r="AA37" i="57"/>
  <c r="U10" i="57"/>
  <c r="AA10" i="57" s="1"/>
  <c r="K8" i="89"/>
  <c r="J8" i="89"/>
  <c r="T878" i="90"/>
  <c r="U878" i="90" s="1"/>
  <c r="T873" i="90"/>
  <c r="U873" i="90" s="1"/>
  <c r="T863" i="90"/>
  <c r="U863" i="90" s="1"/>
  <c r="T862" i="90"/>
  <c r="U862" i="90" s="1"/>
  <c r="T861" i="90"/>
  <c r="U861" i="90" s="1"/>
  <c r="T860" i="90"/>
  <c r="U860" i="90" s="1"/>
  <c r="T857" i="90"/>
  <c r="U857" i="90" s="1"/>
  <c r="T856" i="90"/>
  <c r="U856" i="90" s="1"/>
  <c r="T832" i="90"/>
  <c r="U832" i="90" s="1"/>
  <c r="T827" i="90"/>
  <c r="T537" i="90" s="1"/>
  <c r="U537" i="90" s="1"/>
  <c r="U98" i="57" s="1"/>
  <c r="S98" i="57" s="1"/>
  <c r="T820" i="90"/>
  <c r="T855" i="90" s="1"/>
  <c r="U855" i="90" s="1"/>
  <c r="T819" i="90"/>
  <c r="T854" i="90" s="1"/>
  <c r="U854" i="90" s="1"/>
  <c r="T818" i="90"/>
  <c r="U818" i="90" s="1"/>
  <c r="T813" i="90"/>
  <c r="U813" i="90" s="1"/>
  <c r="T795" i="90"/>
  <c r="U795" i="90" s="1"/>
  <c r="U793" i="90"/>
  <c r="T771" i="90"/>
  <c r="U771" i="90" s="1"/>
  <c r="T763" i="90"/>
  <c r="U763" i="90" s="1"/>
  <c r="T749" i="90"/>
  <c r="U749" i="90" s="1"/>
  <c r="T742" i="90"/>
  <c r="U742" i="90" s="1"/>
  <c r="T735" i="90"/>
  <c r="U735" i="90" s="1"/>
  <c r="T728" i="90"/>
  <c r="U728" i="90" s="1"/>
  <c r="T727" i="90"/>
  <c r="U727" i="90" s="1"/>
  <c r="T726" i="90"/>
  <c r="U726" i="90" s="1"/>
  <c r="T725" i="90"/>
  <c r="U725" i="90" s="1"/>
  <c r="T724" i="90"/>
  <c r="U724" i="90" s="1"/>
  <c r="T723" i="90"/>
  <c r="U723" i="90" s="1"/>
  <c r="T722" i="90"/>
  <c r="U722" i="90" s="1"/>
  <c r="T712" i="90"/>
  <c r="U712" i="90" s="1"/>
  <c r="T710" i="90"/>
  <c r="U710" i="90" s="1"/>
  <c r="T693" i="90"/>
  <c r="U693" i="90" s="1"/>
  <c r="T683" i="90"/>
  <c r="U683" i="90" s="1"/>
  <c r="T639" i="90"/>
  <c r="T715" i="90" s="1"/>
  <c r="U715" i="90" s="1"/>
  <c r="T526" i="90"/>
  <c r="T86" i="57" s="1"/>
  <c r="T168" i="57" s="1"/>
  <c r="T632" i="90"/>
  <c r="U632" i="90" s="1"/>
  <c r="T631" i="90"/>
  <c r="U631" i="90" s="1"/>
  <c r="T630" i="90"/>
  <c r="U630" i="90" s="1"/>
  <c r="T629" i="90"/>
  <c r="T627" i="90"/>
  <c r="U627" i="90" s="1"/>
  <c r="T626" i="90"/>
  <c r="U626" i="90" s="1"/>
  <c r="T625" i="90"/>
  <c r="U625" i="90" s="1"/>
  <c r="T624" i="90"/>
  <c r="U624" i="90" s="1"/>
  <c r="T604" i="90"/>
  <c r="U604" i="90" s="1"/>
  <c r="T601" i="90"/>
  <c r="U601" i="90" s="1"/>
  <c r="T599" i="90"/>
  <c r="U599" i="90" s="1"/>
  <c r="T579" i="90"/>
  <c r="U579" i="90" s="1"/>
  <c r="T565" i="90"/>
  <c r="U565" i="90" s="1"/>
  <c r="T538" i="90"/>
  <c r="U538" i="90" s="1"/>
  <c r="T521" i="90"/>
  <c r="U521" i="90" s="1"/>
  <c r="T498" i="90"/>
  <c r="U498" i="90" s="1"/>
  <c r="T497" i="90"/>
  <c r="U497" i="90" s="1"/>
  <c r="T496" i="90"/>
  <c r="U496" i="90" s="1"/>
  <c r="T490" i="90"/>
  <c r="U490" i="90" s="1"/>
  <c r="T489" i="90"/>
  <c r="U489" i="90" s="1"/>
  <c r="T485" i="90"/>
  <c r="U485" i="90" s="1"/>
  <c r="T474" i="90"/>
  <c r="U474" i="90" s="1"/>
  <c r="T467" i="90"/>
  <c r="U467" i="90" s="1"/>
  <c r="T465" i="90"/>
  <c r="U465" i="90" s="1"/>
  <c r="T396" i="90"/>
  <c r="U396" i="90" s="1"/>
  <c r="T231" i="90"/>
  <c r="U231" i="90" s="1"/>
  <c r="T230" i="90"/>
  <c r="U230" i="90" s="1"/>
  <c r="T229" i="90"/>
  <c r="U229" i="90" s="1"/>
  <c r="T228" i="90"/>
  <c r="U228" i="90" s="1"/>
  <c r="T227" i="90"/>
  <c r="U227" i="90" s="1"/>
  <c r="T226" i="90"/>
  <c r="U226" i="90" s="1"/>
  <c r="T225" i="90"/>
  <c r="U225" i="90" s="1"/>
  <c r="T178" i="90"/>
  <c r="U178" i="90" s="1"/>
  <c r="T177" i="90"/>
  <c r="U177" i="90" s="1"/>
  <c r="T176" i="90"/>
  <c r="U176" i="90" s="1"/>
  <c r="U162" i="90"/>
  <c r="T158" i="90"/>
  <c r="T159" i="90" s="1"/>
  <c r="U159" i="90" s="1"/>
  <c r="T139" i="90"/>
  <c r="U139" i="90" s="1"/>
  <c r="T57" i="90"/>
  <c r="U57" i="90" s="1"/>
  <c r="T52" i="90"/>
  <c r="U52" i="90" s="1"/>
  <c r="J108" i="89"/>
  <c r="K385" i="89"/>
  <c r="K374" i="89"/>
  <c r="K368" i="89"/>
  <c r="K12" i="89" s="1"/>
  <c r="K366" i="89"/>
  <c r="K365" i="89"/>
  <c r="K334" i="89"/>
  <c r="K337" i="89" s="1"/>
  <c r="K336" i="89"/>
  <c r="K319" i="89"/>
  <c r="K318" i="89"/>
  <c r="K317" i="89" s="1"/>
  <c r="K303" i="89"/>
  <c r="K288" i="89"/>
  <c r="K277" i="89"/>
  <c r="K271" i="89"/>
  <c r="K269" i="89"/>
  <c r="K268" i="89"/>
  <c r="K239" i="89"/>
  <c r="K232" i="89"/>
  <c r="K234" i="89" s="1"/>
  <c r="K206" i="89"/>
  <c r="K191" i="89"/>
  <c r="K180" i="89"/>
  <c r="K36" i="89"/>
  <c r="K174" i="89"/>
  <c r="K172" i="89"/>
  <c r="K171" i="89"/>
  <c r="K28" i="89" s="1"/>
  <c r="K162" i="89"/>
  <c r="K139" i="89"/>
  <c r="K142" i="89" s="1"/>
  <c r="K138" i="89"/>
  <c r="K141" i="89" s="1"/>
  <c r="K132" i="89"/>
  <c r="K124" i="89"/>
  <c r="K123" i="89"/>
  <c r="K108" i="89"/>
  <c r="K102" i="89"/>
  <c r="K101" i="89"/>
  <c r="K78" i="89"/>
  <c r="K82" i="89" s="1"/>
  <c r="K57" i="89"/>
  <c r="K47" i="89"/>
  <c r="K46" i="89"/>
  <c r="K45" i="89"/>
  <c r="K44" i="89"/>
  <c r="K35" i="89"/>
  <c r="K26" i="89"/>
  <c r="K25" i="89"/>
  <c r="K24" i="89"/>
  <c r="K19" i="89"/>
  <c r="K10" i="89"/>
  <c r="J385" i="89"/>
  <c r="J374" i="89"/>
  <c r="J368" i="89"/>
  <c r="J366" i="89"/>
  <c r="J11" i="89" s="1"/>
  <c r="J365" i="89"/>
  <c r="J334" i="89"/>
  <c r="J337" i="89" s="1"/>
  <c r="J333" i="89"/>
  <c r="J336" i="89" s="1"/>
  <c r="J319" i="89"/>
  <c r="J317" i="89" s="1"/>
  <c r="J318" i="89"/>
  <c r="J303" i="89"/>
  <c r="J299" i="89"/>
  <c r="J344" i="89" s="1"/>
  <c r="J288" i="89"/>
  <c r="J276" i="89"/>
  <c r="J277" i="89" s="1"/>
  <c r="J271" i="89"/>
  <c r="J269" i="89"/>
  <c r="J268" i="89"/>
  <c r="J232" i="89"/>
  <c r="J236" i="89" s="1"/>
  <c r="J239" i="89" s="1"/>
  <c r="J206" i="89"/>
  <c r="J191" i="89"/>
  <c r="J180" i="89"/>
  <c r="J179" i="89"/>
  <c r="J36" i="89" s="1"/>
  <c r="J174" i="89"/>
  <c r="J12" i="89" s="1"/>
  <c r="J172" i="89"/>
  <c r="J171" i="89"/>
  <c r="J162" i="89"/>
  <c r="J139" i="89"/>
  <c r="J142" i="89" s="1"/>
  <c r="J138" i="89"/>
  <c r="J141" i="89" s="1"/>
  <c r="J132" i="89"/>
  <c r="J124" i="89"/>
  <c r="J106" i="89"/>
  <c r="J104" i="89" s="1"/>
  <c r="J149" i="89" s="1"/>
  <c r="J102" i="89"/>
  <c r="J101" i="89"/>
  <c r="J78" i="89"/>
  <c r="J82" i="89" s="1"/>
  <c r="J57" i="89"/>
  <c r="J47" i="89"/>
  <c r="J46" i="89"/>
  <c r="J45" i="89"/>
  <c r="J44" i="89"/>
  <c r="J35" i="89"/>
  <c r="J26" i="89"/>
  <c r="J25" i="89"/>
  <c r="J24" i="89"/>
  <c r="J19" i="89"/>
  <c r="J10" i="89"/>
  <c r="T161" i="64"/>
  <c r="T178" i="64"/>
  <c r="J123" i="89"/>
  <c r="S224" i="56"/>
  <c r="S233" i="56"/>
  <c r="S252" i="56"/>
  <c r="S254" i="56"/>
  <c r="S52" i="57"/>
  <c r="S50" i="57"/>
  <c r="S40" i="57"/>
  <c r="S39" i="57"/>
  <c r="S74" i="57" s="1"/>
  <c r="S34" i="57"/>
  <c r="S33" i="57"/>
  <c r="S30" i="57"/>
  <c r="S27" i="57"/>
  <c r="S25" i="57"/>
  <c r="S21" i="57"/>
  <c r="S19" i="57"/>
  <c r="S14" i="57"/>
  <c r="S12" i="57"/>
  <c r="S188" i="47"/>
  <c r="S195" i="47"/>
  <c r="S197" i="47"/>
  <c r="S226" i="47"/>
  <c r="S175" i="47"/>
  <c r="S544" i="47"/>
  <c r="R544" i="47"/>
  <c r="S355" i="47"/>
  <c r="S402" i="47" s="1"/>
  <c r="S448" i="47" s="1"/>
  <c r="R355" i="47"/>
  <c r="R402" i="47" s="1"/>
  <c r="R448" i="47" s="1"/>
  <c r="S280" i="47"/>
  <c r="R280" i="47"/>
  <c r="S258" i="47"/>
  <c r="R258" i="47"/>
  <c r="S171" i="47"/>
  <c r="R171" i="47"/>
  <c r="S166" i="47"/>
  <c r="S163" i="47"/>
  <c r="S164" i="47" s="1"/>
  <c r="S139" i="47"/>
  <c r="S211" i="47" s="1"/>
  <c r="R139" i="47"/>
  <c r="R211" i="47" s="1"/>
  <c r="S121" i="47"/>
  <c r="S122" i="47" s="1"/>
  <c r="R121" i="47"/>
  <c r="R122" i="47" s="1"/>
  <c r="S114" i="47"/>
  <c r="R114" i="47"/>
  <c r="S81" i="47"/>
  <c r="S88" i="47" s="1"/>
  <c r="R81" i="47"/>
  <c r="P17" i="56"/>
  <c r="P13" i="56" s="1"/>
  <c r="Q89" i="57"/>
  <c r="Q171" i="57" s="1"/>
  <c r="Q175" i="57"/>
  <c r="AC3" i="57"/>
  <c r="Q633" i="90"/>
  <c r="W521" i="47"/>
  <c r="W381" i="47" s="1"/>
  <c r="U518" i="47"/>
  <c r="U521" i="47" s="1"/>
  <c r="U381" i="47" s="1"/>
  <c r="Q518" i="47"/>
  <c r="Q521" i="47" s="1"/>
  <c r="Q381" i="47" s="1"/>
  <c r="S521" i="47"/>
  <c r="S381" i="47" s="1"/>
  <c r="H151" i="89"/>
  <c r="H179" i="89"/>
  <c r="G9" i="89"/>
  <c r="I8" i="89"/>
  <c r="H276" i="89"/>
  <c r="H248" i="89"/>
  <c r="F10" i="85"/>
  <c r="D9" i="85"/>
  <c r="D8" i="85"/>
  <c r="D7" i="85"/>
  <c r="D11" i="85"/>
  <c r="P72" i="72"/>
  <c r="H333" i="89"/>
  <c r="H336" i="89" s="1"/>
  <c r="H345" i="89" s="1"/>
  <c r="L12" i="79"/>
  <c r="M12" i="79"/>
  <c r="M198" i="79" s="1"/>
  <c r="L13" i="79"/>
  <c r="M13" i="79"/>
  <c r="M208" i="79" s="1"/>
  <c r="L14" i="79"/>
  <c r="L11" i="79" s="1"/>
  <c r="L28" i="79" s="1"/>
  <c r="M14" i="79"/>
  <c r="L15" i="79"/>
  <c r="M15" i="79"/>
  <c r="L16" i="79"/>
  <c r="M16" i="79"/>
  <c r="M218" i="79" s="1"/>
  <c r="L17" i="79"/>
  <c r="P17" i="79"/>
  <c r="P228" i="79" s="1"/>
  <c r="Q17" i="79"/>
  <c r="Q228" i="79" s="1"/>
  <c r="Q234" i="79" s="1"/>
  <c r="R17" i="79"/>
  <c r="S17" i="79"/>
  <c r="L18" i="79"/>
  <c r="M18" i="79"/>
  <c r="N18" i="79"/>
  <c r="O18" i="79"/>
  <c r="P18" i="79"/>
  <c r="Q18" i="79"/>
  <c r="R18" i="79"/>
  <c r="S18" i="79"/>
  <c r="L19" i="79"/>
  <c r="L238" i="79" s="1"/>
  <c r="L20" i="79"/>
  <c r="P20" i="79"/>
  <c r="P248" i="79" s="1"/>
  <c r="Q20" i="79"/>
  <c r="Q248" i="79" s="1"/>
  <c r="R20" i="79"/>
  <c r="R248" i="79" s="1"/>
  <c r="S20" i="79"/>
  <c r="S248" i="79" s="1"/>
  <c r="L21" i="79"/>
  <c r="L258" i="79" s="1"/>
  <c r="M21" i="79"/>
  <c r="L22" i="79"/>
  <c r="M22" i="79"/>
  <c r="N22" i="79"/>
  <c r="L23" i="79"/>
  <c r="L270" i="79" s="1"/>
  <c r="M23" i="79"/>
  <c r="M270" i="79" s="1"/>
  <c r="O24" i="79"/>
  <c r="L25" i="79"/>
  <c r="M25" i="79"/>
  <c r="L26" i="79"/>
  <c r="M26" i="79"/>
  <c r="N31" i="79"/>
  <c r="O31" i="79" s="1"/>
  <c r="P31" i="79"/>
  <c r="N32" i="79"/>
  <c r="N33" i="79"/>
  <c r="N34" i="79"/>
  <c r="N35" i="79"/>
  <c r="O35" i="79" s="1"/>
  <c r="N36" i="79"/>
  <c r="O38" i="79"/>
  <c r="N40" i="79"/>
  <c r="O40" i="79" s="1"/>
  <c r="P40" i="79" s="1"/>
  <c r="O41" i="79"/>
  <c r="P41" i="79"/>
  <c r="Q41" i="79" s="1"/>
  <c r="R41" i="79" s="1"/>
  <c r="S41" i="79" s="1"/>
  <c r="N42" i="79"/>
  <c r="M43" i="79"/>
  <c r="N45" i="79"/>
  <c r="O45" i="79" s="1"/>
  <c r="N46" i="79"/>
  <c r="N47" i="79"/>
  <c r="O47" i="79" s="1"/>
  <c r="P47" i="79" s="1"/>
  <c r="Q47" i="79" s="1"/>
  <c r="R47" i="79" s="1"/>
  <c r="S47" i="79" s="1"/>
  <c r="N48" i="79"/>
  <c r="O48" i="79" s="1"/>
  <c r="P48" i="79" s="1"/>
  <c r="Q48" i="79" s="1"/>
  <c r="N50" i="79"/>
  <c r="O50" i="79" s="1"/>
  <c r="P50" i="79" s="1"/>
  <c r="Q50" i="79" s="1"/>
  <c r="R50" i="79" s="1"/>
  <c r="S50" i="79" s="1"/>
  <c r="N51" i="79"/>
  <c r="O51" i="79" s="1"/>
  <c r="P51" i="79" s="1"/>
  <c r="Q51" i="79" s="1"/>
  <c r="R51" i="79" s="1"/>
  <c r="S51" i="79" s="1"/>
  <c r="N52" i="79"/>
  <c r="N53" i="79"/>
  <c r="O53" i="79"/>
  <c r="N55" i="79"/>
  <c r="N56" i="79"/>
  <c r="M57" i="79"/>
  <c r="M20" i="79" s="1"/>
  <c r="M248" i="79" s="1"/>
  <c r="N57" i="79"/>
  <c r="N20" i="79" s="1"/>
  <c r="O57" i="79"/>
  <c r="O20" i="79" s="1"/>
  <c r="O248" i="79" s="1"/>
  <c r="N58" i="79"/>
  <c r="N59" i="79"/>
  <c r="O59" i="79" s="1"/>
  <c r="N60" i="79"/>
  <c r="O60" i="79"/>
  <c r="N61" i="79"/>
  <c r="O61" i="79"/>
  <c r="P61" i="79" s="1"/>
  <c r="N62" i="79"/>
  <c r="N65" i="79"/>
  <c r="O65" i="79" s="1"/>
  <c r="N66" i="79"/>
  <c r="O66" i="79" s="1"/>
  <c r="N71" i="79"/>
  <c r="N72" i="79"/>
  <c r="O72" i="79"/>
  <c r="P72" i="79" s="1"/>
  <c r="Q72" i="79" s="1"/>
  <c r="R72" i="79" s="1"/>
  <c r="S72" i="79" s="1"/>
  <c r="N73" i="79"/>
  <c r="O73" i="79" s="1"/>
  <c r="P73" i="79" s="1"/>
  <c r="Q73" i="79" s="1"/>
  <c r="R73" i="79" s="1"/>
  <c r="S73" i="79" s="1"/>
  <c r="N74" i="79"/>
  <c r="N75" i="79"/>
  <c r="N242" i="79" s="1"/>
  <c r="N76" i="79"/>
  <c r="N252" i="79" s="1"/>
  <c r="L91" i="79"/>
  <c r="M91" i="79"/>
  <c r="M193" i="79" s="1"/>
  <c r="M285" i="79" s="1"/>
  <c r="N91" i="79"/>
  <c r="N193" i="79" s="1"/>
  <c r="N285" i="79" s="1"/>
  <c r="O91" i="79"/>
  <c r="P91" i="79"/>
  <c r="Q91" i="79"/>
  <c r="R91" i="79"/>
  <c r="S91" i="79"/>
  <c r="L95" i="79"/>
  <c r="L200" i="79" s="1"/>
  <c r="O95" i="79"/>
  <c r="N96" i="79"/>
  <c r="O96" i="79"/>
  <c r="P96" i="79" s="1"/>
  <c r="Q96" i="79" s="1"/>
  <c r="R96" i="79" s="1"/>
  <c r="S96" i="79" s="1"/>
  <c r="N97" i="79"/>
  <c r="O97" i="79" s="1"/>
  <c r="P97" i="79" s="1"/>
  <c r="Q97" i="79" s="1"/>
  <c r="R97" i="79" s="1"/>
  <c r="S97" i="79" s="1"/>
  <c r="N98" i="79"/>
  <c r="O98" i="79" s="1"/>
  <c r="P98" i="79" s="1"/>
  <c r="Q98" i="79" s="1"/>
  <c r="R98" i="79" s="1"/>
  <c r="S98" i="79" s="1"/>
  <c r="N99" i="79"/>
  <c r="O99" i="79" s="1"/>
  <c r="P99" i="79"/>
  <c r="Q99" i="79" s="1"/>
  <c r="R99" i="79" s="1"/>
  <c r="S99" i="79" s="1"/>
  <c r="N101" i="79"/>
  <c r="O101" i="79" s="1"/>
  <c r="P101" i="79" s="1"/>
  <c r="M102" i="79"/>
  <c r="M163" i="79" s="1"/>
  <c r="N102" i="79"/>
  <c r="O102" i="79"/>
  <c r="N105" i="79"/>
  <c r="O105" i="79"/>
  <c r="P105" i="79" s="1"/>
  <c r="Q105" i="79" s="1"/>
  <c r="R105" i="79" s="1"/>
  <c r="S105" i="79" s="1"/>
  <c r="M106" i="79"/>
  <c r="N106" i="79"/>
  <c r="N167" i="79" s="1"/>
  <c r="O106" i="79"/>
  <c r="O167" i="79" s="1"/>
  <c r="N108" i="79"/>
  <c r="O108" i="79" s="1"/>
  <c r="L109" i="79"/>
  <c r="O109" i="79"/>
  <c r="P109" i="79" s="1"/>
  <c r="Q109" i="79" s="1"/>
  <c r="N111" i="79"/>
  <c r="N112" i="79"/>
  <c r="O113" i="79"/>
  <c r="P113" i="79" s="1"/>
  <c r="Q113" i="79" s="1"/>
  <c r="R113" i="79" s="1"/>
  <c r="S113" i="79" s="1"/>
  <c r="N115" i="79"/>
  <c r="O115" i="79" s="1"/>
  <c r="N116" i="79"/>
  <c r="O116" i="79" s="1"/>
  <c r="P116" i="79" s="1"/>
  <c r="Q116" i="79" s="1"/>
  <c r="R116" i="79" s="1"/>
  <c r="S116" i="79" s="1"/>
  <c r="N117" i="79"/>
  <c r="O117" i="79" s="1"/>
  <c r="P117" i="79" s="1"/>
  <c r="Q117" i="79" s="1"/>
  <c r="R117" i="79" s="1"/>
  <c r="S117" i="79" s="1"/>
  <c r="N118" i="79"/>
  <c r="O118" i="79" s="1"/>
  <c r="P118" i="79" s="1"/>
  <c r="Q118" i="79" s="1"/>
  <c r="R118" i="79" s="1"/>
  <c r="S118" i="79" s="1"/>
  <c r="N120" i="79"/>
  <c r="N119" i="79" s="1"/>
  <c r="O120" i="79"/>
  <c r="P120" i="79" s="1"/>
  <c r="N121" i="79"/>
  <c r="O121" i="79" s="1"/>
  <c r="P121" i="79" s="1"/>
  <c r="Q121" i="79" s="1"/>
  <c r="R121" i="79" s="1"/>
  <c r="S121" i="79" s="1"/>
  <c r="N123" i="79"/>
  <c r="O123" i="79" s="1"/>
  <c r="P123" i="79" s="1"/>
  <c r="N124" i="79"/>
  <c r="O124" i="79" s="1"/>
  <c r="P124" i="79" s="1"/>
  <c r="Q124" i="79" s="1"/>
  <c r="R124" i="79" s="1"/>
  <c r="S124" i="79" s="1"/>
  <c r="L125" i="79"/>
  <c r="L220" i="79" s="1"/>
  <c r="P125" i="79"/>
  <c r="Q125" i="79" s="1"/>
  <c r="N126" i="79"/>
  <c r="O126" i="79" s="1"/>
  <c r="P126" i="79" s="1"/>
  <c r="Q126" i="79" s="1"/>
  <c r="R126" i="79" s="1"/>
  <c r="S126" i="79" s="1"/>
  <c r="N128" i="79"/>
  <c r="O128" i="79" s="1"/>
  <c r="N129" i="79"/>
  <c r="O129" i="79" s="1"/>
  <c r="P129" i="79" s="1"/>
  <c r="Q129" i="79" s="1"/>
  <c r="R129" i="79" s="1"/>
  <c r="S129" i="79" s="1"/>
  <c r="N131" i="79"/>
  <c r="O131" i="79" s="1"/>
  <c r="P131" i="79" s="1"/>
  <c r="N132" i="79"/>
  <c r="O132" i="79" s="1"/>
  <c r="P132" i="79" s="1"/>
  <c r="Q132" i="79" s="1"/>
  <c r="R132" i="79" s="1"/>
  <c r="S132" i="79" s="1"/>
  <c r="N134" i="79"/>
  <c r="O134" i="79" s="1"/>
  <c r="P134" i="79" s="1"/>
  <c r="N135" i="79"/>
  <c r="O135" i="79" s="1"/>
  <c r="P135" i="79" s="1"/>
  <c r="Q135" i="79" s="1"/>
  <c r="R135" i="79" s="1"/>
  <c r="S135" i="79" s="1"/>
  <c r="L136" i="79"/>
  <c r="L230" i="79" s="1"/>
  <c r="O137" i="79"/>
  <c r="M139" i="79"/>
  <c r="M137" i="79" s="1"/>
  <c r="N139" i="79"/>
  <c r="N137" i="79" s="1"/>
  <c r="O139" i="79"/>
  <c r="M141" i="79"/>
  <c r="N141" i="79"/>
  <c r="M142" i="79"/>
  <c r="N142" i="79"/>
  <c r="M145" i="79"/>
  <c r="N145" i="79"/>
  <c r="M148" i="79"/>
  <c r="N148" i="79"/>
  <c r="M149" i="79"/>
  <c r="N149" i="79"/>
  <c r="L150" i="79"/>
  <c r="N151" i="79"/>
  <c r="O151" i="79" s="1"/>
  <c r="N153" i="79"/>
  <c r="O153" i="79" s="1"/>
  <c r="O152" i="79" s="1"/>
  <c r="N154" i="79"/>
  <c r="O154" i="79" s="1"/>
  <c r="N156" i="79"/>
  <c r="O156" i="79" s="1"/>
  <c r="P156" i="79" s="1"/>
  <c r="Q156" i="79" s="1"/>
  <c r="R156" i="79" s="1"/>
  <c r="S156" i="79" s="1"/>
  <c r="N157" i="79"/>
  <c r="O157" i="79" s="1"/>
  <c r="N158" i="79"/>
  <c r="O158" i="79" s="1"/>
  <c r="L159" i="79"/>
  <c r="L250" i="79" s="1"/>
  <c r="M160" i="79"/>
  <c r="M159" i="79" s="1"/>
  <c r="M250" i="79" s="1"/>
  <c r="M161" i="79"/>
  <c r="M162" i="79"/>
  <c r="M164" i="79"/>
  <c r="M165" i="79"/>
  <c r="M166" i="79"/>
  <c r="L169" i="79"/>
  <c r="L260" i="79" s="1"/>
  <c r="O169" i="79"/>
  <c r="N170" i="79"/>
  <c r="O170" i="79" s="1"/>
  <c r="N171" i="79"/>
  <c r="O171" i="79" s="1"/>
  <c r="N173" i="79"/>
  <c r="O173" i="79" s="1"/>
  <c r="O172" i="79" s="1"/>
  <c r="N174" i="79"/>
  <c r="O174" i="79" s="1"/>
  <c r="N175" i="79"/>
  <c r="O175" i="79" s="1"/>
  <c r="N176" i="79"/>
  <c r="O176" i="79" s="1"/>
  <c r="L177" i="79"/>
  <c r="L272" i="79" s="1"/>
  <c r="N178" i="79"/>
  <c r="O178" i="79"/>
  <c r="N179" i="79"/>
  <c r="O179" i="79" s="1"/>
  <c r="N180" i="79"/>
  <c r="O180" i="79" s="1"/>
  <c r="N182" i="79"/>
  <c r="O182" i="79" s="1"/>
  <c r="O181" i="79" s="1"/>
  <c r="N183" i="79"/>
  <c r="O183" i="79" s="1"/>
  <c r="N184" i="79"/>
  <c r="O184" i="79"/>
  <c r="L193" i="79"/>
  <c r="O193" i="79"/>
  <c r="P193" i="79"/>
  <c r="Q193" i="79"/>
  <c r="R193" i="79"/>
  <c r="S193" i="79"/>
  <c r="L195" i="79"/>
  <c r="M195" i="79"/>
  <c r="N195" i="79" s="1"/>
  <c r="O195" i="79"/>
  <c r="P195" i="79"/>
  <c r="Q195" i="79"/>
  <c r="R195" i="79"/>
  <c r="S195" i="79"/>
  <c r="L198" i="79"/>
  <c r="M200" i="79"/>
  <c r="N200" i="79"/>
  <c r="L202" i="79"/>
  <c r="M202" i="79"/>
  <c r="L210" i="79"/>
  <c r="M210" i="79"/>
  <c r="L212" i="79"/>
  <c r="M212" i="79"/>
  <c r="M220" i="79"/>
  <c r="L222" i="79"/>
  <c r="M222" i="79"/>
  <c r="S228" i="79"/>
  <c r="P230" i="79"/>
  <c r="Q230" i="79"/>
  <c r="R230" i="79"/>
  <c r="S230" i="79"/>
  <c r="L232" i="79"/>
  <c r="M232" i="79"/>
  <c r="P232" i="79"/>
  <c r="Q232" i="79"/>
  <c r="R232" i="79"/>
  <c r="S232" i="79"/>
  <c r="L240" i="79"/>
  <c r="M240" i="79"/>
  <c r="N240" i="79"/>
  <c r="P240" i="79"/>
  <c r="Q240" i="79"/>
  <c r="R240" i="79"/>
  <c r="S240" i="79"/>
  <c r="L242" i="79"/>
  <c r="M242" i="79"/>
  <c r="P242" i="79"/>
  <c r="Q242" i="79"/>
  <c r="R242" i="79"/>
  <c r="S242" i="79"/>
  <c r="L248" i="79"/>
  <c r="L254" i="79" s="1"/>
  <c r="P250" i="79"/>
  <c r="Q250" i="79"/>
  <c r="R250" i="79"/>
  <c r="S250" i="79"/>
  <c r="L252" i="79"/>
  <c r="M252" i="79"/>
  <c r="O252" i="79"/>
  <c r="P252" i="79"/>
  <c r="Q252" i="79"/>
  <c r="R252" i="79"/>
  <c r="S252" i="79"/>
  <c r="M258" i="79"/>
  <c r="M260" i="79"/>
  <c r="L268" i="79"/>
  <c r="M268" i="79"/>
  <c r="M272" i="79"/>
  <c r="L277" i="79"/>
  <c r="M277" i="79"/>
  <c r="L285" i="79"/>
  <c r="L509" i="79" s="1"/>
  <c r="O285" i="79"/>
  <c r="O606" i="79" s="1"/>
  <c r="P285" i="79"/>
  <c r="Q285" i="79"/>
  <c r="Q459" i="79" s="1"/>
  <c r="R285" i="79"/>
  <c r="R652" i="79" s="1"/>
  <c r="S285" i="79"/>
  <c r="S509" i="79" s="1"/>
  <c r="L287" i="79"/>
  <c r="L330" i="79" s="1"/>
  <c r="O287" i="79"/>
  <c r="O608" i="79" s="1"/>
  <c r="P287" i="79"/>
  <c r="P362" i="79" s="1"/>
  <c r="Q287" i="79"/>
  <c r="Q608" i="79" s="1"/>
  <c r="R287" i="79"/>
  <c r="R654" i="79" s="1"/>
  <c r="S287" i="79"/>
  <c r="S511" i="79" s="1"/>
  <c r="M292" i="79"/>
  <c r="N292" i="79"/>
  <c r="O292" i="79"/>
  <c r="N298" i="79"/>
  <c r="P299" i="79"/>
  <c r="Q299" i="79"/>
  <c r="R299" i="79"/>
  <c r="S299" i="79"/>
  <c r="M300" i="79"/>
  <c r="N300" i="79"/>
  <c r="M301" i="79"/>
  <c r="N301" i="79"/>
  <c r="M302" i="79"/>
  <c r="N302" i="79"/>
  <c r="M315" i="79"/>
  <c r="M422" i="79" s="1"/>
  <c r="N315" i="79"/>
  <c r="N422" i="79" s="1"/>
  <c r="P330" i="79"/>
  <c r="N349" i="79"/>
  <c r="N350" i="79"/>
  <c r="O350" i="79" s="1"/>
  <c r="O360" i="79"/>
  <c r="O362" i="79"/>
  <c r="P367" i="79"/>
  <c r="Q367" i="79"/>
  <c r="R367" i="79"/>
  <c r="S367" i="79"/>
  <c r="S366" i="79" s="1"/>
  <c r="P368" i="79"/>
  <c r="Q368" i="79"/>
  <c r="R368" i="79"/>
  <c r="S368" i="79"/>
  <c r="P369" i="79"/>
  <c r="Q369" i="79"/>
  <c r="R369" i="79"/>
  <c r="S369" i="79"/>
  <c r="M370" i="79"/>
  <c r="M492" i="79" s="1"/>
  <c r="P371" i="79"/>
  <c r="Q371" i="79"/>
  <c r="R371" i="79"/>
  <c r="S371" i="79"/>
  <c r="P376" i="79"/>
  <c r="Q376" i="79"/>
  <c r="R376" i="79"/>
  <c r="S376" i="79"/>
  <c r="M377" i="79"/>
  <c r="N377" i="79" s="1"/>
  <c r="O377" i="79" s="1"/>
  <c r="P377" i="79" s="1"/>
  <c r="Q377" i="79" s="1"/>
  <c r="R377" i="79" s="1"/>
  <c r="S377" i="79" s="1"/>
  <c r="P383" i="79"/>
  <c r="P382" i="79" s="1"/>
  <c r="Q383" i="79"/>
  <c r="R383" i="79"/>
  <c r="S383" i="79"/>
  <c r="P384" i="79"/>
  <c r="Q384" i="79"/>
  <c r="R384" i="79"/>
  <c r="R382" i="79" s="1"/>
  <c r="S384" i="79"/>
  <c r="P385" i="79"/>
  <c r="P386" i="79" s="1"/>
  <c r="Q385" i="79"/>
  <c r="R385" i="79"/>
  <c r="S385" i="79"/>
  <c r="M390" i="79"/>
  <c r="N390" i="79" s="1"/>
  <c r="O390" i="79" s="1"/>
  <c r="P390" i="79" s="1"/>
  <c r="Q390" i="79" s="1"/>
  <c r="R390" i="79" s="1"/>
  <c r="S390" i="79" s="1"/>
  <c r="J398" i="79"/>
  <c r="K398" i="79"/>
  <c r="L398" i="79"/>
  <c r="P412" i="79"/>
  <c r="P417" i="79"/>
  <c r="Q417" i="79"/>
  <c r="R417" i="79"/>
  <c r="S417" i="79"/>
  <c r="P418" i="79"/>
  <c r="Q418" i="79"/>
  <c r="R418" i="79"/>
  <c r="S418" i="79"/>
  <c r="P422" i="79"/>
  <c r="Q422" i="79"/>
  <c r="R422" i="79"/>
  <c r="S422" i="79"/>
  <c r="M428" i="79"/>
  <c r="N428" i="79" s="1"/>
  <c r="O428" i="79" s="1"/>
  <c r="P428" i="79"/>
  <c r="Q428" i="79" s="1"/>
  <c r="R428" i="79" s="1"/>
  <c r="S428" i="79" s="1"/>
  <c r="M429" i="79"/>
  <c r="N429" i="79" s="1"/>
  <c r="O429" i="79" s="1"/>
  <c r="P429" i="79" s="1"/>
  <c r="Q429" i="79" s="1"/>
  <c r="R429" i="79" s="1"/>
  <c r="S429" i="79" s="1"/>
  <c r="M438" i="79"/>
  <c r="N438" i="79"/>
  <c r="O438" i="79"/>
  <c r="P438" i="79"/>
  <c r="Q438" i="79"/>
  <c r="R438" i="79"/>
  <c r="S438" i="79"/>
  <c r="M439" i="79"/>
  <c r="N439" i="79"/>
  <c r="O439" i="79"/>
  <c r="P439" i="79"/>
  <c r="Q439" i="79"/>
  <c r="R439" i="79"/>
  <c r="S439" i="79"/>
  <c r="P461" i="79"/>
  <c r="O468" i="79"/>
  <c r="O469" i="79"/>
  <c r="N471" i="79"/>
  <c r="N474" i="79" s="1"/>
  <c r="O471" i="79"/>
  <c r="O474" i="79" s="1"/>
  <c r="O472" i="79"/>
  <c r="O473" i="79"/>
  <c r="N486" i="79"/>
  <c r="O486" i="79" s="1"/>
  <c r="N487" i="79"/>
  <c r="O487" i="79" s="1"/>
  <c r="O488" i="79"/>
  <c r="N489" i="79"/>
  <c r="O489" i="79" s="1"/>
  <c r="N490" i="79"/>
  <c r="O490" i="79" s="1"/>
  <c r="E501" i="79"/>
  <c r="L511" i="79"/>
  <c r="P511" i="79"/>
  <c r="M514" i="79"/>
  <c r="O514" i="79"/>
  <c r="O426" i="79" s="1"/>
  <c r="M518" i="79"/>
  <c r="M565" i="79" s="1"/>
  <c r="M520" i="79"/>
  <c r="N520" i="79" s="1"/>
  <c r="E521" i="79"/>
  <c r="M526" i="79"/>
  <c r="P526" i="79"/>
  <c r="P565" i="79" s="1"/>
  <c r="M530" i="79"/>
  <c r="M519" i="79" s="1"/>
  <c r="N530" i="79"/>
  <c r="N519" i="79" s="1"/>
  <c r="O530" i="79"/>
  <c r="O519" i="79" s="1"/>
  <c r="M531" i="79"/>
  <c r="N531" i="79"/>
  <c r="O531" i="79"/>
  <c r="F534" i="79"/>
  <c r="E535" i="79"/>
  <c r="E536" i="79"/>
  <c r="E537" i="79" s="1"/>
  <c r="E538" i="79" s="1"/>
  <c r="E539" i="79" s="1"/>
  <c r="E540" i="79" s="1"/>
  <c r="E541" i="79" s="1"/>
  <c r="E542" i="79" s="1"/>
  <c r="E543" i="79" s="1"/>
  <c r="M536" i="79"/>
  <c r="N536" i="79"/>
  <c r="O536" i="79"/>
  <c r="M537" i="79"/>
  <c r="N537" i="79"/>
  <c r="O537" i="79"/>
  <c r="P544" i="79"/>
  <c r="Q544" i="79"/>
  <c r="Q416" i="79" s="1"/>
  <c r="R544" i="79"/>
  <c r="R416" i="79" s="1"/>
  <c r="S544" i="79"/>
  <c r="S416" i="79" s="1"/>
  <c r="L556" i="79"/>
  <c r="L558" i="79"/>
  <c r="M563" i="79"/>
  <c r="N563" i="79"/>
  <c r="N440" i="79" s="1"/>
  <c r="O563" i="79"/>
  <c r="O440" i="79" s="1"/>
  <c r="P563" i="79"/>
  <c r="Q563" i="79"/>
  <c r="R563" i="79"/>
  <c r="R440" i="79" s="1"/>
  <c r="S563" i="79"/>
  <c r="S440" i="79" s="1"/>
  <c r="N565" i="79"/>
  <c r="O565" i="79"/>
  <c r="M571" i="79"/>
  <c r="M574" i="79" s="1"/>
  <c r="N571" i="79" s="1"/>
  <c r="N574" i="79" s="1"/>
  <c r="O571" i="79" s="1"/>
  <c r="O574" i="79" s="1"/>
  <c r="P571" i="79" s="1"/>
  <c r="P574" i="79" s="1"/>
  <c r="Q571" i="79" s="1"/>
  <c r="Q574" i="79" s="1"/>
  <c r="R571" i="79" s="1"/>
  <c r="R574" i="79" s="1"/>
  <c r="S571" i="79" s="1"/>
  <c r="S574" i="79" s="1"/>
  <c r="M578" i="79"/>
  <c r="N578" i="79" s="1"/>
  <c r="O578" i="79" s="1"/>
  <c r="M581" i="79"/>
  <c r="M441" i="79" s="1"/>
  <c r="O581" i="79"/>
  <c r="P581" i="79"/>
  <c r="Q581" i="79"/>
  <c r="R581" i="79"/>
  <c r="S581" i="79"/>
  <c r="M586" i="79"/>
  <c r="N586" i="79"/>
  <c r="O586" i="79"/>
  <c r="O442" i="79" s="1"/>
  <c r="P586" i="79"/>
  <c r="P442" i="79" s="1"/>
  <c r="Q586" i="79"/>
  <c r="R586" i="79"/>
  <c r="R442" i="79" s="1"/>
  <c r="S586" i="79"/>
  <c r="S566" i="79" s="1"/>
  <c r="M590" i="79"/>
  <c r="N590" i="79"/>
  <c r="O590" i="79"/>
  <c r="P590" i="79"/>
  <c r="Q590" i="79"/>
  <c r="R590" i="79"/>
  <c r="S590" i="79"/>
  <c r="M591" i="79"/>
  <c r="N591" i="79"/>
  <c r="O591" i="79"/>
  <c r="P591" i="79"/>
  <c r="Q591" i="79"/>
  <c r="R591" i="79"/>
  <c r="S591" i="79"/>
  <c r="M596" i="79"/>
  <c r="L608" i="79"/>
  <c r="P608" i="79"/>
  <c r="M611" i="79"/>
  <c r="N611" i="79"/>
  <c r="O611" i="79"/>
  <c r="P611" i="79"/>
  <c r="Q611" i="79"/>
  <c r="R611" i="79"/>
  <c r="S611" i="79"/>
  <c r="O612" i="79"/>
  <c r="M613" i="79"/>
  <c r="N613" i="79"/>
  <c r="O613" i="79"/>
  <c r="P613" i="79"/>
  <c r="Q613" i="79"/>
  <c r="R613" i="79"/>
  <c r="S613" i="79"/>
  <c r="M614" i="79"/>
  <c r="P614" i="79"/>
  <c r="N619" i="79"/>
  <c r="O619" i="79" s="1"/>
  <c r="P619" i="79" s="1"/>
  <c r="P657" i="79" s="1"/>
  <c r="P673" i="79" s="1"/>
  <c r="N621" i="79"/>
  <c r="O621" i="79" s="1"/>
  <c r="N622" i="79"/>
  <c r="M623" i="79"/>
  <c r="M389" i="79" s="1"/>
  <c r="N627" i="79"/>
  <c r="N620" i="79" s="1"/>
  <c r="M630" i="79"/>
  <c r="M437" i="79" s="1"/>
  <c r="O630" i="79"/>
  <c r="O437" i="79" s="1"/>
  <c r="P630" i="79"/>
  <c r="P437" i="79" s="1"/>
  <c r="Q630" i="79"/>
  <c r="Q437" i="79" s="1"/>
  <c r="R630" i="79"/>
  <c r="R437" i="79" s="1"/>
  <c r="S630" i="79"/>
  <c r="S437" i="79" s="1"/>
  <c r="M637" i="79"/>
  <c r="Q652" i="79"/>
  <c r="L654" i="79"/>
  <c r="P654" i="79"/>
  <c r="M659" i="79"/>
  <c r="N659" i="79"/>
  <c r="N675" i="79" s="1"/>
  <c r="M662" i="79"/>
  <c r="M665" i="79"/>
  <c r="M673" i="79" s="1"/>
  <c r="O665" i="79"/>
  <c r="M666" i="79"/>
  <c r="M674" i="79" s="1"/>
  <c r="M667" i="79"/>
  <c r="O667" i="79"/>
  <c r="M669" i="79"/>
  <c r="N669" i="79" s="1"/>
  <c r="O669" i="79" s="1"/>
  <c r="M670" i="79"/>
  <c r="O680" i="79"/>
  <c r="P680" i="79" s="1"/>
  <c r="Q680" i="79" s="1"/>
  <c r="R680" i="79"/>
  <c r="S680" i="79" s="1"/>
  <c r="P684" i="79"/>
  <c r="P686" i="79" s="1"/>
  <c r="P311" i="79" s="1"/>
  <c r="P421" i="79" s="1"/>
  <c r="M685" i="79"/>
  <c r="N685" i="79" s="1"/>
  <c r="O685" i="79" s="1"/>
  <c r="P685" i="79" s="1"/>
  <c r="Q685" i="79" s="1"/>
  <c r="R685" i="79" s="1"/>
  <c r="S685" i="79" s="1"/>
  <c r="M11" i="72"/>
  <c r="N11" i="72" s="1"/>
  <c r="O11" i="72" s="1"/>
  <c r="P11" i="72" s="1"/>
  <c r="Q11" i="72" s="1"/>
  <c r="U11" i="72" s="1"/>
  <c r="V11" i="72" s="1"/>
  <c r="W11" i="72" s="1"/>
  <c r="X11" i="72" s="1"/>
  <c r="Y11" i="72" s="1"/>
  <c r="O13" i="72"/>
  <c r="P13" i="72" s="1"/>
  <c r="Q13" i="72" s="1"/>
  <c r="U13" i="72" s="1"/>
  <c r="V13" i="72" s="1"/>
  <c r="W13" i="72" s="1"/>
  <c r="X13" i="72" s="1"/>
  <c r="Y13" i="72" s="1"/>
  <c r="I15" i="72"/>
  <c r="I16" i="72"/>
  <c r="I17" i="72"/>
  <c r="J17" i="72"/>
  <c r="K17" i="72"/>
  <c r="L17" i="72"/>
  <c r="O19" i="72"/>
  <c r="I20" i="72"/>
  <c r="K20" i="72"/>
  <c r="M20" i="72"/>
  <c r="N20" i="72"/>
  <c r="O20" i="72"/>
  <c r="Q20" i="72"/>
  <c r="U20" i="72"/>
  <c r="V20" i="72"/>
  <c r="W20" i="72"/>
  <c r="X20" i="72"/>
  <c r="Y20" i="72"/>
  <c r="J25" i="72"/>
  <c r="J29" i="72" s="1"/>
  <c r="L25" i="72"/>
  <c r="K26" i="72"/>
  <c r="N26" i="72"/>
  <c r="O26" i="72"/>
  <c r="P26" i="72"/>
  <c r="Q26" i="72"/>
  <c r="U26" i="72"/>
  <c r="V26" i="72"/>
  <c r="W26" i="72"/>
  <c r="X26" i="72"/>
  <c r="Y26" i="72"/>
  <c r="I27" i="72"/>
  <c r="L27" i="72"/>
  <c r="M27" i="72" s="1"/>
  <c r="M29" i="72" s="1"/>
  <c r="N28" i="72"/>
  <c r="O28" i="72" s="1"/>
  <c r="P28" i="72" s="1"/>
  <c r="Q28" i="72" s="1"/>
  <c r="K29" i="72"/>
  <c r="L29" i="72"/>
  <c r="L30" i="72" s="1"/>
  <c r="I31" i="72"/>
  <c r="L32" i="72"/>
  <c r="L33" i="72"/>
  <c r="L35" i="72"/>
  <c r="K36" i="72"/>
  <c r="L36" i="72"/>
  <c r="M36" i="72"/>
  <c r="N36" i="72" s="1"/>
  <c r="J37" i="72"/>
  <c r="I38" i="72"/>
  <c r="L38" i="72"/>
  <c r="N39" i="72"/>
  <c r="O39" i="72"/>
  <c r="P39" i="72" s="1"/>
  <c r="Q39" i="72" s="1"/>
  <c r="J40" i="72"/>
  <c r="I41" i="72"/>
  <c r="I42" i="72" s="1"/>
  <c r="J41" i="72"/>
  <c r="J52" i="72" s="1"/>
  <c r="K41" i="72"/>
  <c r="K52" i="72" s="1"/>
  <c r="L43" i="72"/>
  <c r="L44" i="72"/>
  <c r="L47" i="72"/>
  <c r="J48" i="72"/>
  <c r="K48" i="72"/>
  <c r="N48" i="72"/>
  <c r="O48" i="72" s="1"/>
  <c r="P48" i="72" s="1"/>
  <c r="Q48" i="72" s="1"/>
  <c r="U48" i="72" s="1"/>
  <c r="V48" i="72" s="1"/>
  <c r="W48" i="72" s="1"/>
  <c r="X48" i="72" s="1"/>
  <c r="Y48" i="72" s="1"/>
  <c r="I49" i="72"/>
  <c r="K49" i="72"/>
  <c r="L49" i="72"/>
  <c r="M49" i="72" s="1"/>
  <c r="N49" i="72" s="1"/>
  <c r="O49" i="72" s="1"/>
  <c r="P49" i="72" s="1"/>
  <c r="Q49" i="72" s="1"/>
  <c r="N50" i="72"/>
  <c r="O50" i="72" s="1"/>
  <c r="P50" i="72"/>
  <c r="Q50" i="72" s="1"/>
  <c r="U50" i="72" s="1"/>
  <c r="V50" i="72" s="1"/>
  <c r="W50" i="72" s="1"/>
  <c r="X50" i="72" s="1"/>
  <c r="Y50" i="72" s="1"/>
  <c r="J51" i="72"/>
  <c r="K51" i="72"/>
  <c r="K50" i="72" s="1"/>
  <c r="M52" i="72"/>
  <c r="M64" i="72" s="1"/>
  <c r="N52" i="72"/>
  <c r="N64" i="72" s="1"/>
  <c r="O52" i="72"/>
  <c r="O64" i="72" s="1"/>
  <c r="P52" i="72"/>
  <c r="P64" i="72" s="1"/>
  <c r="Q52" i="72"/>
  <c r="Q64" i="72" s="1"/>
  <c r="U52" i="72"/>
  <c r="U64" i="72" s="1"/>
  <c r="V52" i="72"/>
  <c r="V64" i="72" s="1"/>
  <c r="W52" i="72"/>
  <c r="W64" i="72" s="1"/>
  <c r="X52" i="72"/>
  <c r="X64" i="72" s="1"/>
  <c r="Y52" i="72"/>
  <c r="Y64" i="72" s="1"/>
  <c r="K54" i="72"/>
  <c r="K74" i="72" s="1"/>
  <c r="L55" i="72"/>
  <c r="L73" i="72" s="1"/>
  <c r="M59" i="72"/>
  <c r="N59" i="72" s="1"/>
  <c r="O59" i="72" s="1"/>
  <c r="L61" i="72"/>
  <c r="O62" i="72"/>
  <c r="P62" i="72" s="1"/>
  <c r="K63" i="72"/>
  <c r="L62" i="72" s="1"/>
  <c r="M61" i="72" s="1"/>
  <c r="L63" i="72"/>
  <c r="I70" i="72"/>
  <c r="J70" i="72"/>
  <c r="K70" i="72"/>
  <c r="L70" i="72"/>
  <c r="M70" i="72"/>
  <c r="N70" i="72"/>
  <c r="O70" i="72"/>
  <c r="P70" i="72"/>
  <c r="Q70" i="72"/>
  <c r="U70" i="72"/>
  <c r="V70" i="72"/>
  <c r="W70" i="72"/>
  <c r="X70" i="72"/>
  <c r="Y70" i="72"/>
  <c r="I71" i="72"/>
  <c r="I73" i="72"/>
  <c r="J73" i="72"/>
  <c r="K73" i="72"/>
  <c r="M73" i="72"/>
  <c r="O73" i="72"/>
  <c r="Q73" i="72"/>
  <c r="U73" i="72"/>
  <c r="V73" i="72"/>
  <c r="W73" i="72"/>
  <c r="X73" i="72"/>
  <c r="Y73" i="72"/>
  <c r="I74" i="72"/>
  <c r="J74" i="72"/>
  <c r="L74" i="72"/>
  <c r="M74" i="72"/>
  <c r="N74" i="72"/>
  <c r="O74" i="72"/>
  <c r="P74" i="72"/>
  <c r="Q74" i="72"/>
  <c r="U74" i="72"/>
  <c r="V74" i="72"/>
  <c r="W74" i="72"/>
  <c r="X74" i="72"/>
  <c r="Y74" i="72"/>
  <c r="I75" i="72"/>
  <c r="J75" i="72"/>
  <c r="K75" i="72"/>
  <c r="L75" i="72"/>
  <c r="M75" i="72"/>
  <c r="N75" i="72"/>
  <c r="O75" i="72"/>
  <c r="P75" i="72"/>
  <c r="Q75" i="72"/>
  <c r="U75" i="72"/>
  <c r="V75" i="72"/>
  <c r="W75" i="72"/>
  <c r="X75" i="72"/>
  <c r="Y75" i="72"/>
  <c r="K7" i="64"/>
  <c r="K63" i="64" s="1"/>
  <c r="K111" i="64" s="1"/>
  <c r="K9" i="64"/>
  <c r="K150" i="64" s="1"/>
  <c r="K191" i="64" s="1"/>
  <c r="K221" i="64" s="1"/>
  <c r="K272" i="64" s="1"/>
  <c r="K320" i="64" s="1"/>
  <c r="K366" i="64" s="1"/>
  <c r="K420" i="64" s="1"/>
  <c r="K469" i="64" s="1"/>
  <c r="K512" i="64" s="1"/>
  <c r="L13" i="64"/>
  <c r="M13" i="64"/>
  <c r="Q13" i="64"/>
  <c r="Q12" i="64" s="1"/>
  <c r="R13" i="64"/>
  <c r="V17" i="64"/>
  <c r="W17" i="64" s="1"/>
  <c r="X17" i="64" s="1"/>
  <c r="Y17" i="64" s="1"/>
  <c r="Z17" i="64" s="1"/>
  <c r="N18" i="64"/>
  <c r="R18" i="64"/>
  <c r="V18" i="64" s="1"/>
  <c r="W18" i="64" s="1"/>
  <c r="X18" i="64" s="1"/>
  <c r="Y18" i="64" s="1"/>
  <c r="Z18" i="64" s="1"/>
  <c r="L21" i="64"/>
  <c r="M21" i="64"/>
  <c r="Q21" i="64"/>
  <c r="R21" i="64"/>
  <c r="Q24" i="64"/>
  <c r="V26" i="64"/>
  <c r="W26" i="64" s="1"/>
  <c r="X26" i="64" s="1"/>
  <c r="Y26" i="64" s="1"/>
  <c r="Z26" i="64" s="1"/>
  <c r="Q27" i="64"/>
  <c r="R27" i="64" s="1"/>
  <c r="V27" i="64" s="1"/>
  <c r="W27" i="64" s="1"/>
  <c r="X27" i="64" s="1"/>
  <c r="Y27" i="64" s="1"/>
  <c r="Z27" i="64" s="1"/>
  <c r="R28" i="64"/>
  <c r="U28" i="64" s="1"/>
  <c r="V32" i="64"/>
  <c r="W32" i="64" s="1"/>
  <c r="X32" i="64" s="1"/>
  <c r="Y32" i="64" s="1"/>
  <c r="V33" i="64"/>
  <c r="V36" i="64" s="1"/>
  <c r="M34" i="64"/>
  <c r="M37" i="64" s="1"/>
  <c r="V34" i="64"/>
  <c r="V37" i="64" s="1"/>
  <c r="K35" i="64"/>
  <c r="L35" i="64"/>
  <c r="M35" i="64"/>
  <c r="N35" i="64"/>
  <c r="O35" i="64"/>
  <c r="P35" i="64"/>
  <c r="Q35" i="64"/>
  <c r="R35" i="64"/>
  <c r="K36" i="64"/>
  <c r="L36" i="64"/>
  <c r="M36" i="64"/>
  <c r="N36" i="64"/>
  <c r="O36" i="64"/>
  <c r="P36" i="64"/>
  <c r="Q36" i="64"/>
  <c r="R36" i="64"/>
  <c r="K37" i="64"/>
  <c r="L37" i="64"/>
  <c r="Q37" i="64"/>
  <c r="R37" i="64"/>
  <c r="O38" i="64"/>
  <c r="P38" i="64"/>
  <c r="Q38" i="64" s="1"/>
  <c r="R38" i="64" s="1"/>
  <c r="U38" i="64" s="1"/>
  <c r="V39" i="64"/>
  <c r="W39" i="64" s="1"/>
  <c r="X39" i="64" s="1"/>
  <c r="Y39" i="64" s="1"/>
  <c r="Z39" i="64" s="1"/>
  <c r="O40" i="64"/>
  <c r="P40" i="64" s="1"/>
  <c r="Q40" i="64" s="1"/>
  <c r="V41" i="64"/>
  <c r="W41" i="64" s="1"/>
  <c r="O42" i="64"/>
  <c r="P42" i="64" s="1"/>
  <c r="Q42" i="64" s="1"/>
  <c r="R42" i="64" s="1"/>
  <c r="K43" i="64"/>
  <c r="K50" i="64" s="1"/>
  <c r="K47" i="64" s="1"/>
  <c r="M43" i="64"/>
  <c r="N43" i="64"/>
  <c r="N47" i="64"/>
  <c r="N50" i="64" s="1"/>
  <c r="N48" i="64" s="1"/>
  <c r="O43" i="64"/>
  <c r="O47" i="64"/>
  <c r="O50" i="64" s="1"/>
  <c r="P43" i="64"/>
  <c r="P47" i="64" s="1"/>
  <c r="Q43" i="64"/>
  <c r="Q47" i="64" s="1"/>
  <c r="Q50" i="64" s="1"/>
  <c r="Q139" i="64" s="1"/>
  <c r="R43" i="64"/>
  <c r="R47" i="64" s="1"/>
  <c r="R50" i="64" s="1"/>
  <c r="K44" i="64"/>
  <c r="L44" i="64"/>
  <c r="K45" i="64"/>
  <c r="K12" i="64" s="1"/>
  <c r="M45" i="64"/>
  <c r="N45" i="64"/>
  <c r="N46" i="64" s="1"/>
  <c r="N49" i="64" s="1"/>
  <c r="O45" i="64"/>
  <c r="O46" i="64" s="1"/>
  <c r="O49" i="64" s="1"/>
  <c r="P45" i="64"/>
  <c r="P46" i="64" s="1"/>
  <c r="Q45" i="64"/>
  <c r="Q46" i="64" s="1"/>
  <c r="Q49" i="64" s="1"/>
  <c r="R45" i="64"/>
  <c r="R46" i="64"/>
  <c r="R49" i="64" s="1"/>
  <c r="R48" i="64" s="1"/>
  <c r="M46" i="64"/>
  <c r="M47" i="64"/>
  <c r="M48" i="64"/>
  <c r="P48" i="64"/>
  <c r="L49" i="64"/>
  <c r="L46" i="64" s="1"/>
  <c r="L50" i="64"/>
  <c r="J63" i="64"/>
  <c r="J111" i="64" s="1"/>
  <c r="J112" i="64"/>
  <c r="J65" i="64"/>
  <c r="J113" i="64" s="1"/>
  <c r="N67" i="64"/>
  <c r="O67" i="64"/>
  <c r="P67" i="64"/>
  <c r="Q67" i="64"/>
  <c r="R67" i="64"/>
  <c r="V67" i="64" s="1"/>
  <c r="N70" i="64"/>
  <c r="N117" i="64" s="1"/>
  <c r="O70" i="64"/>
  <c r="O117" i="64" s="1"/>
  <c r="P70" i="64"/>
  <c r="P117" i="64" s="1"/>
  <c r="Q70" i="64"/>
  <c r="Q117" i="64" s="1"/>
  <c r="R70" i="64"/>
  <c r="R117" i="64" s="1"/>
  <c r="N71" i="64"/>
  <c r="P71" i="64"/>
  <c r="P118" i="64" s="1"/>
  <c r="Q71" i="64"/>
  <c r="Q73" i="64" s="1"/>
  <c r="Q120" i="64" s="1"/>
  <c r="N72" i="64"/>
  <c r="N119" i="64" s="1"/>
  <c r="O72" i="64"/>
  <c r="O119" i="64" s="1"/>
  <c r="P72" i="64"/>
  <c r="P119" i="64" s="1"/>
  <c r="Q72" i="64"/>
  <c r="Q119" i="64" s="1"/>
  <c r="R72" i="64"/>
  <c r="N73" i="64"/>
  <c r="N120" i="64" s="1"/>
  <c r="P73" i="64"/>
  <c r="P120" i="64" s="1"/>
  <c r="N74" i="64"/>
  <c r="N121" i="64" s="1"/>
  <c r="O74" i="64"/>
  <c r="O121" i="64" s="1"/>
  <c r="P74" i="64"/>
  <c r="P121" i="64" s="1"/>
  <c r="Q74" i="64"/>
  <c r="Q121" i="64" s="1"/>
  <c r="R74" i="64"/>
  <c r="R121" i="64" s="1"/>
  <c r="N75" i="64"/>
  <c r="N122" i="64" s="1"/>
  <c r="O75" i="64"/>
  <c r="O122" i="64" s="1"/>
  <c r="P75" i="64"/>
  <c r="P122" i="64" s="1"/>
  <c r="Q75" i="64"/>
  <c r="Q122" i="64" s="1"/>
  <c r="R75" i="64"/>
  <c r="R122" i="64" s="1"/>
  <c r="N78" i="64"/>
  <c r="N125" i="64" s="1"/>
  <c r="O78" i="64"/>
  <c r="O125" i="64" s="1"/>
  <c r="P78" i="64"/>
  <c r="P125" i="64" s="1"/>
  <c r="Q78" i="64"/>
  <c r="Q125" i="64" s="1"/>
  <c r="R78" i="64"/>
  <c r="R125" i="64" s="1"/>
  <c r="N79" i="64"/>
  <c r="N126" i="64" s="1"/>
  <c r="O79" i="64"/>
  <c r="O126" i="64" s="1"/>
  <c r="P79" i="64"/>
  <c r="P126" i="64" s="1"/>
  <c r="Q79" i="64"/>
  <c r="Q126" i="64" s="1"/>
  <c r="R79" i="64"/>
  <c r="R126" i="64" s="1"/>
  <c r="N80" i="64"/>
  <c r="N127" i="64" s="1"/>
  <c r="O80" i="64"/>
  <c r="O127" i="64" s="1"/>
  <c r="P80" i="64"/>
  <c r="P127" i="64" s="1"/>
  <c r="Q80" i="64"/>
  <c r="Q127" i="64" s="1"/>
  <c r="R80" i="64"/>
  <c r="R127" i="64" s="1"/>
  <c r="N81" i="64"/>
  <c r="N128" i="64" s="1"/>
  <c r="O81" i="64"/>
  <c r="O128" i="64" s="1"/>
  <c r="P81" i="64"/>
  <c r="P128" i="64" s="1"/>
  <c r="Q81" i="64"/>
  <c r="Q128" i="64" s="1"/>
  <c r="R81" i="64"/>
  <c r="R128" i="64"/>
  <c r="N82" i="64"/>
  <c r="N129" i="64" s="1"/>
  <c r="O82" i="64"/>
  <c r="O129" i="64" s="1"/>
  <c r="P82" i="64"/>
  <c r="P129" i="64" s="1"/>
  <c r="Q82" i="64"/>
  <c r="Q129" i="64" s="1"/>
  <c r="R82" i="64"/>
  <c r="R129" i="64" s="1"/>
  <c r="L84" i="64"/>
  <c r="L131" i="64" s="1"/>
  <c r="N84" i="64"/>
  <c r="N159" i="64" s="1"/>
  <c r="O84" i="64"/>
  <c r="O159" i="64" s="1"/>
  <c r="P84" i="64"/>
  <c r="M87" i="64"/>
  <c r="M138" i="64" s="1"/>
  <c r="N87" i="64"/>
  <c r="O87" i="64"/>
  <c r="M88" i="64"/>
  <c r="M139" i="64"/>
  <c r="N88" i="64"/>
  <c r="O88" i="64"/>
  <c r="P88" i="64"/>
  <c r="P139" i="64" s="1"/>
  <c r="L91" i="64"/>
  <c r="N91" i="64"/>
  <c r="O91" i="64"/>
  <c r="P91" i="64"/>
  <c r="Q91" i="64"/>
  <c r="Q135" i="64" s="1"/>
  <c r="Q165" i="64" s="1"/>
  <c r="R91" i="64"/>
  <c r="L92" i="64"/>
  <c r="L135" i="64" s="1"/>
  <c r="L165" i="64" s="1"/>
  <c r="N92" i="64"/>
  <c r="O92" i="64"/>
  <c r="P92" i="64"/>
  <c r="P135" i="64" s="1"/>
  <c r="P165" i="64" s="1"/>
  <c r="Q92" i="64"/>
  <c r="R92" i="64"/>
  <c r="K93" i="64"/>
  <c r="L93" i="64"/>
  <c r="N93" i="64"/>
  <c r="O93" i="64"/>
  <c r="P93" i="64"/>
  <c r="Q93" i="64"/>
  <c r="R93" i="64"/>
  <c r="K94" i="64"/>
  <c r="L94" i="64"/>
  <c r="N94" i="64"/>
  <c r="O94" i="64"/>
  <c r="P94" i="64"/>
  <c r="Q94" i="64"/>
  <c r="R94" i="64"/>
  <c r="N95" i="64"/>
  <c r="J96" i="64"/>
  <c r="J133" i="64" s="1"/>
  <c r="K98" i="64"/>
  <c r="L98" i="64"/>
  <c r="N98" i="64"/>
  <c r="O98" i="64"/>
  <c r="O99" i="64" s="1"/>
  <c r="P98" i="64"/>
  <c r="P96" i="64" s="1"/>
  <c r="P99" i="64"/>
  <c r="Q98" i="64"/>
  <c r="Q99" i="64" s="1"/>
  <c r="R98" i="64"/>
  <c r="R99" i="64" s="1"/>
  <c r="K100" i="64"/>
  <c r="K96" i="64" s="1"/>
  <c r="K133" i="64" s="1"/>
  <c r="L100" i="64"/>
  <c r="L101" i="64" s="1"/>
  <c r="N100" i="64"/>
  <c r="N101" i="64" s="1"/>
  <c r="O100" i="64"/>
  <c r="P100" i="64"/>
  <c r="Q100" i="64"/>
  <c r="R100" i="64"/>
  <c r="R101" i="64" s="1"/>
  <c r="K102" i="64"/>
  <c r="L102" i="64"/>
  <c r="L166" i="64" s="1"/>
  <c r="N102" i="64"/>
  <c r="N166" i="64" s="1"/>
  <c r="O102" i="64"/>
  <c r="O166" i="64"/>
  <c r="P102" i="64"/>
  <c r="Q102" i="64"/>
  <c r="Q166" i="64"/>
  <c r="R102" i="64"/>
  <c r="R166" i="64" s="1"/>
  <c r="L117" i="64"/>
  <c r="L70" i="64" s="1"/>
  <c r="L118" i="64"/>
  <c r="L71" i="64" s="1"/>
  <c r="L119" i="64"/>
  <c r="L72" i="64" s="1"/>
  <c r="L120" i="64"/>
  <c r="L73" i="64" s="1"/>
  <c r="K121" i="64"/>
  <c r="K116" i="64" s="1"/>
  <c r="J121" i="64" s="1"/>
  <c r="L121" i="64"/>
  <c r="L74" i="64" s="1"/>
  <c r="L122" i="64"/>
  <c r="L75" i="64" s="1"/>
  <c r="L125" i="64"/>
  <c r="L78" i="64"/>
  <c r="L126" i="64"/>
  <c r="L79" i="64" s="1"/>
  <c r="L127" i="64"/>
  <c r="L80" i="64" s="1"/>
  <c r="K128" i="64"/>
  <c r="K124" i="64" s="1"/>
  <c r="L128" i="64"/>
  <c r="L81" i="64" s="1"/>
  <c r="L129" i="64"/>
  <c r="L82" i="64" s="1"/>
  <c r="K131" i="64"/>
  <c r="J135" i="64"/>
  <c r="J165" i="64" s="1"/>
  <c r="M136" i="64"/>
  <c r="M167" i="64" s="1"/>
  <c r="N136" i="64"/>
  <c r="N167" i="64" s="1"/>
  <c r="O136" i="64"/>
  <c r="O167" i="64" s="1"/>
  <c r="P136" i="64"/>
  <c r="P167" i="64" s="1"/>
  <c r="Q136" i="64"/>
  <c r="Q167" i="64"/>
  <c r="R136" i="64"/>
  <c r="V136" i="64" s="1"/>
  <c r="V167" i="64" s="1"/>
  <c r="P138" i="64"/>
  <c r="J148" i="64"/>
  <c r="J189" i="64" s="1"/>
  <c r="J219" i="64" s="1"/>
  <c r="J270" i="64" s="1"/>
  <c r="J318" i="64" s="1"/>
  <c r="J364" i="64" s="1"/>
  <c r="J418" i="64" s="1"/>
  <c r="J467" i="64" s="1"/>
  <c r="J510" i="64" s="1"/>
  <c r="J150" i="64"/>
  <c r="J191" i="64" s="1"/>
  <c r="J221" i="64" s="1"/>
  <c r="J272" i="64" s="1"/>
  <c r="J320" i="64" s="1"/>
  <c r="J366" i="64"/>
  <c r="J420" i="64" s="1"/>
  <c r="J469" i="64" s="1"/>
  <c r="J512" i="64" s="1"/>
  <c r="K152" i="64"/>
  <c r="K368" i="64"/>
  <c r="K369" i="64" s="1"/>
  <c r="G393" i="64" s="1"/>
  <c r="N393" i="64" s="1"/>
  <c r="J155" i="64"/>
  <c r="J154" i="64" s="1"/>
  <c r="J162" i="64" s="1"/>
  <c r="K158" i="64"/>
  <c r="N158" i="64"/>
  <c r="J159" i="64"/>
  <c r="K159" i="64"/>
  <c r="J166" i="64"/>
  <c r="K166" i="64"/>
  <c r="J167" i="64"/>
  <c r="K167" i="64"/>
  <c r="L167" i="64"/>
  <c r="J170" i="64"/>
  <c r="N176" i="64"/>
  <c r="N282" i="64"/>
  <c r="M179" i="64"/>
  <c r="M282" i="64" s="1"/>
  <c r="P179" i="64"/>
  <c r="P282" i="64" s="1"/>
  <c r="L209" i="64"/>
  <c r="L210" i="64"/>
  <c r="M210" i="64"/>
  <c r="N210" i="64" s="1"/>
  <c r="O210" i="64" s="1"/>
  <c r="P210" i="64" s="1"/>
  <c r="Q210" i="64" s="1"/>
  <c r="R210" i="64" s="1"/>
  <c r="U210" i="64" s="1"/>
  <c r="J225" i="64"/>
  <c r="J231" i="64" s="1"/>
  <c r="J239" i="64" s="1"/>
  <c r="K227" i="64"/>
  <c r="K228" i="64"/>
  <c r="K229" i="64"/>
  <c r="L237" i="64"/>
  <c r="M237" i="64" s="1"/>
  <c r="O237" i="64"/>
  <c r="P237" i="64" s="1"/>
  <c r="Q237" i="64" s="1"/>
  <c r="R237" i="64" s="1"/>
  <c r="V237" i="64" s="1"/>
  <c r="W237" i="64" s="1"/>
  <c r="X237" i="64" s="1"/>
  <c r="Y237" i="64" s="1"/>
  <c r="Z237" i="64" s="1"/>
  <c r="J242" i="64"/>
  <c r="J246" i="64"/>
  <c r="J252" i="64" s="1"/>
  <c r="J256" i="64" s="1"/>
  <c r="K248" i="64"/>
  <c r="K250" i="64"/>
  <c r="L250" i="64" s="1"/>
  <c r="M250" i="64" s="1"/>
  <c r="O250" i="64"/>
  <c r="P250" i="64" s="1"/>
  <c r="Q250" i="64" s="1"/>
  <c r="R250" i="64" s="1"/>
  <c r="V250" i="64" s="1"/>
  <c r="W250" i="64" s="1"/>
  <c r="X250" i="64" s="1"/>
  <c r="Y250" i="64" s="1"/>
  <c r="Z250" i="64" s="1"/>
  <c r="J254" i="64"/>
  <c r="J260" i="64"/>
  <c r="J261" i="64" s="1"/>
  <c r="K287" i="64"/>
  <c r="N287" i="64"/>
  <c r="O287" i="64"/>
  <c r="P287" i="64"/>
  <c r="Q287" i="64"/>
  <c r="R287" i="64"/>
  <c r="V287" i="64"/>
  <c r="W287" i="64"/>
  <c r="X287" i="64"/>
  <c r="Y287" i="64"/>
  <c r="Z287" i="64"/>
  <c r="L288" i="64"/>
  <c r="M288" i="64" s="1"/>
  <c r="N288" i="64" s="1"/>
  <c r="L289" i="64"/>
  <c r="M289" i="64"/>
  <c r="N289" i="64" s="1"/>
  <c r="O289" i="64" s="1"/>
  <c r="P289" i="64" s="1"/>
  <c r="Q289" i="64" s="1"/>
  <c r="R289" i="64" s="1"/>
  <c r="V289" i="64" s="1"/>
  <c r="W289" i="64" s="1"/>
  <c r="X289" i="64" s="1"/>
  <c r="Y289" i="64" s="1"/>
  <c r="Z289" i="64" s="1"/>
  <c r="K299" i="64"/>
  <c r="L299" i="64"/>
  <c r="M299" i="64"/>
  <c r="N299" i="64"/>
  <c r="N103" i="57" s="1"/>
  <c r="O299" i="64"/>
  <c r="O103" i="57"/>
  <c r="P299" i="64"/>
  <c r="Q299" i="64"/>
  <c r="R299" i="64"/>
  <c r="R103" i="57" s="1"/>
  <c r="V299" i="64"/>
  <c r="V103" i="57" s="1"/>
  <c r="W299" i="64"/>
  <c r="X299" i="64"/>
  <c r="Y299" i="64"/>
  <c r="Z299" i="64"/>
  <c r="K303" i="64"/>
  <c r="N303" i="64"/>
  <c r="O303" i="64"/>
  <c r="P303" i="64"/>
  <c r="Q303" i="64"/>
  <c r="R303" i="64"/>
  <c r="V303" i="64"/>
  <c r="W303" i="64"/>
  <c r="X303" i="64"/>
  <c r="Y303" i="64"/>
  <c r="Z303" i="64"/>
  <c r="J309" i="64"/>
  <c r="K308" i="64" s="1"/>
  <c r="K475" i="64" s="1"/>
  <c r="L326" i="64"/>
  <c r="M326" i="64" s="1"/>
  <c r="O326" i="64"/>
  <c r="P326" i="64" s="1"/>
  <c r="R326" i="64"/>
  <c r="U326" i="64" s="1"/>
  <c r="O327" i="64"/>
  <c r="P327" i="64" s="1"/>
  <c r="Q327" i="64" s="1"/>
  <c r="R327" i="64" s="1"/>
  <c r="O328" i="64"/>
  <c r="P328" i="64" s="1"/>
  <c r="L329" i="64"/>
  <c r="O329" i="64"/>
  <c r="P329" i="64"/>
  <c r="Q329" i="64" s="1"/>
  <c r="R329" i="64" s="1"/>
  <c r="V329" i="64" s="1"/>
  <c r="W329" i="64" s="1"/>
  <c r="X329" i="64" s="1"/>
  <c r="Y329" i="64" s="1"/>
  <c r="Z329" i="64" s="1"/>
  <c r="L330" i="64"/>
  <c r="M330" i="64" s="1"/>
  <c r="P330" i="64"/>
  <c r="R330" i="64"/>
  <c r="V330" i="64" s="1"/>
  <c r="W330" i="64" s="1"/>
  <c r="X330" i="64" s="1"/>
  <c r="Y330" i="64" s="1"/>
  <c r="Z330" i="64" s="1"/>
  <c r="J333" i="64"/>
  <c r="J334" i="64"/>
  <c r="J335" i="64"/>
  <c r="L335" i="64"/>
  <c r="L228" i="64" s="1"/>
  <c r="M335" i="64"/>
  <c r="M228" i="64" s="1"/>
  <c r="J337" i="64"/>
  <c r="J338" i="64"/>
  <c r="L337" i="64"/>
  <c r="L338" i="64" s="1"/>
  <c r="M337" i="64"/>
  <c r="M338" i="64" s="1"/>
  <c r="L342" i="64"/>
  <c r="M342" i="64" s="1"/>
  <c r="O342" i="64"/>
  <c r="P342" i="64" s="1"/>
  <c r="M343" i="64"/>
  <c r="O343" i="64"/>
  <c r="P343" i="64" s="1"/>
  <c r="R343" i="64"/>
  <c r="U343" i="64" s="1"/>
  <c r="O344" i="64"/>
  <c r="P344" i="64" s="1"/>
  <c r="Q344" i="64" s="1"/>
  <c r="R344" i="64" s="1"/>
  <c r="V344" i="64" s="1"/>
  <c r="W344" i="64" s="1"/>
  <c r="X344" i="64" s="1"/>
  <c r="Y344" i="64" s="1"/>
  <c r="Z344" i="64" s="1"/>
  <c r="O345" i="64"/>
  <c r="P345" i="64" s="1"/>
  <c r="Q345" i="64" s="1"/>
  <c r="R345" i="64" s="1"/>
  <c r="J347" i="64"/>
  <c r="J348" i="64"/>
  <c r="K348" i="64"/>
  <c r="J349" i="64"/>
  <c r="K349" i="64"/>
  <c r="J352" i="64"/>
  <c r="J354" i="64" s="1"/>
  <c r="J355" i="64" s="1"/>
  <c r="K352" i="64"/>
  <c r="L352" i="64"/>
  <c r="M352" i="64"/>
  <c r="M354" i="64" s="1"/>
  <c r="J353" i="64"/>
  <c r="K353" i="64"/>
  <c r="K354" i="64"/>
  <c r="L353" i="64"/>
  <c r="L244" i="64" s="1"/>
  <c r="M353" i="64"/>
  <c r="M244" i="64" s="1"/>
  <c r="L369" i="64"/>
  <c r="L286" i="64" s="1"/>
  <c r="L290" i="64" s="1"/>
  <c r="N369" i="64"/>
  <c r="N373" i="64" s="1"/>
  <c r="O369" i="64"/>
  <c r="O373" i="64" s="1"/>
  <c r="G397" i="64" s="1"/>
  <c r="P369" i="64"/>
  <c r="P286" i="64" s="1"/>
  <c r="Q369" i="64"/>
  <c r="Q286" i="64" s="1"/>
  <c r="R369" i="64"/>
  <c r="R286" i="64" s="1"/>
  <c r="W370" i="64"/>
  <c r="X370" i="64" s="1"/>
  <c r="Y370" i="64" s="1"/>
  <c r="Z370" i="64" s="1"/>
  <c r="K372" i="64"/>
  <c r="L373" i="64"/>
  <c r="L375" i="64"/>
  <c r="M375" i="64"/>
  <c r="M287" i="64" s="1"/>
  <c r="K376" i="64"/>
  <c r="G390" i="64" s="1"/>
  <c r="K381" i="64"/>
  <c r="G380" i="64" s="1"/>
  <c r="U380" i="64" s="1"/>
  <c r="G386" i="64"/>
  <c r="Q386" i="64" s="1"/>
  <c r="K387" i="64"/>
  <c r="L383" i="64" s="1"/>
  <c r="G392" i="64"/>
  <c r="I392" i="64"/>
  <c r="F393" i="64"/>
  <c r="I393" i="64"/>
  <c r="I394" i="64"/>
  <c r="I395" i="64"/>
  <c r="I396" i="64"/>
  <c r="I397" i="64"/>
  <c r="I398" i="64"/>
  <c r="W398" i="64" s="1"/>
  <c r="I399" i="64"/>
  <c r="Q399" i="64" s="1"/>
  <c r="I400" i="64"/>
  <c r="N425" i="64"/>
  <c r="O425" i="64"/>
  <c r="O300" i="64" s="1"/>
  <c r="O104" i="57" s="1"/>
  <c r="P425" i="64"/>
  <c r="P300" i="64" s="1"/>
  <c r="Q425" i="64"/>
  <c r="Q473" i="64" s="1"/>
  <c r="R425" i="64"/>
  <c r="V425" i="64"/>
  <c r="V473" i="64" s="1"/>
  <c r="W425" i="64"/>
  <c r="W300" i="64" s="1"/>
  <c r="X425" i="64"/>
  <c r="X300" i="64" s="1"/>
  <c r="Y425" i="64"/>
  <c r="Y300" i="64" s="1"/>
  <c r="Z425" i="64"/>
  <c r="Z473" i="64" s="1"/>
  <c r="M427" i="64"/>
  <c r="M303" i="64" s="1"/>
  <c r="M107" i="57" s="1"/>
  <c r="K429" i="64"/>
  <c r="K474" i="64" s="1"/>
  <c r="J430" i="64"/>
  <c r="K422" i="64" s="1"/>
  <c r="K433" i="64"/>
  <c r="K436" i="64" s="1"/>
  <c r="L433" i="64" s="1"/>
  <c r="L436" i="64" s="1"/>
  <c r="M433" i="64" s="1"/>
  <c r="M436" i="64" s="1"/>
  <c r="N433" i="64" s="1"/>
  <c r="N436" i="64" s="1"/>
  <c r="O433" i="64" s="1"/>
  <c r="O436" i="64" s="1"/>
  <c r="P433" i="64" s="1"/>
  <c r="P436" i="64" s="1"/>
  <c r="Q433" i="64" s="1"/>
  <c r="Q436" i="64" s="1"/>
  <c r="R433" i="64" s="1"/>
  <c r="R436" i="64" s="1"/>
  <c r="V433" i="64" s="1"/>
  <c r="V436" i="64" s="1"/>
  <c r="W433" i="64" s="1"/>
  <c r="W436" i="64" s="1"/>
  <c r="X433" i="64" s="1"/>
  <c r="X436" i="64" s="1"/>
  <c r="Y433" i="64" s="1"/>
  <c r="Y436" i="64" s="1"/>
  <c r="Z433" i="64" s="1"/>
  <c r="Z436" i="64" s="1"/>
  <c r="L440" i="64"/>
  <c r="M440" i="64" s="1"/>
  <c r="N440" i="64" s="1"/>
  <c r="O440" i="64" s="1"/>
  <c r="P440" i="64" s="1"/>
  <c r="Q440" i="64" s="1"/>
  <c r="R440" i="64" s="1"/>
  <c r="V440" i="64" s="1"/>
  <c r="W440" i="64" s="1"/>
  <c r="X440" i="64" s="1"/>
  <c r="Y440" i="64" s="1"/>
  <c r="Z440" i="64" s="1"/>
  <c r="K448" i="64"/>
  <c r="K428" i="64" s="1"/>
  <c r="L448" i="64"/>
  <c r="L302" i="64" s="1"/>
  <c r="M448" i="64"/>
  <c r="M428" i="64" s="1"/>
  <c r="N448" i="64"/>
  <c r="N302" i="64" s="1"/>
  <c r="N106" i="57" s="1"/>
  <c r="O448" i="64"/>
  <c r="O302" i="64" s="1"/>
  <c r="O106" i="57" s="1"/>
  <c r="P448" i="64"/>
  <c r="P302" i="64"/>
  <c r="P106" i="57" s="1"/>
  <c r="Q448" i="64"/>
  <c r="Q428" i="64" s="1"/>
  <c r="R448" i="64"/>
  <c r="R428" i="64" s="1"/>
  <c r="V448" i="64"/>
  <c r="V428" i="64" s="1"/>
  <c r="W448" i="64"/>
  <c r="W302" i="64" s="1"/>
  <c r="X448" i="64"/>
  <c r="X428" i="64" s="1"/>
  <c r="Y448" i="64"/>
  <c r="Y302" i="64" s="1"/>
  <c r="Y428" i="64"/>
  <c r="Z448" i="64"/>
  <c r="Z302" i="64" s="1"/>
  <c r="K452" i="64"/>
  <c r="L452" i="64"/>
  <c r="M452" i="64"/>
  <c r="N452" i="64"/>
  <c r="O452" i="64"/>
  <c r="P452" i="64"/>
  <c r="Q452" i="64"/>
  <c r="R452" i="64"/>
  <c r="V452" i="64"/>
  <c r="W452" i="64"/>
  <c r="X452" i="64"/>
  <c r="Y452" i="64"/>
  <c r="Z452" i="64"/>
  <c r="K453" i="64"/>
  <c r="L453" i="64"/>
  <c r="M453" i="64"/>
  <c r="N453" i="64"/>
  <c r="O453" i="64"/>
  <c r="P453" i="64"/>
  <c r="Q453" i="64"/>
  <c r="R453" i="64"/>
  <c r="V453" i="64"/>
  <c r="W453" i="64"/>
  <c r="X453" i="64"/>
  <c r="Y453" i="64"/>
  <c r="Z453" i="64"/>
  <c r="K457" i="64"/>
  <c r="K425" i="64" s="1"/>
  <c r="L458" i="64"/>
  <c r="M458" i="64" s="1"/>
  <c r="M457" i="64" s="1"/>
  <c r="O458" i="64"/>
  <c r="P458" i="64"/>
  <c r="Q458" i="64" s="1"/>
  <c r="R458" i="64" s="1"/>
  <c r="V458" i="64" s="1"/>
  <c r="W458" i="64" s="1"/>
  <c r="X458" i="64" s="1"/>
  <c r="Y458" i="64" s="1"/>
  <c r="Z458" i="64" s="1"/>
  <c r="K472" i="64"/>
  <c r="L472" i="64"/>
  <c r="M472" i="64"/>
  <c r="N472" i="64"/>
  <c r="O472" i="64"/>
  <c r="P472" i="64"/>
  <c r="Q472" i="64"/>
  <c r="R472" i="64"/>
  <c r="V472" i="64"/>
  <c r="W472" i="64"/>
  <c r="X472" i="64"/>
  <c r="Y472" i="64"/>
  <c r="Z472" i="64"/>
  <c r="O473" i="64"/>
  <c r="L474" i="64"/>
  <c r="M474" i="64"/>
  <c r="N474" i="64"/>
  <c r="O474" i="64"/>
  <c r="P474" i="64"/>
  <c r="Q474" i="64"/>
  <c r="R474" i="64"/>
  <c r="V474" i="64"/>
  <c r="W474" i="64"/>
  <c r="X474" i="64"/>
  <c r="Y474" i="64"/>
  <c r="Z474" i="64"/>
  <c r="K480" i="64"/>
  <c r="K481" i="64"/>
  <c r="L481" i="64" s="1"/>
  <c r="N481" i="64"/>
  <c r="K482" i="64"/>
  <c r="K517" i="64" s="1"/>
  <c r="K531" i="64" s="1"/>
  <c r="L486" i="64"/>
  <c r="M486" i="64"/>
  <c r="N486" i="64"/>
  <c r="N489" i="64" s="1"/>
  <c r="N297" i="64" s="1"/>
  <c r="O486" i="64"/>
  <c r="R489" i="64"/>
  <c r="R297" i="64" s="1"/>
  <c r="V489" i="64"/>
  <c r="V297" i="64" s="1"/>
  <c r="W489" i="64"/>
  <c r="W297" i="64" s="1"/>
  <c r="X489" i="64"/>
  <c r="X297" i="64" s="1"/>
  <c r="K487" i="64"/>
  <c r="L487" i="64"/>
  <c r="M487" i="64"/>
  <c r="M481" i="64" s="1"/>
  <c r="N487" i="64"/>
  <c r="O487" i="64"/>
  <c r="M488" i="64"/>
  <c r="N488" i="64"/>
  <c r="K489" i="64"/>
  <c r="K297" i="64" s="1"/>
  <c r="Q489" i="64"/>
  <c r="Q297" i="64" s="1"/>
  <c r="Y489" i="64"/>
  <c r="Y297" i="64" s="1"/>
  <c r="Z489" i="64"/>
  <c r="Z297" i="64" s="1"/>
  <c r="L494" i="64"/>
  <c r="L495" i="64" s="1"/>
  <c r="L298" i="64" s="1"/>
  <c r="J496" i="64"/>
  <c r="K494" i="64" s="1"/>
  <c r="L496" i="64"/>
  <c r="L248" i="64" s="1"/>
  <c r="L518" i="64"/>
  <c r="L522" i="64"/>
  <c r="M522" i="64"/>
  <c r="N522" i="64"/>
  <c r="O522" i="64"/>
  <c r="P522" i="64"/>
  <c r="Q522" i="64"/>
  <c r="R522" i="64"/>
  <c r="U522" i="64" s="1"/>
  <c r="M523" i="64"/>
  <c r="N523" i="64" s="1"/>
  <c r="O523" i="64" s="1"/>
  <c r="P523" i="64" s="1"/>
  <c r="Q523" i="64" s="1"/>
  <c r="R523" i="64" s="1"/>
  <c r="L524" i="64"/>
  <c r="O524" i="64"/>
  <c r="P524" i="64" s="1"/>
  <c r="Q524" i="64" s="1"/>
  <c r="R524" i="64" s="1"/>
  <c r="L525" i="64"/>
  <c r="M525" i="64" s="1"/>
  <c r="N525" i="64" s="1"/>
  <c r="O525" i="64" s="1"/>
  <c r="P525" i="64" s="1"/>
  <c r="Q525" i="64" s="1"/>
  <c r="R525" i="64" s="1"/>
  <c r="Q526" i="64"/>
  <c r="R526" i="64" s="1"/>
  <c r="U526" i="64" s="1"/>
  <c r="U539" i="64" s="1"/>
  <c r="U541" i="64" s="1"/>
  <c r="U175" i="64" s="1"/>
  <c r="L530" i="64"/>
  <c r="L531" i="64"/>
  <c r="L532" i="64"/>
  <c r="M535" i="64"/>
  <c r="N535" i="64" s="1"/>
  <c r="O535" i="64" s="1"/>
  <c r="P535" i="64" s="1"/>
  <c r="Q535" i="64" s="1"/>
  <c r="R535" i="64" s="1"/>
  <c r="V535" i="64" s="1"/>
  <c r="W535" i="64" s="1"/>
  <c r="X535" i="64" s="1"/>
  <c r="Y535" i="64" s="1"/>
  <c r="Z535" i="64" s="1"/>
  <c r="L540" i="64"/>
  <c r="M540" i="64" s="1"/>
  <c r="N540" i="64" s="1"/>
  <c r="O540" i="64" s="1"/>
  <c r="P540" i="64" s="1"/>
  <c r="Q540" i="64" s="1"/>
  <c r="R540" i="64" s="1"/>
  <c r="V540" i="64" s="1"/>
  <c r="W540" i="64" s="1"/>
  <c r="X540" i="64" s="1"/>
  <c r="Y540" i="64" s="1"/>
  <c r="Z540" i="64" s="1"/>
  <c r="R547" i="64"/>
  <c r="V547" i="64"/>
  <c r="W547" i="64"/>
  <c r="X547" i="64"/>
  <c r="Y547" i="64"/>
  <c r="O7" i="56"/>
  <c r="O443" i="56" s="1"/>
  <c r="O138" i="56"/>
  <c r="K14" i="56"/>
  <c r="K11" i="56"/>
  <c r="K222" i="56" s="1"/>
  <c r="K16" i="56"/>
  <c r="Q16" i="56"/>
  <c r="Q22" i="56" s="1"/>
  <c r="Q25" i="56" s="1"/>
  <c r="K18" i="56"/>
  <c r="L18" i="56" s="1"/>
  <c r="O19" i="56"/>
  <c r="O11" i="56" s="1"/>
  <c r="O222" i="56" s="1"/>
  <c r="I31" i="56"/>
  <c r="I34" i="56"/>
  <c r="I222" i="56" s="1"/>
  <c r="I398" i="56" s="1"/>
  <c r="J31" i="56"/>
  <c r="Q36" i="56"/>
  <c r="U36" i="56" s="1"/>
  <c r="V36" i="56" s="1"/>
  <c r="W36" i="56" s="1"/>
  <c r="X36" i="56" s="1"/>
  <c r="Y36" i="56" s="1"/>
  <c r="L38" i="56"/>
  <c r="L56" i="56" s="1"/>
  <c r="M38" i="56"/>
  <c r="M170" i="56" s="1"/>
  <c r="M237" i="56" s="1"/>
  <c r="N38" i="56"/>
  <c r="N170" i="56" s="1"/>
  <c r="N237" i="56" s="1"/>
  <c r="O38" i="56"/>
  <c r="O54" i="56" s="1"/>
  <c r="P38" i="56"/>
  <c r="P54" i="56" s="1"/>
  <c r="Q38" i="56"/>
  <c r="Q50" i="56" s="1"/>
  <c r="Q39" i="56"/>
  <c r="Q91" i="56" s="1"/>
  <c r="U91" i="56" s="1"/>
  <c r="U39" i="56"/>
  <c r="U41" i="56" s="1"/>
  <c r="V39" i="56"/>
  <c r="V41" i="56" s="1"/>
  <c r="W39" i="56"/>
  <c r="W41" i="56" s="1"/>
  <c r="X39" i="56"/>
  <c r="X41" i="56" s="1"/>
  <c r="Y39" i="56"/>
  <c r="Y41" i="56" s="1"/>
  <c r="O41" i="56"/>
  <c r="P41" i="56"/>
  <c r="Q41" i="56"/>
  <c r="J42" i="56"/>
  <c r="J40" i="56" s="1"/>
  <c r="J105" i="56" s="1"/>
  <c r="U42" i="56"/>
  <c r="V42" i="56" s="1"/>
  <c r="W42" i="56" s="1"/>
  <c r="U43" i="56"/>
  <c r="V43" i="56" s="1"/>
  <c r="W43" i="56" s="1"/>
  <c r="X43" i="56" s="1"/>
  <c r="Y43" i="56" s="1"/>
  <c r="U44" i="56"/>
  <c r="V44" i="56" s="1"/>
  <c r="W44" i="56" s="1"/>
  <c r="X44" i="56" s="1"/>
  <c r="Y44" i="56" s="1"/>
  <c r="O45" i="56"/>
  <c r="U45" i="56"/>
  <c r="V45" i="56" s="1"/>
  <c r="W45" i="56" s="1"/>
  <c r="X45" i="56" s="1"/>
  <c r="Y45" i="56" s="1"/>
  <c r="J46" i="56"/>
  <c r="U46" i="56"/>
  <c r="V46" i="56"/>
  <c r="W46" i="56" s="1"/>
  <c r="X46" i="56" s="1"/>
  <c r="Y46" i="56" s="1"/>
  <c r="J47" i="56"/>
  <c r="U47" i="56"/>
  <c r="V47" i="56" s="1"/>
  <c r="W47" i="56" s="1"/>
  <c r="X47" i="56" s="1"/>
  <c r="Y47" i="56" s="1"/>
  <c r="Q48" i="56"/>
  <c r="U48" i="56" s="1"/>
  <c r="I51" i="56"/>
  <c r="I50" i="56" s="1"/>
  <c r="I14" i="56" s="1"/>
  <c r="J51" i="56"/>
  <c r="J52" i="56"/>
  <c r="N52" i="56"/>
  <c r="O52" i="56"/>
  <c r="P52" i="56" s="1"/>
  <c r="Q52" i="56" s="1"/>
  <c r="U52" i="56" s="1"/>
  <c r="V52" i="56" s="1"/>
  <c r="J53" i="56"/>
  <c r="U53" i="56"/>
  <c r="V53" i="56" s="1"/>
  <c r="K54" i="56"/>
  <c r="K55" i="56" s="1"/>
  <c r="K56" i="56"/>
  <c r="K57" i="56" s="1"/>
  <c r="K59" i="56"/>
  <c r="P61" i="56"/>
  <c r="P72" i="56" s="1"/>
  <c r="P75" i="56" s="1"/>
  <c r="P193" i="56" s="1"/>
  <c r="Q61" i="56"/>
  <c r="Q187" i="56" s="1"/>
  <c r="U61" i="56"/>
  <c r="V61" i="56"/>
  <c r="W61" i="56"/>
  <c r="X61" i="56"/>
  <c r="P62" i="56"/>
  <c r="Q62" i="56"/>
  <c r="U62" i="56"/>
  <c r="V62" i="56"/>
  <c r="W62" i="56"/>
  <c r="X62" i="56"/>
  <c r="Y62" i="56"/>
  <c r="Y63" i="56"/>
  <c r="Y61" i="56" s="1"/>
  <c r="U68" i="56"/>
  <c r="U86" i="56"/>
  <c r="V86" i="56" s="1"/>
  <c r="W86" i="56" s="1"/>
  <c r="I87" i="56"/>
  <c r="K88" i="56"/>
  <c r="M88" i="56"/>
  <c r="M143" i="56" s="1"/>
  <c r="N88" i="56"/>
  <c r="N143" i="56" s="1"/>
  <c r="O88" i="56"/>
  <c r="O143" i="56" s="1"/>
  <c r="P88" i="56"/>
  <c r="P143" i="56" s="1"/>
  <c r="M89" i="56"/>
  <c r="N89" i="56"/>
  <c r="O89" i="56"/>
  <c r="P89" i="56"/>
  <c r="P144" i="56" s="1"/>
  <c r="Q89" i="56"/>
  <c r="U89" i="56" s="1"/>
  <c r="V89" i="56" s="1"/>
  <c r="W89" i="56" s="1"/>
  <c r="K90" i="56"/>
  <c r="M90" i="56"/>
  <c r="M145" i="56" s="1"/>
  <c r="N90" i="56"/>
  <c r="N145" i="56" s="1"/>
  <c r="O90" i="56"/>
  <c r="O145" i="56" s="1"/>
  <c r="P90" i="56"/>
  <c r="P145" i="56"/>
  <c r="Q90" i="56"/>
  <c r="Q145" i="56" s="1"/>
  <c r="K91" i="56"/>
  <c r="M91" i="56"/>
  <c r="M146" i="56" s="1"/>
  <c r="N91" i="56"/>
  <c r="N146" i="56" s="1"/>
  <c r="O91" i="56"/>
  <c r="O146" i="56" s="1"/>
  <c r="P91" i="56"/>
  <c r="P146" i="56" s="1"/>
  <c r="M92" i="56"/>
  <c r="N92" i="56"/>
  <c r="O92" i="56"/>
  <c r="P92" i="56"/>
  <c r="K93" i="56"/>
  <c r="M93" i="56"/>
  <c r="N93" i="56"/>
  <c r="O93" i="56"/>
  <c r="P93" i="56"/>
  <c r="P147" i="56" s="1"/>
  <c r="Q93" i="56"/>
  <c r="U93" i="56" s="1"/>
  <c r="M94" i="56"/>
  <c r="N94" i="56"/>
  <c r="N95" i="56" s="1"/>
  <c r="O66" i="64" s="1"/>
  <c r="O71" i="64" s="1"/>
  <c r="O73" i="64" s="1"/>
  <c r="O120" i="64" s="1"/>
  <c r="O94" i="56"/>
  <c r="O95" i="56" s="1"/>
  <c r="P66" i="64" s="1"/>
  <c r="P94" i="56"/>
  <c r="Q94" i="56"/>
  <c r="K96" i="56"/>
  <c r="M96" i="56"/>
  <c r="N96" i="56"/>
  <c r="O96" i="56"/>
  <c r="P96" i="56"/>
  <c r="M97" i="56"/>
  <c r="M149" i="56" s="1"/>
  <c r="N97" i="56"/>
  <c r="N149" i="56" s="1"/>
  <c r="O97" i="56"/>
  <c r="O149" i="56" s="1"/>
  <c r="P97" i="56"/>
  <c r="P149" i="56"/>
  <c r="Q97" i="56"/>
  <c r="Q149" i="56" s="1"/>
  <c r="L98" i="56"/>
  <c r="M98" i="56"/>
  <c r="N98" i="56"/>
  <c r="O98" i="56"/>
  <c r="P98" i="56"/>
  <c r="Q98" i="56"/>
  <c r="U98" i="56" s="1"/>
  <c r="V98" i="56" s="1"/>
  <c r="W98" i="56" s="1"/>
  <c r="X98" i="56" s="1"/>
  <c r="Y98" i="56" s="1"/>
  <c r="M99" i="56"/>
  <c r="N99" i="56"/>
  <c r="N148" i="56" s="1"/>
  <c r="O99" i="56"/>
  <c r="P99" i="56"/>
  <c r="M100" i="56"/>
  <c r="N100" i="56"/>
  <c r="N101" i="56" s="1"/>
  <c r="O68" i="64" s="1"/>
  <c r="O100" i="56"/>
  <c r="P100" i="56"/>
  <c r="P124" i="56" s="1"/>
  <c r="Q100" i="56"/>
  <c r="Q101" i="56" s="1"/>
  <c r="R68" i="64" s="1"/>
  <c r="V68" i="64" s="1"/>
  <c r="U100" i="56"/>
  <c r="V101" i="56" s="1"/>
  <c r="V100" i="56"/>
  <c r="W100" i="56"/>
  <c r="W124" i="56" s="1"/>
  <c r="X100" i="56"/>
  <c r="Y100" i="56"/>
  <c r="Y124" i="56" s="1"/>
  <c r="I103" i="56"/>
  <c r="K104" i="56"/>
  <c r="M104" i="56"/>
  <c r="M155" i="56" s="1"/>
  <c r="N104" i="56"/>
  <c r="N155" i="56" s="1"/>
  <c r="O104" i="56"/>
  <c r="O155" i="56" s="1"/>
  <c r="P104" i="56"/>
  <c r="P155" i="56" s="1"/>
  <c r="Q104" i="56"/>
  <c r="Q155" i="56"/>
  <c r="K105" i="56"/>
  <c r="M105" i="56"/>
  <c r="M156" i="56" s="1"/>
  <c r="N105" i="56"/>
  <c r="N156" i="56" s="1"/>
  <c r="O105" i="56"/>
  <c r="O156" i="56" s="1"/>
  <c r="P105" i="56"/>
  <c r="P156" i="56" s="1"/>
  <c r="Q105" i="56"/>
  <c r="Q156" i="56" s="1"/>
  <c r="K106" i="56"/>
  <c r="L106" i="56"/>
  <c r="M106" i="56"/>
  <c r="M157" i="56" s="1"/>
  <c r="N106" i="56"/>
  <c r="O106" i="56"/>
  <c r="O157" i="56" s="1"/>
  <c r="Q106" i="56"/>
  <c r="U106" i="56" s="1"/>
  <c r="U157" i="56" s="1"/>
  <c r="K107" i="56"/>
  <c r="M107" i="56"/>
  <c r="M158" i="56" s="1"/>
  <c r="N107" i="56"/>
  <c r="N158" i="56" s="1"/>
  <c r="O107" i="56"/>
  <c r="O158" i="56" s="1"/>
  <c r="P107" i="56"/>
  <c r="P158" i="56" s="1"/>
  <c r="Q107" i="56"/>
  <c r="U107" i="56" s="1"/>
  <c r="V107" i="56" s="1"/>
  <c r="V158" i="56" s="1"/>
  <c r="I109" i="56"/>
  <c r="K109" i="56"/>
  <c r="L109" i="56"/>
  <c r="M111" i="56"/>
  <c r="M112" i="56"/>
  <c r="N113" i="56"/>
  <c r="O113" i="56" s="1"/>
  <c r="U131" i="56"/>
  <c r="V131" i="56" s="1"/>
  <c r="W131" i="56" s="1"/>
  <c r="X131" i="56" s="1"/>
  <c r="P132" i="56"/>
  <c r="Q132" i="56" s="1"/>
  <c r="U132" i="56" s="1"/>
  <c r="V132" i="56" s="1"/>
  <c r="K142" i="56"/>
  <c r="K228" i="56" s="1"/>
  <c r="K227" i="56" s="1"/>
  <c r="K399" i="56" s="1"/>
  <c r="J148" i="56"/>
  <c r="J150" i="56"/>
  <c r="M150" i="56"/>
  <c r="N150" i="56"/>
  <c r="N152" i="56" s="1"/>
  <c r="O150" i="56"/>
  <c r="O152" i="56" s="1"/>
  <c r="P150" i="56"/>
  <c r="P152" i="56" s="1"/>
  <c r="Q150" i="56"/>
  <c r="Q152" i="56" s="1"/>
  <c r="N153" i="56"/>
  <c r="O153" i="56"/>
  <c r="P153" i="56"/>
  <c r="K154" i="56"/>
  <c r="K229" i="56" s="1"/>
  <c r="J156" i="56"/>
  <c r="J159" i="56"/>
  <c r="M159" i="56"/>
  <c r="M161" i="56" s="1"/>
  <c r="N159" i="56"/>
  <c r="N161" i="56" s="1"/>
  <c r="O159" i="56"/>
  <c r="P159" i="56"/>
  <c r="Q159" i="56"/>
  <c r="V160" i="56"/>
  <c r="W160" i="56" s="1"/>
  <c r="J164" i="56"/>
  <c r="K164" i="56"/>
  <c r="K165" i="56"/>
  <c r="K166" i="56"/>
  <c r="K167" i="56"/>
  <c r="O170" i="56"/>
  <c r="O237" i="56" s="1"/>
  <c r="M171" i="56"/>
  <c r="M238" i="56" s="1"/>
  <c r="N171" i="56"/>
  <c r="N238" i="56" s="1"/>
  <c r="O171" i="56"/>
  <c r="O238" i="56" s="1"/>
  <c r="P171" i="56"/>
  <c r="P238" i="56" s="1"/>
  <c r="Q171" i="56"/>
  <c r="U171" i="56" s="1"/>
  <c r="J172" i="56"/>
  <c r="J240" i="56" s="1"/>
  <c r="M172" i="56"/>
  <c r="M174" i="56" s="1"/>
  <c r="M240" i="56" s="1"/>
  <c r="N172" i="56"/>
  <c r="O172" i="56"/>
  <c r="O173" i="56" s="1"/>
  <c r="P172" i="56"/>
  <c r="Q172" i="56"/>
  <c r="U172" i="56" s="1"/>
  <c r="U174" i="56" s="1"/>
  <c r="V173" i="56"/>
  <c r="W173" i="56" s="1"/>
  <c r="X173" i="56" s="1"/>
  <c r="Y173" i="56" s="1"/>
  <c r="M175" i="56"/>
  <c r="M230" i="56"/>
  <c r="N175" i="56"/>
  <c r="N230" i="56" s="1"/>
  <c r="O175" i="56"/>
  <c r="O230" i="56" s="1"/>
  <c r="P175" i="56"/>
  <c r="Q175" i="56"/>
  <c r="U175" i="56" s="1"/>
  <c r="J176" i="56"/>
  <c r="N176" i="56"/>
  <c r="O176" i="56"/>
  <c r="O239" i="56" s="1"/>
  <c r="P176" i="56"/>
  <c r="Q176" i="56"/>
  <c r="U176" i="56" s="1"/>
  <c r="K177" i="56"/>
  <c r="K169" i="56" s="1"/>
  <c r="M177" i="56"/>
  <c r="M232" i="56" s="1"/>
  <c r="N177" i="56"/>
  <c r="N232" i="56" s="1"/>
  <c r="O177" i="56"/>
  <c r="O232" i="56" s="1"/>
  <c r="P177" i="56"/>
  <c r="Q177" i="56"/>
  <c r="U177" i="56" s="1"/>
  <c r="V177" i="56" s="1"/>
  <c r="W177" i="56" s="1"/>
  <c r="X177" i="56" s="1"/>
  <c r="Y177" i="56" s="1"/>
  <c r="M178" i="56"/>
  <c r="M231" i="56" s="1"/>
  <c r="N178" i="56"/>
  <c r="N231" i="56" s="1"/>
  <c r="O178" i="56"/>
  <c r="O231" i="56" s="1"/>
  <c r="P178" i="56"/>
  <c r="Q178" i="56"/>
  <c r="M179" i="56"/>
  <c r="N179" i="56"/>
  <c r="O179" i="56"/>
  <c r="P179" i="56"/>
  <c r="Q179" i="56"/>
  <c r="P195" i="56"/>
  <c r="P196" i="56"/>
  <c r="P197" i="56"/>
  <c r="P202" i="56"/>
  <c r="Q202" i="56"/>
  <c r="P203" i="56"/>
  <c r="P205" i="56" s="1"/>
  <c r="Q203" i="56"/>
  <c r="Q205" i="56" s="1"/>
  <c r="P206" i="56"/>
  <c r="Q206" i="56"/>
  <c r="P208" i="56"/>
  <c r="Q208" i="56"/>
  <c r="P209" i="56"/>
  <c r="Q209" i="56"/>
  <c r="P210" i="56"/>
  <c r="Q210" i="56"/>
  <c r="J222" i="56"/>
  <c r="J398" i="56" s="1"/>
  <c r="J230" i="56"/>
  <c r="K230" i="56"/>
  <c r="J231" i="56"/>
  <c r="K231" i="56"/>
  <c r="J232" i="56"/>
  <c r="K232" i="56"/>
  <c r="J237" i="56"/>
  <c r="K237" i="56"/>
  <c r="J238" i="56"/>
  <c r="K238" i="56"/>
  <c r="J239" i="56"/>
  <c r="K239" i="56"/>
  <c r="K240" i="56"/>
  <c r="I246" i="56"/>
  <c r="J250" i="56"/>
  <c r="M250" i="56"/>
  <c r="M357" i="56" s="1"/>
  <c r="N250" i="56"/>
  <c r="N357" i="56"/>
  <c r="M253" i="56"/>
  <c r="M356" i="56" s="1"/>
  <c r="N253" i="56"/>
  <c r="N356" i="56" s="1"/>
  <c r="O253" i="56"/>
  <c r="O356" i="56" s="1"/>
  <c r="J284" i="56"/>
  <c r="K284" i="56" s="1"/>
  <c r="L284" i="56" s="1"/>
  <c r="J285" i="56"/>
  <c r="K285" i="56" s="1"/>
  <c r="L285" i="56" s="1"/>
  <c r="M285" i="56" s="1"/>
  <c r="N285" i="56" s="1"/>
  <c r="O285" i="56" s="1"/>
  <c r="P285" i="56" s="1"/>
  <c r="Q285" i="56" s="1"/>
  <c r="U285" i="56" s="1"/>
  <c r="V285" i="56" s="1"/>
  <c r="W285" i="56" s="1"/>
  <c r="X285" i="56" s="1"/>
  <c r="Y285" i="56" s="1"/>
  <c r="O294" i="56"/>
  <c r="I299" i="56"/>
  <c r="I300" i="56"/>
  <c r="J303" i="56"/>
  <c r="J310" i="56"/>
  <c r="K310" i="56"/>
  <c r="K311" i="56"/>
  <c r="L311" i="56"/>
  <c r="M311" i="56" s="1"/>
  <c r="N311" i="56" s="1"/>
  <c r="O311" i="56" s="1"/>
  <c r="P311" i="56" s="1"/>
  <c r="Q311" i="56" s="1"/>
  <c r="U311" i="56" s="1"/>
  <c r="V311" i="56" s="1"/>
  <c r="W311" i="56" s="1"/>
  <c r="X311" i="56" s="1"/>
  <c r="Y311" i="56" s="1"/>
  <c r="I316" i="56"/>
  <c r="I320" i="56" s="1"/>
  <c r="I326" i="56" s="1"/>
  <c r="J317" i="56"/>
  <c r="J319" i="56"/>
  <c r="J322" i="56"/>
  <c r="K322" i="56"/>
  <c r="L322" i="56"/>
  <c r="K324" i="56"/>
  <c r="L324" i="56"/>
  <c r="M324" i="56" s="1"/>
  <c r="N324" i="56" s="1"/>
  <c r="O324" i="56" s="1"/>
  <c r="P324" i="56" s="1"/>
  <c r="Q324" i="56" s="1"/>
  <c r="U324" i="56" s="1"/>
  <c r="V324" i="56" s="1"/>
  <c r="W324" i="56" s="1"/>
  <c r="X324" i="56" s="1"/>
  <c r="Y324" i="56" s="1"/>
  <c r="I328" i="56"/>
  <c r="J357" i="56"/>
  <c r="K357" i="56"/>
  <c r="O357" i="56"/>
  <c r="P357" i="56"/>
  <c r="Q357" i="56"/>
  <c r="U357" i="56"/>
  <c r="V357" i="56"/>
  <c r="W357" i="56"/>
  <c r="X357" i="56"/>
  <c r="Y357" i="56"/>
  <c r="J361" i="56"/>
  <c r="K361" i="56"/>
  <c r="U361" i="56"/>
  <c r="V361" i="56"/>
  <c r="W361" i="56"/>
  <c r="X361" i="56"/>
  <c r="Y361" i="56"/>
  <c r="K362" i="56"/>
  <c r="L362" i="56"/>
  <c r="M362" i="56"/>
  <c r="N362" i="56"/>
  <c r="O362" i="56"/>
  <c r="P362" i="56"/>
  <c r="Q362" i="56"/>
  <c r="U362" i="56"/>
  <c r="V362" i="56"/>
  <c r="W362" i="56"/>
  <c r="X362" i="56"/>
  <c r="Y362" i="56"/>
  <c r="J363" i="56"/>
  <c r="K363" i="56" s="1"/>
  <c r="J364" i="56"/>
  <c r="K364" i="56" s="1"/>
  <c r="L364" i="56" s="1"/>
  <c r="M364" i="56" s="1"/>
  <c r="N364" i="56" s="1"/>
  <c r="O364" i="56" s="1"/>
  <c r="P364" i="56" s="1"/>
  <c r="Q364" i="56" s="1"/>
  <c r="U364" i="56" s="1"/>
  <c r="V364" i="56" s="1"/>
  <c r="W364" i="56" s="1"/>
  <c r="X364" i="56" s="1"/>
  <c r="Y364" i="56" s="1"/>
  <c r="M373" i="56"/>
  <c r="J374" i="56"/>
  <c r="K374" i="56"/>
  <c r="L374" i="56"/>
  <c r="M374" i="56"/>
  <c r="N374" i="56"/>
  <c r="O374" i="56"/>
  <c r="P374" i="56"/>
  <c r="Q374" i="56"/>
  <c r="U374" i="56"/>
  <c r="V374" i="56"/>
  <c r="W374" i="56"/>
  <c r="X374" i="56"/>
  <c r="Y374" i="56"/>
  <c r="K375" i="56"/>
  <c r="L375" i="56"/>
  <c r="M375" i="56"/>
  <c r="N375" i="56"/>
  <c r="O375" i="56"/>
  <c r="P375" i="56"/>
  <c r="Q375" i="56"/>
  <c r="U375" i="56"/>
  <c r="V375" i="56"/>
  <c r="W375" i="56"/>
  <c r="X375" i="56"/>
  <c r="Y375" i="56"/>
  <c r="I383" i="56"/>
  <c r="I399" i="56"/>
  <c r="K402" i="56"/>
  <c r="L402" i="56" s="1"/>
  <c r="Q402" i="56"/>
  <c r="T402" i="56" s="1"/>
  <c r="K403" i="56"/>
  <c r="M403" i="56"/>
  <c r="N403" i="56"/>
  <c r="O403" i="56" s="1"/>
  <c r="P403" i="56" s="1"/>
  <c r="Q403" i="56" s="1"/>
  <c r="N404" i="56"/>
  <c r="O404" i="56" s="1"/>
  <c r="K406" i="56"/>
  <c r="L406" i="56" s="1"/>
  <c r="K407" i="56"/>
  <c r="L407" i="56" s="1"/>
  <c r="N407" i="56"/>
  <c r="O407" i="56" s="1"/>
  <c r="P407" i="56" s="1"/>
  <c r="Q407" i="56" s="1"/>
  <c r="U407" i="56" s="1"/>
  <c r="V407" i="56" s="1"/>
  <c r="W407" i="56" s="1"/>
  <c r="X407" i="56" s="1"/>
  <c r="Y407" i="56" s="1"/>
  <c r="K408" i="56"/>
  <c r="L408" i="56" s="1"/>
  <c r="I412" i="56"/>
  <c r="I413" i="56"/>
  <c r="J413" i="56"/>
  <c r="J302" i="56" s="1"/>
  <c r="I414" i="56"/>
  <c r="I416" i="56"/>
  <c r="I417" i="56" s="1"/>
  <c r="J417" i="56"/>
  <c r="K421" i="56"/>
  <c r="L421" i="56" s="1"/>
  <c r="M421" i="56" s="1"/>
  <c r="N421" i="56" s="1"/>
  <c r="K422" i="56"/>
  <c r="K423" i="56"/>
  <c r="L423" i="56" s="1"/>
  <c r="K424" i="56"/>
  <c r="L424" i="56"/>
  <c r="M424" i="56" s="1"/>
  <c r="N424" i="56" s="1"/>
  <c r="O424" i="56" s="1"/>
  <c r="P424" i="56" s="1"/>
  <c r="Q424" i="56" s="1"/>
  <c r="T424" i="56" s="1"/>
  <c r="I426" i="56"/>
  <c r="J426" i="56"/>
  <c r="J429" i="56" s="1"/>
  <c r="I427" i="56"/>
  <c r="J427" i="56"/>
  <c r="J305" i="56" s="1"/>
  <c r="I428" i="56"/>
  <c r="L428" i="56"/>
  <c r="L310" i="56" s="1"/>
  <c r="I431" i="56"/>
  <c r="I432" i="56"/>
  <c r="J447" i="56"/>
  <c r="J449" i="56" s="1"/>
  <c r="L448" i="56"/>
  <c r="M448" i="56"/>
  <c r="M361" i="56" s="1"/>
  <c r="O448" i="56"/>
  <c r="O361" i="56" s="1"/>
  <c r="P448" i="56"/>
  <c r="F477" i="56" s="1"/>
  <c r="Q448" i="56"/>
  <c r="Q361" i="56" s="1"/>
  <c r="J452" i="56"/>
  <c r="K452" i="56"/>
  <c r="U452" i="56"/>
  <c r="V452" i="56"/>
  <c r="W452" i="56"/>
  <c r="X452" i="56"/>
  <c r="Y452" i="56"/>
  <c r="J454" i="56"/>
  <c r="J485" i="56"/>
  <c r="J350" i="56" s="1"/>
  <c r="J455" i="56"/>
  <c r="J362" i="56" s="1"/>
  <c r="I456" i="56"/>
  <c r="J451" i="56" s="1"/>
  <c r="J456" i="56"/>
  <c r="J308" i="56" s="1"/>
  <c r="J459" i="56"/>
  <c r="J503" i="56" s="1"/>
  <c r="K460" i="56"/>
  <c r="L460" i="56" s="1"/>
  <c r="J461" i="56"/>
  <c r="K458" i="56" s="1"/>
  <c r="F467" i="56"/>
  <c r="W467" i="56" s="1"/>
  <c r="F470" i="56"/>
  <c r="H470" i="56"/>
  <c r="E471" i="56"/>
  <c r="F471" i="56" s="1"/>
  <c r="O471" i="56" s="1"/>
  <c r="E472" i="56"/>
  <c r="E473" i="56" s="1"/>
  <c r="E474" i="56" s="1"/>
  <c r="H472" i="56"/>
  <c r="H473" i="56"/>
  <c r="H474" i="56"/>
  <c r="H477" i="56"/>
  <c r="Q477" i="56" s="1"/>
  <c r="F479" i="56"/>
  <c r="V479" i="56" s="1"/>
  <c r="F480" i="56"/>
  <c r="V480" i="56" s="1"/>
  <c r="F481" i="56"/>
  <c r="Y481" i="56" s="1"/>
  <c r="F482" i="56"/>
  <c r="Y482" i="56" s="1"/>
  <c r="F483" i="56"/>
  <c r="Y483" i="56"/>
  <c r="I485" i="56"/>
  <c r="J486" i="56"/>
  <c r="J498" i="56"/>
  <c r="K503" i="56"/>
  <c r="L503" i="56"/>
  <c r="M503" i="56"/>
  <c r="N503" i="56"/>
  <c r="O503" i="56"/>
  <c r="P503" i="56"/>
  <c r="Q503" i="56"/>
  <c r="U503" i="56"/>
  <c r="V503" i="56"/>
  <c r="W503" i="56"/>
  <c r="X503" i="56"/>
  <c r="Y503" i="56"/>
  <c r="J505" i="56"/>
  <c r="J524" i="56" s="1"/>
  <c r="J522" i="56"/>
  <c r="K522" i="56"/>
  <c r="L522" i="56"/>
  <c r="M522" i="56"/>
  <c r="N522" i="56"/>
  <c r="O522" i="56"/>
  <c r="P522" i="56"/>
  <c r="Q522" i="56"/>
  <c r="U522" i="56"/>
  <c r="V522" i="56"/>
  <c r="W522" i="56"/>
  <c r="X522" i="56"/>
  <c r="Y522" i="56"/>
  <c r="J523" i="56"/>
  <c r="K523" i="56"/>
  <c r="L523" i="56"/>
  <c r="M523" i="56"/>
  <c r="N523" i="56"/>
  <c r="O523" i="56"/>
  <c r="P523" i="56"/>
  <c r="Q523" i="56"/>
  <c r="U523" i="56"/>
  <c r="V523" i="56"/>
  <c r="W523" i="56"/>
  <c r="X523" i="56"/>
  <c r="Y523" i="56"/>
  <c r="K524" i="56"/>
  <c r="L524" i="56"/>
  <c r="M524" i="56"/>
  <c r="N524" i="56"/>
  <c r="O524" i="56"/>
  <c r="P524" i="56"/>
  <c r="Q524" i="56"/>
  <c r="U524" i="56"/>
  <c r="V524" i="56"/>
  <c r="W524" i="56"/>
  <c r="X524" i="56"/>
  <c r="Y524" i="56"/>
  <c r="J525" i="56"/>
  <c r="I530" i="56"/>
  <c r="J530" i="56"/>
  <c r="J531" i="56"/>
  <c r="J566" i="56" s="1"/>
  <c r="K531" i="56"/>
  <c r="L531" i="56" s="1"/>
  <c r="M531" i="56" s="1"/>
  <c r="N531" i="56" s="1"/>
  <c r="O531" i="56" s="1"/>
  <c r="J532" i="56"/>
  <c r="J567" i="56" s="1"/>
  <c r="J581" i="56" s="1"/>
  <c r="C536" i="56"/>
  <c r="C565" i="56" s="1"/>
  <c r="C572" i="56" s="1"/>
  <c r="C579" i="56" s="1"/>
  <c r="L536" i="56"/>
  <c r="L539" i="56" s="1"/>
  <c r="Y536" i="56"/>
  <c r="L537" i="56"/>
  <c r="M537" i="56"/>
  <c r="M539" i="56" s="1"/>
  <c r="M372" i="56" s="1"/>
  <c r="N537" i="56"/>
  <c r="O537" i="56"/>
  <c r="O539" i="56" s="1"/>
  <c r="O372" i="56" s="1"/>
  <c r="N538" i="56"/>
  <c r="O538" i="56"/>
  <c r="J539" i="56"/>
  <c r="J372" i="56" s="1"/>
  <c r="K539" i="56"/>
  <c r="K372" i="56" s="1"/>
  <c r="L372" i="56"/>
  <c r="J544" i="56"/>
  <c r="J545" i="56" s="1"/>
  <c r="J373" i="56" s="1"/>
  <c r="K544" i="56"/>
  <c r="K545" i="56" s="1"/>
  <c r="K373" i="56" s="1"/>
  <c r="L544" i="56"/>
  <c r="L545" i="56" s="1"/>
  <c r="L373" i="56" s="1"/>
  <c r="L378" i="56" s="1"/>
  <c r="M544" i="56"/>
  <c r="M546" i="56" s="1"/>
  <c r="N568" i="56" s="1"/>
  <c r="I551" i="56"/>
  <c r="J569" i="56" s="1"/>
  <c r="J589" i="56" s="1"/>
  <c r="J568" i="56"/>
  <c r="K568" i="56"/>
  <c r="L568" i="56"/>
  <c r="M568" i="56"/>
  <c r="I572" i="56"/>
  <c r="J572" i="56"/>
  <c r="K572" i="56"/>
  <c r="L572" i="56" s="1"/>
  <c r="M572" i="56" s="1"/>
  <c r="N572" i="56" s="1"/>
  <c r="O572" i="56"/>
  <c r="P572" i="56"/>
  <c r="Q572" i="56"/>
  <c r="I573" i="56"/>
  <c r="M573" i="56"/>
  <c r="N573" i="56"/>
  <c r="O573" i="56"/>
  <c r="P573" i="56"/>
  <c r="U573" i="56"/>
  <c r="V573" i="56"/>
  <c r="W573" i="56"/>
  <c r="X573" i="56"/>
  <c r="Y573" i="56"/>
  <c r="J574" i="56"/>
  <c r="K574" i="56" s="1"/>
  <c r="L574" i="56" s="1"/>
  <c r="M574" i="56" s="1"/>
  <c r="N574" i="56"/>
  <c r="O574" i="56"/>
  <c r="P574" i="56"/>
  <c r="I575" i="56"/>
  <c r="I582" i="56" s="1"/>
  <c r="U575" i="56"/>
  <c r="V575" i="56" s="1"/>
  <c r="W575" i="56" s="1"/>
  <c r="X575" i="56" s="1"/>
  <c r="Y575" i="56" s="1"/>
  <c r="P576" i="56"/>
  <c r="Q576" i="56" s="1"/>
  <c r="U576" i="56" s="1"/>
  <c r="V576" i="56" s="1"/>
  <c r="W576" i="56" s="1"/>
  <c r="X576" i="56" s="1"/>
  <c r="Y576" i="56" s="1"/>
  <c r="I579" i="56"/>
  <c r="I581" i="56"/>
  <c r="J585" i="56"/>
  <c r="K585" i="56" s="1"/>
  <c r="L585" i="56" s="1"/>
  <c r="M585" i="56" s="1"/>
  <c r="N585" i="56" s="1"/>
  <c r="O585" i="56" s="1"/>
  <c r="P585" i="56" s="1"/>
  <c r="Q585" i="56" s="1"/>
  <c r="U585" i="56" s="1"/>
  <c r="V585" i="56" s="1"/>
  <c r="W585" i="56" s="1"/>
  <c r="X585" i="56" s="1"/>
  <c r="Y585" i="56" s="1"/>
  <c r="I589" i="56"/>
  <c r="I591" i="56" s="1"/>
  <c r="I249" i="56" s="1"/>
  <c r="J44" i="57" s="1"/>
  <c r="J590" i="56"/>
  <c r="K590" i="56" s="1"/>
  <c r="L590" i="56" s="1"/>
  <c r="M590" i="56" s="1"/>
  <c r="N590" i="56" s="1"/>
  <c r="O590" i="56" s="1"/>
  <c r="P590" i="56" s="1"/>
  <c r="Q590" i="56" s="1"/>
  <c r="U590" i="56" s="1"/>
  <c r="V590" i="56" s="1"/>
  <c r="W590" i="56" s="1"/>
  <c r="X590" i="56" s="1"/>
  <c r="Y590" i="56" s="1"/>
  <c r="U595" i="56"/>
  <c r="U596" i="56"/>
  <c r="Q596" i="56"/>
  <c r="L7" i="47"/>
  <c r="L139" i="47" s="1"/>
  <c r="L211" i="47" s="1"/>
  <c r="L9" i="47"/>
  <c r="M9" i="47" s="1"/>
  <c r="M141" i="47" s="1"/>
  <c r="M213" i="47" s="1"/>
  <c r="L15" i="47"/>
  <c r="L12" i="47" s="1"/>
  <c r="L245" i="47" s="1"/>
  <c r="M15" i="47"/>
  <c r="M246" i="47" s="1"/>
  <c r="N15" i="47"/>
  <c r="N12" i="47" s="1"/>
  <c r="N243" i="47" s="1"/>
  <c r="N269" i="47" s="1"/>
  <c r="N17" i="47"/>
  <c r="Q17" i="47"/>
  <c r="R188" i="57" s="1"/>
  <c r="M18" i="47"/>
  <c r="O18" i="47"/>
  <c r="U18" i="47"/>
  <c r="V18" i="47" s="1"/>
  <c r="W18" i="47" s="1"/>
  <c r="X18" i="47" s="1"/>
  <c r="Y18" i="47" s="1"/>
  <c r="L19" i="47"/>
  <c r="L20" i="47" s="1"/>
  <c r="M19" i="47"/>
  <c r="N19" i="47"/>
  <c r="N20" i="47" s="1"/>
  <c r="O19" i="47"/>
  <c r="L28" i="47"/>
  <c r="M28" i="47" s="1"/>
  <c r="N28" i="47" s="1"/>
  <c r="O28" i="47" s="1"/>
  <c r="P28" i="47" s="1"/>
  <c r="Q28" i="47" s="1"/>
  <c r="U28" i="47" s="1"/>
  <c r="V28" i="47" s="1"/>
  <c r="W28" i="47" s="1"/>
  <c r="X28" i="47" s="1"/>
  <c r="Y28" i="47" s="1"/>
  <c r="L30" i="47"/>
  <c r="M30" i="47" s="1"/>
  <c r="N30" i="47" s="1"/>
  <c r="O30" i="47" s="1"/>
  <c r="P30" i="47" s="1"/>
  <c r="Q30" i="47" s="1"/>
  <c r="R30" i="47" s="1"/>
  <c r="S30" i="47" s="1"/>
  <c r="N45" i="47"/>
  <c r="O45" i="47" s="1"/>
  <c r="P45" i="47" s="1"/>
  <c r="P453" i="47" s="1"/>
  <c r="L46" i="47"/>
  <c r="U46" i="47"/>
  <c r="V46" i="47" s="1"/>
  <c r="W46" i="47" s="1"/>
  <c r="X46" i="47" s="1"/>
  <c r="Y46" i="47" s="1"/>
  <c r="L47" i="47"/>
  <c r="N47" i="47"/>
  <c r="O47" i="47" s="1"/>
  <c r="O455" i="47" s="1"/>
  <c r="O456" i="47" s="1"/>
  <c r="O458" i="47" s="1"/>
  <c r="F482" i="47" s="1"/>
  <c r="Q47" i="47"/>
  <c r="R47" i="47" s="1"/>
  <c r="L48" i="47"/>
  <c r="M48" i="47" s="1"/>
  <c r="N48" i="47" s="1"/>
  <c r="O48" i="47" s="1"/>
  <c r="Q52" i="47"/>
  <c r="Q73" i="47" s="1"/>
  <c r="Q85" i="47" s="1"/>
  <c r="U53" i="47"/>
  <c r="V53" i="47" s="1"/>
  <c r="W53" i="47" s="1"/>
  <c r="X53" i="47" s="1"/>
  <c r="Y53" i="47" s="1"/>
  <c r="U56" i="47"/>
  <c r="V56" i="47" s="1"/>
  <c r="W56" i="47" s="1"/>
  <c r="X56" i="47" s="1"/>
  <c r="Y56" i="47" s="1"/>
  <c r="Q57" i="47"/>
  <c r="U57" i="47" s="1"/>
  <c r="V57" i="47" s="1"/>
  <c r="W57" i="47" s="1"/>
  <c r="X57" i="47" s="1"/>
  <c r="Y57" i="47" s="1"/>
  <c r="U60" i="47"/>
  <c r="U61" i="47"/>
  <c r="V61" i="47" s="1"/>
  <c r="W61" i="47" s="1"/>
  <c r="Q64" i="47"/>
  <c r="R64" i="47" s="1"/>
  <c r="S64" i="47" s="1"/>
  <c r="Q65" i="47"/>
  <c r="R65" i="47" s="1"/>
  <c r="S65" i="47" s="1"/>
  <c r="L73" i="47"/>
  <c r="L85" i="47" s="1"/>
  <c r="M73" i="47"/>
  <c r="M85" i="47" s="1"/>
  <c r="N73" i="47"/>
  <c r="N85" i="47" s="1"/>
  <c r="O73" i="47"/>
  <c r="O85" i="47" s="1"/>
  <c r="P73" i="47"/>
  <c r="P85" i="47" s="1"/>
  <c r="L74" i="47"/>
  <c r="L87" i="47" s="1"/>
  <c r="M74" i="47"/>
  <c r="M87" i="47" s="1"/>
  <c r="N74" i="47"/>
  <c r="N87" i="47" s="1"/>
  <c r="O74" i="47"/>
  <c r="O87" i="47" s="1"/>
  <c r="P74" i="47"/>
  <c r="P87" i="47" s="1"/>
  <c r="L75" i="47"/>
  <c r="L89" i="47" s="1"/>
  <c r="L181" i="47" s="1"/>
  <c r="M75" i="47"/>
  <c r="M89" i="47" s="1"/>
  <c r="M180" i="47" s="1"/>
  <c r="M181" i="47" s="1"/>
  <c r="N75" i="47"/>
  <c r="N89" i="47" s="1"/>
  <c r="N180" i="47" s="1"/>
  <c r="N181" i="47" s="1"/>
  <c r="O75" i="47"/>
  <c r="O89" i="47" s="1"/>
  <c r="O180" i="47" s="1"/>
  <c r="O181" i="47" s="1"/>
  <c r="P75" i="47"/>
  <c r="P89" i="47" s="1"/>
  <c r="P180" i="47" s="1"/>
  <c r="P181" i="47" s="1"/>
  <c r="U78" i="47"/>
  <c r="V78" i="47" s="1"/>
  <c r="W78" i="47" s="1"/>
  <c r="X78" i="47" s="1"/>
  <c r="Y78" i="47" s="1"/>
  <c r="U79" i="47"/>
  <c r="V79" i="47" s="1"/>
  <c r="W79" i="47" s="1"/>
  <c r="X79" i="47" s="1"/>
  <c r="Y79" i="47" s="1"/>
  <c r="L81" i="47"/>
  <c r="L88" i="47" s="1"/>
  <c r="M81" i="47"/>
  <c r="M88" i="47" s="1"/>
  <c r="N81" i="47"/>
  <c r="N88" i="47"/>
  <c r="O81" i="47"/>
  <c r="O88" i="47" s="1"/>
  <c r="Q81" i="47"/>
  <c r="Q88" i="47" s="1"/>
  <c r="U81" i="47"/>
  <c r="V81" i="47"/>
  <c r="W81" i="47"/>
  <c r="X81" i="47"/>
  <c r="Y81" i="47"/>
  <c r="P82" i="47"/>
  <c r="P90" i="47" s="1"/>
  <c r="L90" i="47"/>
  <c r="M90" i="47"/>
  <c r="N90" i="47"/>
  <c r="O90" i="47"/>
  <c r="L91" i="47"/>
  <c r="N91" i="47"/>
  <c r="U91" i="47"/>
  <c r="V91" i="47" s="1"/>
  <c r="W91" i="47" s="1"/>
  <c r="X91" i="47" s="1"/>
  <c r="Y91" i="47" s="1"/>
  <c r="L103" i="47"/>
  <c r="M103" i="47" s="1"/>
  <c r="N103" i="47" s="1"/>
  <c r="O103" i="47" s="1"/>
  <c r="P103" i="47" s="1"/>
  <c r="Q103" i="47" s="1"/>
  <c r="U103" i="47" s="1"/>
  <c r="V103" i="47" s="1"/>
  <c r="W103" i="47" s="1"/>
  <c r="X103" i="47" s="1"/>
  <c r="Y103" i="47" s="1"/>
  <c r="L105" i="47"/>
  <c r="M105" i="47" s="1"/>
  <c r="N105" i="47" s="1"/>
  <c r="O105" i="47" s="1"/>
  <c r="P105" i="47" s="1"/>
  <c r="Q105" i="47" s="1"/>
  <c r="U105" i="47" s="1"/>
  <c r="V105" i="47" s="1"/>
  <c r="W105" i="47" s="1"/>
  <c r="X105" i="47" s="1"/>
  <c r="Y105" i="47" s="1"/>
  <c r="U108" i="47"/>
  <c r="V108" i="47" s="1"/>
  <c r="W108" i="47" s="1"/>
  <c r="X108" i="47" s="1"/>
  <c r="Y108" i="47" s="1"/>
  <c r="U109" i="47"/>
  <c r="V109" i="47" s="1"/>
  <c r="W109" i="47" s="1"/>
  <c r="X109" i="47" s="1"/>
  <c r="Y109" i="47" s="1"/>
  <c r="O111" i="47"/>
  <c r="U111" i="47"/>
  <c r="V111" i="47" s="1"/>
  <c r="W111" i="47" s="1"/>
  <c r="X111" i="47" s="1"/>
  <c r="Y111" i="47" s="1"/>
  <c r="Q114" i="47"/>
  <c r="U114" i="47"/>
  <c r="V114" i="47" s="1"/>
  <c r="W114" i="47" s="1"/>
  <c r="X114" i="47" s="1"/>
  <c r="Y114" i="47" s="1"/>
  <c r="Q115" i="47"/>
  <c r="U115" i="47" s="1"/>
  <c r="V115" i="47" s="1"/>
  <c r="W115" i="47" s="1"/>
  <c r="X115" i="47" s="1"/>
  <c r="Y115" i="47" s="1"/>
  <c r="L121" i="47"/>
  <c r="L122" i="47" s="1"/>
  <c r="N121" i="47"/>
  <c r="N122" i="47" s="1"/>
  <c r="O121" i="47"/>
  <c r="O122" i="47" s="1"/>
  <c r="P121" i="47"/>
  <c r="P122" i="47" s="1"/>
  <c r="Q121" i="47"/>
  <c r="V123" i="47"/>
  <c r="W123" i="47" s="1"/>
  <c r="X123" i="47" s="1"/>
  <c r="Y123" i="47" s="1"/>
  <c r="U124" i="47"/>
  <c r="V124" i="47" s="1"/>
  <c r="W124" i="47" s="1"/>
  <c r="M125" i="47"/>
  <c r="M121" i="47" s="1"/>
  <c r="M122" i="47" s="1"/>
  <c r="Q126" i="47"/>
  <c r="V126" i="47"/>
  <c r="W126" i="47" s="1"/>
  <c r="X126" i="47" s="1"/>
  <c r="Y126" i="47" s="1"/>
  <c r="U145" i="47"/>
  <c r="V145" i="47" s="1"/>
  <c r="W145" i="47" s="1"/>
  <c r="X145" i="47" s="1"/>
  <c r="Y145" i="47" s="1"/>
  <c r="M146" i="47"/>
  <c r="J147" i="47"/>
  <c r="U150" i="47"/>
  <c r="V150" i="47" s="1"/>
  <c r="W150" i="47" s="1"/>
  <c r="X150" i="47" s="1"/>
  <c r="M152" i="47"/>
  <c r="K153" i="47"/>
  <c r="K264" i="47" s="1"/>
  <c r="M154" i="47"/>
  <c r="M155" i="47" s="1"/>
  <c r="O154" i="47"/>
  <c r="O155" i="47" s="1"/>
  <c r="L155" i="47"/>
  <c r="N155" i="47"/>
  <c r="O156" i="47"/>
  <c r="O157" i="47" s="1"/>
  <c r="U156" i="47"/>
  <c r="V156" i="47" s="1"/>
  <c r="W156" i="47" s="1"/>
  <c r="X156" i="47" s="1"/>
  <c r="Y156" i="47" s="1"/>
  <c r="L157" i="47"/>
  <c r="M157" i="47"/>
  <c r="N157" i="47"/>
  <c r="N159" i="47"/>
  <c r="O158" i="47"/>
  <c r="O159" i="47" s="1"/>
  <c r="U158" i="47"/>
  <c r="V158" i="47" s="1"/>
  <c r="W158" i="47" s="1"/>
  <c r="X158" i="47" s="1"/>
  <c r="Y158" i="47" s="1"/>
  <c r="L159" i="47"/>
  <c r="M159" i="47"/>
  <c r="O160" i="47"/>
  <c r="O161" i="47" s="1"/>
  <c r="U160" i="47"/>
  <c r="V160" i="47" s="1"/>
  <c r="W160" i="47" s="1"/>
  <c r="X160" i="47" s="1"/>
  <c r="Y160" i="47" s="1"/>
  <c r="L161" i="47"/>
  <c r="N161" i="47"/>
  <c r="L163" i="47"/>
  <c r="M163" i="47"/>
  <c r="N163" i="47"/>
  <c r="O164" i="47" s="1"/>
  <c r="P163" i="47"/>
  <c r="P164" i="47" s="1"/>
  <c r="Q163" i="47"/>
  <c r="U163" i="47" s="1"/>
  <c r="Y164" i="47"/>
  <c r="L166" i="47"/>
  <c r="L167" i="47" s="1"/>
  <c r="M166" i="47"/>
  <c r="M167" i="47" s="1"/>
  <c r="N166" i="47"/>
  <c r="O167" i="47"/>
  <c r="P166" i="47"/>
  <c r="P167" i="47" s="1"/>
  <c r="Q166" i="47"/>
  <c r="Y167" i="47"/>
  <c r="M171" i="47"/>
  <c r="Q171" i="47"/>
  <c r="U171" i="47" s="1"/>
  <c r="V171" i="47" s="1"/>
  <c r="W171" i="47" s="1"/>
  <c r="Y172" i="47"/>
  <c r="Q175" i="47"/>
  <c r="M176" i="47"/>
  <c r="M182" i="47"/>
  <c r="M183" i="47" s="1"/>
  <c r="N182" i="47"/>
  <c r="N183" i="47" s="1"/>
  <c r="O182" i="47"/>
  <c r="O183" i="47" s="1"/>
  <c r="L183" i="47"/>
  <c r="M188" i="47"/>
  <c r="M161" i="47" s="1"/>
  <c r="U188" i="47"/>
  <c r="V188" i="47" s="1"/>
  <c r="W188" i="47" s="1"/>
  <c r="X188" i="47" s="1"/>
  <c r="Y188" i="47" s="1"/>
  <c r="L189" i="47"/>
  <c r="M189" i="47"/>
  <c r="N189" i="47" s="1"/>
  <c r="L190" i="47"/>
  <c r="M190" i="47"/>
  <c r="N190" i="47"/>
  <c r="P190" i="47"/>
  <c r="Q190" i="47"/>
  <c r="U190" i="47" s="1"/>
  <c r="V190" i="47" s="1"/>
  <c r="W190" i="47" s="1"/>
  <c r="L191" i="47"/>
  <c r="M191" i="47"/>
  <c r="N191" i="47"/>
  <c r="O191" i="47"/>
  <c r="P191" i="47"/>
  <c r="Q191" i="47"/>
  <c r="S191" i="47"/>
  <c r="L192" i="47"/>
  <c r="M192" i="47"/>
  <c r="N192" i="47"/>
  <c r="O192" i="47"/>
  <c r="P192" i="47"/>
  <c r="Q192" i="47"/>
  <c r="S192" i="47"/>
  <c r="L193" i="47"/>
  <c r="L195" i="47" s="1"/>
  <c r="L196" i="47" s="1"/>
  <c r="M193" i="47"/>
  <c r="M195" i="47" s="1"/>
  <c r="N193" i="47"/>
  <c r="U194" i="47"/>
  <c r="V194" i="47" s="1"/>
  <c r="W194" i="47" s="1"/>
  <c r="X194" i="47" s="1"/>
  <c r="Y194" i="47" s="1"/>
  <c r="O195" i="47"/>
  <c r="O196" i="47" s="1"/>
  <c r="P195" i="47"/>
  <c r="P193" i="47" s="1"/>
  <c r="Q195" i="47"/>
  <c r="Q193" i="47" s="1"/>
  <c r="S193" i="47"/>
  <c r="U196" i="47"/>
  <c r="V196" i="47" s="1"/>
  <c r="W196" i="47" s="1"/>
  <c r="X196" i="47" s="1"/>
  <c r="Y196" i="47" s="1"/>
  <c r="L197" i="47"/>
  <c r="M197" i="47"/>
  <c r="N197" i="47"/>
  <c r="O197" i="47"/>
  <c r="P197" i="47"/>
  <c r="U197" i="47"/>
  <c r="V197" i="47" s="1"/>
  <c r="W197" i="47" s="1"/>
  <c r="X197" i="47" s="1"/>
  <c r="Y197" i="47" s="1"/>
  <c r="K198" i="47"/>
  <c r="K199" i="47"/>
  <c r="K249" i="47"/>
  <c r="K262" i="47"/>
  <c r="K268" i="47"/>
  <c r="K269" i="47"/>
  <c r="K270" i="47"/>
  <c r="K273" i="47"/>
  <c r="K277" i="47"/>
  <c r="K364" i="47" s="1"/>
  <c r="K278" i="47"/>
  <c r="K365" i="47" s="1"/>
  <c r="M279" i="47"/>
  <c r="P280" i="47"/>
  <c r="Q280" i="47"/>
  <c r="U280" i="47"/>
  <c r="V280" i="47"/>
  <c r="W280" i="47"/>
  <c r="X280" i="47"/>
  <c r="Y280" i="47"/>
  <c r="L283" i="47"/>
  <c r="L366" i="47" s="1"/>
  <c r="M283" i="47"/>
  <c r="M366" i="47" s="1"/>
  <c r="N283" i="47"/>
  <c r="N366" i="47" s="1"/>
  <c r="O283" i="47"/>
  <c r="O366" i="47"/>
  <c r="M290" i="47"/>
  <c r="M297" i="47"/>
  <c r="M353" i="47" s="1"/>
  <c r="M400" i="47" s="1"/>
  <c r="M446" i="47" s="1"/>
  <c r="K302" i="47"/>
  <c r="L329" i="47"/>
  <c r="M329" i="47" s="1"/>
  <c r="N329" i="47" s="1"/>
  <c r="O329" i="47" s="1"/>
  <c r="P329" i="47" s="1"/>
  <c r="Q329" i="47" s="1"/>
  <c r="U329" i="47" s="1"/>
  <c r="V329" i="47" s="1"/>
  <c r="W329" i="47" s="1"/>
  <c r="X329" i="47" s="1"/>
  <c r="Y329" i="47" s="1"/>
  <c r="L333" i="47"/>
  <c r="L334" i="47"/>
  <c r="M334" i="47" s="1"/>
  <c r="N334" i="47" s="1"/>
  <c r="O334" i="47" s="1"/>
  <c r="P334" i="47" s="1"/>
  <c r="Q334" i="47" s="1"/>
  <c r="U334" i="47" s="1"/>
  <c r="V334" i="47" s="1"/>
  <c r="W334" i="47" s="1"/>
  <c r="X334" i="47" s="1"/>
  <c r="Y334" i="47" s="1"/>
  <c r="L336" i="47"/>
  <c r="M336" i="47" s="1"/>
  <c r="N336" i="47" s="1"/>
  <c r="O336" i="47" s="1"/>
  <c r="P336" i="47" s="1"/>
  <c r="Q336" i="47" s="1"/>
  <c r="R336" i="47" s="1"/>
  <c r="S336" i="47" s="1"/>
  <c r="L353" i="47"/>
  <c r="L400" i="47" s="1"/>
  <c r="L446" i="47" s="1"/>
  <c r="L355" i="47"/>
  <c r="L402" i="47" s="1"/>
  <c r="L448" i="47" s="1"/>
  <c r="M355" i="47"/>
  <c r="M402" i="47" s="1"/>
  <c r="M448" i="47" s="1"/>
  <c r="N355" i="47"/>
  <c r="N402" i="47" s="1"/>
  <c r="N448" i="47" s="1"/>
  <c r="O355" i="47"/>
  <c r="O402" i="47" s="1"/>
  <c r="O448" i="47" s="1"/>
  <c r="P355" i="47"/>
  <c r="P402" i="47" s="1"/>
  <c r="P448" i="47" s="1"/>
  <c r="Q355" i="47"/>
  <c r="Q402" i="47" s="1"/>
  <c r="Q448" i="47" s="1"/>
  <c r="U355" i="47"/>
  <c r="U402" i="47" s="1"/>
  <c r="U448" i="47" s="1"/>
  <c r="V355" i="47"/>
  <c r="V402" i="47" s="1"/>
  <c r="V448" i="47" s="1"/>
  <c r="W355" i="47"/>
  <c r="W402" i="47" s="1"/>
  <c r="W448" i="47" s="1"/>
  <c r="X355" i="47"/>
  <c r="X402" i="47" s="1"/>
  <c r="X448" i="47" s="1"/>
  <c r="Y355" i="47"/>
  <c r="Y402" i="47" s="1"/>
  <c r="Y448" i="47" s="1"/>
  <c r="K370" i="47"/>
  <c r="K374" i="47" s="1"/>
  <c r="K384" i="47"/>
  <c r="L388" i="47"/>
  <c r="L506" i="47" s="1"/>
  <c r="Q408" i="47"/>
  <c r="R408" i="47" s="1"/>
  <c r="S408" i="47" s="1"/>
  <c r="T408" i="47" s="1"/>
  <c r="L410" i="47"/>
  <c r="M410" i="47" s="1"/>
  <c r="N410" i="47" s="1"/>
  <c r="O410" i="47" s="1"/>
  <c r="Q410" i="47"/>
  <c r="R410" i="47" s="1"/>
  <c r="S410" i="47" s="1"/>
  <c r="T410" i="47" s="1"/>
  <c r="Q413" i="47"/>
  <c r="U413" i="47" s="1"/>
  <c r="V413" i="47" s="1"/>
  <c r="W413" i="47" s="1"/>
  <c r="X413" i="47" s="1"/>
  <c r="Y413" i="47" s="1"/>
  <c r="L427" i="47"/>
  <c r="M427" i="47" s="1"/>
  <c r="N427" i="47" s="1"/>
  <c r="O427" i="47" s="1"/>
  <c r="P427" i="47" s="1"/>
  <c r="Q427" i="47" s="1"/>
  <c r="R427" i="47" s="1"/>
  <c r="S427" i="47" s="1"/>
  <c r="T427" i="47" s="1"/>
  <c r="L428" i="47"/>
  <c r="M428" i="47" s="1"/>
  <c r="N428" i="47" s="1"/>
  <c r="O428" i="47" s="1"/>
  <c r="L429" i="47"/>
  <c r="M429" i="47" s="1"/>
  <c r="N429" i="47" s="1"/>
  <c r="O429" i="47" s="1"/>
  <c r="P429" i="47" s="1"/>
  <c r="L430" i="47"/>
  <c r="M430" i="47" s="1"/>
  <c r="N430" i="47" s="1"/>
  <c r="O430" i="47" s="1"/>
  <c r="P430" i="47" s="1"/>
  <c r="L451" i="47"/>
  <c r="M451" i="47"/>
  <c r="N451" i="47"/>
  <c r="Q451" i="47"/>
  <c r="U452" i="47"/>
  <c r="V452" i="47" s="1"/>
  <c r="V451" i="47" s="1"/>
  <c r="I453" i="47"/>
  <c r="J453" i="47"/>
  <c r="K453" i="47"/>
  <c r="L453" i="47"/>
  <c r="M453" i="47"/>
  <c r="N453" i="47"/>
  <c r="L454" i="47"/>
  <c r="M454" i="47"/>
  <c r="N454" i="47"/>
  <c r="L455" i="47"/>
  <c r="M455" i="47"/>
  <c r="P455" i="47"/>
  <c r="N457" i="47"/>
  <c r="N464" i="47" s="1"/>
  <c r="L460" i="47"/>
  <c r="L280" i="47"/>
  <c r="M463" i="47"/>
  <c r="M280" i="47" s="1"/>
  <c r="N46" i="57" s="1"/>
  <c r="N463" i="47"/>
  <c r="N280" i="47" s="1"/>
  <c r="O46" i="57" s="1"/>
  <c r="O463" i="47"/>
  <c r="O280" i="47" s="1"/>
  <c r="L464" i="47"/>
  <c r="M464" i="47"/>
  <c r="L466" i="47"/>
  <c r="F472" i="47"/>
  <c r="O472" i="47" s="1"/>
  <c r="F473" i="47"/>
  <c r="P473" i="47" s="1"/>
  <c r="L473" i="47"/>
  <c r="F474" i="47"/>
  <c r="P474" i="47" s="1"/>
  <c r="P467" i="47" s="1"/>
  <c r="F476" i="47"/>
  <c r="H476" i="47"/>
  <c r="F477" i="47"/>
  <c r="H477" i="47"/>
  <c r="L477" i="47"/>
  <c r="E478" i="47"/>
  <c r="E479" i="47" s="1"/>
  <c r="E480" i="47" s="1"/>
  <c r="E481" i="47" s="1"/>
  <c r="E482" i="47" s="1"/>
  <c r="E483" i="47" s="1"/>
  <c r="E484" i="47" s="1"/>
  <c r="E485" i="47" s="1"/>
  <c r="E486" i="47" s="1"/>
  <c r="E487" i="47" s="1"/>
  <c r="E488" i="47" s="1"/>
  <c r="H479" i="47"/>
  <c r="H480" i="47"/>
  <c r="H481" i="47"/>
  <c r="H482" i="47"/>
  <c r="H483" i="47"/>
  <c r="H484" i="47"/>
  <c r="H485" i="47"/>
  <c r="H486" i="47"/>
  <c r="H487" i="47"/>
  <c r="H488" i="47"/>
  <c r="L505" i="47"/>
  <c r="M505" i="47" s="1"/>
  <c r="N505" i="47" s="1"/>
  <c r="O505" i="47" s="1"/>
  <c r="P505" i="47" s="1"/>
  <c r="Q505" i="47" s="1"/>
  <c r="R505" i="47" s="1"/>
  <c r="S505" i="47" s="1"/>
  <c r="L507" i="47"/>
  <c r="M507" i="47" s="1"/>
  <c r="N507" i="47" s="1"/>
  <c r="O507" i="47" s="1"/>
  <c r="P507" i="47" s="1"/>
  <c r="Q507" i="47" s="1"/>
  <c r="U507" i="47" s="1"/>
  <c r="V507" i="47" s="1"/>
  <c r="W507" i="47" s="1"/>
  <c r="X507" i="47" s="1"/>
  <c r="Y507" i="47" s="1"/>
  <c r="L512" i="47"/>
  <c r="L547" i="47" s="1"/>
  <c r="L513" i="47"/>
  <c r="L548" i="47" s="1"/>
  <c r="L514" i="47"/>
  <c r="L549" i="47" s="1"/>
  <c r="B518" i="47"/>
  <c r="C518" i="47"/>
  <c r="P518" i="47"/>
  <c r="P521" i="47"/>
  <c r="P381" i="47" s="1"/>
  <c r="B519" i="47"/>
  <c r="C519" i="47"/>
  <c r="B520" i="47"/>
  <c r="C520" i="47"/>
  <c r="L521" i="47"/>
  <c r="L381" i="47" s="1"/>
  <c r="M521" i="47"/>
  <c r="M381" i="47" s="1"/>
  <c r="N521" i="47"/>
  <c r="O521" i="47"/>
  <c r="O381" i="47" s="1"/>
  <c r="X521" i="47"/>
  <c r="X381" i="47" s="1"/>
  <c r="Y521" i="47"/>
  <c r="Y381" i="47" s="1"/>
  <c r="L526" i="47"/>
  <c r="L542" i="47"/>
  <c r="M542" i="47"/>
  <c r="N542" i="47"/>
  <c r="L544" i="47"/>
  <c r="M544" i="47"/>
  <c r="N544" i="47"/>
  <c r="O544" i="47"/>
  <c r="P544" i="47"/>
  <c r="Q544" i="47"/>
  <c r="U544" i="47"/>
  <c r="V544" i="47"/>
  <c r="W544" i="47"/>
  <c r="X544" i="47"/>
  <c r="Y544" i="47"/>
  <c r="B547" i="47"/>
  <c r="B554" i="47" s="1"/>
  <c r="B561" i="47" s="1"/>
  <c r="C547" i="47"/>
  <c r="C554" i="47" s="1"/>
  <c r="C561" i="47" s="1"/>
  <c r="B548" i="47"/>
  <c r="B555" i="47" s="1"/>
  <c r="B562" i="47" s="1"/>
  <c r="C548" i="47"/>
  <c r="C555" i="47" s="1"/>
  <c r="C562" i="47" s="1"/>
  <c r="B549" i="47"/>
  <c r="B556" i="47" s="1"/>
  <c r="B563" i="47" s="1"/>
  <c r="C549" i="47"/>
  <c r="C556" i="47" s="1"/>
  <c r="C563" i="47" s="1"/>
  <c r="L550" i="47"/>
  <c r="L551" i="47"/>
  <c r="L571" i="47" s="1"/>
  <c r="L554" i="47"/>
  <c r="M554" i="47" s="1"/>
  <c r="N554" i="47" s="1"/>
  <c r="O554" i="47" s="1"/>
  <c r="P554" i="47" s="1"/>
  <c r="U554" i="47"/>
  <c r="V554" i="47" s="1"/>
  <c r="W554" i="47" s="1"/>
  <c r="X554" i="47" s="1"/>
  <c r="Y554" i="47" s="1"/>
  <c r="L555" i="47"/>
  <c r="M555" i="47" s="1"/>
  <c r="N555" i="47" s="1"/>
  <c r="O555" i="47" s="1"/>
  <c r="P555" i="47" s="1"/>
  <c r="U555" i="47"/>
  <c r="V555" i="47" s="1"/>
  <c r="W555" i="47" s="1"/>
  <c r="X555" i="47" s="1"/>
  <c r="Y555" i="47" s="1"/>
  <c r="L556" i="47"/>
  <c r="M556" i="47" s="1"/>
  <c r="N556" i="47" s="1"/>
  <c r="O556" i="47" s="1"/>
  <c r="P556" i="47" s="1"/>
  <c r="U556" i="47"/>
  <c r="V556" i="47" s="1"/>
  <c r="W556" i="47" s="1"/>
  <c r="X556" i="47" s="1"/>
  <c r="Y556" i="47" s="1"/>
  <c r="B557" i="47"/>
  <c r="C557" i="47"/>
  <c r="C564" i="47" s="1"/>
  <c r="L557" i="47"/>
  <c r="M557" i="47" s="1"/>
  <c r="N557" i="47" s="1"/>
  <c r="O557" i="47" s="1"/>
  <c r="P557" i="47" s="1"/>
  <c r="U557" i="47"/>
  <c r="V557" i="47" s="1"/>
  <c r="W557" i="47" s="1"/>
  <c r="X557" i="47" s="1"/>
  <c r="Y557" i="47" s="1"/>
  <c r="B558" i="47"/>
  <c r="C558" i="47"/>
  <c r="L567" i="47"/>
  <c r="M567" i="47" s="1"/>
  <c r="N567" i="47" s="1"/>
  <c r="O567" i="47" s="1"/>
  <c r="P567" i="47" s="1"/>
  <c r="Q567" i="47" s="1"/>
  <c r="U567" i="47" s="1"/>
  <c r="V567" i="47" s="1"/>
  <c r="W567" i="47" s="1"/>
  <c r="X567" i="47" s="1"/>
  <c r="Y567" i="47" s="1"/>
  <c r="L572" i="47"/>
  <c r="M572" i="47" s="1"/>
  <c r="N572" i="47" s="1"/>
  <c r="O572" i="47" s="1"/>
  <c r="P572" i="47" s="1"/>
  <c r="Q572" i="47" s="1"/>
  <c r="U572" i="47" s="1"/>
  <c r="V572" i="47" s="1"/>
  <c r="W572" i="47" s="1"/>
  <c r="X572" i="47" s="1"/>
  <c r="Y572" i="47" s="1"/>
  <c r="U578" i="47"/>
  <c r="U579" i="47" s="1"/>
  <c r="Q579" i="47"/>
  <c r="O7" i="92"/>
  <c r="O45" i="92" s="1"/>
  <c r="P14" i="92"/>
  <c r="Q14" i="92"/>
  <c r="P15" i="92"/>
  <c r="Q15" i="92"/>
  <c r="Q18" i="92"/>
  <c r="S18" i="92" s="1"/>
  <c r="T18" i="92" s="1"/>
  <c r="Q19" i="92"/>
  <c r="S19" i="92" s="1"/>
  <c r="T19" i="92" s="1"/>
  <c r="P20" i="92"/>
  <c r="P25" i="92"/>
  <c r="Q25" i="92"/>
  <c r="S25" i="92" s="1"/>
  <c r="T25" i="92" s="1"/>
  <c r="U25" i="92"/>
  <c r="U86" i="92" s="1"/>
  <c r="V25" i="92"/>
  <c r="V86" i="92" s="1"/>
  <c r="W25" i="92"/>
  <c r="W86" i="92" s="1"/>
  <c r="X25" i="92"/>
  <c r="X86" i="92" s="1"/>
  <c r="Y25" i="92"/>
  <c r="Y86" i="92" s="1"/>
  <c r="Z25" i="92"/>
  <c r="Z86" i="92" s="1"/>
  <c r="AA25" i="92"/>
  <c r="AA86" i="92" s="1"/>
  <c r="AB25" i="92"/>
  <c r="AB86" i="92" s="1"/>
  <c r="AC25" i="92"/>
  <c r="AC86" i="92" s="1"/>
  <c r="AD25" i="92"/>
  <c r="AD86" i="92" s="1"/>
  <c r="AE25" i="92"/>
  <c r="AE86" i="92" s="1"/>
  <c r="AF25" i="92"/>
  <c r="AF86" i="92" s="1"/>
  <c r="AG25" i="92"/>
  <c r="AG86" i="92" s="1"/>
  <c r="Q26" i="92"/>
  <c r="S26" i="92" s="1"/>
  <c r="T26" i="92" s="1"/>
  <c r="U26" i="92"/>
  <c r="V26" i="92"/>
  <c r="W26" i="92"/>
  <c r="X26" i="92"/>
  <c r="Y26" i="92"/>
  <c r="Z26" i="92"/>
  <c r="AA26" i="92"/>
  <c r="AB26" i="92"/>
  <c r="AC26" i="92"/>
  <c r="AD26" i="92"/>
  <c r="AE26" i="92"/>
  <c r="AF26" i="92"/>
  <c r="AG26" i="92"/>
  <c r="P35" i="92"/>
  <c r="Q35" i="92"/>
  <c r="S35" i="92" s="1"/>
  <c r="T35" i="92" s="1"/>
  <c r="U35" i="92"/>
  <c r="V35" i="92"/>
  <c r="W35" i="92"/>
  <c r="X35" i="92"/>
  <c r="Y35" i="92"/>
  <c r="Z35" i="92"/>
  <c r="AA35" i="92"/>
  <c r="AB35" i="92"/>
  <c r="AC35" i="92"/>
  <c r="AD35" i="92"/>
  <c r="AE35" i="92"/>
  <c r="AF35" i="92"/>
  <c r="AG35" i="92"/>
  <c r="P36" i="92"/>
  <c r="Q36" i="92"/>
  <c r="S36" i="92" s="1"/>
  <c r="T36" i="92" s="1"/>
  <c r="U36" i="92"/>
  <c r="V36" i="92"/>
  <c r="W36" i="92"/>
  <c r="X36" i="92"/>
  <c r="Y36" i="92"/>
  <c r="Z36" i="92"/>
  <c r="AA36" i="92"/>
  <c r="AB36" i="92"/>
  <c r="AC36" i="92"/>
  <c r="AC37" i="92" s="1"/>
  <c r="AD36" i="92"/>
  <c r="AE36" i="92"/>
  <c r="AE37" i="92" s="1"/>
  <c r="AF36" i="92"/>
  <c r="AG36" i="92"/>
  <c r="X37" i="92"/>
  <c r="AF37" i="92"/>
  <c r="P38" i="92"/>
  <c r="Q38" i="92"/>
  <c r="S38" i="92" s="1"/>
  <c r="U38" i="92"/>
  <c r="V38" i="92"/>
  <c r="W38" i="92"/>
  <c r="X38" i="92"/>
  <c r="Y38" i="92"/>
  <c r="Z38" i="92"/>
  <c r="AA38" i="92"/>
  <c r="AB38" i="92"/>
  <c r="AC38" i="92"/>
  <c r="AD38" i="92"/>
  <c r="AE38" i="92"/>
  <c r="AF38" i="92"/>
  <c r="AG38" i="92"/>
  <c r="P39" i="92"/>
  <c r="U50" i="92"/>
  <c r="V50" i="92" s="1"/>
  <c r="W50" i="92" s="1"/>
  <c r="X50" i="92" s="1"/>
  <c r="Y50" i="92" s="1"/>
  <c r="Z50" i="92" s="1"/>
  <c r="AA50" i="92" s="1"/>
  <c r="AB50" i="92" s="1"/>
  <c r="AC50" i="92" s="1"/>
  <c r="AD50" i="92" s="1"/>
  <c r="AE50" i="92" s="1"/>
  <c r="AF50" i="92" s="1"/>
  <c r="AG50" i="92" s="1"/>
  <c r="P52" i="92"/>
  <c r="P53" i="92"/>
  <c r="Q53" i="92"/>
  <c r="S53" i="92" s="1"/>
  <c r="T53" i="92" s="1"/>
  <c r="U53" i="92"/>
  <c r="V53" i="92"/>
  <c r="W53" i="92"/>
  <c r="X53" i="92"/>
  <c r="Y53" i="92"/>
  <c r="Z53" i="92"/>
  <c r="AA53" i="92"/>
  <c r="AB53" i="92"/>
  <c r="AC53" i="92"/>
  <c r="AD53" i="92"/>
  <c r="AE53" i="92"/>
  <c r="AF53" i="92"/>
  <c r="AG53" i="92"/>
  <c r="P56" i="92"/>
  <c r="P61" i="92"/>
  <c r="P88" i="92" s="1"/>
  <c r="Q61" i="92"/>
  <c r="S61" i="92" s="1"/>
  <c r="T61" i="92" s="1"/>
  <c r="U61" i="92"/>
  <c r="U88" i="92" s="1"/>
  <c r="V61" i="92"/>
  <c r="V88" i="92" s="1"/>
  <c r="W61" i="92"/>
  <c r="W88" i="92" s="1"/>
  <c r="X61" i="92"/>
  <c r="X88" i="92" s="1"/>
  <c r="Y61" i="92"/>
  <c r="Y88" i="92" s="1"/>
  <c r="Z61" i="92"/>
  <c r="Z88" i="92" s="1"/>
  <c r="AA61" i="92"/>
  <c r="AA88" i="92" s="1"/>
  <c r="AB61" i="92"/>
  <c r="AB88" i="92" s="1"/>
  <c r="AC61" i="92"/>
  <c r="AC88" i="92" s="1"/>
  <c r="AD61" i="92"/>
  <c r="AD88" i="92" s="1"/>
  <c r="AE61" i="92"/>
  <c r="AE88" i="92" s="1"/>
  <c r="AF61" i="92"/>
  <c r="AF88" i="92" s="1"/>
  <c r="AG61" i="92"/>
  <c r="AG88" i="92" s="1"/>
  <c r="P86" i="92"/>
  <c r="P89" i="92"/>
  <c r="P90" i="92"/>
  <c r="Q90" i="92"/>
  <c r="S90" i="92" s="1"/>
  <c r="T90" i="92" s="1"/>
  <c r="U90" i="92"/>
  <c r="V90" i="92"/>
  <c r="W90" i="92"/>
  <c r="X90" i="92"/>
  <c r="Y90" i="92"/>
  <c r="Z90" i="92"/>
  <c r="AA90" i="92"/>
  <c r="AB90" i="92"/>
  <c r="AC90" i="92"/>
  <c r="AD90" i="92"/>
  <c r="AE90" i="92"/>
  <c r="AF90" i="92"/>
  <c r="AG90" i="92"/>
  <c r="Q91" i="92"/>
  <c r="S91" i="92" s="1"/>
  <c r="X91" i="92"/>
  <c r="P92" i="92"/>
  <c r="Q92" i="92"/>
  <c r="S92" i="92" s="1"/>
  <c r="T92" i="92" s="1"/>
  <c r="U92" i="92"/>
  <c r="U91" i="92" s="1"/>
  <c r="V92" i="92"/>
  <c r="V91" i="92" s="1"/>
  <c r="W92" i="92"/>
  <c r="W91" i="92" s="1"/>
  <c r="X92" i="92"/>
  <c r="X124" i="92" s="1"/>
  <c r="Y92" i="92"/>
  <c r="Y91" i="92" s="1"/>
  <c r="Z92" i="92"/>
  <c r="Z91" i="92" s="1"/>
  <c r="AA92" i="92"/>
  <c r="AB92" i="92"/>
  <c r="AB91" i="92" s="1"/>
  <c r="AC92" i="92"/>
  <c r="AC91" i="92" s="1"/>
  <c r="AD92" i="92"/>
  <c r="AD91" i="92" s="1"/>
  <c r="AE92" i="92"/>
  <c r="AE91" i="92" s="1"/>
  <c r="AF92" i="92"/>
  <c r="AF91" i="92" s="1"/>
  <c r="AG92" i="92"/>
  <c r="AG91" i="92" s="1"/>
  <c r="Q124" i="92"/>
  <c r="S124" i="92" s="1"/>
  <c r="T124" i="92" s="1"/>
  <c r="U124" i="92"/>
  <c r="AB124" i="92"/>
  <c r="AC124" i="92"/>
  <c r="AD124" i="92"/>
  <c r="P125" i="92"/>
  <c r="Q125" i="92"/>
  <c r="S125" i="92" s="1"/>
  <c r="T125" i="92" s="1"/>
  <c r="U125" i="92"/>
  <c r="V125" i="92"/>
  <c r="W125" i="92"/>
  <c r="X125" i="92"/>
  <c r="Y125" i="92"/>
  <c r="Z125" i="92"/>
  <c r="AA125" i="92"/>
  <c r="AB125" i="92"/>
  <c r="AC125" i="92"/>
  <c r="AD125" i="92"/>
  <c r="AE125" i="92"/>
  <c r="AF125" i="92"/>
  <c r="AG125" i="92"/>
  <c r="Q171" i="92"/>
  <c r="S171" i="92" s="1"/>
  <c r="T171" i="92" s="1"/>
  <c r="Q172" i="92"/>
  <c r="P190" i="92"/>
  <c r="Q190" i="92"/>
  <c r="S190" i="92" s="1"/>
  <c r="T190" i="92" s="1"/>
  <c r="U190" i="92"/>
  <c r="V190" i="92"/>
  <c r="W190" i="92"/>
  <c r="X190" i="92"/>
  <c r="Y190" i="92"/>
  <c r="Z190" i="92"/>
  <c r="AA190" i="92"/>
  <c r="AB190" i="92"/>
  <c r="AC190" i="92"/>
  <c r="AD190" i="92"/>
  <c r="AE190" i="92"/>
  <c r="AF190" i="92"/>
  <c r="AG190" i="92"/>
  <c r="P191" i="92"/>
  <c r="Q191" i="92"/>
  <c r="S191" i="92" s="1"/>
  <c r="T191" i="92" s="1"/>
  <c r="U191" i="92"/>
  <c r="V191" i="92"/>
  <c r="W191" i="92"/>
  <c r="X191" i="92"/>
  <c r="Y191" i="92"/>
  <c r="Z191" i="92"/>
  <c r="AA191" i="92"/>
  <c r="AB191" i="92"/>
  <c r="AC191" i="92"/>
  <c r="AD191" i="92"/>
  <c r="AE191" i="92"/>
  <c r="AF191" i="92"/>
  <c r="AG191" i="92"/>
  <c r="Q192" i="92"/>
  <c r="S192" i="92" s="1"/>
  <c r="T192" i="92" s="1"/>
  <c r="U192" i="92"/>
  <c r="V192" i="92"/>
  <c r="W192" i="92"/>
  <c r="X192" i="92"/>
  <c r="Y192" i="92"/>
  <c r="Z192" i="92"/>
  <c r="AA192" i="92"/>
  <c r="AB192" i="92"/>
  <c r="AC192" i="92"/>
  <c r="AD192" i="92"/>
  <c r="AE192" i="92"/>
  <c r="AF192" i="92"/>
  <c r="AG192" i="92"/>
  <c r="P198" i="92"/>
  <c r="Q198" i="92" s="1"/>
  <c r="S198" i="92" s="1"/>
  <c r="T198" i="92" s="1"/>
  <c r="P204" i="92"/>
  <c r="Q204" i="92"/>
  <c r="S204" i="92" s="1"/>
  <c r="T204" i="92" s="1"/>
  <c r="U204" i="92"/>
  <c r="V204" i="92"/>
  <c r="W204" i="92"/>
  <c r="X204" i="92"/>
  <c r="Y204" i="92"/>
  <c r="Z204" i="92"/>
  <c r="AA204" i="92"/>
  <c r="AB204" i="92"/>
  <c r="AC204" i="92"/>
  <c r="AD204" i="92"/>
  <c r="AE204" i="92"/>
  <c r="AF204" i="92"/>
  <c r="AG204" i="92"/>
  <c r="P211" i="92"/>
  <c r="Q211" i="92" s="1"/>
  <c r="S211" i="92" s="1"/>
  <c r="T211" i="92" s="1"/>
  <c r="P244" i="92"/>
  <c r="Q244" i="92"/>
  <c r="S244" i="92" s="1"/>
  <c r="T244" i="92" s="1"/>
  <c r="U244" i="92"/>
  <c r="V244" i="92"/>
  <c r="W244" i="92"/>
  <c r="X244" i="92"/>
  <c r="Y244" i="92"/>
  <c r="Z244" i="92"/>
  <c r="AA244" i="92"/>
  <c r="AB244" i="92"/>
  <c r="AC244" i="92"/>
  <c r="AD244" i="92"/>
  <c r="AE244" i="92"/>
  <c r="AF244" i="92"/>
  <c r="AG244" i="92"/>
  <c r="P248" i="92"/>
  <c r="Q87" i="57" s="1"/>
  <c r="Q248" i="92"/>
  <c r="U248" i="92"/>
  <c r="V248" i="92"/>
  <c r="W248" i="92"/>
  <c r="X248" i="92"/>
  <c r="Y248" i="92"/>
  <c r="Z248" i="92"/>
  <c r="AA248" i="92"/>
  <c r="AB248" i="92"/>
  <c r="AC248" i="92"/>
  <c r="AD248" i="92"/>
  <c r="AE248" i="92"/>
  <c r="AF248" i="92"/>
  <c r="AG248" i="92"/>
  <c r="P249" i="92"/>
  <c r="Q249" i="92"/>
  <c r="S249" i="92" s="1"/>
  <c r="U249" i="92"/>
  <c r="V249" i="92"/>
  <c r="W249" i="92"/>
  <c r="X249" i="92"/>
  <c r="Y249" i="92"/>
  <c r="Z249" i="92"/>
  <c r="AA249" i="92"/>
  <c r="AB249" i="92"/>
  <c r="AC249" i="92"/>
  <c r="AD249" i="92"/>
  <c r="AE249" i="92"/>
  <c r="AF249" i="92"/>
  <c r="AG249" i="92"/>
  <c r="P250" i="92"/>
  <c r="Q250" i="92"/>
  <c r="S250" i="92" s="1"/>
  <c r="T250" i="92" s="1"/>
  <c r="P251" i="92"/>
  <c r="Q251" i="92" s="1"/>
  <c r="S251" i="92" s="1"/>
  <c r="T251" i="92" s="1"/>
  <c r="P260" i="92"/>
  <c r="P261" i="92"/>
  <c r="Q261" i="92"/>
  <c r="S261" i="92" s="1"/>
  <c r="T261" i="92" s="1"/>
  <c r="U261" i="92"/>
  <c r="V261" i="92"/>
  <c r="W261" i="92"/>
  <c r="X261" i="92"/>
  <c r="Y261" i="92"/>
  <c r="Z261" i="92"/>
  <c r="AA261" i="92"/>
  <c r="AB261" i="92"/>
  <c r="AC261" i="92"/>
  <c r="AD261" i="92"/>
  <c r="AE261" i="92"/>
  <c r="AF261" i="92"/>
  <c r="AG261" i="92"/>
  <c r="P262" i="92"/>
  <c r="Q262" i="92"/>
  <c r="S262" i="92" s="1"/>
  <c r="T262" i="92" s="1"/>
  <c r="U262" i="92"/>
  <c r="V262" i="92"/>
  <c r="W262" i="92"/>
  <c r="X262" i="92"/>
  <c r="Y262" i="92"/>
  <c r="Z262" i="92"/>
  <c r="AA262" i="92"/>
  <c r="AB262" i="92"/>
  <c r="AC262" i="92"/>
  <c r="AD262" i="92"/>
  <c r="AE262" i="92"/>
  <c r="AF262" i="92"/>
  <c r="AG262" i="92"/>
  <c r="P290" i="92"/>
  <c r="AF290" i="92"/>
  <c r="P291" i="92"/>
  <c r="P293" i="92"/>
  <c r="Q293" i="92" s="1"/>
  <c r="S293" i="92" s="1"/>
  <c r="T293" i="92" s="1"/>
  <c r="P294" i="92"/>
  <c r="Q294" i="92" s="1"/>
  <c r="S294" i="92" s="1"/>
  <c r="T294" i="92" s="1"/>
  <c r="P295" i="92"/>
  <c r="Q295" i="92"/>
  <c r="S295" i="92" s="1"/>
  <c r="T295" i="92" s="1"/>
  <c r="P304" i="92"/>
  <c r="Q304" i="92"/>
  <c r="S304" i="92" s="1"/>
  <c r="T304" i="92" s="1"/>
  <c r="U304" i="92"/>
  <c r="V304" i="92"/>
  <c r="W304" i="92"/>
  <c r="X304" i="92"/>
  <c r="Y304" i="92"/>
  <c r="Z304" i="92"/>
  <c r="AA304" i="92"/>
  <c r="AB304" i="92"/>
  <c r="AC304" i="92"/>
  <c r="AD304" i="92"/>
  <c r="AE304" i="92"/>
  <c r="AF304" i="92"/>
  <c r="AG304" i="92"/>
  <c r="U307" i="92"/>
  <c r="U238" i="92"/>
  <c r="V68" i="57" s="1"/>
  <c r="V307" i="92"/>
  <c r="V238" i="92" s="1"/>
  <c r="W68" i="57" s="1"/>
  <c r="W307" i="92"/>
  <c r="W238" i="92"/>
  <c r="X68" i="57" s="1"/>
  <c r="X307" i="92"/>
  <c r="X238" i="92" s="1"/>
  <c r="Y68" i="57" s="1"/>
  <c r="Y307" i="92"/>
  <c r="Y238" i="92" s="1"/>
  <c r="Z68" i="57" s="1"/>
  <c r="Z307" i="92"/>
  <c r="Z238" i="92" s="1"/>
  <c r="AA307" i="92"/>
  <c r="AA238" i="92" s="1"/>
  <c r="AB307" i="92"/>
  <c r="AB238" i="92" s="1"/>
  <c r="AC307" i="92"/>
  <c r="AC238" i="92" s="1"/>
  <c r="AD307" i="92"/>
  <c r="AD238" i="92" s="1"/>
  <c r="AE307" i="92"/>
  <c r="AE238" i="92" s="1"/>
  <c r="AF307" i="92"/>
  <c r="AF238" i="92" s="1"/>
  <c r="AG307" i="92"/>
  <c r="AG238" i="92" s="1"/>
  <c r="P308" i="92"/>
  <c r="Q308" i="92" s="1"/>
  <c r="S308" i="92" s="1"/>
  <c r="T308" i="92" s="1"/>
  <c r="P309" i="92"/>
  <c r="Q309" i="92" s="1"/>
  <c r="S309" i="92" s="1"/>
  <c r="T309" i="92" s="1"/>
  <c r="P310" i="92"/>
  <c r="Q310" i="92"/>
  <c r="S310" i="92" s="1"/>
  <c r="T310" i="92" s="1"/>
  <c r="P311" i="92"/>
  <c r="Q311" i="92" s="1"/>
  <c r="S311" i="92" s="1"/>
  <c r="T311" i="92" s="1"/>
  <c r="P338" i="92"/>
  <c r="P339" i="92"/>
  <c r="Q339" i="92"/>
  <c r="S339" i="92" s="1"/>
  <c r="T339" i="92" s="1"/>
  <c r="U339" i="92"/>
  <c r="V339" i="92"/>
  <c r="W339" i="92"/>
  <c r="X339" i="92"/>
  <c r="Y339" i="92"/>
  <c r="Z339" i="92"/>
  <c r="AA339" i="92"/>
  <c r="AB339" i="92"/>
  <c r="AC339" i="92"/>
  <c r="AD339" i="92"/>
  <c r="AE339" i="92"/>
  <c r="AF339" i="92"/>
  <c r="AG339" i="92"/>
  <c r="P345" i="92"/>
  <c r="P348" i="92" s="1"/>
  <c r="P347" i="92"/>
  <c r="P373" i="92" s="1"/>
  <c r="F357" i="92"/>
  <c r="H357" i="92"/>
  <c r="E358" i="92"/>
  <c r="F358" i="92"/>
  <c r="X358" i="92" s="1"/>
  <c r="V358" i="92"/>
  <c r="Y358" i="92"/>
  <c r="Z358" i="92"/>
  <c r="AA358" i="92"/>
  <c r="AB358" i="92"/>
  <c r="AC358" i="92"/>
  <c r="AD358" i="92"/>
  <c r="AE358" i="92"/>
  <c r="AF358" i="92"/>
  <c r="AG358" i="92"/>
  <c r="E359" i="92"/>
  <c r="E360" i="92" s="1"/>
  <c r="E361" i="92" s="1"/>
  <c r="E362" i="92" s="1"/>
  <c r="E363" i="92" s="1"/>
  <c r="E364" i="92" s="1"/>
  <c r="E365" i="92" s="1"/>
  <c r="E366" i="92" s="1"/>
  <c r="F359" i="92"/>
  <c r="Y359" i="92" s="1"/>
  <c r="AA359" i="92"/>
  <c r="AC359" i="92"/>
  <c r="F360" i="92"/>
  <c r="AD360" i="92" s="1"/>
  <c r="F361" i="92"/>
  <c r="F362" i="92"/>
  <c r="AG362" i="92" s="1"/>
  <c r="F363" i="92"/>
  <c r="F364" i="92"/>
  <c r="AB364" i="92" s="1"/>
  <c r="AA364" i="92"/>
  <c r="AF364" i="92"/>
  <c r="F365" i="92"/>
  <c r="AG365" i="92" s="1"/>
  <c r="F366" i="92"/>
  <c r="AE366" i="92" s="1"/>
  <c r="AD366" i="92"/>
  <c r="AF366" i="92"/>
  <c r="F367" i="92"/>
  <c r="F368" i="92"/>
  <c r="F369" i="92"/>
  <c r="F370" i="92"/>
  <c r="AG370" i="92" s="1"/>
  <c r="F371" i="92"/>
  <c r="AG371" i="92"/>
  <c r="P372" i="92"/>
  <c r="P341" i="92" s="1"/>
  <c r="P343" i="92" s="1"/>
  <c r="Q338" i="92" s="1"/>
  <c r="P390" i="92"/>
  <c r="Q390" i="92"/>
  <c r="S390" i="92" s="1"/>
  <c r="T390" i="92" s="1"/>
  <c r="U390" i="92"/>
  <c r="V390" i="92"/>
  <c r="W390" i="92"/>
  <c r="X390" i="92"/>
  <c r="Y390" i="92"/>
  <c r="Z390" i="92"/>
  <c r="AA390" i="92"/>
  <c r="AB390" i="92"/>
  <c r="AC390" i="92"/>
  <c r="AD390" i="92"/>
  <c r="AE390" i="92"/>
  <c r="AF390" i="92"/>
  <c r="AG390" i="92"/>
  <c r="O404" i="92"/>
  <c r="P409" i="92"/>
  <c r="Q409" i="92"/>
  <c r="S409" i="92" s="1"/>
  <c r="T409" i="92" s="1"/>
  <c r="U409" i="92"/>
  <c r="V409" i="92"/>
  <c r="W409" i="92"/>
  <c r="X409" i="92"/>
  <c r="Y409" i="92"/>
  <c r="Z409" i="92"/>
  <c r="AA409" i="92"/>
  <c r="AB409" i="92"/>
  <c r="AC409" i="92"/>
  <c r="AD409" i="92"/>
  <c r="AE409" i="92"/>
  <c r="AF409" i="92"/>
  <c r="AG409" i="92"/>
  <c r="P410" i="92"/>
  <c r="Q410" i="92"/>
  <c r="S410" i="92" s="1"/>
  <c r="T410" i="92" s="1"/>
  <c r="U410" i="92"/>
  <c r="V410" i="92"/>
  <c r="W410" i="92"/>
  <c r="X410" i="92"/>
  <c r="Y410" i="92"/>
  <c r="Z410" i="92"/>
  <c r="AA410" i="92"/>
  <c r="AB410" i="92"/>
  <c r="AC410" i="92"/>
  <c r="AD410" i="92"/>
  <c r="AE410" i="92"/>
  <c r="AF410" i="92"/>
  <c r="AG410" i="92"/>
  <c r="P411" i="92"/>
  <c r="Q411" i="92"/>
  <c r="S411" i="92" s="1"/>
  <c r="T411" i="92" s="1"/>
  <c r="U411" i="92"/>
  <c r="V411" i="92"/>
  <c r="W411" i="92"/>
  <c r="X411" i="92"/>
  <c r="Y411" i="92"/>
  <c r="Z411" i="92"/>
  <c r="AA411" i="92"/>
  <c r="AB411" i="92"/>
  <c r="AC411" i="92"/>
  <c r="AD411" i="92"/>
  <c r="AE411" i="92"/>
  <c r="AF411" i="92"/>
  <c r="AG411" i="92"/>
  <c r="P412" i="92"/>
  <c r="Q412" i="92"/>
  <c r="S412" i="92" s="1"/>
  <c r="T412" i="92" s="1"/>
  <c r="U412" i="92"/>
  <c r="V412" i="92"/>
  <c r="W412" i="92"/>
  <c r="X412" i="92"/>
  <c r="Y412" i="92"/>
  <c r="Z412" i="92"/>
  <c r="AA412" i="92"/>
  <c r="AB412" i="92"/>
  <c r="AC412" i="92"/>
  <c r="AD412" i="92"/>
  <c r="AE412" i="92"/>
  <c r="AF412" i="92"/>
  <c r="AG412" i="92"/>
  <c r="P418" i="92"/>
  <c r="Q418" i="92" s="1"/>
  <c r="S418" i="92" s="1"/>
  <c r="T418" i="92" s="1"/>
  <c r="P419" i="92"/>
  <c r="P454" i="92" s="1"/>
  <c r="P468" i="92" s="1"/>
  <c r="Q419" i="92"/>
  <c r="S419" i="92" s="1"/>
  <c r="T419" i="92" s="1"/>
  <c r="U419" i="92"/>
  <c r="V419" i="92" s="1"/>
  <c r="W419" i="92" s="1"/>
  <c r="P423" i="92"/>
  <c r="P426" i="92" s="1"/>
  <c r="P259" i="92" s="1"/>
  <c r="Q423" i="92"/>
  <c r="S423" i="92" s="1"/>
  <c r="T423" i="92" s="1"/>
  <c r="U423" i="92"/>
  <c r="U426" i="92" s="1"/>
  <c r="U259" i="92" s="1"/>
  <c r="V97" i="57" s="1"/>
  <c r="V423" i="92"/>
  <c r="Y423" i="92"/>
  <c r="Z423" i="92" s="1"/>
  <c r="AA423" i="92" s="1"/>
  <c r="AB423" i="92" s="1"/>
  <c r="AC423" i="92" s="1"/>
  <c r="AD423" i="92" s="1"/>
  <c r="AE423" i="92" s="1"/>
  <c r="AF423" i="92" s="1"/>
  <c r="AG423" i="92" s="1"/>
  <c r="P431" i="92"/>
  <c r="P433" i="92" s="1"/>
  <c r="P209" i="92" s="1"/>
  <c r="O447" i="92"/>
  <c r="C452" i="92"/>
  <c r="C459" i="92" s="1"/>
  <c r="C466" i="92" s="1"/>
  <c r="P455" i="92"/>
  <c r="P469" i="92" s="1"/>
  <c r="P456" i="92"/>
  <c r="Q459" i="92"/>
  <c r="S459" i="92" s="1"/>
  <c r="T459" i="92" s="1"/>
  <c r="C460" i="92"/>
  <c r="C467" i="92" s="1"/>
  <c r="C461" i="92"/>
  <c r="C468" i="92" s="1"/>
  <c r="P463" i="92"/>
  <c r="Q463" i="92" s="1"/>
  <c r="S463" i="92" s="1"/>
  <c r="T463" i="92" s="1"/>
  <c r="P472" i="92"/>
  <c r="Q472" i="92" s="1"/>
  <c r="S472" i="92" s="1"/>
  <c r="T472" i="92" s="1"/>
  <c r="P477" i="92"/>
  <c r="Q477" i="92" s="1"/>
  <c r="S477" i="92" s="1"/>
  <c r="T477" i="92" s="1"/>
  <c r="G2" i="89"/>
  <c r="H10" i="89"/>
  <c r="I10" i="89"/>
  <c r="M10" i="89"/>
  <c r="F16" i="89"/>
  <c r="F18" i="89"/>
  <c r="F20" i="89"/>
  <c r="F24" i="89"/>
  <c r="G24" i="89"/>
  <c r="H24" i="89"/>
  <c r="I24" i="89"/>
  <c r="M24" i="89"/>
  <c r="F25" i="89"/>
  <c r="F67" i="89" s="1"/>
  <c r="G25" i="89"/>
  <c r="H25" i="89"/>
  <c r="I25" i="89"/>
  <c r="M25" i="89"/>
  <c r="F26" i="89"/>
  <c r="G26" i="89"/>
  <c r="H26" i="89"/>
  <c r="I26" i="89"/>
  <c r="M26" i="89"/>
  <c r="G29" i="89"/>
  <c r="G30" i="89"/>
  <c r="G31" i="89"/>
  <c r="F35" i="89"/>
  <c r="H35" i="89"/>
  <c r="I35" i="89"/>
  <c r="M35" i="89"/>
  <c r="F36" i="89"/>
  <c r="M36" i="89"/>
  <c r="F44" i="89"/>
  <c r="F85" i="89" s="1"/>
  <c r="G44" i="89"/>
  <c r="H44" i="89"/>
  <c r="I44" i="89"/>
  <c r="M44" i="89"/>
  <c r="F45" i="89"/>
  <c r="F84" i="89" s="1"/>
  <c r="G45" i="89"/>
  <c r="H45" i="89"/>
  <c r="I45" i="89"/>
  <c r="M45" i="89"/>
  <c r="F46" i="89"/>
  <c r="G46" i="89"/>
  <c r="H46" i="89"/>
  <c r="I46" i="89"/>
  <c r="M46" i="89"/>
  <c r="F47" i="89"/>
  <c r="G47" i="89"/>
  <c r="H47" i="89"/>
  <c r="I47" i="89"/>
  <c r="M47" i="89"/>
  <c r="F52" i="89"/>
  <c r="F56" i="89"/>
  <c r="F62" i="89"/>
  <c r="G73" i="89"/>
  <c r="H73" i="89" s="1"/>
  <c r="I73" i="89" s="1"/>
  <c r="J73" i="89" s="1"/>
  <c r="K73" i="89" s="1"/>
  <c r="L73" i="89" s="1"/>
  <c r="F78" i="89"/>
  <c r="F82" i="89" s="1"/>
  <c r="G78" i="89"/>
  <c r="G82" i="89"/>
  <c r="H78" i="89"/>
  <c r="H82" i="89" s="1"/>
  <c r="I78" i="89"/>
  <c r="I82" i="89" s="1"/>
  <c r="M78" i="89"/>
  <c r="M82" i="89" s="1"/>
  <c r="G86" i="89"/>
  <c r="H86" i="89" s="1"/>
  <c r="I86" i="89" s="1"/>
  <c r="F90" i="89"/>
  <c r="F100" i="89"/>
  <c r="G100" i="89"/>
  <c r="F102" i="89"/>
  <c r="G102" i="89"/>
  <c r="H102" i="89"/>
  <c r="I102" i="89"/>
  <c r="M102" i="89"/>
  <c r="H105" i="89"/>
  <c r="H107" i="89" s="1"/>
  <c r="I105" i="89"/>
  <c r="I107" i="89" s="1"/>
  <c r="H108" i="89"/>
  <c r="I108" i="89"/>
  <c r="M108" i="89"/>
  <c r="H113" i="89"/>
  <c r="H123" i="89" s="1"/>
  <c r="M113" i="89"/>
  <c r="M123" i="89"/>
  <c r="I123" i="89"/>
  <c r="H124" i="89"/>
  <c r="I124" i="89"/>
  <c r="M124" i="89"/>
  <c r="M122" i="89" s="1"/>
  <c r="I125" i="89"/>
  <c r="I127" i="89"/>
  <c r="M127" i="89" s="1"/>
  <c r="M135" i="89"/>
  <c r="M139" i="89" s="1"/>
  <c r="M142" i="89" s="1"/>
  <c r="H136" i="89"/>
  <c r="H138" i="89" s="1"/>
  <c r="M136" i="89"/>
  <c r="H137" i="89"/>
  <c r="H139" i="89" s="1"/>
  <c r="I138" i="89"/>
  <c r="I141" i="89"/>
  <c r="I139" i="89"/>
  <c r="I142" i="89" s="1"/>
  <c r="I143" i="89"/>
  <c r="I144" i="89"/>
  <c r="M144" i="89" s="1"/>
  <c r="I145" i="89"/>
  <c r="G149" i="89"/>
  <c r="G150" i="89"/>
  <c r="G152" i="89" s="1"/>
  <c r="G153" i="89" s="1"/>
  <c r="G157" i="89" s="1"/>
  <c r="G158" i="89" s="1"/>
  <c r="G173" i="89" s="1"/>
  <c r="G161" i="89"/>
  <c r="G171" i="89"/>
  <c r="H171" i="89"/>
  <c r="I171" i="89"/>
  <c r="M171" i="89"/>
  <c r="G172" i="89"/>
  <c r="H172" i="89"/>
  <c r="I172" i="89"/>
  <c r="I29" i="89" s="1"/>
  <c r="M172" i="89"/>
  <c r="G174" i="89"/>
  <c r="H174" i="89"/>
  <c r="I174" i="89"/>
  <c r="M174" i="89"/>
  <c r="G178" i="89"/>
  <c r="G35" i="89"/>
  <c r="I179" i="89"/>
  <c r="I180" i="89" s="1"/>
  <c r="H180" i="89"/>
  <c r="M180" i="89"/>
  <c r="G191" i="89"/>
  <c r="H191" i="89"/>
  <c r="I191" i="89"/>
  <c r="M191" i="89"/>
  <c r="G193" i="89"/>
  <c r="G198" i="89"/>
  <c r="H198" i="89" s="1"/>
  <c r="H228" i="89" s="1"/>
  <c r="H203" i="89"/>
  <c r="H204" i="89" s="1"/>
  <c r="I203" i="89"/>
  <c r="H206" i="89"/>
  <c r="I206" i="89"/>
  <c r="M206" i="89"/>
  <c r="H211" i="89"/>
  <c r="I211" i="89" s="1"/>
  <c r="M211" i="89" s="1"/>
  <c r="M221" i="89" s="1"/>
  <c r="I216" i="89"/>
  <c r="I222" i="89" s="1"/>
  <c r="M219" i="89"/>
  <c r="H222" i="89"/>
  <c r="I223" i="89"/>
  <c r="M223" i="89" s="1"/>
  <c r="I225" i="89"/>
  <c r="M225" i="89"/>
  <c r="M226" i="89"/>
  <c r="I232" i="89"/>
  <c r="M232" i="89" s="1"/>
  <c r="H233" i="89"/>
  <c r="H235" i="89" s="1"/>
  <c r="H255" i="89" s="1"/>
  <c r="H270" i="89" s="1"/>
  <c r="H234" i="89"/>
  <c r="H236" i="89" s="1"/>
  <c r="H239" i="89" s="1"/>
  <c r="I241" i="89"/>
  <c r="M241" i="89" s="1"/>
  <c r="I242" i="89"/>
  <c r="M242" i="89" s="1"/>
  <c r="G246" i="89"/>
  <c r="G247" i="89"/>
  <c r="G249" i="89" s="1"/>
  <c r="G250" i="89" s="1"/>
  <c r="F263" i="89"/>
  <c r="F268" i="89"/>
  <c r="G268" i="89"/>
  <c r="H268" i="89"/>
  <c r="I268" i="89"/>
  <c r="M268" i="89"/>
  <c r="F269" i="89"/>
  <c r="G269" i="89"/>
  <c r="H269" i="89"/>
  <c r="I269" i="89"/>
  <c r="M269" i="89"/>
  <c r="F270" i="89"/>
  <c r="F271" i="89"/>
  <c r="G271" i="89"/>
  <c r="H271" i="89"/>
  <c r="I271" i="89"/>
  <c r="I12" i="89" s="1"/>
  <c r="M271" i="89"/>
  <c r="G276" i="89"/>
  <c r="G277" i="89" s="1"/>
  <c r="I276" i="89"/>
  <c r="I277" i="89" s="1"/>
  <c r="F277" i="89"/>
  <c r="M277" i="89"/>
  <c r="F288" i="89"/>
  <c r="G288" i="89"/>
  <c r="H288" i="89"/>
  <c r="I288" i="89"/>
  <c r="M288" i="89"/>
  <c r="F292" i="89"/>
  <c r="H300" i="89"/>
  <c r="H397" i="89" s="1"/>
  <c r="H399" i="89" s="1"/>
  <c r="H430" i="89" s="1"/>
  <c r="H433" i="89" s="1"/>
  <c r="I300" i="89"/>
  <c r="I397" i="89" s="1"/>
  <c r="M301" i="89"/>
  <c r="H303" i="89"/>
  <c r="I303" i="89"/>
  <c r="M303" i="89"/>
  <c r="M308" i="89"/>
  <c r="M318" i="89"/>
  <c r="M313" i="89"/>
  <c r="M319" i="89" s="1"/>
  <c r="M316" i="89"/>
  <c r="H318" i="89"/>
  <c r="I318" i="89"/>
  <c r="H319" i="89"/>
  <c r="I319" i="89"/>
  <c r="I320" i="89"/>
  <c r="M320" i="89" s="1"/>
  <c r="I322" i="89"/>
  <c r="J322" i="89" s="1"/>
  <c r="K322" i="89" s="1"/>
  <c r="L322" i="89" s="1"/>
  <c r="I323" i="89"/>
  <c r="J323" i="89" s="1"/>
  <c r="K323" i="89" s="1"/>
  <c r="L323" i="89" s="1"/>
  <c r="M329" i="89"/>
  <c r="M330" i="89"/>
  <c r="I333" i="89"/>
  <c r="I336" i="89" s="1"/>
  <c r="I334" i="89"/>
  <c r="I337" i="89" s="1"/>
  <c r="M336" i="89"/>
  <c r="M345" i="89" s="1"/>
  <c r="H337" i="89"/>
  <c r="M337" i="89"/>
  <c r="I338" i="89"/>
  <c r="M338" i="89" s="1"/>
  <c r="I339" i="89"/>
  <c r="J339" i="89" s="1"/>
  <c r="K339" i="89" s="1"/>
  <c r="L339" i="89" s="1"/>
  <c r="I340" i="89"/>
  <c r="J340" i="89" s="1"/>
  <c r="K340" i="89" s="1"/>
  <c r="L340" i="89"/>
  <c r="G344" i="89"/>
  <c r="G345" i="89"/>
  <c r="F360" i="89"/>
  <c r="F365" i="89"/>
  <c r="G365" i="89"/>
  <c r="H365" i="89"/>
  <c r="I365" i="89"/>
  <c r="M365" i="89"/>
  <c r="F366" i="89"/>
  <c r="G366" i="89"/>
  <c r="H366" i="89"/>
  <c r="I366" i="89"/>
  <c r="M366" i="89"/>
  <c r="F367" i="89"/>
  <c r="H367" i="89"/>
  <c r="F368" i="89"/>
  <c r="G368" i="89"/>
  <c r="H368" i="89"/>
  <c r="I368" i="89"/>
  <c r="M368" i="89"/>
  <c r="F374" i="89"/>
  <c r="G374" i="89"/>
  <c r="H374" i="89"/>
  <c r="I374" i="89"/>
  <c r="M374" i="89"/>
  <c r="F385" i="89"/>
  <c r="G385" i="89"/>
  <c r="H385" i="89"/>
  <c r="I385" i="89"/>
  <c r="M385" i="89"/>
  <c r="F389" i="89"/>
  <c r="G392" i="89"/>
  <c r="G422" i="89" s="1"/>
  <c r="H400" i="89"/>
  <c r="I400" i="89"/>
  <c r="M400" i="89"/>
  <c r="H405" i="89"/>
  <c r="I405" i="89" s="1"/>
  <c r="M405" i="89" s="1"/>
  <c r="M415" i="89" s="1"/>
  <c r="I410" i="89"/>
  <c r="I416" i="89" s="1"/>
  <c r="I413" i="89"/>
  <c r="M413" i="89" s="1"/>
  <c r="H416" i="89"/>
  <c r="I417" i="89"/>
  <c r="M417" i="89" s="1"/>
  <c r="I419" i="89"/>
  <c r="M419" i="89" s="1"/>
  <c r="I420" i="89"/>
  <c r="M420" i="89" s="1"/>
  <c r="A422" i="89"/>
  <c r="X20" i="57" s="1"/>
  <c r="I426" i="89"/>
  <c r="M426" i="89" s="1"/>
  <c r="I427" i="89"/>
  <c r="M427" i="89" s="1"/>
  <c r="I428" i="89"/>
  <c r="M428" i="89" s="1"/>
  <c r="I435" i="89"/>
  <c r="M435" i="89" s="1"/>
  <c r="I436" i="89"/>
  <c r="M436" i="89" s="1"/>
  <c r="G440" i="89"/>
  <c r="G441" i="89"/>
  <c r="G442" i="89" s="1"/>
  <c r="G443" i="89" s="1"/>
  <c r="G447" i="89" s="1"/>
  <c r="F456" i="89"/>
  <c r="F460" i="89" s="1"/>
  <c r="F461" i="89"/>
  <c r="G461" i="89"/>
  <c r="H461" i="89"/>
  <c r="I461" i="89"/>
  <c r="M461" i="89"/>
  <c r="F462" i="89"/>
  <c r="G462" i="89"/>
  <c r="H462" i="89"/>
  <c r="I462" i="89"/>
  <c r="M462" i="89"/>
  <c r="F463" i="89"/>
  <c r="F464" i="89"/>
  <c r="G464" i="89"/>
  <c r="H464" i="89"/>
  <c r="I464" i="89"/>
  <c r="M464" i="89"/>
  <c r="F470" i="89"/>
  <c r="G470" i="89"/>
  <c r="H470" i="89"/>
  <c r="I470" i="89"/>
  <c r="M470" i="89"/>
  <c r="F481" i="89"/>
  <c r="G481" i="89"/>
  <c r="H481" i="89"/>
  <c r="I481" i="89"/>
  <c r="M481" i="89"/>
  <c r="F485" i="89"/>
  <c r="G488" i="89"/>
  <c r="G518" i="89" s="1"/>
  <c r="H496" i="89"/>
  <c r="I496" i="89"/>
  <c r="M496" i="89"/>
  <c r="H501" i="89"/>
  <c r="I501" i="89" s="1"/>
  <c r="I511" i="89" s="1"/>
  <c r="H511" i="89"/>
  <c r="I506" i="89"/>
  <c r="M506" i="89" s="1"/>
  <c r="M512" i="89" s="1"/>
  <c r="I509" i="89"/>
  <c r="M509" i="89" s="1"/>
  <c r="H512" i="89"/>
  <c r="I513" i="89"/>
  <c r="M513" i="89" s="1"/>
  <c r="I515" i="89"/>
  <c r="M515" i="89" s="1"/>
  <c r="I516" i="89"/>
  <c r="M516" i="89"/>
  <c r="A518" i="89"/>
  <c r="I522" i="89"/>
  <c r="M522" i="89" s="1"/>
  <c r="I523" i="89"/>
  <c r="M523" i="89" s="1"/>
  <c r="I524" i="89"/>
  <c r="M524" i="89" s="1"/>
  <c r="I531" i="89"/>
  <c r="M531" i="89" s="1"/>
  <c r="I532" i="89"/>
  <c r="M532" i="89"/>
  <c r="G536" i="89"/>
  <c r="G538" i="89" s="1"/>
  <c r="G539" i="89" s="1"/>
  <c r="G552" i="89" s="1"/>
  <c r="G556" i="89" s="1"/>
  <c r="G537" i="89"/>
  <c r="F552" i="89"/>
  <c r="F556" i="89" s="1"/>
  <c r="F557" i="89"/>
  <c r="G557" i="89"/>
  <c r="H557" i="89"/>
  <c r="I557" i="89"/>
  <c r="M557" i="89"/>
  <c r="F558" i="89"/>
  <c r="G558" i="89"/>
  <c r="H558" i="89"/>
  <c r="I558" i="89"/>
  <c r="M558" i="89"/>
  <c r="F559" i="89"/>
  <c r="F560" i="89"/>
  <c r="G560" i="89"/>
  <c r="H560" i="89"/>
  <c r="I560" i="89"/>
  <c r="M560" i="89"/>
  <c r="F566" i="89"/>
  <c r="G566" i="89"/>
  <c r="H566" i="89"/>
  <c r="I566" i="89"/>
  <c r="M566" i="89"/>
  <c r="F577" i="89"/>
  <c r="G577" i="89"/>
  <c r="H577" i="89"/>
  <c r="I577" i="89"/>
  <c r="M577" i="89"/>
  <c r="F581" i="89"/>
  <c r="F8" i="85"/>
  <c r="F9" i="85"/>
  <c r="C11" i="85"/>
  <c r="C12" i="85"/>
  <c r="C7" i="85"/>
  <c r="D12" i="85"/>
  <c r="E12" i="85"/>
  <c r="C7" i="88"/>
  <c r="U105" i="88" s="1"/>
  <c r="I7" i="88"/>
  <c r="H7" i="88" s="1"/>
  <c r="G7" i="88" s="1"/>
  <c r="K7" i="88"/>
  <c r="L7" i="88" s="1"/>
  <c r="M7" i="88" s="1"/>
  <c r="N7" i="88" s="1"/>
  <c r="O7" i="88" s="1"/>
  <c r="P7" i="88" s="1"/>
  <c r="Q7" i="88" s="1"/>
  <c r="R7" i="88"/>
  <c r="S7" i="88" s="1"/>
  <c r="T7" i="88" s="1"/>
  <c r="U7" i="88"/>
  <c r="V7" i="88" s="1"/>
  <c r="W7" i="88" s="1"/>
  <c r="X7" i="88" s="1"/>
  <c r="Y7" i="88"/>
  <c r="Z7" i="88" s="1"/>
  <c r="AA7" i="88" s="1"/>
  <c r="AB7" i="88" s="1"/>
  <c r="AC7" i="88" s="1"/>
  <c r="AD7" i="88" s="1"/>
  <c r="AE7" i="88" s="1"/>
  <c r="AF7" i="88" s="1"/>
  <c r="AG7" i="88" s="1"/>
  <c r="AH7" i="88" s="1"/>
  <c r="AI7" i="88" s="1"/>
  <c r="L12" i="88"/>
  <c r="M12" i="88"/>
  <c r="N12" i="88" s="1"/>
  <c r="O12" i="88" s="1"/>
  <c r="P12" i="88" s="1"/>
  <c r="Q12" i="88" s="1"/>
  <c r="R12" i="88" s="1"/>
  <c r="S12" i="88" s="1"/>
  <c r="T12" i="88" s="1"/>
  <c r="U12" i="88" s="1"/>
  <c r="V12" i="88" s="1"/>
  <c r="W12" i="88" s="1"/>
  <c r="X12" i="88" s="1"/>
  <c r="Y12" i="88" s="1"/>
  <c r="Z12" i="88" s="1"/>
  <c r="AA12" i="88" s="1"/>
  <c r="AB12" i="88" s="1"/>
  <c r="AC12" i="88" s="1"/>
  <c r="AD12" i="88" s="1"/>
  <c r="AE12" i="88" s="1"/>
  <c r="AF12" i="88" s="1"/>
  <c r="AG12" i="88" s="1"/>
  <c r="AH12" i="88" s="1"/>
  <c r="AI12" i="88" s="1"/>
  <c r="L14" i="88"/>
  <c r="M14" i="88" s="1"/>
  <c r="N14" i="88" s="1"/>
  <c r="O14" i="88" s="1"/>
  <c r="P14" i="88" s="1"/>
  <c r="Q14" i="88" s="1"/>
  <c r="R14" i="88" s="1"/>
  <c r="S14" i="88" s="1"/>
  <c r="T14" i="88" s="1"/>
  <c r="U14" i="88" s="1"/>
  <c r="V14" i="88" s="1"/>
  <c r="W14" i="88" s="1"/>
  <c r="X14" i="88" s="1"/>
  <c r="Y14" i="88" s="1"/>
  <c r="Z14" i="88" s="1"/>
  <c r="AA14" i="88" s="1"/>
  <c r="AB14" i="88" s="1"/>
  <c r="AC14" i="88" s="1"/>
  <c r="AD14" i="88" s="1"/>
  <c r="AE14" i="88" s="1"/>
  <c r="AF14" i="88" s="1"/>
  <c r="AG14" i="88" s="1"/>
  <c r="AH14" i="88" s="1"/>
  <c r="AI14" i="88" s="1"/>
  <c r="L18" i="88"/>
  <c r="M18" i="88" s="1"/>
  <c r="N18" i="88" s="1"/>
  <c r="O18" i="88" s="1"/>
  <c r="P18" i="88" s="1"/>
  <c r="Q18" i="88" s="1"/>
  <c r="R18" i="88" s="1"/>
  <c r="S18" i="88" s="1"/>
  <c r="T18" i="88" s="1"/>
  <c r="U18" i="88" s="1"/>
  <c r="V18" i="88" s="1"/>
  <c r="W18" i="88" s="1"/>
  <c r="X18" i="88" s="1"/>
  <c r="Y18" i="88" s="1"/>
  <c r="Z18" i="88" s="1"/>
  <c r="AA18" i="88" s="1"/>
  <c r="AB18" i="88" s="1"/>
  <c r="AC18" i="88" s="1"/>
  <c r="AD18" i="88" s="1"/>
  <c r="AE18" i="88" s="1"/>
  <c r="AF18" i="88" s="1"/>
  <c r="AG18" i="88" s="1"/>
  <c r="AH18" i="88" s="1"/>
  <c r="AI18" i="88" s="1"/>
  <c r="I28" i="88"/>
  <c r="H28" i="88" s="1"/>
  <c r="G28" i="88" s="1"/>
  <c r="K28" i="88"/>
  <c r="K29" i="88" s="1"/>
  <c r="N41" i="88"/>
  <c r="N42" i="88"/>
  <c r="K58" i="88"/>
  <c r="L58" i="88"/>
  <c r="M58" i="88"/>
  <c r="N58" i="88"/>
  <c r="O58" i="88"/>
  <c r="P58" i="88"/>
  <c r="Q58" i="88"/>
  <c r="R58" i="88"/>
  <c r="S58" i="88"/>
  <c r="T58" i="88"/>
  <c r="U58" i="88"/>
  <c r="V58" i="88"/>
  <c r="W58" i="88"/>
  <c r="X58" i="88"/>
  <c r="Y58" i="88"/>
  <c r="Z58" i="88"/>
  <c r="AA58" i="88"/>
  <c r="AB58" i="88"/>
  <c r="AC58" i="88"/>
  <c r="AD58" i="88"/>
  <c r="AE58" i="88"/>
  <c r="AF58" i="88"/>
  <c r="AG58" i="88"/>
  <c r="AH58" i="88"/>
  <c r="AI58" i="88"/>
  <c r="K59" i="88"/>
  <c r="K73" i="88" s="1"/>
  <c r="L59" i="88"/>
  <c r="M59" i="88"/>
  <c r="M73" i="88" s="1"/>
  <c r="N59" i="88"/>
  <c r="O59" i="88"/>
  <c r="P59" i="88"/>
  <c r="Q59" i="88"/>
  <c r="R59" i="88"/>
  <c r="S59" i="88"/>
  <c r="T59" i="88"/>
  <c r="U59" i="88"/>
  <c r="V59" i="88"/>
  <c r="W59" i="88"/>
  <c r="X59" i="88"/>
  <c r="Y59" i="88"/>
  <c r="Z59" i="88"/>
  <c r="AA59" i="88"/>
  <c r="AB59" i="88"/>
  <c r="AC59" i="88"/>
  <c r="AD59" i="88"/>
  <c r="AE59" i="88"/>
  <c r="AF59" i="88"/>
  <c r="AG59" i="88"/>
  <c r="AH59" i="88"/>
  <c r="AI59" i="88"/>
  <c r="O62" i="88"/>
  <c r="P62" i="88" s="1"/>
  <c r="Q62" i="88" s="1"/>
  <c r="R62" i="88" s="1"/>
  <c r="S62" i="88" s="1"/>
  <c r="T62" i="88" s="1"/>
  <c r="U62" i="88" s="1"/>
  <c r="V62" i="88" s="1"/>
  <c r="W62" i="88" s="1"/>
  <c r="X62" i="88" s="1"/>
  <c r="Y62" i="88" s="1"/>
  <c r="Z62" i="88" s="1"/>
  <c r="AA62" i="88" s="1"/>
  <c r="AB62" i="88" s="1"/>
  <c r="AC62" i="88" s="1"/>
  <c r="AD62" i="88" s="1"/>
  <c r="AE62" i="88" s="1"/>
  <c r="AF62" i="88" s="1"/>
  <c r="AG62" i="88" s="1"/>
  <c r="AH62" i="88" s="1"/>
  <c r="AI62" i="88" s="1"/>
  <c r="O63" i="88"/>
  <c r="P63" i="88" s="1"/>
  <c r="Q63" i="88" s="1"/>
  <c r="R63" i="88"/>
  <c r="S63" i="88" s="1"/>
  <c r="T63" i="88" s="1"/>
  <c r="U63" i="88" s="1"/>
  <c r="V63" i="88" s="1"/>
  <c r="W63" i="88" s="1"/>
  <c r="X63" i="88" s="1"/>
  <c r="Y63" i="88" s="1"/>
  <c r="Z63" i="88" s="1"/>
  <c r="AA63" i="88" s="1"/>
  <c r="AB63" i="88" s="1"/>
  <c r="AC63" i="88" s="1"/>
  <c r="AD63" i="88" s="1"/>
  <c r="AE63" i="88" s="1"/>
  <c r="AF63" i="88" s="1"/>
  <c r="AG63" i="88" s="1"/>
  <c r="AH63" i="88" s="1"/>
  <c r="AI63" i="88" s="1"/>
  <c r="L66" i="88"/>
  <c r="M66" i="88" s="1"/>
  <c r="N66" i="88" s="1"/>
  <c r="O66" i="88" s="1"/>
  <c r="L67" i="88"/>
  <c r="M67" i="88" s="1"/>
  <c r="N67" i="88" s="1"/>
  <c r="O67" i="88"/>
  <c r="P67" i="88" s="1"/>
  <c r="Q67" i="88" s="1"/>
  <c r="R67" i="88" s="1"/>
  <c r="K68" i="88"/>
  <c r="L68" i="88"/>
  <c r="L74" i="88" s="1"/>
  <c r="M68" i="88"/>
  <c r="M72" i="88" s="1"/>
  <c r="K71" i="88"/>
  <c r="K76" i="88" s="1"/>
  <c r="K72" i="88"/>
  <c r="L72" i="88"/>
  <c r="L73" i="88"/>
  <c r="K74" i="88"/>
  <c r="M74" i="88"/>
  <c r="K75" i="88"/>
  <c r="L75" i="88"/>
  <c r="M75" i="88"/>
  <c r="N75" i="88"/>
  <c r="O75" i="88"/>
  <c r="P75" i="88"/>
  <c r="Q75" i="88"/>
  <c r="R75" i="88"/>
  <c r="S75" i="88"/>
  <c r="T75" i="88"/>
  <c r="U75" i="88"/>
  <c r="V75" i="88"/>
  <c r="W75" i="88"/>
  <c r="X75" i="88"/>
  <c r="Y75" i="88"/>
  <c r="Z75" i="88"/>
  <c r="AA75" i="88"/>
  <c r="AB75" i="88"/>
  <c r="AC75" i="88"/>
  <c r="AD75" i="88"/>
  <c r="AE75" i="88"/>
  <c r="AF75" i="88"/>
  <c r="AG75" i="88"/>
  <c r="AH75" i="88"/>
  <c r="AI75" i="88"/>
  <c r="I86" i="88"/>
  <c r="H86" i="88" s="1"/>
  <c r="G86" i="88" s="1"/>
  <c r="K86" i="88"/>
  <c r="L86" i="88" s="1"/>
  <c r="L91" i="88"/>
  <c r="M91" i="88"/>
  <c r="N91" i="88" s="1"/>
  <c r="O91" i="88" s="1"/>
  <c r="P91" i="88" s="1"/>
  <c r="Q91" i="88" s="1"/>
  <c r="R91" i="88" s="1"/>
  <c r="S91" i="88" s="1"/>
  <c r="T91" i="88" s="1"/>
  <c r="U91" i="88" s="1"/>
  <c r="V91" i="88" s="1"/>
  <c r="W91" i="88" s="1"/>
  <c r="X91" i="88" s="1"/>
  <c r="Y91" i="88" s="1"/>
  <c r="Z91" i="88" s="1"/>
  <c r="AA91" i="88" s="1"/>
  <c r="AB91" i="88" s="1"/>
  <c r="AC91" i="88" s="1"/>
  <c r="AD91" i="88" s="1"/>
  <c r="AE91" i="88" s="1"/>
  <c r="AF91" i="88" s="1"/>
  <c r="AG91" i="88" s="1"/>
  <c r="AH91" i="88" s="1"/>
  <c r="AI91" i="88" s="1"/>
  <c r="L93" i="88"/>
  <c r="M93" i="88"/>
  <c r="N93" i="88"/>
  <c r="O93" i="88" s="1"/>
  <c r="P93" i="88" s="1"/>
  <c r="Q93" i="88" s="1"/>
  <c r="R93" i="88" s="1"/>
  <c r="S93" i="88" s="1"/>
  <c r="T93" i="88" s="1"/>
  <c r="U93" i="88" s="1"/>
  <c r="V93" i="88" s="1"/>
  <c r="W93" i="88" s="1"/>
  <c r="X93" i="88" s="1"/>
  <c r="Y93" i="88" s="1"/>
  <c r="Z93" i="88" s="1"/>
  <c r="AA93" i="88" s="1"/>
  <c r="AB93" i="88" s="1"/>
  <c r="AC93" i="88" s="1"/>
  <c r="AD93" i="88" s="1"/>
  <c r="AE93" i="88" s="1"/>
  <c r="AF93" i="88" s="1"/>
  <c r="AG93" i="88" s="1"/>
  <c r="AH93" i="88" s="1"/>
  <c r="AI93" i="88" s="1"/>
  <c r="L96" i="88"/>
  <c r="L97" i="88"/>
  <c r="K102" i="88"/>
  <c r="N104" i="88"/>
  <c r="O104" i="88"/>
  <c r="O106" i="88" s="1"/>
  <c r="P104" i="88"/>
  <c r="P106" i="88" s="1"/>
  <c r="Q104" i="88"/>
  <c r="Q106" i="88" s="1"/>
  <c r="Q110" i="88" s="1"/>
  <c r="R104" i="88"/>
  <c r="R106" i="88" s="1"/>
  <c r="S104" i="88"/>
  <c r="S106" i="88" s="1"/>
  <c r="S113" i="88" s="1"/>
  <c r="T104" i="88"/>
  <c r="U104" i="88"/>
  <c r="V104" i="88"/>
  <c r="V106" i="88" s="1"/>
  <c r="V113" i="88" s="1"/>
  <c r="W104" i="88"/>
  <c r="W106" i="88" s="1"/>
  <c r="X104" i="88"/>
  <c r="X106" i="88" s="1"/>
  <c r="Y104" i="88"/>
  <c r="Y106" i="88" s="1"/>
  <c r="Z104" i="88"/>
  <c r="Z106" i="88" s="1"/>
  <c r="AA104" i="88"/>
  <c r="AA106" i="88" s="1"/>
  <c r="AA113" i="88" s="1"/>
  <c r="AB104" i="88"/>
  <c r="AC104" i="88"/>
  <c r="AD104" i="88"/>
  <c r="AE104" i="88"/>
  <c r="AE106" i="88" s="1"/>
  <c r="AF104" i="88"/>
  <c r="AF106" i="88" s="1"/>
  <c r="AG104" i="88"/>
  <c r="AG106" i="88" s="1"/>
  <c r="AH104" i="88"/>
  <c r="AH106" i="88" s="1"/>
  <c r="AI104" i="88"/>
  <c r="AI106" i="88" s="1"/>
  <c r="AI113" i="88" s="1"/>
  <c r="L106" i="88"/>
  <c r="L110" i="88" s="1"/>
  <c r="M106" i="88"/>
  <c r="M113" i="88" s="1"/>
  <c r="N106" i="88"/>
  <c r="T106" i="88"/>
  <c r="U106" i="88"/>
  <c r="AB106" i="88"/>
  <c r="AB113" i="88" s="1"/>
  <c r="AC106" i="88"/>
  <c r="AC113" i="88" s="1"/>
  <c r="AD106" i="88"/>
  <c r="AJ108" i="88"/>
  <c r="M109" i="88"/>
  <c r="N109" i="88"/>
  <c r="AA109" i="88"/>
  <c r="AD109" i="88"/>
  <c r="AI109" i="88"/>
  <c r="N110" i="88"/>
  <c r="S110" i="88"/>
  <c r="X110" i="88"/>
  <c r="AA110" i="88"/>
  <c r="AB110" i="88"/>
  <c r="AD110" i="88"/>
  <c r="L113" i="88"/>
  <c r="N113" i="88"/>
  <c r="R113" i="88"/>
  <c r="T113" i="88"/>
  <c r="W113" i="88"/>
  <c r="AD113" i="88"/>
  <c r="D130" i="88"/>
  <c r="M171" i="88" s="1"/>
  <c r="I130" i="88"/>
  <c r="H130" i="88" s="1"/>
  <c r="G130" i="88" s="1"/>
  <c r="K130" i="88"/>
  <c r="K131" i="88" s="1"/>
  <c r="L130" i="88"/>
  <c r="L131" i="88" s="1"/>
  <c r="L137" i="88"/>
  <c r="M137" i="88" s="1"/>
  <c r="N137" i="88" s="1"/>
  <c r="O137" i="88" s="1"/>
  <c r="P137" i="88" s="1"/>
  <c r="Q137" i="88" s="1"/>
  <c r="R137" i="88" s="1"/>
  <c r="S137" i="88" s="1"/>
  <c r="T137" i="88" s="1"/>
  <c r="U137" i="88" s="1"/>
  <c r="V137" i="88" s="1"/>
  <c r="W137" i="88" s="1"/>
  <c r="X137" i="88" s="1"/>
  <c r="Y137" i="88" s="1"/>
  <c r="Z137" i="88" s="1"/>
  <c r="AA137" i="88" s="1"/>
  <c r="AB137" i="88" s="1"/>
  <c r="AC137" i="88" s="1"/>
  <c r="AD137" i="88" s="1"/>
  <c r="AE137" i="88" s="1"/>
  <c r="AF137" i="88" s="1"/>
  <c r="AG137" i="88" s="1"/>
  <c r="AH137" i="88" s="1"/>
  <c r="AI137" i="88" s="1"/>
  <c r="L139" i="88"/>
  <c r="M139" i="88" s="1"/>
  <c r="N139" i="88" s="1"/>
  <c r="O139" i="88" s="1"/>
  <c r="P139" i="88" s="1"/>
  <c r="Q139" i="88" s="1"/>
  <c r="R139" i="88" s="1"/>
  <c r="S139" i="88" s="1"/>
  <c r="T139" i="88" s="1"/>
  <c r="U139" i="88" s="1"/>
  <c r="V139" i="88" s="1"/>
  <c r="W139" i="88" s="1"/>
  <c r="X139" i="88" s="1"/>
  <c r="Y139" i="88" s="1"/>
  <c r="Z139" i="88" s="1"/>
  <c r="AA139" i="88" s="1"/>
  <c r="AB139" i="88" s="1"/>
  <c r="AC139" i="88" s="1"/>
  <c r="AD139" i="88" s="1"/>
  <c r="AE139" i="88" s="1"/>
  <c r="AF139" i="88" s="1"/>
  <c r="AG139" i="88" s="1"/>
  <c r="AH139" i="88" s="1"/>
  <c r="AI139" i="88" s="1"/>
  <c r="L141" i="88"/>
  <c r="M141" i="88" s="1"/>
  <c r="N141" i="88" s="1"/>
  <c r="O141" i="88" s="1"/>
  <c r="P141" i="88" s="1"/>
  <c r="Q141" i="88" s="1"/>
  <c r="R141" i="88" s="1"/>
  <c r="S141" i="88" s="1"/>
  <c r="T141" i="88" s="1"/>
  <c r="U141" i="88" s="1"/>
  <c r="V141" i="88" s="1"/>
  <c r="W141" i="88" s="1"/>
  <c r="X141" i="88" s="1"/>
  <c r="Y141" i="88" s="1"/>
  <c r="Z141" i="88" s="1"/>
  <c r="AA141" i="88" s="1"/>
  <c r="AB141" i="88" s="1"/>
  <c r="AC141" i="88" s="1"/>
  <c r="AD141" i="88" s="1"/>
  <c r="AE141" i="88" s="1"/>
  <c r="AF141" i="88" s="1"/>
  <c r="AG141" i="88" s="1"/>
  <c r="AH141" i="88" s="1"/>
  <c r="AI141" i="88" s="1"/>
  <c r="L145" i="88"/>
  <c r="L148" i="88"/>
  <c r="M148" i="88" s="1"/>
  <c r="N148" i="88" s="1"/>
  <c r="O148" i="88" s="1"/>
  <c r="P148" i="88" s="1"/>
  <c r="Q148" i="88" s="1"/>
  <c r="R148" i="88" s="1"/>
  <c r="S148" i="88" s="1"/>
  <c r="T148" i="88" s="1"/>
  <c r="U148" i="88" s="1"/>
  <c r="V148" i="88" s="1"/>
  <c r="W148" i="88" s="1"/>
  <c r="X148" i="88" s="1"/>
  <c r="Y148" i="88" s="1"/>
  <c r="Z148" i="88" s="1"/>
  <c r="AA148" i="88" s="1"/>
  <c r="AB148" i="88" s="1"/>
  <c r="AC148" i="88" s="1"/>
  <c r="AD148" i="88" s="1"/>
  <c r="AE148" i="88" s="1"/>
  <c r="AF148" i="88" s="1"/>
  <c r="AG148" i="88" s="1"/>
  <c r="AH148" i="88" s="1"/>
  <c r="AI148" i="88" s="1"/>
  <c r="L149" i="88"/>
  <c r="L157" i="88"/>
  <c r="L153" i="88" s="1"/>
  <c r="M157" i="88"/>
  <c r="N157" i="88" s="1"/>
  <c r="O157" i="88" s="1"/>
  <c r="P157" i="88" s="1"/>
  <c r="Q157" i="88" s="1"/>
  <c r="R157" i="88" s="1"/>
  <c r="S157" i="88" s="1"/>
  <c r="T157" i="88" s="1"/>
  <c r="U157" i="88" s="1"/>
  <c r="V157" i="88" s="1"/>
  <c r="W157" i="88" s="1"/>
  <c r="X157" i="88" s="1"/>
  <c r="Y157" i="88" s="1"/>
  <c r="Z157" i="88" s="1"/>
  <c r="AA157" i="88" s="1"/>
  <c r="AB157" i="88" s="1"/>
  <c r="AC157" i="88" s="1"/>
  <c r="AD157" i="88" s="1"/>
  <c r="AE157" i="88" s="1"/>
  <c r="AF157" i="88" s="1"/>
  <c r="AG157" i="88" s="1"/>
  <c r="AH157" i="88" s="1"/>
  <c r="AI157" i="88" s="1"/>
  <c r="K176" i="88"/>
  <c r="L176" i="88"/>
  <c r="M176" i="88"/>
  <c r="I186" i="88"/>
  <c r="H186" i="88" s="1"/>
  <c r="G186" i="88" s="1"/>
  <c r="K186" i="88"/>
  <c r="L186" i="88"/>
  <c r="M186" i="88" s="1"/>
  <c r="N186" i="88" s="1"/>
  <c r="N187" i="88" s="1"/>
  <c r="O186" i="88"/>
  <c r="P186" i="88" s="1"/>
  <c r="Q186" i="88" s="1"/>
  <c r="K187" i="88"/>
  <c r="C197" i="88"/>
  <c r="C210" i="88"/>
  <c r="C211" i="88"/>
  <c r="I221" i="88"/>
  <c r="H221" i="88" s="1"/>
  <c r="G221" i="88" s="1"/>
  <c r="K221" i="88"/>
  <c r="L221" i="88"/>
  <c r="L222" i="88" s="1"/>
  <c r="K222" i="88"/>
  <c r="H247" i="88"/>
  <c r="L250" i="88"/>
  <c r="M250" i="88" s="1"/>
  <c r="N250" i="88" s="1"/>
  <c r="O250" i="88" s="1"/>
  <c r="P250" i="88" s="1"/>
  <c r="Q250" i="88" s="1"/>
  <c r="R250" i="88" s="1"/>
  <c r="S250" i="88" s="1"/>
  <c r="T250" i="88" s="1"/>
  <c r="U250" i="88" s="1"/>
  <c r="V250" i="88" s="1"/>
  <c r="W250" i="88" s="1"/>
  <c r="X250" i="88" s="1"/>
  <c r="Y250" i="88" s="1"/>
  <c r="Z250" i="88" s="1"/>
  <c r="AA250" i="88" s="1"/>
  <c r="AB250" i="88" s="1"/>
  <c r="AC250" i="88" s="1"/>
  <c r="AD250" i="88" s="1"/>
  <c r="AE250" i="88" s="1"/>
  <c r="AF250" i="88" s="1"/>
  <c r="AG250" i="88" s="1"/>
  <c r="AH250" i="88" s="1"/>
  <c r="AI250" i="88" s="1"/>
  <c r="I261" i="88"/>
  <c r="H261" i="88" s="1"/>
  <c r="G261" i="88" s="1"/>
  <c r="K261" i="88"/>
  <c r="L261" i="88" s="1"/>
  <c r="K262" i="88"/>
  <c r="H272" i="88"/>
  <c r="I272" i="88"/>
  <c r="G277" i="88"/>
  <c r="G300" i="88" s="1"/>
  <c r="H288" i="88"/>
  <c r="I288" i="88" s="1"/>
  <c r="J288" i="88" s="1"/>
  <c r="K288" i="88" s="1"/>
  <c r="L288" i="88" s="1"/>
  <c r="M288" i="88" s="1"/>
  <c r="N288" i="88" s="1"/>
  <c r="O288" i="88" s="1"/>
  <c r="P288" i="88" s="1"/>
  <c r="Q288" i="88" s="1"/>
  <c r="R288" i="88" s="1"/>
  <c r="S288" i="88" s="1"/>
  <c r="T288" i="88" s="1"/>
  <c r="U288" i="88" s="1"/>
  <c r="V288" i="88" s="1"/>
  <c r="W288" i="88" s="1"/>
  <c r="X288" i="88" s="1"/>
  <c r="Y288" i="88" s="1"/>
  <c r="Z288" i="88" s="1"/>
  <c r="AA288" i="88" s="1"/>
  <c r="AB288" i="88" s="1"/>
  <c r="AC288" i="88" s="1"/>
  <c r="AD288" i="88" s="1"/>
  <c r="AE288" i="88" s="1"/>
  <c r="AF288" i="88" s="1"/>
  <c r="AG288" i="88" s="1"/>
  <c r="AH288" i="88" s="1"/>
  <c r="AI288" i="88" s="1"/>
  <c r="H293" i="88"/>
  <c r="I293" i="88"/>
  <c r="J293" i="88" s="1"/>
  <c r="K293" i="88" s="1"/>
  <c r="L293" i="88" s="1"/>
  <c r="M293" i="88" s="1"/>
  <c r="N293" i="88" s="1"/>
  <c r="O293" i="88" s="1"/>
  <c r="P293" i="88" s="1"/>
  <c r="Q293" i="88" s="1"/>
  <c r="R293" i="88" s="1"/>
  <c r="S293" i="88" s="1"/>
  <c r="T293" i="88" s="1"/>
  <c r="U293" i="88" s="1"/>
  <c r="V293" i="88" s="1"/>
  <c r="W293" i="88" s="1"/>
  <c r="X293" i="88" s="1"/>
  <c r="Y293" i="88" s="1"/>
  <c r="Z293" i="88" s="1"/>
  <c r="AA293" i="88" s="1"/>
  <c r="AB293" i="88" s="1"/>
  <c r="AC293" i="88" s="1"/>
  <c r="AD293" i="88" s="1"/>
  <c r="AE293" i="88" s="1"/>
  <c r="AF293" i="88" s="1"/>
  <c r="AG293" i="88" s="1"/>
  <c r="AH293" i="88" s="1"/>
  <c r="AI293" i="88" s="1"/>
  <c r="H294" i="88"/>
  <c r="I294" i="88"/>
  <c r="J294" i="88"/>
  <c r="H295" i="88"/>
  <c r="I295" i="88" s="1"/>
  <c r="J295" i="88" s="1"/>
  <c r="K295" i="88" s="1"/>
  <c r="L295" i="88" s="1"/>
  <c r="M295" i="88" s="1"/>
  <c r="N295" i="88" s="1"/>
  <c r="O295" i="88" s="1"/>
  <c r="P295" i="88" s="1"/>
  <c r="Q295" i="88" s="1"/>
  <c r="R295" i="88" s="1"/>
  <c r="S295" i="88" s="1"/>
  <c r="T295" i="88" s="1"/>
  <c r="U295" i="88" s="1"/>
  <c r="V295" i="88" s="1"/>
  <c r="W295" i="88" s="1"/>
  <c r="X295" i="88" s="1"/>
  <c r="Y295" i="88" s="1"/>
  <c r="Z295" i="88" s="1"/>
  <c r="AA295" i="88" s="1"/>
  <c r="AB295" i="88" s="1"/>
  <c r="AC295" i="88" s="1"/>
  <c r="AD295" i="88" s="1"/>
  <c r="AE295" i="88" s="1"/>
  <c r="AF295" i="88" s="1"/>
  <c r="AG295" i="88" s="1"/>
  <c r="AH295" i="88" s="1"/>
  <c r="AI295" i="88" s="1"/>
  <c r="G312" i="88"/>
  <c r="I312" i="88"/>
  <c r="H312" i="88" s="1"/>
  <c r="K312" i="88"/>
  <c r="K313" i="88" s="1"/>
  <c r="H317" i="88"/>
  <c r="I317" i="88"/>
  <c r="J317" i="88"/>
  <c r="H318" i="88"/>
  <c r="I318" i="88"/>
  <c r="J318" i="88"/>
  <c r="H322" i="88"/>
  <c r="I322" i="88"/>
  <c r="J322" i="88"/>
  <c r="H323" i="88"/>
  <c r="I323" i="88"/>
  <c r="J323" i="88"/>
  <c r="H329" i="88"/>
  <c r="I329" i="88"/>
  <c r="J329" i="88"/>
  <c r="K329" i="88"/>
  <c r="L329" i="88"/>
  <c r="M329" i="88"/>
  <c r="Q329" i="88"/>
  <c r="R329" i="88"/>
  <c r="S329" i="88"/>
  <c r="T329" i="88"/>
  <c r="U329" i="88"/>
  <c r="V329" i="88"/>
  <c r="W329" i="88"/>
  <c r="X329" i="88"/>
  <c r="Y329" i="88"/>
  <c r="Z329" i="88"/>
  <c r="AA329" i="88"/>
  <c r="AB329" i="88"/>
  <c r="AC329" i="88"/>
  <c r="AD329" i="88"/>
  <c r="AE329" i="88"/>
  <c r="AF329" i="88"/>
  <c r="AG329" i="88"/>
  <c r="AH329" i="88"/>
  <c r="AI329" i="88"/>
  <c r="I339" i="88"/>
  <c r="M339" i="88"/>
  <c r="M343" i="88" s="1"/>
  <c r="N339" i="88"/>
  <c r="N343" i="88" s="1"/>
  <c r="R339" i="88"/>
  <c r="Y339" i="88"/>
  <c r="H340" i="88"/>
  <c r="I340" i="88"/>
  <c r="J340" i="88"/>
  <c r="K340" i="88"/>
  <c r="L340" i="88"/>
  <c r="M340" i="88"/>
  <c r="N340" i="88"/>
  <c r="O340" i="88"/>
  <c r="H341" i="88"/>
  <c r="I341" i="88"/>
  <c r="J341" i="88"/>
  <c r="K341" i="88"/>
  <c r="L341" i="88"/>
  <c r="M341" i="88"/>
  <c r="N341" i="88"/>
  <c r="O341" i="88"/>
  <c r="Q341" i="88"/>
  <c r="R341" i="88"/>
  <c r="S341" i="88"/>
  <c r="T341" i="88"/>
  <c r="U341" i="88"/>
  <c r="V341" i="88"/>
  <c r="W341" i="88"/>
  <c r="X341" i="88"/>
  <c r="Y341" i="88"/>
  <c r="Z341" i="88"/>
  <c r="AA341" i="88"/>
  <c r="AB341" i="88"/>
  <c r="AC341" i="88"/>
  <c r="AD341" i="88"/>
  <c r="AE341" i="88"/>
  <c r="AF341" i="88"/>
  <c r="AG341" i="88"/>
  <c r="AH341" i="88"/>
  <c r="AI341" i="88"/>
  <c r="H347" i="88"/>
  <c r="H537" i="88" s="1"/>
  <c r="I357" i="88"/>
  <c r="H357" i="88" s="1"/>
  <c r="G357" i="88" s="1"/>
  <c r="K357" i="88"/>
  <c r="L357" i="88"/>
  <c r="M357" i="88" s="1"/>
  <c r="N357" i="88" s="1"/>
  <c r="N358" i="88" s="1"/>
  <c r="K358" i="88"/>
  <c r="M358" i="88"/>
  <c r="G361" i="88"/>
  <c r="G362" i="88" s="1"/>
  <c r="G363" i="88" s="1"/>
  <c r="I370" i="88"/>
  <c r="J370" i="88" s="1"/>
  <c r="K370" i="88" s="1"/>
  <c r="L370" i="88" s="1"/>
  <c r="M370" i="88" s="1"/>
  <c r="N370" i="88" s="1"/>
  <c r="H372" i="88"/>
  <c r="I372" i="88"/>
  <c r="K372" i="88"/>
  <c r="L372" i="88"/>
  <c r="M372" i="88"/>
  <c r="N372" i="88"/>
  <c r="I375" i="88"/>
  <c r="J375" i="88" s="1"/>
  <c r="K375" i="88" s="1"/>
  <c r="L375" i="88" s="1"/>
  <c r="M375" i="88" s="1"/>
  <c r="N375" i="88" s="1"/>
  <c r="H377" i="88"/>
  <c r="I377" i="88"/>
  <c r="K377" i="88"/>
  <c r="L377" i="88"/>
  <c r="M377" i="88"/>
  <c r="N377" i="88"/>
  <c r="I380" i="88"/>
  <c r="J380" i="88" s="1"/>
  <c r="K380" i="88" s="1"/>
  <c r="L380" i="88" s="1"/>
  <c r="M380" i="88" s="1"/>
  <c r="N380" i="88" s="1"/>
  <c r="H382" i="88"/>
  <c r="I382" i="88"/>
  <c r="K382" i="88"/>
  <c r="L382" i="88"/>
  <c r="M382" i="88"/>
  <c r="N382" i="88"/>
  <c r="H388" i="88"/>
  <c r="I388" i="88"/>
  <c r="K388" i="88"/>
  <c r="L388" i="88"/>
  <c r="M388" i="88"/>
  <c r="N388" i="88"/>
  <c r="H393" i="88"/>
  <c r="I393" i="88"/>
  <c r="K393" i="88"/>
  <c r="L393" i="88"/>
  <c r="M393" i="88"/>
  <c r="N393" i="88"/>
  <c r="H399" i="88"/>
  <c r="I399" i="88"/>
  <c r="K399" i="88"/>
  <c r="L399" i="88"/>
  <c r="M399" i="88"/>
  <c r="N399" i="88"/>
  <c r="H404" i="88"/>
  <c r="I404" i="88"/>
  <c r="K404" i="88"/>
  <c r="L404" i="88"/>
  <c r="M404" i="88"/>
  <c r="N404" i="88"/>
  <c r="H410" i="88"/>
  <c r="I410" i="88"/>
  <c r="K410" i="88"/>
  <c r="L410" i="88"/>
  <c r="M410" i="88"/>
  <c r="N410" i="88"/>
  <c r="H415" i="88"/>
  <c r="I415" i="88"/>
  <c r="K415" i="88"/>
  <c r="L415" i="88"/>
  <c r="M415" i="88"/>
  <c r="N415" i="88"/>
  <c r="I426" i="88"/>
  <c r="H426" i="88" s="1"/>
  <c r="G426" i="88" s="1"/>
  <c r="K426" i="88"/>
  <c r="L426" i="88" s="1"/>
  <c r="K427" i="88"/>
  <c r="H430" i="88"/>
  <c r="H460" i="88" s="1"/>
  <c r="I430" i="88"/>
  <c r="J430" i="88"/>
  <c r="H431" i="88"/>
  <c r="I431" i="88"/>
  <c r="J431" i="88"/>
  <c r="H434" i="88"/>
  <c r="I434" i="88"/>
  <c r="J434" i="88" s="1"/>
  <c r="H436" i="88"/>
  <c r="I436" i="88" s="1"/>
  <c r="I444" i="88" s="1"/>
  <c r="I439" i="88"/>
  <c r="I448" i="88" s="1"/>
  <c r="H442" i="88"/>
  <c r="H443" i="88"/>
  <c r="I443" i="88"/>
  <c r="J443" i="88"/>
  <c r="J272" i="88" s="1"/>
  <c r="G445" i="88"/>
  <c r="H445" i="88"/>
  <c r="I445" i="88"/>
  <c r="J445" i="88"/>
  <c r="H446" i="88"/>
  <c r="H270" i="88" s="1"/>
  <c r="I446" i="88"/>
  <c r="I270" i="88" s="1"/>
  <c r="J446" i="88"/>
  <c r="J270" i="88" s="1"/>
  <c r="H448" i="88"/>
  <c r="H453" i="88"/>
  <c r="I453" i="88"/>
  <c r="J453" i="88" s="1"/>
  <c r="K453" i="88" s="1"/>
  <c r="L453" i="88" s="1"/>
  <c r="M453" i="88" s="1"/>
  <c r="N453" i="88" s="1"/>
  <c r="O453" i="88" s="1"/>
  <c r="P453" i="88" s="1"/>
  <c r="Q453" i="88" s="1"/>
  <c r="R453" i="88" s="1"/>
  <c r="S453" i="88" s="1"/>
  <c r="T453" i="88" s="1"/>
  <c r="U453" i="88" s="1"/>
  <c r="V453" i="88" s="1"/>
  <c r="W453" i="88" s="1"/>
  <c r="X453" i="88" s="1"/>
  <c r="Y453" i="88" s="1"/>
  <c r="Z453" i="88" s="1"/>
  <c r="AA453" i="88" s="1"/>
  <c r="AB453" i="88" s="1"/>
  <c r="AC453" i="88" s="1"/>
  <c r="AD453" i="88" s="1"/>
  <c r="AE453" i="88" s="1"/>
  <c r="AF453" i="88" s="1"/>
  <c r="AG453" i="88" s="1"/>
  <c r="AH453" i="88" s="1"/>
  <c r="AI453" i="88" s="1"/>
  <c r="H454" i="88"/>
  <c r="I454" i="88" s="1"/>
  <c r="J454" i="88" s="1"/>
  <c r="K454" i="88" s="1"/>
  <c r="H455" i="88"/>
  <c r="I455" i="88"/>
  <c r="I460" i="88" s="1"/>
  <c r="I283" i="88" s="1"/>
  <c r="H456" i="88"/>
  <c r="H457" i="88"/>
  <c r="H458" i="88" s="1"/>
  <c r="I457" i="88"/>
  <c r="I458" i="88" s="1"/>
  <c r="I472" i="88"/>
  <c r="H472" i="88" s="1"/>
  <c r="G472" i="88" s="1"/>
  <c r="K472" i="88"/>
  <c r="L472" i="88" s="1"/>
  <c r="L473" i="88" s="1"/>
  <c r="K473" i="88"/>
  <c r="G477" i="88"/>
  <c r="H477" i="88"/>
  <c r="I477" i="88"/>
  <c r="I479" i="88" s="1"/>
  <c r="I481" i="88" s="1"/>
  <c r="J477" i="88"/>
  <c r="K477" i="88"/>
  <c r="L477" i="88"/>
  <c r="M477" i="88"/>
  <c r="G478" i="88"/>
  <c r="H478" i="88"/>
  <c r="I478" i="88"/>
  <c r="J478" i="88"/>
  <c r="J479" i="88" s="1"/>
  <c r="J481" i="88" s="1"/>
  <c r="K478" i="88"/>
  <c r="L478" i="88"/>
  <c r="M478" i="88"/>
  <c r="H483" i="88"/>
  <c r="N486" i="88"/>
  <c r="N329" i="88" s="1"/>
  <c r="K487" i="88"/>
  <c r="L487" i="88"/>
  <c r="M487" i="88"/>
  <c r="N487" i="88"/>
  <c r="O487" i="88"/>
  <c r="P487" i="88"/>
  <c r="Q487" i="88"/>
  <c r="R487" i="88"/>
  <c r="S487" i="88"/>
  <c r="T487" i="88"/>
  <c r="U487" i="88"/>
  <c r="V487" i="88"/>
  <c r="W487" i="88"/>
  <c r="X487" i="88"/>
  <c r="Y487" i="88"/>
  <c r="Z487" i="88"/>
  <c r="AA487" i="88"/>
  <c r="AB487" i="88"/>
  <c r="AC487" i="88"/>
  <c r="AD487" i="88"/>
  <c r="AE487" i="88"/>
  <c r="AF487" i="88"/>
  <c r="AG487" i="88"/>
  <c r="AH487" i="88"/>
  <c r="AI487" i="88"/>
  <c r="J493" i="88"/>
  <c r="T493" i="88" s="1"/>
  <c r="N493" i="88"/>
  <c r="C497" i="88"/>
  <c r="C498" i="88" s="1"/>
  <c r="C499" i="88" s="1"/>
  <c r="C500" i="88" s="1"/>
  <c r="C501" i="88" s="1"/>
  <c r="C502" i="88" s="1"/>
  <c r="C503" i="88" s="1"/>
  <c r="C504" i="88" s="1"/>
  <c r="C505" i="88" s="1"/>
  <c r="C506" i="88" s="1"/>
  <c r="C507" i="88" s="1"/>
  <c r="C508" i="88" s="1"/>
  <c r="C509" i="88" s="1"/>
  <c r="C510" i="88" s="1"/>
  <c r="C511" i="88" s="1"/>
  <c r="C512" i="88" s="1"/>
  <c r="C513" i="88" s="1"/>
  <c r="C514" i="88" s="1"/>
  <c r="C515" i="88" s="1"/>
  <c r="C516" i="88" s="1"/>
  <c r="C517" i="88" s="1"/>
  <c r="C518" i="88" s="1"/>
  <c r="C519" i="88" s="1"/>
  <c r="C520" i="88" s="1"/>
  <c r="H531" i="88"/>
  <c r="G531" i="88" s="1"/>
  <c r="I531" i="88"/>
  <c r="K531" i="88"/>
  <c r="G535" i="88"/>
  <c r="P536" i="88"/>
  <c r="P341" i="88" s="1"/>
  <c r="G537" i="88"/>
  <c r="G538" i="88"/>
  <c r="H538" i="88" s="1"/>
  <c r="G539" i="88"/>
  <c r="G563" i="88" s="1"/>
  <c r="G543" i="88"/>
  <c r="G578" i="88" s="1"/>
  <c r="G592" i="88" s="1"/>
  <c r="G544" i="88"/>
  <c r="G545" i="88"/>
  <c r="H545" i="88" s="1"/>
  <c r="C549" i="88"/>
  <c r="C550" i="88"/>
  <c r="C551" i="88"/>
  <c r="G552" i="88"/>
  <c r="H552" i="88"/>
  <c r="H339" i="88" s="1"/>
  <c r="H343" i="88" s="1"/>
  <c r="I552" i="88"/>
  <c r="J552" i="88"/>
  <c r="J339" i="88" s="1"/>
  <c r="U102" i="57" s="1"/>
  <c r="S102" i="57" s="1"/>
  <c r="K552" i="88"/>
  <c r="K339" i="88" s="1"/>
  <c r="L552" i="88"/>
  <c r="L339" i="88" s="1"/>
  <c r="L343" i="88" s="1"/>
  <c r="M552" i="88"/>
  <c r="N552" i="88"/>
  <c r="O552" i="88"/>
  <c r="O339" i="88" s="1"/>
  <c r="O343" i="88" s="1"/>
  <c r="P552" i="88"/>
  <c r="P339" i="88" s="1"/>
  <c r="Q552" i="88"/>
  <c r="Q339" i="88" s="1"/>
  <c r="R552" i="88"/>
  <c r="S552" i="88"/>
  <c r="S339" i="88" s="1"/>
  <c r="T552" i="88"/>
  <c r="T339" i="88" s="1"/>
  <c r="U552" i="88"/>
  <c r="U339" i="88" s="1"/>
  <c r="V552" i="88"/>
  <c r="V339" i="88" s="1"/>
  <c r="W552" i="88"/>
  <c r="W339" i="88" s="1"/>
  <c r="X552" i="88"/>
  <c r="X339" i="88" s="1"/>
  <c r="Y552" i="88"/>
  <c r="Z552" i="88"/>
  <c r="Z339" i="88" s="1"/>
  <c r="AA552" i="88"/>
  <c r="AA339" i="88" s="1"/>
  <c r="AB552" i="88"/>
  <c r="AB339" i="88" s="1"/>
  <c r="AC552" i="88"/>
  <c r="AC339" i="88" s="1"/>
  <c r="AD552" i="88"/>
  <c r="AD339" i="88" s="1"/>
  <c r="AE552" i="88"/>
  <c r="AE339" i="88" s="1"/>
  <c r="AF552" i="88"/>
  <c r="AF339" i="88" s="1"/>
  <c r="AG552" i="88"/>
  <c r="AG339" i="88" s="1"/>
  <c r="AH552" i="88"/>
  <c r="AH339" i="88" s="1"/>
  <c r="AI552" i="88"/>
  <c r="AI339" i="88" s="1"/>
  <c r="G557" i="88"/>
  <c r="G564" i="88"/>
  <c r="H582" i="88" s="1"/>
  <c r="I602" i="88" s="1"/>
  <c r="I573" i="88"/>
  <c r="H573" i="88" s="1"/>
  <c r="G573" i="88" s="1"/>
  <c r="K573" i="88"/>
  <c r="C578" i="88"/>
  <c r="C585" i="88" s="1"/>
  <c r="C592" i="88" s="1"/>
  <c r="C579" i="88"/>
  <c r="C586" i="88" s="1"/>
  <c r="C593" i="88" s="1"/>
  <c r="C580" i="88"/>
  <c r="C587" i="88" s="1"/>
  <c r="C594" i="88" s="1"/>
  <c r="G580" i="88"/>
  <c r="G594" i="88" s="1"/>
  <c r="H580" i="88"/>
  <c r="G581" i="88"/>
  <c r="G595" i="88" s="1"/>
  <c r="G582" i="88"/>
  <c r="H585" i="88"/>
  <c r="I585" i="88"/>
  <c r="J585" i="88" s="1"/>
  <c r="K585" i="88" s="1"/>
  <c r="L585" i="88" s="1"/>
  <c r="M585" i="88" s="1"/>
  <c r="N585" i="88" s="1"/>
  <c r="O585" i="88" s="1"/>
  <c r="P585" i="88" s="1"/>
  <c r="Q585" i="88" s="1"/>
  <c r="R585" i="88" s="1"/>
  <c r="S585" i="88" s="1"/>
  <c r="T585" i="88" s="1"/>
  <c r="U585" i="88" s="1"/>
  <c r="V585" i="88" s="1"/>
  <c r="W585" i="88" s="1"/>
  <c r="X585" i="88" s="1"/>
  <c r="Y585" i="88" s="1"/>
  <c r="Z585" i="88" s="1"/>
  <c r="AA585" i="88" s="1"/>
  <c r="AB585" i="88" s="1"/>
  <c r="AC585" i="88" s="1"/>
  <c r="AD585" i="88" s="1"/>
  <c r="AE585" i="88" s="1"/>
  <c r="AF585" i="88" s="1"/>
  <c r="AG585" i="88" s="1"/>
  <c r="AH585" i="88" s="1"/>
  <c r="AI585" i="88" s="1"/>
  <c r="H586" i="88"/>
  <c r="I586" i="88" s="1"/>
  <c r="H587" i="88"/>
  <c r="I587" i="88" s="1"/>
  <c r="J587" i="88" s="1"/>
  <c r="K587" i="88" s="1"/>
  <c r="L587" i="88" s="1"/>
  <c r="M587" i="88" s="1"/>
  <c r="N587" i="88" s="1"/>
  <c r="O587" i="88" s="1"/>
  <c r="P587" i="88" s="1"/>
  <c r="Q587" i="88" s="1"/>
  <c r="R587" i="88" s="1"/>
  <c r="S587" i="88" s="1"/>
  <c r="T587" i="88" s="1"/>
  <c r="U587" i="88" s="1"/>
  <c r="V587" i="88" s="1"/>
  <c r="W587" i="88" s="1"/>
  <c r="X587" i="88" s="1"/>
  <c r="Y587" i="88" s="1"/>
  <c r="Z587" i="88" s="1"/>
  <c r="AA587" i="88" s="1"/>
  <c r="AB587" i="88" s="1"/>
  <c r="AC587" i="88" s="1"/>
  <c r="AD587" i="88" s="1"/>
  <c r="AE587" i="88" s="1"/>
  <c r="AF587" i="88" s="1"/>
  <c r="AG587" i="88" s="1"/>
  <c r="AH587" i="88" s="1"/>
  <c r="AI587" i="88" s="1"/>
  <c r="C588" i="88"/>
  <c r="C595" i="88" s="1"/>
  <c r="H588" i="88"/>
  <c r="I588" i="88" s="1"/>
  <c r="J588" i="88" s="1"/>
  <c r="K588" i="88" s="1"/>
  <c r="L588" i="88" s="1"/>
  <c r="M588" i="88" s="1"/>
  <c r="N588" i="88" s="1"/>
  <c r="O588" i="88" s="1"/>
  <c r="P588" i="88" s="1"/>
  <c r="Q588" i="88" s="1"/>
  <c r="R588" i="88" s="1"/>
  <c r="S588" i="88" s="1"/>
  <c r="T588" i="88" s="1"/>
  <c r="U588" i="88" s="1"/>
  <c r="V588" i="88" s="1"/>
  <c r="W588" i="88" s="1"/>
  <c r="X588" i="88" s="1"/>
  <c r="Y588" i="88" s="1"/>
  <c r="Z588" i="88" s="1"/>
  <c r="AA588" i="88" s="1"/>
  <c r="AB588" i="88" s="1"/>
  <c r="AC588" i="88" s="1"/>
  <c r="AD588" i="88" s="1"/>
  <c r="AE588" i="88" s="1"/>
  <c r="AF588" i="88" s="1"/>
  <c r="AG588" i="88" s="1"/>
  <c r="AH588" i="88" s="1"/>
  <c r="AI588" i="88" s="1"/>
  <c r="C589" i="88"/>
  <c r="G598" i="88"/>
  <c r="H598" i="88" s="1"/>
  <c r="I598" i="88" s="1"/>
  <c r="J598" i="88" s="1"/>
  <c r="K598" i="88" s="1"/>
  <c r="N598" i="88"/>
  <c r="O598" i="88"/>
  <c r="P598" i="88" s="1"/>
  <c r="Q598" i="88" s="1"/>
  <c r="R598" i="88" s="1"/>
  <c r="S598" i="88" s="1"/>
  <c r="T598" i="88" s="1"/>
  <c r="U598" i="88" s="1"/>
  <c r="V598" i="88" s="1"/>
  <c r="W598" i="88" s="1"/>
  <c r="X598" i="88" s="1"/>
  <c r="Y598" i="88" s="1"/>
  <c r="Z598" i="88" s="1"/>
  <c r="AA598" i="88" s="1"/>
  <c r="AB598" i="88" s="1"/>
  <c r="AC598" i="88" s="1"/>
  <c r="AD598" i="88" s="1"/>
  <c r="AE598" i="88" s="1"/>
  <c r="AF598" i="88" s="1"/>
  <c r="AG598" i="88" s="1"/>
  <c r="AH598" i="88" s="1"/>
  <c r="AI598" i="88" s="1"/>
  <c r="G603" i="88"/>
  <c r="H603" i="88" s="1"/>
  <c r="I603" i="88" s="1"/>
  <c r="P7" i="90"/>
  <c r="Q7" i="90" s="1"/>
  <c r="R7" i="90" s="1"/>
  <c r="V7" i="90" s="1"/>
  <c r="W7" i="90" s="1"/>
  <c r="X7" i="90" s="1"/>
  <c r="Y7" i="90" s="1"/>
  <c r="Z7" i="90" s="1"/>
  <c r="AA7" i="90" s="1"/>
  <c r="AB7" i="90" s="1"/>
  <c r="AC7" i="90" s="1"/>
  <c r="AD7" i="90" s="1"/>
  <c r="AE7" i="90" s="1"/>
  <c r="AF7" i="90" s="1"/>
  <c r="AG7" i="90" s="1"/>
  <c r="AH7" i="90" s="1"/>
  <c r="AI7" i="90" s="1"/>
  <c r="AJ7" i="90" s="1"/>
  <c r="AK7" i="90" s="1"/>
  <c r="AL7" i="90" s="1"/>
  <c r="AM7" i="90" s="1"/>
  <c r="AN7" i="90" s="1"/>
  <c r="AO7" i="90" s="1"/>
  <c r="AP7" i="90" s="1"/>
  <c r="AQ7" i="90" s="1"/>
  <c r="AR7" i="90" s="1"/>
  <c r="AS7" i="90" s="1"/>
  <c r="AT7" i="90" s="1"/>
  <c r="AU7" i="90" s="1"/>
  <c r="P9" i="90"/>
  <c r="Q9" i="90" s="1"/>
  <c r="R9" i="90" s="1"/>
  <c r="V9" i="90" s="1"/>
  <c r="W9" i="90" s="1"/>
  <c r="X9" i="90" s="1"/>
  <c r="Y9" i="90" s="1"/>
  <c r="Z9" i="90" s="1"/>
  <c r="AA9" i="90" s="1"/>
  <c r="AB9" i="90" s="1"/>
  <c r="AC9" i="90" s="1"/>
  <c r="AD9" i="90" s="1"/>
  <c r="AE9" i="90" s="1"/>
  <c r="AF9" i="90" s="1"/>
  <c r="AG9" i="90" s="1"/>
  <c r="AH9" i="90" s="1"/>
  <c r="AI9" i="90" s="1"/>
  <c r="AJ9" i="90" s="1"/>
  <c r="AK9" i="90" s="1"/>
  <c r="AL9" i="90" s="1"/>
  <c r="AM9" i="90" s="1"/>
  <c r="AN9" i="90" s="1"/>
  <c r="AO9" i="90" s="1"/>
  <c r="AP9" i="90" s="1"/>
  <c r="AQ9" i="90" s="1"/>
  <c r="AR9" i="90" s="1"/>
  <c r="AS9" i="90" s="1"/>
  <c r="AT9" i="90" s="1"/>
  <c r="AU9" i="90" s="1"/>
  <c r="R18" i="90"/>
  <c r="R359" i="90" s="1"/>
  <c r="P31" i="90"/>
  <c r="Q31" i="90" s="1"/>
  <c r="R31" i="90" s="1"/>
  <c r="V31" i="90" s="1"/>
  <c r="W31" i="90" s="1"/>
  <c r="X31" i="90" s="1"/>
  <c r="Y31" i="90" s="1"/>
  <c r="Z31" i="90" s="1"/>
  <c r="AA31" i="90" s="1"/>
  <c r="AB31" i="90" s="1"/>
  <c r="AC31" i="90" s="1"/>
  <c r="AD31" i="90" s="1"/>
  <c r="AE31" i="90" s="1"/>
  <c r="AF31" i="90" s="1"/>
  <c r="AG31" i="90" s="1"/>
  <c r="AH31" i="90" s="1"/>
  <c r="AI31" i="90" s="1"/>
  <c r="AJ31" i="90" s="1"/>
  <c r="AK31" i="90" s="1"/>
  <c r="AL31" i="90" s="1"/>
  <c r="AM31" i="90" s="1"/>
  <c r="AN31" i="90" s="1"/>
  <c r="AO31" i="90" s="1"/>
  <c r="AP31" i="90" s="1"/>
  <c r="AQ31" i="90" s="1"/>
  <c r="AR31" i="90" s="1"/>
  <c r="AS31" i="90" s="1"/>
  <c r="AT31" i="90" s="1"/>
  <c r="AU31" i="90" s="1"/>
  <c r="P32" i="90"/>
  <c r="Q32" i="90" s="1"/>
  <c r="R32" i="90" s="1"/>
  <c r="V32" i="90" s="1"/>
  <c r="W32" i="90" s="1"/>
  <c r="X32" i="90" s="1"/>
  <c r="Y32" i="90" s="1"/>
  <c r="Z32" i="90" s="1"/>
  <c r="AA32" i="90" s="1"/>
  <c r="AB32" i="90" s="1"/>
  <c r="AC32" i="90" s="1"/>
  <c r="AD32" i="90" s="1"/>
  <c r="AE32" i="90" s="1"/>
  <c r="AF32" i="90" s="1"/>
  <c r="AG32" i="90" s="1"/>
  <c r="AH32" i="90" s="1"/>
  <c r="AI32" i="90" s="1"/>
  <c r="AJ32" i="90" s="1"/>
  <c r="AK32" i="90" s="1"/>
  <c r="AL32" i="90" s="1"/>
  <c r="AM32" i="90" s="1"/>
  <c r="AN32" i="90" s="1"/>
  <c r="AO32" i="90" s="1"/>
  <c r="AP32" i="90" s="1"/>
  <c r="AQ32" i="90" s="1"/>
  <c r="AR32" i="90" s="1"/>
  <c r="AS32" i="90" s="1"/>
  <c r="AT32" i="90" s="1"/>
  <c r="AU32" i="90" s="1"/>
  <c r="P33" i="90"/>
  <c r="Q33" i="90" s="1"/>
  <c r="R33" i="90" s="1"/>
  <c r="W36" i="90"/>
  <c r="X36" i="90" s="1"/>
  <c r="Y36" i="90" s="1"/>
  <c r="Z36" i="90" s="1"/>
  <c r="AA36" i="90" s="1"/>
  <c r="AB36" i="90" s="1"/>
  <c r="AC36" i="90" s="1"/>
  <c r="AD36" i="90" s="1"/>
  <c r="AE36" i="90" s="1"/>
  <c r="AF36" i="90" s="1"/>
  <c r="AG36" i="90" s="1"/>
  <c r="AH36" i="90" s="1"/>
  <c r="AI36" i="90" s="1"/>
  <c r="AJ36" i="90" s="1"/>
  <c r="AK36" i="90" s="1"/>
  <c r="AL36" i="90" s="1"/>
  <c r="AM36" i="90" s="1"/>
  <c r="AN36" i="90" s="1"/>
  <c r="AO36" i="90" s="1"/>
  <c r="AP36" i="90" s="1"/>
  <c r="AQ36" i="90" s="1"/>
  <c r="AR36" i="90" s="1"/>
  <c r="AS36" i="90" s="1"/>
  <c r="AT36" i="90" s="1"/>
  <c r="AU36" i="90" s="1"/>
  <c r="W37" i="90"/>
  <c r="X37" i="90" s="1"/>
  <c r="Y37" i="90" s="1"/>
  <c r="Z37" i="90" s="1"/>
  <c r="AA37" i="90" s="1"/>
  <c r="AB37" i="90" s="1"/>
  <c r="AC37" i="90" s="1"/>
  <c r="AD37" i="90" s="1"/>
  <c r="AE37" i="90" s="1"/>
  <c r="AF37" i="90" s="1"/>
  <c r="AG37" i="90" s="1"/>
  <c r="AH37" i="90" s="1"/>
  <c r="AI37" i="90" s="1"/>
  <c r="AJ37" i="90" s="1"/>
  <c r="AK37" i="90" s="1"/>
  <c r="AL37" i="90" s="1"/>
  <c r="AM37" i="90" s="1"/>
  <c r="AN37" i="90" s="1"/>
  <c r="AO37" i="90" s="1"/>
  <c r="AP37" i="90" s="1"/>
  <c r="AQ37" i="90" s="1"/>
  <c r="AR37" i="90" s="1"/>
  <c r="AS37" i="90" s="1"/>
  <c r="AT37" i="90" s="1"/>
  <c r="AU37" i="90" s="1"/>
  <c r="W38" i="90"/>
  <c r="X38" i="90" s="1"/>
  <c r="Y38" i="90" s="1"/>
  <c r="Z38" i="90" s="1"/>
  <c r="AA38" i="90" s="1"/>
  <c r="AB38" i="90" s="1"/>
  <c r="AC38" i="90" s="1"/>
  <c r="AD38" i="90" s="1"/>
  <c r="AE38" i="90" s="1"/>
  <c r="AF38" i="90" s="1"/>
  <c r="AG38" i="90" s="1"/>
  <c r="AH38" i="90" s="1"/>
  <c r="AI38" i="90" s="1"/>
  <c r="AJ38" i="90" s="1"/>
  <c r="AK38" i="90" s="1"/>
  <c r="AL38" i="90" s="1"/>
  <c r="AM38" i="90" s="1"/>
  <c r="AN38" i="90" s="1"/>
  <c r="AO38" i="90" s="1"/>
  <c r="AP38" i="90" s="1"/>
  <c r="AQ38" i="90" s="1"/>
  <c r="AR38" i="90" s="1"/>
  <c r="AS38" i="90" s="1"/>
  <c r="AT38" i="90" s="1"/>
  <c r="AU38" i="90" s="1"/>
  <c r="W40" i="90"/>
  <c r="X40" i="90" s="1"/>
  <c r="V41" i="90"/>
  <c r="W41" i="90" s="1"/>
  <c r="X41" i="90" s="1"/>
  <c r="Y41" i="90" s="1"/>
  <c r="Z41" i="90" s="1"/>
  <c r="AA41" i="90" s="1"/>
  <c r="AB41" i="90" s="1"/>
  <c r="AC41" i="90" s="1"/>
  <c r="AD41" i="90" s="1"/>
  <c r="AE41" i="90" s="1"/>
  <c r="AF41" i="90" s="1"/>
  <c r="AG41" i="90" s="1"/>
  <c r="AH41" i="90" s="1"/>
  <c r="AI41" i="90" s="1"/>
  <c r="AJ41" i="90" s="1"/>
  <c r="AK41" i="90" s="1"/>
  <c r="AL41" i="90" s="1"/>
  <c r="AM41" i="90" s="1"/>
  <c r="AN41" i="90" s="1"/>
  <c r="AO41" i="90" s="1"/>
  <c r="AP41" i="90" s="1"/>
  <c r="AQ41" i="90" s="1"/>
  <c r="AR41" i="90" s="1"/>
  <c r="AS41" i="90" s="1"/>
  <c r="AT41" i="90" s="1"/>
  <c r="AU41" i="90" s="1"/>
  <c r="V42" i="90"/>
  <c r="W42" i="90" s="1"/>
  <c r="X42" i="90" s="1"/>
  <c r="Y42" i="90" s="1"/>
  <c r="Z42" i="90" s="1"/>
  <c r="AA42" i="90" s="1"/>
  <c r="AB42" i="90" s="1"/>
  <c r="AC42" i="90" s="1"/>
  <c r="AD42" i="90" s="1"/>
  <c r="AE42" i="90" s="1"/>
  <c r="AF42" i="90" s="1"/>
  <c r="AG42" i="90" s="1"/>
  <c r="AH42" i="90" s="1"/>
  <c r="AI42" i="90" s="1"/>
  <c r="AJ42" i="90" s="1"/>
  <c r="AK42" i="90" s="1"/>
  <c r="AL42" i="90" s="1"/>
  <c r="AM42" i="90" s="1"/>
  <c r="AN42" i="90" s="1"/>
  <c r="AO42" i="90" s="1"/>
  <c r="AP42" i="90" s="1"/>
  <c r="AQ42" i="90" s="1"/>
  <c r="AR42" i="90" s="1"/>
  <c r="AS42" i="90" s="1"/>
  <c r="AT42" i="90" s="1"/>
  <c r="AU42" i="90" s="1"/>
  <c r="P48" i="90"/>
  <c r="Q48" i="90" s="1"/>
  <c r="R48" i="90" s="1"/>
  <c r="V48" i="90" s="1"/>
  <c r="W48" i="90" s="1"/>
  <c r="X48" i="90" s="1"/>
  <c r="Y48" i="90" s="1"/>
  <c r="Z48" i="90" s="1"/>
  <c r="AA48" i="90" s="1"/>
  <c r="AB48" i="90" s="1"/>
  <c r="AC48" i="90" s="1"/>
  <c r="AD48" i="90" s="1"/>
  <c r="AE48" i="90" s="1"/>
  <c r="AF48" i="90" s="1"/>
  <c r="AG48" i="90" s="1"/>
  <c r="AH48" i="90" s="1"/>
  <c r="AI48" i="90" s="1"/>
  <c r="AJ48" i="90" s="1"/>
  <c r="AK48" i="90" s="1"/>
  <c r="AL48" i="90" s="1"/>
  <c r="AM48" i="90" s="1"/>
  <c r="AN48" i="90" s="1"/>
  <c r="AO48" i="90" s="1"/>
  <c r="AP48" i="90" s="1"/>
  <c r="AQ48" i="90" s="1"/>
  <c r="AR48" i="90" s="1"/>
  <c r="AS48" i="90" s="1"/>
  <c r="AT48" i="90" s="1"/>
  <c r="AU48" i="90" s="1"/>
  <c r="Q49" i="90"/>
  <c r="R49" i="90" s="1"/>
  <c r="V49" i="90" s="1"/>
  <c r="W49" i="90" s="1"/>
  <c r="X49" i="90" s="1"/>
  <c r="Y49" i="90" s="1"/>
  <c r="Z49" i="90" s="1"/>
  <c r="AA49" i="90" s="1"/>
  <c r="AB49" i="90" s="1"/>
  <c r="AC49" i="90" s="1"/>
  <c r="AD49" i="90" s="1"/>
  <c r="AE49" i="90" s="1"/>
  <c r="AF49" i="90" s="1"/>
  <c r="AG49" i="90" s="1"/>
  <c r="AH49" i="90" s="1"/>
  <c r="AI49" i="90" s="1"/>
  <c r="AJ49" i="90" s="1"/>
  <c r="AK49" i="90" s="1"/>
  <c r="AL49" i="90" s="1"/>
  <c r="AM49" i="90" s="1"/>
  <c r="AN49" i="90" s="1"/>
  <c r="AO49" i="90" s="1"/>
  <c r="AP49" i="90" s="1"/>
  <c r="AQ49" i="90" s="1"/>
  <c r="AR49" i="90" s="1"/>
  <c r="AS49" i="90" s="1"/>
  <c r="AT49" i="90" s="1"/>
  <c r="AU49" i="90" s="1"/>
  <c r="P50" i="90"/>
  <c r="Q50" i="90" s="1"/>
  <c r="R50" i="90" s="1"/>
  <c r="R52" i="90"/>
  <c r="V53" i="90"/>
  <c r="W53" i="90" s="1"/>
  <c r="V54" i="90"/>
  <c r="W54" i="90" s="1"/>
  <c r="X54" i="90" s="1"/>
  <c r="Y54" i="90" s="1"/>
  <c r="V55" i="90"/>
  <c r="W55" i="90" s="1"/>
  <c r="X55" i="90" s="1"/>
  <c r="Y55" i="90" s="1"/>
  <c r="Z55" i="90" s="1"/>
  <c r="AA55" i="90" s="1"/>
  <c r="R57" i="90"/>
  <c r="V58" i="90"/>
  <c r="W58" i="90" s="1"/>
  <c r="X58" i="90" s="1"/>
  <c r="V59" i="90"/>
  <c r="W59" i="90" s="1"/>
  <c r="X59" i="90" s="1"/>
  <c r="Y59" i="90" s="1"/>
  <c r="Z59" i="90" s="1"/>
  <c r="AA59" i="90" s="1"/>
  <c r="AB59" i="90" s="1"/>
  <c r="AC59" i="90" s="1"/>
  <c r="AD59" i="90" s="1"/>
  <c r="AE59" i="90" s="1"/>
  <c r="AF59" i="90" s="1"/>
  <c r="AG59" i="90" s="1"/>
  <c r="AH59" i="90" s="1"/>
  <c r="AI59" i="90" s="1"/>
  <c r="AJ59" i="90" s="1"/>
  <c r="AK59" i="90" s="1"/>
  <c r="AL59" i="90" s="1"/>
  <c r="AM59" i="90" s="1"/>
  <c r="AN59" i="90" s="1"/>
  <c r="AO59" i="90" s="1"/>
  <c r="AP59" i="90" s="1"/>
  <c r="AQ59" i="90" s="1"/>
  <c r="AR59" i="90" s="1"/>
  <c r="AS59" i="90" s="1"/>
  <c r="AT59" i="90" s="1"/>
  <c r="AU59" i="90" s="1"/>
  <c r="V60" i="90"/>
  <c r="W60" i="90" s="1"/>
  <c r="X60" i="90" s="1"/>
  <c r="Y60" i="90" s="1"/>
  <c r="Z60" i="90" s="1"/>
  <c r="AA60" i="90" s="1"/>
  <c r="AB60" i="90" s="1"/>
  <c r="AC60" i="90" s="1"/>
  <c r="AD60" i="90" s="1"/>
  <c r="AE60" i="90" s="1"/>
  <c r="AF60" i="90" s="1"/>
  <c r="AG60" i="90" s="1"/>
  <c r="AH60" i="90" s="1"/>
  <c r="AI60" i="90" s="1"/>
  <c r="AJ60" i="90" s="1"/>
  <c r="AK60" i="90" s="1"/>
  <c r="AL60" i="90" s="1"/>
  <c r="AM60" i="90" s="1"/>
  <c r="AN60" i="90" s="1"/>
  <c r="AO60" i="90" s="1"/>
  <c r="AP60" i="90" s="1"/>
  <c r="AQ60" i="90" s="1"/>
  <c r="AR60" i="90" s="1"/>
  <c r="AS60" i="90" s="1"/>
  <c r="AT60" i="90" s="1"/>
  <c r="AU60" i="90" s="1"/>
  <c r="V64" i="90"/>
  <c r="W64" i="90" s="1"/>
  <c r="X64" i="90" s="1"/>
  <c r="Y64" i="90" s="1"/>
  <c r="V67" i="90"/>
  <c r="W67" i="90" s="1"/>
  <c r="X67" i="90" s="1"/>
  <c r="Y67" i="90" s="1"/>
  <c r="Z67" i="90" s="1"/>
  <c r="AA67" i="90" s="1"/>
  <c r="AB67" i="90" s="1"/>
  <c r="V69" i="90"/>
  <c r="W69" i="90" s="1"/>
  <c r="X69" i="90" s="1"/>
  <c r="Y69" i="90" s="1"/>
  <c r="Z69" i="90" s="1"/>
  <c r="V70" i="90"/>
  <c r="W70" i="90" s="1"/>
  <c r="X70" i="90" s="1"/>
  <c r="V72" i="90"/>
  <c r="W72" i="90" s="1"/>
  <c r="V74" i="90"/>
  <c r="W74" i="90" s="1"/>
  <c r="X74" i="90" s="1"/>
  <c r="Y74" i="90" s="1"/>
  <c r="Z74" i="90" s="1"/>
  <c r="AA74" i="90" s="1"/>
  <c r="AB74" i="90" s="1"/>
  <c r="AC74" i="90" s="1"/>
  <c r="AD74" i="90" s="1"/>
  <c r="AE74" i="90" s="1"/>
  <c r="AF74" i="90" s="1"/>
  <c r="AG74" i="90" s="1"/>
  <c r="AH74" i="90" s="1"/>
  <c r="AI74" i="90" s="1"/>
  <c r="AJ74" i="90" s="1"/>
  <c r="AK74" i="90" s="1"/>
  <c r="AL74" i="90" s="1"/>
  <c r="AM74" i="90" s="1"/>
  <c r="AN74" i="90" s="1"/>
  <c r="AO74" i="90" s="1"/>
  <c r="AP74" i="90" s="1"/>
  <c r="AQ74" i="90" s="1"/>
  <c r="AR74" i="90" s="1"/>
  <c r="AS74" i="90" s="1"/>
  <c r="AT74" i="90" s="1"/>
  <c r="AU74" i="90" s="1"/>
  <c r="V76" i="90"/>
  <c r="W76" i="90" s="1"/>
  <c r="X76" i="90" s="1"/>
  <c r="V77" i="90"/>
  <c r="W77" i="90" s="1"/>
  <c r="X77" i="90" s="1"/>
  <c r="V78" i="90"/>
  <c r="W78" i="90" s="1"/>
  <c r="X78" i="90" s="1"/>
  <c r="Y78" i="90" s="1"/>
  <c r="Z78" i="90" s="1"/>
  <c r="AA78" i="90" s="1"/>
  <c r="AB78" i="90" s="1"/>
  <c r="AC78" i="90" s="1"/>
  <c r="AD78" i="90" s="1"/>
  <c r="AE78" i="90" s="1"/>
  <c r="AF78" i="90" s="1"/>
  <c r="AG78" i="90" s="1"/>
  <c r="AH78" i="90" s="1"/>
  <c r="AI78" i="90" s="1"/>
  <c r="AJ78" i="90" s="1"/>
  <c r="AK78" i="90" s="1"/>
  <c r="AL78" i="90" s="1"/>
  <c r="AM78" i="90" s="1"/>
  <c r="AN78" i="90" s="1"/>
  <c r="AO78" i="90" s="1"/>
  <c r="AP78" i="90" s="1"/>
  <c r="AQ78" i="90" s="1"/>
  <c r="AR78" i="90" s="1"/>
  <c r="AS78" i="90" s="1"/>
  <c r="AT78" i="90" s="1"/>
  <c r="AU78" i="90" s="1"/>
  <c r="P85" i="90"/>
  <c r="Q85" i="90" s="1"/>
  <c r="R85" i="90" s="1"/>
  <c r="V85" i="90" s="1"/>
  <c r="W85" i="90" s="1"/>
  <c r="X85" i="90" s="1"/>
  <c r="Y85" i="90" s="1"/>
  <c r="Z85" i="90" s="1"/>
  <c r="AA85" i="90" s="1"/>
  <c r="AB85" i="90" s="1"/>
  <c r="AC85" i="90" s="1"/>
  <c r="AD85" i="90" s="1"/>
  <c r="AE85" i="90" s="1"/>
  <c r="AF85" i="90" s="1"/>
  <c r="AG85" i="90" s="1"/>
  <c r="AH85" i="90" s="1"/>
  <c r="AI85" i="90" s="1"/>
  <c r="AJ85" i="90" s="1"/>
  <c r="AK85" i="90" s="1"/>
  <c r="AL85" i="90" s="1"/>
  <c r="AM85" i="90" s="1"/>
  <c r="AN85" i="90" s="1"/>
  <c r="AO85" i="90" s="1"/>
  <c r="AP85" i="90" s="1"/>
  <c r="AQ85" i="90" s="1"/>
  <c r="AR85" i="90" s="1"/>
  <c r="AS85" i="90" s="1"/>
  <c r="AT85" i="90" s="1"/>
  <c r="AU85" i="90" s="1"/>
  <c r="Q86" i="90"/>
  <c r="R86" i="90" s="1"/>
  <c r="V86" i="90" s="1"/>
  <c r="W86" i="90" s="1"/>
  <c r="X86" i="90" s="1"/>
  <c r="Y86" i="90" s="1"/>
  <c r="Z86" i="90" s="1"/>
  <c r="AA86" i="90" s="1"/>
  <c r="AB86" i="90" s="1"/>
  <c r="AC86" i="90" s="1"/>
  <c r="AD86" i="90" s="1"/>
  <c r="AE86" i="90" s="1"/>
  <c r="AF86" i="90" s="1"/>
  <c r="AG86" i="90" s="1"/>
  <c r="AH86" i="90" s="1"/>
  <c r="AI86" i="90" s="1"/>
  <c r="AJ86" i="90" s="1"/>
  <c r="AK86" i="90" s="1"/>
  <c r="AL86" i="90" s="1"/>
  <c r="AM86" i="90" s="1"/>
  <c r="AN86" i="90" s="1"/>
  <c r="AO86" i="90" s="1"/>
  <c r="AP86" i="90" s="1"/>
  <c r="AQ86" i="90" s="1"/>
  <c r="AR86" i="90" s="1"/>
  <c r="AS86" i="90" s="1"/>
  <c r="AT86" i="90" s="1"/>
  <c r="AU86" i="90" s="1"/>
  <c r="P87" i="90"/>
  <c r="Q87" i="90" s="1"/>
  <c r="R87" i="90" s="1"/>
  <c r="S87" i="90" s="1"/>
  <c r="T87" i="90" s="1"/>
  <c r="U87" i="90" s="1"/>
  <c r="V125" i="90"/>
  <c r="X125" i="90"/>
  <c r="V128" i="90"/>
  <c r="W128" i="90"/>
  <c r="W132" i="90" s="1"/>
  <c r="W204" i="90" s="1"/>
  <c r="X128" i="90"/>
  <c r="Y128" i="90"/>
  <c r="Z128" i="90"/>
  <c r="AA128" i="90"/>
  <c r="AB128" i="90"/>
  <c r="AC128" i="90"/>
  <c r="AD128" i="90"/>
  <c r="AE128" i="90"/>
  <c r="AF128" i="90"/>
  <c r="AG128" i="90"/>
  <c r="AH128" i="90"/>
  <c r="AI128" i="90"/>
  <c r="AJ128" i="90"/>
  <c r="AK128" i="90"/>
  <c r="AL128" i="90"/>
  <c r="AM128" i="90"/>
  <c r="AN128" i="90"/>
  <c r="AO128" i="90"/>
  <c r="AP128" i="90"/>
  <c r="AQ128" i="90"/>
  <c r="AR128" i="90"/>
  <c r="AS128" i="90"/>
  <c r="AT128" i="90"/>
  <c r="AU128" i="90"/>
  <c r="V135" i="90"/>
  <c r="V215" i="90" s="1"/>
  <c r="V216" i="90" s="1"/>
  <c r="W135" i="90"/>
  <c r="W215" i="90" s="1"/>
  <c r="X135" i="90"/>
  <c r="Y135" i="90"/>
  <c r="Y215" i="90" s="1"/>
  <c r="Z135" i="90"/>
  <c r="AA135" i="90"/>
  <c r="AB135" i="90"/>
  <c r="AB215" i="90" s="1"/>
  <c r="AC135" i="90"/>
  <c r="AC215" i="90" s="1"/>
  <c r="AD135" i="90"/>
  <c r="AD215" i="90" s="1"/>
  <c r="AE135" i="90"/>
  <c r="AE215" i="90" s="1"/>
  <c r="AF135" i="90"/>
  <c r="AG135" i="90"/>
  <c r="AG215" i="90" s="1"/>
  <c r="AH135" i="90"/>
  <c r="AI135" i="90"/>
  <c r="AJ135" i="90"/>
  <c r="AJ215" i="90" s="1"/>
  <c r="AK135" i="90"/>
  <c r="AL135" i="90"/>
  <c r="AL215" i="90" s="1"/>
  <c r="AM135" i="90"/>
  <c r="AM215" i="90" s="1"/>
  <c r="AN135" i="90"/>
  <c r="AO135" i="90"/>
  <c r="AO215" i="90" s="1"/>
  <c r="AP135" i="90"/>
  <c r="AQ135" i="90"/>
  <c r="AQ215" i="90" s="1"/>
  <c r="AR135" i="90"/>
  <c r="AS135" i="90"/>
  <c r="AS215" i="90" s="1"/>
  <c r="AT135" i="90"/>
  <c r="AT215" i="90" s="1"/>
  <c r="AU135" i="90"/>
  <c r="R139" i="90"/>
  <c r="W139" i="90"/>
  <c r="X139" i="90"/>
  <c r="Z150" i="90"/>
  <c r="R158" i="90"/>
  <c r="R159" i="90" s="1"/>
  <c r="V158" i="90"/>
  <c r="V159" i="90" s="1"/>
  <c r="W158" i="90"/>
  <c r="W159" i="90" s="1"/>
  <c r="X158" i="90"/>
  <c r="X159" i="90" s="1"/>
  <c r="Y158" i="90"/>
  <c r="Y159" i="90" s="1"/>
  <c r="Z158" i="90"/>
  <c r="Z159" i="90" s="1"/>
  <c r="AA158" i="90"/>
  <c r="AA159" i="90" s="1"/>
  <c r="AB158" i="90"/>
  <c r="AB159" i="90" s="1"/>
  <c r="AC158" i="90"/>
  <c r="AC159" i="90" s="1"/>
  <c r="AD158" i="90"/>
  <c r="AD159" i="90" s="1"/>
  <c r="AE158" i="90"/>
  <c r="AE159" i="90" s="1"/>
  <c r="AF158" i="90"/>
  <c r="AF159" i="90" s="1"/>
  <c r="AG158" i="90"/>
  <c r="AG159" i="90" s="1"/>
  <c r="AH158" i="90"/>
  <c r="AH159" i="90" s="1"/>
  <c r="AI158" i="90"/>
  <c r="AI159" i="90" s="1"/>
  <c r="AJ158" i="90"/>
  <c r="AJ159" i="90" s="1"/>
  <c r="AK158" i="90"/>
  <c r="AK159" i="90" s="1"/>
  <c r="AL158" i="90"/>
  <c r="AL159" i="90" s="1"/>
  <c r="AM158" i="90"/>
  <c r="AM159" i="90" s="1"/>
  <c r="AN158" i="90"/>
  <c r="AN159" i="90"/>
  <c r="AO158" i="90"/>
  <c r="AO159" i="90" s="1"/>
  <c r="AP158" i="90"/>
  <c r="AP159" i="90" s="1"/>
  <c r="AQ158" i="90"/>
  <c r="AQ159" i="90" s="1"/>
  <c r="AR158" i="90"/>
  <c r="AR159" i="90" s="1"/>
  <c r="AS158" i="90"/>
  <c r="AS159" i="90" s="1"/>
  <c r="AT158" i="90"/>
  <c r="AT159" i="90" s="1"/>
  <c r="AU158" i="90"/>
  <c r="AU159" i="90" s="1"/>
  <c r="X174" i="90"/>
  <c r="AJ174" i="90"/>
  <c r="AT174" i="90"/>
  <c r="Z175" i="90"/>
  <c r="AI175" i="90"/>
  <c r="AL175" i="90"/>
  <c r="AP175" i="90"/>
  <c r="R176" i="90"/>
  <c r="V176" i="90"/>
  <c r="V174" i="90" s="1"/>
  <c r="W176" i="90"/>
  <c r="W178" i="90" s="1"/>
  <c r="W25" i="90" s="1"/>
  <c r="X176" i="90"/>
  <c r="X178" i="90" s="1"/>
  <c r="X25" i="90" s="1"/>
  <c r="Y176" i="90"/>
  <c r="Y174" i="90" s="1"/>
  <c r="Z176" i="90"/>
  <c r="AA176" i="90"/>
  <c r="AA174" i="90" s="1"/>
  <c r="AB176" i="90"/>
  <c r="AB174" i="90" s="1"/>
  <c r="AC176" i="90"/>
  <c r="AC174" i="90" s="1"/>
  <c r="AD176" i="90"/>
  <c r="AD174" i="90" s="1"/>
  <c r="AE176" i="90"/>
  <c r="AE174" i="90" s="1"/>
  <c r="AF176" i="90"/>
  <c r="AF174" i="90" s="1"/>
  <c r="AG176" i="90"/>
  <c r="AH176" i="90"/>
  <c r="AI176" i="90"/>
  <c r="AJ176" i="90"/>
  <c r="AK176" i="90"/>
  <c r="AK174" i="90" s="1"/>
  <c r="AL176" i="90"/>
  <c r="AL174" i="90" s="1"/>
  <c r="AM176" i="90"/>
  <c r="AM174" i="90" s="1"/>
  <c r="AN176" i="90"/>
  <c r="AO176" i="90"/>
  <c r="AO174" i="90" s="1"/>
  <c r="AP176" i="90"/>
  <c r="AQ176" i="90"/>
  <c r="AQ174" i="90" s="1"/>
  <c r="AR176" i="90"/>
  <c r="AR174" i="90" s="1"/>
  <c r="AS176" i="90"/>
  <c r="AT176" i="90"/>
  <c r="AU176" i="90"/>
  <c r="AU178" i="90" s="1"/>
  <c r="AU25" i="90" s="1"/>
  <c r="R177" i="90"/>
  <c r="R175" i="90" s="1"/>
  <c r="V177" i="90"/>
  <c r="V175" i="90" s="1"/>
  <c r="W177" i="90"/>
  <c r="W175" i="90" s="1"/>
  <c r="X177" i="90"/>
  <c r="X175" i="90" s="1"/>
  <c r="Y177" i="90"/>
  <c r="Y175" i="90" s="1"/>
  <c r="Z177" i="90"/>
  <c r="AA177" i="90"/>
  <c r="AA175" i="90" s="1"/>
  <c r="AB177" i="90"/>
  <c r="AB175" i="90" s="1"/>
  <c r="AC177" i="90"/>
  <c r="AC175" i="90" s="1"/>
  <c r="AD177" i="90"/>
  <c r="AD175" i="90" s="1"/>
  <c r="AE177" i="90"/>
  <c r="AE175" i="90" s="1"/>
  <c r="AF177" i="90"/>
  <c r="AF175" i="90" s="1"/>
  <c r="AG177" i="90"/>
  <c r="AG175" i="90" s="1"/>
  <c r="AH177" i="90"/>
  <c r="AH175" i="90" s="1"/>
  <c r="AI177" i="90"/>
  <c r="AJ177" i="90"/>
  <c r="AK177" i="90"/>
  <c r="AK175" i="90" s="1"/>
  <c r="AL177" i="90"/>
  <c r="AM177" i="90"/>
  <c r="AM175" i="90" s="1"/>
  <c r="AN177" i="90"/>
  <c r="AN175" i="90" s="1"/>
  <c r="AO177" i="90"/>
  <c r="AO175" i="90" s="1"/>
  <c r="AP177" i="90"/>
  <c r="AQ177" i="90"/>
  <c r="AQ175" i="90" s="1"/>
  <c r="AR177" i="90"/>
  <c r="AR175" i="90" s="1"/>
  <c r="AS177" i="90"/>
  <c r="AS175" i="90" s="1"/>
  <c r="AT177" i="90"/>
  <c r="AT175" i="90" s="1"/>
  <c r="AU177" i="90"/>
  <c r="AU175" i="90" s="1"/>
  <c r="Y178" i="90"/>
  <c r="Y25" i="90" s="1"/>
  <c r="AA178" i="90"/>
  <c r="AA25" i="90" s="1"/>
  <c r="AC178" i="90"/>
  <c r="AC25" i="90" s="1"/>
  <c r="AD178" i="90"/>
  <c r="AD25" i="90" s="1"/>
  <c r="AF178" i="90"/>
  <c r="AF25" i="90" s="1"/>
  <c r="AK178" i="90"/>
  <c r="AK25" i="90" s="1"/>
  <c r="AO178" i="90"/>
  <c r="AO25" i="90" s="1"/>
  <c r="P184" i="90"/>
  <c r="Q184" i="90" s="1"/>
  <c r="R184" i="90" s="1"/>
  <c r="V184" i="90" s="1"/>
  <c r="W184" i="90" s="1"/>
  <c r="X184" i="90" s="1"/>
  <c r="Y184" i="90" s="1"/>
  <c r="Z184" i="90" s="1"/>
  <c r="AA184" i="90" s="1"/>
  <c r="AB184" i="90" s="1"/>
  <c r="AC184" i="90" s="1"/>
  <c r="AD184" i="90" s="1"/>
  <c r="AE184" i="90" s="1"/>
  <c r="AF184" i="90" s="1"/>
  <c r="AG184" i="90" s="1"/>
  <c r="AH184" i="90" s="1"/>
  <c r="AI184" i="90" s="1"/>
  <c r="AJ184" i="90" s="1"/>
  <c r="AK184" i="90" s="1"/>
  <c r="AL184" i="90" s="1"/>
  <c r="AM184" i="90" s="1"/>
  <c r="AN184" i="90" s="1"/>
  <c r="AO184" i="90" s="1"/>
  <c r="AP184" i="90" s="1"/>
  <c r="AQ184" i="90" s="1"/>
  <c r="AR184" i="90" s="1"/>
  <c r="AS184" i="90" s="1"/>
  <c r="AT184" i="90" s="1"/>
  <c r="AU184" i="90" s="1"/>
  <c r="Q185" i="90"/>
  <c r="R185" i="90" s="1"/>
  <c r="V185" i="90" s="1"/>
  <c r="W185" i="90" s="1"/>
  <c r="X185" i="90" s="1"/>
  <c r="Y185" i="90" s="1"/>
  <c r="Z185" i="90" s="1"/>
  <c r="AA185" i="90" s="1"/>
  <c r="AB185" i="90" s="1"/>
  <c r="AC185" i="90" s="1"/>
  <c r="AD185" i="90" s="1"/>
  <c r="AE185" i="90" s="1"/>
  <c r="AF185" i="90" s="1"/>
  <c r="AG185" i="90" s="1"/>
  <c r="AH185" i="90" s="1"/>
  <c r="AI185" i="90" s="1"/>
  <c r="AJ185" i="90" s="1"/>
  <c r="AK185" i="90" s="1"/>
  <c r="AL185" i="90" s="1"/>
  <c r="AM185" i="90" s="1"/>
  <c r="AN185" i="90" s="1"/>
  <c r="AO185" i="90" s="1"/>
  <c r="AP185" i="90" s="1"/>
  <c r="AQ185" i="90" s="1"/>
  <c r="AR185" i="90" s="1"/>
  <c r="AS185" i="90" s="1"/>
  <c r="AT185" i="90" s="1"/>
  <c r="AU185" i="90" s="1"/>
  <c r="P186" i="90"/>
  <c r="Q186" i="90" s="1"/>
  <c r="R186" i="90" s="1"/>
  <c r="X215" i="90"/>
  <c r="Z215" i="90"/>
  <c r="AA215" i="90"/>
  <c r="AF215" i="90"/>
  <c r="AH215" i="90"/>
  <c r="AI215" i="90"/>
  <c r="AK215" i="90"/>
  <c r="AN215" i="90"/>
  <c r="AP215" i="90"/>
  <c r="AR215" i="90"/>
  <c r="AU215" i="90"/>
  <c r="R218" i="90"/>
  <c r="R421" i="90" s="1"/>
  <c r="V218" i="90"/>
  <c r="V421" i="90" s="1"/>
  <c r="W218" i="90"/>
  <c r="W421" i="90" s="1"/>
  <c r="X218" i="90"/>
  <c r="X421" i="90" s="1"/>
  <c r="Y218" i="90"/>
  <c r="Y421" i="90" s="1"/>
  <c r="Z218" i="90"/>
  <c r="Z421" i="90" s="1"/>
  <c r="AA218" i="90"/>
  <c r="AA421" i="90" s="1"/>
  <c r="AB218" i="90"/>
  <c r="AB421" i="90" s="1"/>
  <c r="AC218" i="90"/>
  <c r="AC421" i="90" s="1"/>
  <c r="AD218" i="90"/>
  <c r="AD421" i="90" s="1"/>
  <c r="AE218" i="90"/>
  <c r="AE421" i="90" s="1"/>
  <c r="AF218" i="90"/>
  <c r="AF421" i="90" s="1"/>
  <c r="AG218" i="90"/>
  <c r="AG421" i="90" s="1"/>
  <c r="AH218" i="90"/>
  <c r="AH421" i="90" s="1"/>
  <c r="AI218" i="90"/>
  <c r="AI421" i="90" s="1"/>
  <c r="AJ218" i="90"/>
  <c r="AJ421" i="90" s="1"/>
  <c r="AK218" i="90"/>
  <c r="AK421" i="90" s="1"/>
  <c r="AL218" i="90"/>
  <c r="AL421" i="90" s="1"/>
  <c r="AM218" i="90"/>
  <c r="AM421" i="90" s="1"/>
  <c r="AN218" i="90"/>
  <c r="AN421" i="90" s="1"/>
  <c r="AO218" i="90"/>
  <c r="AO421" i="90" s="1"/>
  <c r="AP218" i="90"/>
  <c r="AP421" i="90" s="1"/>
  <c r="AQ218" i="90"/>
  <c r="AQ421" i="90" s="1"/>
  <c r="AR218" i="90"/>
  <c r="AR421" i="90" s="1"/>
  <c r="AS218" i="90"/>
  <c r="AS421" i="90" s="1"/>
  <c r="AT218" i="90"/>
  <c r="AT421" i="90" s="1"/>
  <c r="AU218" i="90"/>
  <c r="AU421" i="90" s="1"/>
  <c r="R225" i="90"/>
  <c r="V225" i="90"/>
  <c r="W225" i="90"/>
  <c r="X225" i="90"/>
  <c r="Y225" i="90"/>
  <c r="Z225" i="90"/>
  <c r="AA225" i="90"/>
  <c r="AB225" i="90"/>
  <c r="AC225" i="90"/>
  <c r="AD225" i="90"/>
  <c r="AE225" i="90"/>
  <c r="AF225" i="90"/>
  <c r="AG225" i="90"/>
  <c r="AH225" i="90"/>
  <c r="AI225" i="90"/>
  <c r="AJ225" i="90"/>
  <c r="AK225" i="90"/>
  <c r="AL225" i="90"/>
  <c r="AM225" i="90"/>
  <c r="AN225" i="90"/>
  <c r="AO225" i="90"/>
  <c r="AP225" i="90"/>
  <c r="AQ225" i="90"/>
  <c r="AR225" i="90"/>
  <c r="AS225" i="90"/>
  <c r="AT225" i="90"/>
  <c r="AU225" i="90"/>
  <c r="R226" i="90"/>
  <c r="V226" i="90"/>
  <c r="W226" i="90"/>
  <c r="X226" i="90"/>
  <c r="Y226" i="90"/>
  <c r="Z226" i="90"/>
  <c r="AA226" i="90"/>
  <c r="AB226" i="90"/>
  <c r="AC226" i="90"/>
  <c r="AD226" i="90"/>
  <c r="AE226" i="90"/>
  <c r="AF226" i="90"/>
  <c r="AG226" i="90"/>
  <c r="AH226" i="90"/>
  <c r="AI226" i="90"/>
  <c r="AJ226" i="90"/>
  <c r="AK226" i="90"/>
  <c r="AL226" i="90"/>
  <c r="AM226" i="90"/>
  <c r="AN226" i="90"/>
  <c r="AO226" i="90"/>
  <c r="AP226" i="90"/>
  <c r="AQ226" i="90"/>
  <c r="AR226" i="90"/>
  <c r="AS226" i="90"/>
  <c r="AT226" i="90"/>
  <c r="AT232" i="90" s="1"/>
  <c r="AU226" i="90"/>
  <c r="AU232" i="90" s="1"/>
  <c r="R227" i="90"/>
  <c r="V227" i="90"/>
  <c r="W227" i="90"/>
  <c r="X227" i="90"/>
  <c r="Y227" i="90"/>
  <c r="Z227" i="90"/>
  <c r="AA227" i="90"/>
  <c r="AB227" i="90"/>
  <c r="AC227" i="90"/>
  <c r="AD227" i="90"/>
  <c r="AE227" i="90"/>
  <c r="AF227" i="90"/>
  <c r="AG227" i="90"/>
  <c r="AH227" i="90"/>
  <c r="AI227" i="90"/>
  <c r="AJ227" i="90"/>
  <c r="AK227" i="90"/>
  <c r="AL227" i="90"/>
  <c r="AM227" i="90"/>
  <c r="AN227" i="90"/>
  <c r="AO227" i="90"/>
  <c r="AP227" i="90"/>
  <c r="AQ227" i="90"/>
  <c r="AR227" i="90"/>
  <c r="AS227" i="90"/>
  <c r="AT227" i="90"/>
  <c r="AU227" i="90"/>
  <c r="R228" i="90"/>
  <c r="V228" i="90"/>
  <c r="W228" i="90"/>
  <c r="X228" i="90"/>
  <c r="Y228" i="90"/>
  <c r="Z228" i="90"/>
  <c r="AA228" i="90"/>
  <c r="AB228" i="90"/>
  <c r="AC228" i="90"/>
  <c r="AD228" i="90"/>
  <c r="AE228" i="90"/>
  <c r="AF228" i="90"/>
  <c r="AG228" i="90"/>
  <c r="AH228" i="90"/>
  <c r="AI228" i="90"/>
  <c r="AJ228" i="90"/>
  <c r="AK228" i="90"/>
  <c r="AL228" i="90"/>
  <c r="AM228" i="90"/>
  <c r="AN228" i="90"/>
  <c r="AO228" i="90"/>
  <c r="AP228" i="90"/>
  <c r="AQ228" i="90"/>
  <c r="AR228" i="90"/>
  <c r="AS228" i="90"/>
  <c r="AT228" i="90"/>
  <c r="AU228" i="90"/>
  <c r="R229" i="90"/>
  <c r="V229" i="90"/>
  <c r="W229" i="90"/>
  <c r="X229" i="90"/>
  <c r="Y229" i="90"/>
  <c r="Z229" i="90"/>
  <c r="AA229" i="90"/>
  <c r="AB229" i="90"/>
  <c r="AC229" i="90"/>
  <c r="AC232" i="90" s="1"/>
  <c r="AD229" i="90"/>
  <c r="AE229" i="90"/>
  <c r="AF229" i="90"/>
  <c r="AG229" i="90"/>
  <c r="AH229" i="90"/>
  <c r="AI229" i="90"/>
  <c r="AJ229" i="90"/>
  <c r="AK229" i="90"/>
  <c r="AL229" i="90"/>
  <c r="AM229" i="90"/>
  <c r="AN229" i="90"/>
  <c r="AO229" i="90"/>
  <c r="AP229" i="90"/>
  <c r="AQ229" i="90"/>
  <c r="AR229" i="90"/>
  <c r="AS229" i="90"/>
  <c r="AT229" i="90"/>
  <c r="AU229" i="90"/>
  <c r="R230" i="90"/>
  <c r="V230" i="90"/>
  <c r="W230" i="90"/>
  <c r="X230" i="90"/>
  <c r="Y230" i="90"/>
  <c r="Z230" i="90"/>
  <c r="AA230" i="90"/>
  <c r="AB230" i="90"/>
  <c r="AC230" i="90"/>
  <c r="AD230" i="90"/>
  <c r="AE230" i="90"/>
  <c r="AF230" i="90"/>
  <c r="AG230" i="90"/>
  <c r="AH230" i="90"/>
  <c r="AI230" i="90"/>
  <c r="AJ230" i="90"/>
  <c r="AK230" i="90"/>
  <c r="AL230" i="90"/>
  <c r="AM230" i="90"/>
  <c r="AN230" i="90"/>
  <c r="AO230" i="90"/>
  <c r="AP230" i="90"/>
  <c r="AQ230" i="90"/>
  <c r="AR230" i="90"/>
  <c r="AS230" i="90"/>
  <c r="AT230" i="90"/>
  <c r="AU230" i="90"/>
  <c r="R231" i="90"/>
  <c r="V231" i="90"/>
  <c r="W231" i="90"/>
  <c r="X231" i="90"/>
  <c r="Y231" i="90"/>
  <c r="Z231" i="90"/>
  <c r="AA231" i="90"/>
  <c r="AB231" i="90"/>
  <c r="AC231" i="90"/>
  <c r="AD231" i="90"/>
  <c r="AE231" i="90"/>
  <c r="AE232" i="90" s="1"/>
  <c r="AF231" i="90"/>
  <c r="AG231" i="90"/>
  <c r="AH231" i="90"/>
  <c r="AI231" i="90"/>
  <c r="AJ231" i="90"/>
  <c r="AK231" i="90"/>
  <c r="AL231" i="90"/>
  <c r="AM231" i="90"/>
  <c r="AN231" i="90"/>
  <c r="AO231" i="90"/>
  <c r="AP231" i="90"/>
  <c r="AQ231" i="90"/>
  <c r="AR231" i="90"/>
  <c r="AS231" i="90"/>
  <c r="AT231" i="90"/>
  <c r="AU231" i="90"/>
  <c r="P276" i="90"/>
  <c r="Q276" i="90" s="1"/>
  <c r="R276" i="90" s="1"/>
  <c r="V276" i="90" s="1"/>
  <c r="W276" i="90" s="1"/>
  <c r="X276" i="90" s="1"/>
  <c r="Y276" i="90" s="1"/>
  <c r="Z276" i="90" s="1"/>
  <c r="AA276" i="90" s="1"/>
  <c r="AB276" i="90" s="1"/>
  <c r="AC276" i="90" s="1"/>
  <c r="AD276" i="90" s="1"/>
  <c r="AE276" i="90" s="1"/>
  <c r="AF276" i="90" s="1"/>
  <c r="AG276" i="90" s="1"/>
  <c r="AH276" i="90" s="1"/>
  <c r="AI276" i="90" s="1"/>
  <c r="AJ276" i="90" s="1"/>
  <c r="AK276" i="90" s="1"/>
  <c r="AL276" i="90" s="1"/>
  <c r="AM276" i="90" s="1"/>
  <c r="AN276" i="90" s="1"/>
  <c r="AO276" i="90" s="1"/>
  <c r="AP276" i="90" s="1"/>
  <c r="AQ276" i="90" s="1"/>
  <c r="AR276" i="90" s="1"/>
  <c r="AS276" i="90" s="1"/>
  <c r="AT276" i="90" s="1"/>
  <c r="AU276" i="90" s="1"/>
  <c r="O277" i="90"/>
  <c r="P277" i="90"/>
  <c r="Q277" i="90"/>
  <c r="R277" i="90" s="1"/>
  <c r="V277" i="90" s="1"/>
  <c r="W277" i="90" s="1"/>
  <c r="X277" i="90" s="1"/>
  <c r="Y277" i="90" s="1"/>
  <c r="Z277" i="90" s="1"/>
  <c r="AA277" i="90" s="1"/>
  <c r="AB277" i="90" s="1"/>
  <c r="AC277" i="90" s="1"/>
  <c r="AD277" i="90" s="1"/>
  <c r="AE277" i="90" s="1"/>
  <c r="AF277" i="90" s="1"/>
  <c r="AG277" i="90" s="1"/>
  <c r="AH277" i="90" s="1"/>
  <c r="AI277" i="90" s="1"/>
  <c r="AJ277" i="90" s="1"/>
  <c r="AK277" i="90" s="1"/>
  <c r="AL277" i="90" s="1"/>
  <c r="AM277" i="90" s="1"/>
  <c r="AN277" i="90" s="1"/>
  <c r="AO277" i="90" s="1"/>
  <c r="AP277" i="90" s="1"/>
  <c r="AQ277" i="90" s="1"/>
  <c r="AR277" i="90" s="1"/>
  <c r="AS277" i="90" s="1"/>
  <c r="AT277" i="90" s="1"/>
  <c r="AU277" i="90" s="1"/>
  <c r="P278" i="90"/>
  <c r="Q278" i="90" s="1"/>
  <c r="R278" i="90" s="1"/>
  <c r="P375" i="90"/>
  <c r="P380" i="90" s="1"/>
  <c r="P390" i="90" s="1"/>
  <c r="P383" i="90"/>
  <c r="P386" i="90" s="1"/>
  <c r="M386" i="90"/>
  <c r="M387" i="90" s="1"/>
  <c r="M391" i="90" s="1"/>
  <c r="N386" i="90"/>
  <c r="N387" i="90" s="1"/>
  <c r="N391" i="90" s="1"/>
  <c r="O387" i="90"/>
  <c r="O391" i="90" s="1"/>
  <c r="M390" i="90"/>
  <c r="N390" i="90"/>
  <c r="O390" i="90"/>
  <c r="Q390" i="90"/>
  <c r="R396" i="90"/>
  <c r="V396" i="90"/>
  <c r="W396" i="90"/>
  <c r="X396" i="90"/>
  <c r="Y396" i="90"/>
  <c r="Z396" i="90"/>
  <c r="AA396" i="90"/>
  <c r="AB396" i="90"/>
  <c r="AC396" i="90"/>
  <c r="AD396" i="90"/>
  <c r="AE396" i="90"/>
  <c r="AF396" i="90"/>
  <c r="AG396" i="90"/>
  <c r="AH396" i="90"/>
  <c r="AI396" i="90"/>
  <c r="AJ396" i="90"/>
  <c r="AK396" i="90"/>
  <c r="AL396" i="90"/>
  <c r="AM396" i="90"/>
  <c r="AN396" i="90"/>
  <c r="AO396" i="90"/>
  <c r="AP396" i="90"/>
  <c r="AQ396" i="90"/>
  <c r="AR396" i="90"/>
  <c r="AS396" i="90"/>
  <c r="AT396" i="90"/>
  <c r="AU396" i="90"/>
  <c r="P408" i="90"/>
  <c r="Q408" i="90" s="1"/>
  <c r="R408" i="90" s="1"/>
  <c r="V408" i="90" s="1"/>
  <c r="W408" i="90" s="1"/>
  <c r="X408" i="90" s="1"/>
  <c r="Y408" i="90" s="1"/>
  <c r="Z408" i="90" s="1"/>
  <c r="AA408" i="90" s="1"/>
  <c r="AB408" i="90" s="1"/>
  <c r="AC408" i="90" s="1"/>
  <c r="AD408" i="90" s="1"/>
  <c r="AE408" i="90" s="1"/>
  <c r="AF408" i="90" s="1"/>
  <c r="AG408" i="90" s="1"/>
  <c r="AH408" i="90" s="1"/>
  <c r="AI408" i="90" s="1"/>
  <c r="AJ408" i="90" s="1"/>
  <c r="AK408" i="90" s="1"/>
  <c r="AL408" i="90" s="1"/>
  <c r="AM408" i="90" s="1"/>
  <c r="AN408" i="90" s="1"/>
  <c r="AO408" i="90" s="1"/>
  <c r="AP408" i="90" s="1"/>
  <c r="AQ408" i="90" s="1"/>
  <c r="AR408" i="90" s="1"/>
  <c r="AS408" i="90" s="1"/>
  <c r="AT408" i="90" s="1"/>
  <c r="AU408" i="90" s="1"/>
  <c r="P410" i="90"/>
  <c r="Q410" i="90" s="1"/>
  <c r="R410" i="90" s="1"/>
  <c r="V410" i="90" s="1"/>
  <c r="W410" i="90" s="1"/>
  <c r="X410" i="90" s="1"/>
  <c r="Y410" i="90" s="1"/>
  <c r="Z410" i="90" s="1"/>
  <c r="AA410" i="90" s="1"/>
  <c r="AB410" i="90" s="1"/>
  <c r="AC410" i="90" s="1"/>
  <c r="AD410" i="90" s="1"/>
  <c r="AE410" i="90" s="1"/>
  <c r="AF410" i="90" s="1"/>
  <c r="AG410" i="90" s="1"/>
  <c r="AH410" i="90" s="1"/>
  <c r="AI410" i="90" s="1"/>
  <c r="AJ410" i="90" s="1"/>
  <c r="AK410" i="90" s="1"/>
  <c r="AL410" i="90" s="1"/>
  <c r="AM410" i="90" s="1"/>
  <c r="AN410" i="90" s="1"/>
  <c r="AO410" i="90" s="1"/>
  <c r="AP410" i="90" s="1"/>
  <c r="AQ410" i="90" s="1"/>
  <c r="AR410" i="90" s="1"/>
  <c r="AS410" i="90" s="1"/>
  <c r="AT410" i="90" s="1"/>
  <c r="AU410" i="90" s="1"/>
  <c r="N412" i="90"/>
  <c r="O412" i="90" s="1"/>
  <c r="P412" i="90"/>
  <c r="Q412" i="90"/>
  <c r="Q560" i="90" s="1"/>
  <c r="P413" i="90"/>
  <c r="Q413" i="90"/>
  <c r="O414" i="90"/>
  <c r="P414" i="90"/>
  <c r="Q414" i="90"/>
  <c r="N415" i="90"/>
  <c r="O415" i="90" s="1"/>
  <c r="P415" i="90"/>
  <c r="P21" i="57" s="1"/>
  <c r="Q415" i="90"/>
  <c r="P416" i="90"/>
  <c r="Q416" i="90"/>
  <c r="O417" i="90"/>
  <c r="P417" i="90"/>
  <c r="Q417" i="90"/>
  <c r="O419" i="90"/>
  <c r="N420" i="90"/>
  <c r="O420" i="90" s="1"/>
  <c r="P420" i="90"/>
  <c r="Q420" i="90"/>
  <c r="P421" i="90"/>
  <c r="Q421" i="90"/>
  <c r="P422" i="90"/>
  <c r="Q422" i="90"/>
  <c r="P423" i="90"/>
  <c r="Q423" i="90"/>
  <c r="N424" i="90"/>
  <c r="O424" i="90" s="1"/>
  <c r="P424" i="90"/>
  <c r="Q424" i="90"/>
  <c r="N425" i="90"/>
  <c r="O425" i="90"/>
  <c r="P425" i="90"/>
  <c r="P30" i="57" s="1"/>
  <c r="Q425" i="90"/>
  <c r="Q30" i="57" s="1"/>
  <c r="P426" i="90"/>
  <c r="Q426" i="90"/>
  <c r="P427" i="90"/>
  <c r="Q427" i="90"/>
  <c r="O429" i="90"/>
  <c r="O431" i="90"/>
  <c r="O433" i="90"/>
  <c r="N434" i="90"/>
  <c r="N520" i="90" s="1"/>
  <c r="O520" i="90" s="1"/>
  <c r="O436" i="90"/>
  <c r="O438" i="90"/>
  <c r="N439" i="90"/>
  <c r="O439" i="90" s="1"/>
  <c r="O441" i="90"/>
  <c r="N442" i="90"/>
  <c r="O442" i="90" s="1"/>
  <c r="P453" i="90"/>
  <c r="Q453" i="90" s="1"/>
  <c r="R453" i="90" s="1"/>
  <c r="V453" i="90" s="1"/>
  <c r="W453" i="90" s="1"/>
  <c r="X453" i="90" s="1"/>
  <c r="Y453" i="90" s="1"/>
  <c r="Z453" i="90" s="1"/>
  <c r="AA453" i="90" s="1"/>
  <c r="AB453" i="90" s="1"/>
  <c r="AC453" i="90" s="1"/>
  <c r="AD453" i="90" s="1"/>
  <c r="AE453" i="90" s="1"/>
  <c r="AF453" i="90" s="1"/>
  <c r="AG453" i="90" s="1"/>
  <c r="AH453" i="90" s="1"/>
  <c r="AI453" i="90" s="1"/>
  <c r="AJ453" i="90" s="1"/>
  <c r="AK453" i="90" s="1"/>
  <c r="AL453" i="90" s="1"/>
  <c r="AM453" i="90" s="1"/>
  <c r="AN453" i="90" s="1"/>
  <c r="AO453" i="90" s="1"/>
  <c r="AP453" i="90" s="1"/>
  <c r="AQ453" i="90" s="1"/>
  <c r="AR453" i="90" s="1"/>
  <c r="AS453" i="90" s="1"/>
  <c r="AT453" i="90" s="1"/>
  <c r="AU453" i="90" s="1"/>
  <c r="O454" i="90"/>
  <c r="P454" i="90"/>
  <c r="Q454" i="90"/>
  <c r="R454" i="90" s="1"/>
  <c r="V454" i="90" s="1"/>
  <c r="W454" i="90" s="1"/>
  <c r="X454" i="90" s="1"/>
  <c r="Y454" i="90" s="1"/>
  <c r="Z454" i="90" s="1"/>
  <c r="AA454" i="90" s="1"/>
  <c r="AB454" i="90" s="1"/>
  <c r="AC454" i="90" s="1"/>
  <c r="AD454" i="90" s="1"/>
  <c r="AE454" i="90" s="1"/>
  <c r="AF454" i="90" s="1"/>
  <c r="AG454" i="90" s="1"/>
  <c r="AH454" i="90" s="1"/>
  <c r="AI454" i="90" s="1"/>
  <c r="AJ454" i="90" s="1"/>
  <c r="AK454" i="90" s="1"/>
  <c r="AL454" i="90" s="1"/>
  <c r="AM454" i="90" s="1"/>
  <c r="AN454" i="90" s="1"/>
  <c r="AO454" i="90" s="1"/>
  <c r="AP454" i="90" s="1"/>
  <c r="AQ454" i="90" s="1"/>
  <c r="AR454" i="90" s="1"/>
  <c r="AS454" i="90" s="1"/>
  <c r="AT454" i="90" s="1"/>
  <c r="AU454" i="90" s="1"/>
  <c r="P455" i="90"/>
  <c r="Q455" i="90" s="1"/>
  <c r="R455" i="90" s="1"/>
  <c r="M458" i="90"/>
  <c r="M460" i="90"/>
  <c r="M459" i="90" s="1"/>
  <c r="Q460" i="90"/>
  <c r="N461" i="90"/>
  <c r="O461" i="90" s="1"/>
  <c r="M462" i="90"/>
  <c r="P463" i="90"/>
  <c r="P478" i="90" s="1"/>
  <c r="N465" i="90"/>
  <c r="O465" i="90" s="1"/>
  <c r="Q465" i="90"/>
  <c r="R465" i="90" s="1"/>
  <c r="V465" i="90" s="1"/>
  <c r="W465" i="90" s="1"/>
  <c r="X465" i="90" s="1"/>
  <c r="Y465" i="90" s="1"/>
  <c r="Z465" i="90" s="1"/>
  <c r="AA465" i="90" s="1"/>
  <c r="AB465" i="90" s="1"/>
  <c r="AC465" i="90" s="1"/>
  <c r="AD465" i="90" s="1"/>
  <c r="AE465" i="90" s="1"/>
  <c r="AF465" i="90" s="1"/>
  <c r="AG465" i="90" s="1"/>
  <c r="AH465" i="90" s="1"/>
  <c r="AI465" i="90" s="1"/>
  <c r="AJ465" i="90" s="1"/>
  <c r="AK465" i="90" s="1"/>
  <c r="AL465" i="90" s="1"/>
  <c r="AM465" i="90" s="1"/>
  <c r="AN465" i="90" s="1"/>
  <c r="AO465" i="90" s="1"/>
  <c r="AP465" i="90" s="1"/>
  <c r="AQ465" i="90" s="1"/>
  <c r="AR465" i="90" s="1"/>
  <c r="AS465" i="90" s="1"/>
  <c r="AT465" i="90" s="1"/>
  <c r="AU465" i="90" s="1"/>
  <c r="N466" i="90"/>
  <c r="O466" i="90" s="1"/>
  <c r="N467" i="90"/>
  <c r="O467" i="90" s="1"/>
  <c r="Q467" i="90"/>
  <c r="R467" i="90" s="1"/>
  <c r="V467" i="90" s="1"/>
  <c r="W467" i="90" s="1"/>
  <c r="X467" i="90" s="1"/>
  <c r="Y467" i="90" s="1"/>
  <c r="Z467" i="90" s="1"/>
  <c r="AA467" i="90" s="1"/>
  <c r="AB467" i="90" s="1"/>
  <c r="AC467" i="90" s="1"/>
  <c r="AD467" i="90" s="1"/>
  <c r="AE467" i="90" s="1"/>
  <c r="AF467" i="90" s="1"/>
  <c r="AG467" i="90" s="1"/>
  <c r="AH467" i="90" s="1"/>
  <c r="AI467" i="90" s="1"/>
  <c r="AJ467" i="90" s="1"/>
  <c r="AK467" i="90" s="1"/>
  <c r="AL467" i="90" s="1"/>
  <c r="AM467" i="90" s="1"/>
  <c r="AN467" i="90" s="1"/>
  <c r="AO467" i="90" s="1"/>
  <c r="AP467" i="90" s="1"/>
  <c r="AQ467" i="90" s="1"/>
  <c r="AR467" i="90" s="1"/>
  <c r="AS467" i="90" s="1"/>
  <c r="AT467" i="90" s="1"/>
  <c r="AU467" i="90" s="1"/>
  <c r="N474" i="90"/>
  <c r="O474" i="90" s="1"/>
  <c r="Q474" i="90"/>
  <c r="R474" i="90" s="1"/>
  <c r="V474" i="90" s="1"/>
  <c r="W474" i="90" s="1"/>
  <c r="X474" i="90" s="1"/>
  <c r="Y474" i="90" s="1"/>
  <c r="Z474" i="90" s="1"/>
  <c r="AA474" i="90" s="1"/>
  <c r="AB474" i="90" s="1"/>
  <c r="AC474" i="90" s="1"/>
  <c r="AD474" i="90" s="1"/>
  <c r="AE474" i="90" s="1"/>
  <c r="AF474" i="90" s="1"/>
  <c r="AG474" i="90" s="1"/>
  <c r="AH474" i="90" s="1"/>
  <c r="AI474" i="90" s="1"/>
  <c r="AJ474" i="90" s="1"/>
  <c r="AK474" i="90" s="1"/>
  <c r="AL474" i="90" s="1"/>
  <c r="AM474" i="90" s="1"/>
  <c r="AN474" i="90" s="1"/>
  <c r="AO474" i="90" s="1"/>
  <c r="AP474" i="90" s="1"/>
  <c r="AQ474" i="90" s="1"/>
  <c r="AR474" i="90" s="1"/>
  <c r="AS474" i="90" s="1"/>
  <c r="AT474" i="90" s="1"/>
  <c r="AU474" i="90" s="1"/>
  <c r="P481" i="90"/>
  <c r="M482" i="90"/>
  <c r="O482" i="90"/>
  <c r="N483" i="90"/>
  <c r="O483" i="90" s="1"/>
  <c r="Q483" i="90"/>
  <c r="M484" i="90"/>
  <c r="Q484" i="90"/>
  <c r="N485" i="90"/>
  <c r="O485" i="90" s="1"/>
  <c r="Q485" i="90"/>
  <c r="R485" i="90" s="1"/>
  <c r="V485" i="90" s="1"/>
  <c r="W485" i="90" s="1"/>
  <c r="X485" i="90" s="1"/>
  <c r="Y485" i="90" s="1"/>
  <c r="Z485" i="90" s="1"/>
  <c r="AA485" i="90" s="1"/>
  <c r="AB485" i="90" s="1"/>
  <c r="AC485" i="90" s="1"/>
  <c r="AD485" i="90" s="1"/>
  <c r="AE485" i="90" s="1"/>
  <c r="AF485" i="90" s="1"/>
  <c r="AG485" i="90" s="1"/>
  <c r="AH485" i="90" s="1"/>
  <c r="AI485" i="90" s="1"/>
  <c r="AJ485" i="90" s="1"/>
  <c r="AK485" i="90" s="1"/>
  <c r="AL485" i="90" s="1"/>
  <c r="AM485" i="90" s="1"/>
  <c r="AN485" i="90" s="1"/>
  <c r="AO485" i="90" s="1"/>
  <c r="AP485" i="90" s="1"/>
  <c r="AQ485" i="90" s="1"/>
  <c r="AR485" i="90" s="1"/>
  <c r="AS485" i="90" s="1"/>
  <c r="AT485" i="90" s="1"/>
  <c r="AU485" i="90" s="1"/>
  <c r="Q486" i="90"/>
  <c r="P487" i="90"/>
  <c r="P494" i="90" s="1"/>
  <c r="N489" i="90"/>
  <c r="O489" i="90" s="1"/>
  <c r="Q489" i="90"/>
  <c r="R489" i="90" s="1"/>
  <c r="V489" i="90" s="1"/>
  <c r="W489" i="90" s="1"/>
  <c r="X489" i="90" s="1"/>
  <c r="Y489" i="90" s="1"/>
  <c r="Z489" i="90" s="1"/>
  <c r="AA489" i="90" s="1"/>
  <c r="AB489" i="90" s="1"/>
  <c r="AC489" i="90" s="1"/>
  <c r="AD489" i="90" s="1"/>
  <c r="AE489" i="90" s="1"/>
  <c r="AF489" i="90" s="1"/>
  <c r="AG489" i="90" s="1"/>
  <c r="AH489" i="90" s="1"/>
  <c r="AI489" i="90" s="1"/>
  <c r="AJ489" i="90" s="1"/>
  <c r="AK489" i="90" s="1"/>
  <c r="AL489" i="90" s="1"/>
  <c r="AM489" i="90" s="1"/>
  <c r="AN489" i="90" s="1"/>
  <c r="AO489" i="90" s="1"/>
  <c r="AP489" i="90" s="1"/>
  <c r="AQ489" i="90" s="1"/>
  <c r="AR489" i="90" s="1"/>
  <c r="AS489" i="90" s="1"/>
  <c r="AT489" i="90" s="1"/>
  <c r="AU489" i="90" s="1"/>
  <c r="N490" i="90"/>
  <c r="O490" i="90" s="1"/>
  <c r="Q490" i="90"/>
  <c r="R490" i="90" s="1"/>
  <c r="V490" i="90" s="1"/>
  <c r="W490" i="90" s="1"/>
  <c r="X490" i="90" s="1"/>
  <c r="Y490" i="90" s="1"/>
  <c r="Z490" i="90" s="1"/>
  <c r="AA490" i="90" s="1"/>
  <c r="AB490" i="90" s="1"/>
  <c r="AC490" i="90" s="1"/>
  <c r="AD490" i="90" s="1"/>
  <c r="AE490" i="90" s="1"/>
  <c r="AF490" i="90" s="1"/>
  <c r="AG490" i="90" s="1"/>
  <c r="AH490" i="90" s="1"/>
  <c r="AI490" i="90" s="1"/>
  <c r="AJ490" i="90" s="1"/>
  <c r="AK490" i="90" s="1"/>
  <c r="AL490" i="90" s="1"/>
  <c r="AM490" i="90" s="1"/>
  <c r="AN490" i="90" s="1"/>
  <c r="AO490" i="90" s="1"/>
  <c r="AP490" i="90" s="1"/>
  <c r="AQ490" i="90" s="1"/>
  <c r="AR490" i="90" s="1"/>
  <c r="AS490" i="90" s="1"/>
  <c r="AT490" i="90" s="1"/>
  <c r="AU490" i="90" s="1"/>
  <c r="M491" i="90"/>
  <c r="N491" i="90"/>
  <c r="O491" i="90" s="1"/>
  <c r="M492" i="90"/>
  <c r="N492" i="90"/>
  <c r="O492" i="90" s="1"/>
  <c r="N496" i="90"/>
  <c r="O496" i="90" s="1"/>
  <c r="P496" i="90" s="1"/>
  <c r="Q496" i="90" s="1"/>
  <c r="R496" i="90" s="1"/>
  <c r="V496" i="90" s="1"/>
  <c r="W496" i="90" s="1"/>
  <c r="X496" i="90" s="1"/>
  <c r="Y496" i="90" s="1"/>
  <c r="Z496" i="90" s="1"/>
  <c r="AA496" i="90" s="1"/>
  <c r="AB496" i="90" s="1"/>
  <c r="AC496" i="90" s="1"/>
  <c r="AD496" i="90" s="1"/>
  <c r="AE496" i="90" s="1"/>
  <c r="AF496" i="90" s="1"/>
  <c r="AG496" i="90" s="1"/>
  <c r="AH496" i="90" s="1"/>
  <c r="AI496" i="90" s="1"/>
  <c r="AJ496" i="90" s="1"/>
  <c r="AK496" i="90" s="1"/>
  <c r="AL496" i="90" s="1"/>
  <c r="AM496" i="90" s="1"/>
  <c r="AN496" i="90" s="1"/>
  <c r="AO496" i="90" s="1"/>
  <c r="AP496" i="90" s="1"/>
  <c r="AQ496" i="90" s="1"/>
  <c r="AR496" i="90" s="1"/>
  <c r="AS496" i="90" s="1"/>
  <c r="AT496" i="90" s="1"/>
  <c r="AU496" i="90" s="1"/>
  <c r="M500" i="90"/>
  <c r="O498" i="90"/>
  <c r="N499" i="90"/>
  <c r="O499" i="90" s="1"/>
  <c r="P499" i="90" s="1"/>
  <c r="P510" i="90"/>
  <c r="Q510" i="90" s="1"/>
  <c r="R510" i="90" s="1"/>
  <c r="V510" i="90" s="1"/>
  <c r="W510" i="90" s="1"/>
  <c r="X510" i="90" s="1"/>
  <c r="Y510" i="90" s="1"/>
  <c r="Z510" i="90" s="1"/>
  <c r="AA510" i="90" s="1"/>
  <c r="AB510" i="90" s="1"/>
  <c r="AC510" i="90" s="1"/>
  <c r="AD510" i="90" s="1"/>
  <c r="AE510" i="90" s="1"/>
  <c r="AF510" i="90" s="1"/>
  <c r="AG510" i="90" s="1"/>
  <c r="AH510" i="90" s="1"/>
  <c r="AI510" i="90" s="1"/>
  <c r="AJ510" i="90" s="1"/>
  <c r="AK510" i="90" s="1"/>
  <c r="AL510" i="90" s="1"/>
  <c r="AM510" i="90" s="1"/>
  <c r="AN510" i="90" s="1"/>
  <c r="AO510" i="90" s="1"/>
  <c r="AP510" i="90" s="1"/>
  <c r="AQ510" i="90" s="1"/>
  <c r="AR510" i="90" s="1"/>
  <c r="AS510" i="90" s="1"/>
  <c r="AT510" i="90" s="1"/>
  <c r="AU510" i="90" s="1"/>
  <c r="N511" i="90"/>
  <c r="O511" i="90"/>
  <c r="P511" i="90"/>
  <c r="Q511" i="90" s="1"/>
  <c r="R511" i="90" s="1"/>
  <c r="V511" i="90" s="1"/>
  <c r="W511" i="90" s="1"/>
  <c r="X511" i="90" s="1"/>
  <c r="Y511" i="90" s="1"/>
  <c r="Z511" i="90" s="1"/>
  <c r="AA511" i="90" s="1"/>
  <c r="AB511" i="90" s="1"/>
  <c r="AC511" i="90" s="1"/>
  <c r="AD511" i="90" s="1"/>
  <c r="AE511" i="90" s="1"/>
  <c r="AF511" i="90" s="1"/>
  <c r="AG511" i="90" s="1"/>
  <c r="AH511" i="90" s="1"/>
  <c r="AI511" i="90" s="1"/>
  <c r="AJ511" i="90" s="1"/>
  <c r="AK511" i="90" s="1"/>
  <c r="AL511" i="90" s="1"/>
  <c r="AM511" i="90" s="1"/>
  <c r="AN511" i="90" s="1"/>
  <c r="AO511" i="90" s="1"/>
  <c r="AP511" i="90" s="1"/>
  <c r="AQ511" i="90" s="1"/>
  <c r="AR511" i="90" s="1"/>
  <c r="AS511" i="90" s="1"/>
  <c r="AT511" i="90" s="1"/>
  <c r="AU511" i="90" s="1"/>
  <c r="P512" i="90"/>
  <c r="P558" i="90" s="1"/>
  <c r="P520" i="90"/>
  <c r="N521" i="90"/>
  <c r="O521" i="90" s="1"/>
  <c r="P521" i="90"/>
  <c r="Q521" i="90"/>
  <c r="R521" i="90"/>
  <c r="V521" i="90"/>
  <c r="W521" i="90"/>
  <c r="X521" i="90"/>
  <c r="Y521" i="90"/>
  <c r="Z521" i="90"/>
  <c r="AA521" i="90"/>
  <c r="AB521" i="90"/>
  <c r="AC521" i="90"/>
  <c r="AD521" i="90"/>
  <c r="AE521" i="90"/>
  <c r="AF521" i="90"/>
  <c r="AG521" i="90"/>
  <c r="AH521" i="90"/>
  <c r="AI521" i="90"/>
  <c r="AJ521" i="90"/>
  <c r="AK521" i="90"/>
  <c r="AL521" i="90"/>
  <c r="AM521" i="90"/>
  <c r="AN521" i="90"/>
  <c r="AO521" i="90"/>
  <c r="AP521" i="90"/>
  <c r="AQ521" i="90"/>
  <c r="AR521" i="90"/>
  <c r="AS521" i="90"/>
  <c r="AT521" i="90"/>
  <c r="AU521" i="90"/>
  <c r="N522" i="90"/>
  <c r="O522" i="90" s="1"/>
  <c r="O524" i="90"/>
  <c r="O525" i="90"/>
  <c r="P526" i="90"/>
  <c r="P530" i="90" s="1"/>
  <c r="Q526" i="90"/>
  <c r="Q530" i="90" s="1"/>
  <c r="V526" i="90"/>
  <c r="V530" i="90" s="1"/>
  <c r="O527" i="90"/>
  <c r="O528" i="90"/>
  <c r="O529" i="90"/>
  <c r="O531" i="90"/>
  <c r="O533" i="90"/>
  <c r="O535" i="90"/>
  <c r="O536" i="90"/>
  <c r="O537" i="90"/>
  <c r="P98" i="57" s="1"/>
  <c r="N538" i="90"/>
  <c r="P538" i="90"/>
  <c r="Q538" i="90"/>
  <c r="R538" i="90"/>
  <c r="V538" i="90"/>
  <c r="W538" i="90"/>
  <c r="X538" i="90"/>
  <c r="O539" i="90"/>
  <c r="O541" i="90"/>
  <c r="N544" i="90"/>
  <c r="O544" i="90" s="1"/>
  <c r="O812" i="90" s="1"/>
  <c r="P556" i="90"/>
  <c r="Q556" i="90" s="1"/>
  <c r="R556" i="90" s="1"/>
  <c r="V556" i="90" s="1"/>
  <c r="W556" i="90" s="1"/>
  <c r="X556" i="90" s="1"/>
  <c r="Y556" i="90" s="1"/>
  <c r="Z556" i="90" s="1"/>
  <c r="AA556" i="90" s="1"/>
  <c r="AB556" i="90" s="1"/>
  <c r="AC556" i="90" s="1"/>
  <c r="AD556" i="90" s="1"/>
  <c r="AE556" i="90" s="1"/>
  <c r="AF556" i="90" s="1"/>
  <c r="AG556" i="90" s="1"/>
  <c r="AH556" i="90" s="1"/>
  <c r="AI556" i="90" s="1"/>
  <c r="AJ556" i="90" s="1"/>
  <c r="AK556" i="90" s="1"/>
  <c r="AL556" i="90" s="1"/>
  <c r="AM556" i="90" s="1"/>
  <c r="AN556" i="90" s="1"/>
  <c r="AO556" i="90" s="1"/>
  <c r="AP556" i="90" s="1"/>
  <c r="AQ556" i="90" s="1"/>
  <c r="AR556" i="90" s="1"/>
  <c r="AS556" i="90" s="1"/>
  <c r="AT556" i="90" s="1"/>
  <c r="AU556" i="90" s="1"/>
  <c r="O558" i="90"/>
  <c r="R565" i="90"/>
  <c r="V565" i="90"/>
  <c r="W565" i="90"/>
  <c r="X565" i="90"/>
  <c r="Y565" i="90"/>
  <c r="Y582" i="90" s="1"/>
  <c r="Z565" i="90"/>
  <c r="AA565" i="90"/>
  <c r="AA582" i="90" s="1"/>
  <c r="AB565" i="90"/>
  <c r="AC565" i="90"/>
  <c r="AD565" i="90"/>
  <c r="AE565" i="90"/>
  <c r="AF565" i="90"/>
  <c r="AG565" i="90"/>
  <c r="AH565" i="90"/>
  <c r="AI565" i="90"/>
  <c r="AJ565" i="90"/>
  <c r="AJ582" i="90" s="1"/>
  <c r="AK565" i="90"/>
  <c r="AL565" i="90"/>
  <c r="AM565" i="90"/>
  <c r="AN565" i="90"/>
  <c r="AO565" i="90"/>
  <c r="AP565" i="90"/>
  <c r="AQ565" i="90"/>
  <c r="AQ582" i="90" s="1"/>
  <c r="AR565" i="90"/>
  <c r="AS565" i="90"/>
  <c r="AT565" i="90"/>
  <c r="AU565" i="90"/>
  <c r="R579" i="90"/>
  <c r="V579" i="90"/>
  <c r="V582" i="90" s="1"/>
  <c r="W579" i="90"/>
  <c r="W582" i="90" s="1"/>
  <c r="X579" i="90"/>
  <c r="X582" i="90" s="1"/>
  <c r="Y579" i="90"/>
  <c r="Z579" i="90"/>
  <c r="AA579" i="90"/>
  <c r="AB579" i="90"/>
  <c r="AC579" i="90"/>
  <c r="AD579" i="90"/>
  <c r="AE579" i="90"/>
  <c r="AE582" i="90" s="1"/>
  <c r="AF579" i="90"/>
  <c r="AF582" i="90" s="1"/>
  <c r="AG579" i="90"/>
  <c r="AH579" i="90"/>
  <c r="AI579" i="90"/>
  <c r="AJ579" i="90"/>
  <c r="AK579" i="90"/>
  <c r="AL579" i="90"/>
  <c r="AL582" i="90" s="1"/>
  <c r="AM579" i="90"/>
  <c r="AM582" i="90" s="1"/>
  <c r="AN579" i="90"/>
  <c r="AN582" i="90" s="1"/>
  <c r="AO579" i="90"/>
  <c r="AP579" i="90"/>
  <c r="AQ579" i="90"/>
  <c r="AR579" i="90"/>
  <c r="AS579" i="90"/>
  <c r="AS582" i="90" s="1"/>
  <c r="AT579" i="90"/>
  <c r="AU579" i="90"/>
  <c r="AU582" i="90" s="1"/>
  <c r="AC582" i="90"/>
  <c r="AH582" i="90"/>
  <c r="AK582" i="90"/>
  <c r="N589" i="90"/>
  <c r="N460" i="90" s="1"/>
  <c r="N590" i="90"/>
  <c r="N462" i="90" s="1"/>
  <c r="P592" i="90"/>
  <c r="P593" i="90" s="1"/>
  <c r="N594" i="90"/>
  <c r="P594" i="90"/>
  <c r="P595" i="90" s="1"/>
  <c r="Q595" i="90"/>
  <c r="M595" i="90"/>
  <c r="M597" i="90" s="1"/>
  <c r="O595" i="90"/>
  <c r="N599" i="90"/>
  <c r="O599" i="90" s="1"/>
  <c r="P599" i="90" s="1"/>
  <c r="Q599" i="90" s="1"/>
  <c r="R599" i="90" s="1"/>
  <c r="V599" i="90" s="1"/>
  <c r="W599" i="90" s="1"/>
  <c r="X599" i="90" s="1"/>
  <c r="Y599" i="90" s="1"/>
  <c r="Z599" i="90" s="1"/>
  <c r="AA599" i="90" s="1"/>
  <c r="AB599" i="90" s="1"/>
  <c r="AC599" i="90" s="1"/>
  <c r="AD599" i="90" s="1"/>
  <c r="AE599" i="90" s="1"/>
  <c r="AF599" i="90" s="1"/>
  <c r="AG599" i="90" s="1"/>
  <c r="AH599" i="90" s="1"/>
  <c r="AI599" i="90" s="1"/>
  <c r="AJ599" i="90" s="1"/>
  <c r="AK599" i="90" s="1"/>
  <c r="AL599" i="90" s="1"/>
  <c r="AM599" i="90" s="1"/>
  <c r="AN599" i="90" s="1"/>
  <c r="AO599" i="90" s="1"/>
  <c r="AP599" i="90" s="1"/>
  <c r="AQ599" i="90" s="1"/>
  <c r="AR599" i="90" s="1"/>
  <c r="AS599" i="90" s="1"/>
  <c r="AT599" i="90" s="1"/>
  <c r="AU599" i="90" s="1"/>
  <c r="N601" i="90"/>
  <c r="N602" i="90"/>
  <c r="N604" i="90"/>
  <c r="N605" i="90" s="1"/>
  <c r="O604" i="90"/>
  <c r="R604" i="90"/>
  <c r="V604" i="90"/>
  <c r="W604" i="90"/>
  <c r="W605" i="90" s="1"/>
  <c r="X604" i="90"/>
  <c r="Y604" i="90"/>
  <c r="Z604" i="90"/>
  <c r="AA604" i="90"/>
  <c r="AA605" i="90" s="1"/>
  <c r="AB604" i="90"/>
  <c r="AC604" i="90"/>
  <c r="AD604" i="90"/>
  <c r="AE604" i="90"/>
  <c r="AF604" i="90"/>
  <c r="AG604" i="90"/>
  <c r="AH604" i="90"/>
  <c r="AI604" i="90"/>
  <c r="AI605" i="90" s="1"/>
  <c r="AJ604" i="90"/>
  <c r="AK604" i="90"/>
  <c r="AL604" i="90"/>
  <c r="AM604" i="90"/>
  <c r="AM605" i="90" s="1"/>
  <c r="AN604" i="90"/>
  <c r="AO604" i="90"/>
  <c r="AP604" i="90"/>
  <c r="AQ604" i="90"/>
  <c r="AQ605" i="90" s="1"/>
  <c r="AR604" i="90"/>
  <c r="AS604" i="90"/>
  <c r="AT604" i="90"/>
  <c r="AU604" i="90"/>
  <c r="Q605" i="90"/>
  <c r="P607" i="90"/>
  <c r="Q608" i="90"/>
  <c r="P618" i="90"/>
  <c r="Q618" i="90" s="1"/>
  <c r="R618" i="90" s="1"/>
  <c r="V618" i="90" s="1"/>
  <c r="W618" i="90" s="1"/>
  <c r="X618" i="90" s="1"/>
  <c r="Y618" i="90" s="1"/>
  <c r="Z618" i="90" s="1"/>
  <c r="AA618" i="90" s="1"/>
  <c r="AB618" i="90" s="1"/>
  <c r="AC618" i="90" s="1"/>
  <c r="AD618" i="90" s="1"/>
  <c r="AE618" i="90" s="1"/>
  <c r="AF618" i="90" s="1"/>
  <c r="AG618" i="90" s="1"/>
  <c r="AH618" i="90" s="1"/>
  <c r="AI618" i="90" s="1"/>
  <c r="AJ618" i="90" s="1"/>
  <c r="AK618" i="90" s="1"/>
  <c r="AL618" i="90" s="1"/>
  <c r="AM618" i="90" s="1"/>
  <c r="AN618" i="90" s="1"/>
  <c r="AO618" i="90" s="1"/>
  <c r="AP618" i="90" s="1"/>
  <c r="AQ618" i="90" s="1"/>
  <c r="AR618" i="90" s="1"/>
  <c r="AS618" i="90" s="1"/>
  <c r="AT618" i="90" s="1"/>
  <c r="AU618" i="90" s="1"/>
  <c r="P619" i="90"/>
  <c r="Q619" i="90"/>
  <c r="R619" i="90" s="1"/>
  <c r="V619" i="90" s="1"/>
  <c r="W619" i="90" s="1"/>
  <c r="X619" i="90" s="1"/>
  <c r="Y619" i="90" s="1"/>
  <c r="Z619" i="90" s="1"/>
  <c r="AA619" i="90" s="1"/>
  <c r="AB619" i="90" s="1"/>
  <c r="AC619" i="90" s="1"/>
  <c r="AD619" i="90" s="1"/>
  <c r="AE619" i="90" s="1"/>
  <c r="AF619" i="90" s="1"/>
  <c r="AG619" i="90" s="1"/>
  <c r="AH619" i="90" s="1"/>
  <c r="AI619" i="90" s="1"/>
  <c r="AJ619" i="90" s="1"/>
  <c r="AK619" i="90" s="1"/>
  <c r="AL619" i="90" s="1"/>
  <c r="AM619" i="90" s="1"/>
  <c r="AN619" i="90" s="1"/>
  <c r="AO619" i="90" s="1"/>
  <c r="AP619" i="90" s="1"/>
  <c r="AQ619" i="90" s="1"/>
  <c r="AR619" i="90" s="1"/>
  <c r="AS619" i="90" s="1"/>
  <c r="AT619" i="90" s="1"/>
  <c r="AU619" i="90" s="1"/>
  <c r="P620" i="90"/>
  <c r="Q620" i="90" s="1"/>
  <c r="R620" i="90" s="1"/>
  <c r="S620" i="90" s="1"/>
  <c r="T620" i="90" s="1"/>
  <c r="U620" i="90" s="1"/>
  <c r="Q624" i="90"/>
  <c r="R624" i="90" s="1"/>
  <c r="R669" i="90" s="1"/>
  <c r="Q625" i="90"/>
  <c r="Q670" i="90" s="1"/>
  <c r="Q626" i="90"/>
  <c r="Q671" i="90" s="1"/>
  <c r="Q627" i="90"/>
  <c r="Q672" i="90" s="1"/>
  <c r="Q629" i="90"/>
  <c r="R629" i="90" s="1"/>
  <c r="V629" i="90" s="1"/>
  <c r="W629" i="90" s="1"/>
  <c r="X629" i="90" s="1"/>
  <c r="Y629" i="90" s="1"/>
  <c r="Z629" i="90" s="1"/>
  <c r="AA629" i="90" s="1"/>
  <c r="AB629" i="90" s="1"/>
  <c r="AC629" i="90" s="1"/>
  <c r="AD629" i="90" s="1"/>
  <c r="AE629" i="90" s="1"/>
  <c r="AF629" i="90" s="1"/>
  <c r="AG629" i="90" s="1"/>
  <c r="AH629" i="90" s="1"/>
  <c r="AI629" i="90" s="1"/>
  <c r="AJ629" i="90" s="1"/>
  <c r="AK629" i="90" s="1"/>
  <c r="AL629" i="90" s="1"/>
  <c r="AM629" i="90" s="1"/>
  <c r="AN629" i="90" s="1"/>
  <c r="AO629" i="90" s="1"/>
  <c r="AP629" i="90" s="1"/>
  <c r="AQ629" i="90" s="1"/>
  <c r="AR629" i="90" s="1"/>
  <c r="AS629" i="90" s="1"/>
  <c r="AT629" i="90" s="1"/>
  <c r="AU629" i="90" s="1"/>
  <c r="Q630" i="90"/>
  <c r="R630" i="90" s="1"/>
  <c r="V630" i="90" s="1"/>
  <c r="W630" i="90" s="1"/>
  <c r="X630" i="90" s="1"/>
  <c r="Y630" i="90" s="1"/>
  <c r="Z630" i="90" s="1"/>
  <c r="AA630" i="90" s="1"/>
  <c r="AB630" i="90" s="1"/>
  <c r="AC630" i="90" s="1"/>
  <c r="AD630" i="90" s="1"/>
  <c r="AE630" i="90" s="1"/>
  <c r="AF630" i="90" s="1"/>
  <c r="AG630" i="90" s="1"/>
  <c r="AH630" i="90" s="1"/>
  <c r="AI630" i="90" s="1"/>
  <c r="AJ630" i="90" s="1"/>
  <c r="AK630" i="90" s="1"/>
  <c r="AL630" i="90" s="1"/>
  <c r="AM630" i="90" s="1"/>
  <c r="AN630" i="90" s="1"/>
  <c r="AO630" i="90" s="1"/>
  <c r="AP630" i="90" s="1"/>
  <c r="AQ630" i="90" s="1"/>
  <c r="AR630" i="90" s="1"/>
  <c r="AS630" i="90" s="1"/>
  <c r="AT630" i="90" s="1"/>
  <c r="AU630" i="90" s="1"/>
  <c r="Q631" i="90"/>
  <c r="R631" i="90" s="1"/>
  <c r="V631" i="90" s="1"/>
  <c r="W631" i="90" s="1"/>
  <c r="X631" i="90" s="1"/>
  <c r="Y631" i="90" s="1"/>
  <c r="Z631" i="90" s="1"/>
  <c r="AA631" i="90" s="1"/>
  <c r="AB631" i="90" s="1"/>
  <c r="AC631" i="90" s="1"/>
  <c r="AD631" i="90" s="1"/>
  <c r="AE631" i="90" s="1"/>
  <c r="AF631" i="90" s="1"/>
  <c r="AG631" i="90" s="1"/>
  <c r="AH631" i="90" s="1"/>
  <c r="AI631" i="90" s="1"/>
  <c r="AJ631" i="90" s="1"/>
  <c r="AK631" i="90" s="1"/>
  <c r="AL631" i="90" s="1"/>
  <c r="AM631" i="90" s="1"/>
  <c r="AN631" i="90" s="1"/>
  <c r="AO631" i="90" s="1"/>
  <c r="AP631" i="90" s="1"/>
  <c r="AQ631" i="90" s="1"/>
  <c r="AR631" i="90" s="1"/>
  <c r="AS631" i="90" s="1"/>
  <c r="AT631" i="90" s="1"/>
  <c r="AU631" i="90" s="1"/>
  <c r="Q632" i="90"/>
  <c r="R632" i="90" s="1"/>
  <c r="M633" i="90"/>
  <c r="N633" i="90"/>
  <c r="N670" i="90" s="1"/>
  <c r="O633" i="90"/>
  <c r="AF633" i="90"/>
  <c r="AF383" i="90" s="1"/>
  <c r="AF386" i="90" s="1"/>
  <c r="AS633" i="90"/>
  <c r="AS526" i="90" s="1"/>
  <c r="AS530" i="90" s="1"/>
  <c r="AP633" i="90"/>
  <c r="AP383" i="90" s="1"/>
  <c r="AP386" i="90" s="1"/>
  <c r="AE633" i="90"/>
  <c r="AU633" i="90"/>
  <c r="AU672" i="90" s="1"/>
  <c r="Y633" i="90"/>
  <c r="Y670" i="90" s="1"/>
  <c r="AB633" i="90"/>
  <c r="AJ633" i="90"/>
  <c r="AJ383" i="90" s="1"/>
  <c r="AR633" i="90"/>
  <c r="N639" i="90"/>
  <c r="N646" i="90"/>
  <c r="T758" i="90"/>
  <c r="T772" i="90" s="1"/>
  <c r="T759" i="90"/>
  <c r="U759" i="90" s="1"/>
  <c r="T761" i="90"/>
  <c r="U761" i="90" s="1"/>
  <c r="M655" i="90"/>
  <c r="T762" i="90" s="1"/>
  <c r="U762" i="90" s="1"/>
  <c r="M663" i="90"/>
  <c r="M472" i="90" s="1"/>
  <c r="N664" i="90"/>
  <c r="O664" i="90" s="1"/>
  <c r="P664" i="90" s="1"/>
  <c r="N665" i="90"/>
  <c r="O665" i="90" s="1"/>
  <c r="P665" i="90" s="1"/>
  <c r="Q665" i="90" s="1"/>
  <c r="N666" i="90"/>
  <c r="N667" i="90"/>
  <c r="O667" i="90" s="1"/>
  <c r="P667" i="90" s="1"/>
  <c r="M668" i="90"/>
  <c r="P669" i="90"/>
  <c r="P670" i="90"/>
  <c r="P671" i="90"/>
  <c r="M673" i="90"/>
  <c r="M786" i="90" s="1"/>
  <c r="M473" i="90" s="1"/>
  <c r="N677" i="90"/>
  <c r="O677" i="90" s="1"/>
  <c r="P677" i="90" s="1"/>
  <c r="M678" i="90"/>
  <c r="N678" i="90"/>
  <c r="O678" i="90"/>
  <c r="P678" i="90"/>
  <c r="Q678" i="90"/>
  <c r="W678" i="90"/>
  <c r="X678" i="90"/>
  <c r="Y678" i="90"/>
  <c r="Z678" i="90"/>
  <c r="AA678" i="90"/>
  <c r="AB678" i="90"/>
  <c r="AC678" i="90"/>
  <c r="AD678" i="90"/>
  <c r="AE678" i="90"/>
  <c r="AF678" i="90"/>
  <c r="AG678" i="90"/>
  <c r="AH678" i="90"/>
  <c r="AI678" i="90"/>
  <c r="AJ678" i="90"/>
  <c r="AK678" i="90"/>
  <c r="AL678" i="90"/>
  <c r="AM678" i="90"/>
  <c r="AN678" i="90"/>
  <c r="AO678" i="90"/>
  <c r="AP678" i="90"/>
  <c r="AQ678" i="90"/>
  <c r="AR678" i="90"/>
  <c r="AS678" i="90"/>
  <c r="AT678" i="90"/>
  <c r="AU678" i="90"/>
  <c r="M683" i="90"/>
  <c r="N683" i="90"/>
  <c r="O683" i="90"/>
  <c r="P683" i="90"/>
  <c r="Q683" i="90"/>
  <c r="R683" i="90"/>
  <c r="V683" i="90"/>
  <c r="W683" i="90"/>
  <c r="X683" i="90"/>
  <c r="Y683" i="90"/>
  <c r="Z683" i="90"/>
  <c r="AA683" i="90"/>
  <c r="AB683" i="90"/>
  <c r="AC683" i="90"/>
  <c r="AD683" i="90"/>
  <c r="AE683" i="90"/>
  <c r="AF683" i="90"/>
  <c r="AG683" i="90"/>
  <c r="AH683" i="90"/>
  <c r="AI683" i="90"/>
  <c r="AJ683" i="90"/>
  <c r="AK683" i="90"/>
  <c r="AL683" i="90"/>
  <c r="AM683" i="90"/>
  <c r="AN683" i="90"/>
  <c r="AO683" i="90"/>
  <c r="AP683" i="90"/>
  <c r="AQ683" i="90"/>
  <c r="AR683" i="90"/>
  <c r="AS683" i="90"/>
  <c r="AT683" i="90"/>
  <c r="AU683" i="90"/>
  <c r="M688" i="90"/>
  <c r="N688" i="90"/>
  <c r="O688" i="90"/>
  <c r="P688" i="90"/>
  <c r="Q688" i="90"/>
  <c r="M693" i="90"/>
  <c r="N693" i="90"/>
  <c r="O693" i="90"/>
  <c r="P693" i="90"/>
  <c r="Q693" i="90"/>
  <c r="R693" i="90"/>
  <c r="V693" i="90"/>
  <c r="W693" i="90"/>
  <c r="X693" i="90"/>
  <c r="Y693" i="90"/>
  <c r="Z693" i="90"/>
  <c r="AA693" i="90"/>
  <c r="AB693" i="90"/>
  <c r="AC693" i="90"/>
  <c r="AD693" i="90"/>
  <c r="AE693" i="90"/>
  <c r="AF693" i="90"/>
  <c r="AG693" i="90"/>
  <c r="AH693" i="90"/>
  <c r="AI693" i="90"/>
  <c r="AJ693" i="90"/>
  <c r="AK693" i="90"/>
  <c r="AL693" i="90"/>
  <c r="AM693" i="90"/>
  <c r="AN693" i="90"/>
  <c r="AO693" i="90"/>
  <c r="AP693" i="90"/>
  <c r="AQ693" i="90"/>
  <c r="AR693" i="90"/>
  <c r="AS693" i="90"/>
  <c r="AT693" i="90"/>
  <c r="AU693" i="90"/>
  <c r="M698" i="90"/>
  <c r="N699" i="90"/>
  <c r="N700" i="90"/>
  <c r="O700" i="90" s="1"/>
  <c r="P700" i="90" s="1"/>
  <c r="Q700" i="90" s="1"/>
  <c r="N701" i="90"/>
  <c r="O701" i="90" s="1"/>
  <c r="P701" i="90" s="1"/>
  <c r="Q701" i="90" s="1"/>
  <c r="N702" i="90"/>
  <c r="M704" i="90"/>
  <c r="M705" i="90"/>
  <c r="M706" i="90"/>
  <c r="M707" i="90"/>
  <c r="N710" i="90"/>
  <c r="O710" i="90" s="1"/>
  <c r="P710" i="90" s="1"/>
  <c r="N712" i="90"/>
  <c r="O712" i="90" s="1"/>
  <c r="P712" i="90" s="1"/>
  <c r="Q712" i="90" s="1"/>
  <c r="R712" i="90" s="1"/>
  <c r="V712" i="90" s="1"/>
  <c r="W712" i="90" s="1"/>
  <c r="X713" i="90"/>
  <c r="Y713" i="90"/>
  <c r="Y712" i="90" s="1"/>
  <c r="Z713" i="90"/>
  <c r="AA713" i="90"/>
  <c r="AB713" i="90"/>
  <c r="AC713" i="90"/>
  <c r="AD713" i="90"/>
  <c r="AE713" i="90"/>
  <c r="AF713" i="90"/>
  <c r="AG713" i="90"/>
  <c r="AH713" i="90"/>
  <c r="AI713" i="90"/>
  <c r="AJ713" i="90"/>
  <c r="AK713" i="90"/>
  <c r="AL713" i="90"/>
  <c r="AM713" i="90"/>
  <c r="AN713" i="90"/>
  <c r="AO713" i="90"/>
  <c r="AP713" i="90"/>
  <c r="AQ713" i="90"/>
  <c r="AR713" i="90"/>
  <c r="AS713" i="90"/>
  <c r="AT713" i="90"/>
  <c r="AU713" i="90"/>
  <c r="M718" i="90"/>
  <c r="N727" i="90"/>
  <c r="M728" i="90"/>
  <c r="N728" i="90"/>
  <c r="O728" i="90"/>
  <c r="P728" i="90"/>
  <c r="Q728" i="90"/>
  <c r="R728" i="90"/>
  <c r="V728" i="90"/>
  <c r="W728" i="90"/>
  <c r="X728" i="90"/>
  <c r="Y728" i="90"/>
  <c r="Z728" i="90"/>
  <c r="AA728" i="90"/>
  <c r="AB728" i="90"/>
  <c r="AC728" i="90"/>
  <c r="AD728" i="90"/>
  <c r="AE728" i="90"/>
  <c r="AF728" i="90"/>
  <c r="AG728" i="90"/>
  <c r="AH728" i="90"/>
  <c r="AI728" i="90"/>
  <c r="AJ728" i="90"/>
  <c r="AK728" i="90"/>
  <c r="AL728" i="90"/>
  <c r="AM728" i="90"/>
  <c r="AN728" i="90"/>
  <c r="AO728" i="90"/>
  <c r="AP728" i="90"/>
  <c r="AQ728" i="90"/>
  <c r="AR728" i="90"/>
  <c r="AS728" i="90"/>
  <c r="AT728" i="90"/>
  <c r="AU728" i="90"/>
  <c r="M735" i="90"/>
  <c r="N735" i="90"/>
  <c r="O735" i="90"/>
  <c r="P735" i="90"/>
  <c r="Q735" i="90"/>
  <c r="R735" i="90"/>
  <c r="V735" i="90"/>
  <c r="W735" i="90"/>
  <c r="X735" i="90"/>
  <c r="Y735" i="90"/>
  <c r="Z735" i="90"/>
  <c r="AA735" i="90"/>
  <c r="AB735" i="90"/>
  <c r="AC735" i="90"/>
  <c r="AD735" i="90"/>
  <c r="AE735" i="90"/>
  <c r="AF735" i="90"/>
  <c r="AG735" i="90"/>
  <c r="AH735" i="90"/>
  <c r="AI735" i="90"/>
  <c r="AJ735" i="90"/>
  <c r="AK735" i="90"/>
  <c r="AL735" i="90"/>
  <c r="AM735" i="90"/>
  <c r="AN735" i="90"/>
  <c r="AO735" i="90"/>
  <c r="AP735" i="90"/>
  <c r="AQ735" i="90"/>
  <c r="AR735" i="90"/>
  <c r="AS735" i="90"/>
  <c r="AT735" i="90"/>
  <c r="AU735" i="90"/>
  <c r="M742" i="90"/>
  <c r="N742" i="90"/>
  <c r="O742" i="90"/>
  <c r="P742" i="90"/>
  <c r="Q742" i="90"/>
  <c r="R742" i="90"/>
  <c r="V742" i="90"/>
  <c r="W742" i="90"/>
  <c r="X742" i="90"/>
  <c r="Y742" i="90"/>
  <c r="Z742" i="90"/>
  <c r="AA742" i="90"/>
  <c r="AB742" i="90"/>
  <c r="AC742" i="90"/>
  <c r="AD742" i="90"/>
  <c r="AE742" i="90"/>
  <c r="AF742" i="90"/>
  <c r="AG742" i="90"/>
  <c r="AH742" i="90"/>
  <c r="AI742" i="90"/>
  <c r="AJ742" i="90"/>
  <c r="AK742" i="90"/>
  <c r="AL742" i="90"/>
  <c r="AM742" i="90"/>
  <c r="AN742" i="90"/>
  <c r="AO742" i="90"/>
  <c r="AP742" i="90"/>
  <c r="AQ742" i="90"/>
  <c r="AR742" i="90"/>
  <c r="AS742" i="90"/>
  <c r="AT742" i="90"/>
  <c r="AU742" i="90"/>
  <c r="M749" i="90"/>
  <c r="N749" i="90"/>
  <c r="O749" i="90"/>
  <c r="P749" i="90"/>
  <c r="Q749" i="90"/>
  <c r="R749" i="90"/>
  <c r="V749" i="90"/>
  <c r="W749" i="90"/>
  <c r="X749" i="90"/>
  <c r="Y749" i="90"/>
  <c r="Z749" i="90"/>
  <c r="AA749" i="90"/>
  <c r="AB749" i="90"/>
  <c r="AC749" i="90"/>
  <c r="AD749" i="90"/>
  <c r="AE749" i="90"/>
  <c r="AF749" i="90"/>
  <c r="AG749" i="90"/>
  <c r="AH749" i="90"/>
  <c r="AI749" i="90"/>
  <c r="AJ749" i="90"/>
  <c r="AK749" i="90"/>
  <c r="AL749" i="90"/>
  <c r="AM749" i="90"/>
  <c r="AN749" i="90"/>
  <c r="AO749" i="90"/>
  <c r="AP749" i="90"/>
  <c r="AQ749" i="90"/>
  <c r="AR749" i="90"/>
  <c r="AS749" i="90"/>
  <c r="AT749" i="90"/>
  <c r="AU749" i="90"/>
  <c r="M756" i="90"/>
  <c r="M763" i="90"/>
  <c r="N763" i="90"/>
  <c r="P763" i="90"/>
  <c r="Q763" i="90"/>
  <c r="R763" i="90"/>
  <c r="V763" i="90"/>
  <c r="W763" i="90"/>
  <c r="X763" i="90"/>
  <c r="Y763" i="90"/>
  <c r="Z763" i="90"/>
  <c r="AA763" i="90"/>
  <c r="AB763" i="90"/>
  <c r="AC763" i="90"/>
  <c r="AD763" i="90"/>
  <c r="AE763" i="90"/>
  <c r="AF763" i="90"/>
  <c r="AG763" i="90"/>
  <c r="AH763" i="90"/>
  <c r="AI763" i="90"/>
  <c r="AJ763" i="90"/>
  <c r="AK763" i="90"/>
  <c r="AL763" i="90"/>
  <c r="AM763" i="90"/>
  <c r="AN763" i="90"/>
  <c r="AO763" i="90"/>
  <c r="AP763" i="90"/>
  <c r="AQ763" i="90"/>
  <c r="AR763" i="90"/>
  <c r="AS763" i="90"/>
  <c r="AT763" i="90"/>
  <c r="AU763" i="90"/>
  <c r="Q806" i="90"/>
  <c r="R806" i="90" s="1"/>
  <c r="V806" i="90" s="1"/>
  <c r="W806" i="90" s="1"/>
  <c r="X806" i="90" s="1"/>
  <c r="Y806" i="90" s="1"/>
  <c r="Z806" i="90" s="1"/>
  <c r="AA806" i="90" s="1"/>
  <c r="AB806" i="90" s="1"/>
  <c r="AC806" i="90" s="1"/>
  <c r="AD806" i="90" s="1"/>
  <c r="AE806" i="90" s="1"/>
  <c r="AF806" i="90" s="1"/>
  <c r="AG806" i="90" s="1"/>
  <c r="AH806" i="90" s="1"/>
  <c r="AI806" i="90" s="1"/>
  <c r="AJ806" i="90" s="1"/>
  <c r="AK806" i="90" s="1"/>
  <c r="AL806" i="90" s="1"/>
  <c r="AM806" i="90" s="1"/>
  <c r="AN806" i="90" s="1"/>
  <c r="AO806" i="90" s="1"/>
  <c r="AP806" i="90" s="1"/>
  <c r="AQ806" i="90" s="1"/>
  <c r="AR806" i="90" s="1"/>
  <c r="AS806" i="90" s="1"/>
  <c r="AT806" i="90" s="1"/>
  <c r="AU806" i="90" s="1"/>
  <c r="P808" i="90"/>
  <c r="Q808" i="90" s="1"/>
  <c r="R808" i="90" s="1"/>
  <c r="V808" i="90" s="1"/>
  <c r="W808" i="90" s="1"/>
  <c r="X808" i="90" s="1"/>
  <c r="Y808" i="90" s="1"/>
  <c r="Z808" i="90" s="1"/>
  <c r="AA808" i="90" s="1"/>
  <c r="AB808" i="90" s="1"/>
  <c r="AC808" i="90" s="1"/>
  <c r="AD808" i="90" s="1"/>
  <c r="AE808" i="90" s="1"/>
  <c r="AF808" i="90" s="1"/>
  <c r="AG808" i="90" s="1"/>
  <c r="AH808" i="90" s="1"/>
  <c r="AI808" i="90" s="1"/>
  <c r="AJ808" i="90" s="1"/>
  <c r="AK808" i="90" s="1"/>
  <c r="AL808" i="90" s="1"/>
  <c r="AM808" i="90" s="1"/>
  <c r="AN808" i="90" s="1"/>
  <c r="AO808" i="90" s="1"/>
  <c r="AP808" i="90" s="1"/>
  <c r="AQ808" i="90" s="1"/>
  <c r="AR808" i="90" s="1"/>
  <c r="AS808" i="90" s="1"/>
  <c r="AT808" i="90" s="1"/>
  <c r="AU808" i="90" s="1"/>
  <c r="O811" i="90"/>
  <c r="P811" i="90" s="1"/>
  <c r="Q811" i="90" s="1"/>
  <c r="V811" i="90"/>
  <c r="W811" i="90" s="1"/>
  <c r="X811" i="90" s="1"/>
  <c r="Y811" i="90" s="1"/>
  <c r="Z811" i="90" s="1"/>
  <c r="AA811" i="90" s="1"/>
  <c r="AB811" i="90" s="1"/>
  <c r="AC811" i="90" s="1"/>
  <c r="AD811" i="90" s="1"/>
  <c r="AE811" i="90" s="1"/>
  <c r="AF811" i="90" s="1"/>
  <c r="AG811" i="90" s="1"/>
  <c r="AH811" i="90" s="1"/>
  <c r="AI811" i="90" s="1"/>
  <c r="AJ811" i="90" s="1"/>
  <c r="AK811" i="90" s="1"/>
  <c r="AL811" i="90" s="1"/>
  <c r="AM811" i="90" s="1"/>
  <c r="AN811" i="90" s="1"/>
  <c r="AO811" i="90" s="1"/>
  <c r="AP811" i="90" s="1"/>
  <c r="AQ811" i="90" s="1"/>
  <c r="AR811" i="90" s="1"/>
  <c r="AS811" i="90" s="1"/>
  <c r="AT811" i="90" s="1"/>
  <c r="AU811" i="90" s="1"/>
  <c r="P812" i="90"/>
  <c r="O813" i="90"/>
  <c r="P813" i="90" s="1"/>
  <c r="Q813" i="90" s="1"/>
  <c r="R813" i="90" s="1"/>
  <c r="V813" i="90" s="1"/>
  <c r="W813" i="90" s="1"/>
  <c r="X813" i="90" s="1"/>
  <c r="Y813" i="90" s="1"/>
  <c r="Z813" i="90" s="1"/>
  <c r="AA813" i="90" s="1"/>
  <c r="AB813" i="90" s="1"/>
  <c r="AC813" i="90" s="1"/>
  <c r="AD813" i="90" s="1"/>
  <c r="AE813" i="90" s="1"/>
  <c r="AF813" i="90" s="1"/>
  <c r="AG813" i="90" s="1"/>
  <c r="AH813" i="90" s="1"/>
  <c r="AI813" i="90" s="1"/>
  <c r="AJ813" i="90" s="1"/>
  <c r="AK813" i="90" s="1"/>
  <c r="AL813" i="90" s="1"/>
  <c r="AM813" i="90" s="1"/>
  <c r="AN813" i="90" s="1"/>
  <c r="AO813" i="90" s="1"/>
  <c r="AP813" i="90" s="1"/>
  <c r="AQ813" i="90" s="1"/>
  <c r="AR813" i="90" s="1"/>
  <c r="AS813" i="90" s="1"/>
  <c r="AT813" i="90" s="1"/>
  <c r="AU813" i="90" s="1"/>
  <c r="O818" i="90"/>
  <c r="P818" i="90" s="1"/>
  <c r="O819" i="90"/>
  <c r="O820" i="90"/>
  <c r="P820" i="90" s="1"/>
  <c r="Q820" i="90" s="1"/>
  <c r="R820" i="90" s="1"/>
  <c r="C824" i="90"/>
  <c r="C825" i="90"/>
  <c r="C826" i="90"/>
  <c r="O827" i="90"/>
  <c r="P827" i="90"/>
  <c r="P537" i="90" s="1"/>
  <c r="Q827" i="90"/>
  <c r="Q537" i="90" s="1"/>
  <c r="Q98" i="57" s="1"/>
  <c r="R827" i="90"/>
  <c r="R537" i="90" s="1"/>
  <c r="R98" i="57" s="1"/>
  <c r="V827" i="90"/>
  <c r="V537" i="90" s="1"/>
  <c r="V98" i="57" s="1"/>
  <c r="W827" i="90"/>
  <c r="W537" i="90" s="1"/>
  <c r="W540" i="90" s="1"/>
  <c r="Y827" i="90"/>
  <c r="Y537" i="90" s="1"/>
  <c r="Y98" i="57" s="1"/>
  <c r="Z827" i="90"/>
  <c r="Z537" i="90" s="1"/>
  <c r="Z98" i="57" s="1"/>
  <c r="AA827" i="90"/>
  <c r="AA537" i="90" s="1"/>
  <c r="AB827" i="90"/>
  <c r="AB537" i="90" s="1"/>
  <c r="AC827" i="90"/>
  <c r="AC537" i="90" s="1"/>
  <c r="AD827" i="90"/>
  <c r="AD537" i="90" s="1"/>
  <c r="AE827" i="90"/>
  <c r="AE537" i="90" s="1"/>
  <c r="AF827" i="90"/>
  <c r="AF537" i="90" s="1"/>
  <c r="AG827" i="90"/>
  <c r="AG537" i="90" s="1"/>
  <c r="AH827" i="90"/>
  <c r="AH537" i="90" s="1"/>
  <c r="AI827" i="90"/>
  <c r="AI537" i="90" s="1"/>
  <c r="AJ827" i="90"/>
  <c r="AJ537" i="90" s="1"/>
  <c r="AK827" i="90"/>
  <c r="AK537" i="90" s="1"/>
  <c r="AL827" i="90"/>
  <c r="AL537" i="90" s="1"/>
  <c r="AM827" i="90"/>
  <c r="AM537" i="90" s="1"/>
  <c r="AN827" i="90"/>
  <c r="AN537" i="90" s="1"/>
  <c r="AO827" i="90"/>
  <c r="AO537" i="90" s="1"/>
  <c r="AP827" i="90"/>
  <c r="AP537" i="90" s="1"/>
  <c r="AQ827" i="90"/>
  <c r="AQ537" i="90" s="1"/>
  <c r="AR827" i="90"/>
  <c r="AR537" i="90" s="1"/>
  <c r="AS827" i="90"/>
  <c r="AS537" i="90" s="1"/>
  <c r="AT827" i="90"/>
  <c r="AT537" i="90" s="1"/>
  <c r="AU827" i="90"/>
  <c r="AU537" i="90" s="1"/>
  <c r="O832" i="90"/>
  <c r="P834" i="90"/>
  <c r="Q856" i="90" s="1"/>
  <c r="P848" i="90"/>
  <c r="Q848" i="90" s="1"/>
  <c r="R848" i="90" s="1"/>
  <c r="V848" i="90" s="1"/>
  <c r="W848" i="90" s="1"/>
  <c r="X848" i="90" s="1"/>
  <c r="Y848" i="90" s="1"/>
  <c r="Z848" i="90" s="1"/>
  <c r="AA848" i="90" s="1"/>
  <c r="AB848" i="90" s="1"/>
  <c r="AC848" i="90" s="1"/>
  <c r="AD848" i="90" s="1"/>
  <c r="AE848" i="90" s="1"/>
  <c r="AF848" i="90" s="1"/>
  <c r="AG848" i="90" s="1"/>
  <c r="AH848" i="90" s="1"/>
  <c r="AI848" i="90" s="1"/>
  <c r="AJ848" i="90" s="1"/>
  <c r="AK848" i="90" s="1"/>
  <c r="AL848" i="90" s="1"/>
  <c r="AM848" i="90" s="1"/>
  <c r="AN848" i="90" s="1"/>
  <c r="AO848" i="90" s="1"/>
  <c r="AP848" i="90" s="1"/>
  <c r="AQ848" i="90" s="1"/>
  <c r="AR848" i="90" s="1"/>
  <c r="AS848" i="90" s="1"/>
  <c r="AT848" i="90" s="1"/>
  <c r="AU848" i="90" s="1"/>
  <c r="P850" i="90"/>
  <c r="Q850" i="90" s="1"/>
  <c r="R850" i="90" s="1"/>
  <c r="V850" i="90" s="1"/>
  <c r="W850" i="90" s="1"/>
  <c r="X850" i="90" s="1"/>
  <c r="Y850" i="90" s="1"/>
  <c r="Z850" i="90" s="1"/>
  <c r="AA850" i="90" s="1"/>
  <c r="AB850" i="90" s="1"/>
  <c r="AC850" i="90" s="1"/>
  <c r="AD850" i="90" s="1"/>
  <c r="AE850" i="90" s="1"/>
  <c r="AF850" i="90" s="1"/>
  <c r="AG850" i="90" s="1"/>
  <c r="AH850" i="90" s="1"/>
  <c r="AI850" i="90" s="1"/>
  <c r="AJ850" i="90" s="1"/>
  <c r="AK850" i="90" s="1"/>
  <c r="AL850" i="90" s="1"/>
  <c r="AM850" i="90" s="1"/>
  <c r="AN850" i="90" s="1"/>
  <c r="AO850" i="90" s="1"/>
  <c r="AP850" i="90" s="1"/>
  <c r="AQ850" i="90" s="1"/>
  <c r="AR850" i="90" s="1"/>
  <c r="AS850" i="90" s="1"/>
  <c r="AT850" i="90" s="1"/>
  <c r="AU850" i="90" s="1"/>
  <c r="C853" i="90"/>
  <c r="C860" i="90" s="1"/>
  <c r="C867" i="90" s="1"/>
  <c r="C854" i="90"/>
  <c r="C861" i="90" s="1"/>
  <c r="C868" i="90" s="1"/>
  <c r="C855" i="90"/>
  <c r="C862" i="90" s="1"/>
  <c r="C869" i="90" s="1"/>
  <c r="O856" i="90"/>
  <c r="O870" i="90" s="1"/>
  <c r="O857" i="90"/>
  <c r="O877" i="90" s="1"/>
  <c r="Q860" i="90"/>
  <c r="R860" i="90" s="1"/>
  <c r="V860" i="90" s="1"/>
  <c r="W860" i="90" s="1"/>
  <c r="X860" i="90" s="1"/>
  <c r="Y860" i="90" s="1"/>
  <c r="Z860" i="90" s="1"/>
  <c r="AA860" i="90" s="1"/>
  <c r="AB860" i="90" s="1"/>
  <c r="AC860" i="90" s="1"/>
  <c r="AD860" i="90" s="1"/>
  <c r="AE860" i="90" s="1"/>
  <c r="AF860" i="90" s="1"/>
  <c r="AG860" i="90" s="1"/>
  <c r="AH860" i="90" s="1"/>
  <c r="AI860" i="90" s="1"/>
  <c r="AJ860" i="90" s="1"/>
  <c r="AK860" i="90" s="1"/>
  <c r="AL860" i="90" s="1"/>
  <c r="AM860" i="90" s="1"/>
  <c r="AN860" i="90" s="1"/>
  <c r="AO860" i="90" s="1"/>
  <c r="AP860" i="90" s="1"/>
  <c r="AQ860" i="90" s="1"/>
  <c r="AR860" i="90" s="1"/>
  <c r="AS860" i="90" s="1"/>
  <c r="AT860" i="90" s="1"/>
  <c r="AU860" i="90" s="1"/>
  <c r="P861" i="90"/>
  <c r="Q861" i="90" s="1"/>
  <c r="R861" i="90" s="1"/>
  <c r="V861" i="90" s="1"/>
  <c r="W861" i="90" s="1"/>
  <c r="X861" i="90" s="1"/>
  <c r="Y861" i="90" s="1"/>
  <c r="Z861" i="90" s="1"/>
  <c r="AA861" i="90" s="1"/>
  <c r="AB861" i="90" s="1"/>
  <c r="AC861" i="90" s="1"/>
  <c r="AD861" i="90" s="1"/>
  <c r="AE861" i="90" s="1"/>
  <c r="AF861" i="90" s="1"/>
  <c r="AG861" i="90" s="1"/>
  <c r="AH861" i="90" s="1"/>
  <c r="AI861" i="90" s="1"/>
  <c r="AJ861" i="90" s="1"/>
  <c r="AK861" i="90" s="1"/>
  <c r="AL861" i="90" s="1"/>
  <c r="AM861" i="90" s="1"/>
  <c r="AN861" i="90" s="1"/>
  <c r="AO861" i="90" s="1"/>
  <c r="AP861" i="90" s="1"/>
  <c r="AQ861" i="90" s="1"/>
  <c r="AR861" i="90" s="1"/>
  <c r="AS861" i="90" s="1"/>
  <c r="AT861" i="90" s="1"/>
  <c r="AU861" i="90" s="1"/>
  <c r="P862" i="90"/>
  <c r="Q862" i="90" s="1"/>
  <c r="R862" i="90" s="1"/>
  <c r="V862" i="90" s="1"/>
  <c r="W862" i="90" s="1"/>
  <c r="X862" i="90" s="1"/>
  <c r="Y862" i="90" s="1"/>
  <c r="Z862" i="90" s="1"/>
  <c r="AA862" i="90" s="1"/>
  <c r="AB862" i="90" s="1"/>
  <c r="AC862" i="90" s="1"/>
  <c r="AD862" i="90" s="1"/>
  <c r="AE862" i="90" s="1"/>
  <c r="AF862" i="90" s="1"/>
  <c r="AG862" i="90" s="1"/>
  <c r="AH862" i="90" s="1"/>
  <c r="AI862" i="90" s="1"/>
  <c r="AJ862" i="90" s="1"/>
  <c r="AK862" i="90" s="1"/>
  <c r="AL862" i="90" s="1"/>
  <c r="AM862" i="90" s="1"/>
  <c r="AN862" i="90" s="1"/>
  <c r="AO862" i="90" s="1"/>
  <c r="AP862" i="90" s="1"/>
  <c r="AQ862" i="90" s="1"/>
  <c r="AR862" i="90" s="1"/>
  <c r="AS862" i="90" s="1"/>
  <c r="AT862" i="90" s="1"/>
  <c r="AU862" i="90" s="1"/>
  <c r="P863" i="90"/>
  <c r="Q863" i="90" s="1"/>
  <c r="C870" i="90"/>
  <c r="O873" i="90"/>
  <c r="P873" i="90" s="1"/>
  <c r="Q873" i="90" s="1"/>
  <c r="R873" i="90" s="1"/>
  <c r="V873" i="90" s="1"/>
  <c r="W873" i="90" s="1"/>
  <c r="X873" i="90" s="1"/>
  <c r="Y873" i="90" s="1"/>
  <c r="Z873" i="90" s="1"/>
  <c r="AA873" i="90" s="1"/>
  <c r="AB873" i="90" s="1"/>
  <c r="AC873" i="90" s="1"/>
  <c r="AD873" i="90" s="1"/>
  <c r="AE873" i="90" s="1"/>
  <c r="AF873" i="90" s="1"/>
  <c r="AG873" i="90" s="1"/>
  <c r="AH873" i="90" s="1"/>
  <c r="AI873" i="90" s="1"/>
  <c r="AJ873" i="90" s="1"/>
  <c r="AK873" i="90" s="1"/>
  <c r="AL873" i="90" s="1"/>
  <c r="AM873" i="90" s="1"/>
  <c r="AN873" i="90" s="1"/>
  <c r="AO873" i="90" s="1"/>
  <c r="AP873" i="90" s="1"/>
  <c r="AQ873" i="90" s="1"/>
  <c r="AR873" i="90" s="1"/>
  <c r="AS873" i="90" s="1"/>
  <c r="AT873" i="90" s="1"/>
  <c r="AU873" i="90" s="1"/>
  <c r="O878" i="90"/>
  <c r="P878" i="90" s="1"/>
  <c r="P879" i="90" s="1"/>
  <c r="P3" i="57"/>
  <c r="P60" i="57" s="1"/>
  <c r="J7" i="57"/>
  <c r="J6" i="57" s="1"/>
  <c r="J135" i="57" s="1"/>
  <c r="K7" i="57"/>
  <c r="L7" i="57"/>
  <c r="K9" i="57"/>
  <c r="K10" i="57"/>
  <c r="L10" i="57"/>
  <c r="M11" i="57"/>
  <c r="N11" i="57"/>
  <c r="O11" i="57"/>
  <c r="P11" i="57"/>
  <c r="P164" i="57" s="1"/>
  <c r="P15" i="57"/>
  <c r="Q15" i="57"/>
  <c r="V15" i="57"/>
  <c r="W15" i="57"/>
  <c r="P22" i="57"/>
  <c r="Q22" i="57"/>
  <c r="R22" i="57"/>
  <c r="V22" i="57"/>
  <c r="W22" i="57"/>
  <c r="P26" i="57"/>
  <c r="Q26" i="57"/>
  <c r="R26" i="57"/>
  <c r="V26" i="57"/>
  <c r="W26" i="57"/>
  <c r="J29" i="57"/>
  <c r="J32" i="57"/>
  <c r="P35" i="57"/>
  <c r="P66" i="57" s="1"/>
  <c r="Q35" i="57"/>
  <c r="R35" i="57"/>
  <c r="V35" i="57"/>
  <c r="W35" i="57"/>
  <c r="P41" i="57"/>
  <c r="P43" i="57"/>
  <c r="Q43" i="57"/>
  <c r="R43" i="57"/>
  <c r="V43" i="57"/>
  <c r="Q45" i="57"/>
  <c r="Q88" i="57" s="1"/>
  <c r="R45" i="57"/>
  <c r="R88" i="57" s="1"/>
  <c r="V45" i="57"/>
  <c r="V88" i="57" s="1"/>
  <c r="W45" i="57"/>
  <c r="W88" i="57" s="1"/>
  <c r="X45" i="57"/>
  <c r="Y45" i="57"/>
  <c r="Y88" i="57" s="1"/>
  <c r="Z45" i="57"/>
  <c r="Z88" i="57" s="1"/>
  <c r="J46" i="57"/>
  <c r="K46" i="57"/>
  <c r="L46" i="57"/>
  <c r="P53" i="57"/>
  <c r="Q53" i="57"/>
  <c r="R53" i="57"/>
  <c r="V53" i="57"/>
  <c r="J60" i="57"/>
  <c r="K60" i="57"/>
  <c r="L60" i="57"/>
  <c r="J61" i="57"/>
  <c r="K61" i="57"/>
  <c r="L61" i="57"/>
  <c r="Q61" i="57"/>
  <c r="R61" i="57"/>
  <c r="V61" i="57"/>
  <c r="W61" i="57"/>
  <c r="X61" i="57"/>
  <c r="Y61" i="57"/>
  <c r="Z61" i="57"/>
  <c r="AA61" i="57"/>
  <c r="AA62" i="57"/>
  <c r="P70" i="57"/>
  <c r="Q70" i="57"/>
  <c r="R70" i="57"/>
  <c r="L74" i="57"/>
  <c r="M74" i="57"/>
  <c r="N74" i="57"/>
  <c r="O74" i="57"/>
  <c r="P81" i="57"/>
  <c r="Q81" i="57"/>
  <c r="R81" i="57"/>
  <c r="V81" i="57"/>
  <c r="W81" i="57"/>
  <c r="X81" i="57"/>
  <c r="Y81" i="57"/>
  <c r="Z81" i="57"/>
  <c r="P84" i="57"/>
  <c r="V166" i="57"/>
  <c r="W166" i="57"/>
  <c r="Q86" i="57"/>
  <c r="Q168" i="57" s="1"/>
  <c r="V86" i="57"/>
  <c r="V168" i="57" s="1"/>
  <c r="R87" i="57"/>
  <c r="Y87" i="57"/>
  <c r="Z87" i="57"/>
  <c r="P88" i="57"/>
  <c r="Q97" i="57"/>
  <c r="P102" i="57"/>
  <c r="Q102" i="57"/>
  <c r="R102" i="57"/>
  <c r="V102" i="57"/>
  <c r="X102" i="57"/>
  <c r="Z102" i="57"/>
  <c r="P103" i="57"/>
  <c r="Q103" i="57"/>
  <c r="W103" i="57"/>
  <c r="X103" i="57"/>
  <c r="Y103" i="57"/>
  <c r="Z103" i="57"/>
  <c r="P104" i="57"/>
  <c r="P171" i="57" s="1"/>
  <c r="V104" i="57"/>
  <c r="W104" i="57" s="1"/>
  <c r="W105" i="57"/>
  <c r="X105" i="57"/>
  <c r="Y105" i="57"/>
  <c r="Z105" i="57"/>
  <c r="W106" i="57"/>
  <c r="X106" i="57"/>
  <c r="Y106" i="57"/>
  <c r="Z106" i="57"/>
  <c r="K119" i="57"/>
  <c r="L119" i="57"/>
  <c r="M119" i="57"/>
  <c r="N119" i="57"/>
  <c r="O119" i="57"/>
  <c r="P144" i="57"/>
  <c r="Q144" i="57"/>
  <c r="R144" i="57"/>
  <c r="P146" i="57"/>
  <c r="Q146" i="57"/>
  <c r="R146" i="57"/>
  <c r="Q147" i="57"/>
  <c r="R147" i="57"/>
  <c r="Q148" i="57"/>
  <c r="R148" i="57"/>
  <c r="P149" i="57"/>
  <c r="Q149" i="57"/>
  <c r="P150" i="57"/>
  <c r="Q150" i="57"/>
  <c r="R151" i="57"/>
  <c r="AA155" i="57"/>
  <c r="R175" i="57"/>
  <c r="V175" i="57"/>
  <c r="W175" i="57"/>
  <c r="X175" i="57"/>
  <c r="Y175" i="57"/>
  <c r="Z175" i="57"/>
  <c r="K7" i="70"/>
  <c r="L7" i="70" s="1"/>
  <c r="M7" i="70" s="1"/>
  <c r="N7" i="70" s="1"/>
  <c r="O7" i="70" s="1"/>
  <c r="P7" i="70" s="1"/>
  <c r="Q7" i="70" s="1"/>
  <c r="R11" i="70"/>
  <c r="S11" i="70"/>
  <c r="T11" i="70"/>
  <c r="U11" i="70"/>
  <c r="V11" i="70"/>
  <c r="M13" i="70"/>
  <c r="N13" i="70"/>
  <c r="O13" i="70"/>
  <c r="P13" i="70"/>
  <c r="Q13" i="70"/>
  <c r="R13" i="70"/>
  <c r="S13" i="70"/>
  <c r="T13" i="70"/>
  <c r="U13" i="70"/>
  <c r="V13" i="70"/>
  <c r="M15" i="70"/>
  <c r="N15" i="70"/>
  <c r="O15" i="70"/>
  <c r="P15" i="70"/>
  <c r="Q15" i="70"/>
  <c r="R15" i="70"/>
  <c r="S15" i="70"/>
  <c r="T15" i="70"/>
  <c r="U15" i="70"/>
  <c r="V15" i="70"/>
  <c r="N17" i="70"/>
  <c r="O17" i="70"/>
  <c r="P17" i="70"/>
  <c r="Q17" i="70"/>
  <c r="R17" i="70"/>
  <c r="S17" i="70"/>
  <c r="T17" i="70"/>
  <c r="U17" i="70"/>
  <c r="V17" i="70"/>
  <c r="K19" i="70"/>
  <c r="L19" i="70"/>
  <c r="M19" i="70" s="1"/>
  <c r="N19" i="70" s="1"/>
  <c r="O19" i="70" s="1"/>
  <c r="P19" i="70" s="1"/>
  <c r="N11" i="70"/>
  <c r="O11" i="70"/>
  <c r="P11" i="70"/>
  <c r="Q11" i="70"/>
  <c r="M17" i="70"/>
  <c r="K31" i="70"/>
  <c r="L31" i="70" s="1"/>
  <c r="M31" i="70"/>
  <c r="N31" i="70" s="1"/>
  <c r="O31" i="70" s="1"/>
  <c r="P31" i="70" s="1"/>
  <c r="K43" i="70"/>
  <c r="L43" i="70" s="1"/>
  <c r="M43" i="70" s="1"/>
  <c r="N43" i="70" s="1"/>
  <c r="O43" i="70" s="1"/>
  <c r="P43" i="70" s="1"/>
  <c r="K59" i="70"/>
  <c r="L59" i="70" s="1"/>
  <c r="M59" i="70"/>
  <c r="N59" i="70" s="1"/>
  <c r="O59" i="70" s="1"/>
  <c r="P59" i="70" s="1"/>
  <c r="L63" i="70"/>
  <c r="K120" i="70"/>
  <c r="L120" i="70" s="1"/>
  <c r="M120" i="70" s="1"/>
  <c r="N120" i="70" s="1"/>
  <c r="O120" i="70" s="1"/>
  <c r="P120" i="70" s="1"/>
  <c r="P147" i="57"/>
  <c r="P148" i="57"/>
  <c r="R150" i="57"/>
  <c r="N15" i="4"/>
  <c r="S20" i="4"/>
  <c r="T20" i="4" s="1"/>
  <c r="U20" i="4" s="1"/>
  <c r="V20" i="4" s="1"/>
  <c r="W20" i="4" s="1"/>
  <c r="X20" i="4" s="1"/>
  <c r="Y20" i="4" s="1"/>
  <c r="Z20" i="4" s="1"/>
  <c r="AA20" i="4" s="1"/>
  <c r="AB20" i="4" s="1"/>
  <c r="L23" i="4"/>
  <c r="M23" i="4" s="1"/>
  <c r="N23" i="4" s="1"/>
  <c r="O23" i="4" s="1"/>
  <c r="P23" i="4" s="1"/>
  <c r="Q23" i="4" s="1"/>
  <c r="R23" i="4" s="1"/>
  <c r="L24" i="4"/>
  <c r="M24" i="4"/>
  <c r="N24" i="4" s="1"/>
  <c r="O24" i="4" s="1"/>
  <c r="P24" i="4" s="1"/>
  <c r="Q24" i="4" s="1"/>
  <c r="R24" i="4" s="1"/>
  <c r="F34" i="4"/>
  <c r="V62" i="4"/>
  <c r="K64" i="72"/>
  <c r="M31" i="72"/>
  <c r="N27" i="72"/>
  <c r="N29" i="72" s="1"/>
  <c r="I52" i="72"/>
  <c r="I53" i="72" s="1"/>
  <c r="I18" i="72" s="1"/>
  <c r="P161" i="56"/>
  <c r="N164" i="47"/>
  <c r="M164" i="47"/>
  <c r="P159" i="64"/>
  <c r="P131" i="64"/>
  <c r="O100" i="79"/>
  <c r="Q11" i="57"/>
  <c r="Q128" i="57" s="1"/>
  <c r="R83" i="57"/>
  <c r="R166" i="57" s="1"/>
  <c r="D13" i="85"/>
  <c r="Q83" i="57" s="1"/>
  <c r="Q166" i="57" s="1"/>
  <c r="O386" i="64"/>
  <c r="G180" i="89"/>
  <c r="H415" i="89"/>
  <c r="I235" i="89"/>
  <c r="I238" i="89" s="1"/>
  <c r="H221" i="89"/>
  <c r="H220" i="89" s="1"/>
  <c r="H224" i="89" s="1"/>
  <c r="I236" i="89"/>
  <c r="I239" i="89" s="1"/>
  <c r="G18" i="89"/>
  <c r="G13" i="89"/>
  <c r="G15" i="89" s="1"/>
  <c r="G23" i="89"/>
  <c r="I36" i="89"/>
  <c r="G355" i="89"/>
  <c r="P81" i="47"/>
  <c r="P86" i="47" s="1"/>
  <c r="U192" i="47"/>
  <c r="V192" i="47" s="1"/>
  <c r="W192" i="47" s="1"/>
  <c r="X192" i="47" s="1"/>
  <c r="Y192" i="47" s="1"/>
  <c r="M86" i="47"/>
  <c r="N86" i="47"/>
  <c r="O86" i="47"/>
  <c r="N167" i="47"/>
  <c r="M479" i="88"/>
  <c r="M481" i="88"/>
  <c r="M484" i="88" s="1"/>
  <c r="O232" i="79"/>
  <c r="O303" i="79" s="1"/>
  <c r="R117" i="57"/>
  <c r="M46" i="47"/>
  <c r="N46" i="47" s="1"/>
  <c r="O46" i="47" s="1"/>
  <c r="O193" i="47"/>
  <c r="O447" i="56"/>
  <c r="O449" i="56" s="1"/>
  <c r="O31" i="56"/>
  <c r="O223" i="56" s="1"/>
  <c r="Q54" i="56"/>
  <c r="M50" i="56"/>
  <c r="M14" i="56" s="1"/>
  <c r="M165" i="56" s="1"/>
  <c r="O394" i="56"/>
  <c r="O264" i="56"/>
  <c r="O50" i="56"/>
  <c r="O59" i="56" s="1"/>
  <c r="O166" i="56"/>
  <c r="P170" i="56"/>
  <c r="O81" i="56"/>
  <c r="P56" i="56"/>
  <c r="O20" i="56"/>
  <c r="K530" i="56"/>
  <c r="L530" i="56" s="1"/>
  <c r="P7" i="56"/>
  <c r="P443" i="56" s="1"/>
  <c r="O218" i="56"/>
  <c r="V326" i="64"/>
  <c r="W326" i="64" s="1"/>
  <c r="X326" i="64" s="1"/>
  <c r="Y326" i="64" s="1"/>
  <c r="Z326" i="64" s="1"/>
  <c r="R328" i="64"/>
  <c r="U328" i="64" s="1"/>
  <c r="L139" i="64"/>
  <c r="M386" i="64"/>
  <c r="J117" i="64"/>
  <c r="K515" i="64"/>
  <c r="K529" i="64" s="1"/>
  <c r="N386" i="64"/>
  <c r="L48" i="64"/>
  <c r="V45" i="64"/>
  <c r="K516" i="64"/>
  <c r="K530" i="64" s="1"/>
  <c r="K476" i="64"/>
  <c r="K500" i="64" s="1"/>
  <c r="R386" i="64"/>
  <c r="K322" i="64"/>
  <c r="K333" i="64" s="1"/>
  <c r="V386" i="64"/>
  <c r="L138" i="64"/>
  <c r="W386" i="64"/>
  <c r="X386" i="64"/>
  <c r="L287" i="64"/>
  <c r="L428" i="64"/>
  <c r="M302" i="64"/>
  <c r="M106" i="57" s="1"/>
  <c r="Y473" i="64"/>
  <c r="N428" i="64"/>
  <c r="Q302" i="64"/>
  <c r="Q106" i="57"/>
  <c r="R302" i="64"/>
  <c r="R106" i="57" s="1"/>
  <c r="V302" i="64"/>
  <c r="V106" i="57" s="1"/>
  <c r="X302" i="64"/>
  <c r="L457" i="64"/>
  <c r="L425" i="64" s="1"/>
  <c r="L300" i="64" s="1"/>
  <c r="L104" i="57" s="1"/>
  <c r="Q404" i="56"/>
  <c r="R342" i="64"/>
  <c r="U342" i="64" s="1"/>
  <c r="P165" i="56"/>
  <c r="P166" i="56"/>
  <c r="P164" i="56"/>
  <c r="AA112" i="57"/>
  <c r="R158" i="57"/>
  <c r="AC2" i="57" s="1"/>
  <c r="W428" i="64"/>
  <c r="P428" i="64"/>
  <c r="Q300" i="64"/>
  <c r="K518" i="64"/>
  <c r="K532" i="64" s="1"/>
  <c r="L47" i="64"/>
  <c r="V35" i="64"/>
  <c r="Q117" i="57"/>
  <c r="R373" i="64"/>
  <c r="G400" i="64" s="1"/>
  <c r="N286" i="64"/>
  <c r="U105" i="56"/>
  <c r="U156" i="56" s="1"/>
  <c r="M245" i="64"/>
  <c r="O17" i="79"/>
  <c r="Q158" i="56"/>
  <c r="P22" i="56"/>
  <c r="P25" i="56" s="1"/>
  <c r="P26" i="56" s="1"/>
  <c r="P27" i="56" s="1"/>
  <c r="P28" i="56" s="1"/>
  <c r="Q62" i="72"/>
  <c r="U62" i="72" s="1"/>
  <c r="V62" i="72" s="1"/>
  <c r="W62" i="72" s="1"/>
  <c r="X62" i="72" s="1"/>
  <c r="Y62" i="72" s="1"/>
  <c r="M17" i="72"/>
  <c r="O131" i="64"/>
  <c r="P373" i="64"/>
  <c r="G398" i="64"/>
  <c r="L9" i="64"/>
  <c r="M9" i="64" s="1"/>
  <c r="M150" i="64" s="1"/>
  <c r="M191" i="64" s="1"/>
  <c r="M221" i="64" s="1"/>
  <c r="M272" i="64" s="1"/>
  <c r="M320" i="64" s="1"/>
  <c r="M366" i="64" s="1"/>
  <c r="M420" i="64" s="1"/>
  <c r="M469" i="64" s="1"/>
  <c r="M512" i="64" s="1"/>
  <c r="O560" i="56"/>
  <c r="O494" i="56"/>
  <c r="Q455" i="92"/>
  <c r="S455" i="92" s="1"/>
  <c r="T455" i="92" s="1"/>
  <c r="Q431" i="92"/>
  <c r="S431" i="92" s="1"/>
  <c r="T431" i="92" s="1"/>
  <c r="P296" i="92"/>
  <c r="V793" i="90"/>
  <c r="W793" i="90" s="1"/>
  <c r="T670" i="90"/>
  <c r="U670" i="90" s="1"/>
  <c r="J328" i="88"/>
  <c r="J332" i="88" s="1"/>
  <c r="U472" i="92"/>
  <c r="V472" i="92" s="1"/>
  <c r="W472" i="92" s="1"/>
  <c r="X472" i="92" s="1"/>
  <c r="Y472" i="92" s="1"/>
  <c r="Z472" i="92" s="1"/>
  <c r="AA472" i="92" s="1"/>
  <c r="AB472" i="92" s="1"/>
  <c r="AC472" i="92"/>
  <c r="AD472" i="92" s="1"/>
  <c r="AE472" i="92" s="1"/>
  <c r="AF472" i="92" s="1"/>
  <c r="AG472" i="92" s="1"/>
  <c r="U293" i="92"/>
  <c r="V293" i="92" s="1"/>
  <c r="W293" i="92" s="1"/>
  <c r="U294" i="92"/>
  <c r="V294" i="92" s="1"/>
  <c r="W294" i="92" s="1"/>
  <c r="X294" i="92" s="1"/>
  <c r="Y294" i="92" s="1"/>
  <c r="Z294" i="92" s="1"/>
  <c r="AA294" i="92" s="1"/>
  <c r="AB294" i="92" s="1"/>
  <c r="AC294" i="92" s="1"/>
  <c r="AD294" i="92" s="1"/>
  <c r="AE294" i="92" s="1"/>
  <c r="AF294" i="92" s="1"/>
  <c r="AG294" i="92" s="1"/>
  <c r="U295" i="92"/>
  <c r="V295" i="92"/>
  <c r="W295" i="92" s="1"/>
  <c r="X295" i="92" s="1"/>
  <c r="Y295" i="92" s="1"/>
  <c r="Z295" i="92" s="1"/>
  <c r="AA295" i="92" s="1"/>
  <c r="AB295" i="92" s="1"/>
  <c r="AC295" i="92" s="1"/>
  <c r="AD295" i="92" s="1"/>
  <c r="AE295" i="92" s="1"/>
  <c r="AF295" i="92" s="1"/>
  <c r="AG295" i="92" s="1"/>
  <c r="U310" i="92"/>
  <c r="V310" i="92" s="1"/>
  <c r="W310" i="92" s="1"/>
  <c r="X310" i="92" s="1"/>
  <c r="Y310" i="92" s="1"/>
  <c r="Z310" i="92" s="1"/>
  <c r="AA310" i="92" s="1"/>
  <c r="AB310" i="92" s="1"/>
  <c r="AC310" i="92" s="1"/>
  <c r="AD310" i="92" s="1"/>
  <c r="AE310" i="92" s="1"/>
  <c r="AF310" i="92" s="1"/>
  <c r="AG310" i="92" s="1"/>
  <c r="U251" i="92"/>
  <c r="V251" i="92" s="1"/>
  <c r="W251" i="92" s="1"/>
  <c r="X251" i="92" s="1"/>
  <c r="Y251" i="92" s="1"/>
  <c r="Z251" i="92" s="1"/>
  <c r="AA251" i="92" s="1"/>
  <c r="AB251" i="92" s="1"/>
  <c r="AC251" i="92" s="1"/>
  <c r="AD251" i="92" s="1"/>
  <c r="AE251" i="92" s="1"/>
  <c r="AF251" i="92" s="1"/>
  <c r="AG251" i="92" s="1"/>
  <c r="U311" i="92"/>
  <c r="V311" i="92" s="1"/>
  <c r="W311" i="92" s="1"/>
  <c r="X311" i="92" s="1"/>
  <c r="Y311" i="92" s="1"/>
  <c r="Z311" i="92" s="1"/>
  <c r="AA311" i="92" s="1"/>
  <c r="AB311" i="92" s="1"/>
  <c r="AC311" i="92" s="1"/>
  <c r="AD311" i="92" s="1"/>
  <c r="AE311" i="92" s="1"/>
  <c r="AF311" i="92" s="1"/>
  <c r="AG311" i="92" s="1"/>
  <c r="U459" i="92"/>
  <c r="V459" i="92"/>
  <c r="W459" i="92" s="1"/>
  <c r="X459" i="92" s="1"/>
  <c r="Y459" i="92" s="1"/>
  <c r="Z459" i="92" s="1"/>
  <c r="AA459" i="92" s="1"/>
  <c r="AB459" i="92" s="1"/>
  <c r="AC459" i="92" s="1"/>
  <c r="AD459" i="92" s="1"/>
  <c r="AE459" i="92" s="1"/>
  <c r="AF459" i="92" s="1"/>
  <c r="AG459" i="92" s="1"/>
  <c r="O231" i="92"/>
  <c r="L318" i="89"/>
  <c r="L336" i="89"/>
  <c r="L180" i="89"/>
  <c r="L146" i="89"/>
  <c r="L518" i="89"/>
  <c r="L18" i="89"/>
  <c r="L100" i="89"/>
  <c r="L161" i="89"/>
  <c r="L56" i="89"/>
  <c r="T174" i="56"/>
  <c r="T99" i="56"/>
  <c r="T96" i="56"/>
  <c r="T93" i="56"/>
  <c r="T147" i="56" s="1"/>
  <c r="V124" i="56"/>
  <c r="W125" i="56" s="1"/>
  <c r="P560" i="56"/>
  <c r="Z166" i="57"/>
  <c r="Y166" i="57"/>
  <c r="V296" i="92"/>
  <c r="M10" i="57"/>
  <c r="W18" i="56"/>
  <c r="P16" i="47"/>
  <c r="P159" i="47" s="1"/>
  <c r="S9" i="90"/>
  <c r="T9" i="90" s="1"/>
  <c r="U9" i="90" s="1"/>
  <c r="T132" i="90"/>
  <c r="U132" i="90" s="1"/>
  <c r="U158" i="90"/>
  <c r="T25" i="90"/>
  <c r="U25" i="90" s="1"/>
  <c r="O590" i="90"/>
  <c r="O10" i="57"/>
  <c r="F476" i="56"/>
  <c r="Q476" i="56" s="1"/>
  <c r="O452" i="56"/>
  <c r="P174" i="56"/>
  <c r="K112" i="64"/>
  <c r="X473" i="64"/>
  <c r="K65" i="64"/>
  <c r="K113" i="64" s="1"/>
  <c r="J501" i="64"/>
  <c r="K519" i="64" s="1"/>
  <c r="K539" i="64" s="1"/>
  <c r="K541" i="64" s="1"/>
  <c r="K175" i="64" s="1"/>
  <c r="K483" i="64"/>
  <c r="K249" i="64" s="1"/>
  <c r="K49" i="64"/>
  <c r="K46" i="64" s="1"/>
  <c r="U83" i="57"/>
  <c r="AA83" i="57" s="1"/>
  <c r="Q482" i="90"/>
  <c r="AK633" i="90"/>
  <c r="O109" i="56"/>
  <c r="P113" i="56"/>
  <c r="Q113" i="56" s="1"/>
  <c r="M460" i="56"/>
  <c r="M486" i="56" s="1"/>
  <c r="L486" i="56"/>
  <c r="X160" i="56"/>
  <c r="Y160" i="56" s="1"/>
  <c r="N109" i="56"/>
  <c r="Q56" i="56"/>
  <c r="V595" i="56"/>
  <c r="V596" i="56" s="1"/>
  <c r="K566" i="56"/>
  <c r="N497" i="90"/>
  <c r="O497" i="90" s="1"/>
  <c r="P497" i="90" s="1"/>
  <c r="Q497" i="90" s="1"/>
  <c r="R497" i="90" s="1"/>
  <c r="V497" i="90" s="1"/>
  <c r="W497" i="90" s="1"/>
  <c r="X497" i="90" s="1"/>
  <c r="Y497" i="90" s="1"/>
  <c r="Z497" i="90" s="1"/>
  <c r="AA497" i="90" s="1"/>
  <c r="AB497" i="90" s="1"/>
  <c r="AC497" i="90" s="1"/>
  <c r="AD497" i="90" s="1"/>
  <c r="AE497" i="90" s="1"/>
  <c r="AF497" i="90" s="1"/>
  <c r="AG497" i="90" s="1"/>
  <c r="AH497" i="90" s="1"/>
  <c r="AI497" i="90" s="1"/>
  <c r="AJ497" i="90" s="1"/>
  <c r="AK497" i="90" s="1"/>
  <c r="AL497" i="90" s="1"/>
  <c r="AM497" i="90" s="1"/>
  <c r="AN497" i="90" s="1"/>
  <c r="AO497" i="90" s="1"/>
  <c r="AP497" i="90" s="1"/>
  <c r="AQ497" i="90" s="1"/>
  <c r="AR497" i="90" s="1"/>
  <c r="AS497" i="90" s="1"/>
  <c r="AT497" i="90" s="1"/>
  <c r="AU497" i="90" s="1"/>
  <c r="R171" i="57"/>
  <c r="V328" i="64"/>
  <c r="W328" i="64" s="1"/>
  <c r="X328" i="64" s="1"/>
  <c r="Y328" i="64" s="1"/>
  <c r="Z328" i="64" s="1"/>
  <c r="F394" i="64"/>
  <c r="G394" i="64" s="1"/>
  <c r="L372" i="64"/>
  <c r="Y386" i="64"/>
  <c r="U18" i="64"/>
  <c r="Z386" i="64"/>
  <c r="U386" i="64"/>
  <c r="L386" i="64"/>
  <c r="P386" i="64"/>
  <c r="U330" i="64"/>
  <c r="K408" i="64"/>
  <c r="U473" i="64"/>
  <c r="M423" i="56"/>
  <c r="L363" i="56"/>
  <c r="M363" i="56" s="1"/>
  <c r="N363" i="56" s="1"/>
  <c r="O363" i="56" s="1"/>
  <c r="P363" i="56" s="1"/>
  <c r="Q363" i="56" s="1"/>
  <c r="U363" i="56" s="1"/>
  <c r="V38" i="56"/>
  <c r="V50" i="56" s="1"/>
  <c r="T407" i="56"/>
  <c r="M408" i="56"/>
  <c r="N408" i="56" s="1"/>
  <c r="O408" i="56" s="1"/>
  <c r="P408" i="56" s="1"/>
  <c r="Q408" i="56" s="1"/>
  <c r="W53" i="56"/>
  <c r="K378" i="56"/>
  <c r="U479" i="56"/>
  <c r="K467" i="56"/>
  <c r="P467" i="56"/>
  <c r="Q467" i="56"/>
  <c r="N460" i="56"/>
  <c r="N486" i="56" s="1"/>
  <c r="X53" i="56"/>
  <c r="Y53" i="56" s="1"/>
  <c r="P356" i="56"/>
  <c r="P366" i="47"/>
  <c r="M471" i="90"/>
  <c r="T218" i="90"/>
  <c r="U218" i="90" s="1"/>
  <c r="S52" i="47"/>
  <c r="S73" i="47" s="1"/>
  <c r="S85" i="47" s="1"/>
  <c r="N10" i="57"/>
  <c r="V146" i="47"/>
  <c r="W146" i="47" s="1"/>
  <c r="X146" i="47" s="1"/>
  <c r="Y146" i="47" s="1"/>
  <c r="Q73" i="57"/>
  <c r="P73" i="57"/>
  <c r="P163" i="57"/>
  <c r="M526" i="80"/>
  <c r="O135" i="80"/>
  <c r="O174" i="80"/>
  <c r="O171" i="80"/>
  <c r="O262" i="80" s="1"/>
  <c r="N428" i="80"/>
  <c r="M154" i="80"/>
  <c r="M124" i="80"/>
  <c r="O102" i="80"/>
  <c r="N102" i="80"/>
  <c r="N663" i="80"/>
  <c r="N679" i="80"/>
  <c r="M102" i="80"/>
  <c r="M663" i="80"/>
  <c r="M679" i="80" s="1"/>
  <c r="O132" i="80"/>
  <c r="X41" i="64"/>
  <c r="Y41" i="64" s="1"/>
  <c r="Z41" i="64" s="1"/>
  <c r="L150" i="64"/>
  <c r="L191" i="64" s="1"/>
  <c r="L221" i="64" s="1"/>
  <c r="L272" i="64" s="1"/>
  <c r="L320" i="64" s="1"/>
  <c r="L366" i="64" s="1"/>
  <c r="L420" i="64" s="1"/>
  <c r="L469" i="64" s="1"/>
  <c r="L512" i="64" s="1"/>
  <c r="L482" i="64"/>
  <c r="L243" i="64"/>
  <c r="L116" i="64"/>
  <c r="L155" i="64" s="1"/>
  <c r="K245" i="64"/>
  <c r="L245" i="64"/>
  <c r="L65" i="64"/>
  <c r="L113" i="64" s="1"/>
  <c r="M518" i="64"/>
  <c r="K99" i="64"/>
  <c r="L99" i="64"/>
  <c r="L124" i="64"/>
  <c r="L156" i="64" s="1"/>
  <c r="N146" i="79"/>
  <c r="O143" i="79"/>
  <c r="Q118" i="64"/>
  <c r="Q164" i="47"/>
  <c r="I122" i="89"/>
  <c r="I126" i="89" s="1"/>
  <c r="F29" i="89"/>
  <c r="I512" i="89"/>
  <c r="G36" i="89"/>
  <c r="M340" i="89"/>
  <c r="X13" i="57"/>
  <c r="F267" i="89"/>
  <c r="H238" i="89"/>
  <c r="I221" i="89"/>
  <c r="J28" i="89"/>
  <c r="K31" i="89"/>
  <c r="V28" i="57"/>
  <c r="W20" i="57"/>
  <c r="I317" i="89"/>
  <c r="I321" i="89" s="1"/>
  <c r="J122" i="89"/>
  <c r="H341" i="89"/>
  <c r="H355" i="89"/>
  <c r="H325" i="89"/>
  <c r="H258" i="89"/>
  <c r="J225" i="89"/>
  <c r="K225" i="89" s="1"/>
  <c r="L225" i="89" s="1"/>
  <c r="J216" i="89"/>
  <c r="J222" i="89" s="1"/>
  <c r="J320" i="89"/>
  <c r="J241" i="89"/>
  <c r="K241" i="89" s="1"/>
  <c r="L241" i="89" s="1"/>
  <c r="M239" i="89"/>
  <c r="G325" i="89"/>
  <c r="G341" i="89"/>
  <c r="H414" i="89"/>
  <c r="H418" i="89" s="1"/>
  <c r="G533" i="89"/>
  <c r="H141" i="89"/>
  <c r="M410" i="89"/>
  <c r="M416" i="89" s="1"/>
  <c r="H488" i="89"/>
  <c r="I488" i="89" s="1"/>
  <c r="T91" i="92"/>
  <c r="H547" i="89"/>
  <c r="K222" i="89"/>
  <c r="L216" i="89"/>
  <c r="L222" i="89" s="1"/>
  <c r="AT633" i="90"/>
  <c r="AT383" i="90" s="1"/>
  <c r="AT386" i="90" s="1"/>
  <c r="AT387" i="90" s="1"/>
  <c r="AT391" i="90" s="1"/>
  <c r="M567" i="80"/>
  <c r="O526" i="80"/>
  <c r="F542" i="80"/>
  <c r="O542" i="80" s="1"/>
  <c r="O428" i="80"/>
  <c r="N317" i="80"/>
  <c r="N424" i="80" s="1"/>
  <c r="L317" i="80"/>
  <c r="L424" i="80"/>
  <c r="N58" i="80"/>
  <c r="L428" i="80"/>
  <c r="M106" i="80"/>
  <c r="M139" i="80"/>
  <c r="M169" i="80"/>
  <c r="L526" i="80"/>
  <c r="T452" i="56"/>
  <c r="V38" i="64"/>
  <c r="W38" i="64" s="1"/>
  <c r="X38" i="64" s="1"/>
  <c r="Y38" i="64" s="1"/>
  <c r="Z38" i="64" s="1"/>
  <c r="U523" i="64"/>
  <c r="V523" i="64"/>
  <c r="W523" i="64"/>
  <c r="X523" i="64" s="1"/>
  <c r="Y523" i="64" s="1"/>
  <c r="Z523" i="64" s="1"/>
  <c r="M425" i="64"/>
  <c r="M300" i="64" s="1"/>
  <c r="P380" i="64"/>
  <c r="M380" i="64"/>
  <c r="L380" i="64"/>
  <c r="Y380" i="64"/>
  <c r="X380" i="64"/>
  <c r="W380" i="64"/>
  <c r="L516" i="64"/>
  <c r="Q44" i="64"/>
  <c r="R40" i="64"/>
  <c r="U40" i="64" s="1"/>
  <c r="U44" i="64" s="1"/>
  <c r="V524" i="64"/>
  <c r="W524" i="64" s="1"/>
  <c r="X524" i="64" s="1"/>
  <c r="Y524" i="64" s="1"/>
  <c r="Z524" i="64" s="1"/>
  <c r="U524" i="64"/>
  <c r="U531" i="64" s="1"/>
  <c r="N12" i="64"/>
  <c r="N138" i="64"/>
  <c r="U138" i="64"/>
  <c r="U157" i="64" s="1"/>
  <c r="S157" i="64" s="1"/>
  <c r="T157" i="64" s="1"/>
  <c r="U48" i="64"/>
  <c r="U139" i="64"/>
  <c r="M532" i="64"/>
  <c r="U345" i="64"/>
  <c r="V345" i="64"/>
  <c r="W345" i="64" s="1"/>
  <c r="X345" i="64" s="1"/>
  <c r="Y345" i="64" s="1"/>
  <c r="Z345" i="64" s="1"/>
  <c r="O12" i="64"/>
  <c r="O52" i="64" s="1"/>
  <c r="O14" i="64"/>
  <c r="O138" i="64"/>
  <c r="O139" i="64"/>
  <c r="O157" i="64" s="1"/>
  <c r="O48" i="64"/>
  <c r="U42" i="64"/>
  <c r="V42" i="64"/>
  <c r="W42" i="64" s="1"/>
  <c r="X42" i="64" s="1"/>
  <c r="Y42" i="64" s="1"/>
  <c r="Z42" i="64" s="1"/>
  <c r="K300" i="64"/>
  <c r="K473" i="64"/>
  <c r="W45" i="64"/>
  <c r="W46" i="64" s="1"/>
  <c r="W49" i="64" s="1"/>
  <c r="Q48" i="64"/>
  <c r="R139" i="64"/>
  <c r="N9" i="64"/>
  <c r="N150" i="64" s="1"/>
  <c r="N191" i="64" s="1"/>
  <c r="N221" i="64" s="1"/>
  <c r="N272" i="64" s="1"/>
  <c r="N320" i="64" s="1"/>
  <c r="N366" i="64" s="1"/>
  <c r="N420" i="64" s="1"/>
  <c r="N469" i="64" s="1"/>
  <c r="N512" i="64" s="1"/>
  <c r="V210" i="64"/>
  <c r="W210" i="64" s="1"/>
  <c r="X210" i="64" s="1"/>
  <c r="Y210" i="64" s="1"/>
  <c r="Z210" i="64" s="1"/>
  <c r="V327" i="64"/>
  <c r="W327" i="64"/>
  <c r="X327" i="64" s="1"/>
  <c r="Y327" i="64" s="1"/>
  <c r="Z327" i="64" s="1"/>
  <c r="U327" i="64"/>
  <c r="L112" i="64"/>
  <c r="L154" i="64"/>
  <c r="U329" i="64"/>
  <c r="M157" i="64"/>
  <c r="L347" i="64"/>
  <c r="L229" i="64"/>
  <c r="K244" i="64"/>
  <c r="K230" i="64"/>
  <c r="K155" i="64"/>
  <c r="W34" i="64"/>
  <c r="W37" i="64" s="1"/>
  <c r="V46" i="64"/>
  <c r="V49" i="64" s="1"/>
  <c r="R167" i="64"/>
  <c r="J120" i="64"/>
  <c r="R44" i="64"/>
  <c r="M112" i="64"/>
  <c r="N65" i="64"/>
  <c r="N113" i="64" s="1"/>
  <c r="Q373" i="64"/>
  <c r="G399" i="64" s="1"/>
  <c r="T232" i="56"/>
  <c r="Q173" i="56"/>
  <c r="P95" i="56"/>
  <c r="Q66" i="64" s="1"/>
  <c r="Q174" i="56"/>
  <c r="Q240" i="56" s="1"/>
  <c r="M167" i="79"/>
  <c r="M146" i="79"/>
  <c r="N174" i="56"/>
  <c r="N240" i="56"/>
  <c r="U178" i="56"/>
  <c r="V178" i="56" s="1"/>
  <c r="N448" i="56"/>
  <c r="M152" i="56"/>
  <c r="N151" i="56"/>
  <c r="T207" i="56"/>
  <c r="Q161" i="56"/>
  <c r="S230" i="56"/>
  <c r="U104" i="56"/>
  <c r="Q175" i="80"/>
  <c r="M653" i="90"/>
  <c r="T760" i="90" s="1"/>
  <c r="U760" i="90" s="1"/>
  <c r="G90" i="89"/>
  <c r="M73" i="89"/>
  <c r="U159" i="56"/>
  <c r="V159" i="56" s="1"/>
  <c r="V161" i="56" s="1"/>
  <c r="N239" i="56"/>
  <c r="Q52" i="92"/>
  <c r="L205" i="89"/>
  <c r="L452" i="56"/>
  <c r="U101" i="56"/>
  <c r="M452" i="56"/>
  <c r="X101" i="56"/>
  <c r="Q101" i="64"/>
  <c r="U373" i="64"/>
  <c r="T238" i="56"/>
  <c r="R238" i="56" s="1"/>
  <c r="S238" i="56" s="1"/>
  <c r="F473" i="56"/>
  <c r="V473" i="56" s="1"/>
  <c r="L361" i="56"/>
  <c r="L301" i="89"/>
  <c r="W101" i="56"/>
  <c r="Y101" i="56"/>
  <c r="P63" i="92"/>
  <c r="X124" i="56"/>
  <c r="X125" i="56" s="1"/>
  <c r="Q95" i="56"/>
  <c r="U95" i="56" s="1"/>
  <c r="O101" i="64"/>
  <c r="O151" i="56"/>
  <c r="P151" i="56"/>
  <c r="O299" i="79"/>
  <c r="U67" i="64"/>
  <c r="X88" i="57"/>
  <c r="U101" i="64"/>
  <c r="N96" i="64"/>
  <c r="N133" i="64" s="1"/>
  <c r="N99" i="64"/>
  <c r="X166" i="57"/>
  <c r="AA84" i="57"/>
  <c r="N143" i="79"/>
  <c r="N100" i="79"/>
  <c r="N172" i="79"/>
  <c r="N163" i="79"/>
  <c r="N181" i="79"/>
  <c r="T205" i="56"/>
  <c r="R119" i="64"/>
  <c r="U206" i="56"/>
  <c r="V206" i="56" s="1"/>
  <c r="N118" i="64"/>
  <c r="Y477" i="56"/>
  <c r="Y476" i="56"/>
  <c r="P476" i="56"/>
  <c r="M147" i="56"/>
  <c r="P101" i="64"/>
  <c r="U202" i="56"/>
  <c r="V202" i="56" s="1"/>
  <c r="Q96" i="64"/>
  <c r="Q133" i="64" s="1"/>
  <c r="Q353" i="64" s="1"/>
  <c r="Q244" i="64" s="1"/>
  <c r="O160" i="56"/>
  <c r="N248" i="79"/>
  <c r="K345" i="89"/>
  <c r="V175" i="56"/>
  <c r="N131" i="64"/>
  <c r="Q230" i="56"/>
  <c r="N133" i="79"/>
  <c r="O133" i="79"/>
  <c r="U209" i="56"/>
  <c r="O104" i="79"/>
  <c r="N49" i="57"/>
  <c r="N77" i="57" s="1"/>
  <c r="Q88" i="92"/>
  <c r="S88" i="92" s="1"/>
  <c r="T88" i="92" s="1"/>
  <c r="U166" i="47"/>
  <c r="V166" i="47" s="1"/>
  <c r="Q207" i="56"/>
  <c r="O96" i="64"/>
  <c r="O133" i="64" s="1"/>
  <c r="O353" i="64" s="1"/>
  <c r="O244" i="64" s="1"/>
  <c r="N104" i="79"/>
  <c r="Q593" i="90"/>
  <c r="Q461" i="90"/>
  <c r="U166" i="57"/>
  <c r="O163" i="79"/>
  <c r="U16" i="56"/>
  <c r="R22" i="56"/>
  <c r="R25" i="56" s="1"/>
  <c r="R26" i="56" s="1"/>
  <c r="R27" i="56" s="1"/>
  <c r="R28" i="56" s="1"/>
  <c r="L390" i="80"/>
  <c r="M637" i="80" s="1"/>
  <c r="M638" i="80" s="1"/>
  <c r="M440" i="80" s="1"/>
  <c r="M183" i="80"/>
  <c r="M142" i="80"/>
  <c r="AQ633" i="90"/>
  <c r="N301" i="80"/>
  <c r="M148" i="80"/>
  <c r="M174" i="80"/>
  <c r="M171" i="80" s="1"/>
  <c r="M262" i="80" s="1"/>
  <c r="M179" i="80"/>
  <c r="M58" i="80"/>
  <c r="L135" i="80"/>
  <c r="O121" i="80"/>
  <c r="N183" i="80"/>
  <c r="N179" i="80"/>
  <c r="N274" i="80" s="1"/>
  <c r="M656" i="90"/>
  <c r="M53" i="79"/>
  <c r="M121" i="80"/>
  <c r="M17" i="80"/>
  <c r="AA633" i="90"/>
  <c r="AA383" i="90" s="1"/>
  <c r="M165" i="80"/>
  <c r="M145" i="80"/>
  <c r="N135" i="80"/>
  <c r="N540" i="80"/>
  <c r="N121" i="80"/>
  <c r="N154" i="80"/>
  <c r="AN633" i="90"/>
  <c r="AN383" i="90" s="1"/>
  <c r="AG633" i="90"/>
  <c r="AG526" i="90" s="1"/>
  <c r="AG530" i="90" s="1"/>
  <c r="M20" i="80"/>
  <c r="M250" i="80" s="1"/>
  <c r="AI633" i="90"/>
  <c r="AI670" i="90" s="1"/>
  <c r="N157" i="80"/>
  <c r="M428" i="80"/>
  <c r="AL633" i="90"/>
  <c r="AL383" i="90" s="1"/>
  <c r="N145" i="80"/>
  <c r="O124" i="80"/>
  <c r="N132" i="80"/>
  <c r="X633" i="90"/>
  <c r="N112" i="80"/>
  <c r="N124" i="80"/>
  <c r="N638" i="80"/>
  <c r="N440" i="80" s="1"/>
  <c r="Z633" i="90"/>
  <c r="M135" i="80"/>
  <c r="N165" i="80"/>
  <c r="AC633" i="90"/>
  <c r="N174" i="80"/>
  <c r="N171" i="80" s="1"/>
  <c r="N262" i="80" s="1"/>
  <c r="N266" i="80" s="1"/>
  <c r="N268" i="80" s="1"/>
  <c r="N797" i="90"/>
  <c r="M470" i="90"/>
  <c r="N795" i="90"/>
  <c r="O795" i="90" s="1"/>
  <c r="P795" i="90" s="1"/>
  <c r="Q795" i="90" s="1"/>
  <c r="R795" i="90" s="1"/>
  <c r="N468" i="90"/>
  <c r="O468" i="90" s="1"/>
  <c r="Q462" i="90"/>
  <c r="M116" i="80"/>
  <c r="AQ671" i="90"/>
  <c r="AI526" i="90"/>
  <c r="AI530" i="90" s="1"/>
  <c r="AA669" i="90"/>
  <c r="U84" i="64"/>
  <c r="U131" i="64" s="1"/>
  <c r="Q3" i="57"/>
  <c r="Z398" i="64"/>
  <c r="U166" i="64"/>
  <c r="S166" i="64" s="1"/>
  <c r="T166" i="64" s="1"/>
  <c r="U208" i="56"/>
  <c r="M426" i="79"/>
  <c r="M524" i="79"/>
  <c r="P166" i="64"/>
  <c r="B12" i="95"/>
  <c r="B13" i="95" s="1"/>
  <c r="B14" i="95" s="1"/>
  <c r="B15" i="95" s="1"/>
  <c r="B16" i="95" s="1"/>
  <c r="B17" i="95" s="1"/>
  <c r="B18" i="95" s="1"/>
  <c r="B19" i="95" s="1"/>
  <c r="B20" i="95" s="1"/>
  <c r="S228" i="56"/>
  <c r="O46" i="80"/>
  <c r="O12" i="80"/>
  <c r="O200" i="80" s="1"/>
  <c r="M200" i="80"/>
  <c r="M540" i="80"/>
  <c r="O540" i="80"/>
  <c r="N645" i="90"/>
  <c r="N642" i="90"/>
  <c r="N647" i="90"/>
  <c r="M726" i="90" s="1"/>
  <c r="N726" i="90" s="1"/>
  <c r="O726" i="90" s="1"/>
  <c r="P726" i="90" s="1"/>
  <c r="L200" i="80"/>
  <c r="Q172" i="80"/>
  <c r="J498" i="88"/>
  <c r="Q498" i="88" s="1"/>
  <c r="M328" i="88"/>
  <c r="M332" i="88" s="1"/>
  <c r="Y671" i="90"/>
  <c r="L148" i="80"/>
  <c r="L124" i="80"/>
  <c r="L106" i="80"/>
  <c r="L157" i="80"/>
  <c r="L169" i="80"/>
  <c r="N353" i="64"/>
  <c r="N244" i="64" s="1"/>
  <c r="R397" i="64"/>
  <c r="Q397" i="64"/>
  <c r="X397" i="64"/>
  <c r="S286" i="64"/>
  <c r="S229" i="56"/>
  <c r="R366" i="47"/>
  <c r="Q167" i="47"/>
  <c r="R164" i="47"/>
  <c r="V48" i="56"/>
  <c r="W48" i="56" s="1"/>
  <c r="X48" i="56" s="1"/>
  <c r="Y48" i="56" s="1"/>
  <c r="S48" i="56"/>
  <c r="T48" i="56" s="1"/>
  <c r="R23" i="56"/>
  <c r="R29" i="56"/>
  <c r="R41" i="56"/>
  <c r="R38" i="56"/>
  <c r="R56" i="56" s="1"/>
  <c r="U191" i="47"/>
  <c r="V191" i="47" s="1"/>
  <c r="S190" i="47"/>
  <c r="M383" i="47"/>
  <c r="L86" i="47"/>
  <c r="S180" i="47"/>
  <c r="S198" i="47"/>
  <c r="S178" i="47"/>
  <c r="S176" i="47"/>
  <c r="S182" i="47"/>
  <c r="L317" i="89" l="1"/>
  <c r="I247" i="89"/>
  <c r="H317" i="89"/>
  <c r="H321" i="89" s="1"/>
  <c r="J223" i="89"/>
  <c r="K223" i="89" s="1"/>
  <c r="L223" i="89" s="1"/>
  <c r="M143" i="89"/>
  <c r="I530" i="89"/>
  <c r="I434" i="89"/>
  <c r="I240" i="89"/>
  <c r="H122" i="89"/>
  <c r="H126" i="89" s="1"/>
  <c r="I415" i="89"/>
  <c r="F272" i="89"/>
  <c r="F279" i="89" s="1"/>
  <c r="F281" i="89" s="1"/>
  <c r="Y51" i="57"/>
  <c r="G547" i="89"/>
  <c r="I28" i="89"/>
  <c r="K29" i="89"/>
  <c r="L11" i="89"/>
  <c r="L239" i="89"/>
  <c r="L238" i="89"/>
  <c r="G451" i="89"/>
  <c r="J242" i="89"/>
  <c r="K242" i="89" s="1"/>
  <c r="L242" i="89" s="1"/>
  <c r="Y20" i="57"/>
  <c r="L422" i="89"/>
  <c r="R28" i="57"/>
  <c r="H510" i="89"/>
  <c r="H514" i="89" s="1"/>
  <c r="F28" i="89"/>
  <c r="J338" i="89"/>
  <c r="K338" i="89" s="1"/>
  <c r="L338" i="89" s="1"/>
  <c r="K150" i="89"/>
  <c r="L495" i="89"/>
  <c r="L526" i="89" s="1"/>
  <c r="L529" i="89" s="1"/>
  <c r="X51" i="57"/>
  <c r="L12" i="89"/>
  <c r="J143" i="89"/>
  <c r="J29" i="89"/>
  <c r="L451" i="89"/>
  <c r="H12" i="89"/>
  <c r="G346" i="89"/>
  <c r="G347" i="89" s="1"/>
  <c r="F37" i="89"/>
  <c r="F70" i="89" s="1"/>
  <c r="H518" i="89"/>
  <c r="M501" i="89"/>
  <c r="M511" i="89" s="1"/>
  <c r="H243" i="89"/>
  <c r="M317" i="89"/>
  <c r="M321" i="89" s="1"/>
  <c r="G28" i="89"/>
  <c r="L31" i="89"/>
  <c r="M339" i="89"/>
  <c r="G243" i="89"/>
  <c r="F30" i="89"/>
  <c r="H28" i="89"/>
  <c r="M12" i="89"/>
  <c r="H11" i="89"/>
  <c r="M31" i="89"/>
  <c r="L303" i="89"/>
  <c r="Q345" i="92"/>
  <c r="S345" i="92" s="1"/>
  <c r="T345" i="92" s="1"/>
  <c r="P196" i="92"/>
  <c r="P195" i="92"/>
  <c r="AA37" i="92"/>
  <c r="AA12" i="92" s="1"/>
  <c r="P37" i="92"/>
  <c r="P12" i="92" s="1"/>
  <c r="P99" i="92" s="1"/>
  <c r="P126" i="92" s="1"/>
  <c r="U198" i="92"/>
  <c r="V198" i="92" s="1"/>
  <c r="W198" i="92" s="1"/>
  <c r="X198" i="92" s="1"/>
  <c r="Y198" i="92" s="1"/>
  <c r="Z198" i="92" s="1"/>
  <c r="AA198" i="92" s="1"/>
  <c r="AB198" i="92" s="1"/>
  <c r="AC198" i="92" s="1"/>
  <c r="AD198" i="92" s="1"/>
  <c r="AE198" i="92" s="1"/>
  <c r="AF198" i="92" s="1"/>
  <c r="AG198" i="92" s="1"/>
  <c r="U463" i="92"/>
  <c r="V463" i="92" s="1"/>
  <c r="W463" i="92" s="1"/>
  <c r="X463" i="92" s="1"/>
  <c r="Y463" i="92" s="1"/>
  <c r="Z463" i="92" s="1"/>
  <c r="AA463" i="92" s="1"/>
  <c r="AB463" i="92" s="1"/>
  <c r="AC463" i="92" s="1"/>
  <c r="AD463" i="92" s="1"/>
  <c r="AE463" i="92" s="1"/>
  <c r="AF463" i="92" s="1"/>
  <c r="AG463" i="92" s="1"/>
  <c r="Q347" i="92"/>
  <c r="S347" i="92" s="1"/>
  <c r="T347" i="92" s="1"/>
  <c r="P252" i="92"/>
  <c r="AC365" i="92"/>
  <c r="Y360" i="92"/>
  <c r="Y372" i="92" s="1"/>
  <c r="Z124" i="92"/>
  <c r="Q37" i="92"/>
  <c r="S37" i="92" s="1"/>
  <c r="T37" i="92" s="1"/>
  <c r="T12" i="92" s="1"/>
  <c r="AG37" i="92"/>
  <c r="Y37" i="92"/>
  <c r="U250" i="92"/>
  <c r="Q252" i="92"/>
  <c r="P131" i="92"/>
  <c r="Q33" i="57" s="1"/>
  <c r="AF359" i="92"/>
  <c r="P87" i="92"/>
  <c r="P119" i="92" s="1"/>
  <c r="W37" i="92"/>
  <c r="P13" i="92"/>
  <c r="Y124" i="92"/>
  <c r="U211" i="92"/>
  <c r="V211" i="92" s="1"/>
  <c r="W211" i="92" s="1"/>
  <c r="X211" i="92" s="1"/>
  <c r="Y211" i="92" s="1"/>
  <c r="Z211" i="92" s="1"/>
  <c r="AA211" i="92" s="1"/>
  <c r="AB211" i="92" s="1"/>
  <c r="AC211" i="92" s="1"/>
  <c r="AD211" i="92" s="1"/>
  <c r="AE211" i="92" s="1"/>
  <c r="AF211" i="92" s="1"/>
  <c r="AG211" i="92" s="1"/>
  <c r="U309" i="92"/>
  <c r="V309" i="92" s="1"/>
  <c r="W309" i="92" s="1"/>
  <c r="X309" i="92" s="1"/>
  <c r="Y309" i="92" s="1"/>
  <c r="Z309" i="92" s="1"/>
  <c r="AA309" i="92" s="1"/>
  <c r="AB309" i="92" s="1"/>
  <c r="AC309" i="92" s="1"/>
  <c r="AD309" i="92" s="1"/>
  <c r="AE309" i="92" s="1"/>
  <c r="AF309" i="92" s="1"/>
  <c r="AG309" i="92" s="1"/>
  <c r="Q469" i="92"/>
  <c r="S469" i="92" s="1"/>
  <c r="T469" i="92" s="1"/>
  <c r="P237" i="92"/>
  <c r="Q454" i="92"/>
  <c r="S454" i="92" s="1"/>
  <c r="T454" i="92" s="1"/>
  <c r="AE359" i="92"/>
  <c r="AG124" i="92"/>
  <c r="V124" i="92"/>
  <c r="AD37" i="92"/>
  <c r="U454" i="92"/>
  <c r="U468" i="92" s="1"/>
  <c r="U308" i="92"/>
  <c r="V308" i="92" s="1"/>
  <c r="W308" i="92" s="1"/>
  <c r="X308" i="92" s="1"/>
  <c r="Y308" i="92" s="1"/>
  <c r="Z308" i="92" s="1"/>
  <c r="AA308" i="92" s="1"/>
  <c r="AB308" i="92" s="1"/>
  <c r="AC308" i="92" s="1"/>
  <c r="AD308" i="92" s="1"/>
  <c r="AE308" i="92" s="1"/>
  <c r="AF308" i="92" s="1"/>
  <c r="AG308" i="92" s="1"/>
  <c r="U477" i="92"/>
  <c r="V477" i="92" s="1"/>
  <c r="W477" i="92" s="1"/>
  <c r="X477" i="92" s="1"/>
  <c r="Y477" i="92" s="1"/>
  <c r="Z477" i="92" s="1"/>
  <c r="AA477" i="92" s="1"/>
  <c r="AB477" i="92" s="1"/>
  <c r="AC477" i="92" s="1"/>
  <c r="AD477" i="92" s="1"/>
  <c r="AE477" i="92" s="1"/>
  <c r="AF477" i="92" s="1"/>
  <c r="AG477" i="92" s="1"/>
  <c r="AG366" i="92"/>
  <c r="AD359" i="92"/>
  <c r="AF124" i="92"/>
  <c r="O36" i="72"/>
  <c r="N37" i="72"/>
  <c r="T28" i="72"/>
  <c r="U28" i="72"/>
  <c r="V28" i="72" s="1"/>
  <c r="W28" i="72" s="1"/>
  <c r="X28" i="72" s="1"/>
  <c r="Y28" i="72" s="1"/>
  <c r="O17" i="72"/>
  <c r="P59" i="72"/>
  <c r="U88" i="57"/>
  <c r="N17" i="72"/>
  <c r="K65" i="72"/>
  <c r="I72" i="72"/>
  <c r="K53" i="72"/>
  <c r="P8" i="57"/>
  <c r="O526" i="56"/>
  <c r="O550" i="56" s="1"/>
  <c r="M406" i="56"/>
  <c r="N406" i="56" s="1"/>
  <c r="N409" i="56" s="1"/>
  <c r="L409" i="56"/>
  <c r="J412" i="56"/>
  <c r="J415" i="56" s="1"/>
  <c r="J419" i="56" s="1"/>
  <c r="J432" i="56"/>
  <c r="J405" i="56"/>
  <c r="S38" i="56"/>
  <c r="S50" i="56" s="1"/>
  <c r="S361" i="56"/>
  <c r="W477" i="56"/>
  <c r="Q147" i="56"/>
  <c r="M104" i="57"/>
  <c r="O460" i="56"/>
  <c r="Y467" i="56"/>
  <c r="K447" i="56"/>
  <c r="K449" i="56" s="1"/>
  <c r="T148" i="56"/>
  <c r="P201" i="56"/>
  <c r="K565" i="56"/>
  <c r="K579" i="56" s="1"/>
  <c r="X477" i="56"/>
  <c r="J39" i="56"/>
  <c r="O51" i="56"/>
  <c r="R21" i="56"/>
  <c r="R19" i="56" s="1"/>
  <c r="R20" i="56" s="1"/>
  <c r="P122" i="56"/>
  <c r="P191" i="56" s="1"/>
  <c r="X467" i="56"/>
  <c r="T539" i="56"/>
  <c r="T372" i="56" s="1"/>
  <c r="K365" i="56"/>
  <c r="K236" i="56"/>
  <c r="K272" i="56" s="1"/>
  <c r="O167" i="56"/>
  <c r="X479" i="56"/>
  <c r="K426" i="56"/>
  <c r="K304" i="56" s="1"/>
  <c r="O164" i="56"/>
  <c r="Q167" i="56"/>
  <c r="K163" i="56"/>
  <c r="K32" i="56" s="1"/>
  <c r="N107" i="57"/>
  <c r="V476" i="56"/>
  <c r="L467" i="56"/>
  <c r="U424" i="56"/>
  <c r="V424" i="56" s="1"/>
  <c r="W424" i="56" s="1"/>
  <c r="X424" i="56" s="1"/>
  <c r="Y424" i="56" s="1"/>
  <c r="P120" i="56"/>
  <c r="P189" i="56" s="1"/>
  <c r="K486" i="56"/>
  <c r="O56" i="56"/>
  <c r="J533" i="56"/>
  <c r="J323" i="56" s="1"/>
  <c r="J378" i="56"/>
  <c r="J365" i="56"/>
  <c r="M109" i="56"/>
  <c r="U146" i="56"/>
  <c r="Q157" i="56"/>
  <c r="V230" i="56"/>
  <c r="O476" i="56"/>
  <c r="X480" i="56"/>
  <c r="P121" i="56"/>
  <c r="P190" i="56" s="1"/>
  <c r="Q188" i="56"/>
  <c r="U402" i="56"/>
  <c r="V402" i="56" s="1"/>
  <c r="W402" i="56" s="1"/>
  <c r="X402" i="56" s="1"/>
  <c r="Y402" i="56" s="1"/>
  <c r="K461" i="56"/>
  <c r="K309" i="56" s="1"/>
  <c r="W479" i="56"/>
  <c r="O288" i="64"/>
  <c r="P288" i="64" s="1"/>
  <c r="Q288" i="64" s="1"/>
  <c r="R288" i="64" s="1"/>
  <c r="V288" i="64" s="1"/>
  <c r="W288" i="64" s="1"/>
  <c r="X288" i="64" s="1"/>
  <c r="Y288" i="64" s="1"/>
  <c r="Z288" i="64" s="1"/>
  <c r="N290" i="64"/>
  <c r="V48" i="64"/>
  <c r="K139" i="64"/>
  <c r="K157" i="64" s="1"/>
  <c r="K153" i="64" s="1"/>
  <c r="K48" i="64"/>
  <c r="M44" i="64"/>
  <c r="L20" i="64"/>
  <c r="L53" i="64" s="1"/>
  <c r="O9" i="64"/>
  <c r="J119" i="64"/>
  <c r="M65" i="64"/>
  <c r="M113" i="64" s="1"/>
  <c r="Q138" i="64"/>
  <c r="Q157" i="64" s="1"/>
  <c r="K20" i="64"/>
  <c r="N139" i="64"/>
  <c r="N157" i="64" s="1"/>
  <c r="Z380" i="64"/>
  <c r="W136" i="64"/>
  <c r="U428" i="64"/>
  <c r="L473" i="64"/>
  <c r="W33" i="64"/>
  <c r="W43" i="64" s="1"/>
  <c r="W47" i="64" s="1"/>
  <c r="W50" i="64" s="1"/>
  <c r="W48" i="64" s="1"/>
  <c r="V343" i="64"/>
  <c r="W343" i="64" s="1"/>
  <c r="X343" i="64" s="1"/>
  <c r="Y343" i="64" s="1"/>
  <c r="Z343" i="64" s="1"/>
  <c r="L378" i="64"/>
  <c r="L381" i="64" s="1"/>
  <c r="U399" i="64"/>
  <c r="V526" i="64"/>
  <c r="W526" i="64" s="1"/>
  <c r="X526" i="64" s="1"/>
  <c r="Y526" i="64" s="1"/>
  <c r="Z526" i="64" s="1"/>
  <c r="U344" i="64"/>
  <c r="U398" i="64"/>
  <c r="X398" i="64"/>
  <c r="U27" i="64"/>
  <c r="N380" i="64"/>
  <c r="R380" i="64"/>
  <c r="K148" i="64"/>
  <c r="K189" i="64" s="1"/>
  <c r="K219" i="64" s="1"/>
  <c r="K270" i="64" s="1"/>
  <c r="K318" i="64" s="1"/>
  <c r="K364" i="64" s="1"/>
  <c r="K390" i="64" s="1"/>
  <c r="F395" i="64"/>
  <c r="F396" i="64" s="1"/>
  <c r="L157" i="64"/>
  <c r="J118" i="64"/>
  <c r="R138" i="64"/>
  <c r="R157" i="64" s="1"/>
  <c r="W35" i="64"/>
  <c r="K286" i="64"/>
  <c r="K290" i="64" s="1"/>
  <c r="Q380" i="64"/>
  <c r="O380" i="64"/>
  <c r="U530" i="64"/>
  <c r="L242" i="64"/>
  <c r="O428" i="64"/>
  <c r="U99" i="57"/>
  <c r="L7" i="64"/>
  <c r="P473" i="64"/>
  <c r="V397" i="64"/>
  <c r="Q164" i="64"/>
  <c r="V43" i="64"/>
  <c r="V47" i="64" s="1"/>
  <c r="V50" i="64" s="1"/>
  <c r="J18" i="57"/>
  <c r="Q290" i="64"/>
  <c r="L164" i="64"/>
  <c r="K373" i="64"/>
  <c r="V380" i="64"/>
  <c r="W473" i="64"/>
  <c r="Z428" i="64"/>
  <c r="N34" i="64"/>
  <c r="P12" i="64"/>
  <c r="R84" i="64"/>
  <c r="R159" i="64" s="1"/>
  <c r="N666" i="79"/>
  <c r="O666" i="79" s="1"/>
  <c r="N539" i="56"/>
  <c r="N372" i="56" s="1"/>
  <c r="Z400" i="64"/>
  <c r="W400" i="64"/>
  <c r="X400" i="64"/>
  <c r="Y400" i="64"/>
  <c r="V400" i="64"/>
  <c r="U400" i="64"/>
  <c r="R400" i="64"/>
  <c r="T157" i="56"/>
  <c r="R96" i="64"/>
  <c r="R133" i="64" s="1"/>
  <c r="R353" i="64" s="1"/>
  <c r="R244" i="64" s="1"/>
  <c r="T101" i="56"/>
  <c r="T160" i="56"/>
  <c r="T239" i="56"/>
  <c r="R239" i="56" s="1"/>
  <c r="S239" i="56" s="1"/>
  <c r="T152" i="56"/>
  <c r="F478" i="56"/>
  <c r="U478" i="56" s="1"/>
  <c r="U124" i="56"/>
  <c r="Q204" i="56"/>
  <c r="Q452" i="56"/>
  <c r="V105" i="56"/>
  <c r="V156" i="56" s="1"/>
  <c r="Q238" i="56"/>
  <c r="Q124" i="56"/>
  <c r="Q125" i="56" s="1"/>
  <c r="Q126" i="56" s="1"/>
  <c r="Q193" i="56" s="1"/>
  <c r="Q232" i="56"/>
  <c r="U97" i="56"/>
  <c r="U149" i="56" s="1"/>
  <c r="U171" i="57"/>
  <c r="Q116" i="64"/>
  <c r="Q155" i="64" s="1"/>
  <c r="Q151" i="56"/>
  <c r="U151" i="56" s="1"/>
  <c r="V151" i="56" s="1"/>
  <c r="W151" i="56" s="1"/>
  <c r="X151" i="56" s="1"/>
  <c r="Y151" i="56" s="1"/>
  <c r="P240" i="56"/>
  <c r="Y399" i="64"/>
  <c r="X399" i="64"/>
  <c r="U477" i="56"/>
  <c r="P157" i="56"/>
  <c r="P154" i="56" s="1"/>
  <c r="P229" i="56" s="1"/>
  <c r="P148" i="56"/>
  <c r="P142" i="56" s="1"/>
  <c r="P361" i="56"/>
  <c r="P101" i="56"/>
  <c r="Q68" i="64" s="1"/>
  <c r="P452" i="56"/>
  <c r="P160" i="56"/>
  <c r="Q97" i="64"/>
  <c r="M516" i="64"/>
  <c r="M530" i="64" s="1"/>
  <c r="N516" i="64"/>
  <c r="N530" i="64" s="1"/>
  <c r="O161" i="56"/>
  <c r="O154" i="56" s="1"/>
  <c r="N173" i="56"/>
  <c r="Y398" i="64"/>
  <c r="P173" i="56"/>
  <c r="P169" i="56" s="1"/>
  <c r="M20" i="47"/>
  <c r="O290" i="64"/>
  <c r="O147" i="56"/>
  <c r="R398" i="64"/>
  <c r="N147" i="56"/>
  <c r="O101" i="56"/>
  <c r="P68" i="64" s="1"/>
  <c r="M489" i="64"/>
  <c r="M297" i="64" s="1"/>
  <c r="M95" i="57" s="1"/>
  <c r="O286" i="64"/>
  <c r="M365" i="56"/>
  <c r="N157" i="56"/>
  <c r="N154" i="56" s="1"/>
  <c r="N229" i="56" s="1"/>
  <c r="O174" i="56"/>
  <c r="O169" i="56" s="1"/>
  <c r="M243" i="64"/>
  <c r="M242" i="64" s="1"/>
  <c r="M246" i="64" s="1"/>
  <c r="O524" i="79"/>
  <c r="F540" i="79"/>
  <c r="O540" i="79" s="1"/>
  <c r="N159" i="79"/>
  <c r="N250" i="79" s="1"/>
  <c r="N254" i="79" s="1"/>
  <c r="N256" i="79" s="1"/>
  <c r="F538" i="79"/>
  <c r="N538" i="79" s="1"/>
  <c r="O657" i="79"/>
  <c r="P566" i="79"/>
  <c r="Q306" i="79"/>
  <c r="M230" i="80"/>
  <c r="M623" i="80"/>
  <c r="I384" i="80"/>
  <c r="M97" i="80"/>
  <c r="M202" i="80" s="1"/>
  <c r="P442" i="80"/>
  <c r="Q444" i="80"/>
  <c r="O614" i="80"/>
  <c r="R362" i="80"/>
  <c r="N541" i="80"/>
  <c r="R511" i="80"/>
  <c r="P220" i="80"/>
  <c r="P179" i="80"/>
  <c r="P274" i="80" s="1"/>
  <c r="Q308" i="80"/>
  <c r="Q384" i="80"/>
  <c r="Q560" i="80"/>
  <c r="K677" i="80"/>
  <c r="Q220" i="80"/>
  <c r="Q226" i="80" s="1"/>
  <c r="K310" i="80"/>
  <c r="K417" i="80" s="1"/>
  <c r="S308" i="80"/>
  <c r="R418" i="80"/>
  <c r="P20" i="80"/>
  <c r="P250" i="80" s="1"/>
  <c r="K515" i="80"/>
  <c r="K517" i="80" s="1"/>
  <c r="N270" i="80"/>
  <c r="L444" i="80"/>
  <c r="Q610" i="80"/>
  <c r="I302" i="89"/>
  <c r="I299" i="89" s="1"/>
  <c r="I344" i="89" s="1"/>
  <c r="AF526" i="90"/>
  <c r="AF530" i="90" s="1"/>
  <c r="Q459" i="90"/>
  <c r="U827" i="90"/>
  <c r="U758" i="90"/>
  <c r="P25" i="57"/>
  <c r="T669" i="90"/>
  <c r="T690" i="90"/>
  <c r="T700" i="90" s="1"/>
  <c r="U700" i="90" s="1"/>
  <c r="X132" i="90"/>
  <c r="X204" i="90" s="1"/>
  <c r="X205" i="90" s="1"/>
  <c r="X144" i="57"/>
  <c r="T359" i="90"/>
  <c r="T400" i="90" s="1"/>
  <c r="U400" i="90" s="1"/>
  <c r="U175" i="57"/>
  <c r="AA175" i="57" s="1"/>
  <c r="Q66" i="57"/>
  <c r="J23" i="57"/>
  <c r="V17" i="47"/>
  <c r="AA166" i="57"/>
  <c r="W145" i="57"/>
  <c r="S125" i="70" s="1"/>
  <c r="U14" i="92"/>
  <c r="U13" i="92" s="1"/>
  <c r="Q17" i="56"/>
  <c r="U20" i="64"/>
  <c r="U53" i="64" s="1"/>
  <c r="S53" i="64" s="1"/>
  <c r="T53" i="64" s="1"/>
  <c r="R20" i="64"/>
  <c r="R53" i="64" s="1"/>
  <c r="M20" i="64"/>
  <c r="M53" i="64" s="1"/>
  <c r="R319" i="90"/>
  <c r="R342" i="90" s="1"/>
  <c r="R303" i="90"/>
  <c r="Q20" i="64"/>
  <c r="Q22" i="64" s="1"/>
  <c r="R24" i="90"/>
  <c r="Q84" i="64"/>
  <c r="Q131" i="64" s="1"/>
  <c r="I106" i="89"/>
  <c r="I104" i="89" s="1"/>
  <c r="I149" i="89" s="1"/>
  <c r="I152" i="89" s="1"/>
  <c r="I153" i="89" s="1"/>
  <c r="X146" i="57"/>
  <c r="W16" i="56" s="1"/>
  <c r="W17" i="56" s="1"/>
  <c r="V16" i="56"/>
  <c r="V22" i="56" s="1"/>
  <c r="V319" i="90"/>
  <c r="V342" i="90" s="1"/>
  <c r="T201" i="56"/>
  <c r="T200" i="56" s="1"/>
  <c r="AA117" i="57"/>
  <c r="V24" i="90"/>
  <c r="W150" i="57"/>
  <c r="V14" i="92" s="1"/>
  <c r="V13" i="92" s="1"/>
  <c r="U117" i="57"/>
  <c r="V116" i="57" s="1"/>
  <c r="V117" i="57" s="1"/>
  <c r="W116" i="57" s="1"/>
  <c r="W117" i="57" s="1"/>
  <c r="X116" i="57" s="1"/>
  <c r="X117" i="57" s="1"/>
  <c r="Y116" i="57" s="1"/>
  <c r="Y117" i="57" s="1"/>
  <c r="Z116" i="57" s="1"/>
  <c r="Z117" i="57" s="1"/>
  <c r="W148" i="57"/>
  <c r="S131" i="70" s="1"/>
  <c r="W21" i="64" s="1"/>
  <c r="V303" i="90"/>
  <c r="U18" i="90"/>
  <c r="U17" i="47"/>
  <c r="T319" i="90"/>
  <c r="T322" i="90" s="1"/>
  <c r="U322" i="90" s="1"/>
  <c r="M203" i="89"/>
  <c r="W24" i="90"/>
  <c r="W26" i="90" s="1"/>
  <c r="W414" i="90" s="1"/>
  <c r="M300" i="89"/>
  <c r="M397" i="89" s="1"/>
  <c r="M398" i="89" s="1"/>
  <c r="T24" i="90"/>
  <c r="T26" i="90" s="1"/>
  <c r="M225" i="47"/>
  <c r="L246" i="47"/>
  <c r="U30" i="47"/>
  <c r="V30" i="47" s="1"/>
  <c r="W30" i="47" s="1"/>
  <c r="X30" i="47" s="1"/>
  <c r="Y30" i="47" s="1"/>
  <c r="M474" i="47"/>
  <c r="M467" i="47" s="1"/>
  <c r="M260" i="47"/>
  <c r="L260" i="47"/>
  <c r="V59" i="56"/>
  <c r="V14" i="56"/>
  <c r="V80" i="64"/>
  <c r="V127" i="64" s="1"/>
  <c r="V82" i="64"/>
  <c r="V129" i="64" s="1"/>
  <c r="V79" i="64"/>
  <c r="V126" i="64" s="1"/>
  <c r="W38" i="56"/>
  <c r="W56" i="56" s="1"/>
  <c r="X42" i="56"/>
  <c r="Y42" i="56" s="1"/>
  <c r="Y38" i="56" s="1"/>
  <c r="R54" i="56"/>
  <c r="V172" i="56"/>
  <c r="S54" i="56"/>
  <c r="S55" i="56" s="1"/>
  <c r="U68" i="64"/>
  <c r="J93" i="56"/>
  <c r="M59" i="56"/>
  <c r="Q72" i="56"/>
  <c r="Q75" i="56" s="1"/>
  <c r="Q120" i="56" s="1"/>
  <c r="Q189" i="56" s="1"/>
  <c r="J106" i="56"/>
  <c r="W476" i="56"/>
  <c r="O165" i="56"/>
  <c r="O144" i="56"/>
  <c r="U90" i="56"/>
  <c r="V90" i="56" s="1"/>
  <c r="T476" i="56"/>
  <c r="Q146" i="56"/>
  <c r="O467" i="56"/>
  <c r="N544" i="56"/>
  <c r="M166" i="56"/>
  <c r="T187" i="56"/>
  <c r="U203" i="56"/>
  <c r="V203" i="56" s="1"/>
  <c r="V205" i="56" s="1"/>
  <c r="Y479" i="56"/>
  <c r="T56" i="56"/>
  <c r="N169" i="56"/>
  <c r="O148" i="56"/>
  <c r="O414" i="56" s="1"/>
  <c r="O303" i="56" s="1"/>
  <c r="U38" i="56"/>
  <c r="U170" i="56" s="1"/>
  <c r="V56" i="56"/>
  <c r="V57" i="56" s="1"/>
  <c r="U476" i="56"/>
  <c r="X476" i="56"/>
  <c r="P109" i="56"/>
  <c r="I433" i="56"/>
  <c r="I434" i="56" s="1"/>
  <c r="I435" i="56" s="1"/>
  <c r="S56" i="56"/>
  <c r="S57" i="56" s="1"/>
  <c r="J104" i="56"/>
  <c r="M322" i="56"/>
  <c r="P517" i="56"/>
  <c r="P237" i="56"/>
  <c r="W480" i="56"/>
  <c r="J244" i="56"/>
  <c r="K32" i="57" s="1"/>
  <c r="J223" i="56"/>
  <c r="J225" i="56" s="1"/>
  <c r="U158" i="56"/>
  <c r="P477" i="56"/>
  <c r="T477" i="56"/>
  <c r="M566" i="56"/>
  <c r="M580" i="56" s="1"/>
  <c r="Y125" i="56"/>
  <c r="M51" i="56"/>
  <c r="T467" i="56"/>
  <c r="J107" i="56"/>
  <c r="P123" i="56"/>
  <c r="P192" i="56" s="1"/>
  <c r="Y480" i="56"/>
  <c r="K31" i="56"/>
  <c r="K223" i="56" s="1"/>
  <c r="K225" i="56" s="1"/>
  <c r="K234" i="56" s="1"/>
  <c r="J526" i="56"/>
  <c r="J550" i="56" s="1"/>
  <c r="K8" i="57"/>
  <c r="T365" i="56"/>
  <c r="L96" i="57"/>
  <c r="J91" i="56"/>
  <c r="P167" i="56"/>
  <c r="P163" i="56" s="1"/>
  <c r="M378" i="56"/>
  <c r="I306" i="56"/>
  <c r="I313" i="56" s="1"/>
  <c r="T240" i="56"/>
  <c r="R240" i="56" s="1"/>
  <c r="S240" i="56" s="1"/>
  <c r="L365" i="56"/>
  <c r="J90" i="56"/>
  <c r="F472" i="56"/>
  <c r="N472" i="56" s="1"/>
  <c r="L458" i="56"/>
  <c r="L461" i="56" s="1"/>
  <c r="L309" i="56" s="1"/>
  <c r="K532" i="56"/>
  <c r="K533" i="56" s="1"/>
  <c r="K323" i="56" s="1"/>
  <c r="N50" i="56"/>
  <c r="I415" i="56"/>
  <c r="I419" i="56" s="1"/>
  <c r="I420" i="56" s="1"/>
  <c r="R50" i="56"/>
  <c r="R51" i="56" s="1"/>
  <c r="V477" i="56"/>
  <c r="U113" i="56"/>
  <c r="N467" i="56"/>
  <c r="M467" i="56"/>
  <c r="V467" i="56"/>
  <c r="N56" i="56"/>
  <c r="P50" i="56"/>
  <c r="J591" i="56"/>
  <c r="J249" i="56" s="1"/>
  <c r="J355" i="56" s="1"/>
  <c r="X482" i="56"/>
  <c r="I429" i="56"/>
  <c r="J430" i="56" s="1"/>
  <c r="N54" i="56"/>
  <c r="U65" i="47"/>
  <c r="V65" i="47" s="1"/>
  <c r="W65" i="47" s="1"/>
  <c r="X65" i="47" s="1"/>
  <c r="Y65" i="47" s="1"/>
  <c r="L179" i="47"/>
  <c r="L233" i="47" s="1"/>
  <c r="S472" i="47"/>
  <c r="N9" i="47"/>
  <c r="N260" i="47" s="1"/>
  <c r="T456" i="47"/>
  <c r="U336" i="47"/>
  <c r="V336" i="47" s="1"/>
  <c r="W336" i="47" s="1"/>
  <c r="X336" i="47" s="1"/>
  <c r="Y336" i="47" s="1"/>
  <c r="U410" i="47"/>
  <c r="V410" i="47" s="1"/>
  <c r="W410" i="47" s="1"/>
  <c r="X410" i="47" s="1"/>
  <c r="Y410" i="47" s="1"/>
  <c r="R105" i="47"/>
  <c r="S105" i="47" s="1"/>
  <c r="L141" i="47"/>
  <c r="L213" i="47" s="1"/>
  <c r="U427" i="47"/>
  <c r="V427" i="47" s="1"/>
  <c r="W427" i="47" s="1"/>
  <c r="X427" i="47" s="1"/>
  <c r="Y427" i="47" s="1"/>
  <c r="N473" i="47"/>
  <c r="Q45" i="47"/>
  <c r="Q453" i="47" s="1"/>
  <c r="M178" i="47"/>
  <c r="M179" i="47" s="1"/>
  <c r="M233" i="47" s="1"/>
  <c r="S410" i="90"/>
  <c r="T410" i="90" s="1"/>
  <c r="U410" i="90" s="1"/>
  <c r="Q25" i="57"/>
  <c r="V236" i="90"/>
  <c r="V241" i="90" s="1"/>
  <c r="T530" i="90"/>
  <c r="V605" i="90"/>
  <c r="V400" i="90"/>
  <c r="O487" i="90"/>
  <c r="O494" i="90" s="1"/>
  <c r="AS671" i="90"/>
  <c r="R662" i="80"/>
  <c r="R678" i="80" s="1"/>
  <c r="S624" i="80"/>
  <c r="S662" i="80" s="1"/>
  <c r="S678" i="80" s="1"/>
  <c r="O533" i="80"/>
  <c r="N533" i="80"/>
  <c r="M533" i="80"/>
  <c r="L161" i="80"/>
  <c r="L252" i="80" s="1"/>
  <c r="L256" i="80" s="1"/>
  <c r="L258" i="80" s="1"/>
  <c r="Q180" i="80"/>
  <c r="R180" i="80" s="1"/>
  <c r="S180" i="80" s="1"/>
  <c r="N46" i="80"/>
  <c r="M152" i="80"/>
  <c r="M242" i="80" s="1"/>
  <c r="M246" i="80" s="1"/>
  <c r="M248" i="80" s="1"/>
  <c r="Q513" i="80"/>
  <c r="P610" i="80"/>
  <c r="P463" i="80"/>
  <c r="P364" i="80"/>
  <c r="R210" i="80"/>
  <c r="R216" i="80" s="1"/>
  <c r="L230" i="80"/>
  <c r="Q332" i="80"/>
  <c r="R368" i="80"/>
  <c r="Q463" i="80"/>
  <c r="L476" i="80"/>
  <c r="P594" i="80"/>
  <c r="R442" i="80"/>
  <c r="N138" i="80"/>
  <c r="N232" i="80" s="1"/>
  <c r="P560" i="80"/>
  <c r="L152" i="80"/>
  <c r="L242" i="80" s="1"/>
  <c r="L246" i="80" s="1"/>
  <c r="L248" i="80" s="1"/>
  <c r="Q511" i="80"/>
  <c r="P461" i="80"/>
  <c r="P362" i="80"/>
  <c r="P244" i="80"/>
  <c r="R332" i="80"/>
  <c r="Q364" i="80"/>
  <c r="S368" i="80"/>
  <c r="R463" i="80"/>
  <c r="P18" i="80"/>
  <c r="P230" i="80" s="1"/>
  <c r="N276" i="80"/>
  <c r="N278" i="80" s="1"/>
  <c r="R220" i="80"/>
  <c r="R226" i="80" s="1"/>
  <c r="O246" i="80"/>
  <c r="Q54" i="80"/>
  <c r="R54" i="80" s="1"/>
  <c r="S54" i="80" s="1"/>
  <c r="P171" i="80"/>
  <c r="P262" i="80" s="1"/>
  <c r="P266" i="80" s="1"/>
  <c r="N161" i="80"/>
  <c r="N252" i="80" s="1"/>
  <c r="N256" i="80" s="1"/>
  <c r="M138" i="80"/>
  <c r="M232" i="80" s="1"/>
  <c r="M236" i="80" s="1"/>
  <c r="M238" i="80" s="1"/>
  <c r="Q39" i="80"/>
  <c r="Q20" i="80" s="1"/>
  <c r="Q250" i="80" s="1"/>
  <c r="R384" i="80"/>
  <c r="R388" i="80" s="1"/>
  <c r="N97" i="80"/>
  <c r="N202" i="80" s="1"/>
  <c r="N206" i="80" s="1"/>
  <c r="N208" i="80" s="1"/>
  <c r="L558" i="80"/>
  <c r="P513" i="80"/>
  <c r="P210" i="80"/>
  <c r="P216" i="80" s="1"/>
  <c r="L429" i="80"/>
  <c r="M614" i="80"/>
  <c r="Q210" i="80"/>
  <c r="Q216" i="80" s="1"/>
  <c r="L97" i="80"/>
  <c r="L202" i="80" s="1"/>
  <c r="M46" i="80"/>
  <c r="R513" i="80"/>
  <c r="O511" i="80"/>
  <c r="N230" i="80"/>
  <c r="N236" i="80" s="1"/>
  <c r="P139" i="80"/>
  <c r="R364" i="80"/>
  <c r="S463" i="80"/>
  <c r="F532" i="80"/>
  <c r="K676" i="80"/>
  <c r="S254" i="79"/>
  <c r="O112" i="79"/>
  <c r="P112" i="79" s="1"/>
  <c r="Q112" i="79" s="1"/>
  <c r="R112" i="79" s="1"/>
  <c r="S112" i="79" s="1"/>
  <c r="N122" i="79"/>
  <c r="R612" i="79"/>
  <c r="N127" i="79"/>
  <c r="N268" i="79"/>
  <c r="O155" i="79"/>
  <c r="M592" i="79"/>
  <c r="N589" i="79" s="1"/>
  <c r="N592" i="79" s="1"/>
  <c r="N594" i="79" s="1"/>
  <c r="O566" i="79"/>
  <c r="R366" i="79"/>
  <c r="N130" i="79"/>
  <c r="S382" i="79"/>
  <c r="N260" i="79"/>
  <c r="O122" i="79"/>
  <c r="N152" i="79"/>
  <c r="O119" i="79"/>
  <c r="O673" i="79"/>
  <c r="S592" i="79"/>
  <c r="S442" i="79"/>
  <c r="S444" i="79" s="1"/>
  <c r="P366" i="79"/>
  <c r="N202" i="79"/>
  <c r="L218" i="79"/>
  <c r="S612" i="79"/>
  <c r="S360" i="79"/>
  <c r="M224" i="79"/>
  <c r="S234" i="79"/>
  <c r="N155" i="79"/>
  <c r="O130" i="79"/>
  <c r="S386" i="79"/>
  <c r="L244" i="79"/>
  <c r="Q654" i="79"/>
  <c r="P558" i="79"/>
  <c r="Q386" i="79"/>
  <c r="Q382" i="79"/>
  <c r="N15" i="79"/>
  <c r="S198" i="57"/>
  <c r="S132" i="57"/>
  <c r="W28" i="57"/>
  <c r="Z51" i="57"/>
  <c r="W51" i="57"/>
  <c r="X82" i="57"/>
  <c r="P28" i="57"/>
  <c r="Y82" i="57"/>
  <c r="P20" i="57"/>
  <c r="Z20" i="57"/>
  <c r="Z13" i="57"/>
  <c r="P13" i="57"/>
  <c r="Y28" i="57"/>
  <c r="U28" i="57"/>
  <c r="W82" i="57"/>
  <c r="Y13" i="57"/>
  <c r="W13" i="57"/>
  <c r="X28" i="57"/>
  <c r="Z28" i="57"/>
  <c r="T28" i="57"/>
  <c r="P51" i="57"/>
  <c r="Z82" i="57"/>
  <c r="G254" i="89"/>
  <c r="G255" i="89" s="1"/>
  <c r="G270" i="89" s="1"/>
  <c r="G263" i="89"/>
  <c r="G267" i="89" s="1"/>
  <c r="G351" i="89"/>
  <c r="G352" i="89" s="1"/>
  <c r="G367" i="89" s="1"/>
  <c r="G360" i="89"/>
  <c r="G364" i="89" s="1"/>
  <c r="G369" i="89" s="1"/>
  <c r="J86" i="89"/>
  <c r="K86" i="89" s="1"/>
  <c r="L86" i="89" s="1"/>
  <c r="M86" i="89"/>
  <c r="F290" i="89"/>
  <c r="F293" i="89" s="1"/>
  <c r="G292" i="89" s="1"/>
  <c r="F465" i="89"/>
  <c r="F483" i="89" s="1"/>
  <c r="F486" i="89" s="1"/>
  <c r="G485" i="89" s="1"/>
  <c r="I198" i="89"/>
  <c r="M323" i="89"/>
  <c r="S28" i="57"/>
  <c r="G166" i="89"/>
  <c r="G170" i="89" s="1"/>
  <c r="G175" i="89" s="1"/>
  <c r="K11" i="89"/>
  <c r="L108" i="89"/>
  <c r="I11" i="89"/>
  <c r="J144" i="89"/>
  <c r="K144" i="89" s="1"/>
  <c r="L144" i="89" s="1"/>
  <c r="J211" i="89"/>
  <c r="J127" i="89"/>
  <c r="K127" i="89" s="1"/>
  <c r="L127" i="89" s="1"/>
  <c r="M322" i="89"/>
  <c r="H392" i="89"/>
  <c r="L533" i="89"/>
  <c r="X95" i="57"/>
  <c r="M29" i="89"/>
  <c r="H31" i="89"/>
  <c r="G456" i="89"/>
  <c r="G460" i="89" s="1"/>
  <c r="J31" i="89"/>
  <c r="H29" i="89"/>
  <c r="I414" i="89"/>
  <c r="I418" i="89" s="1"/>
  <c r="M352" i="89"/>
  <c r="M367" i="89" s="1"/>
  <c r="M138" i="89"/>
  <c r="M141" i="89" s="1"/>
  <c r="G437" i="89"/>
  <c r="M11" i="89"/>
  <c r="G543" i="89"/>
  <c r="G544" i="89" s="1"/>
  <c r="G559" i="89" s="1"/>
  <c r="J321" i="89"/>
  <c r="M216" i="89"/>
  <c r="M222" i="89" s="1"/>
  <c r="M220" i="89" s="1"/>
  <c r="M224" i="89" s="1"/>
  <c r="G258" i="89"/>
  <c r="I31" i="89"/>
  <c r="I399" i="89"/>
  <c r="I430" i="89" s="1"/>
  <c r="I433" i="89" s="1"/>
  <c r="I205" i="89"/>
  <c r="P82" i="57"/>
  <c r="G48" i="89"/>
  <c r="G37" i="89"/>
  <c r="T82" i="57"/>
  <c r="K37" i="89"/>
  <c r="G84" i="89"/>
  <c r="G67" i="89"/>
  <c r="H84" i="89"/>
  <c r="V82" i="57"/>
  <c r="H67" i="89"/>
  <c r="J37" i="89"/>
  <c r="F88" i="89"/>
  <c r="F92" i="89" s="1"/>
  <c r="F48" i="89"/>
  <c r="J85" i="89"/>
  <c r="R95" i="57"/>
  <c r="G27" i="89"/>
  <c r="G32" i="89" s="1"/>
  <c r="M48" i="89"/>
  <c r="L67" i="89"/>
  <c r="J48" i="89"/>
  <c r="K48" i="89"/>
  <c r="L48" i="89"/>
  <c r="V455" i="90"/>
  <c r="W455" i="90" s="1"/>
  <c r="X455" i="90" s="1"/>
  <c r="Y455" i="90" s="1"/>
  <c r="Z455" i="90" s="1"/>
  <c r="AA455" i="90" s="1"/>
  <c r="AB455" i="90" s="1"/>
  <c r="AC455" i="90" s="1"/>
  <c r="AD455" i="90" s="1"/>
  <c r="AE455" i="90" s="1"/>
  <c r="AF455" i="90" s="1"/>
  <c r="AG455" i="90" s="1"/>
  <c r="AH455" i="90" s="1"/>
  <c r="AI455" i="90" s="1"/>
  <c r="AJ455" i="90" s="1"/>
  <c r="AK455" i="90" s="1"/>
  <c r="AL455" i="90" s="1"/>
  <c r="AM455" i="90" s="1"/>
  <c r="AN455" i="90" s="1"/>
  <c r="AO455" i="90" s="1"/>
  <c r="AP455" i="90" s="1"/>
  <c r="AQ455" i="90" s="1"/>
  <c r="AR455" i="90" s="1"/>
  <c r="AS455" i="90" s="1"/>
  <c r="AT455" i="90" s="1"/>
  <c r="AU455" i="90" s="1"/>
  <c r="S455" i="90"/>
  <c r="T455" i="90" s="1"/>
  <c r="U455" i="90" s="1"/>
  <c r="V540" i="90"/>
  <c r="T775" i="90"/>
  <c r="U775" i="90" s="1"/>
  <c r="O855" i="90"/>
  <c r="O869" i="90" s="1"/>
  <c r="O589" i="90"/>
  <c r="O460" i="90" s="1"/>
  <c r="O459" i="90" s="1"/>
  <c r="S808" i="90"/>
  <c r="T808" i="90" s="1"/>
  <c r="U808" i="90" s="1"/>
  <c r="T773" i="90"/>
  <c r="T780" i="90" s="1"/>
  <c r="T717" i="90"/>
  <c r="T718" i="90" s="1"/>
  <c r="U718" i="90" s="1"/>
  <c r="T671" i="90"/>
  <c r="U671" i="90" s="1"/>
  <c r="N669" i="90"/>
  <c r="O669" i="90" s="1"/>
  <c r="AO605" i="90"/>
  <c r="AG605" i="90"/>
  <c r="Y605" i="90"/>
  <c r="M487" i="90"/>
  <c r="M494" i="90" s="1"/>
  <c r="M502" i="90" s="1"/>
  <c r="W155" i="90"/>
  <c r="W167" i="90" s="1"/>
  <c r="R605" i="90"/>
  <c r="AF671" i="90"/>
  <c r="AT669" i="90"/>
  <c r="R626" i="90"/>
  <c r="V626" i="90" s="1"/>
  <c r="V671" i="90" s="1"/>
  <c r="V681" i="90" s="1"/>
  <c r="AT672" i="90"/>
  <c r="O879" i="90"/>
  <c r="T216" i="90"/>
  <c r="U216" i="90" s="1"/>
  <c r="T605" i="90"/>
  <c r="U605" i="90" s="1"/>
  <c r="R400" i="90"/>
  <c r="AS669" i="90"/>
  <c r="AI672" i="90"/>
  <c r="W169" i="90"/>
  <c r="W199" i="90" s="1"/>
  <c r="W200" i="90" s="1"/>
  <c r="Q878" i="90"/>
  <c r="Q879" i="90" s="1"/>
  <c r="P540" i="90"/>
  <c r="P668" i="90"/>
  <c r="AP605" i="90"/>
  <c r="Z605" i="90"/>
  <c r="X216" i="90"/>
  <c r="S86" i="57"/>
  <c r="S168" i="57" s="1"/>
  <c r="Q814" i="90"/>
  <c r="Q838" i="90" s="1"/>
  <c r="O481" i="90"/>
  <c r="AS383" i="90"/>
  <c r="AG672" i="90"/>
  <c r="AL605" i="90"/>
  <c r="N392" i="90"/>
  <c r="T692" i="90"/>
  <c r="U692" i="90" s="1"/>
  <c r="T691" i="90"/>
  <c r="Q14" i="57"/>
  <c r="N459" i="90"/>
  <c r="S850" i="90"/>
  <c r="T850" i="90" s="1"/>
  <c r="U850" i="90" s="1"/>
  <c r="M481" i="90"/>
  <c r="AI671" i="90"/>
  <c r="T776" i="90"/>
  <c r="T783" i="90" s="1"/>
  <c r="U783" i="90" s="1"/>
  <c r="AR605" i="90"/>
  <c r="O605" i="90"/>
  <c r="S129" i="57"/>
  <c r="W206" i="90"/>
  <c r="X72" i="90"/>
  <c r="Y72" i="90" s="1"/>
  <c r="X540" i="90"/>
  <c r="X98" i="57"/>
  <c r="T779" i="90"/>
  <c r="U779" i="90" s="1"/>
  <c r="U772" i="90"/>
  <c r="Q818" i="90"/>
  <c r="Q853" i="90" s="1"/>
  <c r="Q867" i="90" s="1"/>
  <c r="V624" i="90"/>
  <c r="V669" i="90" s="1"/>
  <c r="V679" i="90" s="1"/>
  <c r="R86" i="57"/>
  <c r="R168" i="57" s="1"/>
  <c r="T868" i="90"/>
  <c r="U868" i="90" s="1"/>
  <c r="P608" i="90"/>
  <c r="Q609" i="90" s="1"/>
  <c r="Q610" i="90" s="1"/>
  <c r="Q518" i="90" s="1"/>
  <c r="AF605" i="90"/>
  <c r="Y383" i="90"/>
  <c r="Y386" i="90" s="1"/>
  <c r="Y387" i="90" s="1"/>
  <c r="Y391" i="90" s="1"/>
  <c r="AT671" i="90"/>
  <c r="V620" i="90"/>
  <c r="W620" i="90" s="1"/>
  <c r="X620" i="90" s="1"/>
  <c r="Y620" i="90" s="1"/>
  <c r="Z620" i="90" s="1"/>
  <c r="AA620" i="90" s="1"/>
  <c r="AB620" i="90" s="1"/>
  <c r="AC620" i="90" s="1"/>
  <c r="AD620" i="90" s="1"/>
  <c r="AE620" i="90" s="1"/>
  <c r="AF620" i="90" s="1"/>
  <c r="AG620" i="90" s="1"/>
  <c r="AH620" i="90" s="1"/>
  <c r="AI620" i="90" s="1"/>
  <c r="AJ620" i="90" s="1"/>
  <c r="AK620" i="90" s="1"/>
  <c r="AL620" i="90" s="1"/>
  <c r="AM620" i="90" s="1"/>
  <c r="AN620" i="90" s="1"/>
  <c r="AO620" i="90" s="1"/>
  <c r="AP620" i="90" s="1"/>
  <c r="AQ620" i="90" s="1"/>
  <c r="AR620" i="90" s="1"/>
  <c r="AS620" i="90" s="1"/>
  <c r="AT620" i="90" s="1"/>
  <c r="AU620" i="90" s="1"/>
  <c r="T853" i="90"/>
  <c r="AU605" i="90"/>
  <c r="R154" i="90"/>
  <c r="AF672" i="90"/>
  <c r="P387" i="90"/>
  <c r="P391" i="90" s="1"/>
  <c r="P392" i="90" s="1"/>
  <c r="P393" i="90" s="1"/>
  <c r="T154" i="90"/>
  <c r="U154" i="90" s="1"/>
  <c r="R627" i="90"/>
  <c r="R692" i="90" s="1"/>
  <c r="T421" i="90"/>
  <c r="U421" i="90" s="1"/>
  <c r="P705" i="90"/>
  <c r="Q669" i="90"/>
  <c r="Q668" i="90" s="1"/>
  <c r="Q512" i="90"/>
  <c r="AG669" i="90"/>
  <c r="Y669" i="90"/>
  <c r="X793" i="90"/>
  <c r="Y793" i="90" s="1"/>
  <c r="Z793" i="90" s="1"/>
  <c r="AA793" i="90" s="1"/>
  <c r="AB793" i="90" s="1"/>
  <c r="AC793" i="90" s="1"/>
  <c r="AD793" i="90" s="1"/>
  <c r="AE793" i="90" s="1"/>
  <c r="AF793" i="90" s="1"/>
  <c r="AG793" i="90" s="1"/>
  <c r="AH793" i="90" s="1"/>
  <c r="AI793" i="90" s="1"/>
  <c r="AJ793" i="90" s="1"/>
  <c r="AK793" i="90" s="1"/>
  <c r="AL793" i="90" s="1"/>
  <c r="AM793" i="90" s="1"/>
  <c r="AN793" i="90" s="1"/>
  <c r="AO793" i="90" s="1"/>
  <c r="AP793" i="90" s="1"/>
  <c r="AQ793" i="90" s="1"/>
  <c r="AR793" i="90" s="1"/>
  <c r="AS793" i="90" s="1"/>
  <c r="AT793" i="90" s="1"/>
  <c r="AU793" i="90" s="1"/>
  <c r="AF387" i="90"/>
  <c r="AF391" i="90" s="1"/>
  <c r="AF670" i="90"/>
  <c r="AG671" i="90"/>
  <c r="U819" i="90"/>
  <c r="T869" i="90"/>
  <c r="U869" i="90" s="1"/>
  <c r="Y40" i="90"/>
  <c r="Y216" i="90" s="1"/>
  <c r="N705" i="90"/>
  <c r="T672" i="90"/>
  <c r="U672" i="90" s="1"/>
  <c r="R540" i="90"/>
  <c r="Z712" i="90"/>
  <c r="AA712" i="90" s="1"/>
  <c r="AB712" i="90" s="1"/>
  <c r="AC712" i="90" s="1"/>
  <c r="AD712" i="90" s="1"/>
  <c r="AE712" i="90" s="1"/>
  <c r="AF712" i="90" s="1"/>
  <c r="AG712" i="90" s="1"/>
  <c r="AH712" i="90" s="1"/>
  <c r="AI712" i="90" s="1"/>
  <c r="AJ712" i="90" s="1"/>
  <c r="AK712" i="90" s="1"/>
  <c r="AL712" i="90" s="1"/>
  <c r="AM712" i="90" s="1"/>
  <c r="AN712" i="90" s="1"/>
  <c r="AO712" i="90" s="1"/>
  <c r="AP712" i="90" s="1"/>
  <c r="AQ712" i="90" s="1"/>
  <c r="AR712" i="90" s="1"/>
  <c r="AS712" i="90" s="1"/>
  <c r="AT712" i="90" s="1"/>
  <c r="AU712" i="90" s="1"/>
  <c r="Q677" i="90"/>
  <c r="R155" i="90"/>
  <c r="Q705" i="90"/>
  <c r="Y526" i="90"/>
  <c r="T721" i="90"/>
  <c r="O500" i="90"/>
  <c r="N663" i="90"/>
  <c r="N472" i="90" s="1"/>
  <c r="W236" i="90"/>
  <c r="W241" i="90" s="1"/>
  <c r="W427" i="90" s="1"/>
  <c r="W205" i="90"/>
  <c r="W203" i="90" s="1"/>
  <c r="Y672" i="90"/>
  <c r="O705" i="90"/>
  <c r="AL670" i="90"/>
  <c r="AI669" i="90"/>
  <c r="Q481" i="90"/>
  <c r="T821" i="90"/>
  <c r="T492" i="90" s="1"/>
  <c r="U492" i="90" s="1"/>
  <c r="T834" i="90"/>
  <c r="U834" i="90" s="1"/>
  <c r="T540" i="90"/>
  <c r="U540" i="90" s="1"/>
  <c r="R689" i="90"/>
  <c r="W98" i="57"/>
  <c r="M785" i="90"/>
  <c r="W216" i="90"/>
  <c r="V87" i="90"/>
  <c r="W87" i="90" s="1"/>
  <c r="X87" i="90" s="1"/>
  <c r="Y87" i="90" s="1"/>
  <c r="Z87" i="90" s="1"/>
  <c r="AA87" i="90" s="1"/>
  <c r="AB87" i="90" s="1"/>
  <c r="AC87" i="90" s="1"/>
  <c r="AD87" i="90" s="1"/>
  <c r="AE87" i="90" s="1"/>
  <c r="AF87" i="90" s="1"/>
  <c r="AG87" i="90" s="1"/>
  <c r="AH87" i="90" s="1"/>
  <c r="AI87" i="90" s="1"/>
  <c r="AJ87" i="90" s="1"/>
  <c r="AK87" i="90" s="1"/>
  <c r="AL87" i="90" s="1"/>
  <c r="AM87" i="90" s="1"/>
  <c r="AN87" i="90" s="1"/>
  <c r="AO87" i="90" s="1"/>
  <c r="AP87" i="90" s="1"/>
  <c r="AQ87" i="90" s="1"/>
  <c r="AR87" i="90" s="1"/>
  <c r="AS87" i="90" s="1"/>
  <c r="AT87" i="90" s="1"/>
  <c r="AU87" i="90" s="1"/>
  <c r="T471" i="90"/>
  <c r="U471" i="90" s="1"/>
  <c r="T98" i="57"/>
  <c r="S200" i="57"/>
  <c r="S3" i="47"/>
  <c r="P182" i="47"/>
  <c r="P183" i="47" s="1"/>
  <c r="V473" i="47"/>
  <c r="S474" i="47"/>
  <c r="S467" i="47" s="1"/>
  <c r="U474" i="47"/>
  <c r="U467" i="47" s="1"/>
  <c r="V474" i="47"/>
  <c r="V467" i="47" s="1"/>
  <c r="X474" i="47"/>
  <c r="X467" i="47" s="1"/>
  <c r="M456" i="47"/>
  <c r="M458" i="47" s="1"/>
  <c r="F480" i="47" s="1"/>
  <c r="Y480" i="47" s="1"/>
  <c r="W474" i="47"/>
  <c r="W467" i="47" s="1"/>
  <c r="M12" i="47"/>
  <c r="M243" i="47" s="1"/>
  <c r="M269" i="47" s="1"/>
  <c r="L224" i="47"/>
  <c r="W452" i="47"/>
  <c r="W451" i="47" s="1"/>
  <c r="U408" i="47"/>
  <c r="V408" i="47" s="1"/>
  <c r="W408" i="47" s="1"/>
  <c r="X408" i="47" s="1"/>
  <c r="Y408" i="47" s="1"/>
  <c r="U473" i="47"/>
  <c r="M238" i="47"/>
  <c r="L234" i="47"/>
  <c r="L237" i="47"/>
  <c r="N246" i="47"/>
  <c r="L431" i="47"/>
  <c r="L432" i="47" s="1"/>
  <c r="L433" i="47" s="1"/>
  <c r="V578" i="47"/>
  <c r="V579" i="47" s="1"/>
  <c r="M244" i="47"/>
  <c r="M226" i="47"/>
  <c r="Q122" i="47"/>
  <c r="L238" i="47"/>
  <c r="N223" i="47"/>
  <c r="N474" i="47"/>
  <c r="N467" i="47" s="1"/>
  <c r="O474" i="47"/>
  <c r="O467" i="47" s="1"/>
  <c r="N245" i="47"/>
  <c r="M512" i="47"/>
  <c r="M547" i="47" s="1"/>
  <c r="M561" i="47" s="1"/>
  <c r="Y474" i="47"/>
  <c r="Y467" i="47" s="1"/>
  <c r="R474" i="47"/>
  <c r="R467" i="47" s="1"/>
  <c r="L474" i="47"/>
  <c r="L467" i="47" s="1"/>
  <c r="L468" i="47" s="1"/>
  <c r="Q474" i="47"/>
  <c r="Q467" i="47" s="1"/>
  <c r="L235" i="47"/>
  <c r="K266" i="47"/>
  <c r="K271" i="47" s="1"/>
  <c r="K275" i="47" s="1"/>
  <c r="R567" i="47"/>
  <c r="S567" i="47" s="1"/>
  <c r="L13" i="47"/>
  <c r="R57" i="47"/>
  <c r="S57" i="47" s="1"/>
  <c r="S75" i="47" s="1"/>
  <c r="S89" i="47" s="1"/>
  <c r="S181" i="47" s="1"/>
  <c r="R90" i="47"/>
  <c r="L564" i="47"/>
  <c r="L563" i="47"/>
  <c r="L225" i="47"/>
  <c r="X472" i="47"/>
  <c r="N93" i="47"/>
  <c r="N165" i="47" s="1"/>
  <c r="N239" i="47" s="1"/>
  <c r="N231" i="47" s="1"/>
  <c r="L562" i="47"/>
  <c r="N234" i="47"/>
  <c r="P178" i="47"/>
  <c r="P179" i="47" s="1"/>
  <c r="U64" i="47"/>
  <c r="V64" i="47" s="1"/>
  <c r="W64" i="47" s="1"/>
  <c r="X64" i="47" s="1"/>
  <c r="U121" i="47"/>
  <c r="U122" i="47" s="1"/>
  <c r="N188" i="47"/>
  <c r="M7" i="47"/>
  <c r="M224" i="47"/>
  <c r="O93" i="47"/>
  <c r="O165" i="47" s="1"/>
  <c r="T280" i="47"/>
  <c r="F478" i="47"/>
  <c r="Q478" i="47" s="1"/>
  <c r="L258" i="47"/>
  <c r="M240" i="47"/>
  <c r="L80" i="57"/>
  <c r="L90" i="57" s="1"/>
  <c r="P88" i="47"/>
  <c r="P93" i="47" s="1"/>
  <c r="P165" i="47" s="1"/>
  <c r="M237" i="47"/>
  <c r="O473" i="47"/>
  <c r="L573" i="47"/>
  <c r="L278" i="47" s="1"/>
  <c r="L365" i="47" s="1"/>
  <c r="M129" i="47"/>
  <c r="M147" i="47" s="1"/>
  <c r="M216" i="47" s="1"/>
  <c r="M513" i="47"/>
  <c r="M548" i="47" s="1"/>
  <c r="M562" i="47" s="1"/>
  <c r="M245" i="47"/>
  <c r="Q75" i="47"/>
  <c r="Q89" i="47" s="1"/>
  <c r="Q180" i="47" s="1"/>
  <c r="U180" i="47" s="1"/>
  <c r="V180" i="47" s="1"/>
  <c r="W180" i="47" s="1"/>
  <c r="X180" i="47" s="1"/>
  <c r="Y180" i="47" s="1"/>
  <c r="R473" i="47"/>
  <c r="M198" i="47"/>
  <c r="Q473" i="47"/>
  <c r="M473" i="47"/>
  <c r="U477" i="47"/>
  <c r="L456" i="47"/>
  <c r="F479" i="47" s="1"/>
  <c r="U479" i="47" s="1"/>
  <c r="L223" i="47"/>
  <c r="M234" i="47"/>
  <c r="M431" i="47"/>
  <c r="U88" i="47"/>
  <c r="L93" i="47"/>
  <c r="L165" i="47" s="1"/>
  <c r="L231" i="47" s="1"/>
  <c r="R329" i="47"/>
  <c r="S329" i="47" s="1"/>
  <c r="S473" i="47"/>
  <c r="U451" i="47"/>
  <c r="M93" i="47"/>
  <c r="M165" i="47" s="1"/>
  <c r="M239" i="47" s="1"/>
  <c r="N178" i="47"/>
  <c r="N179" i="47" s="1"/>
  <c r="N233" i="47" s="1"/>
  <c r="X482" i="47"/>
  <c r="U482" i="47"/>
  <c r="R482" i="47"/>
  <c r="S47" i="47"/>
  <c r="S455" i="47" s="1"/>
  <c r="R455" i="47"/>
  <c r="O107" i="47"/>
  <c r="O461" i="47"/>
  <c r="P157" i="47"/>
  <c r="N455" i="47"/>
  <c r="N456" i="47" s="1"/>
  <c r="N458" i="47" s="1"/>
  <c r="P107" i="47"/>
  <c r="P118" i="47" s="1"/>
  <c r="V121" i="47"/>
  <c r="V122" i="47" s="1"/>
  <c r="L107" i="47"/>
  <c r="L113" i="47" s="1"/>
  <c r="L117" i="47" s="1"/>
  <c r="L240" i="47"/>
  <c r="P454" i="47"/>
  <c r="P457" i="47" s="1"/>
  <c r="R28" i="47"/>
  <c r="S28" i="47" s="1"/>
  <c r="O178" i="47"/>
  <c r="O179" i="47" s="1"/>
  <c r="N107" i="47"/>
  <c r="N118" i="47" s="1"/>
  <c r="P161" i="47"/>
  <c r="V472" i="47"/>
  <c r="U47" i="47"/>
  <c r="V47" i="47" s="1"/>
  <c r="U195" i="47"/>
  <c r="N472" i="47"/>
  <c r="L244" i="47"/>
  <c r="T103" i="57"/>
  <c r="N95" i="57"/>
  <c r="P196" i="47"/>
  <c r="L515" i="47"/>
  <c r="L328" i="47" s="1"/>
  <c r="W472" i="47"/>
  <c r="M472" i="47"/>
  <c r="L561" i="47"/>
  <c r="R472" i="47"/>
  <c r="Q455" i="47"/>
  <c r="R334" i="47"/>
  <c r="S334" i="47" s="1"/>
  <c r="Q472" i="47"/>
  <c r="U472" i="47"/>
  <c r="L472" i="47"/>
  <c r="K200" i="47"/>
  <c r="V60" i="47"/>
  <c r="W60" i="47" s="1"/>
  <c r="W86" i="47" s="1"/>
  <c r="P472" i="47"/>
  <c r="Y472" i="47"/>
  <c r="S74" i="47"/>
  <c r="S87" i="47" s="1"/>
  <c r="O370" i="47"/>
  <c r="R572" i="47"/>
  <c r="S572" i="47" s="1"/>
  <c r="R507" i="47"/>
  <c r="S507" i="47" s="1"/>
  <c r="U505" i="47"/>
  <c r="V505" i="47" s="1"/>
  <c r="W505" i="47" s="1"/>
  <c r="X505" i="47" s="1"/>
  <c r="Y505" i="47" s="1"/>
  <c r="L243" i="47"/>
  <c r="L269" i="47" s="1"/>
  <c r="T106" i="57"/>
  <c r="M514" i="47"/>
  <c r="Q74" i="47"/>
  <c r="Q87" i="47" s="1"/>
  <c r="Q178" i="47" s="1"/>
  <c r="U178" i="47" s="1"/>
  <c r="V178" i="47" s="1"/>
  <c r="W178" i="47" s="1"/>
  <c r="X178" i="47" s="1"/>
  <c r="Y178" i="47" s="1"/>
  <c r="N297" i="47"/>
  <c r="U86" i="47"/>
  <c r="R413" i="47"/>
  <c r="S413" i="47" s="1"/>
  <c r="T413" i="47" s="1"/>
  <c r="U52" i="47"/>
  <c r="Q90" i="47"/>
  <c r="I204" i="89"/>
  <c r="H85" i="89"/>
  <c r="S169" i="57"/>
  <c r="I48" i="89"/>
  <c r="L84" i="89"/>
  <c r="K85" i="89"/>
  <c r="K302" i="89"/>
  <c r="K299" i="89" s="1"/>
  <c r="L299" i="89" s="1"/>
  <c r="L344" i="89" s="1"/>
  <c r="I85" i="89"/>
  <c r="L85" i="89"/>
  <c r="I493" i="89"/>
  <c r="I494" i="89" s="1"/>
  <c r="I525" i="89" s="1"/>
  <c r="I528" i="89" s="1"/>
  <c r="U82" i="57"/>
  <c r="U15" i="92"/>
  <c r="H106" i="89"/>
  <c r="H104" i="89" s="1"/>
  <c r="H149" i="89" s="1"/>
  <c r="H152" i="89" s="1"/>
  <c r="H153" i="89" s="1"/>
  <c r="H166" i="89" s="1"/>
  <c r="L37" i="89"/>
  <c r="Q170" i="56"/>
  <c r="T17" i="47"/>
  <c r="U188" i="57" s="1"/>
  <c r="V188" i="57" s="1"/>
  <c r="Q130" i="57"/>
  <c r="M85" i="89"/>
  <c r="R82" i="57"/>
  <c r="W147" i="57"/>
  <c r="W13" i="64" s="1"/>
  <c r="W12" i="64" s="1"/>
  <c r="W52" i="64" s="1"/>
  <c r="Q201" i="56"/>
  <c r="Q200" i="56" s="1"/>
  <c r="I84" i="89"/>
  <c r="M67" i="89"/>
  <c r="J84" i="89"/>
  <c r="K84" i="89"/>
  <c r="M37" i="89"/>
  <c r="I37" i="89"/>
  <c r="L398" i="89"/>
  <c r="L429" i="89" s="1"/>
  <c r="K67" i="89"/>
  <c r="H205" i="89"/>
  <c r="H202" i="89" s="1"/>
  <c r="H246" i="89" s="1"/>
  <c r="H249" i="89" s="1"/>
  <c r="H250" i="89" s="1"/>
  <c r="H263" i="89" s="1"/>
  <c r="H267" i="89" s="1"/>
  <c r="H272" i="89" s="1"/>
  <c r="K106" i="89"/>
  <c r="L106" i="89" s="1"/>
  <c r="M84" i="89"/>
  <c r="I67" i="89"/>
  <c r="J67" i="89"/>
  <c r="H48" i="89"/>
  <c r="L399" i="89"/>
  <c r="L430" i="89" s="1"/>
  <c r="L433" i="89" s="1"/>
  <c r="W319" i="90"/>
  <c r="W337" i="90" s="1"/>
  <c r="T105" i="57"/>
  <c r="K107" i="89"/>
  <c r="L107" i="89" s="1"/>
  <c r="AA87" i="57"/>
  <c r="W359" i="90"/>
  <c r="W399" i="90" s="1"/>
  <c r="AN386" i="90"/>
  <c r="AN387" i="90" s="1"/>
  <c r="AN391" i="90" s="1"/>
  <c r="AN672" i="90"/>
  <c r="AL671" i="90"/>
  <c r="AL526" i="90"/>
  <c r="AL530" i="90" s="1"/>
  <c r="AL672" i="90"/>
  <c r="M722" i="90"/>
  <c r="N722" i="90" s="1"/>
  <c r="N657" i="90"/>
  <c r="M725" i="90"/>
  <c r="N725" i="90" s="1"/>
  <c r="O725" i="90" s="1"/>
  <c r="M724" i="90"/>
  <c r="M780" i="90"/>
  <c r="Q52" i="64"/>
  <c r="Q14" i="64"/>
  <c r="AR669" i="90"/>
  <c r="AR383" i="90"/>
  <c r="AR386" i="90" s="1"/>
  <c r="AR387" i="90" s="1"/>
  <c r="AR391" i="90" s="1"/>
  <c r="AR672" i="90"/>
  <c r="AR526" i="90"/>
  <c r="AR530" i="90" s="1"/>
  <c r="AR671" i="90"/>
  <c r="AB671" i="90"/>
  <c r="AB383" i="90"/>
  <c r="AB386" i="90" s="1"/>
  <c r="AB387" i="90" s="1"/>
  <c r="AB391" i="90" s="1"/>
  <c r="AB672" i="90"/>
  <c r="AE669" i="90"/>
  <c r="AE526" i="90"/>
  <c r="AE530" i="90" s="1"/>
  <c r="AE383" i="90"/>
  <c r="AE670" i="90"/>
  <c r="AL669" i="90"/>
  <c r="X383" i="90"/>
  <c r="X670" i="90"/>
  <c r="S175" i="64"/>
  <c r="T175" i="64" s="1"/>
  <c r="U281" i="64"/>
  <c r="I325" i="89"/>
  <c r="I355" i="89"/>
  <c r="I341" i="89"/>
  <c r="V113" i="56"/>
  <c r="W113" i="56" s="1"/>
  <c r="AK383" i="90"/>
  <c r="AK386" i="90" s="1"/>
  <c r="AK387" i="90" s="1"/>
  <c r="AK391" i="90" s="1"/>
  <c r="AK671" i="90"/>
  <c r="AK669" i="90"/>
  <c r="AK526" i="90"/>
  <c r="AK530" i="90" s="1"/>
  <c r="AK672" i="90"/>
  <c r="AQ526" i="90"/>
  <c r="AQ530" i="90" s="1"/>
  <c r="AQ383" i="90"/>
  <c r="AQ672" i="90"/>
  <c r="AQ669" i="90"/>
  <c r="AQ670" i="90"/>
  <c r="V104" i="56"/>
  <c r="U155" i="56"/>
  <c r="U629" i="90"/>
  <c r="T689" i="90"/>
  <c r="U96" i="64"/>
  <c r="U99" i="64"/>
  <c r="M654" i="80"/>
  <c r="M511" i="80"/>
  <c r="AB526" i="90"/>
  <c r="AB530" i="90" s="1"/>
  <c r="AP669" i="90"/>
  <c r="I228" i="89"/>
  <c r="I258" i="89"/>
  <c r="I243" i="89"/>
  <c r="M198" i="89"/>
  <c r="AC671" i="90"/>
  <c r="AC383" i="90"/>
  <c r="AC386" i="90" s="1"/>
  <c r="AC387" i="90" s="1"/>
  <c r="AC391" i="90" s="1"/>
  <c r="AC672" i="90"/>
  <c r="O116" i="80"/>
  <c r="O111" i="80" s="1"/>
  <c r="O212" i="80" s="1"/>
  <c r="O274" i="80"/>
  <c r="O276" i="80" s="1"/>
  <c r="R59" i="56"/>
  <c r="J228" i="89"/>
  <c r="J258" i="89"/>
  <c r="Y482" i="47"/>
  <c r="P482" i="47"/>
  <c r="W482" i="47"/>
  <c r="V482" i="47"/>
  <c r="O482" i="47"/>
  <c r="Q482" i="47"/>
  <c r="S482" i="47"/>
  <c r="O97" i="64"/>
  <c r="V91" i="56"/>
  <c r="W91" i="56" s="1"/>
  <c r="W146" i="56" s="1"/>
  <c r="AB669" i="90"/>
  <c r="V87" i="64"/>
  <c r="V138" i="64" s="1"/>
  <c r="V92" i="64"/>
  <c r="AN669" i="90"/>
  <c r="AN671" i="90"/>
  <c r="AN526" i="90"/>
  <c r="AN530" i="90" s="1"/>
  <c r="AN670" i="90"/>
  <c r="V795" i="90"/>
  <c r="W795" i="90" s="1"/>
  <c r="AP526" i="90"/>
  <c r="AP530" i="90" s="1"/>
  <c r="AA386" i="90"/>
  <c r="AA387" i="90" s="1"/>
  <c r="AA391" i="90" s="1"/>
  <c r="N112" i="64"/>
  <c r="AR670" i="90"/>
  <c r="AK670" i="90"/>
  <c r="W52" i="56"/>
  <c r="X52" i="56" s="1"/>
  <c r="Y52" i="56" s="1"/>
  <c r="V51" i="56"/>
  <c r="X86" i="56"/>
  <c r="Y86" i="56" s="1"/>
  <c r="W175" i="56"/>
  <c r="W107" i="56"/>
  <c r="W158" i="56" s="1"/>
  <c r="Z669" i="90"/>
  <c r="Z670" i="90"/>
  <c r="Z526" i="90"/>
  <c r="X45" i="64"/>
  <c r="X46" i="64" s="1"/>
  <c r="X49" i="64" s="1"/>
  <c r="X35" i="64"/>
  <c r="U150" i="56"/>
  <c r="U152" i="56" s="1"/>
  <c r="T756" i="90"/>
  <c r="U756" i="90" s="1"/>
  <c r="N644" i="90"/>
  <c r="M723" i="90" s="1"/>
  <c r="N723" i="90" s="1"/>
  <c r="O723" i="90" s="1"/>
  <c r="P723" i="90" s="1"/>
  <c r="Q723" i="90" s="1"/>
  <c r="T774" i="90"/>
  <c r="AA671" i="90"/>
  <c r="AA672" i="90"/>
  <c r="Q174" i="80"/>
  <c r="Q171" i="80" s="1"/>
  <c r="Q262" i="80" s="1"/>
  <c r="Q266" i="80" s="1"/>
  <c r="R175" i="80"/>
  <c r="X33" i="64"/>
  <c r="W36" i="64"/>
  <c r="P66" i="88"/>
  <c r="O71" i="88"/>
  <c r="H142" i="89"/>
  <c r="H158" i="89"/>
  <c r="H173" i="89" s="1"/>
  <c r="P91" i="92"/>
  <c r="P124" i="92"/>
  <c r="Q597" i="90"/>
  <c r="G272" i="89"/>
  <c r="G561" i="89"/>
  <c r="N540" i="90"/>
  <c r="O540" i="90" s="1"/>
  <c r="O538" i="90"/>
  <c r="AA91" i="92"/>
  <c r="AA124" i="92"/>
  <c r="Z383" i="90"/>
  <c r="Z386" i="90" s="1"/>
  <c r="Z387" i="90" s="1"/>
  <c r="Z391" i="90" s="1"/>
  <c r="W105" i="56"/>
  <c r="AS672" i="90"/>
  <c r="M274" i="80"/>
  <c r="M276" i="80" s="1"/>
  <c r="M278" i="80" s="1"/>
  <c r="M129" i="80"/>
  <c r="G448" i="89"/>
  <c r="G463" i="89" s="1"/>
  <c r="Q59" i="72"/>
  <c r="T59" i="72" s="1"/>
  <c r="P17" i="72"/>
  <c r="Y232" i="90"/>
  <c r="Y224" i="90" s="1"/>
  <c r="M150" i="89"/>
  <c r="M482" i="64"/>
  <c r="L517" i="64"/>
  <c r="R691" i="90"/>
  <c r="R701" i="90" s="1"/>
  <c r="R671" i="90"/>
  <c r="U17" i="56"/>
  <c r="AS670" i="90"/>
  <c r="AA670" i="90"/>
  <c r="AG670" i="90"/>
  <c r="AG383" i="90"/>
  <c r="AA526" i="90"/>
  <c r="AA530" i="90" s="1"/>
  <c r="W206" i="56"/>
  <c r="K281" i="64"/>
  <c r="U690" i="90"/>
  <c r="K418" i="64"/>
  <c r="K467" i="64" s="1"/>
  <c r="K510" i="64" s="1"/>
  <c r="K336" i="64"/>
  <c r="K226" i="64"/>
  <c r="K225" i="64" s="1"/>
  <c r="O727" i="90"/>
  <c r="N471" i="90"/>
  <c r="O225" i="56"/>
  <c r="L247" i="89"/>
  <c r="T404" i="56"/>
  <c r="U404" i="56"/>
  <c r="V404" i="56" s="1"/>
  <c r="W404" i="56" s="1"/>
  <c r="X404" i="56" s="1"/>
  <c r="Y404" i="56" s="1"/>
  <c r="M776" i="90"/>
  <c r="N776" i="90" s="1"/>
  <c r="AH232" i="90"/>
  <c r="AH224" i="90" s="1"/>
  <c r="Z232" i="90"/>
  <c r="Z224" i="90" s="1"/>
  <c r="AS178" i="90"/>
  <c r="AS25" i="90" s="1"/>
  <c r="AS174" i="90"/>
  <c r="R174" i="90"/>
  <c r="R240" i="90" s="1"/>
  <c r="R417" i="90" s="1"/>
  <c r="R236" i="90"/>
  <c r="R178" i="90"/>
  <c r="R25" i="90" s="1"/>
  <c r="R26" i="90" s="1"/>
  <c r="R414" i="90" s="1"/>
  <c r="W52" i="90"/>
  <c r="X53" i="90"/>
  <c r="R878" i="90"/>
  <c r="V878" i="90" s="1"/>
  <c r="W878" i="90" s="1"/>
  <c r="X878" i="90" s="1"/>
  <c r="Y878" i="90" s="1"/>
  <c r="Z878" i="90" s="1"/>
  <c r="AA878" i="90" s="1"/>
  <c r="AB878" i="90" s="1"/>
  <c r="AC878" i="90" s="1"/>
  <c r="AD878" i="90" s="1"/>
  <c r="AE878" i="90" s="1"/>
  <c r="AF878" i="90" s="1"/>
  <c r="AG878" i="90" s="1"/>
  <c r="AH878" i="90" s="1"/>
  <c r="AI878" i="90" s="1"/>
  <c r="AJ878" i="90" s="1"/>
  <c r="AK878" i="90" s="1"/>
  <c r="AL878" i="90" s="1"/>
  <c r="AM878" i="90" s="1"/>
  <c r="AN878" i="90" s="1"/>
  <c r="AO878" i="90" s="1"/>
  <c r="AP878" i="90" s="1"/>
  <c r="AQ878" i="90" s="1"/>
  <c r="AR878" i="90" s="1"/>
  <c r="AS878" i="90" s="1"/>
  <c r="AT878" i="90" s="1"/>
  <c r="AU878" i="90" s="1"/>
  <c r="M530" i="56"/>
  <c r="M565" i="56" s="1"/>
  <c r="M579" i="56" s="1"/>
  <c r="Q59" i="56"/>
  <c r="O854" i="90"/>
  <c r="O868" i="90" s="1"/>
  <c r="P819" i="90"/>
  <c r="P854" i="90" s="1"/>
  <c r="P868" i="90" s="1"/>
  <c r="N707" i="90"/>
  <c r="O702" i="90"/>
  <c r="P702" i="90" s="1"/>
  <c r="Q702" i="90" s="1"/>
  <c r="AJ605" i="90"/>
  <c r="AK605" i="90"/>
  <c r="P418" i="90"/>
  <c r="P428" i="90" s="1"/>
  <c r="P814" i="90"/>
  <c r="P838" i="90" s="1"/>
  <c r="K574" i="88"/>
  <c r="L573" i="88"/>
  <c r="L574" i="88" s="1"/>
  <c r="M145" i="89"/>
  <c r="J145" i="89"/>
  <c r="K145" i="89" s="1"/>
  <c r="L145" i="89" s="1"/>
  <c r="P365" i="56"/>
  <c r="AT670" i="90"/>
  <c r="AT526" i="90"/>
  <c r="AT530" i="90" s="1"/>
  <c r="S90" i="47"/>
  <c r="Q51" i="56"/>
  <c r="E475" i="56"/>
  <c r="E476" i="56" s="1"/>
  <c r="E477" i="56" s="1"/>
  <c r="E478" i="56" s="1"/>
  <c r="E479" i="56" s="1"/>
  <c r="F474" i="56"/>
  <c r="W474" i="56" s="1"/>
  <c r="V54" i="56"/>
  <c r="V55" i="56" s="1"/>
  <c r="V29" i="56" s="1"/>
  <c r="U821" i="90"/>
  <c r="O398" i="56"/>
  <c r="P138" i="56"/>
  <c r="P294" i="56"/>
  <c r="P344" i="56"/>
  <c r="P264" i="56"/>
  <c r="P218" i="56"/>
  <c r="P494" i="56"/>
  <c r="P394" i="56"/>
  <c r="Q7" i="56"/>
  <c r="Q264" i="56" s="1"/>
  <c r="P81" i="56"/>
  <c r="O853" i="90"/>
  <c r="O867" i="90" s="1"/>
  <c r="O871" i="90" s="1"/>
  <c r="O875" i="90" s="1"/>
  <c r="O434" i="90" s="1"/>
  <c r="P40" i="57" s="1"/>
  <c r="P75" i="57" s="1"/>
  <c r="P174" i="57" s="1"/>
  <c r="O821" i="90"/>
  <c r="P853" i="90"/>
  <c r="P867" i="90" s="1"/>
  <c r="AB605" i="90"/>
  <c r="N482" i="90"/>
  <c r="N595" i="90"/>
  <c r="N597" i="90" s="1"/>
  <c r="N598" i="90" s="1"/>
  <c r="N517" i="90" s="1"/>
  <c r="O517" i="90" s="1"/>
  <c r="P69" i="57" s="1"/>
  <c r="M463" i="90"/>
  <c r="O814" i="90"/>
  <c r="O838" i="90" s="1"/>
  <c r="P14" i="57"/>
  <c r="P129" i="57" s="1"/>
  <c r="Q487" i="90"/>
  <c r="V820" i="90"/>
  <c r="Q398" i="64"/>
  <c r="P398" i="64"/>
  <c r="V398" i="64"/>
  <c r="N14" i="56"/>
  <c r="N59" i="56"/>
  <c r="R863" i="90"/>
  <c r="V863" i="90" s="1"/>
  <c r="W863" i="90" s="1"/>
  <c r="X863" i="90" s="1"/>
  <c r="Y863" i="90" s="1"/>
  <c r="Z863" i="90" s="1"/>
  <c r="AA863" i="90" s="1"/>
  <c r="AB863" i="90" s="1"/>
  <c r="AC863" i="90" s="1"/>
  <c r="AD863" i="90" s="1"/>
  <c r="AE863" i="90" s="1"/>
  <c r="AF863" i="90" s="1"/>
  <c r="AG863" i="90" s="1"/>
  <c r="AH863" i="90" s="1"/>
  <c r="AI863" i="90" s="1"/>
  <c r="AJ863" i="90" s="1"/>
  <c r="AK863" i="90" s="1"/>
  <c r="AL863" i="90" s="1"/>
  <c r="AM863" i="90" s="1"/>
  <c r="AN863" i="90" s="1"/>
  <c r="AO863" i="90" s="1"/>
  <c r="AP863" i="90" s="1"/>
  <c r="AQ863" i="90" s="1"/>
  <c r="AR863" i="90" s="1"/>
  <c r="AS863" i="90" s="1"/>
  <c r="AT863" i="90" s="1"/>
  <c r="AU863" i="90" s="1"/>
  <c r="Q870" i="90"/>
  <c r="V632" i="90"/>
  <c r="W632" i="90" s="1"/>
  <c r="X632" i="90" s="1"/>
  <c r="Y632" i="90" s="1"/>
  <c r="Z632" i="90" s="1"/>
  <c r="AA632" i="90" s="1"/>
  <c r="AB632" i="90" s="1"/>
  <c r="AC632" i="90" s="1"/>
  <c r="AD632" i="90" s="1"/>
  <c r="AE632" i="90" s="1"/>
  <c r="AF632" i="90" s="1"/>
  <c r="AG632" i="90" s="1"/>
  <c r="AH632" i="90" s="1"/>
  <c r="AI632" i="90" s="1"/>
  <c r="AJ632" i="90" s="1"/>
  <c r="AK632" i="90" s="1"/>
  <c r="AL632" i="90" s="1"/>
  <c r="AM632" i="90" s="1"/>
  <c r="AN632" i="90" s="1"/>
  <c r="AO632" i="90" s="1"/>
  <c r="AP632" i="90" s="1"/>
  <c r="AQ632" i="90" s="1"/>
  <c r="AR632" i="90" s="1"/>
  <c r="AS632" i="90" s="1"/>
  <c r="AT632" i="90" s="1"/>
  <c r="AU632" i="90" s="1"/>
  <c r="N606" i="90"/>
  <c r="O601" i="90"/>
  <c r="P601" i="90" s="1"/>
  <c r="Q601" i="90" s="1"/>
  <c r="R601" i="90" s="1"/>
  <c r="V601" i="90" s="1"/>
  <c r="W601" i="90" s="1"/>
  <c r="X601" i="90" s="1"/>
  <c r="Y601" i="90" s="1"/>
  <c r="Z601" i="90" s="1"/>
  <c r="AA601" i="90" s="1"/>
  <c r="AB601" i="90" s="1"/>
  <c r="AC601" i="90" s="1"/>
  <c r="AD601" i="90" s="1"/>
  <c r="AE601" i="90" s="1"/>
  <c r="AF601" i="90" s="1"/>
  <c r="AG601" i="90" s="1"/>
  <c r="AH601" i="90" s="1"/>
  <c r="AI601" i="90" s="1"/>
  <c r="AJ601" i="90" s="1"/>
  <c r="AK601" i="90" s="1"/>
  <c r="AL601" i="90" s="1"/>
  <c r="AM601" i="90" s="1"/>
  <c r="AN601" i="90" s="1"/>
  <c r="AO601" i="90" s="1"/>
  <c r="AP601" i="90" s="1"/>
  <c r="AQ601" i="90" s="1"/>
  <c r="AR601" i="90" s="1"/>
  <c r="AS601" i="90" s="1"/>
  <c r="AT601" i="90" s="1"/>
  <c r="AU601" i="90" s="1"/>
  <c r="AN174" i="90"/>
  <c r="AN178" i="90"/>
  <c r="AN25" i="90" s="1"/>
  <c r="AU174" i="90"/>
  <c r="H459" i="88"/>
  <c r="H464" i="88" s="1"/>
  <c r="H320" i="88" s="1"/>
  <c r="I459" i="88"/>
  <c r="M206" i="80"/>
  <c r="M208" i="80" s="1"/>
  <c r="M510" i="89"/>
  <c r="M514" i="89" s="1"/>
  <c r="M414" i="89"/>
  <c r="M418" i="89" s="1"/>
  <c r="Q57" i="56"/>
  <c r="L565" i="56"/>
  <c r="L579" i="56" s="1"/>
  <c r="R855" i="90"/>
  <c r="R869" i="90" s="1"/>
  <c r="U669" i="90"/>
  <c r="T679" i="90"/>
  <c r="P605" i="90"/>
  <c r="P610" i="90" s="1"/>
  <c r="P518" i="90" s="1"/>
  <c r="AO582" i="90"/>
  <c r="AG582" i="90"/>
  <c r="AJ178" i="90"/>
  <c r="AJ25" i="90" s="1"/>
  <c r="AJ175" i="90"/>
  <c r="L531" i="88"/>
  <c r="M531" i="88" s="1"/>
  <c r="K532" i="88"/>
  <c r="I484" i="88"/>
  <c r="I490" i="88" s="1"/>
  <c r="I328" i="88"/>
  <c r="I332" i="88" s="1"/>
  <c r="F364" i="89"/>
  <c r="F369" i="89" s="1"/>
  <c r="F23" i="89"/>
  <c r="F27" i="89" s="1"/>
  <c r="AS232" i="90"/>
  <c r="AS224" i="90" s="1"/>
  <c r="AN232" i="90"/>
  <c r="AN224" i="90" s="1"/>
  <c r="G579" i="88"/>
  <c r="G593" i="88" s="1"/>
  <c r="G596" i="88" s="1"/>
  <c r="G600" i="88" s="1"/>
  <c r="H579" i="88"/>
  <c r="H593" i="88" s="1"/>
  <c r="H544" i="88"/>
  <c r="X236" i="90"/>
  <c r="Q55" i="56"/>
  <c r="Q29" i="56" s="1"/>
  <c r="M11" i="70"/>
  <c r="M703" i="90"/>
  <c r="H479" i="88"/>
  <c r="H481" i="88" s="1"/>
  <c r="Q383" i="90"/>
  <c r="U110" i="88"/>
  <c r="U109" i="88"/>
  <c r="O41" i="88"/>
  <c r="O478" i="88" s="1"/>
  <c r="N477" i="88"/>
  <c r="N478" i="88"/>
  <c r="P306" i="79"/>
  <c r="P416" i="79"/>
  <c r="H36" i="89"/>
  <c r="H277" i="89"/>
  <c r="P57" i="56"/>
  <c r="N698" i="90"/>
  <c r="O699" i="90"/>
  <c r="O704" i="90" s="1"/>
  <c r="N704" i="90"/>
  <c r="AH633" i="90"/>
  <c r="N523" i="90"/>
  <c r="O523" i="90" s="1"/>
  <c r="AH178" i="90"/>
  <c r="AH25" i="90" s="1"/>
  <c r="V52" i="90"/>
  <c r="G536" i="88"/>
  <c r="G292" i="88" s="1"/>
  <c r="H292" i="88" s="1"/>
  <c r="I292" i="88" s="1"/>
  <c r="J292" i="88" s="1"/>
  <c r="K292" i="88" s="1"/>
  <c r="K434" i="88"/>
  <c r="L434" i="88" s="1"/>
  <c r="M434" i="88" s="1"/>
  <c r="N434" i="88" s="1"/>
  <c r="O434" i="88" s="1"/>
  <c r="P434" i="88" s="1"/>
  <c r="Q434" i="88" s="1"/>
  <c r="R434" i="88" s="1"/>
  <c r="S434" i="88" s="1"/>
  <c r="T434" i="88" s="1"/>
  <c r="U434" i="88" s="1"/>
  <c r="V434" i="88" s="1"/>
  <c r="W434" i="88" s="1"/>
  <c r="X434" i="88" s="1"/>
  <c r="Y434" i="88" s="1"/>
  <c r="Z434" i="88" s="1"/>
  <c r="AA434" i="88" s="1"/>
  <c r="AB434" i="88" s="1"/>
  <c r="AC434" i="88" s="1"/>
  <c r="AD434" i="88" s="1"/>
  <c r="AE434" i="88" s="1"/>
  <c r="AF434" i="88" s="1"/>
  <c r="AG434" i="88" s="1"/>
  <c r="AH434" i="88" s="1"/>
  <c r="AI434" i="88" s="1"/>
  <c r="J442" i="88"/>
  <c r="J268" i="88" s="1"/>
  <c r="J267" i="88" s="1"/>
  <c r="T109" i="88"/>
  <c r="T110" i="88"/>
  <c r="T135" i="88" s="1"/>
  <c r="AF109" i="88"/>
  <c r="AF110" i="88"/>
  <c r="AF113" i="88"/>
  <c r="P109" i="88"/>
  <c r="P113" i="88"/>
  <c r="L138" i="80"/>
  <c r="L232" i="80" s="1"/>
  <c r="L236" i="80" s="1"/>
  <c r="L238" i="80" s="1"/>
  <c r="M161" i="80"/>
  <c r="M252" i="80" s="1"/>
  <c r="M256" i="80" s="1"/>
  <c r="M258" i="80" s="1"/>
  <c r="U231" i="56"/>
  <c r="W202" i="56"/>
  <c r="N136" i="79"/>
  <c r="N230" i="79" s="1"/>
  <c r="M11" i="56"/>
  <c r="O27" i="72"/>
  <c r="N715" i="90"/>
  <c r="AO633" i="90"/>
  <c r="AS605" i="90"/>
  <c r="AC605" i="90"/>
  <c r="AI582" i="90"/>
  <c r="AI232" i="90"/>
  <c r="AI224" i="90" s="1"/>
  <c r="AT224" i="90"/>
  <c r="AD232" i="90"/>
  <c r="AD224" i="90" s="1"/>
  <c r="AL178" i="90"/>
  <c r="AL25" i="90" s="1"/>
  <c r="V139" i="90"/>
  <c r="V154" i="90" s="1"/>
  <c r="V132" i="90"/>
  <c r="V204" i="90" s="1"/>
  <c r="V205" i="90" s="1"/>
  <c r="H444" i="88"/>
  <c r="L147" i="88"/>
  <c r="M147" i="88" s="1"/>
  <c r="N147" i="88" s="1"/>
  <c r="O147" i="88" s="1"/>
  <c r="P147" i="88" s="1"/>
  <c r="Q147" i="88" s="1"/>
  <c r="AD633" i="90"/>
  <c r="X605" i="90"/>
  <c r="AR582" i="90"/>
  <c r="AB582" i="90"/>
  <c r="AQ232" i="90"/>
  <c r="AQ224" i="90" s="1"/>
  <c r="AA232" i="90"/>
  <c r="AA224" i="90" s="1"/>
  <c r="AL232" i="90"/>
  <c r="AL224" i="90" s="1"/>
  <c r="AG232" i="90"/>
  <c r="AG224" i="90" s="1"/>
  <c r="AB232" i="90"/>
  <c r="AB224" i="90" s="1"/>
  <c r="AU224" i="90"/>
  <c r="AI178" i="90"/>
  <c r="AI25" i="90" s="1"/>
  <c r="K343" i="88"/>
  <c r="I545" i="88"/>
  <c r="I580" i="88" s="1"/>
  <c r="I594" i="88" s="1"/>
  <c r="L479" i="88"/>
  <c r="L481" i="88" s="1"/>
  <c r="O357" i="88"/>
  <c r="O358" i="88" s="1"/>
  <c r="J343" i="88"/>
  <c r="L151" i="88"/>
  <c r="AB109" i="88"/>
  <c r="S172" i="92"/>
  <c r="T172" i="92" s="1"/>
  <c r="U172" i="92"/>
  <c r="V172" i="92" s="1"/>
  <c r="W172" i="92" s="1"/>
  <c r="X172" i="92" s="1"/>
  <c r="Y172" i="92" s="1"/>
  <c r="Z172" i="92" s="1"/>
  <c r="AA172" i="92" s="1"/>
  <c r="AB172" i="92" s="1"/>
  <c r="AC172" i="92" s="1"/>
  <c r="AD172" i="92" s="1"/>
  <c r="AE172" i="92" s="1"/>
  <c r="AF172" i="92" s="1"/>
  <c r="AG172" i="92" s="1"/>
  <c r="N235" i="47"/>
  <c r="J573" i="56"/>
  <c r="K573" i="56" s="1"/>
  <c r="L573" i="56" s="1"/>
  <c r="I580" i="56"/>
  <c r="I583" i="56" s="1"/>
  <c r="I587" i="56" s="1"/>
  <c r="I248" i="56" s="1"/>
  <c r="L51" i="72"/>
  <c r="M47" i="72"/>
  <c r="L48" i="72"/>
  <c r="K90" i="88"/>
  <c r="L71" i="88"/>
  <c r="I345" i="89"/>
  <c r="I346" i="89" s="1"/>
  <c r="I347" i="89" s="1"/>
  <c r="I351" i="89" s="1"/>
  <c r="G56" i="89"/>
  <c r="G146" i="89"/>
  <c r="H2" i="89"/>
  <c r="G131" i="89"/>
  <c r="N240" i="47"/>
  <c r="Q855" i="90"/>
  <c r="Q869" i="90" s="1"/>
  <c r="Q540" i="90"/>
  <c r="AD605" i="90"/>
  <c r="AP582" i="90"/>
  <c r="Z582" i="90"/>
  <c r="R582" i="90"/>
  <c r="AC224" i="90"/>
  <c r="AQ178" i="90"/>
  <c r="AQ25" i="90" s="1"/>
  <c r="AG178" i="90"/>
  <c r="AG25" i="90" s="1"/>
  <c r="AG174" i="90"/>
  <c r="J484" i="88"/>
  <c r="J490" i="88" s="1"/>
  <c r="J457" i="88"/>
  <c r="J458" i="88" s="1"/>
  <c r="J459" i="88" s="1"/>
  <c r="N73" i="88"/>
  <c r="AF368" i="92"/>
  <c r="AD368" i="92"/>
  <c r="AE368" i="92"/>
  <c r="AG368" i="92"/>
  <c r="Z360" i="92"/>
  <c r="V360" i="92"/>
  <c r="AE360" i="92"/>
  <c r="W360" i="92"/>
  <c r="AF360" i="92"/>
  <c r="X360" i="92"/>
  <c r="AG360" i="92"/>
  <c r="AA360" i="92"/>
  <c r="AB360" i="92"/>
  <c r="AC360" i="92"/>
  <c r="L198" i="47"/>
  <c r="W481" i="56"/>
  <c r="X481" i="56"/>
  <c r="J236" i="56"/>
  <c r="J272" i="56" s="1"/>
  <c r="N300" i="64"/>
  <c r="N104" i="57" s="1"/>
  <c r="N473" i="64"/>
  <c r="AG367" i="92"/>
  <c r="AC367" i="92"/>
  <c r="AD367" i="92"/>
  <c r="AE367" i="92"/>
  <c r="AE124" i="92"/>
  <c r="W124" i="92"/>
  <c r="P198" i="56"/>
  <c r="P128" i="56"/>
  <c r="M54" i="56"/>
  <c r="M55" i="56" s="1"/>
  <c r="M56" i="56"/>
  <c r="M57" i="56" s="1"/>
  <c r="K454" i="64"/>
  <c r="P122" i="79"/>
  <c r="Q123" i="79"/>
  <c r="R123" i="79" s="1"/>
  <c r="S123" i="79" s="1"/>
  <c r="S122" i="79" s="1"/>
  <c r="L358" i="88"/>
  <c r="F561" i="89"/>
  <c r="P453" i="92"/>
  <c r="P467" i="92" s="1"/>
  <c r="R300" i="64"/>
  <c r="R473" i="64"/>
  <c r="AM633" i="90"/>
  <c r="W633" i="90"/>
  <c r="AH605" i="90"/>
  <c r="Q562" i="90"/>
  <c r="O392" i="90"/>
  <c r="AM232" i="90"/>
  <c r="AM224" i="90" s="1"/>
  <c r="X232" i="90"/>
  <c r="X224" i="90" s="1"/>
  <c r="L155" i="88"/>
  <c r="N71" i="88"/>
  <c r="AD361" i="92"/>
  <c r="W361" i="92"/>
  <c r="AE361" i="92"/>
  <c r="AF361" i="92"/>
  <c r="V68" i="56"/>
  <c r="U72" i="56"/>
  <c r="U75" i="56" s="1"/>
  <c r="U15" i="56" s="1"/>
  <c r="U198" i="56" s="1"/>
  <c r="P119" i="56"/>
  <c r="P188" i="56" s="1"/>
  <c r="P118" i="56"/>
  <c r="P187" i="56" s="1"/>
  <c r="L489" i="64"/>
  <c r="L297" i="64" s="1"/>
  <c r="L95" i="57" s="1"/>
  <c r="L480" i="64"/>
  <c r="Q360" i="79"/>
  <c r="Q410" i="79"/>
  <c r="Q509" i="79"/>
  <c r="Q556" i="79"/>
  <c r="Q328" i="79"/>
  <c r="Q606" i="79"/>
  <c r="AC366" i="92"/>
  <c r="AE364" i="92"/>
  <c r="Z359" i="92"/>
  <c r="O108" i="92"/>
  <c r="O79" i="92"/>
  <c r="P55" i="92"/>
  <c r="P85" i="92" s="1"/>
  <c r="Z37" i="92"/>
  <c r="Z12" i="92" s="1"/>
  <c r="Z99" i="92" s="1"/>
  <c r="Z126" i="92" s="1"/>
  <c r="N226" i="47"/>
  <c r="N225" i="47"/>
  <c r="L11" i="47"/>
  <c r="M7" i="57" s="1"/>
  <c r="J109" i="56"/>
  <c r="J154" i="56"/>
  <c r="J229" i="56" s="1"/>
  <c r="L40" i="72"/>
  <c r="M38" i="72"/>
  <c r="Q440" i="79"/>
  <c r="Q612" i="79"/>
  <c r="O111" i="79"/>
  <c r="O110" i="79" s="1"/>
  <c r="N110" i="79"/>
  <c r="O240" i="79"/>
  <c r="O242" i="79"/>
  <c r="P254" i="79"/>
  <c r="M204" i="79"/>
  <c r="I398" i="89"/>
  <c r="M28" i="89"/>
  <c r="Q426" i="92"/>
  <c r="AB366" i="92"/>
  <c r="AD364" i="92"/>
  <c r="AG359" i="92"/>
  <c r="W359" i="92"/>
  <c r="O281" i="92"/>
  <c r="O151" i="92"/>
  <c r="N224" i="47"/>
  <c r="J309" i="56"/>
  <c r="Q96" i="56"/>
  <c r="U96" i="56" s="1"/>
  <c r="V96" i="56" s="1"/>
  <c r="W96" i="56" s="1"/>
  <c r="J336" i="64"/>
  <c r="J340" i="64" s="1"/>
  <c r="J341" i="64" s="1"/>
  <c r="L159" i="64"/>
  <c r="L24" i="57" s="1"/>
  <c r="N670" i="79"/>
  <c r="O670" i="79" s="1"/>
  <c r="M684" i="79"/>
  <c r="M686" i="79" s="1"/>
  <c r="M311" i="79" s="1"/>
  <c r="M421" i="79" s="1"/>
  <c r="O22" i="79"/>
  <c r="O268" i="79" s="1"/>
  <c r="P60" i="79"/>
  <c r="P22" i="79" s="1"/>
  <c r="P268" i="79" s="1"/>
  <c r="R88" i="47"/>
  <c r="R86" i="47"/>
  <c r="AC364" i="92"/>
  <c r="Q160" i="56"/>
  <c r="Q92" i="56"/>
  <c r="Q88" i="56"/>
  <c r="K156" i="64"/>
  <c r="K154" i="64" s="1"/>
  <c r="K194" i="64" s="1"/>
  <c r="M26" i="72"/>
  <c r="L16" i="72"/>
  <c r="Q461" i="79"/>
  <c r="M328" i="79"/>
  <c r="M606" i="79"/>
  <c r="T188" i="56"/>
  <c r="T72" i="56"/>
  <c r="T75" i="56" s="1"/>
  <c r="AB365" i="92"/>
  <c r="Z364" i="92"/>
  <c r="V37" i="92"/>
  <c r="V12" i="92" s="1"/>
  <c r="V99" i="92" s="1"/>
  <c r="V126" i="92" s="1"/>
  <c r="U37" i="92"/>
  <c r="Q86" i="47"/>
  <c r="I330" i="56"/>
  <c r="I332" i="56" s="1"/>
  <c r="P194" i="56"/>
  <c r="M37" i="72"/>
  <c r="M16" i="72"/>
  <c r="P410" i="79"/>
  <c r="P509" i="79"/>
  <c r="P556" i="79"/>
  <c r="P360" i="79"/>
  <c r="P606" i="79"/>
  <c r="P652" i="79"/>
  <c r="P459" i="79"/>
  <c r="M143" i="79"/>
  <c r="M136" i="79" s="1"/>
  <c r="M230" i="79" s="1"/>
  <c r="R228" i="79"/>
  <c r="R234" i="79" s="1"/>
  <c r="M148" i="56"/>
  <c r="M414" i="56" s="1"/>
  <c r="M303" i="56" s="1"/>
  <c r="Q362" i="79"/>
  <c r="Q412" i="79"/>
  <c r="Q511" i="79"/>
  <c r="Q558" i="79"/>
  <c r="Q330" i="79"/>
  <c r="O200" i="79"/>
  <c r="P95" i="79"/>
  <c r="P200" i="79" s="1"/>
  <c r="G479" i="88"/>
  <c r="G481" i="88" s="1"/>
  <c r="H461" i="88"/>
  <c r="H282" i="88" s="1"/>
  <c r="M71" i="88"/>
  <c r="F11" i="85"/>
  <c r="P476" i="92"/>
  <c r="P478" i="92" s="1"/>
  <c r="P136" i="92" s="1"/>
  <c r="P242" i="92" s="1"/>
  <c r="P265" i="92"/>
  <c r="O381" i="92"/>
  <c r="AG364" i="92"/>
  <c r="AB359" i="92"/>
  <c r="O330" i="92"/>
  <c r="Q86" i="92"/>
  <c r="S86" i="92" s="1"/>
  <c r="T86" i="92" s="1"/>
  <c r="AB37" i="92"/>
  <c r="AB12" i="92" s="1"/>
  <c r="AB99" i="92" s="1"/>
  <c r="AB126" i="92" s="1"/>
  <c r="J565" i="56"/>
  <c r="J579" i="56" s="1"/>
  <c r="U210" i="56"/>
  <c r="V210" i="56" s="1"/>
  <c r="W210" i="56" s="1"/>
  <c r="O481" i="64"/>
  <c r="K350" i="64"/>
  <c r="L37" i="72"/>
  <c r="K40" i="72"/>
  <c r="M521" i="79"/>
  <c r="Q366" i="79"/>
  <c r="P328" i="79"/>
  <c r="L328" i="79"/>
  <c r="L606" i="79"/>
  <c r="L652" i="79"/>
  <c r="L459" i="79"/>
  <c r="P119" i="79"/>
  <c r="Q120" i="79"/>
  <c r="R120" i="79" s="1"/>
  <c r="O32" i="79"/>
  <c r="N13" i="79"/>
  <c r="T381" i="47"/>
  <c r="U95" i="57" s="1"/>
  <c r="T95" i="57" s="1"/>
  <c r="L142" i="89"/>
  <c r="L150" i="89" s="1"/>
  <c r="L277" i="89"/>
  <c r="O608" i="80"/>
  <c r="Q146" i="80"/>
  <c r="L362" i="80"/>
  <c r="L513" i="80"/>
  <c r="N662" i="80"/>
  <c r="N678" i="80" s="1"/>
  <c r="O654" i="80"/>
  <c r="L13" i="80"/>
  <c r="L210" i="80" s="1"/>
  <c r="L22" i="80"/>
  <c r="L270" i="80" s="1"/>
  <c r="L608" i="80"/>
  <c r="L610" i="80"/>
  <c r="L301" i="80"/>
  <c r="L298" i="80" s="1"/>
  <c r="S384" i="80"/>
  <c r="S388" i="80" s="1"/>
  <c r="I388" i="80"/>
  <c r="I394" i="80" s="1"/>
  <c r="I398" i="80" s="1"/>
  <c r="M473" i="80"/>
  <c r="L594" i="80"/>
  <c r="L596" i="80" s="1"/>
  <c r="S248" i="92"/>
  <c r="T87" i="57" s="1"/>
  <c r="J53" i="72"/>
  <c r="L28" i="72"/>
  <c r="M677" i="79"/>
  <c r="N657" i="79"/>
  <c r="N673" i="79" s="1"/>
  <c r="R592" i="79"/>
  <c r="Q592" i="79"/>
  <c r="L461" i="79"/>
  <c r="R444" i="79"/>
  <c r="P234" i="79"/>
  <c r="O71" i="79"/>
  <c r="O202" i="79" s="1"/>
  <c r="N17" i="79"/>
  <c r="N228" i="79" s="1"/>
  <c r="L274" i="79"/>
  <c r="J345" i="89"/>
  <c r="J346" i="89" s="1"/>
  <c r="J347" i="89" s="1"/>
  <c r="T383" i="90"/>
  <c r="U820" i="90"/>
  <c r="T230" i="56"/>
  <c r="T457" i="47"/>
  <c r="H344" i="89"/>
  <c r="H346" i="89" s="1"/>
  <c r="H347" i="89" s="1"/>
  <c r="L622" i="80"/>
  <c r="L625" i="80" s="1"/>
  <c r="L391" i="80" s="1"/>
  <c r="K639" i="80"/>
  <c r="K390" i="80" s="1"/>
  <c r="L354" i="64"/>
  <c r="L355" i="64" s="1"/>
  <c r="S608" i="79"/>
  <c r="S606" i="79"/>
  <c r="P592" i="79"/>
  <c r="M299" i="79"/>
  <c r="M296" i="79" s="1"/>
  <c r="Q254" i="79"/>
  <c r="L228" i="79"/>
  <c r="L234" i="79" s="1"/>
  <c r="T155" i="90"/>
  <c r="U530" i="90"/>
  <c r="L463" i="80"/>
  <c r="M26" i="80"/>
  <c r="L345" i="80"/>
  <c r="P206" i="80"/>
  <c r="O16" i="80"/>
  <c r="O25" i="80"/>
  <c r="M132" i="80"/>
  <c r="O301" i="80"/>
  <c r="O532" i="80"/>
  <c r="O521" i="80" s="1"/>
  <c r="R622" i="80"/>
  <c r="R660" i="80" s="1"/>
  <c r="R676" i="80" s="1"/>
  <c r="L337" i="89"/>
  <c r="L345" i="89" s="1"/>
  <c r="K135" i="64"/>
  <c r="K165" i="64" s="1"/>
  <c r="K164" i="64" s="1"/>
  <c r="R135" i="64"/>
  <c r="R165" i="64" s="1"/>
  <c r="R164" i="64" s="1"/>
  <c r="N630" i="79"/>
  <c r="N437" i="79" s="1"/>
  <c r="Q526" i="79"/>
  <c r="R386" i="79"/>
  <c r="S362" i="79"/>
  <c r="M287" i="79"/>
  <c r="M558" i="79" s="1"/>
  <c r="M264" i="79"/>
  <c r="L204" i="79"/>
  <c r="N232" i="79"/>
  <c r="L208" i="79"/>
  <c r="L214" i="79" s="1"/>
  <c r="H8" i="89"/>
  <c r="K122" i="89"/>
  <c r="T778" i="90"/>
  <c r="U778" i="90" s="1"/>
  <c r="O624" i="80"/>
  <c r="O662" i="80" s="1"/>
  <c r="O678" i="80" s="1"/>
  <c r="L461" i="80"/>
  <c r="O461" i="80"/>
  <c r="O362" i="80"/>
  <c r="L332" i="80"/>
  <c r="Q206" i="80"/>
  <c r="P226" i="80"/>
  <c r="N220" i="80"/>
  <c r="L266" i="80"/>
  <c r="I368" i="80"/>
  <c r="I374" i="80" s="1"/>
  <c r="I381" i="80" s="1"/>
  <c r="J384" i="80"/>
  <c r="J388" i="80" s="1"/>
  <c r="J394" i="80" s="1"/>
  <c r="J398" i="80" s="1"/>
  <c r="S442" i="80"/>
  <c r="K675" i="80"/>
  <c r="K680" i="80" s="1"/>
  <c r="K684" i="80" s="1"/>
  <c r="L234" i="89"/>
  <c r="O21" i="79"/>
  <c r="O258" i="79" s="1"/>
  <c r="K235" i="89"/>
  <c r="K238" i="89" s="1"/>
  <c r="K247" i="89" s="1"/>
  <c r="T175" i="90"/>
  <c r="U175" i="90" s="1"/>
  <c r="T870" i="90"/>
  <c r="U870" i="90" s="1"/>
  <c r="T88" i="56"/>
  <c r="T143" i="56" s="1"/>
  <c r="T231" i="56"/>
  <c r="L510" i="89"/>
  <c r="L514" i="89" s="1"/>
  <c r="M300" i="80"/>
  <c r="L330" i="80"/>
  <c r="R206" i="80"/>
  <c r="O230" i="80"/>
  <c r="O236" i="80" s="1"/>
  <c r="P23" i="80"/>
  <c r="P272" i="80" s="1"/>
  <c r="N26" i="80"/>
  <c r="O279" i="80"/>
  <c r="P254" i="80"/>
  <c r="M210" i="80"/>
  <c r="L179" i="80"/>
  <c r="Q368" i="80"/>
  <c r="P384" i="80"/>
  <c r="P388" i="80" s="1"/>
  <c r="R560" i="80"/>
  <c r="R610" i="80"/>
  <c r="E8" i="95"/>
  <c r="C12" i="95"/>
  <c r="M675" i="79"/>
  <c r="M678" i="79" s="1"/>
  <c r="M682" i="79" s="1"/>
  <c r="M310" i="79" s="1"/>
  <c r="M420" i="79" s="1"/>
  <c r="M274" i="79"/>
  <c r="R254" i="79"/>
  <c r="O146" i="79"/>
  <c r="O136" i="79" s="1"/>
  <c r="O230" i="79" s="1"/>
  <c r="L224" i="79"/>
  <c r="U639" i="90"/>
  <c r="T877" i="90"/>
  <c r="T92" i="56"/>
  <c r="T89" i="56"/>
  <c r="T144" i="56" s="1"/>
  <c r="L414" i="80"/>
  <c r="L43" i="80"/>
  <c r="O414" i="80"/>
  <c r="O214" i="80"/>
  <c r="L656" i="80"/>
  <c r="M289" i="80"/>
  <c r="N289" i="80" s="1"/>
  <c r="Q75" i="80"/>
  <c r="S206" i="80"/>
  <c r="M25" i="80"/>
  <c r="L112" i="80"/>
  <c r="P148" i="80"/>
  <c r="P138" i="80" s="1"/>
  <c r="P232" i="80" s="1"/>
  <c r="S362" i="80"/>
  <c r="P368" i="80"/>
  <c r="R414" i="80"/>
  <c r="J446" i="80"/>
  <c r="J448" i="80" s="1"/>
  <c r="J451" i="80" s="1"/>
  <c r="C19" i="95"/>
  <c r="T90" i="56"/>
  <c r="T145" i="56" s="1"/>
  <c r="L412" i="80"/>
  <c r="L654" i="80"/>
  <c r="O656" i="80"/>
  <c r="Q36" i="80"/>
  <c r="S226" i="80"/>
  <c r="O13" i="80"/>
  <c r="O210" i="80" s="1"/>
  <c r="O21" i="80"/>
  <c r="O260" i="80" s="1"/>
  <c r="O266" i="80" s="1"/>
  <c r="O268" i="80" s="1"/>
  <c r="J432" i="80"/>
  <c r="J434" i="80" s="1"/>
  <c r="J436" i="80" s="1"/>
  <c r="K446" i="80"/>
  <c r="Q430" i="47"/>
  <c r="O198" i="47"/>
  <c r="P48" i="47"/>
  <c r="O431" i="47"/>
  <c r="P428" i="47"/>
  <c r="R3" i="57"/>
  <c r="Q60" i="57"/>
  <c r="G290" i="89"/>
  <c r="G293" i="89" s="1"/>
  <c r="H292" i="89" s="1"/>
  <c r="G279" i="89"/>
  <c r="G281" i="89" s="1"/>
  <c r="Q726" i="90"/>
  <c r="V525" i="64"/>
  <c r="W525" i="64" s="1"/>
  <c r="X525" i="64" s="1"/>
  <c r="Y525" i="64" s="1"/>
  <c r="Z525" i="64" s="1"/>
  <c r="U525" i="64"/>
  <c r="U532" i="64" s="1"/>
  <c r="X190" i="47"/>
  <c r="P537" i="56"/>
  <c r="P566" i="56"/>
  <c r="P580" i="56" s="1"/>
  <c r="N198" i="47"/>
  <c r="W24" i="64"/>
  <c r="N431" i="47"/>
  <c r="AP387" i="90"/>
  <c r="AP391" i="90" s="1"/>
  <c r="Q429" i="47"/>
  <c r="W121" i="47"/>
  <c r="W122" i="47" s="1"/>
  <c r="X124" i="47"/>
  <c r="N470" i="90"/>
  <c r="O797" i="90"/>
  <c r="Y150" i="47"/>
  <c r="AC526" i="90"/>
  <c r="AC530" i="90" s="1"/>
  <c r="AC669" i="90"/>
  <c r="M19" i="79"/>
  <c r="M238" i="79" s="1"/>
  <c r="M244" i="79" s="1"/>
  <c r="M17" i="79"/>
  <c r="M228" i="79" s="1"/>
  <c r="L206" i="80"/>
  <c r="L208" i="80" s="1"/>
  <c r="G159" i="89"/>
  <c r="Y144" i="57"/>
  <c r="T124" i="70"/>
  <c r="AJ526" i="90"/>
  <c r="AJ530" i="90" s="1"/>
  <c r="AJ672" i="90"/>
  <c r="AJ669" i="90"/>
  <c r="AJ670" i="90"/>
  <c r="AU383" i="90"/>
  <c r="AU671" i="90"/>
  <c r="AU670" i="90"/>
  <c r="AL386" i="90"/>
  <c r="AL387" i="90" s="1"/>
  <c r="AL391" i="90" s="1"/>
  <c r="X147" i="57"/>
  <c r="T782" i="90"/>
  <c r="U782" i="90" s="1"/>
  <c r="O112" i="64"/>
  <c r="N52" i="64"/>
  <c r="N14" i="64"/>
  <c r="R172" i="80"/>
  <c r="M488" i="89"/>
  <c r="I518" i="89"/>
  <c r="I533" i="89"/>
  <c r="I547" i="89"/>
  <c r="X672" i="90"/>
  <c r="AJ386" i="90"/>
  <c r="AJ387" i="90" s="1"/>
  <c r="AJ391" i="90" s="1"/>
  <c r="T332" i="90"/>
  <c r="U332" i="90" s="1"/>
  <c r="O65" i="64"/>
  <c r="O113" i="64" s="1"/>
  <c r="P9" i="64"/>
  <c r="O150" i="64"/>
  <c r="O191" i="64" s="1"/>
  <c r="O221" i="64" s="1"/>
  <c r="O272" i="64" s="1"/>
  <c r="O320" i="64" s="1"/>
  <c r="O366" i="64" s="1"/>
  <c r="O420" i="64" s="1"/>
  <c r="O469" i="64" s="1"/>
  <c r="O512" i="64" s="1"/>
  <c r="AE672" i="90"/>
  <c r="AU526" i="90"/>
  <c r="AU530" i="90" s="1"/>
  <c r="AJ671" i="90"/>
  <c r="AP671" i="90"/>
  <c r="S52" i="92"/>
  <c r="T52" i="92" s="1"/>
  <c r="U52" i="92"/>
  <c r="N361" i="56"/>
  <c r="N365" i="56" s="1"/>
  <c r="F475" i="56"/>
  <c r="P475" i="56" s="1"/>
  <c r="AC670" i="90"/>
  <c r="W159" i="56"/>
  <c r="AU669" i="90"/>
  <c r="M106" i="89"/>
  <c r="M107" i="89"/>
  <c r="Y35" i="64"/>
  <c r="Y45" i="64"/>
  <c r="Y46" i="64" s="1"/>
  <c r="Y49" i="64" s="1"/>
  <c r="Z32" i="64"/>
  <c r="X61" i="47"/>
  <c r="U159" i="64"/>
  <c r="S159" i="64" s="1"/>
  <c r="T159" i="64" s="1"/>
  <c r="L323" i="64"/>
  <c r="L18" i="57"/>
  <c r="L17" i="57" s="1"/>
  <c r="P97" i="64"/>
  <c r="X669" i="90"/>
  <c r="AS386" i="90"/>
  <c r="AS387" i="90" s="1"/>
  <c r="AS391" i="90" s="1"/>
  <c r="W67" i="64"/>
  <c r="V81" i="64"/>
  <c r="W81" i="64" s="1"/>
  <c r="V91" i="64"/>
  <c r="W91" i="64" s="1"/>
  <c r="V74" i="64"/>
  <c r="U230" i="56"/>
  <c r="X526" i="90"/>
  <c r="X671" i="90"/>
  <c r="V94" i="64"/>
  <c r="AP672" i="90"/>
  <c r="AE671" i="90"/>
  <c r="AF669" i="90"/>
  <c r="AP670" i="90"/>
  <c r="N111" i="80"/>
  <c r="N212" i="80" s="1"/>
  <c r="V75" i="64"/>
  <c r="V122" i="64" s="1"/>
  <c r="G545" i="89"/>
  <c r="J243" i="89"/>
  <c r="G256" i="89"/>
  <c r="Q84" i="92"/>
  <c r="S84" i="92" s="1"/>
  <c r="T84" i="92" s="1"/>
  <c r="P164" i="64"/>
  <c r="U365" i="56"/>
  <c r="V363" i="56"/>
  <c r="U408" i="56"/>
  <c r="V408" i="56" s="1"/>
  <c r="W408" i="56" s="1"/>
  <c r="X408" i="56" s="1"/>
  <c r="Y408" i="56" s="1"/>
  <c r="T408" i="56"/>
  <c r="W132" i="56"/>
  <c r="U403" i="56"/>
  <c r="V403" i="56" s="1"/>
  <c r="W403" i="56" s="1"/>
  <c r="X403" i="56" s="1"/>
  <c r="Y403" i="56" s="1"/>
  <c r="T403" i="56"/>
  <c r="AB55" i="90"/>
  <c r="Q664" i="90"/>
  <c r="K34" i="56"/>
  <c r="K241" i="56"/>
  <c r="Y131" i="56"/>
  <c r="K279" i="56"/>
  <c r="K526" i="56"/>
  <c r="K550" i="56" s="1"/>
  <c r="L8" i="57"/>
  <c r="K398" i="56"/>
  <c r="K269" i="56"/>
  <c r="Y58" i="90"/>
  <c r="X57" i="90"/>
  <c r="O421" i="56"/>
  <c r="M473" i="64"/>
  <c r="L246" i="64"/>
  <c r="K320" i="89"/>
  <c r="Q667" i="90"/>
  <c r="V106" i="56"/>
  <c r="H533" i="89"/>
  <c r="AB670" i="90"/>
  <c r="Z671" i="90"/>
  <c r="O159" i="79"/>
  <c r="O250" i="79" s="1"/>
  <c r="O254" i="79" s="1"/>
  <c r="O256" i="79" s="1"/>
  <c r="V40" i="64"/>
  <c r="X34" i="64"/>
  <c r="Z64" i="90"/>
  <c r="Z672" i="90"/>
  <c r="Q191" i="56"/>
  <c r="Q121" i="56" s="1"/>
  <c r="Q123" i="56"/>
  <c r="Q192" i="56" s="1"/>
  <c r="X293" i="92"/>
  <c r="W296" i="92"/>
  <c r="T49" i="72"/>
  <c r="U49" i="72"/>
  <c r="V49" i="72" s="1"/>
  <c r="W49" i="72" s="1"/>
  <c r="X49" i="72" s="1"/>
  <c r="Y49" i="72" s="1"/>
  <c r="AI383" i="90"/>
  <c r="I220" i="89"/>
  <c r="I224" i="89" s="1"/>
  <c r="Y70" i="90"/>
  <c r="N31" i="72"/>
  <c r="J301" i="56"/>
  <c r="J300" i="56" s="1"/>
  <c r="O462" i="90"/>
  <c r="Q218" i="56"/>
  <c r="AA69" i="90"/>
  <c r="L566" i="56"/>
  <c r="Z54" i="90"/>
  <c r="T204" i="90"/>
  <c r="Q710" i="90"/>
  <c r="Y76" i="90"/>
  <c r="R179" i="47"/>
  <c r="P14" i="64"/>
  <c r="P52" i="64"/>
  <c r="W54" i="56"/>
  <c r="W595" i="56"/>
  <c r="AC67" i="90"/>
  <c r="M164" i="56"/>
  <c r="I510" i="89"/>
  <c r="I514" i="89" s="1"/>
  <c r="T39" i="72"/>
  <c r="U39" i="72"/>
  <c r="V39" i="72" s="1"/>
  <c r="W39" i="72" s="1"/>
  <c r="X39" i="72" s="1"/>
  <c r="Y39" i="72" s="1"/>
  <c r="R7" i="70"/>
  <c r="Q19" i="70"/>
  <c r="Q31" i="70" s="1"/>
  <c r="Q43" i="70" s="1"/>
  <c r="Q120" i="70" s="1"/>
  <c r="Q59" i="70" s="1"/>
  <c r="W57" i="90"/>
  <c r="N423" i="56"/>
  <c r="M409" i="56"/>
  <c r="K533" i="64"/>
  <c r="K537" i="64" s="1"/>
  <c r="K174" i="64" s="1"/>
  <c r="S67" i="88"/>
  <c r="R73" i="88"/>
  <c r="AA81" i="57"/>
  <c r="I538" i="88"/>
  <c r="H539" i="88"/>
  <c r="H563" i="88" s="1"/>
  <c r="S50" i="90"/>
  <c r="T50" i="90" s="1"/>
  <c r="U50" i="90" s="1"/>
  <c r="V50" i="90"/>
  <c r="W50" i="90" s="1"/>
  <c r="X50" i="90" s="1"/>
  <c r="Y50" i="90" s="1"/>
  <c r="Z50" i="90" s="1"/>
  <c r="AA50" i="90" s="1"/>
  <c r="AB50" i="90" s="1"/>
  <c r="AC50" i="90" s="1"/>
  <c r="AD50" i="90" s="1"/>
  <c r="AE50" i="90" s="1"/>
  <c r="AF50" i="90" s="1"/>
  <c r="AG50" i="90" s="1"/>
  <c r="AH50" i="90" s="1"/>
  <c r="AI50" i="90" s="1"/>
  <c r="AJ50" i="90" s="1"/>
  <c r="AK50" i="90" s="1"/>
  <c r="AL50" i="90" s="1"/>
  <c r="AM50" i="90" s="1"/>
  <c r="AN50" i="90" s="1"/>
  <c r="AO50" i="90" s="1"/>
  <c r="AP50" i="90" s="1"/>
  <c r="AQ50" i="90" s="1"/>
  <c r="AR50" i="90" s="1"/>
  <c r="AS50" i="90" s="1"/>
  <c r="AT50" i="90" s="1"/>
  <c r="AU50" i="90" s="1"/>
  <c r="P19" i="47"/>
  <c r="P20" i="47" s="1"/>
  <c r="P11" i="47" s="1"/>
  <c r="S33" i="90"/>
  <c r="T33" i="90" s="1"/>
  <c r="U33" i="90" s="1"/>
  <c r="V33" i="90"/>
  <c r="W33" i="90" s="1"/>
  <c r="X33" i="90" s="1"/>
  <c r="Y33" i="90" s="1"/>
  <c r="Z33" i="90" s="1"/>
  <c r="AA33" i="90" s="1"/>
  <c r="AB33" i="90" s="1"/>
  <c r="AC33" i="90" s="1"/>
  <c r="AD33" i="90" s="1"/>
  <c r="AE33" i="90" s="1"/>
  <c r="AF33" i="90" s="1"/>
  <c r="AG33" i="90" s="1"/>
  <c r="AH33" i="90" s="1"/>
  <c r="AI33" i="90" s="1"/>
  <c r="AJ33" i="90" s="1"/>
  <c r="AK33" i="90" s="1"/>
  <c r="AL33" i="90" s="1"/>
  <c r="AM33" i="90" s="1"/>
  <c r="AN33" i="90" s="1"/>
  <c r="AO33" i="90" s="1"/>
  <c r="AP33" i="90" s="1"/>
  <c r="AQ33" i="90" s="1"/>
  <c r="AR33" i="90" s="1"/>
  <c r="AS33" i="90" s="1"/>
  <c r="AT33" i="90" s="1"/>
  <c r="AU33" i="90" s="1"/>
  <c r="P166" i="57"/>
  <c r="Q18" i="56"/>
  <c r="Q23" i="56" s="1"/>
  <c r="R149" i="57"/>
  <c r="O670" i="90"/>
  <c r="N675" i="90"/>
  <c r="M167" i="56"/>
  <c r="O228" i="79"/>
  <c r="O234" i="79" s="1"/>
  <c r="O236" i="79" s="1"/>
  <c r="V454" i="92"/>
  <c r="V468" i="92" s="1"/>
  <c r="W454" i="92"/>
  <c r="W468" i="92" s="1"/>
  <c r="P154" i="47"/>
  <c r="P155" i="47" s="1"/>
  <c r="Y77" i="90"/>
  <c r="P855" i="90"/>
  <c r="P869" i="90" s="1"/>
  <c r="V342" i="64"/>
  <c r="W342" i="64" s="1"/>
  <c r="X342" i="64" s="1"/>
  <c r="Y342" i="64" s="1"/>
  <c r="Z342" i="64" s="1"/>
  <c r="U574" i="56"/>
  <c r="V522" i="64"/>
  <c r="U572" i="56"/>
  <c r="O15" i="4"/>
  <c r="L427" i="88"/>
  <c r="M426" i="88"/>
  <c r="W304" i="90"/>
  <c r="W306" i="90" s="1"/>
  <c r="W294" i="90" s="1"/>
  <c r="X419" i="92"/>
  <c r="S338" i="92"/>
  <c r="T338" i="92" s="1"/>
  <c r="S278" i="90"/>
  <c r="T278" i="90" s="1"/>
  <c r="U278" i="90" s="1"/>
  <c r="V278" i="90"/>
  <c r="W278" i="90" s="1"/>
  <c r="X278" i="90" s="1"/>
  <c r="Y278" i="90" s="1"/>
  <c r="Z278" i="90" s="1"/>
  <c r="AA278" i="90" s="1"/>
  <c r="AB278" i="90" s="1"/>
  <c r="AC278" i="90" s="1"/>
  <c r="AD278" i="90" s="1"/>
  <c r="AE278" i="90" s="1"/>
  <c r="AF278" i="90" s="1"/>
  <c r="AG278" i="90" s="1"/>
  <c r="AH278" i="90" s="1"/>
  <c r="AI278" i="90" s="1"/>
  <c r="AJ278" i="90" s="1"/>
  <c r="AK278" i="90" s="1"/>
  <c r="AL278" i="90" s="1"/>
  <c r="AM278" i="90" s="1"/>
  <c r="AN278" i="90" s="1"/>
  <c r="AO278" i="90" s="1"/>
  <c r="AP278" i="90" s="1"/>
  <c r="AQ278" i="90" s="1"/>
  <c r="AR278" i="90" s="1"/>
  <c r="AS278" i="90" s="1"/>
  <c r="AT278" i="90" s="1"/>
  <c r="AU278" i="90" s="1"/>
  <c r="W171" i="90"/>
  <c r="N61" i="72"/>
  <c r="M63" i="72"/>
  <c r="M369" i="64"/>
  <c r="M70" i="64"/>
  <c r="M72" i="64"/>
  <c r="M119" i="64" s="1"/>
  <c r="L91" i="56"/>
  <c r="L146" i="56" s="1"/>
  <c r="L175" i="56"/>
  <c r="L230" i="56" s="1"/>
  <c r="L177" i="56"/>
  <c r="L232" i="56" s="1"/>
  <c r="M74" i="64"/>
  <c r="M121" i="64" s="1"/>
  <c r="M80" i="64"/>
  <c r="M127" i="64" s="1"/>
  <c r="M93" i="64"/>
  <c r="M71" i="64"/>
  <c r="M118" i="64" s="1"/>
  <c r="M73" i="64"/>
  <c r="M120" i="64" s="1"/>
  <c r="M91" i="64"/>
  <c r="M84" i="64"/>
  <c r="M94" i="64"/>
  <c r="M98" i="64"/>
  <c r="L88" i="56"/>
  <c r="L143" i="56" s="1"/>
  <c r="L90" i="56"/>
  <c r="L145" i="56" s="1"/>
  <c r="L172" i="56"/>
  <c r="M75" i="64"/>
  <c r="M122" i="64" s="1"/>
  <c r="M79" i="64"/>
  <c r="M126" i="64" s="1"/>
  <c r="M92" i="64"/>
  <c r="M100" i="64"/>
  <c r="M101" i="64" s="1"/>
  <c r="L96" i="56"/>
  <c r="M82" i="64"/>
  <c r="M129" i="64" s="1"/>
  <c r="M102" i="64"/>
  <c r="M166" i="64" s="1"/>
  <c r="L100" i="56"/>
  <c r="L104" i="56"/>
  <c r="L155" i="56" s="1"/>
  <c r="L176" i="56"/>
  <c r="L178" i="56"/>
  <c r="L231" i="56" s="1"/>
  <c r="L94" i="56"/>
  <c r="M81" i="64"/>
  <c r="M128" i="64" s="1"/>
  <c r="L97" i="56"/>
  <c r="L149" i="56" s="1"/>
  <c r="M78" i="64"/>
  <c r="M125" i="64" s="1"/>
  <c r="L99" i="56"/>
  <c r="L105" i="56"/>
  <c r="L156" i="56" s="1"/>
  <c r="L150" i="56"/>
  <c r="L107" i="56"/>
  <c r="L158" i="56" s="1"/>
  <c r="L159" i="56"/>
  <c r="L171" i="56"/>
  <c r="L238" i="56" s="1"/>
  <c r="L179" i="56"/>
  <c r="R818" i="90"/>
  <c r="M392" i="90"/>
  <c r="I604" i="88"/>
  <c r="J603" i="88"/>
  <c r="K603" i="88" s="1"/>
  <c r="L603" i="88" s="1"/>
  <c r="M603" i="88" s="1"/>
  <c r="N603" i="88" s="1"/>
  <c r="O603" i="88" s="1"/>
  <c r="P603" i="88" s="1"/>
  <c r="Q603" i="88" s="1"/>
  <c r="R603" i="88" s="1"/>
  <c r="S603" i="88" s="1"/>
  <c r="T603" i="88" s="1"/>
  <c r="U603" i="88" s="1"/>
  <c r="V603" i="88" s="1"/>
  <c r="W603" i="88" s="1"/>
  <c r="X603" i="88" s="1"/>
  <c r="Y603" i="88" s="1"/>
  <c r="Z603" i="88" s="1"/>
  <c r="AA603" i="88" s="1"/>
  <c r="AB603" i="88" s="1"/>
  <c r="AC603" i="88" s="1"/>
  <c r="AD603" i="88" s="1"/>
  <c r="AE603" i="88" s="1"/>
  <c r="AF603" i="88" s="1"/>
  <c r="AG603" i="88" s="1"/>
  <c r="AH603" i="88" s="1"/>
  <c r="AI603" i="88" s="1"/>
  <c r="Q373" i="92"/>
  <c r="S373" i="92" s="1"/>
  <c r="T373" i="92" s="1"/>
  <c r="N167" i="56"/>
  <c r="Y102" i="57"/>
  <c r="Y167" i="57" s="1"/>
  <c r="S186" i="90"/>
  <c r="T186" i="90" s="1"/>
  <c r="U186" i="90" s="1"/>
  <c r="V186" i="90"/>
  <c r="W186" i="90" s="1"/>
  <c r="X186" i="90" s="1"/>
  <c r="Y186" i="90" s="1"/>
  <c r="Z186" i="90" s="1"/>
  <c r="AA186" i="90" s="1"/>
  <c r="AB186" i="90" s="1"/>
  <c r="AC186" i="90" s="1"/>
  <c r="AD186" i="90" s="1"/>
  <c r="AE186" i="90" s="1"/>
  <c r="AF186" i="90" s="1"/>
  <c r="AG186" i="90" s="1"/>
  <c r="AH186" i="90" s="1"/>
  <c r="AI186" i="90" s="1"/>
  <c r="AJ186" i="90" s="1"/>
  <c r="AK186" i="90" s="1"/>
  <c r="AL186" i="90" s="1"/>
  <c r="AM186" i="90" s="1"/>
  <c r="AN186" i="90" s="1"/>
  <c r="AO186" i="90" s="1"/>
  <c r="AP186" i="90" s="1"/>
  <c r="AQ186" i="90" s="1"/>
  <c r="AR186" i="90" s="1"/>
  <c r="AS186" i="90" s="1"/>
  <c r="AT186" i="90" s="1"/>
  <c r="AU186" i="90" s="1"/>
  <c r="J586" i="88"/>
  <c r="K586" i="88" s="1"/>
  <c r="L586" i="88" s="1"/>
  <c r="M586" i="88" s="1"/>
  <c r="N586" i="88" s="1"/>
  <c r="O586" i="88" s="1"/>
  <c r="P586" i="88" s="1"/>
  <c r="Q586" i="88" s="1"/>
  <c r="R586" i="88" s="1"/>
  <c r="S586" i="88" s="1"/>
  <c r="T586" i="88" s="1"/>
  <c r="U586" i="88" s="1"/>
  <c r="V586" i="88" s="1"/>
  <c r="W586" i="88" s="1"/>
  <c r="X586" i="88" s="1"/>
  <c r="Y586" i="88" s="1"/>
  <c r="Z586" i="88" s="1"/>
  <c r="AA586" i="88" s="1"/>
  <c r="AB586" i="88" s="1"/>
  <c r="AC586" i="88" s="1"/>
  <c r="AD586" i="88" s="1"/>
  <c r="AE586" i="88" s="1"/>
  <c r="AF586" i="88" s="1"/>
  <c r="AG586" i="88" s="1"/>
  <c r="AH586" i="88" s="1"/>
  <c r="AI586" i="88" s="1"/>
  <c r="L262" i="88"/>
  <c r="M261" i="88"/>
  <c r="R109" i="88"/>
  <c r="R110" i="88"/>
  <c r="N671" i="90"/>
  <c r="AE605" i="90"/>
  <c r="N418" i="90"/>
  <c r="AT178" i="90"/>
  <c r="AT25" i="90" s="1"/>
  <c r="G546" i="88"/>
  <c r="I343" i="88"/>
  <c r="P187" i="88"/>
  <c r="O73" i="88"/>
  <c r="R147" i="88"/>
  <c r="S147" i="88" s="1"/>
  <c r="T147" i="88" s="1"/>
  <c r="U147" i="88" s="1"/>
  <c r="V147" i="88" s="1"/>
  <c r="W147" i="88" s="1"/>
  <c r="X147" i="88" s="1"/>
  <c r="Y147" i="88" s="1"/>
  <c r="Z147" i="88" s="1"/>
  <c r="AA147" i="88" s="1"/>
  <c r="AB147" i="88" s="1"/>
  <c r="AC147" i="88" s="1"/>
  <c r="AD147" i="88" s="1"/>
  <c r="AE147" i="88" s="1"/>
  <c r="AF147" i="88" s="1"/>
  <c r="AG147" i="88" s="1"/>
  <c r="AH147" i="88" s="1"/>
  <c r="AI147" i="88" s="1"/>
  <c r="Z110" i="88"/>
  <c r="Z113" i="88"/>
  <c r="Z109" i="88"/>
  <c r="AH174" i="90"/>
  <c r="J545" i="88"/>
  <c r="N706" i="90"/>
  <c r="AO232" i="90"/>
  <c r="AO224" i="90" s="1"/>
  <c r="AI174" i="90"/>
  <c r="I150" i="89"/>
  <c r="N607" i="90"/>
  <c r="N484" i="90" s="1"/>
  <c r="O602" i="90"/>
  <c r="P602" i="90" s="1"/>
  <c r="Q602" i="90" s="1"/>
  <c r="H449" i="88"/>
  <c r="H281" i="88"/>
  <c r="H280" i="88" s="1"/>
  <c r="Y109" i="88"/>
  <c r="Y113" i="88"/>
  <c r="Y110" i="88"/>
  <c r="Y135" i="88" s="1"/>
  <c r="Q832" i="90"/>
  <c r="Q834" i="90" s="1"/>
  <c r="O666" i="90"/>
  <c r="N526" i="90"/>
  <c r="AP232" i="90"/>
  <c r="AP224" i="90" s="1"/>
  <c r="AB178" i="90"/>
  <c r="AB25" i="90" s="1"/>
  <c r="M96" i="88"/>
  <c r="AN605" i="90"/>
  <c r="AR232" i="90"/>
  <c r="AR224" i="90" s="1"/>
  <c r="AF232" i="90"/>
  <c r="AF224" i="90" s="1"/>
  <c r="V57" i="90"/>
  <c r="H602" i="88"/>
  <c r="H604" i="88" s="1"/>
  <c r="G602" i="88"/>
  <c r="G604" i="88" s="1"/>
  <c r="O90" i="88"/>
  <c r="O95" i="88" s="1"/>
  <c r="O114" i="88" s="1"/>
  <c r="AM178" i="90"/>
  <c r="AM25" i="90" s="1"/>
  <c r="W154" i="90"/>
  <c r="X154" i="90"/>
  <c r="AE110" i="88"/>
  <c r="AE109" i="88"/>
  <c r="AE113" i="88"/>
  <c r="O110" i="88"/>
  <c r="O135" i="88" s="1"/>
  <c r="O109" i="88"/>
  <c r="O113" i="88"/>
  <c r="M86" i="88"/>
  <c r="L87" i="88"/>
  <c r="P128" i="57"/>
  <c r="Y125" i="90"/>
  <c r="I247" i="88"/>
  <c r="J247" i="88" s="1"/>
  <c r="Q418" i="90"/>
  <c r="Q428" i="90" s="1"/>
  <c r="Q561" i="90"/>
  <c r="K493" i="88"/>
  <c r="R493" i="88"/>
  <c r="I449" i="88"/>
  <c r="I281" i="88"/>
  <c r="O42" i="88"/>
  <c r="N176" i="88"/>
  <c r="AT582" i="90"/>
  <c r="AD582" i="90"/>
  <c r="M472" i="88"/>
  <c r="AP178" i="90"/>
  <c r="AP25" i="90" s="1"/>
  <c r="AP174" i="90"/>
  <c r="Z178" i="90"/>
  <c r="Z25" i="90" s="1"/>
  <c r="Z174" i="90"/>
  <c r="H268" i="88"/>
  <c r="H267" i="88" s="1"/>
  <c r="H447" i="88"/>
  <c r="H451" i="88" s="1"/>
  <c r="H452" i="88" s="1"/>
  <c r="H319" i="88" s="1"/>
  <c r="V70" i="57" s="1"/>
  <c r="V167" i="57" s="1"/>
  <c r="AG110" i="88"/>
  <c r="AG135" i="88" s="1"/>
  <c r="AG109" i="88"/>
  <c r="AG113" i="88"/>
  <c r="Q109" i="88"/>
  <c r="Q113" i="88"/>
  <c r="M97" i="88"/>
  <c r="F7" i="85"/>
  <c r="C13" i="85"/>
  <c r="P83" i="57" s="1"/>
  <c r="P597" i="90"/>
  <c r="AE224" i="90"/>
  <c r="L493" i="88"/>
  <c r="J439" i="88"/>
  <c r="R186" i="88"/>
  <c r="Q187" i="88"/>
  <c r="AH110" i="88"/>
  <c r="AH135" i="88" s="1"/>
  <c r="AH109" i="88"/>
  <c r="AH113" i="88"/>
  <c r="O639" i="90"/>
  <c r="P639" i="90" s="1"/>
  <c r="R625" i="90"/>
  <c r="AT605" i="90"/>
  <c r="AE178" i="90"/>
  <c r="AE25" i="90" s="1"/>
  <c r="W174" i="90"/>
  <c r="X155" i="90"/>
  <c r="X167" i="90" s="1"/>
  <c r="H594" i="88"/>
  <c r="M493" i="88"/>
  <c r="I442" i="88"/>
  <c r="Q73" i="88"/>
  <c r="L454" i="88"/>
  <c r="AJ232" i="90"/>
  <c r="AJ224" i="90" s="1"/>
  <c r="V232" i="90"/>
  <c r="V224" i="90" s="1"/>
  <c r="V214" i="90" s="1"/>
  <c r="AR178" i="90"/>
  <c r="AR25" i="90" s="1"/>
  <c r="V178" i="90"/>
  <c r="V25" i="90" s="1"/>
  <c r="H543" i="88"/>
  <c r="O493" i="88"/>
  <c r="I456" i="88"/>
  <c r="J455" i="88"/>
  <c r="J436" i="88"/>
  <c r="M90" i="88"/>
  <c r="M95" i="88" s="1"/>
  <c r="M114" i="88" s="1"/>
  <c r="M76" i="88"/>
  <c r="P493" i="88"/>
  <c r="V110" i="88"/>
  <c r="V135" i="88" s="1"/>
  <c r="V109" i="88"/>
  <c r="N90" i="88"/>
  <c r="N95" i="88" s="1"/>
  <c r="N114" i="88" s="1"/>
  <c r="AK232" i="90"/>
  <c r="AK224" i="90" s="1"/>
  <c r="W232" i="90"/>
  <c r="W224" i="90" s="1"/>
  <c r="M573" i="88"/>
  <c r="Q493" i="88"/>
  <c r="O486" i="88"/>
  <c r="R232" i="90"/>
  <c r="R224" i="90" s="1"/>
  <c r="H462" i="88"/>
  <c r="H463" i="88" s="1"/>
  <c r="H283" i="88"/>
  <c r="H284" i="88" s="1"/>
  <c r="W110" i="88"/>
  <c r="W109" i="88"/>
  <c r="Q21" i="57"/>
  <c r="S493" i="88"/>
  <c r="K479" i="88"/>
  <c r="K481" i="88" s="1"/>
  <c r="H324" i="88"/>
  <c r="O187" i="88"/>
  <c r="N606" i="79"/>
  <c r="N360" i="79"/>
  <c r="N509" i="79"/>
  <c r="N556" i="79"/>
  <c r="N652" i="79"/>
  <c r="N459" i="79"/>
  <c r="N328" i="79"/>
  <c r="N410" i="79"/>
  <c r="M155" i="88"/>
  <c r="N155" i="88" s="1"/>
  <c r="O155" i="88" s="1"/>
  <c r="P155" i="88" s="1"/>
  <c r="Q155" i="88" s="1"/>
  <c r="R155" i="88" s="1"/>
  <c r="S155" i="88" s="1"/>
  <c r="T155" i="88" s="1"/>
  <c r="U155" i="88" s="1"/>
  <c r="V155" i="88" s="1"/>
  <c r="W155" i="88" s="1"/>
  <c r="X155" i="88" s="1"/>
  <c r="Y155" i="88" s="1"/>
  <c r="Z155" i="88" s="1"/>
  <c r="AA155" i="88" s="1"/>
  <c r="AB155" i="88" s="1"/>
  <c r="AC155" i="88" s="1"/>
  <c r="AD155" i="88" s="1"/>
  <c r="AE155" i="88" s="1"/>
  <c r="AF155" i="88" s="1"/>
  <c r="AG155" i="88" s="1"/>
  <c r="AH155" i="88" s="1"/>
  <c r="AI155" i="88" s="1"/>
  <c r="AG369" i="92"/>
  <c r="AF369" i="92"/>
  <c r="AE369" i="92"/>
  <c r="K87" i="88"/>
  <c r="M221" i="88"/>
  <c r="S13" i="92"/>
  <c r="T38" i="92"/>
  <c r="T13" i="92" s="1"/>
  <c r="T11" i="92" s="1"/>
  <c r="G228" i="89"/>
  <c r="M149" i="88"/>
  <c r="M234" i="89"/>
  <c r="M235" i="89"/>
  <c r="M238" i="89" s="1"/>
  <c r="M247" i="89" s="1"/>
  <c r="AC109" i="88"/>
  <c r="P73" i="88"/>
  <c r="AG363" i="92"/>
  <c r="AF363" i="92"/>
  <c r="AE363" i="92"/>
  <c r="AD363" i="92"/>
  <c r="AC363" i="92"/>
  <c r="AB363" i="92"/>
  <c r="AA363" i="92"/>
  <c r="Z363" i="92"/>
  <c r="Y363" i="92"/>
  <c r="L187" i="88"/>
  <c r="M151" i="88"/>
  <c r="L154" i="88"/>
  <c r="M187" i="88"/>
  <c r="U113" i="88"/>
  <c r="AC110" i="88"/>
  <c r="L109" i="88"/>
  <c r="N68" i="88"/>
  <c r="G85" i="89"/>
  <c r="M145" i="88"/>
  <c r="N145" i="88" s="1"/>
  <c r="O145" i="88" s="1"/>
  <c r="P145" i="88" s="1"/>
  <c r="Q145" i="88" s="1"/>
  <c r="R145" i="88" s="1"/>
  <c r="S145" i="88" s="1"/>
  <c r="T145" i="88" s="1"/>
  <c r="U145" i="88" s="1"/>
  <c r="V145" i="88" s="1"/>
  <c r="W145" i="88" s="1"/>
  <c r="X145" i="88" s="1"/>
  <c r="Y145" i="88" s="1"/>
  <c r="Z145" i="88" s="1"/>
  <c r="AA145" i="88" s="1"/>
  <c r="AB145" i="88" s="1"/>
  <c r="AC145" i="88" s="1"/>
  <c r="AD145" i="88" s="1"/>
  <c r="AE145" i="88" s="1"/>
  <c r="AF145" i="88" s="1"/>
  <c r="AG145" i="88" s="1"/>
  <c r="AH145" i="88" s="1"/>
  <c r="AI145" i="88" s="1"/>
  <c r="L144" i="88"/>
  <c r="M125" i="89"/>
  <c r="M126" i="89" s="1"/>
  <c r="J125" i="89"/>
  <c r="L312" i="88"/>
  <c r="M153" i="88"/>
  <c r="M110" i="88"/>
  <c r="AJ102" i="88"/>
  <c r="K106" i="88"/>
  <c r="P41" i="88"/>
  <c r="O477" i="88"/>
  <c r="O479" i="88" s="1"/>
  <c r="O481" i="88" s="1"/>
  <c r="AI110" i="88"/>
  <c r="AI135" i="88" s="1"/>
  <c r="S109" i="88"/>
  <c r="F31" i="89"/>
  <c r="X109" i="88"/>
  <c r="X113" i="88"/>
  <c r="M130" i="88"/>
  <c r="P110" i="88"/>
  <c r="P135" i="88" s="1"/>
  <c r="AJ104" i="88"/>
  <c r="P100" i="79"/>
  <c r="Q101" i="79"/>
  <c r="N26" i="79"/>
  <c r="N14" i="79"/>
  <c r="N43" i="79"/>
  <c r="N25" i="79"/>
  <c r="O33" i="79"/>
  <c r="N212" i="79"/>
  <c r="S162" i="80"/>
  <c r="R149" i="80"/>
  <c r="Q148" i="80"/>
  <c r="K315" i="80"/>
  <c r="K321" i="80" s="1"/>
  <c r="K563" i="80" s="1"/>
  <c r="K570" i="80" s="1"/>
  <c r="J404" i="56"/>
  <c r="J142" i="56"/>
  <c r="J228" i="56" s="1"/>
  <c r="M566" i="79"/>
  <c r="M442" i="79"/>
  <c r="P128" i="79"/>
  <c r="O127" i="79"/>
  <c r="R141" i="80"/>
  <c r="S141" i="80" s="1"/>
  <c r="S139" i="80" s="1"/>
  <c r="Q139" i="80"/>
  <c r="L226" i="47"/>
  <c r="P290" i="64"/>
  <c r="O264" i="79"/>
  <c r="S82" i="57"/>
  <c r="N661" i="79"/>
  <c r="N677" i="79" s="1"/>
  <c r="M388" i="79"/>
  <c r="N635" i="79" s="1"/>
  <c r="N637" i="79" s="1"/>
  <c r="N566" i="79"/>
  <c r="N442" i="79"/>
  <c r="O298" i="79"/>
  <c r="P298" i="79" s="1"/>
  <c r="Q298" i="79" s="1"/>
  <c r="R298" i="79" s="1"/>
  <c r="S298" i="79" s="1"/>
  <c r="N297" i="79"/>
  <c r="O297" i="79" s="1"/>
  <c r="S120" i="79"/>
  <c r="S119" i="79" s="1"/>
  <c r="R119" i="79"/>
  <c r="P35" i="79"/>
  <c r="O16" i="79"/>
  <c r="Q170" i="80"/>
  <c r="P169" i="80"/>
  <c r="P161" i="80" s="1"/>
  <c r="P252" i="80" s="1"/>
  <c r="M429" i="80"/>
  <c r="N522" i="80"/>
  <c r="AG361" i="92"/>
  <c r="U171" i="92"/>
  <c r="V171" i="92" s="1"/>
  <c r="W171" i="92" s="1"/>
  <c r="X171" i="92" s="1"/>
  <c r="Y171" i="92" s="1"/>
  <c r="Z171" i="92" s="1"/>
  <c r="AA171" i="92" s="1"/>
  <c r="AB171" i="92" s="1"/>
  <c r="AC171" i="92" s="1"/>
  <c r="AD171" i="92" s="1"/>
  <c r="AE171" i="92" s="1"/>
  <c r="AF171" i="92" s="1"/>
  <c r="AG171" i="92" s="1"/>
  <c r="U18" i="92"/>
  <c r="O365" i="56"/>
  <c r="L50" i="72"/>
  <c r="R155" i="80"/>
  <c r="Q154" i="80"/>
  <c r="L519" i="80"/>
  <c r="K376" i="80"/>
  <c r="Q20" i="92"/>
  <c r="S20" i="92" s="1"/>
  <c r="T20" i="92" s="1"/>
  <c r="N227" i="47"/>
  <c r="N277" i="47" s="1"/>
  <c r="N364" i="47" s="1"/>
  <c r="M176" i="56"/>
  <c r="M239" i="56" s="1"/>
  <c r="M236" i="56" s="1"/>
  <c r="P621" i="79"/>
  <c r="Q131" i="79"/>
  <c r="P130" i="79"/>
  <c r="R76" i="80"/>
  <c r="L54" i="56"/>
  <c r="R566" i="79"/>
  <c r="O622" i="79"/>
  <c r="O660" i="79" s="1"/>
  <c r="O676" i="79" s="1"/>
  <c r="N660" i="79"/>
  <c r="N676" i="79" s="1"/>
  <c r="Q442" i="79"/>
  <c r="Q566" i="79"/>
  <c r="M440" i="79"/>
  <c r="M612" i="79"/>
  <c r="R48" i="79"/>
  <c r="P417" i="92"/>
  <c r="AF370" i="92"/>
  <c r="X362" i="92"/>
  <c r="U19" i="92"/>
  <c r="V19" i="92" s="1"/>
  <c r="W19" i="92" s="1"/>
  <c r="X19" i="92" s="1"/>
  <c r="Y19" i="92" s="1"/>
  <c r="Z19" i="92" s="1"/>
  <c r="AA19" i="92" s="1"/>
  <c r="AB19" i="92" s="1"/>
  <c r="AC19" i="92" s="1"/>
  <c r="AD19" i="92" s="1"/>
  <c r="AE19" i="92" s="1"/>
  <c r="AF19" i="92" s="1"/>
  <c r="AG19" i="92" s="1"/>
  <c r="O464" i="47"/>
  <c r="J575" i="56"/>
  <c r="K575" i="56" s="1"/>
  <c r="L575" i="56" s="1"/>
  <c r="I38" i="56"/>
  <c r="V300" i="64"/>
  <c r="S216" i="80"/>
  <c r="P115" i="79"/>
  <c r="O114" i="79"/>
  <c r="Q23" i="80"/>
  <c r="Q272" i="80" s="1"/>
  <c r="R42" i="80"/>
  <c r="R632" i="80"/>
  <c r="R439" i="80" s="1"/>
  <c r="R446" i="80" s="1"/>
  <c r="S628" i="80"/>
  <c r="S632" i="80" s="1"/>
  <c r="S439" i="80" s="1"/>
  <c r="S446" i="80" s="1"/>
  <c r="AA365" i="92"/>
  <c r="Y362" i="92"/>
  <c r="P7" i="92"/>
  <c r="P230" i="56"/>
  <c r="L50" i="56"/>
  <c r="J28" i="72"/>
  <c r="J39" i="72" s="1"/>
  <c r="J31" i="72"/>
  <c r="J15" i="72"/>
  <c r="Q134" i="79"/>
  <c r="P133" i="79"/>
  <c r="K495" i="80"/>
  <c r="K479" i="80"/>
  <c r="K496" i="80"/>
  <c r="K378" i="80" s="1"/>
  <c r="K480" i="80"/>
  <c r="K370" i="80" s="1"/>
  <c r="K483" i="80"/>
  <c r="M591" i="80"/>
  <c r="M594" i="80" s="1"/>
  <c r="L659" i="80"/>
  <c r="L675" i="80" s="1"/>
  <c r="M621" i="80"/>
  <c r="M659" i="80" s="1"/>
  <c r="M675" i="80" s="1"/>
  <c r="S14" i="56"/>
  <c r="S59" i="56"/>
  <c r="S51" i="56"/>
  <c r="Z362" i="92"/>
  <c r="K451" i="56"/>
  <c r="J50" i="56"/>
  <c r="P157" i="64"/>
  <c r="K28" i="72"/>
  <c r="K31" i="72"/>
  <c r="P612" i="79"/>
  <c r="P440" i="79"/>
  <c r="P444" i="79" s="1"/>
  <c r="P21" i="79"/>
  <c r="P258" i="79" s="1"/>
  <c r="Q40" i="79"/>
  <c r="P260" i="79"/>
  <c r="AA362" i="92"/>
  <c r="P100" i="92"/>
  <c r="P127" i="92" s="1"/>
  <c r="O20" i="47"/>
  <c r="N152" i="80"/>
  <c r="N242" i="80" s="1"/>
  <c r="N246" i="80" s="1"/>
  <c r="N248" i="80" s="1"/>
  <c r="R663" i="80"/>
  <c r="R679" i="80" s="1"/>
  <c r="Q390" i="80"/>
  <c r="R637" i="80" s="1"/>
  <c r="R639" i="80" s="1"/>
  <c r="Q453" i="92"/>
  <c r="AF367" i="92"/>
  <c r="AD365" i="92"/>
  <c r="AB362" i="92"/>
  <c r="X361" i="92"/>
  <c r="Q13" i="92"/>
  <c r="M235" i="47"/>
  <c r="O517" i="56"/>
  <c r="U467" i="56"/>
  <c r="J169" i="56"/>
  <c r="L96" i="64"/>
  <c r="L133" i="64" s="1"/>
  <c r="L345" i="64" s="1"/>
  <c r="O129" i="80"/>
  <c r="O127" i="80" s="1"/>
  <c r="O222" i="80" s="1"/>
  <c r="N623" i="79"/>
  <c r="N389" i="79" s="1"/>
  <c r="O620" i="79"/>
  <c r="N658" i="79"/>
  <c r="N674" i="79" s="1"/>
  <c r="O520" i="79"/>
  <c r="N427" i="79"/>
  <c r="R362" i="79"/>
  <c r="R511" i="79"/>
  <c r="R558" i="79"/>
  <c r="R461" i="79"/>
  <c r="R330" i="79"/>
  <c r="R412" i="79"/>
  <c r="R608" i="79"/>
  <c r="AE365" i="92"/>
  <c r="AC362" i="92"/>
  <c r="Y361" i="92"/>
  <c r="K355" i="64"/>
  <c r="J258" i="64"/>
  <c r="L31" i="72"/>
  <c r="O659" i="79"/>
  <c r="O675" i="79" s="1"/>
  <c r="J150" i="89"/>
  <c r="M266" i="80"/>
  <c r="M268" i="80" s="1"/>
  <c r="O97" i="80"/>
  <c r="O202" i="80" s="1"/>
  <c r="J42" i="72"/>
  <c r="J71" i="72"/>
  <c r="R360" i="79"/>
  <c r="R509" i="79"/>
  <c r="R556" i="79"/>
  <c r="R459" i="79"/>
  <c r="R328" i="79"/>
  <c r="R410" i="79"/>
  <c r="R606" i="79"/>
  <c r="N19" i="79"/>
  <c r="N238" i="79" s="1"/>
  <c r="N244" i="79" s="1"/>
  <c r="O55" i="79"/>
  <c r="N23" i="79"/>
  <c r="N270" i="79" s="1"/>
  <c r="N272" i="79"/>
  <c r="O42" i="79"/>
  <c r="R38" i="80"/>
  <c r="Q19" i="80"/>
  <c r="Q240" i="80" s="1"/>
  <c r="P178" i="80"/>
  <c r="Q178" i="80" s="1"/>
  <c r="O270" i="80"/>
  <c r="L430" i="80"/>
  <c r="K432" i="80"/>
  <c r="U418" i="92"/>
  <c r="AF365" i="92"/>
  <c r="AD362" i="92"/>
  <c r="Z361" i="92"/>
  <c r="U359" i="92"/>
  <c r="Q358" i="92"/>
  <c r="M196" i="47"/>
  <c r="L12" i="64"/>
  <c r="L52" i="64" s="1"/>
  <c r="L51" i="64" s="1"/>
  <c r="O592" i="79"/>
  <c r="O594" i="79" s="1"/>
  <c r="M214" i="79"/>
  <c r="L677" i="80"/>
  <c r="N639" i="80"/>
  <c r="L41" i="72"/>
  <c r="L42" i="72" s="1"/>
  <c r="R125" i="79"/>
  <c r="AE362" i="92"/>
  <c r="AA361" i="92"/>
  <c r="V359" i="92"/>
  <c r="U358" i="92"/>
  <c r="N244" i="47"/>
  <c r="O344" i="56"/>
  <c r="J164" i="64"/>
  <c r="J24" i="57" s="1"/>
  <c r="M12" i="64"/>
  <c r="M52" i="64" s="1"/>
  <c r="M51" i="64" s="1"/>
  <c r="M152" i="64" s="1"/>
  <c r="L264" i="79"/>
  <c r="L122" i="89"/>
  <c r="Q388" i="80"/>
  <c r="P688" i="80"/>
  <c r="P313" i="80" s="1"/>
  <c r="P423" i="80" s="1"/>
  <c r="T249" i="92"/>
  <c r="T252" i="92" s="1"/>
  <c r="S252" i="92"/>
  <c r="P45" i="79"/>
  <c r="O12" i="79"/>
  <c r="O198" i="79" s="1"/>
  <c r="N337" i="80"/>
  <c r="M346" i="80"/>
  <c r="AF362" i="92"/>
  <c r="AB361" i="92"/>
  <c r="O181" i="92"/>
  <c r="P84" i="92"/>
  <c r="Q12" i="92"/>
  <c r="L20" i="72"/>
  <c r="O444" i="79"/>
  <c r="N612" i="79"/>
  <c r="N210" i="79"/>
  <c r="U12" i="64"/>
  <c r="R158" i="80"/>
  <c r="Q157" i="80"/>
  <c r="M345" i="80"/>
  <c r="N335" i="80"/>
  <c r="L637" i="80"/>
  <c r="L638" i="80" s="1"/>
  <c r="L440" i="80" s="1"/>
  <c r="AC361" i="92"/>
  <c r="X359" i="92"/>
  <c r="W358" i="92"/>
  <c r="M494" i="64"/>
  <c r="L387" i="64"/>
  <c r="J350" i="64"/>
  <c r="R12" i="64"/>
  <c r="O43" i="79"/>
  <c r="M111" i="80"/>
  <c r="M212" i="80" s="1"/>
  <c r="N127" i="80"/>
  <c r="N222" i="80" s="1"/>
  <c r="K16" i="72"/>
  <c r="K37" i="72"/>
  <c r="Q619" i="79"/>
  <c r="Q657" i="79"/>
  <c r="Q673" i="79" s="1"/>
  <c r="R109" i="79"/>
  <c r="F12" i="85"/>
  <c r="L170" i="56"/>
  <c r="O256" i="80"/>
  <c r="M127" i="80"/>
  <c r="M222" i="80" s="1"/>
  <c r="C18" i="95"/>
  <c r="O412" i="79"/>
  <c r="O410" i="79"/>
  <c r="O330" i="79"/>
  <c r="O328" i="79"/>
  <c r="N222" i="79"/>
  <c r="T170" i="56"/>
  <c r="T237" i="56" s="1"/>
  <c r="N287" i="80"/>
  <c r="Q166" i="80"/>
  <c r="O332" i="80"/>
  <c r="N370" i="79"/>
  <c r="S86" i="47"/>
  <c r="W12" i="92"/>
  <c r="W99" i="92" s="1"/>
  <c r="W126" i="92" s="1"/>
  <c r="M330" i="80"/>
  <c r="P19" i="80"/>
  <c r="P240" i="80" s="1"/>
  <c r="P157" i="80"/>
  <c r="P152" i="80" s="1"/>
  <c r="P242" i="80" s="1"/>
  <c r="L346" i="80"/>
  <c r="E539" i="80"/>
  <c r="L614" i="80"/>
  <c r="Q632" i="80"/>
  <c r="Q439" i="80" s="1"/>
  <c r="Q446" i="80" s="1"/>
  <c r="S61" i="56"/>
  <c r="S72" i="56" s="1"/>
  <c r="S75" i="56" s="1"/>
  <c r="S15" i="56" s="1"/>
  <c r="S13" i="56" s="1"/>
  <c r="C20" i="95"/>
  <c r="M427" i="79"/>
  <c r="M430" i="79" s="1"/>
  <c r="X12" i="92"/>
  <c r="X99" i="92" s="1"/>
  <c r="X126" i="92" s="1"/>
  <c r="M656" i="80"/>
  <c r="S608" i="80"/>
  <c r="Q365" i="56"/>
  <c r="P207" i="56"/>
  <c r="P200" i="56" s="1"/>
  <c r="J16" i="72"/>
  <c r="M459" i="79"/>
  <c r="R306" i="79"/>
  <c r="N277" i="79"/>
  <c r="T582" i="90"/>
  <c r="U582" i="90" s="1"/>
  <c r="T41" i="56"/>
  <c r="Y12" i="92"/>
  <c r="Y99" i="92" s="1"/>
  <c r="Y126" i="92" s="1"/>
  <c r="M513" i="80"/>
  <c r="O364" i="80"/>
  <c r="P25" i="80"/>
  <c r="O372" i="80"/>
  <c r="S461" i="80"/>
  <c r="K614" i="80"/>
  <c r="R608" i="80"/>
  <c r="R61" i="56"/>
  <c r="R72" i="56" s="1"/>
  <c r="R75" i="56" s="1"/>
  <c r="R15" i="56" s="1"/>
  <c r="R13" i="56" s="1"/>
  <c r="L494" i="89"/>
  <c r="O107" i="57"/>
  <c r="Q231" i="56"/>
  <c r="U179" i="56"/>
  <c r="V179" i="56" s="1"/>
  <c r="W179" i="56" s="1"/>
  <c r="Q99" i="56"/>
  <c r="R290" i="64"/>
  <c r="S412" i="79"/>
  <c r="S410" i="79"/>
  <c r="S330" i="79"/>
  <c r="S328" i="79"/>
  <c r="S306" i="79"/>
  <c r="O260" i="79"/>
  <c r="J235" i="89"/>
  <c r="J238" i="89" s="1"/>
  <c r="J247" i="89" s="1"/>
  <c r="T232" i="90"/>
  <c r="O15" i="80"/>
  <c r="Q153" i="80"/>
  <c r="R654" i="80"/>
  <c r="S332" i="80"/>
  <c r="R461" i="80"/>
  <c r="S560" i="80"/>
  <c r="P444" i="80"/>
  <c r="P446" i="80" s="1"/>
  <c r="Q608" i="80"/>
  <c r="N135" i="64"/>
  <c r="N165" i="64" s="1"/>
  <c r="N164" i="64" s="1"/>
  <c r="O124" i="64"/>
  <c r="O156" i="64" s="1"/>
  <c r="J50" i="72"/>
  <c r="O461" i="79"/>
  <c r="O459" i="79"/>
  <c r="Q119" i="79"/>
  <c r="T174" i="90"/>
  <c r="T236" i="90"/>
  <c r="L224" i="80"/>
  <c r="Q37" i="80"/>
  <c r="Q25" i="80" s="1"/>
  <c r="N214" i="80"/>
  <c r="N305" i="80" s="1"/>
  <c r="Q461" i="80"/>
  <c r="N114" i="79"/>
  <c r="Q61" i="79"/>
  <c r="O34" i="79"/>
  <c r="O222" i="79" s="1"/>
  <c r="Q31" i="79"/>
  <c r="N16" i="79"/>
  <c r="N12" i="79"/>
  <c r="O463" i="80"/>
  <c r="Q654" i="80"/>
  <c r="K500" i="80"/>
  <c r="K386" i="80" s="1"/>
  <c r="Q362" i="80"/>
  <c r="O444" i="80"/>
  <c r="Q621" i="80"/>
  <c r="S12" i="92"/>
  <c r="T171" i="57"/>
  <c r="O135" i="64"/>
  <c r="O165" i="64" s="1"/>
  <c r="O164" i="64" s="1"/>
  <c r="M652" i="79"/>
  <c r="N21" i="79"/>
  <c r="N258" i="79" s="1"/>
  <c r="N264" i="79" s="1"/>
  <c r="T50" i="56"/>
  <c r="P234" i="80"/>
  <c r="S414" i="80"/>
  <c r="P528" i="80"/>
  <c r="M154" i="56"/>
  <c r="M229" i="56" s="1"/>
  <c r="M144" i="56"/>
  <c r="K302" i="64"/>
  <c r="Z300" i="64"/>
  <c r="K101" i="64"/>
  <c r="M556" i="79"/>
  <c r="M509" i="79"/>
  <c r="L362" i="79"/>
  <c r="L360" i="79"/>
  <c r="N220" i="79"/>
  <c r="L560" i="80"/>
  <c r="M224" i="80"/>
  <c r="M305" i="80" s="1"/>
  <c r="P511" i="80"/>
  <c r="N14" i="80"/>
  <c r="N11" i="80" s="1"/>
  <c r="P330" i="80"/>
  <c r="S364" i="80"/>
  <c r="S558" i="80"/>
  <c r="S568" i="80"/>
  <c r="N444" i="80"/>
  <c r="N144" i="56"/>
  <c r="N142" i="56" s="1"/>
  <c r="J26" i="72"/>
  <c r="O654" i="79"/>
  <c r="O652" i="79"/>
  <c r="S461" i="79"/>
  <c r="S459" i="79"/>
  <c r="M362" i="79"/>
  <c r="M360" i="79"/>
  <c r="N299" i="79"/>
  <c r="M608" i="80"/>
  <c r="O560" i="80"/>
  <c r="P558" i="80"/>
  <c r="S330" i="80"/>
  <c r="K499" i="80"/>
  <c r="R558" i="80"/>
  <c r="R568" i="80"/>
  <c r="O558" i="79"/>
  <c r="O556" i="79"/>
  <c r="O511" i="79"/>
  <c r="O509" i="79"/>
  <c r="M412" i="80"/>
  <c r="S511" i="80"/>
  <c r="O610" i="80"/>
  <c r="P608" i="80"/>
  <c r="M15" i="80"/>
  <c r="L15" i="80"/>
  <c r="O330" i="80"/>
  <c r="R330" i="80"/>
  <c r="K527" i="80"/>
  <c r="Q558" i="80"/>
  <c r="M568" i="80"/>
  <c r="C13" i="95"/>
  <c r="T101" i="57" s="1"/>
  <c r="U101" i="57" s="1"/>
  <c r="M558" i="80"/>
  <c r="S513" i="80"/>
  <c r="Q184" i="80"/>
  <c r="Q330" i="80"/>
  <c r="S412" i="80"/>
  <c r="K617" i="80"/>
  <c r="K643" i="80" s="1"/>
  <c r="C14" i="95"/>
  <c r="M461" i="80"/>
  <c r="R39" i="80"/>
  <c r="S542" i="90"/>
  <c r="C15" i="95"/>
  <c r="T100" i="57"/>
  <c r="U100" i="57" s="1"/>
  <c r="AA100" i="57" s="1"/>
  <c r="S654" i="79"/>
  <c r="S652" i="79"/>
  <c r="L412" i="79"/>
  <c r="L410" i="79"/>
  <c r="M362" i="80"/>
  <c r="N614" i="80"/>
  <c r="C16" i="95"/>
  <c r="R227" i="56"/>
  <c r="S227" i="56" s="1"/>
  <c r="N236" i="56"/>
  <c r="S558" i="79"/>
  <c r="S556" i="79"/>
  <c r="M410" i="79"/>
  <c r="S656" i="80"/>
  <c r="O224" i="80"/>
  <c r="V171" i="57"/>
  <c r="W191" i="47"/>
  <c r="U94" i="56"/>
  <c r="U147" i="56" s="1"/>
  <c r="V66" i="64"/>
  <c r="V95" i="56"/>
  <c r="V171" i="56"/>
  <c r="U238" i="56"/>
  <c r="P116" i="64"/>
  <c r="T154" i="56"/>
  <c r="Q478" i="56"/>
  <c r="W94" i="64"/>
  <c r="X67" i="64"/>
  <c r="V84" i="64"/>
  <c r="V12" i="64"/>
  <c r="M254" i="79"/>
  <c r="M256" i="79" s="1"/>
  <c r="Q154" i="56"/>
  <c r="N414" i="56"/>
  <c r="AD15" i="92"/>
  <c r="AC12" i="92"/>
  <c r="V70" i="64"/>
  <c r="V78" i="64"/>
  <c r="W68" i="64"/>
  <c r="X68" i="64" s="1"/>
  <c r="Y68" i="64" s="1"/>
  <c r="Z68" i="64" s="1"/>
  <c r="N566" i="56"/>
  <c r="N580" i="56" s="1"/>
  <c r="O566" i="56"/>
  <c r="O580" i="56" s="1"/>
  <c r="P133" i="64"/>
  <c r="P353" i="64" s="1"/>
  <c r="P244" i="64" s="1"/>
  <c r="N124" i="64"/>
  <c r="N156" i="64" s="1"/>
  <c r="N116" i="64"/>
  <c r="R399" i="64"/>
  <c r="V399" i="64"/>
  <c r="W399" i="64"/>
  <c r="Z399" i="64"/>
  <c r="U232" i="56"/>
  <c r="V208" i="56"/>
  <c r="W178" i="56"/>
  <c r="S165" i="64"/>
  <c r="T165" i="64" s="1"/>
  <c r="U164" i="64"/>
  <c r="Q26" i="56"/>
  <c r="Q27" i="56" s="1"/>
  <c r="Q28" i="56" s="1"/>
  <c r="T286" i="64"/>
  <c r="U290" i="64"/>
  <c r="P124" i="64"/>
  <c r="P156" i="64" s="1"/>
  <c r="V93" i="56"/>
  <c r="P11" i="92"/>
  <c r="Q124" i="64"/>
  <c r="X89" i="56"/>
  <c r="O118" i="64"/>
  <c r="O116" i="64" s="1"/>
  <c r="R124" i="64"/>
  <c r="R156" i="64" s="1"/>
  <c r="U124" i="64"/>
  <c r="U156" i="64" s="1"/>
  <c r="S156" i="64" s="1"/>
  <c r="T156" i="64" s="1"/>
  <c r="H493" i="89"/>
  <c r="H398" i="89"/>
  <c r="Y397" i="64"/>
  <c r="P397" i="64"/>
  <c r="O397" i="64"/>
  <c r="Z397" i="64"/>
  <c r="U397" i="64"/>
  <c r="W397" i="64"/>
  <c r="N452" i="56"/>
  <c r="S26" i="56"/>
  <c r="S27" i="56" s="1"/>
  <c r="S28" i="56" s="1"/>
  <c r="U207" i="56"/>
  <c r="V207" i="56" s="1"/>
  <c r="W207" i="56" s="1"/>
  <c r="V176" i="56"/>
  <c r="Q167" i="57"/>
  <c r="N11" i="47"/>
  <c r="N418" i="47" s="1"/>
  <c r="N305" i="47" s="1"/>
  <c r="U201" i="56"/>
  <c r="V72" i="64"/>
  <c r="Q239" i="56"/>
  <c r="U161" i="56"/>
  <c r="R66" i="64"/>
  <c r="R131" i="64"/>
  <c r="V88" i="64"/>
  <c r="V95" i="57"/>
  <c r="T26" i="56"/>
  <c r="T27" i="56" s="1"/>
  <c r="T28" i="56" s="1"/>
  <c r="V146" i="56"/>
  <c r="V93" i="64"/>
  <c r="U22" i="56"/>
  <c r="V209" i="56"/>
  <c r="W209" i="56" s="1"/>
  <c r="N238" i="47"/>
  <c r="O189" i="47"/>
  <c r="Q164" i="57"/>
  <c r="R167" i="47"/>
  <c r="S167" i="47"/>
  <c r="S171" i="88"/>
  <c r="AA106" i="57"/>
  <c r="N538" i="80"/>
  <c r="Q171" i="88"/>
  <c r="K171" i="88"/>
  <c r="K167" i="88"/>
  <c r="L167" i="88" s="1"/>
  <c r="M167" i="88" s="1"/>
  <c r="N167" i="88" s="1"/>
  <c r="O167" i="88" s="1"/>
  <c r="P167" i="88" s="1"/>
  <c r="Q167" i="88" s="1"/>
  <c r="R167" i="88" s="1"/>
  <c r="S167" i="88" s="1"/>
  <c r="T167" i="88" s="1"/>
  <c r="U167" i="88" s="1"/>
  <c r="V167" i="88" s="1"/>
  <c r="W167" i="88" s="1"/>
  <c r="X167" i="88" s="1"/>
  <c r="Y167" i="88" s="1"/>
  <c r="Z167" i="88" s="1"/>
  <c r="AA167" i="88" s="1"/>
  <c r="AB167" i="88" s="1"/>
  <c r="AC167" i="88" s="1"/>
  <c r="AD167" i="88" s="1"/>
  <c r="AE167" i="88" s="1"/>
  <c r="AF167" i="88" s="1"/>
  <c r="AG167" i="88" s="1"/>
  <c r="AH167" i="88" s="1"/>
  <c r="AI167" i="88" s="1"/>
  <c r="O171" i="88"/>
  <c r="AG171" i="88"/>
  <c r="K172" i="88"/>
  <c r="L172" i="88" s="1"/>
  <c r="M172" i="88" s="1"/>
  <c r="N172" i="88" s="1"/>
  <c r="O172" i="88" s="1"/>
  <c r="P172" i="88" s="1"/>
  <c r="Q172" i="88" s="1"/>
  <c r="R172" i="88" s="1"/>
  <c r="S172" i="88" s="1"/>
  <c r="T172" i="88" s="1"/>
  <c r="U172" i="88" s="1"/>
  <c r="V172" i="88" s="1"/>
  <c r="W172" i="88" s="1"/>
  <c r="X172" i="88" s="1"/>
  <c r="Y172" i="88" s="1"/>
  <c r="Z172" i="88" s="1"/>
  <c r="AA172" i="88" s="1"/>
  <c r="AB172" i="88" s="1"/>
  <c r="AC172" i="88" s="1"/>
  <c r="AD172" i="88" s="1"/>
  <c r="AE172" i="88" s="1"/>
  <c r="AF172" i="88" s="1"/>
  <c r="AG172" i="88" s="1"/>
  <c r="AH172" i="88" s="1"/>
  <c r="AI172" i="88" s="1"/>
  <c r="K163" i="88"/>
  <c r="L163" i="88" s="1"/>
  <c r="M163" i="88" s="1"/>
  <c r="N163" i="88" s="1"/>
  <c r="O163" i="88" s="1"/>
  <c r="P163" i="88" s="1"/>
  <c r="Q163" i="88" s="1"/>
  <c r="R163" i="88" s="1"/>
  <c r="S163" i="88" s="1"/>
  <c r="T163" i="88" s="1"/>
  <c r="U163" i="88" s="1"/>
  <c r="V163" i="88" s="1"/>
  <c r="W163" i="88" s="1"/>
  <c r="X163" i="88" s="1"/>
  <c r="Y163" i="88" s="1"/>
  <c r="Z163" i="88" s="1"/>
  <c r="AA163" i="88" s="1"/>
  <c r="AB163" i="88" s="1"/>
  <c r="AC163" i="88" s="1"/>
  <c r="AD163" i="88" s="1"/>
  <c r="AE163" i="88" s="1"/>
  <c r="AF163" i="88" s="1"/>
  <c r="AG163" i="88" s="1"/>
  <c r="AH163" i="88" s="1"/>
  <c r="AI163" i="88" s="1"/>
  <c r="R135" i="88"/>
  <c r="K161" i="88"/>
  <c r="L161" i="88" s="1"/>
  <c r="M161" i="88" s="1"/>
  <c r="N161" i="88" s="1"/>
  <c r="O161" i="88" s="1"/>
  <c r="P161" i="88" s="1"/>
  <c r="Q161" i="88" s="1"/>
  <c r="R161" i="88" s="1"/>
  <c r="S161" i="88" s="1"/>
  <c r="T161" i="88" s="1"/>
  <c r="U161" i="88" s="1"/>
  <c r="V161" i="88" s="1"/>
  <c r="W161" i="88" s="1"/>
  <c r="X161" i="88" s="1"/>
  <c r="Y161" i="88" s="1"/>
  <c r="Z161" i="88" s="1"/>
  <c r="AA161" i="88" s="1"/>
  <c r="AB161" i="88" s="1"/>
  <c r="AC161" i="88" s="1"/>
  <c r="AD161" i="88" s="1"/>
  <c r="AE161" i="88" s="1"/>
  <c r="AF161" i="88" s="1"/>
  <c r="AG161" i="88" s="1"/>
  <c r="AH161" i="88" s="1"/>
  <c r="AI161" i="88" s="1"/>
  <c r="K170" i="88"/>
  <c r="L170" i="88" s="1"/>
  <c r="M170" i="88" s="1"/>
  <c r="N170" i="88" s="1"/>
  <c r="O170" i="88" s="1"/>
  <c r="P170" i="88" s="1"/>
  <c r="Q170" i="88" s="1"/>
  <c r="R170" i="88" s="1"/>
  <c r="S170" i="88" s="1"/>
  <c r="T170" i="88" s="1"/>
  <c r="U170" i="88" s="1"/>
  <c r="V170" i="88" s="1"/>
  <c r="W170" i="88" s="1"/>
  <c r="X170" i="88" s="1"/>
  <c r="Y170" i="88" s="1"/>
  <c r="Z170" i="88" s="1"/>
  <c r="AA170" i="88" s="1"/>
  <c r="AB170" i="88" s="1"/>
  <c r="AC170" i="88" s="1"/>
  <c r="AD170" i="88" s="1"/>
  <c r="AE170" i="88" s="1"/>
  <c r="AF170" i="88" s="1"/>
  <c r="AG170" i="88" s="1"/>
  <c r="AH170" i="88" s="1"/>
  <c r="AI170" i="88" s="1"/>
  <c r="P171" i="88"/>
  <c r="K160" i="88"/>
  <c r="L160" i="88" s="1"/>
  <c r="M160" i="88" s="1"/>
  <c r="N160" i="88" s="1"/>
  <c r="AC135" i="88"/>
  <c r="K162" i="88"/>
  <c r="L162" i="88" s="1"/>
  <c r="M162" i="88" s="1"/>
  <c r="N162" i="88" s="1"/>
  <c r="O162" i="88" s="1"/>
  <c r="P162" i="88" s="1"/>
  <c r="Q162" i="88" s="1"/>
  <c r="R162" i="88" s="1"/>
  <c r="S162" i="88" s="1"/>
  <c r="T162" i="88" s="1"/>
  <c r="U162" i="88" s="1"/>
  <c r="V162" i="88" s="1"/>
  <c r="W162" i="88" s="1"/>
  <c r="X162" i="88" s="1"/>
  <c r="Y162" i="88" s="1"/>
  <c r="Z162" i="88" s="1"/>
  <c r="AA162" i="88" s="1"/>
  <c r="AB162" i="88" s="1"/>
  <c r="AC162" i="88" s="1"/>
  <c r="AD162" i="88" s="1"/>
  <c r="AE162" i="88" s="1"/>
  <c r="AF162" i="88" s="1"/>
  <c r="AG162" i="88" s="1"/>
  <c r="AH162" i="88" s="1"/>
  <c r="AI162" i="88" s="1"/>
  <c r="K168" i="88"/>
  <c r="L168" i="88" s="1"/>
  <c r="M168" i="88" s="1"/>
  <c r="N168" i="88" s="1"/>
  <c r="O168" i="88" s="1"/>
  <c r="P168" i="88" s="1"/>
  <c r="Q168" i="88" s="1"/>
  <c r="R168" i="88" s="1"/>
  <c r="S168" i="88" s="1"/>
  <c r="T168" i="88" s="1"/>
  <c r="U168" i="88" s="1"/>
  <c r="V168" i="88" s="1"/>
  <c r="W168" i="88" s="1"/>
  <c r="X168" i="88" s="1"/>
  <c r="Y168" i="88" s="1"/>
  <c r="Z168" i="88" s="1"/>
  <c r="AA168" i="88" s="1"/>
  <c r="AB168" i="88" s="1"/>
  <c r="AC168" i="88" s="1"/>
  <c r="AD168" i="88" s="1"/>
  <c r="AE168" i="88" s="1"/>
  <c r="AF168" i="88" s="1"/>
  <c r="AG168" i="88" s="1"/>
  <c r="AH168" i="88" s="1"/>
  <c r="AI168" i="88" s="1"/>
  <c r="AB135" i="88"/>
  <c r="AF135" i="88"/>
  <c r="X135" i="88"/>
  <c r="R171" i="88"/>
  <c r="Z171" i="88"/>
  <c r="M135" i="88"/>
  <c r="W135" i="88"/>
  <c r="K169" i="88"/>
  <c r="L169" i="88" s="1"/>
  <c r="M169" i="88" s="1"/>
  <c r="N169" i="88" s="1"/>
  <c r="O169" i="88" s="1"/>
  <c r="P169" i="88" s="1"/>
  <c r="Q169" i="88" s="1"/>
  <c r="R169" i="88" s="1"/>
  <c r="S169" i="88" s="1"/>
  <c r="T169" i="88" s="1"/>
  <c r="U169" i="88" s="1"/>
  <c r="V169" i="88" s="1"/>
  <c r="W169" i="88" s="1"/>
  <c r="X169" i="88" s="1"/>
  <c r="Y169" i="88" s="1"/>
  <c r="Z169" i="88" s="1"/>
  <c r="AA169" i="88" s="1"/>
  <c r="AB169" i="88" s="1"/>
  <c r="AC169" i="88" s="1"/>
  <c r="AD169" i="88" s="1"/>
  <c r="AE169" i="88" s="1"/>
  <c r="AF169" i="88" s="1"/>
  <c r="AG169" i="88" s="1"/>
  <c r="AH169" i="88" s="1"/>
  <c r="AI169" i="88" s="1"/>
  <c r="K165" i="88"/>
  <c r="L165" i="88" s="1"/>
  <c r="M165" i="88" s="1"/>
  <c r="N165" i="88" s="1"/>
  <c r="O165" i="88" s="1"/>
  <c r="P165" i="88" s="1"/>
  <c r="Q165" i="88" s="1"/>
  <c r="R165" i="88" s="1"/>
  <c r="S165" i="88" s="1"/>
  <c r="T165" i="88" s="1"/>
  <c r="U165" i="88" s="1"/>
  <c r="V165" i="88" s="1"/>
  <c r="W165" i="88" s="1"/>
  <c r="X165" i="88" s="1"/>
  <c r="Y165" i="88" s="1"/>
  <c r="Z165" i="88" s="1"/>
  <c r="AA165" i="88" s="1"/>
  <c r="AB165" i="88" s="1"/>
  <c r="AC165" i="88" s="1"/>
  <c r="AD165" i="88" s="1"/>
  <c r="AE165" i="88" s="1"/>
  <c r="AF165" i="88" s="1"/>
  <c r="AG165" i="88" s="1"/>
  <c r="AH165" i="88" s="1"/>
  <c r="AI165" i="88" s="1"/>
  <c r="K154" i="88"/>
  <c r="AF171" i="88"/>
  <c r="Q135" i="88"/>
  <c r="K166" i="88"/>
  <c r="L166" i="88" s="1"/>
  <c r="M166" i="88" s="1"/>
  <c r="N166" i="88" s="1"/>
  <c r="O166" i="88" s="1"/>
  <c r="P166" i="88" s="1"/>
  <c r="Q166" i="88" s="1"/>
  <c r="R166" i="88" s="1"/>
  <c r="S166" i="88" s="1"/>
  <c r="T166" i="88" s="1"/>
  <c r="U166" i="88" s="1"/>
  <c r="V166" i="88" s="1"/>
  <c r="W166" i="88" s="1"/>
  <c r="X166" i="88" s="1"/>
  <c r="Y166" i="88" s="1"/>
  <c r="Z166" i="88" s="1"/>
  <c r="AA166" i="88" s="1"/>
  <c r="AB166" i="88" s="1"/>
  <c r="AC166" i="88" s="1"/>
  <c r="AD166" i="88" s="1"/>
  <c r="AE166" i="88" s="1"/>
  <c r="AF166" i="88" s="1"/>
  <c r="AG166" i="88" s="1"/>
  <c r="AH166" i="88" s="1"/>
  <c r="AI166" i="88" s="1"/>
  <c r="AA135" i="88"/>
  <c r="S135" i="88"/>
  <c r="K146" i="88"/>
  <c r="AC171" i="88"/>
  <c r="AE135" i="88"/>
  <c r="Y171" i="88"/>
  <c r="U135" i="88"/>
  <c r="AE171" i="88"/>
  <c r="Z135" i="88"/>
  <c r="K173" i="88"/>
  <c r="L173" i="88" s="1"/>
  <c r="L175" i="88" s="1"/>
  <c r="U171" i="88"/>
  <c r="K164" i="88"/>
  <c r="L164" i="88" s="1"/>
  <c r="M164" i="88" s="1"/>
  <c r="N164" i="88" s="1"/>
  <c r="O164" i="88" s="1"/>
  <c r="P164" i="88" s="1"/>
  <c r="Q164" i="88" s="1"/>
  <c r="R164" i="88" s="1"/>
  <c r="S164" i="88" s="1"/>
  <c r="T164" i="88" s="1"/>
  <c r="U164" i="88" s="1"/>
  <c r="V164" i="88" s="1"/>
  <c r="W164" i="88" s="1"/>
  <c r="X164" i="88" s="1"/>
  <c r="Y164" i="88" s="1"/>
  <c r="Z164" i="88" s="1"/>
  <c r="AA164" i="88" s="1"/>
  <c r="AB164" i="88" s="1"/>
  <c r="AC164" i="88" s="1"/>
  <c r="AD164" i="88" s="1"/>
  <c r="AE164" i="88" s="1"/>
  <c r="AF164" i="88" s="1"/>
  <c r="AG164" i="88" s="1"/>
  <c r="AH164" i="88" s="1"/>
  <c r="AI164" i="88" s="1"/>
  <c r="V171" i="88"/>
  <c r="AB171" i="88"/>
  <c r="N135" i="88"/>
  <c r="AD135" i="88"/>
  <c r="T171" i="88"/>
  <c r="L135" i="88"/>
  <c r="X171" i="88"/>
  <c r="AA171" i="88"/>
  <c r="N171" i="88"/>
  <c r="AI171" i="88"/>
  <c r="L171" i="88"/>
  <c r="AD171" i="88"/>
  <c r="W171" i="88"/>
  <c r="AH171" i="88"/>
  <c r="AA88" i="57"/>
  <c r="X171" i="47"/>
  <c r="W171" i="57"/>
  <c r="X104" i="57"/>
  <c r="M223" i="47"/>
  <c r="W166" i="47"/>
  <c r="V163" i="47"/>
  <c r="U130" i="57"/>
  <c r="AA103" i="57"/>
  <c r="T102" i="57"/>
  <c r="T167" i="57" s="1"/>
  <c r="O498" i="88"/>
  <c r="S130" i="57"/>
  <c r="AI103" i="88"/>
  <c r="Z105" i="88"/>
  <c r="AE105" i="88"/>
  <c r="AH105" i="88"/>
  <c r="AG103" i="88"/>
  <c r="AB105" i="88"/>
  <c r="AE103" i="88"/>
  <c r="K103" i="88"/>
  <c r="V103" i="88"/>
  <c r="P105" i="88"/>
  <c r="AA105" i="88"/>
  <c r="AG105" i="88"/>
  <c r="N105" i="88"/>
  <c r="Z103" i="88"/>
  <c r="T103" i="88"/>
  <c r="AI105" i="88"/>
  <c r="AF105" i="88"/>
  <c r="O103" i="88"/>
  <c r="AD103" i="88"/>
  <c r="Y103" i="88"/>
  <c r="R103" i="88"/>
  <c r="AC105" i="88"/>
  <c r="M103" i="88"/>
  <c r="AC103" i="88"/>
  <c r="M105" i="88"/>
  <c r="K105" i="88"/>
  <c r="X105" i="88"/>
  <c r="W103" i="88"/>
  <c r="V105" i="88"/>
  <c r="U103" i="88"/>
  <c r="U107" i="88" s="1"/>
  <c r="AH103" i="88"/>
  <c r="AA103" i="88"/>
  <c r="L105" i="88"/>
  <c r="R105" i="88"/>
  <c r="S103" i="88"/>
  <c r="Q103" i="88"/>
  <c r="Q105" i="88"/>
  <c r="AF103" i="88"/>
  <c r="W105" i="88"/>
  <c r="P103" i="88"/>
  <c r="T105" i="88"/>
  <c r="AD105" i="88"/>
  <c r="L103" i="88"/>
  <c r="Y105" i="88"/>
  <c r="O105" i="88"/>
  <c r="X103" i="88"/>
  <c r="N103" i="88"/>
  <c r="AB103" i="88"/>
  <c r="S105" i="88"/>
  <c r="T471" i="56"/>
  <c r="L28" i="88"/>
  <c r="L29" i="88" s="1"/>
  <c r="X130" i="57"/>
  <c r="L393" i="64"/>
  <c r="K393" i="64"/>
  <c r="P393" i="64"/>
  <c r="V393" i="64"/>
  <c r="U393" i="64"/>
  <c r="R393" i="64"/>
  <c r="Q393" i="64"/>
  <c r="O393" i="64"/>
  <c r="M393" i="64"/>
  <c r="T130" i="57"/>
  <c r="R477" i="47"/>
  <c r="S477" i="47"/>
  <c r="Y477" i="47"/>
  <c r="R130" i="57"/>
  <c r="N477" i="47"/>
  <c r="P130" i="57"/>
  <c r="Y130" i="57"/>
  <c r="Q477" i="47"/>
  <c r="P471" i="56"/>
  <c r="P477" i="47"/>
  <c r="L471" i="56"/>
  <c r="N471" i="56"/>
  <c r="K471" i="56"/>
  <c r="M477" i="47"/>
  <c r="W477" i="47"/>
  <c r="N498" i="88"/>
  <c r="M471" i="56"/>
  <c r="V477" i="47"/>
  <c r="Q471" i="56"/>
  <c r="O477" i="47"/>
  <c r="X477" i="47"/>
  <c r="Z130" i="57"/>
  <c r="X167" i="57"/>
  <c r="R167" i="57"/>
  <c r="AA26" i="57"/>
  <c r="AA15" i="57"/>
  <c r="AA43" i="57"/>
  <c r="W130" i="57"/>
  <c r="M538" i="80"/>
  <c r="L538" i="80"/>
  <c r="Z167" i="57"/>
  <c r="P167" i="57"/>
  <c r="S167" i="57"/>
  <c r="T473" i="56"/>
  <c r="P473" i="56"/>
  <c r="Q473" i="56"/>
  <c r="U473" i="56"/>
  <c r="M498" i="88"/>
  <c r="P498" i="88"/>
  <c r="AA35" i="57"/>
  <c r="L473" i="56"/>
  <c r="N473" i="56"/>
  <c r="M473" i="56"/>
  <c r="O473" i="56"/>
  <c r="AA22" i="57"/>
  <c r="V130" i="57"/>
  <c r="R394" i="64"/>
  <c r="V394" i="64"/>
  <c r="M394" i="64"/>
  <c r="N394" i="64"/>
  <c r="U394" i="64"/>
  <c r="Q394" i="64"/>
  <c r="P394" i="64"/>
  <c r="L394" i="64"/>
  <c r="O394" i="64"/>
  <c r="W394" i="64"/>
  <c r="G353" i="89" l="1"/>
  <c r="K143" i="89"/>
  <c r="J240" i="89"/>
  <c r="M240" i="89"/>
  <c r="M434" i="89"/>
  <c r="M530" i="89"/>
  <c r="M158" i="89"/>
  <c r="M173" i="89" s="1"/>
  <c r="G70" i="89"/>
  <c r="M205" i="89"/>
  <c r="AB372" i="92"/>
  <c r="V250" i="92"/>
  <c r="U252" i="92"/>
  <c r="AC372" i="92"/>
  <c r="AC341" i="92" s="1"/>
  <c r="AF372" i="92"/>
  <c r="V372" i="92"/>
  <c r="Q348" i="92"/>
  <c r="U345" i="92" s="1"/>
  <c r="U348" i="92" s="1"/>
  <c r="V345" i="92" s="1"/>
  <c r="V348" i="92" s="1"/>
  <c r="Q468" i="92"/>
  <c r="S468" i="92" s="1"/>
  <c r="T468" i="92" s="1"/>
  <c r="AE372" i="92"/>
  <c r="X372" i="92"/>
  <c r="U347" i="92"/>
  <c r="U373" i="92" s="1"/>
  <c r="L52" i="72"/>
  <c r="L64" i="72" s="1"/>
  <c r="L65" i="72" s="1"/>
  <c r="U59" i="72"/>
  <c r="U17" i="72" s="1"/>
  <c r="O37" i="72"/>
  <c r="P36" i="72"/>
  <c r="X38" i="56"/>
  <c r="W55" i="56"/>
  <c r="P186" i="56"/>
  <c r="P228" i="56" s="1"/>
  <c r="R14" i="56"/>
  <c r="R12" i="56" s="1"/>
  <c r="R11" i="56" s="1"/>
  <c r="R31" i="56" s="1"/>
  <c r="R223" i="56" s="1"/>
  <c r="S223" i="56" s="1"/>
  <c r="Q15" i="56"/>
  <c r="U205" i="56"/>
  <c r="U240" i="56" s="1"/>
  <c r="O163" i="56"/>
  <c r="O32" i="56" s="1"/>
  <c r="O34" i="56" s="1"/>
  <c r="O486" i="56"/>
  <c r="P460" i="56"/>
  <c r="T478" i="56"/>
  <c r="J433" i="56"/>
  <c r="J434" i="56" s="1"/>
  <c r="J318" i="56"/>
  <c r="J316" i="56" s="1"/>
  <c r="J320" i="56" s="1"/>
  <c r="J326" i="56" s="1"/>
  <c r="V23" i="56"/>
  <c r="W50" i="56"/>
  <c r="U204" i="56"/>
  <c r="J89" i="56"/>
  <c r="J88" i="56"/>
  <c r="J96" i="56"/>
  <c r="V167" i="56"/>
  <c r="R57" i="56"/>
  <c r="O240" i="56"/>
  <c r="O236" i="56" s="1"/>
  <c r="Q560" i="56"/>
  <c r="O406" i="56"/>
  <c r="O409" i="56" s="1"/>
  <c r="J435" i="56"/>
  <c r="J352" i="56" s="1"/>
  <c r="X91" i="56"/>
  <c r="U125" i="56"/>
  <c r="U119" i="56" s="1"/>
  <c r="M378" i="64"/>
  <c r="M381" i="64" s="1"/>
  <c r="L235" i="64"/>
  <c r="L63" i="64"/>
  <c r="L111" i="64" s="1"/>
  <c r="M7" i="64"/>
  <c r="J168" i="64"/>
  <c r="J172" i="64" s="1"/>
  <c r="J177" i="64" s="1"/>
  <c r="L148" i="64"/>
  <c r="L189" i="64" s="1"/>
  <c r="L219" i="64" s="1"/>
  <c r="L270" i="64" s="1"/>
  <c r="L318" i="64" s="1"/>
  <c r="L364" i="64" s="1"/>
  <c r="L418" i="64" s="1"/>
  <c r="L467" i="64" s="1"/>
  <c r="L510" i="64" s="1"/>
  <c r="S99" i="57"/>
  <c r="T99" i="57"/>
  <c r="J31" i="57"/>
  <c r="J137" i="57" s="1"/>
  <c r="N44" i="64"/>
  <c r="N20" i="64" s="1"/>
  <c r="N37" i="64"/>
  <c r="O34" i="64"/>
  <c r="F397" i="64"/>
  <c r="F398" i="64" s="1"/>
  <c r="F399" i="64" s="1"/>
  <c r="F400" i="64" s="1"/>
  <c r="F401" i="64" s="1"/>
  <c r="F402" i="64" s="1"/>
  <c r="F403" i="64" s="1"/>
  <c r="F404" i="64" s="1"/>
  <c r="F405" i="64" s="1"/>
  <c r="G396" i="64"/>
  <c r="X136" i="64"/>
  <c r="W167" i="64"/>
  <c r="K407" i="64"/>
  <c r="K374" i="64" s="1"/>
  <c r="U24" i="90"/>
  <c r="X148" i="57"/>
  <c r="T337" i="90"/>
  <c r="U337" i="90" s="1"/>
  <c r="M302" i="89"/>
  <c r="M299" i="89" s="1"/>
  <c r="M344" i="89" s="1"/>
  <c r="M346" i="89" s="1"/>
  <c r="M347" i="89" s="1"/>
  <c r="M360" i="89" s="1"/>
  <c r="M364" i="89" s="1"/>
  <c r="M369" i="89" s="1"/>
  <c r="T347" i="90"/>
  <c r="U347" i="90" s="1"/>
  <c r="X145" i="57"/>
  <c r="T125" i="70" s="1"/>
  <c r="U22" i="64"/>
  <c r="T327" i="90"/>
  <c r="U327" i="90" s="1"/>
  <c r="Y146" i="57"/>
  <c r="Z146" i="57" s="1"/>
  <c r="Y16" i="56" s="1"/>
  <c r="R22" i="64"/>
  <c r="W14" i="64"/>
  <c r="V170" i="56"/>
  <c r="V478" i="56"/>
  <c r="V125" i="56"/>
  <c r="Y478" i="56"/>
  <c r="U126" i="56"/>
  <c r="U193" i="56" s="1"/>
  <c r="U122" i="56"/>
  <c r="U191" i="56" s="1"/>
  <c r="V97" i="56"/>
  <c r="V149" i="56" s="1"/>
  <c r="R97" i="64"/>
  <c r="V97" i="64" s="1"/>
  <c r="V100" i="64" s="1"/>
  <c r="W82" i="64"/>
  <c r="W129" i="64" s="1"/>
  <c r="U118" i="56"/>
  <c r="V118" i="56" s="1"/>
  <c r="X478" i="56"/>
  <c r="W478" i="56"/>
  <c r="P414" i="56"/>
  <c r="P303" i="56" s="1"/>
  <c r="O538" i="79"/>
  <c r="O142" i="56"/>
  <c r="O228" i="56" s="1"/>
  <c r="M538" i="79"/>
  <c r="M544" i="79" s="1"/>
  <c r="M525" i="79" s="1"/>
  <c r="M527" i="79" s="1"/>
  <c r="M332" i="80"/>
  <c r="P276" i="80"/>
  <c r="P256" i="80"/>
  <c r="M661" i="80"/>
  <c r="M677" i="80" s="1"/>
  <c r="N623" i="80"/>
  <c r="M364" i="80"/>
  <c r="U12" i="92"/>
  <c r="U100" i="92" s="1"/>
  <c r="U127" i="92" s="1"/>
  <c r="V17" i="56"/>
  <c r="V201" i="56"/>
  <c r="R327" i="90"/>
  <c r="R337" i="90"/>
  <c r="U359" i="90"/>
  <c r="O593" i="90"/>
  <c r="O597" i="90" s="1"/>
  <c r="Z40" i="90"/>
  <c r="Z216" i="90" s="1"/>
  <c r="X75" i="47"/>
  <c r="X89" i="47" s="1"/>
  <c r="L239" i="47"/>
  <c r="X16" i="56"/>
  <c r="X17" i="56" s="1"/>
  <c r="W131" i="57"/>
  <c r="Z131" i="57"/>
  <c r="Y131" i="57"/>
  <c r="Q237" i="56"/>
  <c r="Q236" i="56" s="1"/>
  <c r="M9" i="57"/>
  <c r="V322" i="90"/>
  <c r="V332" i="90"/>
  <c r="V337" i="90"/>
  <c r="V327" i="90"/>
  <c r="W22" i="56"/>
  <c r="W25" i="56" s="1"/>
  <c r="M399" i="89"/>
  <c r="M430" i="89" s="1"/>
  <c r="M433" i="89" s="1"/>
  <c r="W201" i="56"/>
  <c r="Q141" i="64"/>
  <c r="M493" i="89"/>
  <c r="M494" i="89" s="1"/>
  <c r="W170" i="56"/>
  <c r="Q53" i="64"/>
  <c r="Q51" i="64" s="1"/>
  <c r="Q152" i="64" s="1"/>
  <c r="Q348" i="64" s="1"/>
  <c r="Q230" i="64" s="1"/>
  <c r="R352" i="90"/>
  <c r="R332" i="90"/>
  <c r="R347" i="90"/>
  <c r="R322" i="90"/>
  <c r="Q21" i="56"/>
  <c r="Q12" i="56" s="1"/>
  <c r="Q159" i="64"/>
  <c r="M204" i="89"/>
  <c r="M202" i="89" s="1"/>
  <c r="M246" i="89" s="1"/>
  <c r="M249" i="89" s="1"/>
  <c r="M250" i="89" s="1"/>
  <c r="M254" i="89" s="1"/>
  <c r="T342" i="90"/>
  <c r="U342" i="90" s="1"/>
  <c r="V352" i="90"/>
  <c r="U319" i="90"/>
  <c r="T352" i="90"/>
  <c r="U352" i="90" s="1"/>
  <c r="Z165" i="57"/>
  <c r="I202" i="89"/>
  <c r="I246" i="89" s="1"/>
  <c r="I249" i="89" s="1"/>
  <c r="I250" i="89" s="1"/>
  <c r="I263" i="89" s="1"/>
  <c r="I267" i="89" s="1"/>
  <c r="V347" i="90"/>
  <c r="W322" i="90"/>
  <c r="AA28" i="57"/>
  <c r="H157" i="89"/>
  <c r="H159" i="89" s="1"/>
  <c r="V26" i="90"/>
  <c r="V414" i="90" s="1"/>
  <c r="X150" i="57"/>
  <c r="M480" i="47"/>
  <c r="Q454" i="47"/>
  <c r="Q456" i="47" s="1"/>
  <c r="R45" i="47"/>
  <c r="R454" i="47" s="1"/>
  <c r="N141" i="47"/>
  <c r="N213" i="47" s="1"/>
  <c r="U455" i="47"/>
  <c r="M370" i="47"/>
  <c r="N80" i="57" s="1"/>
  <c r="N90" i="57" s="1"/>
  <c r="W480" i="47"/>
  <c r="N480" i="47"/>
  <c r="P131" i="57"/>
  <c r="Q129" i="57"/>
  <c r="M472" i="56"/>
  <c r="O9" i="47"/>
  <c r="O141" i="47" s="1"/>
  <c r="O213" i="47" s="1"/>
  <c r="T472" i="56"/>
  <c r="U472" i="56"/>
  <c r="Q472" i="56"/>
  <c r="O241" i="56"/>
  <c r="J580" i="56"/>
  <c r="U54" i="56"/>
  <c r="U56" i="56"/>
  <c r="O472" i="56"/>
  <c r="Q169" i="56"/>
  <c r="L532" i="56"/>
  <c r="L533" i="56" s="1"/>
  <c r="L323" i="56" s="1"/>
  <c r="V128" i="64"/>
  <c r="U123" i="56"/>
  <c r="U192" i="56" s="1"/>
  <c r="L580" i="56"/>
  <c r="W87" i="64"/>
  <c r="W138" i="64" s="1"/>
  <c r="P59" i="56"/>
  <c r="P231" i="56"/>
  <c r="P55" i="56"/>
  <c r="P51" i="56"/>
  <c r="P232" i="56"/>
  <c r="U145" i="56"/>
  <c r="J583" i="56"/>
  <c r="J587" i="56" s="1"/>
  <c r="J248" i="56" s="1"/>
  <c r="J354" i="56" s="1"/>
  <c r="K567" i="56"/>
  <c r="K581" i="56" s="1"/>
  <c r="W80" i="64"/>
  <c r="W127" i="64" s="1"/>
  <c r="P472" i="56"/>
  <c r="K472" i="56"/>
  <c r="K485" i="56" s="1"/>
  <c r="K244" i="56" s="1"/>
  <c r="K246" i="56" s="1"/>
  <c r="V150" i="56"/>
  <c r="W150" i="56" s="1"/>
  <c r="W203" i="56"/>
  <c r="N57" i="56"/>
  <c r="P32" i="56"/>
  <c r="P241" i="56" s="1"/>
  <c r="K580" i="56"/>
  <c r="K583" i="56" s="1"/>
  <c r="K587" i="56" s="1"/>
  <c r="K248" i="56" s="1"/>
  <c r="K354" i="56" s="1"/>
  <c r="W172" i="56"/>
  <c r="V174" i="56"/>
  <c r="V240" i="56" s="1"/>
  <c r="T142" i="56"/>
  <c r="T426" i="56" s="1"/>
  <c r="L472" i="56"/>
  <c r="L485" i="56" s="1"/>
  <c r="L350" i="56" s="1"/>
  <c r="W79" i="64"/>
  <c r="Y485" i="56"/>
  <c r="Y454" i="56" s="1"/>
  <c r="J227" i="56"/>
  <c r="J234" i="56" s="1"/>
  <c r="M163" i="56"/>
  <c r="M32" i="56" s="1"/>
  <c r="M458" i="56"/>
  <c r="M461" i="56" s="1"/>
  <c r="N458" i="56" s="1"/>
  <c r="N461" i="56" s="1"/>
  <c r="W14" i="56"/>
  <c r="V204" i="56"/>
  <c r="V200" i="56" s="1"/>
  <c r="U50" i="56"/>
  <c r="U14" i="56" s="1"/>
  <c r="N55" i="56"/>
  <c r="N19" i="56" s="1"/>
  <c r="N51" i="56"/>
  <c r="K44" i="57"/>
  <c r="J420" i="56"/>
  <c r="J351" i="56" s="1"/>
  <c r="N513" i="47"/>
  <c r="O513" i="47" s="1"/>
  <c r="M11" i="47"/>
  <c r="M418" i="47" s="1"/>
  <c r="M305" i="47" s="1"/>
  <c r="T458" i="47"/>
  <c r="T461" i="47" s="1"/>
  <c r="U45" i="47"/>
  <c r="U454" i="47" s="1"/>
  <c r="L314" i="47"/>
  <c r="W197" i="90"/>
  <c r="W198" i="90" s="1"/>
  <c r="T668" i="90"/>
  <c r="U668" i="90" s="1"/>
  <c r="U717" i="90"/>
  <c r="N674" i="90"/>
  <c r="O674" i="90" s="1"/>
  <c r="P674" i="90" s="1"/>
  <c r="O502" i="90"/>
  <c r="M773" i="90"/>
  <c r="AA668" i="90"/>
  <c r="AI668" i="90"/>
  <c r="Q254" i="80"/>
  <c r="M610" i="80"/>
  <c r="M532" i="80"/>
  <c r="M521" i="80" s="1"/>
  <c r="N532" i="80"/>
  <c r="N521" i="80" s="1"/>
  <c r="L532" i="80"/>
  <c r="L521" i="80" s="1"/>
  <c r="L523" i="80" s="1"/>
  <c r="L376" i="80" s="1"/>
  <c r="Q95" i="79"/>
  <c r="M444" i="79"/>
  <c r="M654" i="79"/>
  <c r="Q60" i="79"/>
  <c r="N274" i="79"/>
  <c r="O277" i="79"/>
  <c r="P264" i="79"/>
  <c r="M511" i="79"/>
  <c r="N218" i="79"/>
  <c r="M461" i="79"/>
  <c r="P111" i="79"/>
  <c r="P110" i="79" s="1"/>
  <c r="N234" i="79"/>
  <c r="N236" i="79" s="1"/>
  <c r="Q444" i="79"/>
  <c r="X165" i="57"/>
  <c r="W165" i="57"/>
  <c r="Y165" i="57"/>
  <c r="X131" i="57"/>
  <c r="P165" i="57"/>
  <c r="G182" i="89"/>
  <c r="G184" i="89" s="1"/>
  <c r="G192" i="89"/>
  <c r="L346" i="89"/>
  <c r="L347" i="89" s="1"/>
  <c r="G465" i="89"/>
  <c r="M88" i="89"/>
  <c r="F472" i="89"/>
  <c r="F474" i="89" s="1"/>
  <c r="L302" i="89"/>
  <c r="J204" i="89"/>
  <c r="J202" i="89" s="1"/>
  <c r="J246" i="89" s="1"/>
  <c r="J6" i="89" s="1"/>
  <c r="S13" i="57" s="1"/>
  <c r="J221" i="89"/>
  <c r="J220" i="89" s="1"/>
  <c r="J224" i="89" s="1"/>
  <c r="K211" i="89"/>
  <c r="H422" i="89"/>
  <c r="I392" i="89"/>
  <c r="H451" i="89"/>
  <c r="H437" i="89"/>
  <c r="L104" i="89"/>
  <c r="L149" i="89" s="1"/>
  <c r="L152" i="89" s="1"/>
  <c r="L153" i="89" s="1"/>
  <c r="G88" i="89"/>
  <c r="G92" i="89" s="1"/>
  <c r="H88" i="89"/>
  <c r="J88" i="89"/>
  <c r="AA82" i="57"/>
  <c r="G50" i="89"/>
  <c r="G39" i="89"/>
  <c r="G41" i="89" s="1"/>
  <c r="K88" i="89"/>
  <c r="L88" i="89"/>
  <c r="U776" i="90"/>
  <c r="N724" i="90"/>
  <c r="U773" i="90"/>
  <c r="W201" i="90"/>
  <c r="W196" i="90" s="1"/>
  <c r="W250" i="90" s="1"/>
  <c r="R702" i="90"/>
  <c r="N703" i="90"/>
  <c r="O707" i="90"/>
  <c r="AT668" i="90"/>
  <c r="Y668" i="90"/>
  <c r="M781" i="90"/>
  <c r="O463" i="90"/>
  <c r="W792" i="90"/>
  <c r="W794" i="90" s="1"/>
  <c r="W796" i="90" s="1"/>
  <c r="W168" i="90"/>
  <c r="P871" i="90"/>
  <c r="P875" i="90" s="1"/>
  <c r="X424" i="90"/>
  <c r="AG668" i="90"/>
  <c r="AK668" i="90"/>
  <c r="W243" i="90"/>
  <c r="R243" i="90"/>
  <c r="AA98" i="57"/>
  <c r="R241" i="90"/>
  <c r="R562" i="90" s="1"/>
  <c r="R576" i="90" s="1"/>
  <c r="R577" i="90" s="1"/>
  <c r="X206" i="90"/>
  <c r="X203" i="90" s="1"/>
  <c r="T491" i="90"/>
  <c r="U491" i="90" s="1"/>
  <c r="T702" i="90"/>
  <c r="U702" i="90" s="1"/>
  <c r="V240" i="90"/>
  <c r="V242" i="90" s="1"/>
  <c r="U691" i="90"/>
  <c r="T701" i="90"/>
  <c r="U701" i="90" s="1"/>
  <c r="AL668" i="90"/>
  <c r="Q558" i="90"/>
  <c r="R512" i="90"/>
  <c r="R206" i="90"/>
  <c r="R203" i="90" s="1"/>
  <c r="R167" i="90"/>
  <c r="P598" i="90"/>
  <c r="P517" i="90" s="1"/>
  <c r="Q598" i="90"/>
  <c r="Q517" i="90" s="1"/>
  <c r="Q69" i="57" s="1"/>
  <c r="AS668" i="90"/>
  <c r="AQ668" i="90"/>
  <c r="Y530" i="90"/>
  <c r="Y86" i="57"/>
  <c r="Y168" i="57" s="1"/>
  <c r="AF668" i="90"/>
  <c r="R383" i="90"/>
  <c r="R386" i="90" s="1"/>
  <c r="R387" i="90" s="1"/>
  <c r="R391" i="90" s="1"/>
  <c r="V627" i="90"/>
  <c r="R672" i="90"/>
  <c r="U853" i="90"/>
  <c r="T867" i="90"/>
  <c r="M779" i="90"/>
  <c r="N758" i="90" s="1"/>
  <c r="T469" i="90"/>
  <c r="U469" i="90" s="1"/>
  <c r="U721" i="90"/>
  <c r="R242" i="90"/>
  <c r="P707" i="90"/>
  <c r="AU668" i="90"/>
  <c r="R679" i="90"/>
  <c r="R664" i="90" s="1"/>
  <c r="R480" i="47"/>
  <c r="P480" i="47"/>
  <c r="M242" i="47"/>
  <c r="O480" i="47"/>
  <c r="U480" i="47"/>
  <c r="V480" i="47"/>
  <c r="S480" i="47"/>
  <c r="M461" i="47"/>
  <c r="X480" i="47"/>
  <c r="Q480" i="47"/>
  <c r="X452" i="47"/>
  <c r="Y452" i="47" s="1"/>
  <c r="Y451" i="47" s="1"/>
  <c r="N13" i="47"/>
  <c r="R75" i="47"/>
  <c r="R89" i="47" s="1"/>
  <c r="R107" i="47" s="1"/>
  <c r="L458" i="47"/>
  <c r="L461" i="47" s="1"/>
  <c r="M13" i="47"/>
  <c r="L565" i="47"/>
  <c r="L569" i="47" s="1"/>
  <c r="W578" i="47"/>
  <c r="W579" i="47" s="1"/>
  <c r="R478" i="47"/>
  <c r="W478" i="47"/>
  <c r="K281" i="47"/>
  <c r="K283" i="47" s="1"/>
  <c r="K366" i="47" s="1"/>
  <c r="K358" i="47"/>
  <c r="K363" i="47" s="1"/>
  <c r="U90" i="47"/>
  <c r="W90" i="47"/>
  <c r="M130" i="47"/>
  <c r="M153" i="47" s="1"/>
  <c r="W75" i="47"/>
  <c r="W89" i="47" s="1"/>
  <c r="W181" i="47" s="1"/>
  <c r="U478" i="47"/>
  <c r="M515" i="47"/>
  <c r="M328" i="47" s="1"/>
  <c r="P113" i="47"/>
  <c r="P119" i="47" s="1"/>
  <c r="P129" i="47" s="1"/>
  <c r="M231" i="47"/>
  <c r="N512" i="47"/>
  <c r="N547" i="47" s="1"/>
  <c r="N561" i="47" s="1"/>
  <c r="V90" i="47"/>
  <c r="U75" i="47"/>
  <c r="U89" i="47" s="1"/>
  <c r="U181" i="47" s="1"/>
  <c r="V75" i="47"/>
  <c r="V89" i="47" s="1"/>
  <c r="V181" i="47" s="1"/>
  <c r="N242" i="47"/>
  <c r="M478" i="47"/>
  <c r="S478" i="47"/>
  <c r="P478" i="47"/>
  <c r="W479" i="47"/>
  <c r="X479" i="47"/>
  <c r="O478" i="47"/>
  <c r="L478" i="47"/>
  <c r="O479" i="47"/>
  <c r="V478" i="47"/>
  <c r="N478" i="47"/>
  <c r="X478" i="47"/>
  <c r="S107" i="47"/>
  <c r="Q181" i="47"/>
  <c r="Q479" i="47"/>
  <c r="S179" i="47"/>
  <c r="M258" i="47"/>
  <c r="N7" i="47"/>
  <c r="M139" i="47"/>
  <c r="M211" i="47" s="1"/>
  <c r="N514" i="47"/>
  <c r="O514" i="47" s="1"/>
  <c r="P514" i="47" s="1"/>
  <c r="Q514" i="47" s="1"/>
  <c r="Q549" i="47" s="1"/>
  <c r="Q563" i="47" s="1"/>
  <c r="N237" i="47"/>
  <c r="N236" i="47" s="1"/>
  <c r="N268" i="47" s="1"/>
  <c r="O188" i="47"/>
  <c r="Y479" i="47"/>
  <c r="X181" i="47"/>
  <c r="M549" i="47"/>
  <c r="M563" i="47" s="1"/>
  <c r="M236" i="47"/>
  <c r="M268" i="47" s="1"/>
  <c r="V479" i="47"/>
  <c r="S479" i="47"/>
  <c r="L118" i="47"/>
  <c r="L170" i="47" s="1"/>
  <c r="L417" i="47" s="1"/>
  <c r="L308" i="47" s="1"/>
  <c r="M314" i="47"/>
  <c r="M432" i="47"/>
  <c r="M433" i="47" s="1"/>
  <c r="R479" i="47"/>
  <c r="M479" i="47"/>
  <c r="N479" i="47"/>
  <c r="P451" i="47"/>
  <c r="P456" i="47" s="1"/>
  <c r="P458" i="47" s="1"/>
  <c r="P464" i="47"/>
  <c r="P80" i="57"/>
  <c r="P90" i="57" s="1"/>
  <c r="O374" i="47"/>
  <c r="U193" i="47"/>
  <c r="V195" i="47"/>
  <c r="L312" i="47"/>
  <c r="M466" i="47"/>
  <c r="M468" i="47" s="1"/>
  <c r="L418" i="47"/>
  <c r="L305" i="47" s="1"/>
  <c r="L416" i="47"/>
  <c r="L304" i="47" s="1"/>
  <c r="O118" i="47"/>
  <c r="O113" i="47"/>
  <c r="N113" i="47"/>
  <c r="N119" i="47" s="1"/>
  <c r="N129" i="47" s="1"/>
  <c r="L119" i="47"/>
  <c r="L129" i="47" s="1"/>
  <c r="L130" i="47" s="1"/>
  <c r="V86" i="47"/>
  <c r="V88" i="47"/>
  <c r="P479" i="47"/>
  <c r="L479" i="47"/>
  <c r="K201" i="47"/>
  <c r="K202" i="47"/>
  <c r="K248" i="47" s="1"/>
  <c r="Q107" i="47"/>
  <c r="U73" i="47"/>
  <c r="U85" i="47" s="1"/>
  <c r="U74" i="47"/>
  <c r="U87" i="47" s="1"/>
  <c r="V52" i="47"/>
  <c r="S93" i="47"/>
  <c r="S165" i="47" s="1"/>
  <c r="N461" i="47"/>
  <c r="F481" i="47"/>
  <c r="N370" i="47"/>
  <c r="N374" i="47" s="1"/>
  <c r="Q179" i="47"/>
  <c r="L242" i="47"/>
  <c r="L236" i="47"/>
  <c r="L268" i="47" s="1"/>
  <c r="Q93" i="47"/>
  <c r="Q165" i="47" s="1"/>
  <c r="N353" i="47"/>
  <c r="N400" i="47" s="1"/>
  <c r="N446" i="47" s="1"/>
  <c r="O297" i="47"/>
  <c r="W327" i="90"/>
  <c r="K344" i="89"/>
  <c r="K346" i="89" s="1"/>
  <c r="K347" i="89" s="1"/>
  <c r="K351" i="89" s="1"/>
  <c r="K352" i="89" s="1"/>
  <c r="K367" i="89" s="1"/>
  <c r="K104" i="89"/>
  <c r="K149" i="89" s="1"/>
  <c r="K152" i="89" s="1"/>
  <c r="K153" i="89" s="1"/>
  <c r="M104" i="89"/>
  <c r="M149" i="89" s="1"/>
  <c r="M152" i="89" s="1"/>
  <c r="M153" i="89" s="1"/>
  <c r="I88" i="89"/>
  <c r="H254" i="89"/>
  <c r="H256" i="89" s="1"/>
  <c r="Y145" i="57"/>
  <c r="I495" i="89"/>
  <c r="I526" i="89" s="1"/>
  <c r="I529" i="89" s="1"/>
  <c r="I537" i="89" s="1"/>
  <c r="L432" i="89"/>
  <c r="L441" i="89" s="1"/>
  <c r="S11" i="92"/>
  <c r="W352" i="90"/>
  <c r="W347" i="90"/>
  <c r="W332" i="90"/>
  <c r="W342" i="90"/>
  <c r="L396" i="89"/>
  <c r="L440" i="89" s="1"/>
  <c r="V100" i="92"/>
  <c r="V127" i="92" s="1"/>
  <c r="Q474" i="56"/>
  <c r="O474" i="56"/>
  <c r="V474" i="56"/>
  <c r="T474" i="56"/>
  <c r="M474" i="56"/>
  <c r="P474" i="56"/>
  <c r="U474" i="56"/>
  <c r="N474" i="56"/>
  <c r="AD372" i="92"/>
  <c r="AD341" i="92" s="1"/>
  <c r="V243" i="90"/>
  <c r="U780" i="90"/>
  <c r="AG372" i="92"/>
  <c r="AG341" i="92" s="1"/>
  <c r="X243" i="90"/>
  <c r="X241" i="90"/>
  <c r="X427" i="90" s="1"/>
  <c r="J341" i="89"/>
  <c r="J325" i="89"/>
  <c r="J355" i="89"/>
  <c r="O210" i="79"/>
  <c r="Q112" i="56"/>
  <c r="Q111" i="56"/>
  <c r="Q110" i="56"/>
  <c r="Y214" i="90"/>
  <c r="Y424" i="90"/>
  <c r="Q66" i="88"/>
  <c r="P71" i="88"/>
  <c r="U120" i="56"/>
  <c r="Q190" i="56"/>
  <c r="Q229" i="56" s="1"/>
  <c r="U121" i="56"/>
  <c r="AP668" i="90"/>
  <c r="X668" i="90"/>
  <c r="L116" i="80"/>
  <c r="L111" i="80" s="1"/>
  <c r="L212" i="80" s="1"/>
  <c r="L216" i="80" s="1"/>
  <c r="L218" i="80" s="1"/>
  <c r="L129" i="80"/>
  <c r="L127" i="80" s="1"/>
  <c r="L222" i="80" s="1"/>
  <c r="L274" i="80"/>
  <c r="L276" i="80" s="1"/>
  <c r="L278" i="80" s="1"/>
  <c r="K7" i="89"/>
  <c r="T20" i="57" s="1"/>
  <c r="H360" i="89"/>
  <c r="H364" i="89" s="1"/>
  <c r="H369" i="89" s="1"/>
  <c r="H351" i="89"/>
  <c r="H353" i="89" s="1"/>
  <c r="P699" i="90"/>
  <c r="O698" i="90"/>
  <c r="R36" i="80"/>
  <c r="Q17" i="80"/>
  <c r="R75" i="80"/>
  <c r="Q244" i="80"/>
  <c r="K162" i="64"/>
  <c r="K323" i="64"/>
  <c r="K337" i="64" s="1"/>
  <c r="K243" i="64" s="1"/>
  <c r="K242" i="64" s="1"/>
  <c r="K246" i="64" s="1"/>
  <c r="K252" i="64" s="1"/>
  <c r="U57" i="56"/>
  <c r="U55" i="56"/>
  <c r="U59" i="56"/>
  <c r="U167" i="56"/>
  <c r="S348" i="92"/>
  <c r="T348" i="92" s="1"/>
  <c r="Q196" i="92"/>
  <c r="S196" i="92" s="1"/>
  <c r="T196" i="92" s="1"/>
  <c r="AG386" i="90"/>
  <c r="AG387" i="90" s="1"/>
  <c r="AG391" i="90" s="1"/>
  <c r="N224" i="79"/>
  <c r="Q99" i="92"/>
  <c r="S99" i="92" s="1"/>
  <c r="T99" i="92" s="1"/>
  <c r="Q11" i="92"/>
  <c r="Q101" i="92" s="1"/>
  <c r="Q45" i="79"/>
  <c r="R45" i="79" s="1"/>
  <c r="S45" i="79" s="1"/>
  <c r="P12" i="79"/>
  <c r="W820" i="90"/>
  <c r="V855" i="90"/>
  <c r="V869" i="90" s="1"/>
  <c r="W855" i="90"/>
  <c r="W869" i="90" s="1"/>
  <c r="N153" i="88"/>
  <c r="M154" i="88"/>
  <c r="O212" i="79"/>
  <c r="O25" i="79"/>
  <c r="O658" i="79"/>
  <c r="O674" i="79" s="1"/>
  <c r="O623" i="79"/>
  <c r="O389" i="79" s="1"/>
  <c r="W90" i="56"/>
  <c r="V145" i="56"/>
  <c r="W29" i="56"/>
  <c r="W23" i="56"/>
  <c r="U51" i="56"/>
  <c r="M721" i="90"/>
  <c r="M787" i="90" s="1"/>
  <c r="L451" i="64"/>
  <c r="L454" i="64" s="1"/>
  <c r="K439" i="64"/>
  <c r="K441" i="64" s="1"/>
  <c r="K443" i="64" s="1"/>
  <c r="K456" i="64"/>
  <c r="L76" i="88"/>
  <c r="L90" i="88"/>
  <c r="L95" i="88" s="1"/>
  <c r="L114" i="88" s="1"/>
  <c r="Y53" i="90"/>
  <c r="X52" i="90"/>
  <c r="X240" i="90" s="1"/>
  <c r="X242" i="90" s="1"/>
  <c r="T167" i="90"/>
  <c r="U155" i="90"/>
  <c r="T206" i="90"/>
  <c r="U206" i="90" s="1"/>
  <c r="U383" i="90"/>
  <c r="T386" i="90"/>
  <c r="U386" i="90" s="1"/>
  <c r="Q143" i="56"/>
  <c r="U88" i="56"/>
  <c r="M40" i="72"/>
  <c r="M42" i="72" s="1"/>
  <c r="N38" i="72"/>
  <c r="O432" i="56"/>
  <c r="O318" i="56" s="1"/>
  <c r="O413" i="56"/>
  <c r="O302" i="56" s="1"/>
  <c r="O412" i="56"/>
  <c r="T781" i="90"/>
  <c r="U781" i="90" s="1"/>
  <c r="U774" i="90"/>
  <c r="N226" i="80"/>
  <c r="N228" i="80" s="1"/>
  <c r="P83" i="92"/>
  <c r="P118" i="92" s="1"/>
  <c r="P117" i="92" s="1"/>
  <c r="P71" i="79"/>
  <c r="R122" i="79"/>
  <c r="J18" i="72"/>
  <c r="K11" i="57" s="1"/>
  <c r="K6" i="57" s="1"/>
  <c r="K135" i="57" s="1"/>
  <c r="F32" i="89"/>
  <c r="F50" i="89" s="1"/>
  <c r="L532" i="88"/>
  <c r="Q819" i="90"/>
  <c r="R819" i="90" s="1"/>
  <c r="P821" i="90"/>
  <c r="Z668" i="90"/>
  <c r="L252" i="64"/>
  <c r="T770" i="90"/>
  <c r="U770" i="90" s="1"/>
  <c r="M234" i="79"/>
  <c r="M236" i="79" s="1"/>
  <c r="N473" i="80"/>
  <c r="N476" i="80" s="1"/>
  <c r="M476" i="80"/>
  <c r="P487" i="64"/>
  <c r="P481" i="64" s="1"/>
  <c r="O516" i="64"/>
  <c r="O530" i="64" s="1"/>
  <c r="U92" i="56"/>
  <c r="Q144" i="56"/>
  <c r="L15" i="72"/>
  <c r="L39" i="72"/>
  <c r="L484" i="88"/>
  <c r="L328" i="88"/>
  <c r="L332" i="88" s="1"/>
  <c r="J497" i="88"/>
  <c r="P27" i="72"/>
  <c r="O29" i="72"/>
  <c r="O31" i="72" s="1"/>
  <c r="AH669" i="90"/>
  <c r="AH672" i="90"/>
  <c r="AH670" i="90"/>
  <c r="AH671" i="90"/>
  <c r="AH526" i="90"/>
  <c r="AH530" i="90" s="1"/>
  <c r="AH383" i="90"/>
  <c r="H37" i="89"/>
  <c r="Q82" i="57"/>
  <c r="T414" i="56"/>
  <c r="T303" i="56" s="1"/>
  <c r="P727" i="90"/>
  <c r="O471" i="90"/>
  <c r="X214" i="90"/>
  <c r="U133" i="64"/>
  <c r="U353" i="64" s="1"/>
  <c r="U244" i="64" s="1"/>
  <c r="U97" i="64"/>
  <c r="AR668" i="90"/>
  <c r="J38" i="57"/>
  <c r="I251" i="56"/>
  <c r="I253" i="56" s="1"/>
  <c r="I255" i="56" s="1"/>
  <c r="Q294" i="56"/>
  <c r="U7" i="56"/>
  <c r="Q81" i="56"/>
  <c r="Q494" i="56"/>
  <c r="Q443" i="56"/>
  <c r="Z530" i="90"/>
  <c r="Z86" i="57"/>
  <c r="Z168" i="57" s="1"/>
  <c r="I360" i="89"/>
  <c r="I364" i="89" s="1"/>
  <c r="X209" i="56"/>
  <c r="Y209" i="56" s="1"/>
  <c r="O305" i="80"/>
  <c r="O466" i="80" s="1"/>
  <c r="M142" i="56"/>
  <c r="M426" i="56" s="1"/>
  <c r="M304" i="56" s="1"/>
  <c r="L293" i="80"/>
  <c r="L466" i="80" s="1"/>
  <c r="L481" i="80" s="1"/>
  <c r="L371" i="80" s="1"/>
  <c r="T13" i="56"/>
  <c r="M216" i="80"/>
  <c r="M218" i="80" s="1"/>
  <c r="X210" i="56"/>
  <c r="Y210" i="56" s="1"/>
  <c r="M124" i="64"/>
  <c r="M156" i="64" s="1"/>
  <c r="Q394" i="56"/>
  <c r="AB668" i="90"/>
  <c r="N466" i="80"/>
  <c r="N481" i="80" s="1"/>
  <c r="O481" i="80" s="1"/>
  <c r="O371" i="80" s="1"/>
  <c r="M782" i="90"/>
  <c r="M775" i="90" s="1"/>
  <c r="M778" i="90"/>
  <c r="M771" i="90" s="1"/>
  <c r="N771" i="90" s="1"/>
  <c r="U169" i="56"/>
  <c r="O216" i="80"/>
  <c r="O218" i="80" s="1"/>
  <c r="K197" i="64"/>
  <c r="K24" i="57"/>
  <c r="M622" i="80"/>
  <c r="M625" i="80" s="1"/>
  <c r="M391" i="80" s="1"/>
  <c r="L660" i="80"/>
  <c r="L676" i="80" s="1"/>
  <c r="L680" i="80" s="1"/>
  <c r="L684" i="80" s="1"/>
  <c r="L312" i="80" s="1"/>
  <c r="L422" i="80" s="1"/>
  <c r="M480" i="64"/>
  <c r="L515" i="64"/>
  <c r="L529" i="64" s="1"/>
  <c r="L533" i="64" s="1"/>
  <c r="L537" i="64" s="1"/>
  <c r="L174" i="64" s="1"/>
  <c r="L483" i="64"/>
  <c r="L249" i="64" s="1"/>
  <c r="F579" i="89"/>
  <c r="F582" i="89" s="1"/>
  <c r="G581" i="89" s="1"/>
  <c r="F568" i="89"/>
  <c r="F570" i="89" s="1"/>
  <c r="M222" i="56"/>
  <c r="M447" i="56"/>
  <c r="M449" i="56" s="1"/>
  <c r="M31" i="56"/>
  <c r="Q386" i="90"/>
  <c r="Q387" i="90" s="1"/>
  <c r="Q391" i="90" s="1"/>
  <c r="Q392" i="90" s="1"/>
  <c r="Q393" i="90" s="1"/>
  <c r="W47" i="47"/>
  <c r="V455" i="47"/>
  <c r="T681" i="90"/>
  <c r="R681" i="90"/>
  <c r="X60" i="47"/>
  <c r="Y60" i="47" s="1"/>
  <c r="S175" i="80"/>
  <c r="S174" i="80" s="1"/>
  <c r="R174" i="80"/>
  <c r="R171" i="80" s="1"/>
  <c r="R262" i="80" s="1"/>
  <c r="R266" i="80" s="1"/>
  <c r="AN668" i="90"/>
  <c r="T688" i="90"/>
  <c r="U688" i="90" s="1"/>
  <c r="U689" i="90"/>
  <c r="T699" i="90"/>
  <c r="AQ386" i="90"/>
  <c r="AQ387" i="90" s="1"/>
  <c r="AQ391" i="90" s="1"/>
  <c r="N759" i="90"/>
  <c r="N300" i="80"/>
  <c r="M301" i="80"/>
  <c r="M298" i="80" s="1"/>
  <c r="W669" i="90"/>
  <c r="W671" i="90"/>
  <c r="W383" i="90"/>
  <c r="W386" i="90" s="1"/>
  <c r="W387" i="90" s="1"/>
  <c r="W391" i="90" s="1"/>
  <c r="W526" i="90"/>
  <c r="W672" i="90"/>
  <c r="W670" i="90"/>
  <c r="F376" i="89"/>
  <c r="F378" i="89" s="1"/>
  <c r="F387" i="89"/>
  <c r="F390" i="89" s="1"/>
  <c r="G389" i="89" s="1"/>
  <c r="R453" i="47"/>
  <c r="R457" i="47" s="1"/>
  <c r="M412" i="79"/>
  <c r="W372" i="92"/>
  <c r="P357" i="88"/>
  <c r="Q357" i="88" s="1"/>
  <c r="Q517" i="56"/>
  <c r="Q17" i="72"/>
  <c r="Q344" i="56"/>
  <c r="R146" i="80"/>
  <c r="Q145" i="80"/>
  <c r="Q138" i="80" s="1"/>
  <c r="Q232" i="80" s="1"/>
  <c r="N517" i="79"/>
  <c r="N521" i="79" s="1"/>
  <c r="M374" i="79"/>
  <c r="S426" i="92"/>
  <c r="Q259" i="92"/>
  <c r="R97" i="57" s="1"/>
  <c r="AM669" i="90"/>
  <c r="AM670" i="90"/>
  <c r="AM383" i="90"/>
  <c r="AM672" i="90"/>
  <c r="AM526" i="90"/>
  <c r="AM530" i="90" s="1"/>
  <c r="AM671" i="90"/>
  <c r="AO669" i="90"/>
  <c r="AO672" i="90"/>
  <c r="AO670" i="90"/>
  <c r="AO383" i="90"/>
  <c r="AO386" i="90" s="1"/>
  <c r="AO387" i="90" s="1"/>
  <c r="AO391" i="90" s="1"/>
  <c r="AO526" i="90"/>
  <c r="AO530" i="90" s="1"/>
  <c r="AO671" i="90"/>
  <c r="G540" i="88"/>
  <c r="G554" i="88" s="1"/>
  <c r="G558" i="88" s="1"/>
  <c r="G559" i="88" s="1"/>
  <c r="H557" i="88" s="1"/>
  <c r="H559" i="88" s="1"/>
  <c r="N479" i="88"/>
  <c r="N481" i="88" s="1"/>
  <c r="I544" i="88"/>
  <c r="N482" i="64"/>
  <c r="M517" i="64"/>
  <c r="M531" i="64" s="1"/>
  <c r="G449" i="89"/>
  <c r="G16" i="89" s="1"/>
  <c r="X105" i="56"/>
  <c r="W156" i="56"/>
  <c r="Y33" i="64"/>
  <c r="X43" i="64"/>
  <c r="X47" i="64" s="1"/>
  <c r="X50" i="64" s="1"/>
  <c r="X48" i="64" s="1"/>
  <c r="X36" i="64"/>
  <c r="M355" i="64"/>
  <c r="M258" i="89"/>
  <c r="M243" i="89"/>
  <c r="M228" i="89"/>
  <c r="W104" i="56"/>
  <c r="V155" i="56"/>
  <c r="P32" i="79"/>
  <c r="O13" i="79"/>
  <c r="M325" i="89"/>
  <c r="M355" i="89"/>
  <c r="M341" i="89"/>
  <c r="L186" i="47"/>
  <c r="L222" i="47" s="1"/>
  <c r="L262" i="47"/>
  <c r="L404" i="47" s="1"/>
  <c r="X107" i="56"/>
  <c r="X158" i="56" s="1"/>
  <c r="S622" i="80"/>
  <c r="S660" i="80" s="1"/>
  <c r="S676" i="80" s="1"/>
  <c r="P11" i="80"/>
  <c r="P291" i="80" s="1"/>
  <c r="N678" i="79"/>
  <c r="N682" i="79" s="1"/>
  <c r="N310" i="79" s="1"/>
  <c r="N420" i="79" s="1"/>
  <c r="G341" i="88"/>
  <c r="M414" i="80"/>
  <c r="M560" i="80"/>
  <c r="M463" i="80"/>
  <c r="U877" i="90"/>
  <c r="T879" i="90"/>
  <c r="U879" i="90" s="1"/>
  <c r="E9" i="95"/>
  <c r="H9" i="95"/>
  <c r="I9" i="95" s="1"/>
  <c r="K39" i="72"/>
  <c r="K15" i="72"/>
  <c r="K42" i="72"/>
  <c r="K18" i="72" s="1"/>
  <c r="L11" i="57" s="1"/>
  <c r="K71" i="72"/>
  <c r="U197" i="56"/>
  <c r="U13" i="56"/>
  <c r="N47" i="72"/>
  <c r="M51" i="72"/>
  <c r="M53" i="72" s="1"/>
  <c r="N717" i="90"/>
  <c r="O715" i="90"/>
  <c r="O785" i="90" s="1"/>
  <c r="N530" i="56"/>
  <c r="O776" i="90"/>
  <c r="P776" i="90" s="1"/>
  <c r="Q776" i="90" s="1"/>
  <c r="N783" i="90"/>
  <c r="O229" i="56"/>
  <c r="O426" i="56"/>
  <c r="O304" i="56" s="1"/>
  <c r="O598" i="90"/>
  <c r="G568" i="89"/>
  <c r="G570" i="89" s="1"/>
  <c r="G579" i="89"/>
  <c r="M330" i="79"/>
  <c r="M608" i="79"/>
  <c r="N287" i="79"/>
  <c r="K100" i="88"/>
  <c r="K95" i="88"/>
  <c r="U154" i="56"/>
  <c r="X207" i="56"/>
  <c r="Y207" i="56" s="1"/>
  <c r="V11" i="92"/>
  <c r="V112" i="92" s="1"/>
  <c r="Q122" i="79"/>
  <c r="X179" i="56"/>
  <c r="Y179" i="56" s="1"/>
  <c r="N208" i="79"/>
  <c r="N214" i="79" s="1"/>
  <c r="V155" i="90"/>
  <c r="V206" i="90" s="1"/>
  <c r="V203" i="90" s="1"/>
  <c r="W251" i="90"/>
  <c r="Q138" i="56"/>
  <c r="R526" i="79"/>
  <c r="Q565" i="79"/>
  <c r="T120" i="56"/>
  <c r="T189" i="56" s="1"/>
  <c r="T191" i="56"/>
  <c r="T121" i="56" s="1"/>
  <c r="T190" i="56" s="1"/>
  <c r="T229" i="56" s="1"/>
  <c r="T193" i="56"/>
  <c r="T123" i="56"/>
  <c r="T192" i="56" s="1"/>
  <c r="T15" i="56"/>
  <c r="I429" i="89"/>
  <c r="I396" i="89"/>
  <c r="I440" i="89" s="1"/>
  <c r="W68" i="56"/>
  <c r="V72" i="56"/>
  <c r="V75" i="56" s="1"/>
  <c r="V15" i="56" s="1"/>
  <c r="H161" i="89"/>
  <c r="H100" i="89"/>
  <c r="I2" i="89"/>
  <c r="H146" i="89"/>
  <c r="H18" i="89"/>
  <c r="H56" i="89"/>
  <c r="H131" i="89"/>
  <c r="L71" i="72"/>
  <c r="AD670" i="90"/>
  <c r="AD383" i="90"/>
  <c r="AD672" i="90"/>
  <c r="AD526" i="90"/>
  <c r="AD530" i="90" s="1"/>
  <c r="AD669" i="90"/>
  <c r="AD671" i="90"/>
  <c r="X202" i="56"/>
  <c r="Y202" i="56" s="1"/>
  <c r="H328" i="88"/>
  <c r="H332" i="88" s="1"/>
  <c r="H484" i="88"/>
  <c r="H488" i="88" s="1"/>
  <c r="U679" i="90"/>
  <c r="T664" i="90"/>
  <c r="T674" i="90"/>
  <c r="U674" i="90" s="1"/>
  <c r="W230" i="56"/>
  <c r="X206" i="56"/>
  <c r="X175" i="56"/>
  <c r="Y175" i="56" s="1"/>
  <c r="W88" i="47"/>
  <c r="X386" i="90"/>
  <c r="X387" i="90" s="1"/>
  <c r="X391" i="90" s="1"/>
  <c r="AE386" i="90"/>
  <c r="AE387" i="90" s="1"/>
  <c r="AE391" i="90" s="1"/>
  <c r="S95" i="57"/>
  <c r="AA102" i="57"/>
  <c r="AB341" i="92"/>
  <c r="X341" i="92"/>
  <c r="U53" i="57"/>
  <c r="J324" i="88"/>
  <c r="AF341" i="92"/>
  <c r="T112" i="92"/>
  <c r="T285" i="92" s="1"/>
  <c r="T334" i="92"/>
  <c r="W257" i="90"/>
  <c r="W424" i="90"/>
  <c r="W214" i="90"/>
  <c r="W254" i="90" s="1"/>
  <c r="AE341" i="92"/>
  <c r="R214" i="90"/>
  <c r="R424" i="90"/>
  <c r="R178" i="80"/>
  <c r="Q270" i="80"/>
  <c r="S23" i="56"/>
  <c r="S29" i="56"/>
  <c r="U20" i="92"/>
  <c r="V18" i="92"/>
  <c r="Y341" i="92"/>
  <c r="J496" i="88"/>
  <c r="K484" i="88"/>
  <c r="K328" i="88"/>
  <c r="K332" i="88" s="1"/>
  <c r="X792" i="90"/>
  <c r="X794" i="90" s="1"/>
  <c r="X168" i="90"/>
  <c r="X171" i="90"/>
  <c r="X251" i="90" s="1"/>
  <c r="X304" i="90"/>
  <c r="X169" i="90"/>
  <c r="H581" i="88"/>
  <c r="H595" i="88" s="1"/>
  <c r="L95" i="56"/>
  <c r="M95" i="56"/>
  <c r="L147" i="56"/>
  <c r="S7" i="70"/>
  <c r="R19" i="70"/>
  <c r="R31" i="70" s="1"/>
  <c r="R43" i="70" s="1"/>
  <c r="R120" i="70" s="1"/>
  <c r="R59" i="70" s="1"/>
  <c r="W596" i="56"/>
  <c r="X595" i="56"/>
  <c r="X596" i="56" s="1"/>
  <c r="AA64" i="90"/>
  <c r="Y61" i="47"/>
  <c r="X475" i="56"/>
  <c r="V475" i="56"/>
  <c r="Q475" i="56"/>
  <c r="T475" i="56"/>
  <c r="V3" i="57"/>
  <c r="R60" i="57"/>
  <c r="L220" i="80"/>
  <c r="L226" i="80" s="1"/>
  <c r="L228" i="80" s="1"/>
  <c r="L11" i="80"/>
  <c r="T14" i="56"/>
  <c r="T167" i="56"/>
  <c r="T59" i="56"/>
  <c r="T51" i="56"/>
  <c r="N198" i="79"/>
  <c r="N204" i="79" s="1"/>
  <c r="N11" i="79"/>
  <c r="O220" i="80"/>
  <c r="O226" i="80" s="1"/>
  <c r="O228" i="80" s="1"/>
  <c r="O11" i="80"/>
  <c r="L582" i="56"/>
  <c r="M575" i="56"/>
  <c r="J360" i="89"/>
  <c r="J364" i="89" s="1"/>
  <c r="J351" i="89"/>
  <c r="Q621" i="79"/>
  <c r="Q659" i="79" s="1"/>
  <c r="Q675" i="79" s="1"/>
  <c r="P297" i="79"/>
  <c r="O296" i="79"/>
  <c r="Q111" i="79"/>
  <c r="J367" i="80"/>
  <c r="J374" i="80" s="1"/>
  <c r="J381" i="80" s="1"/>
  <c r="J400" i="80" s="1"/>
  <c r="K450" i="80"/>
  <c r="K616" i="80" s="1"/>
  <c r="I543" i="88"/>
  <c r="H546" i="88"/>
  <c r="H287" i="88" s="1"/>
  <c r="H578" i="88"/>
  <c r="H592" i="88" s="1"/>
  <c r="K545" i="88"/>
  <c r="K580" i="88" s="1"/>
  <c r="K594" i="88" s="1"/>
  <c r="N676" i="90"/>
  <c r="O676" i="90" s="1"/>
  <c r="P676" i="90" s="1"/>
  <c r="Q676" i="90" s="1"/>
  <c r="N668" i="90"/>
  <c r="O671" i="90"/>
  <c r="O668" i="90" s="1"/>
  <c r="M99" i="64"/>
  <c r="M96" i="64"/>
  <c r="O61" i="72"/>
  <c r="N63" i="72"/>
  <c r="M427" i="88"/>
  <c r="N426" i="88"/>
  <c r="T17" i="72"/>
  <c r="AI386" i="90"/>
  <c r="AI387" i="90" s="1"/>
  <c r="AI391" i="90" s="1"/>
  <c r="K413" i="56"/>
  <c r="K302" i="56" s="1"/>
  <c r="K431" i="56"/>
  <c r="K416" i="56"/>
  <c r="K427" i="56"/>
  <c r="K412" i="56"/>
  <c r="K432" i="56"/>
  <c r="K318" i="56" s="1"/>
  <c r="N378" i="64"/>
  <c r="N381" i="64" s="1"/>
  <c r="M235" i="64"/>
  <c r="Z144" i="57"/>
  <c r="V124" i="70" s="1"/>
  <c r="U124" i="70"/>
  <c r="N314" i="47"/>
  <c r="N432" i="47"/>
  <c r="N721" i="90"/>
  <c r="O722" i="90"/>
  <c r="R139" i="80"/>
  <c r="M466" i="80"/>
  <c r="M481" i="80" s="1"/>
  <c r="M371" i="80" s="1"/>
  <c r="R20" i="80"/>
  <c r="R250" i="80" s="1"/>
  <c r="S39" i="80"/>
  <c r="S20" i="80" s="1"/>
  <c r="S250" i="80" s="1"/>
  <c r="K387" i="80"/>
  <c r="K501" i="80"/>
  <c r="K502" i="80" s="1"/>
  <c r="T240" i="90"/>
  <c r="U174" i="90"/>
  <c r="R153" i="80"/>
  <c r="Q152" i="80"/>
  <c r="Q242" i="80" s="1"/>
  <c r="P198" i="79"/>
  <c r="M430" i="80"/>
  <c r="N430" i="80" s="1"/>
  <c r="O430" i="80" s="1"/>
  <c r="L432" i="80"/>
  <c r="P620" i="79"/>
  <c r="P658" i="79" s="1"/>
  <c r="P674" i="79" s="1"/>
  <c r="K373" i="80"/>
  <c r="K497" i="80"/>
  <c r="K498" i="80" s="1"/>
  <c r="P114" i="79"/>
  <c r="Q115" i="79"/>
  <c r="AJ106" i="88"/>
  <c r="K109" i="88"/>
  <c r="K113" i="88"/>
  <c r="K110" i="88"/>
  <c r="K135" i="88" s="1"/>
  <c r="AJ135" i="88" s="1"/>
  <c r="J448" i="88"/>
  <c r="K439" i="88"/>
  <c r="L439" i="88" s="1"/>
  <c r="M439" i="88" s="1"/>
  <c r="N439" i="88" s="1"/>
  <c r="O439" i="88" s="1"/>
  <c r="P439" i="88" s="1"/>
  <c r="Q439" i="88" s="1"/>
  <c r="R439" i="88" s="1"/>
  <c r="S439" i="88" s="1"/>
  <c r="T439" i="88" s="1"/>
  <c r="U439" i="88" s="1"/>
  <c r="V439" i="88" s="1"/>
  <c r="W439" i="88" s="1"/>
  <c r="X439" i="88" s="1"/>
  <c r="Y439" i="88" s="1"/>
  <c r="Z439" i="88" s="1"/>
  <c r="AA439" i="88" s="1"/>
  <c r="AB439" i="88" s="1"/>
  <c r="AC439" i="88" s="1"/>
  <c r="AD439" i="88" s="1"/>
  <c r="AE439" i="88" s="1"/>
  <c r="AF439" i="88" s="1"/>
  <c r="AG439" i="88" s="1"/>
  <c r="AH439" i="88" s="1"/>
  <c r="AI439" i="88" s="1"/>
  <c r="P358" i="88"/>
  <c r="M65" i="72"/>
  <c r="J538" i="88"/>
  <c r="I539" i="88"/>
  <c r="I563" i="88" s="1"/>
  <c r="V365" i="56"/>
  <c r="W363" i="56"/>
  <c r="W17" i="47"/>
  <c r="X18" i="90"/>
  <c r="P725" i="90"/>
  <c r="U430" i="47"/>
  <c r="V430" i="47" s="1"/>
  <c r="W430" i="47" s="1"/>
  <c r="X430" i="47" s="1"/>
  <c r="Y430" i="47" s="1"/>
  <c r="R430" i="47"/>
  <c r="S430" i="47" s="1"/>
  <c r="T430" i="47" s="1"/>
  <c r="X94" i="64"/>
  <c r="P659" i="79"/>
  <c r="P675" i="79" s="1"/>
  <c r="H325" i="88"/>
  <c r="J580" i="88"/>
  <c r="J594" i="88" s="1"/>
  <c r="N428" i="90"/>
  <c r="O418" i="90"/>
  <c r="M286" i="64"/>
  <c r="M373" i="64"/>
  <c r="G395" i="64"/>
  <c r="AB69" i="90"/>
  <c r="K270" i="56"/>
  <c r="K242" i="56"/>
  <c r="G194" i="89"/>
  <c r="H193" i="89" s="1"/>
  <c r="H321" i="88"/>
  <c r="E540" i="80"/>
  <c r="E541" i="80" s="1"/>
  <c r="E542" i="80" s="1"/>
  <c r="E543" i="80" s="1"/>
  <c r="E544" i="80" s="1"/>
  <c r="E545" i="80" s="1"/>
  <c r="F539" i="80"/>
  <c r="N511" i="80"/>
  <c r="N654" i="80"/>
  <c r="N362" i="80"/>
  <c r="N461" i="80"/>
  <c r="N558" i="80"/>
  <c r="N412" i="80"/>
  <c r="N608" i="80"/>
  <c r="N330" i="80"/>
  <c r="V424" i="92"/>
  <c r="V426" i="92" s="1"/>
  <c r="V259" i="92" s="1"/>
  <c r="W97" i="57" s="1"/>
  <c r="U453" i="92"/>
  <c r="U467" i="92" s="1"/>
  <c r="Q21" i="79"/>
  <c r="Q258" i="79" s="1"/>
  <c r="R40" i="79"/>
  <c r="Q260" i="79"/>
  <c r="P622" i="79"/>
  <c r="P660" i="79" s="1"/>
  <c r="P676" i="79" s="1"/>
  <c r="M220" i="80"/>
  <c r="M226" i="80" s="1"/>
  <c r="M228" i="80" s="1"/>
  <c r="M11" i="80"/>
  <c r="Q35" i="79"/>
  <c r="P16" i="79"/>
  <c r="O328" i="88"/>
  <c r="O332" i="88" s="1"/>
  <c r="O484" i="88"/>
  <c r="J500" i="88"/>
  <c r="K455" i="88"/>
  <c r="L455" i="88" s="1"/>
  <c r="M455" i="88" s="1"/>
  <c r="N455" i="88" s="1"/>
  <c r="O455" i="88" s="1"/>
  <c r="P455" i="88" s="1"/>
  <c r="Q455" i="88" s="1"/>
  <c r="R455" i="88" s="1"/>
  <c r="S455" i="88" s="1"/>
  <c r="T455" i="88" s="1"/>
  <c r="U455" i="88" s="1"/>
  <c r="V455" i="88" s="1"/>
  <c r="W455" i="88" s="1"/>
  <c r="X455" i="88" s="1"/>
  <c r="Y455" i="88" s="1"/>
  <c r="Z455" i="88" s="1"/>
  <c r="AA455" i="88" s="1"/>
  <c r="AB455" i="88" s="1"/>
  <c r="AC455" i="88" s="1"/>
  <c r="AD455" i="88" s="1"/>
  <c r="AE455" i="88" s="1"/>
  <c r="AF455" i="88" s="1"/>
  <c r="AG455" i="88" s="1"/>
  <c r="AH455" i="88" s="1"/>
  <c r="AI455" i="88" s="1"/>
  <c r="J460" i="88"/>
  <c r="V427" i="90"/>
  <c r="P666" i="90"/>
  <c r="O706" i="90"/>
  <c r="M173" i="56"/>
  <c r="M169" i="56" s="1"/>
  <c r="L174" i="56"/>
  <c r="L240" i="56" s="1"/>
  <c r="N68" i="64"/>
  <c r="M117" i="64"/>
  <c r="M116" i="64" s="1"/>
  <c r="M155" i="64" s="1"/>
  <c r="Y419" i="92"/>
  <c r="O423" i="56"/>
  <c r="Z72" i="90"/>
  <c r="V59" i="72"/>
  <c r="L320" i="89"/>
  <c r="L321" i="89" s="1"/>
  <c r="K321" i="89"/>
  <c r="Y57" i="90"/>
  <c r="Z58" i="90"/>
  <c r="W74" i="64"/>
  <c r="W121" i="64" s="1"/>
  <c r="V121" i="64"/>
  <c r="X121" i="47"/>
  <c r="X122" i="47" s="1"/>
  <c r="Y124" i="47"/>
  <c r="Y121" i="47" s="1"/>
  <c r="Y122" i="47" s="1"/>
  <c r="T169" i="56"/>
  <c r="Q100" i="92"/>
  <c r="I447" i="88"/>
  <c r="I451" i="88" s="1"/>
  <c r="I452" i="88" s="1"/>
  <c r="I319" i="88" s="1"/>
  <c r="I268" i="88"/>
  <c r="I267" i="88" s="1"/>
  <c r="P567" i="80"/>
  <c r="Q528" i="80"/>
  <c r="P372" i="80"/>
  <c r="Q372" i="80" s="1"/>
  <c r="R372" i="80" s="1"/>
  <c r="S372" i="80" s="1"/>
  <c r="O494" i="80"/>
  <c r="Q165" i="80"/>
  <c r="R166" i="80"/>
  <c r="L237" i="56"/>
  <c r="P520" i="79"/>
  <c r="O427" i="79"/>
  <c r="O430" i="79" s="1"/>
  <c r="R134" i="79"/>
  <c r="Q133" i="79"/>
  <c r="S42" i="80"/>
  <c r="S23" i="80" s="1"/>
  <c r="S272" i="80" s="1"/>
  <c r="R23" i="80"/>
  <c r="R272" i="80" s="1"/>
  <c r="K404" i="56"/>
  <c r="J409" i="56"/>
  <c r="J179" i="64"/>
  <c r="P486" i="88"/>
  <c r="P329" i="88" s="1"/>
  <c r="O329" i="88"/>
  <c r="K436" i="88"/>
  <c r="L436" i="88" s="1"/>
  <c r="M436" i="88" s="1"/>
  <c r="N436" i="88" s="1"/>
  <c r="O436" i="88" s="1"/>
  <c r="P436" i="88" s="1"/>
  <c r="Q436" i="88" s="1"/>
  <c r="R436" i="88" s="1"/>
  <c r="S436" i="88" s="1"/>
  <c r="T436" i="88" s="1"/>
  <c r="U436" i="88" s="1"/>
  <c r="V436" i="88" s="1"/>
  <c r="W436" i="88" s="1"/>
  <c r="X436" i="88" s="1"/>
  <c r="Y436" i="88" s="1"/>
  <c r="Z436" i="88" s="1"/>
  <c r="AA436" i="88" s="1"/>
  <c r="AB436" i="88" s="1"/>
  <c r="AC436" i="88" s="1"/>
  <c r="AD436" i="88" s="1"/>
  <c r="AE436" i="88" s="1"/>
  <c r="AF436" i="88" s="1"/>
  <c r="AG436" i="88" s="1"/>
  <c r="AH436" i="88" s="1"/>
  <c r="AI436" i="88" s="1"/>
  <c r="J444" i="88"/>
  <c r="J447" i="88" s="1"/>
  <c r="R187" i="88"/>
  <c r="S186" i="88"/>
  <c r="O526" i="90"/>
  <c r="N530" i="90"/>
  <c r="X113" i="56"/>
  <c r="W167" i="56"/>
  <c r="X132" i="56"/>
  <c r="W161" i="56"/>
  <c r="X159" i="56"/>
  <c r="P198" i="47"/>
  <c r="Q48" i="47"/>
  <c r="W75" i="64"/>
  <c r="X75" i="64" s="1"/>
  <c r="J72" i="72"/>
  <c r="AJ668" i="90"/>
  <c r="AC668" i="90"/>
  <c r="I40" i="56"/>
  <c r="I39" i="56" s="1"/>
  <c r="I54" i="56"/>
  <c r="J54" i="56"/>
  <c r="J14" i="56"/>
  <c r="J167" i="56"/>
  <c r="J165" i="56"/>
  <c r="K385" i="80"/>
  <c r="K384" i="80" s="1"/>
  <c r="K484" i="80"/>
  <c r="N151" i="88"/>
  <c r="N86" i="88"/>
  <c r="M87" i="88"/>
  <c r="M151" i="56"/>
  <c r="L152" i="56"/>
  <c r="Y236" i="90"/>
  <c r="Z77" i="90"/>
  <c r="AD67" i="90"/>
  <c r="W84" i="64"/>
  <c r="Y22" i="56"/>
  <c r="Y25" i="56" s="1"/>
  <c r="Y201" i="56"/>
  <c r="Y17" i="56"/>
  <c r="P293" i="80"/>
  <c r="P466" i="80" s="1"/>
  <c r="Q26" i="80"/>
  <c r="Q18" i="80"/>
  <c r="R37" i="80"/>
  <c r="Q234" i="80"/>
  <c r="S125" i="79"/>
  <c r="R131" i="79"/>
  <c r="Q130" i="79"/>
  <c r="L146" i="88"/>
  <c r="M144" i="88"/>
  <c r="N221" i="88"/>
  <c r="M222" i="88"/>
  <c r="L457" i="88"/>
  <c r="L458" i="88" s="1"/>
  <c r="M454" i="88"/>
  <c r="P42" i="88"/>
  <c r="O176" i="88"/>
  <c r="AA54" i="90"/>
  <c r="M309" i="56"/>
  <c r="P421" i="56"/>
  <c r="Q421" i="56" s="1"/>
  <c r="O427" i="56"/>
  <c r="W204" i="56"/>
  <c r="W205" i="56"/>
  <c r="X203" i="56"/>
  <c r="K355" i="89"/>
  <c r="K341" i="89"/>
  <c r="K325" i="89"/>
  <c r="T131" i="70"/>
  <c r="X21" i="64" s="1"/>
  <c r="Y148" i="57"/>
  <c r="AU386" i="90"/>
  <c r="AU387" i="90" s="1"/>
  <c r="AU391" i="90" s="1"/>
  <c r="Y190" i="47"/>
  <c r="R726" i="90"/>
  <c r="Z372" i="92"/>
  <c r="P531" i="56"/>
  <c r="T57" i="56"/>
  <c r="N390" i="80"/>
  <c r="O637" i="80" s="1"/>
  <c r="O663" i="80"/>
  <c r="O679" i="80" s="1"/>
  <c r="N573" i="88"/>
  <c r="M574" i="88"/>
  <c r="J456" i="88"/>
  <c r="I461" i="88"/>
  <c r="R856" i="90"/>
  <c r="R870" i="90" s="1"/>
  <c r="Q491" i="90"/>
  <c r="R832" i="90"/>
  <c r="R834" i="90" s="1"/>
  <c r="P406" i="56"/>
  <c r="L161" i="56"/>
  <c r="N160" i="56"/>
  <c r="M160" i="56"/>
  <c r="U204" i="90"/>
  <c r="T205" i="90"/>
  <c r="Z70" i="90"/>
  <c r="V44" i="64"/>
  <c r="V20" i="64" s="1"/>
  <c r="W40" i="64"/>
  <c r="X530" i="90"/>
  <c r="X86" i="57"/>
  <c r="X96" i="56"/>
  <c r="P797" i="90"/>
  <c r="Q797" i="90" s="1"/>
  <c r="O470" i="90"/>
  <c r="K457" i="88"/>
  <c r="K458" i="88" s="1"/>
  <c r="K459" i="88" s="1"/>
  <c r="P90" i="88"/>
  <c r="P95" i="88" s="1"/>
  <c r="P114" i="88" s="1"/>
  <c r="O663" i="90"/>
  <c r="O24" i="57"/>
  <c r="O26" i="79"/>
  <c r="O14" i="79"/>
  <c r="P33" i="79"/>
  <c r="Q659" i="80"/>
  <c r="Q675" i="80" s="1"/>
  <c r="R621" i="80"/>
  <c r="R659" i="80"/>
  <c r="R675" i="80" s="1"/>
  <c r="R619" i="79"/>
  <c r="R657" i="79" s="1"/>
  <c r="R673" i="79" s="1"/>
  <c r="W341" i="92"/>
  <c r="S358" i="92"/>
  <c r="T358" i="92" s="1"/>
  <c r="Q372" i="92"/>
  <c r="O19" i="79"/>
  <c r="O238" i="79" s="1"/>
  <c r="O244" i="79" s="1"/>
  <c r="P55" i="79"/>
  <c r="R154" i="80"/>
  <c r="S155" i="80"/>
  <c r="S154" i="80" s="1"/>
  <c r="K125" i="89"/>
  <c r="J126" i="89"/>
  <c r="X37" i="64"/>
  <c r="Y34" i="64"/>
  <c r="T414" i="90"/>
  <c r="U414" i="90" s="1"/>
  <c r="U26" i="90"/>
  <c r="P239" i="56"/>
  <c r="P236" i="56" s="1"/>
  <c r="AA372" i="92"/>
  <c r="T55" i="56"/>
  <c r="P270" i="80"/>
  <c r="L99" i="88"/>
  <c r="L148" i="56"/>
  <c r="W92" i="64"/>
  <c r="X92" i="64" s="1"/>
  <c r="R237" i="56"/>
  <c r="S237" i="56" s="1"/>
  <c r="T236" i="56"/>
  <c r="R236" i="56" s="1"/>
  <c r="S236" i="56" s="1"/>
  <c r="U14" i="64"/>
  <c r="U52" i="64"/>
  <c r="S48" i="79"/>
  <c r="Q22" i="79"/>
  <c r="Q268" i="79" s="1"/>
  <c r="R60" i="79"/>
  <c r="R170" i="80"/>
  <c r="Q169" i="80"/>
  <c r="Q639" i="90"/>
  <c r="N96" i="88"/>
  <c r="M99" i="88"/>
  <c r="M150" i="88" s="1"/>
  <c r="M532" i="88"/>
  <c r="N531" i="88"/>
  <c r="V424" i="90"/>
  <c r="M241" i="56"/>
  <c r="M34" i="56"/>
  <c r="R710" i="90"/>
  <c r="Q130" i="56"/>
  <c r="Q197" i="56"/>
  <c r="Q129" i="56"/>
  <c r="Q198" i="56"/>
  <c r="Q13" i="56"/>
  <c r="X54" i="56"/>
  <c r="X50" i="56"/>
  <c r="X56" i="56"/>
  <c r="P112" i="64"/>
  <c r="M774" i="90"/>
  <c r="N760" i="90"/>
  <c r="Q9" i="57"/>
  <c r="Q183" i="80"/>
  <c r="Q179" i="80" s="1"/>
  <c r="Q274" i="80" s="1"/>
  <c r="Q276" i="80" s="1"/>
  <c r="R184" i="80"/>
  <c r="L525" i="89"/>
  <c r="L492" i="89"/>
  <c r="L536" i="89" s="1"/>
  <c r="S109" i="79"/>
  <c r="P202" i="79"/>
  <c r="Q71" i="79"/>
  <c r="N621" i="80"/>
  <c r="M628" i="80"/>
  <c r="M632" i="80" s="1"/>
  <c r="M439" i="80" s="1"/>
  <c r="R254" i="80"/>
  <c r="S76" i="80"/>
  <c r="N130" i="88"/>
  <c r="M131" i="88"/>
  <c r="R670" i="90"/>
  <c r="V625" i="90"/>
  <c r="V670" i="90" s="1"/>
  <c r="R690" i="90"/>
  <c r="V818" i="90"/>
  <c r="V853" i="90" s="1"/>
  <c r="V867" i="90" s="1"/>
  <c r="R853" i="90"/>
  <c r="R867" i="90" s="1"/>
  <c r="O675" i="90"/>
  <c r="K280" i="64"/>
  <c r="Z76" i="90"/>
  <c r="Y54" i="56"/>
  <c r="Y50" i="56"/>
  <c r="Y170" i="56"/>
  <c r="Y56" i="56"/>
  <c r="L344" i="64"/>
  <c r="L327" i="64"/>
  <c r="K327" i="64" s="1"/>
  <c r="L328" i="64"/>
  <c r="L334" i="64"/>
  <c r="L227" i="64" s="1"/>
  <c r="R723" i="90"/>
  <c r="U475" i="56"/>
  <c r="N296" i="79"/>
  <c r="W475" i="56"/>
  <c r="W485" i="56" s="1"/>
  <c r="W454" i="56" s="1"/>
  <c r="O475" i="56"/>
  <c r="P236" i="80"/>
  <c r="U372" i="92"/>
  <c r="L100" i="88"/>
  <c r="M135" i="64"/>
  <c r="M165" i="64" s="1"/>
  <c r="M164" i="64" s="1"/>
  <c r="M197" i="64" s="1"/>
  <c r="M772" i="90"/>
  <c r="N772" i="90" s="1"/>
  <c r="R157" i="80"/>
  <c r="S158" i="80"/>
  <c r="S157" i="80" s="1"/>
  <c r="O23" i="79"/>
  <c r="O270" i="79" s="1"/>
  <c r="O272" i="79"/>
  <c r="P42" i="79"/>
  <c r="P79" i="92"/>
  <c r="P381" i="92"/>
  <c r="Q7" i="92"/>
  <c r="P45" i="92"/>
  <c r="P404" i="92"/>
  <c r="P231" i="92"/>
  <c r="P151" i="92"/>
  <c r="P330" i="92"/>
  <c r="P108" i="92"/>
  <c r="P181" i="92"/>
  <c r="P281" i="92"/>
  <c r="P447" i="92"/>
  <c r="Q417" i="92"/>
  <c r="Q452" i="92" s="1"/>
  <c r="P420" i="92"/>
  <c r="P210" i="92" s="1"/>
  <c r="P452" i="92"/>
  <c r="P466" i="92" s="1"/>
  <c r="P470" i="92" s="1"/>
  <c r="P474" i="92" s="1"/>
  <c r="P135" i="92" s="1"/>
  <c r="M100" i="88"/>
  <c r="N97" i="88"/>
  <c r="M473" i="88"/>
  <c r="N472" i="88"/>
  <c r="N487" i="90"/>
  <c r="N494" i="90" s="1"/>
  <c r="N481" i="90"/>
  <c r="L144" i="56"/>
  <c r="L101" i="56"/>
  <c r="M101" i="56"/>
  <c r="L157" i="56"/>
  <c r="W172" i="90"/>
  <c r="W134" i="90"/>
  <c r="W12" i="90"/>
  <c r="W256" i="90"/>
  <c r="W255" i="90"/>
  <c r="P416" i="47"/>
  <c r="P304" i="47" s="1"/>
  <c r="P262" i="47"/>
  <c r="P418" i="47"/>
  <c r="P305" i="47" s="1"/>
  <c r="Y293" i="92"/>
  <c r="X296" i="92"/>
  <c r="AC55" i="90"/>
  <c r="X795" i="90"/>
  <c r="O314" i="47"/>
  <c r="O432" i="47"/>
  <c r="R101" i="79"/>
  <c r="Q100" i="79"/>
  <c r="V341" i="92"/>
  <c r="N28" i="80"/>
  <c r="N291" i="80"/>
  <c r="J7" i="89"/>
  <c r="S20" i="57" s="1"/>
  <c r="J152" i="89"/>
  <c r="J153" i="89" s="1"/>
  <c r="M596" i="80"/>
  <c r="N591" i="80"/>
  <c r="N594" i="80" s="1"/>
  <c r="N596" i="80" s="1"/>
  <c r="Q200" i="79"/>
  <c r="R95" i="79"/>
  <c r="R61" i="79"/>
  <c r="U232" i="90"/>
  <c r="T224" i="90"/>
  <c r="M383" i="64"/>
  <c r="M387" i="64" s="1"/>
  <c r="L234" i="64"/>
  <c r="S38" i="80"/>
  <c r="S19" i="80" s="1"/>
  <c r="S240" i="80" s="1"/>
  <c r="R19" i="80"/>
  <c r="R240" i="80" s="1"/>
  <c r="N429" i="80"/>
  <c r="O522" i="80"/>
  <c r="P522" i="80" s="1"/>
  <c r="O661" i="79"/>
  <c r="O677" i="79" s="1"/>
  <c r="N388" i="79"/>
  <c r="O635" i="79" s="1"/>
  <c r="O637" i="79" s="1"/>
  <c r="M312" i="88"/>
  <c r="L313" i="88"/>
  <c r="K258" i="89"/>
  <c r="K243" i="89"/>
  <c r="K228" i="89"/>
  <c r="S172" i="80"/>
  <c r="X13" i="64"/>
  <c r="Y147" i="57"/>
  <c r="O724" i="90"/>
  <c r="Y64" i="47"/>
  <c r="X90" i="47"/>
  <c r="Q428" i="47"/>
  <c r="M11" i="79"/>
  <c r="M28" i="79" s="1"/>
  <c r="O204" i="79"/>
  <c r="N210" i="80"/>
  <c r="N216" i="80" s="1"/>
  <c r="N218" i="80" s="1"/>
  <c r="F13" i="85"/>
  <c r="T243" i="90"/>
  <c r="U243" i="90" s="1"/>
  <c r="T241" i="90"/>
  <c r="U236" i="90"/>
  <c r="K369" i="80"/>
  <c r="K368" i="80" s="1"/>
  <c r="K482" i="80"/>
  <c r="Q41" i="88"/>
  <c r="P477" i="88"/>
  <c r="P478" i="88"/>
  <c r="S149" i="80"/>
  <c r="S148" i="80" s="1"/>
  <c r="R148" i="80"/>
  <c r="V101" i="57"/>
  <c r="AA101" i="57" s="1"/>
  <c r="O220" i="79"/>
  <c r="P34" i="79"/>
  <c r="P222" i="79" s="1"/>
  <c r="O15" i="79"/>
  <c r="O218" i="79" s="1"/>
  <c r="U99" i="56"/>
  <c r="Q148" i="56"/>
  <c r="J351" i="64"/>
  <c r="J356" i="64" s="1"/>
  <c r="K351" i="64"/>
  <c r="K356" i="64" s="1"/>
  <c r="K278" i="64" s="1"/>
  <c r="O337" i="80"/>
  <c r="O346" i="80" s="1"/>
  <c r="N346" i="80"/>
  <c r="L152" i="64"/>
  <c r="L9" i="57"/>
  <c r="S663" i="80"/>
  <c r="S679" i="80" s="1"/>
  <c r="R390" i="80"/>
  <c r="L14" i="56"/>
  <c r="L11" i="56" s="1"/>
  <c r="L167" i="56"/>
  <c r="L59" i="56"/>
  <c r="L165" i="56"/>
  <c r="L51" i="56"/>
  <c r="L57" i="56"/>
  <c r="O153" i="88"/>
  <c r="N154" i="88"/>
  <c r="N72" i="88"/>
  <c r="N76" i="88" s="1"/>
  <c r="O68" i="88"/>
  <c r="N74" i="88"/>
  <c r="Z125" i="90"/>
  <c r="Y139" i="90"/>
  <c r="Y154" i="90" s="1"/>
  <c r="Y132" i="90"/>
  <c r="M262" i="88"/>
  <c r="N261" i="88"/>
  <c r="V347" i="92"/>
  <c r="Q674" i="90"/>
  <c r="Q707" i="90"/>
  <c r="G387" i="89"/>
  <c r="G390" i="89" s="1"/>
  <c r="H389" i="89" s="1"/>
  <c r="G376" i="89"/>
  <c r="G378" i="89" s="1"/>
  <c r="Z45" i="64"/>
  <c r="Z46" i="64" s="1"/>
  <c r="Z49" i="64" s="1"/>
  <c r="Z35" i="64"/>
  <c r="U84" i="92"/>
  <c r="V52" i="92"/>
  <c r="M547" i="89"/>
  <c r="M518" i="89"/>
  <c r="M533" i="89"/>
  <c r="U429" i="47"/>
  <c r="V429" i="47" s="1"/>
  <c r="W429" i="47" s="1"/>
  <c r="X429" i="47" s="1"/>
  <c r="Y429" i="47" s="1"/>
  <c r="R429" i="47"/>
  <c r="S429" i="47" s="1"/>
  <c r="T429" i="47" s="1"/>
  <c r="N475" i="56"/>
  <c r="L55" i="56"/>
  <c r="L239" i="56"/>
  <c r="X454" i="92"/>
  <c r="X468" i="92" s="1"/>
  <c r="K72" i="72"/>
  <c r="O206" i="80"/>
  <c r="O208" i="80" s="1"/>
  <c r="N492" i="79"/>
  <c r="O370" i="79"/>
  <c r="Q12" i="79"/>
  <c r="R31" i="79"/>
  <c r="N610" i="80"/>
  <c r="N332" i="80"/>
  <c r="N513" i="80"/>
  <c r="N656" i="80"/>
  <c r="N364" i="80"/>
  <c r="N463" i="80"/>
  <c r="N560" i="80"/>
  <c r="N414" i="80"/>
  <c r="R14" i="64"/>
  <c r="R52" i="64"/>
  <c r="R51" i="64" s="1"/>
  <c r="R152" i="64" s="1"/>
  <c r="O335" i="80"/>
  <c r="O345" i="80" s="1"/>
  <c r="N345" i="80"/>
  <c r="S453" i="92"/>
  <c r="T453" i="92" s="1"/>
  <c r="Q467" i="92"/>
  <c r="S467" i="92" s="1"/>
  <c r="T467" i="92" s="1"/>
  <c r="Q128" i="79"/>
  <c r="P127" i="79"/>
  <c r="L562" i="80"/>
  <c r="K396" i="80"/>
  <c r="N149" i="88"/>
  <c r="I324" i="88"/>
  <c r="W53" i="57"/>
  <c r="M159" i="64"/>
  <c r="M131" i="64"/>
  <c r="W522" i="64"/>
  <c r="V572" i="56"/>
  <c r="V574" i="56"/>
  <c r="P15" i="4"/>
  <c r="T67" i="88"/>
  <c r="S73" i="88"/>
  <c r="V157" i="56"/>
  <c r="W106" i="56"/>
  <c r="P150" i="64"/>
  <c r="P191" i="64" s="1"/>
  <c r="P221" i="64" s="1"/>
  <c r="P272" i="64" s="1"/>
  <c r="P320" i="64" s="1"/>
  <c r="P366" i="64" s="1"/>
  <c r="P420" i="64" s="1"/>
  <c r="P469" i="64" s="1"/>
  <c r="P512" i="64" s="1"/>
  <c r="P65" i="64"/>
  <c r="P113" i="64" s="1"/>
  <c r="Q9" i="64"/>
  <c r="P246" i="80"/>
  <c r="W240" i="90"/>
  <c r="G561" i="88"/>
  <c r="N608" i="90"/>
  <c r="N609" i="90" s="1"/>
  <c r="N610" i="90" s="1"/>
  <c r="N518" i="90" s="1"/>
  <c r="O518" i="90" s="1"/>
  <c r="AE668" i="90"/>
  <c r="W88" i="64"/>
  <c r="V139" i="64"/>
  <c r="V157" i="64" s="1"/>
  <c r="H170" i="89"/>
  <c r="H175" i="89" s="1"/>
  <c r="W93" i="56"/>
  <c r="S164" i="64"/>
  <c r="O272" i="56"/>
  <c r="Y91" i="56"/>
  <c r="Y146" i="56" s="1"/>
  <c r="X146" i="56"/>
  <c r="U188" i="56"/>
  <c r="N262" i="47"/>
  <c r="N404" i="47" s="1"/>
  <c r="U239" i="56"/>
  <c r="N24" i="57"/>
  <c r="X191" i="47"/>
  <c r="N186" i="47"/>
  <c r="N222" i="47" s="1"/>
  <c r="P141" i="64"/>
  <c r="P155" i="64"/>
  <c r="P154" i="64" s="1"/>
  <c r="P347" i="64"/>
  <c r="U187" i="56"/>
  <c r="N303" i="56"/>
  <c r="U190" i="56"/>
  <c r="H396" i="89"/>
  <c r="H440" i="89" s="1"/>
  <c r="H429" i="89"/>
  <c r="H290" i="89"/>
  <c r="H293" i="89" s="1"/>
  <c r="H279" i="89"/>
  <c r="H281" i="89" s="1"/>
  <c r="AE15" i="92"/>
  <c r="AD12" i="92"/>
  <c r="N426" i="56"/>
  <c r="N228" i="56"/>
  <c r="N181" i="56"/>
  <c r="R71" i="64"/>
  <c r="U66" i="64"/>
  <c r="U71" i="64" s="1"/>
  <c r="U200" i="56"/>
  <c r="U237" i="56"/>
  <c r="M322" i="64"/>
  <c r="M348" i="64"/>
  <c r="M230" i="64" s="1"/>
  <c r="M476" i="64"/>
  <c r="M500" i="64" s="1"/>
  <c r="M349" i="64"/>
  <c r="M236" i="64" s="1"/>
  <c r="M368" i="64"/>
  <c r="M370" i="64" s="1"/>
  <c r="M153" i="64"/>
  <c r="M158" i="64" s="1"/>
  <c r="AC99" i="92"/>
  <c r="AC126" i="92" s="1"/>
  <c r="W72" i="64"/>
  <c r="V119" i="64"/>
  <c r="Y107" i="56"/>
  <c r="Y158" i="56" s="1"/>
  <c r="M429" i="89"/>
  <c r="W171" i="56"/>
  <c r="V238" i="56"/>
  <c r="W97" i="56"/>
  <c r="W93" i="64"/>
  <c r="V135" i="64"/>
  <c r="V165" i="64" s="1"/>
  <c r="X81" i="64"/>
  <c r="W128" i="64"/>
  <c r="W70" i="64"/>
  <c r="V117" i="64"/>
  <c r="Y67" i="64"/>
  <c r="Z67" i="64" s="1"/>
  <c r="X91" i="64"/>
  <c r="W97" i="64"/>
  <c r="X97" i="64" s="1"/>
  <c r="Y97" i="64" s="1"/>
  <c r="Z97" i="64" s="1"/>
  <c r="P101" i="92"/>
  <c r="P128" i="92" s="1"/>
  <c r="P123" i="92" s="1"/>
  <c r="Q27" i="57" s="1"/>
  <c r="P112" i="92"/>
  <c r="P334" i="92"/>
  <c r="V125" i="64"/>
  <c r="V124" i="64" s="1"/>
  <c r="W78" i="64"/>
  <c r="X79" i="64"/>
  <c r="W126" i="64"/>
  <c r="V25" i="56"/>
  <c r="I352" i="89"/>
  <c r="I367" i="89" s="1"/>
  <c r="U25" i="56"/>
  <c r="H494" i="89"/>
  <c r="H495" i="89"/>
  <c r="H526" i="89" s="1"/>
  <c r="H529" i="89" s="1"/>
  <c r="Q156" i="64"/>
  <c r="Q154" i="64" s="1"/>
  <c r="Q347" i="64"/>
  <c r="V232" i="56"/>
  <c r="W208" i="56"/>
  <c r="V237" i="56"/>
  <c r="P212" i="56"/>
  <c r="P213" i="56" s="1"/>
  <c r="V94" i="56"/>
  <c r="N347" i="64"/>
  <c r="N155" i="64"/>
  <c r="N154" i="64" s="1"/>
  <c r="P181" i="56"/>
  <c r="P426" i="56"/>
  <c r="I166" i="89"/>
  <c r="I157" i="89"/>
  <c r="V159" i="64"/>
  <c r="V131" i="64"/>
  <c r="W95" i="56"/>
  <c r="W66" i="64"/>
  <c r="Y89" i="56"/>
  <c r="V52" i="64"/>
  <c r="V14" i="64"/>
  <c r="V231" i="56"/>
  <c r="V239" i="56"/>
  <c r="W176" i="56"/>
  <c r="O155" i="64"/>
  <c r="O154" i="64" s="1"/>
  <c r="O347" i="64"/>
  <c r="W231" i="56"/>
  <c r="X178" i="56"/>
  <c r="AA99" i="92"/>
  <c r="AA126" i="92" s="1"/>
  <c r="V126" i="56"/>
  <c r="N416" i="47"/>
  <c r="U189" i="56"/>
  <c r="P189" i="47"/>
  <c r="O190" i="47"/>
  <c r="AF107" i="88"/>
  <c r="Q107" i="88"/>
  <c r="AG107" i="88"/>
  <c r="M173" i="88"/>
  <c r="M175" i="88" s="1"/>
  <c r="AJ161" i="88"/>
  <c r="K175" i="88"/>
  <c r="AJ168" i="88"/>
  <c r="K232" i="88"/>
  <c r="P107" i="88"/>
  <c r="K107" i="88"/>
  <c r="K117" i="88" s="1"/>
  <c r="AE107" i="88"/>
  <c r="X166" i="47"/>
  <c r="Y171" i="47"/>
  <c r="W163" i="47"/>
  <c r="Y104" i="57"/>
  <c r="X171" i="57"/>
  <c r="AJ163" i="88"/>
  <c r="AC107" i="88"/>
  <c r="M107" i="88"/>
  <c r="W107" i="88"/>
  <c r="V107" i="88"/>
  <c r="AD107" i="88"/>
  <c r="L107" i="88"/>
  <c r="Y107" i="88"/>
  <c r="M28" i="88"/>
  <c r="N28" i="88" s="1"/>
  <c r="S107" i="88"/>
  <c r="R107" i="88"/>
  <c r="X107" i="88"/>
  <c r="Z107" i="88"/>
  <c r="AJ103" i="88"/>
  <c r="AH107" i="88"/>
  <c r="T107" i="88"/>
  <c r="AB107" i="88"/>
  <c r="AA107" i="88"/>
  <c r="AI107" i="88"/>
  <c r="O107" i="88"/>
  <c r="N107" i="88"/>
  <c r="AJ105" i="88"/>
  <c r="AA130" i="57"/>
  <c r="AJ162" i="88"/>
  <c r="L232" i="88"/>
  <c r="AJ165" i="88"/>
  <c r="AJ167" i="88"/>
  <c r="AJ164" i="88"/>
  <c r="AJ169" i="88"/>
  <c r="O160" i="88"/>
  <c r="N232" i="88"/>
  <c r="M232" i="88"/>
  <c r="AJ170" i="88"/>
  <c r="AJ166" i="88"/>
  <c r="L143" i="89" l="1"/>
  <c r="K240" i="89"/>
  <c r="U99" i="92"/>
  <c r="U126" i="92" s="1"/>
  <c r="P95" i="92"/>
  <c r="V252" i="92"/>
  <c r="W250" i="92"/>
  <c r="U11" i="92"/>
  <c r="U112" i="92" s="1"/>
  <c r="M72" i="72"/>
  <c r="P37" i="72"/>
  <c r="Q36" i="72"/>
  <c r="L53" i="72"/>
  <c r="L72" i="72" s="1"/>
  <c r="K276" i="64"/>
  <c r="K409" i="64"/>
  <c r="K38" i="57"/>
  <c r="J136" i="57"/>
  <c r="W57" i="56"/>
  <c r="W59" i="56"/>
  <c r="W51" i="56"/>
  <c r="T186" i="56"/>
  <c r="T212" i="56" s="1"/>
  <c r="T213" i="56" s="1"/>
  <c r="K18" i="57"/>
  <c r="K23" i="57" s="1"/>
  <c r="V122" i="56"/>
  <c r="V123" i="56"/>
  <c r="J269" i="56"/>
  <c r="J49" i="57"/>
  <c r="S21" i="56"/>
  <c r="S12" i="56" s="1"/>
  <c r="J36" i="57"/>
  <c r="M181" i="56"/>
  <c r="M182" i="56" s="1"/>
  <c r="X57" i="56"/>
  <c r="V120" i="56"/>
  <c r="P486" i="56"/>
  <c r="Q460" i="56"/>
  <c r="Y136" i="64"/>
  <c r="X167" i="64"/>
  <c r="V102" i="64"/>
  <c r="Q368" i="64"/>
  <c r="Q370" i="64" s="1"/>
  <c r="W396" i="64"/>
  <c r="X396" i="64"/>
  <c r="Q396" i="64"/>
  <c r="R396" i="64"/>
  <c r="N396" i="64"/>
  <c r="U396" i="64"/>
  <c r="P396" i="64"/>
  <c r="Y396" i="64"/>
  <c r="V396" i="64"/>
  <c r="O396" i="64"/>
  <c r="K338" i="64"/>
  <c r="K340" i="64" s="1"/>
  <c r="K341" i="64" s="1"/>
  <c r="K277" i="64" s="1"/>
  <c r="L390" i="64"/>
  <c r="L407" i="64" s="1"/>
  <c r="L276" i="64" s="1"/>
  <c r="N22" i="64"/>
  <c r="N53" i="64"/>
  <c r="N51" i="64" s="1"/>
  <c r="N152" i="64" s="1"/>
  <c r="P34" i="64"/>
  <c r="O37" i="64"/>
  <c r="O44" i="64"/>
  <c r="O20" i="64" s="1"/>
  <c r="X74" i="64"/>
  <c r="Y74" i="64" s="1"/>
  <c r="M148" i="64"/>
  <c r="M189" i="64" s="1"/>
  <c r="M219" i="64" s="1"/>
  <c r="M270" i="64" s="1"/>
  <c r="M318" i="64" s="1"/>
  <c r="M364" i="64" s="1"/>
  <c r="N7" i="64"/>
  <c r="M63" i="64"/>
  <c r="M111" i="64" s="1"/>
  <c r="M351" i="89"/>
  <c r="M353" i="89" s="1"/>
  <c r="X170" i="56"/>
  <c r="X22" i="56"/>
  <c r="X25" i="56" s="1"/>
  <c r="X201" i="56"/>
  <c r="X237" i="56" s="1"/>
  <c r="X244" i="90"/>
  <c r="AA40" i="90"/>
  <c r="O678" i="79"/>
  <c r="O682" i="79" s="1"/>
  <c r="O310" i="79" s="1"/>
  <c r="O420" i="79" s="1"/>
  <c r="M154" i="64"/>
  <c r="L414" i="56"/>
  <c r="L303" i="56" s="1"/>
  <c r="V98" i="64"/>
  <c r="X82" i="64"/>
  <c r="Y82" i="64" s="1"/>
  <c r="X80" i="64"/>
  <c r="X127" i="64" s="1"/>
  <c r="V119" i="56"/>
  <c r="V188" i="56" s="1"/>
  <c r="V121" i="56"/>
  <c r="X485" i="56"/>
  <c r="X454" i="56" s="1"/>
  <c r="O181" i="56"/>
  <c r="M416" i="79"/>
  <c r="M306" i="79"/>
  <c r="M291" i="79" s="1"/>
  <c r="M464" i="79" s="1"/>
  <c r="M479" i="79" s="1"/>
  <c r="O623" i="80"/>
  <c r="N661" i="80"/>
  <c r="N677" i="80" s="1"/>
  <c r="P28" i="80"/>
  <c r="O260" i="47"/>
  <c r="N773" i="90"/>
  <c r="O773" i="90" s="1"/>
  <c r="O780" i="90" s="1"/>
  <c r="P759" i="90" s="1"/>
  <c r="P773" i="90" s="1"/>
  <c r="Q457" i="47"/>
  <c r="Q458" i="47" s="1"/>
  <c r="F484" i="47" s="1"/>
  <c r="R484" i="47" s="1"/>
  <c r="W237" i="56"/>
  <c r="Y150" i="57"/>
  <c r="Q19" i="56"/>
  <c r="Q20" i="56" s="1"/>
  <c r="I492" i="89"/>
  <c r="I536" i="89" s="1"/>
  <c r="I538" i="89" s="1"/>
  <c r="I539" i="89" s="1"/>
  <c r="K360" i="89"/>
  <c r="K364" i="89" s="1"/>
  <c r="K369" i="89" s="1"/>
  <c r="K376" i="89" s="1"/>
  <c r="K378" i="89" s="1"/>
  <c r="M495" i="89"/>
  <c r="M526" i="89" s="1"/>
  <c r="M529" i="89" s="1"/>
  <c r="V334" i="92"/>
  <c r="W200" i="56"/>
  <c r="U101" i="92"/>
  <c r="U128" i="92" s="1"/>
  <c r="U123" i="92" s="1"/>
  <c r="U159" i="92" s="1"/>
  <c r="M396" i="89"/>
  <c r="M440" i="89" s="1"/>
  <c r="S199" i="57"/>
  <c r="Q197" i="64"/>
  <c r="Q153" i="64"/>
  <c r="Q162" i="64" s="1"/>
  <c r="Q349" i="64"/>
  <c r="Q236" i="64" s="1"/>
  <c r="Q112" i="92"/>
  <c r="R12" i="57" s="1"/>
  <c r="Q334" i="92"/>
  <c r="Q322" i="64"/>
  <c r="Q476" i="64"/>
  <c r="Q500" i="64" s="1"/>
  <c r="Q126" i="92"/>
  <c r="S126" i="92" s="1"/>
  <c r="T126" i="92" s="1"/>
  <c r="I254" i="89"/>
  <c r="I255" i="89" s="1"/>
  <c r="I270" i="89" s="1"/>
  <c r="I272" i="89" s="1"/>
  <c r="S45" i="47"/>
  <c r="S453" i="47" s="1"/>
  <c r="M186" i="47"/>
  <c r="M222" i="47" s="1"/>
  <c r="M270" i="47" s="1"/>
  <c r="M149" i="47"/>
  <c r="M218" i="47" s="1"/>
  <c r="M374" i="47"/>
  <c r="L303" i="47"/>
  <c r="M416" i="47"/>
  <c r="M304" i="47" s="1"/>
  <c r="M303" i="47" s="1"/>
  <c r="M262" i="47"/>
  <c r="M508" i="47" s="1"/>
  <c r="M532" i="47" s="1"/>
  <c r="N548" i="47"/>
  <c r="N562" i="47" s="1"/>
  <c r="X578" i="47"/>
  <c r="X579" i="47" s="1"/>
  <c r="P9" i="47"/>
  <c r="P141" i="47" s="1"/>
  <c r="P213" i="47" s="1"/>
  <c r="O485" i="56"/>
  <c r="O454" i="56" s="1"/>
  <c r="M485" i="56"/>
  <c r="M244" i="56" s="1"/>
  <c r="P431" i="47"/>
  <c r="P314" i="47" s="1"/>
  <c r="V45" i="47"/>
  <c r="W45" i="47" s="1"/>
  <c r="W453" i="47" s="1"/>
  <c r="Q485" i="56"/>
  <c r="Q454" i="56" s="1"/>
  <c r="V169" i="56"/>
  <c r="Y55" i="56"/>
  <c r="N485" i="56"/>
  <c r="N244" i="56" s="1"/>
  <c r="V152" i="56"/>
  <c r="J399" i="56"/>
  <c r="M532" i="56"/>
  <c r="M533" i="56" s="1"/>
  <c r="M323" i="56" s="1"/>
  <c r="P485" i="56"/>
  <c r="P454" i="56" s="1"/>
  <c r="L583" i="56"/>
  <c r="L587" i="56" s="1"/>
  <c r="L248" i="56" s="1"/>
  <c r="L354" i="56" s="1"/>
  <c r="N20" i="56"/>
  <c r="N11" i="56"/>
  <c r="P23" i="56"/>
  <c r="P29" i="56"/>
  <c r="P21" i="56" s="1"/>
  <c r="T181" i="56"/>
  <c r="T183" i="56" s="1"/>
  <c r="W174" i="56"/>
  <c r="W240" i="56" s="1"/>
  <c r="X172" i="56"/>
  <c r="Y92" i="64"/>
  <c r="Z92" i="64" s="1"/>
  <c r="R222" i="56"/>
  <c r="S8" i="57" s="1"/>
  <c r="L567" i="56"/>
  <c r="L581" i="56" s="1"/>
  <c r="N164" i="56"/>
  <c r="N166" i="56"/>
  <c r="N165" i="56"/>
  <c r="X87" i="64"/>
  <c r="X138" i="64" s="1"/>
  <c r="L169" i="56"/>
  <c r="Y94" i="64"/>
  <c r="Z94" i="64" s="1"/>
  <c r="P117" i="47"/>
  <c r="P168" i="47" s="1"/>
  <c r="P170" i="47" s="1"/>
  <c r="P417" i="47" s="1"/>
  <c r="P308" i="47" s="1"/>
  <c r="U453" i="47"/>
  <c r="U456" i="47" s="1"/>
  <c r="V562" i="90"/>
  <c r="V576" i="90" s="1"/>
  <c r="V577" i="90" s="1"/>
  <c r="V417" i="90"/>
  <c r="O703" i="90"/>
  <c r="M469" i="90"/>
  <c r="M519" i="80"/>
  <c r="M523" i="80" s="1"/>
  <c r="N519" i="80" s="1"/>
  <c r="N523" i="80" s="1"/>
  <c r="N371" i="80"/>
  <c r="Q246" i="80"/>
  <c r="O291" i="79"/>
  <c r="O464" i="79" s="1"/>
  <c r="L442" i="89"/>
  <c r="L443" i="89" s="1"/>
  <c r="L447" i="89" s="1"/>
  <c r="I422" i="89"/>
  <c r="M392" i="89"/>
  <c r="I451" i="89"/>
  <c r="I437" i="89"/>
  <c r="G483" i="89"/>
  <c r="G486" i="89" s="1"/>
  <c r="H485" i="89" s="1"/>
  <c r="G472" i="89"/>
  <c r="G474" i="89" s="1"/>
  <c r="L351" i="89"/>
  <c r="L352" i="89" s="1"/>
  <c r="L367" i="89" s="1"/>
  <c r="L360" i="89"/>
  <c r="L364" i="89" s="1"/>
  <c r="I544" i="89"/>
  <c r="I559" i="89" s="1"/>
  <c r="L211" i="89"/>
  <c r="L221" i="89" s="1"/>
  <c r="L220" i="89" s="1"/>
  <c r="L224" i="89" s="1"/>
  <c r="K221" i="89"/>
  <c r="K220" i="89" s="1"/>
  <c r="K224" i="89" s="1"/>
  <c r="K204" i="89"/>
  <c r="J249" i="89"/>
  <c r="J250" i="89" s="1"/>
  <c r="F39" i="89"/>
  <c r="F41" i="89" s="1"/>
  <c r="Y155" i="90"/>
  <c r="Y167" i="90" s="1"/>
  <c r="Y169" i="90" s="1"/>
  <c r="W147" i="90"/>
  <c r="W194" i="90"/>
  <c r="W193" i="90" s="1"/>
  <c r="W249" i="90" s="1"/>
  <c r="R427" i="90"/>
  <c r="R244" i="90"/>
  <c r="V244" i="90"/>
  <c r="V167" i="90"/>
  <c r="V792" i="90" s="1"/>
  <c r="V794" i="90" s="1"/>
  <c r="V796" i="90" s="1"/>
  <c r="T387" i="90"/>
  <c r="U387" i="90" s="1"/>
  <c r="N761" i="90"/>
  <c r="N756" i="90" s="1"/>
  <c r="N785" i="90" s="1"/>
  <c r="N430" i="90" s="1"/>
  <c r="O430" i="90" s="1"/>
  <c r="T777" i="90"/>
  <c r="U777" i="90" s="1"/>
  <c r="X417" i="90"/>
  <c r="X562" i="90"/>
  <c r="X576" i="90" s="1"/>
  <c r="X577" i="90" s="1"/>
  <c r="W668" i="90"/>
  <c r="V672" i="90"/>
  <c r="V682" i="90" s="1"/>
  <c r="V383" i="90"/>
  <c r="V386" i="90" s="1"/>
  <c r="V387" i="90" s="1"/>
  <c r="V391" i="90" s="1"/>
  <c r="T682" i="90"/>
  <c r="R682" i="90"/>
  <c r="R667" i="90" s="1"/>
  <c r="R707" i="90" s="1"/>
  <c r="V692" i="90" s="1"/>
  <c r="V702" i="90" s="1"/>
  <c r="R677" i="90"/>
  <c r="M777" i="90"/>
  <c r="M789" i="90" s="1"/>
  <c r="N673" i="90"/>
  <c r="N786" i="90" s="1"/>
  <c r="N473" i="90" s="1"/>
  <c r="R168" i="90"/>
  <c r="R792" i="90"/>
  <c r="R794" i="90" s="1"/>
  <c r="R796" i="90" s="1"/>
  <c r="R797" i="90" s="1"/>
  <c r="R169" i="90"/>
  <c r="R304" i="90"/>
  <c r="R171" i="90"/>
  <c r="R254" i="90" s="1"/>
  <c r="U867" i="90"/>
  <c r="T871" i="90"/>
  <c r="M770" i="90"/>
  <c r="M788" i="90" s="1"/>
  <c r="M475" i="90" s="1"/>
  <c r="M478" i="90" s="1"/>
  <c r="M504" i="90" s="1"/>
  <c r="S512" i="90"/>
  <c r="T512" i="90" s="1"/>
  <c r="U512" i="90" s="1"/>
  <c r="V512" i="90"/>
  <c r="R558" i="90"/>
  <c r="S558" i="90" s="1"/>
  <c r="T558" i="90" s="1"/>
  <c r="U558" i="90" s="1"/>
  <c r="AM668" i="90"/>
  <c r="N433" i="47"/>
  <c r="U93" i="47"/>
  <c r="U165" i="47" s="1"/>
  <c r="X451" i="47"/>
  <c r="L370" i="47"/>
  <c r="L374" i="47" s="1"/>
  <c r="R181" i="47"/>
  <c r="R92" i="47"/>
  <c r="R93" i="47" s="1"/>
  <c r="R165" i="47" s="1"/>
  <c r="M151" i="47"/>
  <c r="M219" i="47" s="1"/>
  <c r="N515" i="47"/>
  <c r="N328" i="47" s="1"/>
  <c r="M119" i="47"/>
  <c r="M113" i="47" s="1"/>
  <c r="M117" i="47" s="1"/>
  <c r="P303" i="47"/>
  <c r="X88" i="47"/>
  <c r="K367" i="47"/>
  <c r="L279" i="47"/>
  <c r="L383" i="47" s="1"/>
  <c r="R113" i="47"/>
  <c r="R118" i="47"/>
  <c r="L147" i="47"/>
  <c r="L216" i="47" s="1"/>
  <c r="L229" i="47"/>
  <c r="K284" i="47"/>
  <c r="N117" i="47"/>
  <c r="N170" i="47" s="1"/>
  <c r="N229" i="47" s="1"/>
  <c r="Q464" i="47"/>
  <c r="P549" i="47"/>
  <c r="P563" i="47" s="1"/>
  <c r="O549" i="47"/>
  <c r="O563" i="47" s="1"/>
  <c r="O512" i="47"/>
  <c r="O515" i="47" s="1"/>
  <c r="O328" i="47" s="1"/>
  <c r="M490" i="47"/>
  <c r="M273" i="47" s="1"/>
  <c r="M359" i="47" s="1"/>
  <c r="L490" i="47"/>
  <c r="L273" i="47" s="1"/>
  <c r="L359" i="47" s="1"/>
  <c r="N258" i="47"/>
  <c r="N139" i="47"/>
  <c r="N211" i="47" s="1"/>
  <c r="O7" i="47"/>
  <c r="L177" i="47"/>
  <c r="S113" i="47"/>
  <c r="S118" i="47"/>
  <c r="N549" i="47"/>
  <c r="N563" i="47" s="1"/>
  <c r="M312" i="47"/>
  <c r="N466" i="47"/>
  <c r="N468" i="47" s="1"/>
  <c r="W52" i="47"/>
  <c r="V74" i="47"/>
  <c r="V87" i="47" s="1"/>
  <c r="V73" i="47"/>
  <c r="V85" i="47" s="1"/>
  <c r="Q481" i="47"/>
  <c r="N481" i="47"/>
  <c r="N490" i="47" s="1"/>
  <c r="N462" i="47" s="1"/>
  <c r="U481" i="47"/>
  <c r="R481" i="47"/>
  <c r="P481" i="47"/>
  <c r="X481" i="47"/>
  <c r="Y481" i="47"/>
  <c r="W481" i="47"/>
  <c r="O481" i="47"/>
  <c r="O490" i="47" s="1"/>
  <c r="O462" i="47" s="1"/>
  <c r="V481" i="47"/>
  <c r="S481" i="47"/>
  <c r="V193" i="47"/>
  <c r="W195" i="47"/>
  <c r="P297" i="47"/>
  <c r="O353" i="47"/>
  <c r="O400" i="47" s="1"/>
  <c r="O446" i="47" s="1"/>
  <c r="O500" i="47" s="1"/>
  <c r="O542" i="47" s="1"/>
  <c r="U107" i="47"/>
  <c r="U179" i="47"/>
  <c r="O117" i="47"/>
  <c r="O168" i="47" s="1"/>
  <c r="O170" i="47" s="1"/>
  <c r="O417" i="47" s="1"/>
  <c r="O308" i="47" s="1"/>
  <c r="O119" i="47"/>
  <c r="O129" i="47" s="1"/>
  <c r="N508" i="47"/>
  <c r="N532" i="47" s="1"/>
  <c r="O7" i="57"/>
  <c r="O80" i="57"/>
  <c r="O90" i="57" s="1"/>
  <c r="Q113" i="47"/>
  <c r="Q118" i="47"/>
  <c r="O433" i="47"/>
  <c r="X86" i="47"/>
  <c r="F483" i="47"/>
  <c r="P370" i="47"/>
  <c r="P461" i="47"/>
  <c r="K166" i="89"/>
  <c r="K170" i="89" s="1"/>
  <c r="I369" i="89"/>
  <c r="I387" i="89" s="1"/>
  <c r="M263" i="89"/>
  <c r="M267" i="89" s="1"/>
  <c r="J47" i="57"/>
  <c r="J54" i="57" s="1"/>
  <c r="J138" i="57" s="1"/>
  <c r="Z145" i="57"/>
  <c r="V125" i="70" s="1"/>
  <c r="U125" i="70"/>
  <c r="S112" i="92"/>
  <c r="S334" i="92"/>
  <c r="V101" i="92"/>
  <c r="V128" i="92" s="1"/>
  <c r="V123" i="92" s="1"/>
  <c r="V159" i="92" s="1"/>
  <c r="K157" i="89"/>
  <c r="K158" i="89" s="1"/>
  <c r="K159" i="89" s="1"/>
  <c r="V485" i="56"/>
  <c r="V454" i="56" s="1"/>
  <c r="T485" i="56"/>
  <c r="U485" i="56"/>
  <c r="U454" i="56" s="1"/>
  <c r="Q481" i="64"/>
  <c r="R481" i="64" s="1"/>
  <c r="P516" i="64"/>
  <c r="P530" i="64" s="1"/>
  <c r="W122" i="64"/>
  <c r="H490" i="88"/>
  <c r="J492" i="88" s="1"/>
  <c r="H275" i="88"/>
  <c r="I483" i="88"/>
  <c r="I488" i="88" s="1"/>
  <c r="P513" i="47"/>
  <c r="P548" i="47" s="1"/>
  <c r="P562" i="47" s="1"/>
  <c r="O717" i="90"/>
  <c r="O718" i="90" s="1"/>
  <c r="P715" i="90" s="1"/>
  <c r="N718" i="90"/>
  <c r="J544" i="88"/>
  <c r="K544" i="88" s="1"/>
  <c r="M515" i="64"/>
  <c r="M529" i="64" s="1"/>
  <c r="M533" i="64" s="1"/>
  <c r="M537" i="64" s="1"/>
  <c r="M174" i="64" s="1"/>
  <c r="M280" i="64" s="1"/>
  <c r="N480" i="64"/>
  <c r="N515" i="64" s="1"/>
  <c r="N529" i="64" s="1"/>
  <c r="M483" i="64"/>
  <c r="M249" i="64" s="1"/>
  <c r="M157" i="89"/>
  <c r="M159" i="89" s="1"/>
  <c r="M166" i="89"/>
  <c r="M170" i="89" s="1"/>
  <c r="M175" i="89" s="1"/>
  <c r="M192" i="89" s="1"/>
  <c r="L70" i="89"/>
  <c r="J70" i="89"/>
  <c r="M70" i="89"/>
  <c r="I70" i="89"/>
  <c r="H70" i="89"/>
  <c r="K70" i="89"/>
  <c r="P29" i="72"/>
  <c r="P31" i="72" s="1"/>
  <c r="Q27" i="72"/>
  <c r="U236" i="56"/>
  <c r="V154" i="56"/>
  <c r="S171" i="80"/>
  <c r="S262" i="80" s="1"/>
  <c r="S266" i="80" s="1"/>
  <c r="U196" i="92"/>
  <c r="Q186" i="56"/>
  <c r="Q212" i="56" s="1"/>
  <c r="Q213" i="56" s="1"/>
  <c r="L154" i="56"/>
  <c r="L229" i="56" s="1"/>
  <c r="M15" i="72"/>
  <c r="H596" i="88"/>
  <c r="H600" i="88" s="1"/>
  <c r="V197" i="56"/>
  <c r="V198" i="56"/>
  <c r="V13" i="56"/>
  <c r="G582" i="89"/>
  <c r="H581" i="89" s="1"/>
  <c r="Q32" i="79"/>
  <c r="P13" i="79"/>
  <c r="N517" i="64"/>
  <c r="N531" i="64" s="1"/>
  <c r="O488" i="64"/>
  <c r="N484" i="88"/>
  <c r="N328" i="88"/>
  <c r="N332" i="88" s="1"/>
  <c r="J499" i="88"/>
  <c r="AO668" i="90"/>
  <c r="S259" i="92"/>
  <c r="T426" i="92"/>
  <c r="T259" i="92" s="1"/>
  <c r="U97" i="57" s="1"/>
  <c r="AH386" i="90"/>
  <c r="AH387" i="90" s="1"/>
  <c r="AH391" i="90" s="1"/>
  <c r="M497" i="88"/>
  <c r="O497" i="88"/>
  <c r="L497" i="88"/>
  <c r="P497" i="88"/>
  <c r="N497" i="88"/>
  <c r="K426" i="64"/>
  <c r="K301" i="64"/>
  <c r="K168" i="64"/>
  <c r="K195" i="64"/>
  <c r="H387" i="89"/>
  <c r="H376" i="89"/>
  <c r="H378" i="89" s="1"/>
  <c r="Q109" i="56"/>
  <c r="U110" i="56"/>
  <c r="Q164" i="56"/>
  <c r="L6" i="57"/>
  <c r="M152" i="88"/>
  <c r="S254" i="80"/>
  <c r="M71" i="72"/>
  <c r="K388" i="80"/>
  <c r="K394" i="80" s="1"/>
  <c r="K398" i="80" s="1"/>
  <c r="X68" i="56"/>
  <c r="W72" i="56"/>
  <c r="W75" i="56" s="1"/>
  <c r="W15" i="56" s="1"/>
  <c r="N51" i="72"/>
  <c r="N53" i="72" s="1"/>
  <c r="N16" i="72"/>
  <c r="O47" i="72"/>
  <c r="E10" i="95"/>
  <c r="H10" i="95"/>
  <c r="M660" i="80"/>
  <c r="M676" i="80" s="1"/>
  <c r="M680" i="80" s="1"/>
  <c r="M684" i="80" s="1"/>
  <c r="M312" i="80" s="1"/>
  <c r="M422" i="80" s="1"/>
  <c r="N629" i="80"/>
  <c r="O38" i="72"/>
  <c r="N40" i="72"/>
  <c r="L439" i="64"/>
  <c r="L441" i="64" s="1"/>
  <c r="L443" i="64" s="1"/>
  <c r="L456" i="64"/>
  <c r="M451" i="64"/>
  <c r="M454" i="64" s="1"/>
  <c r="R456" i="47"/>
  <c r="R458" i="47" s="1"/>
  <c r="R370" i="47" s="1"/>
  <c r="X820" i="90"/>
  <c r="Q165" i="56"/>
  <c r="U111" i="56"/>
  <c r="O300" i="80"/>
  <c r="N299" i="80"/>
  <c r="N298" i="80" s="1"/>
  <c r="M398" i="56"/>
  <c r="M526" i="56"/>
  <c r="M550" i="56" s="1"/>
  <c r="M223" i="56"/>
  <c r="M225" i="56" s="1"/>
  <c r="N8" i="57"/>
  <c r="T171" i="90"/>
  <c r="T257" i="90" s="1"/>
  <c r="U257" i="90" s="1"/>
  <c r="T168" i="90"/>
  <c r="T304" i="90"/>
  <c r="T792" i="90"/>
  <c r="T169" i="90"/>
  <c r="U167" i="90"/>
  <c r="Q854" i="90"/>
  <c r="Q868" i="90" s="1"/>
  <c r="Q871" i="90" s="1"/>
  <c r="Q875" i="90" s="1"/>
  <c r="Q434" i="90" s="1"/>
  <c r="X90" i="56"/>
  <c r="W145" i="56"/>
  <c r="U334" i="92"/>
  <c r="N432" i="80"/>
  <c r="Q264" i="79"/>
  <c r="P204" i="79"/>
  <c r="AD668" i="90"/>
  <c r="I448" i="89"/>
  <c r="I463" i="89" s="1"/>
  <c r="I432" i="89"/>
  <c r="I441" i="89" s="1"/>
  <c r="I7" i="89" s="1"/>
  <c r="R20" i="57" s="1"/>
  <c r="K114" i="88"/>
  <c r="K115" i="88" s="1"/>
  <c r="L112" i="88" s="1"/>
  <c r="L115" i="88" s="1"/>
  <c r="M112" i="88" s="1"/>
  <c r="M115" i="88" s="1"/>
  <c r="N112" i="88" s="1"/>
  <c r="N115" i="88" s="1"/>
  <c r="O112" i="88" s="1"/>
  <c r="O115" i="88" s="1"/>
  <c r="P112" i="88" s="1"/>
  <c r="P115" i="88" s="1"/>
  <c r="Q112" i="88" s="1"/>
  <c r="Q115" i="88" s="1"/>
  <c r="R112" i="88" s="1"/>
  <c r="K99" i="88"/>
  <c r="O530" i="56"/>
  <c r="N565" i="56"/>
  <c r="N579" i="56" s="1"/>
  <c r="X104" i="56"/>
  <c r="W155" i="56"/>
  <c r="Z33" i="64"/>
  <c r="Y43" i="64"/>
  <c r="Y47" i="64" s="1"/>
  <c r="Y50" i="64" s="1"/>
  <c r="Y48" i="64" s="1"/>
  <c r="Y36" i="64"/>
  <c r="T666" i="90"/>
  <c r="T676" i="90"/>
  <c r="U676" i="90" s="1"/>
  <c r="U681" i="90"/>
  <c r="Q727" i="90"/>
  <c r="P783" i="90"/>
  <c r="U143" i="56"/>
  <c r="V88" i="56"/>
  <c r="O517" i="79"/>
  <c r="O521" i="79" s="1"/>
  <c r="O374" i="79" s="1"/>
  <c r="N374" i="79"/>
  <c r="Q166" i="56"/>
  <c r="U112" i="56"/>
  <c r="Q11" i="56"/>
  <c r="Q222" i="56" s="1"/>
  <c r="P479" i="88"/>
  <c r="P481" i="88" s="1"/>
  <c r="P484" i="88" s="1"/>
  <c r="Q821" i="90"/>
  <c r="Q492" i="90" s="1"/>
  <c r="Q494" i="90" s="1"/>
  <c r="M432" i="80"/>
  <c r="Z150" i="57"/>
  <c r="T130" i="56"/>
  <c r="T196" i="56" s="1"/>
  <c r="T198" i="56"/>
  <c r="T129" i="56"/>
  <c r="T197" i="56"/>
  <c r="O227" i="56"/>
  <c r="O416" i="56"/>
  <c r="M272" i="56"/>
  <c r="AM386" i="90"/>
  <c r="AM387" i="90" s="1"/>
  <c r="AM391" i="90" s="1"/>
  <c r="R145" i="80"/>
  <c r="S146" i="80"/>
  <c r="S145" i="80" s="1"/>
  <c r="S138" i="80" s="1"/>
  <c r="W530" i="90"/>
  <c r="W86" i="57"/>
  <c r="W168" i="57" s="1"/>
  <c r="O783" i="90"/>
  <c r="Y52" i="90"/>
  <c r="Y240" i="90" s="1"/>
  <c r="Z53" i="90"/>
  <c r="R17" i="80"/>
  <c r="S36" i="80"/>
  <c r="S17" i="80" s="1"/>
  <c r="S526" i="79"/>
  <c r="S565" i="79" s="1"/>
  <c r="R565" i="79"/>
  <c r="S75" i="80"/>
  <c r="S244" i="80" s="1"/>
  <c r="R244" i="80"/>
  <c r="L508" i="47"/>
  <c r="L532" i="47" s="1"/>
  <c r="M24" i="57"/>
  <c r="H390" i="89"/>
  <c r="M228" i="56"/>
  <c r="M416" i="56" s="1"/>
  <c r="R676" i="90"/>
  <c r="V676" i="90" s="1"/>
  <c r="W676" i="90" s="1"/>
  <c r="X676" i="90" s="1"/>
  <c r="Y676" i="90" s="1"/>
  <c r="Z676" i="90" s="1"/>
  <c r="AA676" i="90" s="1"/>
  <c r="AB676" i="90" s="1"/>
  <c r="AC676" i="90" s="1"/>
  <c r="AD676" i="90" s="1"/>
  <c r="AE676" i="90" s="1"/>
  <c r="AF676" i="90" s="1"/>
  <c r="AG676" i="90" s="1"/>
  <c r="AH676" i="90" s="1"/>
  <c r="AI676" i="90" s="1"/>
  <c r="AJ676" i="90" s="1"/>
  <c r="AK676" i="90" s="1"/>
  <c r="AL676" i="90" s="1"/>
  <c r="AM676" i="90" s="1"/>
  <c r="AN676" i="90" s="1"/>
  <c r="AO676" i="90" s="1"/>
  <c r="AP676" i="90" s="1"/>
  <c r="AQ676" i="90" s="1"/>
  <c r="AR676" i="90" s="1"/>
  <c r="AS676" i="90" s="1"/>
  <c r="AT676" i="90" s="1"/>
  <c r="AU676" i="90" s="1"/>
  <c r="W14" i="92"/>
  <c r="W13" i="92" s="1"/>
  <c r="X24" i="64"/>
  <c r="T704" i="90"/>
  <c r="U704" i="90" s="1"/>
  <c r="U664" i="90"/>
  <c r="I146" i="89"/>
  <c r="I161" i="89"/>
  <c r="I18" i="89"/>
  <c r="M2" i="89"/>
  <c r="I100" i="89"/>
  <c r="I56" i="89"/>
  <c r="I131" i="89"/>
  <c r="N412" i="79"/>
  <c r="N608" i="79"/>
  <c r="N558" i="79"/>
  <c r="N330" i="79"/>
  <c r="N654" i="79"/>
  <c r="N511" i="79"/>
  <c r="N362" i="79"/>
  <c r="N461" i="79"/>
  <c r="X156" i="56"/>
  <c r="Y105" i="56"/>
  <c r="Y156" i="56" s="1"/>
  <c r="X47" i="47"/>
  <c r="W455" i="47"/>
  <c r="AH668" i="90"/>
  <c r="U29" i="56"/>
  <c r="U23" i="56"/>
  <c r="Q71" i="88"/>
  <c r="Q90" i="88" s="1"/>
  <c r="Q95" i="88" s="1"/>
  <c r="Q114" i="88" s="1"/>
  <c r="R66" i="88"/>
  <c r="X230" i="56"/>
  <c r="Y206" i="56"/>
  <c r="Y230" i="56" s="1"/>
  <c r="AD386" i="90"/>
  <c r="AD387" i="90" s="1"/>
  <c r="AD391" i="90" s="1"/>
  <c r="O548" i="47"/>
  <c r="O562" i="47" s="1"/>
  <c r="I579" i="88"/>
  <c r="I593" i="88" s="1"/>
  <c r="U699" i="90"/>
  <c r="T698" i="90"/>
  <c r="U698" i="90" s="1"/>
  <c r="L38" i="57"/>
  <c r="L73" i="57" s="1"/>
  <c r="L280" i="64"/>
  <c r="U138" i="56"/>
  <c r="U264" i="56"/>
  <c r="U81" i="56"/>
  <c r="U294" i="56"/>
  <c r="U494" i="56"/>
  <c r="U218" i="56"/>
  <c r="U394" i="56"/>
  <c r="V7" i="56"/>
  <c r="U517" i="56"/>
  <c r="U560" i="56"/>
  <c r="U344" i="56"/>
  <c r="U443" i="56"/>
  <c r="V92" i="56"/>
  <c r="U144" i="56"/>
  <c r="O301" i="56"/>
  <c r="O300" i="56" s="1"/>
  <c r="O415" i="56"/>
  <c r="Q699" i="90"/>
  <c r="P704" i="90"/>
  <c r="P698" i="90"/>
  <c r="I389" i="89"/>
  <c r="L389" i="89"/>
  <c r="P724" i="90"/>
  <c r="W210" i="90"/>
  <c r="W211" i="90" s="1"/>
  <c r="W253" i="90" s="1"/>
  <c r="W136" i="90"/>
  <c r="Q39" i="57"/>
  <c r="Q74" i="57" s="1"/>
  <c r="P241" i="92"/>
  <c r="X59" i="56"/>
  <c r="X51" i="56"/>
  <c r="X14" i="56"/>
  <c r="O11" i="79"/>
  <c r="O208" i="79"/>
  <c r="O214" i="79" s="1"/>
  <c r="Y96" i="56"/>
  <c r="Q531" i="56"/>
  <c r="Q566" i="56" s="1"/>
  <c r="Q580" i="56" s="1"/>
  <c r="Z236" i="90"/>
  <c r="AA77" i="90"/>
  <c r="S187" i="88"/>
  <c r="T186" i="88"/>
  <c r="Z419" i="92"/>
  <c r="M290" i="64"/>
  <c r="Q725" i="90"/>
  <c r="AJ110" i="88"/>
  <c r="AJ109" i="88"/>
  <c r="N235" i="64"/>
  <c r="O378" i="64"/>
  <c r="O381" i="64" s="1"/>
  <c r="O426" i="88"/>
  <c r="N427" i="88"/>
  <c r="AA125" i="90"/>
  <c r="Z139" i="90"/>
  <c r="Z155" i="90" s="1"/>
  <c r="Z132" i="90"/>
  <c r="L322" i="64"/>
  <c r="L333" i="64" s="1"/>
  <c r="L476" i="64"/>
  <c r="L500" i="64" s="1"/>
  <c r="L197" i="64"/>
  <c r="L153" i="64"/>
  <c r="L29" i="57" s="1"/>
  <c r="L194" i="64"/>
  <c r="L349" i="64"/>
  <c r="L236" i="64" s="1"/>
  <c r="L348" i="64"/>
  <c r="L368" i="64"/>
  <c r="L370" i="64" s="1"/>
  <c r="L204" i="64"/>
  <c r="U241" i="90"/>
  <c r="T427" i="90"/>
  <c r="U427" i="90" s="1"/>
  <c r="T562" i="90"/>
  <c r="Y90" i="47"/>
  <c r="Y75" i="47"/>
  <c r="Y89" i="47" s="1"/>
  <c r="Y181" i="47" s="1"/>
  <c r="L228" i="89"/>
  <c r="L243" i="89"/>
  <c r="L258" i="89"/>
  <c r="U224" i="90"/>
  <c r="T424" i="90"/>
  <c r="U424" i="90" s="1"/>
  <c r="T214" i="90"/>
  <c r="W21" i="90"/>
  <c r="W16" i="90"/>
  <c r="S452" i="92"/>
  <c r="T452" i="92" s="1"/>
  <c r="Q466" i="92"/>
  <c r="P272" i="79"/>
  <c r="Q42" i="79"/>
  <c r="P23" i="79"/>
  <c r="P270" i="79" s="1"/>
  <c r="P274" i="79" s="1"/>
  <c r="U341" i="92"/>
  <c r="U237" i="92"/>
  <c r="U131" i="92"/>
  <c r="V33" i="57" s="1"/>
  <c r="P26" i="79"/>
  <c r="P14" i="79"/>
  <c r="Q33" i="79"/>
  <c r="P212" i="79"/>
  <c r="P43" i="79"/>
  <c r="P25" i="79"/>
  <c r="P210" i="79"/>
  <c r="U131" i="70"/>
  <c r="Y21" i="64" s="1"/>
  <c r="Z148" i="57"/>
  <c r="V131" i="70" s="1"/>
  <c r="Z21" i="64" s="1"/>
  <c r="AE67" i="90"/>
  <c r="P521" i="79"/>
  <c r="Q520" i="79"/>
  <c r="P427" i="79"/>
  <c r="P423" i="56"/>
  <c r="Q423" i="56" s="1"/>
  <c r="O431" i="56"/>
  <c r="V60" i="57"/>
  <c r="W3" i="57"/>
  <c r="P429" i="80"/>
  <c r="Q522" i="80"/>
  <c r="P523" i="80"/>
  <c r="S52" i="64"/>
  <c r="T52" i="64" s="1"/>
  <c r="U51" i="64"/>
  <c r="L152" i="88"/>
  <c r="L150" i="88"/>
  <c r="L443" i="88" s="1"/>
  <c r="L272" i="88" s="1"/>
  <c r="L125" i="89"/>
  <c r="L126" i="89" s="1"/>
  <c r="K126" i="89"/>
  <c r="Q470" i="90"/>
  <c r="Q11" i="80"/>
  <c r="Q230" i="80"/>
  <c r="Q236" i="80" s="1"/>
  <c r="N542" i="90"/>
  <c r="N532" i="90"/>
  <c r="O530" i="90"/>
  <c r="P395" i="64"/>
  <c r="N395" i="64"/>
  <c r="M395" i="64"/>
  <c r="U395" i="64"/>
  <c r="Q395" i="64"/>
  <c r="W395" i="64"/>
  <c r="X395" i="64"/>
  <c r="R395" i="64"/>
  <c r="V395" i="64"/>
  <c r="O395" i="64"/>
  <c r="U240" i="90"/>
  <c r="T417" i="90"/>
  <c r="U417" i="90" s="1"/>
  <c r="T242" i="90"/>
  <c r="I546" i="88"/>
  <c r="I287" i="88" s="1"/>
  <c r="J543" i="88"/>
  <c r="W242" i="90"/>
  <c r="W244" i="90" s="1"/>
  <c r="W417" i="90"/>
  <c r="W562" i="90"/>
  <c r="W576" i="90" s="1"/>
  <c r="W577" i="90" s="1"/>
  <c r="V171" i="90"/>
  <c r="V304" i="90"/>
  <c r="V306" i="90" s="1"/>
  <c r="V294" i="90" s="1"/>
  <c r="V169" i="90"/>
  <c r="V168" i="90"/>
  <c r="R428" i="47"/>
  <c r="S428" i="47" s="1"/>
  <c r="T428" i="47" s="1"/>
  <c r="T431" i="47" s="1"/>
  <c r="T432" i="47" s="1"/>
  <c r="U428" i="47"/>
  <c r="Q431" i="47"/>
  <c r="V481" i="64"/>
  <c r="V516" i="64"/>
  <c r="V530" i="64" s="1"/>
  <c r="W345" i="92"/>
  <c r="V196" i="92"/>
  <c r="M227" i="56"/>
  <c r="Q112" i="64"/>
  <c r="R26" i="80"/>
  <c r="R234" i="80"/>
  <c r="S37" i="80"/>
  <c r="R18" i="80"/>
  <c r="R25" i="80"/>
  <c r="N147" i="47"/>
  <c r="N130" i="47"/>
  <c r="S134" i="79"/>
  <c r="S133" i="79" s="1"/>
  <c r="R133" i="79"/>
  <c r="P500" i="88"/>
  <c r="S500" i="88"/>
  <c r="R500" i="88"/>
  <c r="Q500" i="88"/>
  <c r="O500" i="88"/>
  <c r="O771" i="90"/>
  <c r="O778" i="90" s="1"/>
  <c r="W365" i="56"/>
  <c r="X363" i="56"/>
  <c r="N289" i="79"/>
  <c r="N335" i="79" s="1"/>
  <c r="N28" i="79"/>
  <c r="T7" i="70"/>
  <c r="S19" i="70"/>
  <c r="S31" i="70" s="1"/>
  <c r="S43" i="70" s="1"/>
  <c r="S120" i="70" s="1"/>
  <c r="S59" i="70" s="1"/>
  <c r="M496" i="88"/>
  <c r="N496" i="88"/>
  <c r="O496" i="88"/>
  <c r="L496" i="88"/>
  <c r="K496" i="88"/>
  <c r="J163" i="56"/>
  <c r="J32" i="56" s="1"/>
  <c r="V418" i="92"/>
  <c r="R138" i="80"/>
  <c r="R232" i="80" s="1"/>
  <c r="I578" i="88"/>
  <c r="I592" i="88" s="1"/>
  <c r="Y204" i="90"/>
  <c r="Y205" i="90" s="1"/>
  <c r="S637" i="80"/>
  <c r="S639" i="80" s="1"/>
  <c r="S390" i="80" s="1"/>
  <c r="P661" i="79"/>
  <c r="P677" i="79" s="1"/>
  <c r="P678" i="79" s="1"/>
  <c r="P682" i="79" s="1"/>
  <c r="P310" i="79" s="1"/>
  <c r="P420" i="79" s="1"/>
  <c r="O388" i="79"/>
  <c r="P635" i="79" s="1"/>
  <c r="P637" i="79" s="1"/>
  <c r="U7" i="92"/>
  <c r="Q231" i="92"/>
  <c r="S231" i="92" s="1"/>
  <c r="T231" i="92" s="1"/>
  <c r="Q45" i="92"/>
  <c r="S45" i="92" s="1"/>
  <c r="T45" i="92" s="1"/>
  <c r="Q79" i="92"/>
  <c r="S79" i="92" s="1"/>
  <c r="T79" i="92" s="1"/>
  <c r="Q381" i="92"/>
  <c r="S381" i="92" s="1"/>
  <c r="T381" i="92" s="1"/>
  <c r="Q404" i="92"/>
  <c r="S404" i="92" s="1"/>
  <c r="T404" i="92" s="1"/>
  <c r="Q108" i="92"/>
  <c r="S108" i="92" s="1"/>
  <c r="T108" i="92" s="1"/>
  <c r="Q330" i="92"/>
  <c r="S330" i="92" s="1"/>
  <c r="T330" i="92" s="1"/>
  <c r="Q56" i="92"/>
  <c r="Q151" i="92"/>
  <c r="S151" i="92" s="1"/>
  <c r="T151" i="92" s="1"/>
  <c r="Q181" i="92"/>
  <c r="S181" i="92" s="1"/>
  <c r="T181" i="92" s="1"/>
  <c r="Q281" i="92"/>
  <c r="S281" i="92" s="1"/>
  <c r="T281" i="92" s="1"/>
  <c r="Q447" i="92"/>
  <c r="S447" i="92" s="1"/>
  <c r="T447" i="92" s="1"/>
  <c r="N131" i="88"/>
  <c r="O130" i="88"/>
  <c r="S621" i="80"/>
  <c r="S659" i="80" s="1"/>
  <c r="S675" i="80" s="1"/>
  <c r="O573" i="88"/>
  <c r="N574" i="88"/>
  <c r="AB54" i="90"/>
  <c r="AC69" i="90"/>
  <c r="J449" i="88"/>
  <c r="J281" i="88"/>
  <c r="R152" i="80"/>
  <c r="R242" i="80" s="1"/>
  <c r="S153" i="80"/>
  <c r="S152" i="80" s="1"/>
  <c r="S242" i="80" s="1"/>
  <c r="W124" i="70"/>
  <c r="Z18" i="90"/>
  <c r="Y17" i="47"/>
  <c r="K486" i="80"/>
  <c r="K487" i="80" s="1"/>
  <c r="K419" i="80" s="1"/>
  <c r="R516" i="64"/>
  <c r="R530" i="64" s="1"/>
  <c r="R349" i="64"/>
  <c r="R236" i="64" s="1"/>
  <c r="R368" i="64"/>
  <c r="R370" i="64" s="1"/>
  <c r="R9" i="57"/>
  <c r="R322" i="64"/>
  <c r="R197" i="64"/>
  <c r="R153" i="64"/>
  <c r="R348" i="64"/>
  <c r="R230" i="64" s="1"/>
  <c r="R476" i="64"/>
  <c r="R500" i="64" s="1"/>
  <c r="R204" i="64"/>
  <c r="L447" i="56"/>
  <c r="L222" i="56"/>
  <c r="L31" i="56"/>
  <c r="Q477" i="88"/>
  <c r="Q478" i="88"/>
  <c r="R41" i="88"/>
  <c r="N312" i="88"/>
  <c r="M313" i="88"/>
  <c r="M234" i="64"/>
  <c r="N383" i="64"/>
  <c r="N387" i="64" s="1"/>
  <c r="Q7" i="57"/>
  <c r="P404" i="47"/>
  <c r="P508" i="47"/>
  <c r="P532" i="47" s="1"/>
  <c r="AA76" i="90"/>
  <c r="R183" i="80"/>
  <c r="R179" i="80" s="1"/>
  <c r="R274" i="80" s="1"/>
  <c r="R276" i="80" s="1"/>
  <c r="S184" i="80"/>
  <c r="S183" i="80" s="1"/>
  <c r="S179" i="80" s="1"/>
  <c r="S274" i="80" s="1"/>
  <c r="S276" i="80" s="1"/>
  <c r="V710" i="90"/>
  <c r="T203" i="90"/>
  <c r="U205" i="90"/>
  <c r="V726" i="90"/>
  <c r="J283" i="88"/>
  <c r="L17" i="88"/>
  <c r="M17" i="88" s="1"/>
  <c r="N17" i="88" s="1"/>
  <c r="O17" i="88" s="1"/>
  <c r="P17" i="88" s="1"/>
  <c r="Q17" i="88" s="1"/>
  <c r="R17" i="88" s="1"/>
  <c r="S17" i="88" s="1"/>
  <c r="T17" i="88" s="1"/>
  <c r="U17" i="88" s="1"/>
  <c r="V17" i="88" s="1"/>
  <c r="W17" i="88" s="1"/>
  <c r="X17" i="88" s="1"/>
  <c r="Y17" i="88" s="1"/>
  <c r="Z17" i="88" s="1"/>
  <c r="AA17" i="88" s="1"/>
  <c r="AB17" i="88" s="1"/>
  <c r="AC17" i="88" s="1"/>
  <c r="AD17" i="88" s="1"/>
  <c r="AE17" i="88" s="1"/>
  <c r="AF17" i="88" s="1"/>
  <c r="AG17" i="88" s="1"/>
  <c r="AH17" i="88" s="1"/>
  <c r="AI17" i="88" s="1"/>
  <c r="X17" i="47"/>
  <c r="Y18" i="90"/>
  <c r="O28" i="80"/>
  <c r="O291" i="80"/>
  <c r="U229" i="56"/>
  <c r="O261" i="88"/>
  <c r="N262" i="88"/>
  <c r="J501" i="88"/>
  <c r="P328" i="88"/>
  <c r="P332" i="88" s="1"/>
  <c r="O97" i="88"/>
  <c r="N100" i="88"/>
  <c r="V723" i="90"/>
  <c r="L528" i="89"/>
  <c r="L537" i="89" s="1"/>
  <c r="R22" i="79"/>
  <c r="R268" i="79" s="1"/>
  <c r="S60" i="79"/>
  <c r="S22" i="79" s="1"/>
  <c r="S268" i="79" s="1"/>
  <c r="AA70" i="90"/>
  <c r="K456" i="88"/>
  <c r="L456" i="88" s="1"/>
  <c r="M456" i="88" s="1"/>
  <c r="N456" i="88" s="1"/>
  <c r="O456" i="88" s="1"/>
  <c r="P456" i="88" s="1"/>
  <c r="Q456" i="88" s="1"/>
  <c r="R456" i="88" s="1"/>
  <c r="S456" i="88" s="1"/>
  <c r="T456" i="88" s="1"/>
  <c r="U456" i="88" s="1"/>
  <c r="V456" i="88" s="1"/>
  <c r="W456" i="88" s="1"/>
  <c r="X456" i="88" s="1"/>
  <c r="Y456" i="88" s="1"/>
  <c r="Z456" i="88" s="1"/>
  <c r="AA456" i="88" s="1"/>
  <c r="AB456" i="88" s="1"/>
  <c r="AC456" i="88" s="1"/>
  <c r="AD456" i="88" s="1"/>
  <c r="AE456" i="88" s="1"/>
  <c r="AF456" i="88" s="1"/>
  <c r="AG456" i="88" s="1"/>
  <c r="AH456" i="88" s="1"/>
  <c r="AI456" i="88" s="1"/>
  <c r="J461" i="88"/>
  <c r="J282" i="88" s="1"/>
  <c r="N309" i="56"/>
  <c r="O458" i="56"/>
  <c r="O461" i="56" s="1"/>
  <c r="J270" i="56"/>
  <c r="X167" i="56"/>
  <c r="Y113" i="56"/>
  <c r="Y167" i="56" s="1"/>
  <c r="AA72" i="90"/>
  <c r="R357" i="88"/>
  <c r="Q358" i="88"/>
  <c r="L545" i="88"/>
  <c r="P617" i="80"/>
  <c r="P643" i="80" s="1"/>
  <c r="P644" i="80" s="1"/>
  <c r="Q664" i="80" s="1"/>
  <c r="Q686" i="80" s="1"/>
  <c r="Q688" i="80" s="1"/>
  <c r="Q313" i="80" s="1"/>
  <c r="Q423" i="80" s="1"/>
  <c r="P515" i="80"/>
  <c r="P516" i="80" s="1"/>
  <c r="P465" i="80"/>
  <c r="P296" i="80"/>
  <c r="N774" i="90"/>
  <c r="W52" i="92"/>
  <c r="V84" i="92"/>
  <c r="W347" i="92"/>
  <c r="V373" i="92"/>
  <c r="X12" i="64"/>
  <c r="X84" i="64"/>
  <c r="N500" i="80"/>
  <c r="N465" i="80"/>
  <c r="N499" i="80"/>
  <c r="N515" i="80"/>
  <c r="N517" i="80" s="1"/>
  <c r="N296" i="80"/>
  <c r="N617" i="80"/>
  <c r="N643" i="80" s="1"/>
  <c r="O772" i="90"/>
  <c r="N779" i="90"/>
  <c r="Y29" i="56"/>
  <c r="Y23" i="56"/>
  <c r="S170" i="80"/>
  <c r="S169" i="80" s="1"/>
  <c r="R169" i="80"/>
  <c r="I282" i="88"/>
  <c r="I280" i="88" s="1"/>
  <c r="I284" i="88" s="1"/>
  <c r="I462" i="88"/>
  <c r="I463" i="88" s="1"/>
  <c r="I464" i="88" s="1"/>
  <c r="I320" i="88" s="1"/>
  <c r="I321" i="88" s="1"/>
  <c r="T421" i="56"/>
  <c r="U421" i="56"/>
  <c r="V421" i="56" s="1"/>
  <c r="W421" i="56" s="1"/>
  <c r="X421" i="56" s="1"/>
  <c r="Y421" i="56" s="1"/>
  <c r="S131" i="79"/>
  <c r="S130" i="79" s="1"/>
  <c r="R130" i="79"/>
  <c r="K414" i="56"/>
  <c r="K303" i="56" s="1"/>
  <c r="K409" i="56"/>
  <c r="W70" i="57"/>
  <c r="AA70" i="57" s="1"/>
  <c r="R21" i="79"/>
  <c r="R258" i="79" s="1"/>
  <c r="S40" i="79"/>
  <c r="R260" i="79"/>
  <c r="O539" i="80"/>
  <c r="O546" i="80" s="1"/>
  <c r="N539" i="80"/>
  <c r="N546" i="80" s="1"/>
  <c r="N308" i="80" s="1"/>
  <c r="L539" i="80"/>
  <c r="L546" i="80" s="1"/>
  <c r="L527" i="80" s="1"/>
  <c r="L529" i="80" s="1"/>
  <c r="M525" i="80" s="1"/>
  <c r="M539" i="80"/>
  <c r="M546" i="80" s="1"/>
  <c r="M418" i="80" s="1"/>
  <c r="X24" i="90"/>
  <c r="X26" i="90" s="1"/>
  <c r="X414" i="90" s="1"/>
  <c r="X319" i="90"/>
  <c r="X303" i="90"/>
  <c r="X306" i="90" s="1"/>
  <c r="X294" i="90" s="1"/>
  <c r="X359" i="90"/>
  <c r="M582" i="56"/>
  <c r="N575" i="56"/>
  <c r="S178" i="80"/>
  <c r="S270" i="80" s="1"/>
  <c r="R270" i="80"/>
  <c r="G54" i="89"/>
  <c r="S131" i="57"/>
  <c r="Z293" i="92"/>
  <c r="Y296" i="92"/>
  <c r="O472" i="88"/>
  <c r="N473" i="88"/>
  <c r="Y59" i="56"/>
  <c r="Y51" i="56"/>
  <c r="Y14" i="56"/>
  <c r="R680" i="90"/>
  <c r="R668" i="90"/>
  <c r="T680" i="90"/>
  <c r="S619" i="79"/>
  <c r="S657" i="79"/>
  <c r="S673" i="79" s="1"/>
  <c r="V22" i="64"/>
  <c r="V53" i="64"/>
  <c r="V51" i="64" s="1"/>
  <c r="V152" i="64" s="1"/>
  <c r="V348" i="64" s="1"/>
  <c r="V230" i="64" s="1"/>
  <c r="O305" i="56"/>
  <c r="W59" i="72"/>
  <c r="V17" i="72"/>
  <c r="Q666" i="90"/>
  <c r="P706" i="90"/>
  <c r="P663" i="90"/>
  <c r="P430" i="80"/>
  <c r="Q430" i="80" s="1"/>
  <c r="R430" i="80" s="1"/>
  <c r="S430" i="80" s="1"/>
  <c r="O432" i="80"/>
  <c r="X147" i="90"/>
  <c r="X194" i="90"/>
  <c r="X193" i="90" s="1"/>
  <c r="X249" i="90" s="1"/>
  <c r="Z147" i="57"/>
  <c r="Z13" i="64" s="1"/>
  <c r="Y13" i="64"/>
  <c r="L164" i="56"/>
  <c r="L166" i="56"/>
  <c r="X40" i="64"/>
  <c r="W44" i="64"/>
  <c r="W20" i="64" s="1"/>
  <c r="K274" i="56"/>
  <c r="H345" i="88"/>
  <c r="H348" i="88" s="1"/>
  <c r="H334" i="88"/>
  <c r="U514" i="47"/>
  <c r="R514" i="47"/>
  <c r="R549" i="47" s="1"/>
  <c r="R563" i="47" s="1"/>
  <c r="K319" i="56"/>
  <c r="K433" i="56"/>
  <c r="K434" i="56" s="1"/>
  <c r="J352" i="89"/>
  <c r="J367" i="89" s="1"/>
  <c r="J369" i="89" s="1"/>
  <c r="X256" i="90"/>
  <c r="X172" i="90"/>
  <c r="X134" i="90"/>
  <c r="X12" i="90"/>
  <c r="X257" i="90"/>
  <c r="X255" i="90"/>
  <c r="X254" i="90"/>
  <c r="F54" i="89"/>
  <c r="G61" i="89"/>
  <c r="G68" i="89" s="1"/>
  <c r="G75" i="89" s="1"/>
  <c r="G94" i="89" s="1"/>
  <c r="F53" i="89"/>
  <c r="G52" i="89" s="1"/>
  <c r="G53" i="89" s="1"/>
  <c r="H52" i="89" s="1"/>
  <c r="F61" i="89"/>
  <c r="F68" i="89" s="1"/>
  <c r="F75" i="89" s="1"/>
  <c r="F94" i="89" s="1"/>
  <c r="V819" i="90"/>
  <c r="V680" i="90"/>
  <c r="R639" i="90"/>
  <c r="U67" i="88"/>
  <c r="T73" i="88"/>
  <c r="R128" i="79"/>
  <c r="Q127" i="79"/>
  <c r="Q198" i="79"/>
  <c r="R674" i="90"/>
  <c r="R700" i="90"/>
  <c r="R688" i="90"/>
  <c r="U130" i="56"/>
  <c r="Q196" i="56"/>
  <c r="Z34" i="64"/>
  <c r="Y37" i="64"/>
  <c r="O472" i="90"/>
  <c r="V856" i="90"/>
  <c r="V870" i="90" s="1"/>
  <c r="V832" i="90"/>
  <c r="V834" i="90" s="1"/>
  <c r="R491" i="90"/>
  <c r="M146" i="88"/>
  <c r="M443" i="88" s="1"/>
  <c r="M272" i="88" s="1"/>
  <c r="N144" i="88"/>
  <c r="O151" i="88"/>
  <c r="Q567" i="80"/>
  <c r="R528" i="80"/>
  <c r="Q622" i="79"/>
  <c r="Q660" i="79" s="1"/>
  <c r="Q676" i="79" s="1"/>
  <c r="L149" i="47"/>
  <c r="L153" i="47"/>
  <c r="L151" i="47"/>
  <c r="L219" i="47" s="1"/>
  <c r="Q620" i="79"/>
  <c r="Q658" i="79" s="1"/>
  <c r="Q674" i="79" s="1"/>
  <c r="P623" i="79"/>
  <c r="P389" i="79" s="1"/>
  <c r="K405" i="56"/>
  <c r="K417" i="56"/>
  <c r="K317" i="56"/>
  <c r="K316" i="56" s="1"/>
  <c r="L28" i="80"/>
  <c r="L291" i="80"/>
  <c r="M204" i="64"/>
  <c r="O224" i="79"/>
  <c r="R854" i="90"/>
  <c r="R868" i="90" s="1"/>
  <c r="R871" i="90" s="1"/>
  <c r="R875" i="90" s="1"/>
  <c r="R434" i="90" s="1"/>
  <c r="Y57" i="56"/>
  <c r="J180" i="64"/>
  <c r="Y132" i="56"/>
  <c r="P153" i="88"/>
  <c r="O154" i="88"/>
  <c r="Q202" i="79"/>
  <c r="R71" i="79"/>
  <c r="O96" i="88"/>
  <c r="N99" i="88"/>
  <c r="X168" i="57"/>
  <c r="X204" i="56"/>
  <c r="Y203" i="56"/>
  <c r="X205" i="56"/>
  <c r="O221" i="88"/>
  <c r="N222" i="88"/>
  <c r="O86" i="88"/>
  <c r="N87" i="88"/>
  <c r="Y159" i="56"/>
  <c r="Y161" i="56" s="1"/>
  <c r="X161" i="56"/>
  <c r="K538" i="88"/>
  <c r="L538" i="88" s="1"/>
  <c r="M538" i="88" s="1"/>
  <c r="N538" i="88" s="1"/>
  <c r="O538" i="88" s="1"/>
  <c r="P538" i="88" s="1"/>
  <c r="Q538" i="88" s="1"/>
  <c r="R538" i="88" s="1"/>
  <c r="S538" i="88" s="1"/>
  <c r="T538" i="88" s="1"/>
  <c r="U538" i="88" s="1"/>
  <c r="V538" i="88" s="1"/>
  <c r="W538" i="88" s="1"/>
  <c r="X538" i="88" s="1"/>
  <c r="Y538" i="88" s="1"/>
  <c r="Z538" i="88" s="1"/>
  <c r="AA538" i="88" s="1"/>
  <c r="AB538" i="88" s="1"/>
  <c r="AC538" i="88" s="1"/>
  <c r="AD538" i="88" s="1"/>
  <c r="AE538" i="88" s="1"/>
  <c r="AF538" i="88" s="1"/>
  <c r="AG538" i="88" s="1"/>
  <c r="AH538" i="88" s="1"/>
  <c r="AI538" i="88" s="1"/>
  <c r="J539" i="88"/>
  <c r="J563" i="88" s="1"/>
  <c r="N469" i="90"/>
  <c r="N787" i="90"/>
  <c r="K305" i="56"/>
  <c r="K429" i="56"/>
  <c r="K430" i="56" s="1"/>
  <c r="R621" i="79"/>
  <c r="R659" i="79"/>
  <c r="R675" i="79" s="1"/>
  <c r="T111" i="56"/>
  <c r="T165" i="56" s="1"/>
  <c r="T112" i="56"/>
  <c r="T166" i="56" s="1"/>
  <c r="T110" i="56"/>
  <c r="AB64" i="90"/>
  <c r="X197" i="90"/>
  <c r="X198" i="90" s="1"/>
  <c r="X199" i="90"/>
  <c r="X200" i="90" s="1"/>
  <c r="X201" i="90"/>
  <c r="AA53" i="57"/>
  <c r="U167" i="57"/>
  <c r="S19" i="56"/>
  <c r="S20" i="56" s="1"/>
  <c r="R821" i="90"/>
  <c r="R492" i="90" s="1"/>
  <c r="W157" i="56"/>
  <c r="X106" i="56"/>
  <c r="P220" i="79"/>
  <c r="Q34" i="79"/>
  <c r="P15" i="79"/>
  <c r="P218" i="79" s="1"/>
  <c r="J9" i="89"/>
  <c r="J166" i="89"/>
  <c r="J157" i="89"/>
  <c r="Q142" i="56"/>
  <c r="Q414" i="56"/>
  <c r="Q303" i="56" s="1"/>
  <c r="Q195" i="56"/>
  <c r="U129" i="56"/>
  <c r="Q128" i="56"/>
  <c r="P409" i="56"/>
  <c r="Q406" i="56"/>
  <c r="M291" i="80"/>
  <c r="M28" i="80"/>
  <c r="O721" i="90"/>
  <c r="O469" i="90" s="1"/>
  <c r="P722" i="90"/>
  <c r="K301" i="56"/>
  <c r="K300" i="56" s="1"/>
  <c r="M133" i="64"/>
  <c r="M345" i="64" s="1"/>
  <c r="N97" i="64"/>
  <c r="Q297" i="79"/>
  <c r="P296" i="79"/>
  <c r="W18" i="92"/>
  <c r="V20" i="92"/>
  <c r="V156" i="64"/>
  <c r="O492" i="79"/>
  <c r="P370" i="79"/>
  <c r="Q370" i="79" s="1"/>
  <c r="R370" i="79" s="1"/>
  <c r="S370" i="79" s="1"/>
  <c r="Z341" i="92"/>
  <c r="M220" i="47"/>
  <c r="R200" i="79"/>
  <c r="S95" i="79"/>
  <c r="AD55" i="90"/>
  <c r="W818" i="90"/>
  <c r="W853" i="90" s="1"/>
  <c r="W867" i="90" s="1"/>
  <c r="V821" i="90"/>
  <c r="V492" i="90" s="1"/>
  <c r="O621" i="80"/>
  <c r="O659" i="80" s="1"/>
  <c r="O675" i="80" s="1"/>
  <c r="O628" i="80"/>
  <c r="O632" i="80" s="1"/>
  <c r="O439" i="80" s="1"/>
  <c r="AA341" i="92"/>
  <c r="S372" i="92"/>
  <c r="T372" i="92" s="1"/>
  <c r="Q341" i="92"/>
  <c r="Q131" i="92"/>
  <c r="Q237" i="92"/>
  <c r="S237" i="92" s="1"/>
  <c r="T237" i="92" s="1"/>
  <c r="Q198" i="47"/>
  <c r="U48" i="47"/>
  <c r="R48" i="47"/>
  <c r="S48" i="47" s="1"/>
  <c r="Q16" i="79"/>
  <c r="Q277" i="79"/>
  <c r="Q222" i="79"/>
  <c r="R35" i="79"/>
  <c r="P61" i="72"/>
  <c r="O63" i="72"/>
  <c r="Y86" i="47"/>
  <c r="Y88" i="47"/>
  <c r="Y237" i="56"/>
  <c r="M347" i="64"/>
  <c r="L459" i="88"/>
  <c r="Q161" i="80"/>
  <c r="Q252" i="80" s="1"/>
  <c r="Q256" i="80" s="1"/>
  <c r="K503" i="80"/>
  <c r="K420" i="80" s="1"/>
  <c r="N778" i="90"/>
  <c r="T572" i="56"/>
  <c r="X522" i="64"/>
  <c r="W572" i="56"/>
  <c r="W574" i="56"/>
  <c r="Q15" i="4"/>
  <c r="R12" i="79"/>
  <c r="S31" i="79"/>
  <c r="S12" i="79" s="1"/>
  <c r="V99" i="56"/>
  <c r="U148" i="56"/>
  <c r="O149" i="88"/>
  <c r="P68" i="88"/>
  <c r="O72" i="88"/>
  <c r="O74" i="88"/>
  <c r="P130" i="47"/>
  <c r="P147" i="47"/>
  <c r="P12" i="47"/>
  <c r="P238" i="47" s="1"/>
  <c r="S101" i="79"/>
  <c r="S100" i="79" s="1"/>
  <c r="R100" i="79"/>
  <c r="Z214" i="90"/>
  <c r="Z424" i="90"/>
  <c r="S417" i="92"/>
  <c r="T417" i="92" s="1"/>
  <c r="Q420" i="92"/>
  <c r="U417" i="92"/>
  <c r="Q19" i="57"/>
  <c r="P286" i="92"/>
  <c r="N532" i="88"/>
  <c r="O531" i="88"/>
  <c r="T29" i="56"/>
  <c r="T23" i="56"/>
  <c r="T21" i="56" s="1"/>
  <c r="T19" i="56" s="1"/>
  <c r="T20" i="56" s="1"/>
  <c r="L325" i="89"/>
  <c r="L355" i="89"/>
  <c r="L341" i="89"/>
  <c r="N454" i="88"/>
  <c r="M457" i="88"/>
  <c r="M458" i="88" s="1"/>
  <c r="M459" i="88" s="1"/>
  <c r="W159" i="64"/>
  <c r="W131" i="64"/>
  <c r="R165" i="80"/>
  <c r="S166" i="80"/>
  <c r="S165" i="80" s="1"/>
  <c r="Q127" i="92"/>
  <c r="S127" i="92" s="1"/>
  <c r="T127" i="92" s="1"/>
  <c r="S100" i="92"/>
  <c r="T100" i="92" s="1"/>
  <c r="Z57" i="90"/>
  <c r="AA58" i="90"/>
  <c r="O428" i="90"/>
  <c r="N432" i="90"/>
  <c r="N65" i="72"/>
  <c r="R111" i="79"/>
  <c r="Q110" i="79"/>
  <c r="I557" i="88"/>
  <c r="I559" i="88" s="1"/>
  <c r="I581" i="88"/>
  <c r="I595" i="88" s="1"/>
  <c r="H286" i="88"/>
  <c r="H290" i="88" s="1"/>
  <c r="H298" i="88" s="1"/>
  <c r="I353" i="89"/>
  <c r="M289" i="79"/>
  <c r="M335" i="79" s="1"/>
  <c r="M162" i="64"/>
  <c r="M168" i="64" s="1"/>
  <c r="L142" i="56"/>
  <c r="J451" i="88"/>
  <c r="J452" i="88" s="1"/>
  <c r="J319" i="88" s="1"/>
  <c r="R34" i="56"/>
  <c r="Q65" i="64"/>
  <c r="Q113" i="64" s="1"/>
  <c r="R9" i="64"/>
  <c r="Q150" i="64"/>
  <c r="Q191" i="64" s="1"/>
  <c r="Q221" i="64" s="1"/>
  <c r="Q272" i="64" s="1"/>
  <c r="Q320" i="64" s="1"/>
  <c r="Q366" i="64" s="1"/>
  <c r="Q420" i="64" s="1"/>
  <c r="Q469" i="64" s="1"/>
  <c r="Q512" i="64" s="1"/>
  <c r="V664" i="90"/>
  <c r="S61" i="79"/>
  <c r="X796" i="90"/>
  <c r="Y795" i="90"/>
  <c r="AB40" i="90"/>
  <c r="AA216" i="90"/>
  <c r="W235" i="90"/>
  <c r="W212" i="90"/>
  <c r="P675" i="90"/>
  <c r="O673" i="90"/>
  <c r="O786" i="90" s="1"/>
  <c r="O473" i="90" s="1"/>
  <c r="P19" i="79"/>
  <c r="P238" i="79" s="1"/>
  <c r="P244" i="79" s="1"/>
  <c r="Q55" i="79"/>
  <c r="Q42" i="88"/>
  <c r="P176" i="88"/>
  <c r="Y26" i="56"/>
  <c r="Y27" i="56" s="1"/>
  <c r="Y28" i="56" s="1"/>
  <c r="Y241" i="90"/>
  <c r="Y243" i="90"/>
  <c r="Q114" i="79"/>
  <c r="R115" i="79"/>
  <c r="O274" i="79"/>
  <c r="N659" i="80"/>
  <c r="N675" i="80" s="1"/>
  <c r="X55" i="56"/>
  <c r="L236" i="56"/>
  <c r="Y454" i="92"/>
  <c r="Y468" i="92" s="1"/>
  <c r="P277" i="79"/>
  <c r="M448" i="89"/>
  <c r="M463" i="89" s="1"/>
  <c r="M432" i="89"/>
  <c r="M441" i="89" s="1"/>
  <c r="M498" i="79"/>
  <c r="M384" i="79" s="1"/>
  <c r="M497" i="79"/>
  <c r="N342" i="79"/>
  <c r="Q128" i="92"/>
  <c r="S101" i="92"/>
  <c r="T101" i="92" s="1"/>
  <c r="X176" i="56"/>
  <c r="W239" i="56"/>
  <c r="X122" i="64"/>
  <c r="Y75" i="64"/>
  <c r="X97" i="56"/>
  <c r="W149" i="56"/>
  <c r="W119" i="64"/>
  <c r="X72" i="64"/>
  <c r="M525" i="89"/>
  <c r="V192" i="56"/>
  <c r="W123" i="56"/>
  <c r="X93" i="56"/>
  <c r="W94" i="56"/>
  <c r="W147" i="56" s="1"/>
  <c r="W122" i="56"/>
  <c r="V191" i="56"/>
  <c r="W238" i="56"/>
  <c r="X171" i="56"/>
  <c r="O323" i="64"/>
  <c r="W98" i="64"/>
  <c r="V99" i="64"/>
  <c r="V96" i="64"/>
  <c r="V133" i="64" s="1"/>
  <c r="V353" i="64" s="1"/>
  <c r="V244" i="64" s="1"/>
  <c r="Y91" i="64"/>
  <c r="X93" i="64"/>
  <c r="Y93" i="64" s="1"/>
  <c r="Z93" i="64" s="1"/>
  <c r="W135" i="64"/>
  <c r="W165" i="64" s="1"/>
  <c r="V147" i="56"/>
  <c r="O229" i="64"/>
  <c r="M376" i="89"/>
  <c r="M378" i="89" s="1"/>
  <c r="M387" i="89"/>
  <c r="V71" i="64"/>
  <c r="R73" i="64"/>
  <c r="R118" i="64"/>
  <c r="W119" i="56"/>
  <c r="V236" i="56"/>
  <c r="V193" i="56"/>
  <c r="W126" i="56"/>
  <c r="V166" i="64"/>
  <c r="V164" i="64" s="1"/>
  <c r="W102" i="64"/>
  <c r="X121" i="64"/>
  <c r="U73" i="64"/>
  <c r="U120" i="64" s="1"/>
  <c r="U118" i="64"/>
  <c r="U26" i="56"/>
  <c r="U27" i="56" s="1"/>
  <c r="U28" i="56" s="1"/>
  <c r="V101" i="64"/>
  <c r="W100" i="64"/>
  <c r="M334" i="64"/>
  <c r="M227" i="64" s="1"/>
  <c r="M333" i="64"/>
  <c r="V12" i="57"/>
  <c r="U115" i="92"/>
  <c r="U413" i="92"/>
  <c r="U437" i="92" s="1"/>
  <c r="U285" i="92"/>
  <c r="X88" i="64"/>
  <c r="W139" i="64"/>
  <c r="W157" i="64" s="1"/>
  <c r="I170" i="89"/>
  <c r="X129" i="64"/>
  <c r="Y81" i="64"/>
  <c r="X128" i="64"/>
  <c r="V115" i="92"/>
  <c r="V285" i="92"/>
  <c r="V413" i="92"/>
  <c r="V437" i="92" s="1"/>
  <c r="W12" i="57"/>
  <c r="V166" i="92"/>
  <c r="H432" i="89"/>
  <c r="H441" i="89" s="1"/>
  <c r="H442" i="89" s="1"/>
  <c r="H443" i="89" s="1"/>
  <c r="H448" i="89"/>
  <c r="K353" i="89"/>
  <c r="N304" i="47"/>
  <c r="N303" i="47" s="1"/>
  <c r="X95" i="56"/>
  <c r="X66" i="64"/>
  <c r="W120" i="56"/>
  <c r="V189" i="56"/>
  <c r="I158" i="89"/>
  <c r="I159" i="89" s="1"/>
  <c r="H492" i="89"/>
  <c r="H536" i="89" s="1"/>
  <c r="H6" i="89" s="1"/>
  <c r="Q13" i="57" s="1"/>
  <c r="H525" i="89"/>
  <c r="L157" i="89"/>
  <c r="L166" i="89"/>
  <c r="AE12" i="92"/>
  <c r="AF15" i="92"/>
  <c r="X26" i="56"/>
  <c r="X27" i="56" s="1"/>
  <c r="X28" i="56" s="1"/>
  <c r="AD99" i="92"/>
  <c r="AD126" i="92" s="1"/>
  <c r="X150" i="56"/>
  <c r="W152" i="56"/>
  <c r="N229" i="64"/>
  <c r="P285" i="92"/>
  <c r="P413" i="92"/>
  <c r="P437" i="92" s="1"/>
  <c r="Q12" i="57"/>
  <c r="P115" i="92"/>
  <c r="P121" i="92" s="1"/>
  <c r="P129" i="92" s="1"/>
  <c r="P133" i="92" s="1"/>
  <c r="N304" i="56"/>
  <c r="Y191" i="47"/>
  <c r="T164" i="64"/>
  <c r="X208" i="56"/>
  <c r="W232" i="56"/>
  <c r="X231" i="56"/>
  <c r="Y178" i="56"/>
  <c r="Y231" i="56" s="1"/>
  <c r="N194" i="64"/>
  <c r="N323" i="64"/>
  <c r="Y79" i="64"/>
  <c r="X126" i="64"/>
  <c r="X70" i="64"/>
  <c r="W117" i="64"/>
  <c r="N227" i="56"/>
  <c r="N416" i="56"/>
  <c r="T304" i="56"/>
  <c r="P227" i="56"/>
  <c r="P416" i="56"/>
  <c r="Q194" i="64"/>
  <c r="Q323" i="64"/>
  <c r="N183" i="56"/>
  <c r="N182" i="56"/>
  <c r="P323" i="64"/>
  <c r="N270" i="47"/>
  <c r="P182" i="56"/>
  <c r="P183" i="56"/>
  <c r="Q229" i="64"/>
  <c r="V26" i="56"/>
  <c r="V27" i="56" s="1"/>
  <c r="V28" i="56" s="1"/>
  <c r="V21" i="56" s="1"/>
  <c r="W121" i="56"/>
  <c r="V190" i="56"/>
  <c r="P229" i="64"/>
  <c r="M350" i="64"/>
  <c r="M229" i="64"/>
  <c r="H182" i="89"/>
  <c r="H184" i="89" s="1"/>
  <c r="H192" i="89"/>
  <c r="H194" i="89" s="1"/>
  <c r="P304" i="56"/>
  <c r="M255" i="89"/>
  <c r="M256" i="89" s="1"/>
  <c r="S11" i="56"/>
  <c r="T12" i="56"/>
  <c r="M194" i="64"/>
  <c r="M323" i="64"/>
  <c r="X78" i="64"/>
  <c r="W125" i="64"/>
  <c r="W124" i="64" s="1"/>
  <c r="W26" i="56"/>
  <c r="W27" i="56" s="1"/>
  <c r="W28" i="56" s="1"/>
  <c r="W21" i="56" s="1"/>
  <c r="I292" i="89"/>
  <c r="L292" i="89"/>
  <c r="V187" i="56"/>
  <c r="W118" i="56"/>
  <c r="U186" i="56"/>
  <c r="U212" i="56" s="1"/>
  <c r="U213" i="56" s="1"/>
  <c r="Q189" i="47"/>
  <c r="N435" i="47"/>
  <c r="N323" i="47" s="1"/>
  <c r="N434" i="47"/>
  <c r="N173" i="88"/>
  <c r="N175" i="88" s="1"/>
  <c r="K118" i="88"/>
  <c r="K119" i="88"/>
  <c r="L117" i="88" s="1"/>
  <c r="L434" i="47"/>
  <c r="L435" i="47"/>
  <c r="L323" i="47" s="1"/>
  <c r="Z104" i="57"/>
  <c r="Z171" i="57" s="1"/>
  <c r="Y171" i="57"/>
  <c r="L270" i="47"/>
  <c r="X163" i="47"/>
  <c r="Y166" i="47"/>
  <c r="M29" i="88"/>
  <c r="AJ107" i="88"/>
  <c r="K454" i="56"/>
  <c r="K456" i="56" s="1"/>
  <c r="K308" i="56" s="1"/>
  <c r="K350" i="56"/>
  <c r="N29" i="88"/>
  <c r="O28" i="88"/>
  <c r="L244" i="56"/>
  <c r="L454" i="56"/>
  <c r="K349" i="56"/>
  <c r="K275" i="56"/>
  <c r="P160" i="88"/>
  <c r="O232" i="88"/>
  <c r="M375" i="79"/>
  <c r="N523" i="79"/>
  <c r="L530" i="89" l="1"/>
  <c r="L544" i="89" s="1"/>
  <c r="L559" i="89" s="1"/>
  <c r="L240" i="89"/>
  <c r="L434" i="89"/>
  <c r="L448" i="89" s="1"/>
  <c r="L463" i="89" s="1"/>
  <c r="X250" i="92"/>
  <c r="W252" i="92"/>
  <c r="Q37" i="72"/>
  <c r="U36" i="72"/>
  <c r="T36" i="72"/>
  <c r="Y80" i="64"/>
  <c r="R225" i="56"/>
  <c r="S225" i="56" s="1"/>
  <c r="T460" i="56"/>
  <c r="T486" i="56" s="1"/>
  <c r="T244" i="56" s="1"/>
  <c r="R244" i="56" s="1"/>
  <c r="S244" i="56" s="1"/>
  <c r="Q486" i="56"/>
  <c r="Q244" i="56" s="1"/>
  <c r="U460" i="56"/>
  <c r="M183" i="56"/>
  <c r="T228" i="56"/>
  <c r="T416" i="56" s="1"/>
  <c r="T417" i="56" s="1"/>
  <c r="O22" i="64"/>
  <c r="O53" i="64"/>
  <c r="O51" i="64" s="1"/>
  <c r="O152" i="64" s="1"/>
  <c r="M407" i="64"/>
  <c r="M170" i="64" s="1"/>
  <c r="M172" i="64" s="1"/>
  <c r="M275" i="64" s="1"/>
  <c r="M390" i="64"/>
  <c r="M418" i="64"/>
  <c r="M467" i="64" s="1"/>
  <c r="M510" i="64" s="1"/>
  <c r="P37" i="64"/>
  <c r="P44" i="64"/>
  <c r="P20" i="64" s="1"/>
  <c r="O7" i="64"/>
  <c r="N63" i="64"/>
  <c r="N111" i="64" s="1"/>
  <c r="N148" i="64"/>
  <c r="N189" i="64" s="1"/>
  <c r="N219" i="64" s="1"/>
  <c r="N270" i="64" s="1"/>
  <c r="N318" i="64" s="1"/>
  <c r="N364" i="64" s="1"/>
  <c r="L170" i="64"/>
  <c r="L32" i="57" s="1"/>
  <c r="L66" i="57" s="1"/>
  <c r="N348" i="64"/>
  <c r="N9" i="57"/>
  <c r="N476" i="64"/>
  <c r="N500" i="64" s="1"/>
  <c r="N349" i="64"/>
  <c r="N236" i="64" s="1"/>
  <c r="N322" i="64"/>
  <c r="N204" i="64"/>
  <c r="N197" i="64"/>
  <c r="N368" i="64"/>
  <c r="N370" i="64" s="1"/>
  <c r="N153" i="64"/>
  <c r="N162" i="64" s="1"/>
  <c r="L374" i="64"/>
  <c r="L376" i="64" s="1"/>
  <c r="L233" i="64" s="1"/>
  <c r="Y167" i="64"/>
  <c r="Z136" i="64"/>
  <c r="Z167" i="64" s="1"/>
  <c r="T391" i="90"/>
  <c r="U391" i="90" s="1"/>
  <c r="W154" i="56"/>
  <c r="O182" i="56"/>
  <c r="O183" i="56"/>
  <c r="N344" i="79"/>
  <c r="M615" i="79"/>
  <c r="M641" i="79" s="1"/>
  <c r="M376" i="80"/>
  <c r="R246" i="80"/>
  <c r="O661" i="80"/>
  <c r="O677" i="80" s="1"/>
  <c r="P623" i="80"/>
  <c r="P661" i="80" s="1"/>
  <c r="P677" i="80" s="1"/>
  <c r="L353" i="89"/>
  <c r="R464" i="47"/>
  <c r="S454" i="47"/>
  <c r="S456" i="47" s="1"/>
  <c r="N780" i="90"/>
  <c r="P260" i="47"/>
  <c r="Q9" i="47"/>
  <c r="Q141" i="47" s="1"/>
  <c r="Q213" i="47" s="1"/>
  <c r="L456" i="89"/>
  <c r="L460" i="89" s="1"/>
  <c r="I256" i="89"/>
  <c r="I6" i="89"/>
  <c r="R13" i="57" s="1"/>
  <c r="R199" i="57" s="1"/>
  <c r="M492" i="89"/>
  <c r="M536" i="89" s="1"/>
  <c r="M6" i="89" s="1"/>
  <c r="V13" i="57" s="1"/>
  <c r="V27" i="57"/>
  <c r="M442" i="89"/>
  <c r="M443" i="89" s="1"/>
  <c r="M447" i="89" s="1"/>
  <c r="U166" i="92"/>
  <c r="Q115" i="92"/>
  <c r="Q350" i="64"/>
  <c r="Q413" i="92"/>
  <c r="S413" i="92" s="1"/>
  <c r="T413" i="92" s="1"/>
  <c r="Q334" i="64"/>
  <c r="Q227" i="64" s="1"/>
  <c r="Q333" i="64"/>
  <c r="Q226" i="64" s="1"/>
  <c r="Q285" i="92"/>
  <c r="Q319" i="92" s="1"/>
  <c r="L162" i="64"/>
  <c r="L168" i="64" s="1"/>
  <c r="M205" i="64" s="1"/>
  <c r="I376" i="89"/>
  <c r="I378" i="89" s="1"/>
  <c r="T182" i="56"/>
  <c r="K387" i="89"/>
  <c r="W27" i="57"/>
  <c r="L369" i="89"/>
  <c r="X45" i="47"/>
  <c r="X454" i="47" s="1"/>
  <c r="Y484" i="47"/>
  <c r="M107" i="47"/>
  <c r="M118" i="47" s="1"/>
  <c r="M175" i="47" s="1"/>
  <c r="M174" i="47" s="1"/>
  <c r="M230" i="47" s="1"/>
  <c r="W454" i="47"/>
  <c r="W456" i="47" s="1"/>
  <c r="Q461" i="47"/>
  <c r="N7" i="57"/>
  <c r="N6" i="57" s="1"/>
  <c r="N135" i="57" s="1"/>
  <c r="P432" i="47"/>
  <c r="P433" i="47" s="1"/>
  <c r="M404" i="47"/>
  <c r="M435" i="47" s="1"/>
  <c r="M323" i="47" s="1"/>
  <c r="U457" i="47"/>
  <c r="U464" i="47" s="1"/>
  <c r="V454" i="47"/>
  <c r="N176" i="47"/>
  <c r="N177" i="47" s="1"/>
  <c r="N232" i="47" s="1"/>
  <c r="N228" i="47" s="1"/>
  <c r="V453" i="47"/>
  <c r="O350" i="56"/>
  <c r="O244" i="56"/>
  <c r="M350" i="56"/>
  <c r="M454" i="56"/>
  <c r="P176" i="47"/>
  <c r="P177" i="47" s="1"/>
  <c r="P232" i="47" s="1"/>
  <c r="S484" i="47"/>
  <c r="X484" i="47"/>
  <c r="N350" i="56"/>
  <c r="P350" i="56"/>
  <c r="N454" i="56"/>
  <c r="N163" i="56"/>
  <c r="N32" i="56" s="1"/>
  <c r="N241" i="56" s="1"/>
  <c r="Y87" i="64"/>
  <c r="Y138" i="64" s="1"/>
  <c r="X174" i="56"/>
  <c r="X240" i="56" s="1"/>
  <c r="Y172" i="56"/>
  <c r="Y174" i="56" s="1"/>
  <c r="P12" i="56"/>
  <c r="P11" i="56" s="1"/>
  <c r="P19" i="56"/>
  <c r="P20" i="56" s="1"/>
  <c r="P244" i="56"/>
  <c r="N532" i="56"/>
  <c r="N567" i="56" s="1"/>
  <c r="N581" i="56" s="1"/>
  <c r="N31" i="56"/>
  <c r="N222" i="56"/>
  <c r="N269" i="56" s="1"/>
  <c r="N447" i="56"/>
  <c r="N449" i="56" s="1"/>
  <c r="N29" i="57"/>
  <c r="W169" i="56"/>
  <c r="K435" i="56"/>
  <c r="K352" i="56" s="1"/>
  <c r="M567" i="56"/>
  <c r="M581" i="56" s="1"/>
  <c r="M583" i="56" s="1"/>
  <c r="M587" i="56" s="1"/>
  <c r="M248" i="56" s="1"/>
  <c r="M354" i="56" s="1"/>
  <c r="Q484" i="47"/>
  <c r="V484" i="47"/>
  <c r="W484" i="47"/>
  <c r="U484" i="47"/>
  <c r="Q370" i="47"/>
  <c r="Q374" i="47" s="1"/>
  <c r="L420" i="47"/>
  <c r="L306" i="47" s="1"/>
  <c r="N775" i="90"/>
  <c r="O775" i="90" s="1"/>
  <c r="Y304" i="90"/>
  <c r="Y206" i="90"/>
  <c r="Y203" i="90" s="1"/>
  <c r="Y251" i="90" s="1"/>
  <c r="Y171" i="90"/>
  <c r="Y134" i="90" s="1"/>
  <c r="R251" i="90"/>
  <c r="Y168" i="90"/>
  <c r="Y147" i="90" s="1"/>
  <c r="Y792" i="90"/>
  <c r="Y794" i="90" s="1"/>
  <c r="Y796" i="90" s="1"/>
  <c r="M294" i="79"/>
  <c r="M304" i="79" s="1"/>
  <c r="M463" i="79"/>
  <c r="M493" i="79" s="1"/>
  <c r="M513" i="79"/>
  <c r="M515" i="79" s="1"/>
  <c r="J263" i="89"/>
  <c r="J267" i="89" s="1"/>
  <c r="J254" i="89"/>
  <c r="K202" i="89"/>
  <c r="K246" i="89" s="1"/>
  <c r="L204" i="89"/>
  <c r="L202" i="89" s="1"/>
  <c r="L246" i="89" s="1"/>
  <c r="M422" i="89"/>
  <c r="M451" i="89"/>
  <c r="M437" i="89"/>
  <c r="O787" i="90"/>
  <c r="P703" i="90"/>
  <c r="V667" i="90"/>
  <c r="W667" i="90" s="1"/>
  <c r="W189" i="90"/>
  <c r="W191" i="90"/>
  <c r="W190" i="90"/>
  <c r="V668" i="90"/>
  <c r="V678" i="90"/>
  <c r="W209" i="90"/>
  <c r="W252" i="90" s="1"/>
  <c r="Y242" i="90"/>
  <c r="Y244" i="90" s="1"/>
  <c r="Y417" i="90"/>
  <c r="R309" i="90"/>
  <c r="R310" i="90"/>
  <c r="R306" i="90"/>
  <c r="R294" i="90" s="1"/>
  <c r="T875" i="90"/>
  <c r="U871" i="90"/>
  <c r="N516" i="90"/>
  <c r="O516" i="90" s="1"/>
  <c r="V677" i="90"/>
  <c r="W677" i="90" s="1"/>
  <c r="X677" i="90" s="1"/>
  <c r="Y677" i="90" s="1"/>
  <c r="Z677" i="90" s="1"/>
  <c r="AA677" i="90" s="1"/>
  <c r="AB677" i="90" s="1"/>
  <c r="AC677" i="90" s="1"/>
  <c r="AD677" i="90" s="1"/>
  <c r="AE677" i="90" s="1"/>
  <c r="AF677" i="90" s="1"/>
  <c r="AG677" i="90" s="1"/>
  <c r="AH677" i="90" s="1"/>
  <c r="AI677" i="90" s="1"/>
  <c r="AJ677" i="90" s="1"/>
  <c r="AK677" i="90" s="1"/>
  <c r="AL677" i="90" s="1"/>
  <c r="AM677" i="90" s="1"/>
  <c r="AN677" i="90" s="1"/>
  <c r="AO677" i="90" s="1"/>
  <c r="AP677" i="90" s="1"/>
  <c r="AQ677" i="90" s="1"/>
  <c r="AR677" i="90" s="1"/>
  <c r="AS677" i="90" s="1"/>
  <c r="AT677" i="90" s="1"/>
  <c r="AU677" i="90" s="1"/>
  <c r="R199" i="90"/>
  <c r="R200" i="90" s="1"/>
  <c r="R197" i="90"/>
  <c r="R198" i="90" s="1"/>
  <c r="R201" i="90"/>
  <c r="R134" i="90"/>
  <c r="R256" i="90"/>
  <c r="R255" i="90"/>
  <c r="R172" i="90"/>
  <c r="R12" i="90"/>
  <c r="R16" i="90" s="1"/>
  <c r="R257" i="90"/>
  <c r="T677" i="90"/>
  <c r="U677" i="90" s="1"/>
  <c r="U682" i="90"/>
  <c r="T667" i="90"/>
  <c r="R194" i="90"/>
  <c r="R193" i="90" s="1"/>
  <c r="R249" i="90" s="1"/>
  <c r="R147" i="90"/>
  <c r="V558" i="90"/>
  <c r="W512" i="90"/>
  <c r="M80" i="57"/>
  <c r="M90" i="57" s="1"/>
  <c r="K376" i="47"/>
  <c r="K386" i="47"/>
  <c r="R119" i="47"/>
  <c r="R129" i="47" s="1"/>
  <c r="R147" i="47" s="1"/>
  <c r="R143" i="47" s="1"/>
  <c r="R117" i="47"/>
  <c r="M199" i="47"/>
  <c r="M462" i="47"/>
  <c r="P512" i="47"/>
  <c r="P515" i="47" s="1"/>
  <c r="P328" i="47" s="1"/>
  <c r="N417" i="47"/>
  <c r="N308" i="47" s="1"/>
  <c r="O547" i="47"/>
  <c r="O561" i="47" s="1"/>
  <c r="L199" i="47"/>
  <c r="L200" i="47" s="1"/>
  <c r="L202" i="47" s="1"/>
  <c r="L248" i="47" s="1"/>
  <c r="L462" i="47"/>
  <c r="L465" i="47" s="1"/>
  <c r="L491" i="47" s="1"/>
  <c r="L492" i="47" s="1"/>
  <c r="P247" i="47"/>
  <c r="L232" i="47"/>
  <c r="L228" i="47" s="1"/>
  <c r="L264" i="47" s="1"/>
  <c r="L266" i="47" s="1"/>
  <c r="L271" i="47" s="1"/>
  <c r="L275" i="47" s="1"/>
  <c r="L358" i="47" s="1"/>
  <c r="O139" i="47"/>
  <c r="O211" i="47" s="1"/>
  <c r="P7" i="47"/>
  <c r="O258" i="47"/>
  <c r="S117" i="47"/>
  <c r="S119" i="47"/>
  <c r="S129" i="47" s="1"/>
  <c r="O273" i="47"/>
  <c r="O359" i="47" s="1"/>
  <c r="O199" i="47"/>
  <c r="U118" i="47"/>
  <c r="U113" i="47"/>
  <c r="U483" i="47"/>
  <c r="V483" i="47"/>
  <c r="Y483" i="47"/>
  <c r="R483" i="47"/>
  <c r="W483" i="47"/>
  <c r="S483" i="47"/>
  <c r="X483" i="47"/>
  <c r="Q483" i="47"/>
  <c r="P483" i="47"/>
  <c r="P490" i="47" s="1"/>
  <c r="P353" i="47"/>
  <c r="P400" i="47" s="1"/>
  <c r="P446" i="47" s="1"/>
  <c r="P500" i="47" s="1"/>
  <c r="P542" i="47" s="1"/>
  <c r="Q297" i="47"/>
  <c r="V93" i="47"/>
  <c r="V165" i="47" s="1"/>
  <c r="V179" i="47"/>
  <c r="V107" i="47"/>
  <c r="N199" i="47"/>
  <c r="R461" i="47"/>
  <c r="X52" i="47"/>
  <c r="W73" i="47"/>
  <c r="W85" i="47" s="1"/>
  <c r="W74" i="47"/>
  <c r="W87" i="47" s="1"/>
  <c r="O176" i="47"/>
  <c r="O177" i="47" s="1"/>
  <c r="O130" i="47"/>
  <c r="O12" i="47"/>
  <c r="P13" i="47" s="1"/>
  <c r="O147" i="47"/>
  <c r="X195" i="47"/>
  <c r="W193" i="47"/>
  <c r="N312" i="47"/>
  <c r="O466" i="47"/>
  <c r="O468" i="47" s="1"/>
  <c r="Q117" i="47"/>
  <c r="Q168" i="47" s="1"/>
  <c r="Q119" i="47"/>
  <c r="Q129" i="47" s="1"/>
  <c r="Q80" i="57"/>
  <c r="Q90" i="57" s="1"/>
  <c r="P374" i="47"/>
  <c r="N273" i="47"/>
  <c r="N359" i="47" s="1"/>
  <c r="P216" i="47"/>
  <c r="Q31" i="56"/>
  <c r="Q223" i="56" s="1"/>
  <c r="Q225" i="56" s="1"/>
  <c r="Q447" i="56"/>
  <c r="Q449" i="56" s="1"/>
  <c r="AA168" i="57"/>
  <c r="AA86" i="57"/>
  <c r="T12" i="57"/>
  <c r="U12" i="57" s="1"/>
  <c r="S285" i="92"/>
  <c r="S115" i="92"/>
  <c r="T115" i="92" s="1"/>
  <c r="T454" i="56"/>
  <c r="V204" i="64"/>
  <c r="V322" i="64"/>
  <c r="V334" i="64" s="1"/>
  <c r="V227" i="64" s="1"/>
  <c r="V476" i="64"/>
  <c r="V500" i="64" s="1"/>
  <c r="V153" i="64"/>
  <c r="V368" i="64"/>
  <c r="V369" i="64" s="1"/>
  <c r="G401" i="64" s="1"/>
  <c r="V9" i="57"/>
  <c r="V349" i="64"/>
  <c r="V236" i="64" s="1"/>
  <c r="Y24" i="64"/>
  <c r="X14" i="92"/>
  <c r="X13" i="92" s="1"/>
  <c r="W88" i="56"/>
  <c r="V143" i="56"/>
  <c r="L163" i="56"/>
  <c r="L32" i="56" s="1"/>
  <c r="L241" i="56" s="1"/>
  <c r="O317" i="56"/>
  <c r="O316" i="56" s="1"/>
  <c r="O417" i="56"/>
  <c r="O419" i="56" s="1"/>
  <c r="J579" i="88"/>
  <c r="J593" i="88" s="1"/>
  <c r="K492" i="88"/>
  <c r="K522" i="88" s="1"/>
  <c r="K485" i="88" s="1"/>
  <c r="K237" i="88" s="1"/>
  <c r="K318" i="88" s="1"/>
  <c r="N492" i="88"/>
  <c r="O492" i="88"/>
  <c r="L492" i="88"/>
  <c r="M492" i="88"/>
  <c r="M522" i="88" s="1"/>
  <c r="M485" i="88" s="1"/>
  <c r="M237" i="88" s="1"/>
  <c r="M318" i="88" s="1"/>
  <c r="I279" i="89"/>
  <c r="I281" i="89" s="1"/>
  <c r="I290" i="89"/>
  <c r="I293" i="89" s="1"/>
  <c r="S232" i="80"/>
  <c r="K579" i="88"/>
  <c r="K593" i="88" s="1"/>
  <c r="L544" i="88"/>
  <c r="N152" i="88"/>
  <c r="N150" i="88"/>
  <c r="W92" i="56"/>
  <c r="V144" i="56"/>
  <c r="K150" i="88"/>
  <c r="K443" i="88" s="1"/>
  <c r="K272" i="88" s="1"/>
  <c r="K152" i="88"/>
  <c r="T794" i="90"/>
  <c r="U792" i="90"/>
  <c r="R115" i="88"/>
  <c r="S112" i="88" s="1"/>
  <c r="Y820" i="90"/>
  <c r="Y855" i="90" s="1"/>
  <c r="Y869" i="90" s="1"/>
  <c r="N42" i="72"/>
  <c r="N72" i="72" s="1"/>
  <c r="N15" i="72"/>
  <c r="I10" i="95"/>
  <c r="L23" i="57"/>
  <c r="L31" i="57" s="1"/>
  <c r="L135" i="57"/>
  <c r="K172" i="64"/>
  <c r="K199" i="64"/>
  <c r="O482" i="64"/>
  <c r="O489" i="64"/>
  <c r="O297" i="64" s="1"/>
  <c r="O95" i="57" s="1"/>
  <c r="N71" i="72"/>
  <c r="P530" i="56"/>
  <c r="O565" i="56"/>
  <c r="O579" i="56" s="1"/>
  <c r="U169" i="90"/>
  <c r="T201" i="90"/>
  <c r="U201" i="90" s="1"/>
  <c r="T197" i="90"/>
  <c r="T199" i="90"/>
  <c r="M431" i="56"/>
  <c r="M432" i="56"/>
  <c r="M318" i="56" s="1"/>
  <c r="M427" i="56"/>
  <c r="M305" i="56" s="1"/>
  <c r="M412" i="56"/>
  <c r="M413" i="56"/>
  <c r="M302" i="56" s="1"/>
  <c r="X855" i="90"/>
  <c r="X869" i="90" s="1"/>
  <c r="O40" i="72"/>
  <c r="O42" i="72" s="1"/>
  <c r="P38" i="72"/>
  <c r="H11" i="95"/>
  <c r="I11" i="95" s="1"/>
  <c r="E11" i="95"/>
  <c r="R699" i="90"/>
  <c r="R704" i="90" s="1"/>
  <c r="V689" i="90" s="1"/>
  <c r="Q698" i="90"/>
  <c r="Q704" i="90"/>
  <c r="O234" i="56"/>
  <c r="O269" i="56"/>
  <c r="O399" i="56"/>
  <c r="Z36" i="64"/>
  <c r="Z43" i="64"/>
  <c r="Z47" i="64" s="1"/>
  <c r="Z50" i="64" s="1"/>
  <c r="Z48" i="64" s="1"/>
  <c r="T309" i="90"/>
  <c r="T310" i="90"/>
  <c r="U310" i="90" s="1"/>
  <c r="U304" i="90"/>
  <c r="T306" i="90"/>
  <c r="P300" i="80"/>
  <c r="O299" i="80"/>
  <c r="O298" i="80" s="1"/>
  <c r="N632" i="80"/>
  <c r="N439" i="80" s="1"/>
  <c r="N622" i="80"/>
  <c r="O51" i="72"/>
  <c r="O53" i="72" s="1"/>
  <c r="P47" i="72"/>
  <c r="O16" i="72"/>
  <c r="Q163" i="56"/>
  <c r="T27" i="72"/>
  <c r="T29" i="72" s="1"/>
  <c r="T31" i="72" s="1"/>
  <c r="U27" i="72"/>
  <c r="Q29" i="72"/>
  <c r="Q31" i="72" s="1"/>
  <c r="R31" i="72" s="1"/>
  <c r="T194" i="90"/>
  <c r="U168" i="90"/>
  <c r="T147" i="90"/>
  <c r="U109" i="56"/>
  <c r="U164" i="56"/>
  <c r="V110" i="56"/>
  <c r="S97" i="57"/>
  <c r="S170" i="57" s="1"/>
  <c r="T97" i="57"/>
  <c r="V229" i="56"/>
  <c r="Z154" i="90"/>
  <c r="W11" i="92"/>
  <c r="W100" i="92"/>
  <c r="W127" i="92" s="1"/>
  <c r="L118" i="88"/>
  <c r="L13" i="88" s="1"/>
  <c r="L209" i="88" s="1"/>
  <c r="W236" i="56"/>
  <c r="P717" i="90"/>
  <c r="P718" i="90" s="1"/>
  <c r="Q715" i="90" s="1"/>
  <c r="N306" i="80"/>
  <c r="N339" i="80" s="1"/>
  <c r="S246" i="80"/>
  <c r="S66" i="88"/>
  <c r="R71" i="88"/>
  <c r="R90" i="88" s="1"/>
  <c r="R95" i="88" s="1"/>
  <c r="R114" i="88" s="1"/>
  <c r="M18" i="89"/>
  <c r="M56" i="89"/>
  <c r="M100" i="89"/>
  <c r="M161" i="89"/>
  <c r="M131" i="89"/>
  <c r="M146" i="89"/>
  <c r="Y90" i="56"/>
  <c r="Y145" i="56" s="1"/>
  <c r="X145" i="56"/>
  <c r="I442" i="89"/>
  <c r="I443" i="89" s="1"/>
  <c r="I9" i="89" s="1"/>
  <c r="N451" i="64"/>
  <c r="N454" i="64" s="1"/>
  <c r="M456" i="64"/>
  <c r="M439" i="64"/>
  <c r="M441" i="64" s="1"/>
  <c r="M443" i="64" s="1"/>
  <c r="W197" i="56"/>
  <c r="W13" i="56"/>
  <c r="W198" i="56"/>
  <c r="Q516" i="64"/>
  <c r="Q530" i="64" s="1"/>
  <c r="X455" i="47"/>
  <c r="Y47" i="47"/>
  <c r="Y455" i="47" s="1"/>
  <c r="Q471" i="90"/>
  <c r="R727" i="90"/>
  <c r="Q783" i="90"/>
  <c r="R762" i="90" s="1"/>
  <c r="R776" i="90" s="1"/>
  <c r="Q13" i="79"/>
  <c r="R32" i="79"/>
  <c r="K13" i="88"/>
  <c r="K209" i="88" s="1"/>
  <c r="M182" i="89"/>
  <c r="M184" i="89" s="1"/>
  <c r="I390" i="89"/>
  <c r="J389" i="89" s="1"/>
  <c r="Q204" i="79"/>
  <c r="K320" i="56"/>
  <c r="K326" i="56" s="1"/>
  <c r="L522" i="88"/>
  <c r="L485" i="88" s="1"/>
  <c r="L237" i="88" s="1"/>
  <c r="L318" i="88" s="1"/>
  <c r="I325" i="88"/>
  <c r="I345" i="88" s="1"/>
  <c r="I348" i="88" s="1"/>
  <c r="N533" i="56"/>
  <c r="N323" i="56" s="1"/>
  <c r="Q40" i="57"/>
  <c r="Q75" i="57" s="1"/>
  <c r="Q174" i="57" s="1"/>
  <c r="Q520" i="90"/>
  <c r="U165" i="56"/>
  <c r="V111" i="56"/>
  <c r="X72" i="56"/>
  <c r="X75" i="56" s="1"/>
  <c r="X15" i="56" s="1"/>
  <c r="Y68" i="56"/>
  <c r="Y72" i="56" s="1"/>
  <c r="Y75" i="56" s="1"/>
  <c r="Y15" i="56" s="1"/>
  <c r="O499" i="88"/>
  <c r="O522" i="88" s="1"/>
  <c r="O485" i="88" s="1"/>
  <c r="O237" i="88" s="1"/>
  <c r="O318" i="88" s="1"/>
  <c r="N499" i="88"/>
  <c r="R499" i="88"/>
  <c r="P499" i="88"/>
  <c r="Q499" i="88"/>
  <c r="O480" i="64"/>
  <c r="N483" i="64"/>
  <c r="N249" i="64" s="1"/>
  <c r="Q513" i="47"/>
  <c r="Q548" i="47" s="1"/>
  <c r="Q562" i="47" s="1"/>
  <c r="S457" i="47"/>
  <c r="Z52" i="90"/>
  <c r="Z240" i="90" s="1"/>
  <c r="AA53" i="90"/>
  <c r="T128" i="56"/>
  <c r="T195" i="56"/>
  <c r="T194" i="56" s="1"/>
  <c r="X155" i="56"/>
  <c r="Y104" i="56"/>
  <c r="Y155" i="56" s="1"/>
  <c r="U171" i="90"/>
  <c r="T172" i="90"/>
  <c r="T134" i="90"/>
  <c r="T12" i="90"/>
  <c r="T255" i="90"/>
  <c r="U255" i="90" s="1"/>
  <c r="T256" i="90"/>
  <c r="U256" i="90" s="1"/>
  <c r="U21" i="56"/>
  <c r="U19" i="56" s="1"/>
  <c r="U20" i="56" s="1"/>
  <c r="Y21" i="56"/>
  <c r="Y19" i="56" s="1"/>
  <c r="Y20" i="56" s="1"/>
  <c r="S200" i="79"/>
  <c r="R264" i="79"/>
  <c r="V294" i="56"/>
  <c r="V138" i="56"/>
  <c r="W7" i="56"/>
  <c r="V443" i="56"/>
  <c r="V560" i="56"/>
  <c r="V264" i="56"/>
  <c r="V494" i="56"/>
  <c r="V344" i="56"/>
  <c r="V517" i="56"/>
  <c r="V81" i="56"/>
  <c r="V394" i="56"/>
  <c r="V218" i="56"/>
  <c r="Y14" i="92"/>
  <c r="Z24" i="64"/>
  <c r="V112" i="56"/>
  <c r="U166" i="56"/>
  <c r="U666" i="90"/>
  <c r="T706" i="90"/>
  <c r="U706" i="90" s="1"/>
  <c r="L426" i="64"/>
  <c r="L301" i="64"/>
  <c r="I275" i="88"/>
  <c r="J483" i="88"/>
  <c r="J488" i="88" s="1"/>
  <c r="M308" i="80"/>
  <c r="M310" i="80" s="1"/>
  <c r="M340" i="80" s="1"/>
  <c r="L308" i="80"/>
  <c r="L418" i="80"/>
  <c r="L377" i="80"/>
  <c r="N418" i="80"/>
  <c r="J387" i="89"/>
  <c r="J376" i="89"/>
  <c r="J378" i="89" s="1"/>
  <c r="Z167" i="90"/>
  <c r="Z206" i="90"/>
  <c r="O222" i="88"/>
  <c r="P221" i="88"/>
  <c r="V514" i="47"/>
  <c r="X191" i="90"/>
  <c r="X189" i="90"/>
  <c r="X190" i="90"/>
  <c r="O527" i="80"/>
  <c r="O308" i="80"/>
  <c r="O418" i="80"/>
  <c r="W84" i="92"/>
  <c r="X52" i="92"/>
  <c r="L223" i="56"/>
  <c r="L250" i="56" s="1"/>
  <c r="L526" i="56"/>
  <c r="L550" i="56" s="1"/>
  <c r="L398" i="56"/>
  <c r="L279" i="56"/>
  <c r="M279" i="56"/>
  <c r="Y363" i="56"/>
  <c r="Y365" i="56" s="1"/>
  <c r="X365" i="56"/>
  <c r="N216" i="47"/>
  <c r="O532" i="90"/>
  <c r="O810" i="90" s="1"/>
  <c r="O815" i="90" s="1"/>
  <c r="O829" i="90" s="1"/>
  <c r="N534" i="90"/>
  <c r="O534" i="90" s="1"/>
  <c r="Q429" i="80"/>
  <c r="R522" i="80"/>
  <c r="W17" i="90"/>
  <c r="W20" i="90" s="1"/>
  <c r="W23" i="90"/>
  <c r="L230" i="64"/>
  <c r="L350" i="64"/>
  <c r="L351" i="64" s="1"/>
  <c r="L356" i="64" s="1"/>
  <c r="L278" i="64" s="1"/>
  <c r="I334" i="88"/>
  <c r="Y197" i="90"/>
  <c r="Y198" i="90" s="1"/>
  <c r="Y199" i="90"/>
  <c r="Y200" i="90" s="1"/>
  <c r="Y201" i="90"/>
  <c r="W348" i="92"/>
  <c r="P243" i="47"/>
  <c r="P245" i="47"/>
  <c r="P233" i="47"/>
  <c r="P225" i="47"/>
  <c r="P235" i="47"/>
  <c r="P226" i="47"/>
  <c r="P240" i="47"/>
  <c r="P234" i="47"/>
  <c r="P237" i="47"/>
  <c r="P246" i="47"/>
  <c r="P224" i="47"/>
  <c r="P244" i="47"/>
  <c r="P250" i="47"/>
  <c r="P231" i="47"/>
  <c r="P223" i="47"/>
  <c r="P239" i="47"/>
  <c r="J170" i="89"/>
  <c r="Q153" i="88"/>
  <c r="P154" i="88"/>
  <c r="W710" i="90"/>
  <c r="AC54" i="90"/>
  <c r="N615" i="79"/>
  <c r="N641" i="79" s="1"/>
  <c r="N513" i="79"/>
  <c r="N514" i="79" s="1"/>
  <c r="N463" i="79"/>
  <c r="N497" i="79"/>
  <c r="N498" i="79"/>
  <c r="N149" i="47"/>
  <c r="N218" i="47" s="1"/>
  <c r="N151" i="47"/>
  <c r="N219" i="47" s="1"/>
  <c r="N152" i="47"/>
  <c r="N153" i="47" s="1"/>
  <c r="Q519" i="80"/>
  <c r="Q523" i="80" s="1"/>
  <c r="P376" i="80"/>
  <c r="I596" i="88"/>
  <c r="I600" i="88" s="1"/>
  <c r="R42" i="88"/>
  <c r="Q176" i="88"/>
  <c r="R40" i="57"/>
  <c r="R520" i="90"/>
  <c r="Q61" i="72"/>
  <c r="P63" i="72"/>
  <c r="S341" i="92"/>
  <c r="T341" i="92" s="1"/>
  <c r="Q343" i="92"/>
  <c r="AE55" i="90"/>
  <c r="U406" i="56"/>
  <c r="Q409" i="56"/>
  <c r="T409" i="56" s="1"/>
  <c r="T406" i="56"/>
  <c r="J158" i="89"/>
  <c r="J13" i="89"/>
  <c r="P86" i="88"/>
  <c r="O87" i="88"/>
  <c r="Q706" i="90"/>
  <c r="R666" i="90"/>
  <c r="Q663" i="90"/>
  <c r="X347" i="92"/>
  <c r="W373" i="92"/>
  <c r="Q63" i="92"/>
  <c r="S56" i="92"/>
  <c r="T56" i="92" s="1"/>
  <c r="Q55" i="92"/>
  <c r="Q57" i="92"/>
  <c r="S57" i="92" s="1"/>
  <c r="T57" i="92" s="1"/>
  <c r="M269" i="56"/>
  <c r="M399" i="56"/>
  <c r="M234" i="56"/>
  <c r="K543" i="88"/>
  <c r="K578" i="88" s="1"/>
  <c r="K592" i="88" s="1"/>
  <c r="J546" i="88"/>
  <c r="J287" i="88" s="1"/>
  <c r="P11" i="79"/>
  <c r="P208" i="79"/>
  <c r="P214" i="79" s="1"/>
  <c r="S466" i="92"/>
  <c r="Q470" i="92"/>
  <c r="Q474" i="92" s="1"/>
  <c r="Q293" i="80"/>
  <c r="Q466" i="80" s="1"/>
  <c r="X29" i="56"/>
  <c r="X23" i="56"/>
  <c r="X21" i="56" s="1"/>
  <c r="X19" i="56" s="1"/>
  <c r="X20" i="56" s="1"/>
  <c r="Z795" i="90"/>
  <c r="S111" i="79"/>
  <c r="S110" i="79" s="1"/>
  <c r="R110" i="79"/>
  <c r="AB58" i="90"/>
  <c r="AA57" i="90"/>
  <c r="W99" i="56"/>
  <c r="V148" i="56"/>
  <c r="O65" i="72"/>
  <c r="S131" i="92"/>
  <c r="R33" i="57"/>
  <c r="W20" i="92"/>
  <c r="X18" i="92"/>
  <c r="M465" i="80"/>
  <c r="M499" i="80"/>
  <c r="M617" i="80"/>
  <c r="M643" i="80" s="1"/>
  <c r="M515" i="80"/>
  <c r="M517" i="80" s="1"/>
  <c r="M296" i="80"/>
  <c r="M306" i="80" s="1"/>
  <c r="M500" i="80"/>
  <c r="M386" i="80" s="1"/>
  <c r="R620" i="79"/>
  <c r="Q623" i="79"/>
  <c r="Q389" i="79" s="1"/>
  <c r="W856" i="90"/>
  <c r="W870" i="90" s="1"/>
  <c r="V491" i="90"/>
  <c r="W832" i="90"/>
  <c r="W834" i="90" s="1"/>
  <c r="S514" i="47"/>
  <c r="S549" i="47" s="1"/>
  <c r="S563" i="47" s="1"/>
  <c r="V131" i="92"/>
  <c r="W33" i="57" s="1"/>
  <c r="V237" i="92"/>
  <c r="T19" i="70"/>
  <c r="T31" i="70" s="1"/>
  <c r="T43" i="70" s="1"/>
  <c r="T120" i="70" s="1"/>
  <c r="T59" i="70" s="1"/>
  <c r="U7" i="70"/>
  <c r="M317" i="56"/>
  <c r="M417" i="56"/>
  <c r="V172" i="90"/>
  <c r="V134" i="90"/>
  <c r="V12" i="90"/>
  <c r="V256" i="90"/>
  <c r="V255" i="90"/>
  <c r="V257" i="90"/>
  <c r="V254" i="90"/>
  <c r="T423" i="56"/>
  <c r="U423" i="56"/>
  <c r="V423" i="56" s="1"/>
  <c r="W423" i="56" s="1"/>
  <c r="X423" i="56" s="1"/>
  <c r="Y423" i="56" s="1"/>
  <c r="Q26" i="79"/>
  <c r="Q14" i="79"/>
  <c r="R33" i="79"/>
  <c r="Q212" i="79"/>
  <c r="Q43" i="79"/>
  <c r="Q210" i="79"/>
  <c r="Q25" i="79"/>
  <c r="R725" i="90"/>
  <c r="O28" i="79"/>
  <c r="O289" i="79"/>
  <c r="Y257" i="90"/>
  <c r="Y12" i="90"/>
  <c r="Y256" i="90"/>
  <c r="Y255" i="90"/>
  <c r="Y254" i="90"/>
  <c r="Q479" i="88"/>
  <c r="Q481" i="88" s="1"/>
  <c r="J578" i="88"/>
  <c r="J592" i="88" s="1"/>
  <c r="AC40" i="90"/>
  <c r="AB216" i="90"/>
  <c r="U142" i="56"/>
  <c r="U228" i="56" s="1"/>
  <c r="U414" i="56"/>
  <c r="U303" i="56" s="1"/>
  <c r="V67" i="88"/>
  <c r="U73" i="88"/>
  <c r="X14" i="64"/>
  <c r="X52" i="64"/>
  <c r="O262" i="88"/>
  <c r="P261" i="88"/>
  <c r="R112" i="64"/>
  <c r="O319" i="56"/>
  <c r="O433" i="56"/>
  <c r="Q272" i="79"/>
  <c r="R42" i="79"/>
  <c r="Q23" i="79"/>
  <c r="Q270" i="79" s="1"/>
  <c r="AB125" i="90"/>
  <c r="AA139" i="90"/>
  <c r="AA155" i="90" s="1"/>
  <c r="AA132" i="90"/>
  <c r="X135" i="64"/>
  <c r="X165" i="64" s="1"/>
  <c r="L272" i="56"/>
  <c r="Q678" i="79"/>
  <c r="Q682" i="79" s="1"/>
  <c r="Q310" i="79" s="1"/>
  <c r="Q420" i="79" s="1"/>
  <c r="X131" i="64"/>
  <c r="X159" i="64"/>
  <c r="AB72" i="90"/>
  <c r="R478" i="88"/>
  <c r="S41" i="88"/>
  <c r="R477" i="88"/>
  <c r="V197" i="90"/>
  <c r="V198" i="90" s="1"/>
  <c r="V201" i="90"/>
  <c r="V199" i="90"/>
  <c r="V200" i="90" s="1"/>
  <c r="T576" i="90"/>
  <c r="U562" i="90"/>
  <c r="P780" i="90"/>
  <c r="Q759" i="90" s="1"/>
  <c r="Q773" i="90" s="1"/>
  <c r="Q724" i="90"/>
  <c r="Y427" i="90"/>
  <c r="Y562" i="90"/>
  <c r="Y576" i="90" s="1"/>
  <c r="Y577" i="90" s="1"/>
  <c r="W259" i="90"/>
  <c r="W239" i="90"/>
  <c r="V48" i="47"/>
  <c r="U198" i="47"/>
  <c r="X818" i="90"/>
  <c r="X853" i="90" s="1"/>
  <c r="X867" i="90" s="1"/>
  <c r="Q228" i="56"/>
  <c r="Q426" i="56"/>
  <c r="Q304" i="56" s="1"/>
  <c r="Q181" i="56"/>
  <c r="N146" i="88"/>
  <c r="N443" i="88" s="1"/>
  <c r="N272" i="88" s="1"/>
  <c r="O144" i="88"/>
  <c r="S128" i="79"/>
  <c r="S127" i="79" s="1"/>
  <c r="R127" i="79"/>
  <c r="Z12" i="64"/>
  <c r="Z84" i="64"/>
  <c r="AA293" i="92"/>
  <c r="Z296" i="92"/>
  <c r="O774" i="90"/>
  <c r="N781" i="90"/>
  <c r="O312" i="88"/>
  <c r="N313" i="88"/>
  <c r="V147" i="90"/>
  <c r="V194" i="90"/>
  <c r="V193" i="90" s="1"/>
  <c r="V249" i="90" s="1"/>
  <c r="U9" i="47"/>
  <c r="M195" i="64"/>
  <c r="J321" i="88"/>
  <c r="AA214" i="90"/>
  <c r="AA424" i="90"/>
  <c r="S621" i="79"/>
  <c r="S659" i="79" s="1"/>
  <c r="S675" i="79" s="1"/>
  <c r="Y12" i="64"/>
  <c r="Y84" i="64"/>
  <c r="X327" i="90"/>
  <c r="X347" i="90"/>
  <c r="X322" i="90"/>
  <c r="X337" i="90"/>
  <c r="X352" i="90"/>
  <c r="X332" i="90"/>
  <c r="X342" i="90"/>
  <c r="S357" i="88"/>
  <c r="R358" i="88"/>
  <c r="AB70" i="90"/>
  <c r="P501" i="88"/>
  <c r="Q501" i="88"/>
  <c r="T501" i="88"/>
  <c r="R501" i="88"/>
  <c r="S501" i="88"/>
  <c r="AD69" i="90"/>
  <c r="O519" i="80"/>
  <c r="O523" i="80" s="1"/>
  <c r="O376" i="80" s="1"/>
  <c r="N376" i="80"/>
  <c r="J353" i="89"/>
  <c r="P291" i="79"/>
  <c r="P464" i="79" s="1"/>
  <c r="L426" i="56"/>
  <c r="L228" i="56"/>
  <c r="L227" i="56" s="1"/>
  <c r="R202" i="79"/>
  <c r="S71" i="79"/>
  <c r="S202" i="79" s="1"/>
  <c r="P151" i="88"/>
  <c r="O500" i="80"/>
  <c r="O386" i="80" s="1"/>
  <c r="N386" i="80"/>
  <c r="T251" i="90"/>
  <c r="U251" i="90" s="1"/>
  <c r="U203" i="90"/>
  <c r="O131" i="88"/>
  <c r="P130" i="88"/>
  <c r="U431" i="47"/>
  <c r="V428" i="47"/>
  <c r="Z204" i="90"/>
  <c r="Z205" i="90" s="1"/>
  <c r="P229" i="47"/>
  <c r="S420" i="92"/>
  <c r="T420" i="92" s="1"/>
  <c r="Q210" i="92"/>
  <c r="S210" i="92" s="1"/>
  <c r="T210" i="92" s="1"/>
  <c r="U420" i="92"/>
  <c r="U210" i="92" s="1"/>
  <c r="V417" i="92"/>
  <c r="V452" i="92" s="1"/>
  <c r="V466" i="92" s="1"/>
  <c r="P721" i="90"/>
  <c r="P787" i="90" s="1"/>
  <c r="Q722" i="90"/>
  <c r="P96" i="88"/>
  <c r="O99" i="88"/>
  <c r="O150" i="88" s="1"/>
  <c r="V130" i="56"/>
  <c r="U196" i="56"/>
  <c r="X399" i="90"/>
  <c r="N479" i="80"/>
  <c r="N483" i="80"/>
  <c r="N496" i="80"/>
  <c r="N495" i="80"/>
  <c r="N480" i="80"/>
  <c r="M545" i="88"/>
  <c r="M580" i="88" s="1"/>
  <c r="M594" i="88" s="1"/>
  <c r="P97" i="88"/>
  <c r="O100" i="88"/>
  <c r="Y24" i="90"/>
  <c r="Y26" i="90" s="1"/>
  <c r="Y414" i="90" s="1"/>
  <c r="Y359" i="90"/>
  <c r="Y399" i="90" s="1"/>
  <c r="Y303" i="90"/>
  <c r="Y306" i="90" s="1"/>
  <c r="Y294" i="90" s="1"/>
  <c r="Y319" i="90"/>
  <c r="O383" i="64"/>
  <c r="O387" i="64" s="1"/>
  <c r="N234" i="64"/>
  <c r="R334" i="64"/>
  <c r="R227" i="64" s="1"/>
  <c r="R333" i="64"/>
  <c r="R226" i="64" s="1"/>
  <c r="Q661" i="79"/>
  <c r="Q677" i="79" s="1"/>
  <c r="P388" i="79"/>
  <c r="Q432" i="47"/>
  <c r="Q314" i="47"/>
  <c r="R431" i="47"/>
  <c r="R470" i="90"/>
  <c r="V797" i="90"/>
  <c r="X3" i="57"/>
  <c r="W60" i="57"/>
  <c r="L336" i="64"/>
  <c r="L340" i="64" s="1"/>
  <c r="L341" i="64" s="1"/>
  <c r="L277" i="64" s="1"/>
  <c r="L226" i="64"/>
  <c r="L225" i="64" s="1"/>
  <c r="U537" i="56"/>
  <c r="U539" i="56" s="1"/>
  <c r="U372" i="56" s="1"/>
  <c r="V99" i="57" s="1"/>
  <c r="J280" i="88"/>
  <c r="J284" i="88" s="1"/>
  <c r="Q675" i="90"/>
  <c r="P673" i="90"/>
  <c r="P786" i="90" s="1"/>
  <c r="R150" i="64"/>
  <c r="R191" i="64" s="1"/>
  <c r="R221" i="64" s="1"/>
  <c r="R272" i="64" s="1"/>
  <c r="R320" i="64" s="1"/>
  <c r="R366" i="64" s="1"/>
  <c r="R420" i="64" s="1"/>
  <c r="R469" i="64" s="1"/>
  <c r="R512" i="64" s="1"/>
  <c r="R65" i="64"/>
  <c r="R113" i="64" s="1"/>
  <c r="V9" i="64"/>
  <c r="U9" i="64"/>
  <c r="O454" i="88"/>
  <c r="N457" i="88"/>
  <c r="N458" i="88" s="1"/>
  <c r="N459" i="88" s="1"/>
  <c r="P149" i="88"/>
  <c r="X572" i="56"/>
  <c r="Y522" i="64"/>
  <c r="X574" i="56"/>
  <c r="R15" i="4"/>
  <c r="L296" i="80"/>
  <c r="L306" i="80" s="1"/>
  <c r="L465" i="80"/>
  <c r="L515" i="80"/>
  <c r="L517" i="80" s="1"/>
  <c r="L617" i="80"/>
  <c r="L643" i="80" s="1"/>
  <c r="L500" i="80"/>
  <c r="L386" i="80" s="1"/>
  <c r="L499" i="80"/>
  <c r="S528" i="80"/>
  <c r="S567" i="80" s="1"/>
  <c r="R567" i="80"/>
  <c r="V674" i="90"/>
  <c r="W819" i="90"/>
  <c r="W854" i="90" s="1"/>
  <c r="W868" i="90" s="1"/>
  <c r="Y40" i="64"/>
  <c r="X44" i="64"/>
  <c r="X20" i="64" s="1"/>
  <c r="N387" i="80"/>
  <c r="O499" i="80"/>
  <c r="N501" i="80"/>
  <c r="W726" i="90"/>
  <c r="U108" i="92"/>
  <c r="U151" i="92"/>
  <c r="U56" i="92"/>
  <c r="U181" i="92"/>
  <c r="U281" i="92"/>
  <c r="U447" i="92"/>
  <c r="U45" i="92"/>
  <c r="U79" i="92"/>
  <c r="U381" i="92"/>
  <c r="U404" i="92"/>
  <c r="V7" i="92"/>
  <c r="U231" i="92"/>
  <c r="U330" i="92"/>
  <c r="W481" i="64"/>
  <c r="P378" i="64"/>
  <c r="P381" i="64" s="1"/>
  <c r="O235" i="64"/>
  <c r="Z241" i="90"/>
  <c r="Z243" i="90"/>
  <c r="U452" i="92"/>
  <c r="U466" i="92" s="1"/>
  <c r="K415" i="56"/>
  <c r="K419" i="56" s="1"/>
  <c r="K420" i="56" s="1"/>
  <c r="K351" i="56" s="1"/>
  <c r="K353" i="56" s="1"/>
  <c r="L580" i="88"/>
  <c r="L594" i="88" s="1"/>
  <c r="V251" i="90"/>
  <c r="P74" i="88"/>
  <c r="P72" i="88"/>
  <c r="Q68" i="88"/>
  <c r="R16" i="79"/>
  <c r="S35" i="79"/>
  <c r="T109" i="56"/>
  <c r="T164" i="56"/>
  <c r="T163" i="56" s="1"/>
  <c r="W53" i="64"/>
  <c r="W51" i="64" s="1"/>
  <c r="W152" i="64" s="1"/>
  <c r="W22" i="64"/>
  <c r="O575" i="56"/>
  <c r="P575" i="56" s="1"/>
  <c r="N582" i="56"/>
  <c r="W723" i="90"/>
  <c r="P435" i="47"/>
  <c r="P323" i="47" s="1"/>
  <c r="P434" i="47"/>
  <c r="P426" i="88"/>
  <c r="O427" i="88"/>
  <c r="AB77" i="90"/>
  <c r="AA236" i="90"/>
  <c r="V186" i="56"/>
  <c r="V212" i="56" s="1"/>
  <c r="V213" i="56" s="1"/>
  <c r="V854" i="90"/>
  <c r="V868" i="90" s="1"/>
  <c r="V871" i="90" s="1"/>
  <c r="V875" i="90" s="1"/>
  <c r="V434" i="90" s="1"/>
  <c r="P472" i="88"/>
  <c r="O473" i="88"/>
  <c r="R114" i="79"/>
  <c r="S115" i="79"/>
  <c r="S114" i="79" s="1"/>
  <c r="Y106" i="56"/>
  <c r="Y157" i="56" s="1"/>
  <c r="X157" i="56"/>
  <c r="AC64" i="90"/>
  <c r="R660" i="79"/>
  <c r="R676" i="79" s="1"/>
  <c r="R622" i="79"/>
  <c r="X212" i="90"/>
  <c r="X235" i="90"/>
  <c r="X124" i="70"/>
  <c r="AA18" i="90"/>
  <c r="S26" i="80"/>
  <c r="S234" i="80"/>
  <c r="S18" i="80"/>
  <c r="S25" i="80"/>
  <c r="S51" i="64"/>
  <c r="T51" i="64" s="1"/>
  <c r="U152" i="64"/>
  <c r="AF67" i="90"/>
  <c r="O76" i="88"/>
  <c r="O432" i="90"/>
  <c r="N515" i="90"/>
  <c r="N437" i="90"/>
  <c r="W664" i="90"/>
  <c r="L185" i="47"/>
  <c r="L227" i="47" s="1"/>
  <c r="L277" i="47" s="1"/>
  <c r="L218" i="47"/>
  <c r="X210" i="90"/>
  <c r="X211" i="90" s="1"/>
  <c r="X253" i="90" s="1"/>
  <c r="X136" i="90"/>
  <c r="R665" i="90"/>
  <c r="R678" i="90"/>
  <c r="AB76" i="90"/>
  <c r="Z359" i="90"/>
  <c r="Z399" i="90" s="1"/>
  <c r="Z319" i="90"/>
  <c r="Z303" i="90"/>
  <c r="Z24" i="90"/>
  <c r="Z26" i="90" s="1"/>
  <c r="Z414" i="90" s="1"/>
  <c r="P771" i="90"/>
  <c r="P778" i="90" s="1"/>
  <c r="R230" i="80"/>
  <c r="R236" i="80" s="1"/>
  <c r="R11" i="80"/>
  <c r="Q291" i="80"/>
  <c r="Q28" i="80"/>
  <c r="T187" i="88"/>
  <c r="U186" i="88"/>
  <c r="J462" i="88"/>
  <c r="J463" i="88" s="1"/>
  <c r="J464" i="88" s="1"/>
  <c r="J320" i="88" s="1"/>
  <c r="J325" i="88" s="1"/>
  <c r="W167" i="57"/>
  <c r="AA167" i="57" s="1"/>
  <c r="P531" i="88"/>
  <c r="O532" i="88"/>
  <c r="R198" i="79"/>
  <c r="R297" i="79"/>
  <c r="Q296" i="79"/>
  <c r="R34" i="79"/>
  <c r="R222" i="79" s="1"/>
  <c r="Q15" i="79"/>
  <c r="Q218" i="79" s="1"/>
  <c r="Q220" i="79"/>
  <c r="Y204" i="56"/>
  <c r="Y205" i="56"/>
  <c r="L220" i="47"/>
  <c r="L419" i="47"/>
  <c r="Z37" i="64"/>
  <c r="V639" i="90"/>
  <c r="X21" i="90"/>
  <c r="X16" i="90"/>
  <c r="H266" i="88"/>
  <c r="H273" i="88" s="1"/>
  <c r="H277" i="88" s="1"/>
  <c r="H300" i="88" s="1"/>
  <c r="I347" i="88"/>
  <c r="I537" i="88" s="1"/>
  <c r="H564" i="88"/>
  <c r="I582" i="88" s="1"/>
  <c r="J602" i="88" s="1"/>
  <c r="J604" i="88" s="1"/>
  <c r="S21" i="79"/>
  <c r="S258" i="79" s="1"/>
  <c r="S260" i="79"/>
  <c r="O779" i="90"/>
  <c r="P758" i="90" s="1"/>
  <c r="P772" i="90" s="1"/>
  <c r="P428" i="80"/>
  <c r="P432" i="80" s="1"/>
  <c r="P526" i="80"/>
  <c r="P529" i="80" s="1"/>
  <c r="F543" i="80"/>
  <c r="O309" i="56"/>
  <c r="P458" i="56"/>
  <c r="P461" i="56" s="1"/>
  <c r="L538" i="89"/>
  <c r="L539" i="89" s="1"/>
  <c r="L7" i="89"/>
  <c r="U20" i="57" s="1"/>
  <c r="O296" i="80"/>
  <c r="O465" i="80"/>
  <c r="O495" i="80" s="1"/>
  <c r="O617" i="80"/>
  <c r="O643" i="80" s="1"/>
  <c r="O515" i="80"/>
  <c r="O517" i="80" s="1"/>
  <c r="P573" i="88"/>
  <c r="O574" i="88"/>
  <c r="J34" i="56"/>
  <c r="J241" i="56"/>
  <c r="T244" i="90"/>
  <c r="U244" i="90" s="1"/>
  <c r="U242" i="90"/>
  <c r="P374" i="79"/>
  <c r="Q517" i="79"/>
  <c r="Q521" i="79" s="1"/>
  <c r="T254" i="90"/>
  <c r="U254" i="90" s="1"/>
  <c r="U214" i="90"/>
  <c r="S80" i="57"/>
  <c r="S90" i="57" s="1"/>
  <c r="R374" i="47"/>
  <c r="AA419" i="92"/>
  <c r="M527" i="80"/>
  <c r="M529" i="80" s="1"/>
  <c r="N525" i="80" s="1"/>
  <c r="R161" i="80"/>
  <c r="R252" i="80" s="1"/>
  <c r="R256" i="80" s="1"/>
  <c r="Q194" i="56"/>
  <c r="Q32" i="56" s="1"/>
  <c r="Q241" i="56" s="1"/>
  <c r="X196" i="90"/>
  <c r="X250" i="90" s="1"/>
  <c r="N770" i="90"/>
  <c r="N788" i="90" s="1"/>
  <c r="N475" i="90" s="1"/>
  <c r="J557" i="88"/>
  <c r="J559" i="88" s="1"/>
  <c r="J581" i="88"/>
  <c r="J595" i="88" s="1"/>
  <c r="I286" i="88"/>
  <c r="I290" i="88" s="1"/>
  <c r="I298" i="88" s="1"/>
  <c r="P659" i="80"/>
  <c r="P675" i="80" s="1"/>
  <c r="Q19" i="79"/>
  <c r="Q238" i="79" s="1"/>
  <c r="Q244" i="79" s="1"/>
  <c r="R55" i="79"/>
  <c r="P151" i="47"/>
  <c r="P219" i="47" s="1"/>
  <c r="P152" i="47"/>
  <c r="P153" i="47" s="1"/>
  <c r="P149" i="47"/>
  <c r="S198" i="79"/>
  <c r="U195" i="56"/>
  <c r="V129" i="56"/>
  <c r="U128" i="56"/>
  <c r="H336" i="88"/>
  <c r="H361" i="88"/>
  <c r="H362" i="88" s="1"/>
  <c r="H535" i="88"/>
  <c r="H540" i="88" s="1"/>
  <c r="H554" i="88" s="1"/>
  <c r="H561" i="88" s="1"/>
  <c r="X59" i="72"/>
  <c r="W17" i="72"/>
  <c r="U680" i="90"/>
  <c r="T665" i="90"/>
  <c r="T678" i="90"/>
  <c r="U678" i="90" s="1"/>
  <c r="T675" i="90"/>
  <c r="M8" i="57"/>
  <c r="M6" i="57" s="1"/>
  <c r="M135" i="57" s="1"/>
  <c r="L449" i="56"/>
  <c r="W424" i="92"/>
  <c r="W426" i="92" s="1"/>
  <c r="W259" i="92" s="1"/>
  <c r="X97" i="57" s="1"/>
  <c r="V453" i="92"/>
  <c r="V467" i="92" s="1"/>
  <c r="N545" i="90"/>
  <c r="O542" i="90"/>
  <c r="R520" i="79"/>
  <c r="Q427" i="79"/>
  <c r="W156" i="64"/>
  <c r="N527" i="80"/>
  <c r="S161" i="80"/>
  <c r="S252" i="80" s="1"/>
  <c r="S256" i="80" s="1"/>
  <c r="P224" i="79"/>
  <c r="K421" i="80"/>
  <c r="K425" i="80" s="1"/>
  <c r="W22" i="90"/>
  <c r="Z454" i="92"/>
  <c r="Z468" i="92" s="1"/>
  <c r="V19" i="56"/>
  <c r="V20" i="56" s="1"/>
  <c r="V12" i="56"/>
  <c r="V11" i="56" s="1"/>
  <c r="V197" i="64"/>
  <c r="W12" i="56"/>
  <c r="W19" i="56"/>
  <c r="W20" i="56" s="1"/>
  <c r="Q168" i="64"/>
  <c r="Q195" i="64"/>
  <c r="Z82" i="64"/>
  <c r="Z129" i="64" s="1"/>
  <c r="Y129" i="64"/>
  <c r="M336" i="64"/>
  <c r="M340" i="64" s="1"/>
  <c r="M226" i="64"/>
  <c r="M225" i="64" s="1"/>
  <c r="Q437" i="92"/>
  <c r="S437" i="92" s="1"/>
  <c r="T437" i="92" s="1"/>
  <c r="Z79" i="64"/>
  <c r="Z126" i="64" s="1"/>
  <c r="Y126" i="64"/>
  <c r="L158" i="89"/>
  <c r="Z81" i="64"/>
  <c r="Z128" i="64" s="1"/>
  <c r="Y128" i="64"/>
  <c r="X139" i="64"/>
  <c r="X157" i="64" s="1"/>
  <c r="Y88" i="64"/>
  <c r="W193" i="56"/>
  <c r="X126" i="56"/>
  <c r="X123" i="56"/>
  <c r="W192" i="56"/>
  <c r="Y176" i="56"/>
  <c r="Y239" i="56" s="1"/>
  <c r="X239" i="56"/>
  <c r="X121" i="56"/>
  <c r="W190" i="56"/>
  <c r="M478" i="79"/>
  <c r="M368" i="79" s="1"/>
  <c r="M456" i="89"/>
  <c r="P315" i="92"/>
  <c r="P197" i="92" s="1"/>
  <c r="P300" i="92"/>
  <c r="P189" i="92" s="1"/>
  <c r="P318" i="92"/>
  <c r="P319" i="92"/>
  <c r="P205" i="92" s="1"/>
  <c r="P203" i="92" s="1"/>
  <c r="P314" i="92"/>
  <c r="P299" i="92"/>
  <c r="L170" i="89"/>
  <c r="W166" i="64"/>
  <c r="W164" i="64" s="1"/>
  <c r="X102" i="64"/>
  <c r="W71" i="64"/>
  <c r="V118" i="64"/>
  <c r="X122" i="56"/>
  <c r="W191" i="56"/>
  <c r="Y97" i="56"/>
  <c r="Y149" i="56" s="1"/>
  <c r="X149" i="56"/>
  <c r="R120" i="64"/>
  <c r="R116" i="64" s="1"/>
  <c r="V73" i="64"/>
  <c r="S128" i="92"/>
  <c r="T128" i="92" s="1"/>
  <c r="Q123" i="92"/>
  <c r="W189" i="56"/>
  <c r="X120" i="56"/>
  <c r="V319" i="92"/>
  <c r="V205" i="92" s="1"/>
  <c r="V203" i="92" s="1"/>
  <c r="V300" i="92"/>
  <c r="V189" i="92" s="1"/>
  <c r="V314" i="92"/>
  <c r="V299" i="92"/>
  <c r="V318" i="92"/>
  <c r="V315" i="92"/>
  <c r="V197" i="92" s="1"/>
  <c r="Q132" i="57"/>
  <c r="U319" i="92"/>
  <c r="U205" i="92" s="1"/>
  <c r="U203" i="92" s="1"/>
  <c r="U299" i="92"/>
  <c r="U314" i="92"/>
  <c r="U315" i="92"/>
  <c r="U197" i="92" s="1"/>
  <c r="U300" i="92"/>
  <c r="U189" i="92" s="1"/>
  <c r="U318" i="92"/>
  <c r="K173" i="89"/>
  <c r="Y121" i="64"/>
  <c r="Z74" i="64"/>
  <c r="Z121" i="64" s="1"/>
  <c r="P138" i="92"/>
  <c r="P236" i="92"/>
  <c r="AE99" i="92"/>
  <c r="AE126" i="92" s="1"/>
  <c r="O335" i="64"/>
  <c r="O337" i="64"/>
  <c r="O352" i="64"/>
  <c r="X119" i="64"/>
  <c r="Y72" i="64"/>
  <c r="M199" i="64"/>
  <c r="M327" i="64"/>
  <c r="M344" i="64"/>
  <c r="M328" i="64"/>
  <c r="P352" i="64"/>
  <c r="P335" i="64"/>
  <c r="P337" i="64"/>
  <c r="X117" i="64"/>
  <c r="Y70" i="64"/>
  <c r="Y208" i="56"/>
  <c r="X232" i="56"/>
  <c r="X200" i="56"/>
  <c r="AG15" i="92"/>
  <c r="AG12" i="92" s="1"/>
  <c r="AF12" i="92"/>
  <c r="H456" i="89"/>
  <c r="H447" i="89"/>
  <c r="I543" i="89"/>
  <c r="I552" i="89"/>
  <c r="Y93" i="56"/>
  <c r="M528" i="89"/>
  <c r="M537" i="89" s="1"/>
  <c r="M544" i="89"/>
  <c r="M559" i="89" s="1"/>
  <c r="W96" i="64"/>
  <c r="W133" i="64" s="1"/>
  <c r="W353" i="64" s="1"/>
  <c r="W244" i="64" s="1"/>
  <c r="X98" i="64"/>
  <c r="W99" i="64"/>
  <c r="U116" i="64"/>
  <c r="W188" i="56"/>
  <c r="X119" i="56"/>
  <c r="Y171" i="56"/>
  <c r="X238" i="56"/>
  <c r="H463" i="89"/>
  <c r="S31" i="56"/>
  <c r="S34" i="56" s="1"/>
  <c r="S222" i="56"/>
  <c r="T8" i="57" s="1"/>
  <c r="T11" i="56"/>
  <c r="I193" i="89"/>
  <c r="L193" i="89"/>
  <c r="Q398" i="56"/>
  <c r="R8" i="57"/>
  <c r="Q526" i="56"/>
  <c r="Q550" i="56" s="1"/>
  <c r="Q272" i="56"/>
  <c r="AA171" i="57"/>
  <c r="Z75" i="64"/>
  <c r="Z122" i="64" s="1"/>
  <c r="Y122" i="64"/>
  <c r="X94" i="56"/>
  <c r="X147" i="56" s="1"/>
  <c r="I14" i="89"/>
  <c r="R51" i="57" s="1"/>
  <c r="I173" i="89"/>
  <c r="I30" i="89" s="1"/>
  <c r="W187" i="56"/>
  <c r="X118" i="56"/>
  <c r="Y78" i="64"/>
  <c r="X125" i="64"/>
  <c r="X124" i="64" s="1"/>
  <c r="P417" i="56"/>
  <c r="P317" i="56"/>
  <c r="N195" i="64"/>
  <c r="N168" i="64"/>
  <c r="Y95" i="56"/>
  <c r="Z66" i="64" s="1"/>
  <c r="Y66" i="64"/>
  <c r="X100" i="64"/>
  <c r="W101" i="64"/>
  <c r="P399" i="56"/>
  <c r="N399" i="56"/>
  <c r="N335" i="64"/>
  <c r="N337" i="64"/>
  <c r="N352" i="64"/>
  <c r="H528" i="89"/>
  <c r="H537" i="89" s="1"/>
  <c r="H538" i="89" s="1"/>
  <c r="H539" i="89" s="1"/>
  <c r="H544" i="89"/>
  <c r="H559" i="89" s="1"/>
  <c r="Y127" i="64"/>
  <c r="Z80" i="64"/>
  <c r="Z127" i="64" s="1"/>
  <c r="Z91" i="64"/>
  <c r="Z135" i="64" s="1"/>
  <c r="Z165" i="64" s="1"/>
  <c r="Y135" i="64"/>
  <c r="Y165" i="64" s="1"/>
  <c r="M270" i="89"/>
  <c r="Q335" i="64"/>
  <c r="Q337" i="64"/>
  <c r="Q352" i="64"/>
  <c r="N317" i="56"/>
  <c r="N417" i="56"/>
  <c r="Y150" i="56"/>
  <c r="Y152" i="56" s="1"/>
  <c r="X152" i="56"/>
  <c r="Z87" i="64"/>
  <c r="Z138" i="64" s="1"/>
  <c r="M499" i="79"/>
  <c r="M385" i="79"/>
  <c r="U189" i="47"/>
  <c r="R189" i="47"/>
  <c r="N324" i="47"/>
  <c r="N436" i="47"/>
  <c r="AA104" i="57"/>
  <c r="O173" i="88"/>
  <c r="P173" i="88" s="1"/>
  <c r="Q173" i="88" s="1"/>
  <c r="L324" i="47"/>
  <c r="L436" i="47"/>
  <c r="Y163" i="47"/>
  <c r="L451" i="56"/>
  <c r="L456" i="56" s="1"/>
  <c r="L308" i="56" s="1"/>
  <c r="O29" i="88"/>
  <c r="P28" i="88"/>
  <c r="Q160" i="88"/>
  <c r="P232" i="88"/>
  <c r="M369" i="79"/>
  <c r="J23" i="89" l="1"/>
  <c r="J27" i="89" s="1"/>
  <c r="L465" i="89"/>
  <c r="L472" i="89" s="1"/>
  <c r="L474" i="89" s="1"/>
  <c r="L449" i="89"/>
  <c r="Y250" i="92"/>
  <c r="X252" i="92"/>
  <c r="V36" i="72"/>
  <c r="U37" i="72"/>
  <c r="T227" i="56"/>
  <c r="T399" i="56" s="1"/>
  <c r="Q350" i="56"/>
  <c r="T350" i="56"/>
  <c r="N34" i="56"/>
  <c r="V460" i="56"/>
  <c r="U486" i="56"/>
  <c r="T317" i="56"/>
  <c r="L34" i="56"/>
  <c r="M372" i="64"/>
  <c r="L408" i="64"/>
  <c r="L409" i="64" s="1"/>
  <c r="M374" i="64"/>
  <c r="P22" i="64"/>
  <c r="P53" i="64"/>
  <c r="P51" i="64" s="1"/>
  <c r="P152" i="64" s="1"/>
  <c r="M32" i="57"/>
  <c r="M66" i="57" s="1"/>
  <c r="N230" i="64"/>
  <c r="N350" i="64"/>
  <c r="N351" i="64" s="1"/>
  <c r="M276" i="64"/>
  <c r="N390" i="64"/>
  <c r="N407" i="64" s="1"/>
  <c r="N418" i="64"/>
  <c r="N467" i="64" s="1"/>
  <c r="N510" i="64" s="1"/>
  <c r="O322" i="64"/>
  <c r="O204" i="64"/>
  <c r="O368" i="64"/>
  <c r="O370" i="64" s="1"/>
  <c r="O194" i="64"/>
  <c r="O153" i="64"/>
  <c r="O9" i="57"/>
  <c r="O162" i="64"/>
  <c r="O476" i="64"/>
  <c r="O500" i="64" s="1"/>
  <c r="O197" i="64"/>
  <c r="O348" i="64"/>
  <c r="O349" i="64"/>
  <c r="O236" i="64" s="1"/>
  <c r="N333" i="64"/>
  <c r="N226" i="64" s="1"/>
  <c r="N225" i="64" s="1"/>
  <c r="N334" i="64"/>
  <c r="N227" i="64" s="1"/>
  <c r="P7" i="64"/>
  <c r="O63" i="64"/>
  <c r="O111" i="64" s="1"/>
  <c r="O148" i="64"/>
  <c r="O189" i="64" s="1"/>
  <c r="O219" i="64" s="1"/>
  <c r="O270" i="64" s="1"/>
  <c r="O318" i="64" s="1"/>
  <c r="O364" i="64" s="1"/>
  <c r="R9" i="47"/>
  <c r="Q260" i="47"/>
  <c r="X453" i="47"/>
  <c r="R490" i="47"/>
  <c r="R273" i="47" s="1"/>
  <c r="R359" i="47" s="1"/>
  <c r="R131" i="57"/>
  <c r="Q318" i="92"/>
  <c r="Q225" i="64"/>
  <c r="O532" i="56"/>
  <c r="O567" i="56" s="1"/>
  <c r="O581" i="56" s="1"/>
  <c r="X169" i="56"/>
  <c r="X154" i="56"/>
  <c r="O320" i="56"/>
  <c r="M494" i="79"/>
  <c r="M376" i="79" s="1"/>
  <c r="M477" i="79"/>
  <c r="M367" i="79" s="1"/>
  <c r="M481" i="79"/>
  <c r="M482" i="79" s="1"/>
  <c r="O306" i="80"/>
  <c r="L310" i="80"/>
  <c r="L417" i="80" s="1"/>
  <c r="Q623" i="80"/>
  <c r="P625" i="80"/>
  <c r="P391" i="80" s="1"/>
  <c r="P394" i="80" s="1"/>
  <c r="P680" i="80"/>
  <c r="P684" i="80" s="1"/>
  <c r="P312" i="80" s="1"/>
  <c r="P422" i="80" s="1"/>
  <c r="V333" i="64"/>
  <c r="V226" i="64" s="1"/>
  <c r="V225" i="64" s="1"/>
  <c r="W11" i="56"/>
  <c r="W31" i="56" s="1"/>
  <c r="W223" i="56" s="1"/>
  <c r="N782" i="90"/>
  <c r="Y45" i="47"/>
  <c r="Y453" i="47" s="1"/>
  <c r="M177" i="47"/>
  <c r="R165" i="57"/>
  <c r="L483" i="89"/>
  <c r="L486" i="89" s="1"/>
  <c r="M538" i="89"/>
  <c r="M539" i="89" s="1"/>
  <c r="M543" i="89" s="1"/>
  <c r="M545" i="89" s="1"/>
  <c r="Q314" i="92"/>
  <c r="Q315" i="92"/>
  <c r="Q197" i="92" s="1"/>
  <c r="S197" i="92" s="1"/>
  <c r="T197" i="92" s="1"/>
  <c r="Q300" i="92"/>
  <c r="L195" i="64"/>
  <c r="Q299" i="92"/>
  <c r="Q188" i="92" s="1"/>
  <c r="M341" i="64"/>
  <c r="M277" i="64" s="1"/>
  <c r="L376" i="89"/>
  <c r="L378" i="89" s="1"/>
  <c r="L387" i="89"/>
  <c r="L390" i="89" s="1"/>
  <c r="V286" i="64"/>
  <c r="W457" i="47"/>
  <c r="W458" i="47" s="1"/>
  <c r="Q433" i="47"/>
  <c r="P420" i="47"/>
  <c r="P306" i="47" s="1"/>
  <c r="U458" i="47"/>
  <c r="U461" i="47" s="1"/>
  <c r="V457" i="47"/>
  <c r="N420" i="47"/>
  <c r="N306" i="47" s="1"/>
  <c r="R12" i="47"/>
  <c r="R15" i="47" s="1"/>
  <c r="M434" i="47"/>
  <c r="M324" i="47" s="1"/>
  <c r="R130" i="47"/>
  <c r="R149" i="47" s="1"/>
  <c r="Q490" i="47"/>
  <c r="Q462" i="47" s="1"/>
  <c r="V456" i="47"/>
  <c r="R177" i="47"/>
  <c r="N583" i="56"/>
  <c r="N587" i="56" s="1"/>
  <c r="N248" i="56" s="1"/>
  <c r="N354" i="56" s="1"/>
  <c r="U194" i="56"/>
  <c r="M29" i="57"/>
  <c r="U12" i="56"/>
  <c r="U11" i="56" s="1"/>
  <c r="U31" i="56" s="1"/>
  <c r="U223" i="56" s="1"/>
  <c r="U163" i="56"/>
  <c r="U32" i="56" s="1"/>
  <c r="U241" i="56" s="1"/>
  <c r="N272" i="56"/>
  <c r="N279" i="56"/>
  <c r="O279" i="56"/>
  <c r="N223" i="56"/>
  <c r="N526" i="56"/>
  <c r="N550" i="56" s="1"/>
  <c r="N398" i="56"/>
  <c r="O8" i="57"/>
  <c r="Y240" i="56"/>
  <c r="T32" i="56"/>
  <c r="T241" i="56" s="1"/>
  <c r="R241" i="56" s="1"/>
  <c r="S241" i="56" s="1"/>
  <c r="L71" i="57"/>
  <c r="P222" i="56"/>
  <c r="P447" i="56"/>
  <c r="P449" i="56" s="1"/>
  <c r="P31" i="56"/>
  <c r="P223" i="56" s="1"/>
  <c r="L172" i="64"/>
  <c r="L275" i="64" s="1"/>
  <c r="L279" i="64" s="1"/>
  <c r="P547" i="47"/>
  <c r="P561" i="47" s="1"/>
  <c r="R80" i="57"/>
  <c r="R90" i="57" s="1"/>
  <c r="M333" i="79"/>
  <c r="V707" i="90"/>
  <c r="W692" i="90" s="1"/>
  <c r="W702" i="90" s="1"/>
  <c r="Y172" i="90"/>
  <c r="Y235" i="90" s="1"/>
  <c r="W188" i="90"/>
  <c r="W247" i="90" s="1"/>
  <c r="W258" i="90" s="1"/>
  <c r="W260" i="90" s="1"/>
  <c r="Y194" i="90"/>
  <c r="Y193" i="90" s="1"/>
  <c r="Y249" i="90" s="1"/>
  <c r="W871" i="90"/>
  <c r="W875" i="90" s="1"/>
  <c r="W434" i="90" s="1"/>
  <c r="N310" i="80"/>
  <c r="N417" i="80" s="1"/>
  <c r="N347" i="80"/>
  <c r="L249" i="89"/>
  <c r="L250" i="89" s="1"/>
  <c r="L9" i="89" s="1"/>
  <c r="L6" i="89"/>
  <c r="K249" i="89"/>
  <c r="K250" i="89" s="1"/>
  <c r="K6" i="89"/>
  <c r="T13" i="57" s="1"/>
  <c r="J255" i="89"/>
  <c r="J270" i="89" s="1"/>
  <c r="J272" i="89" s="1"/>
  <c r="J256" i="89"/>
  <c r="Z242" i="90"/>
  <c r="Z244" i="90" s="1"/>
  <c r="Z417" i="90"/>
  <c r="Q703" i="90"/>
  <c r="X188" i="90"/>
  <c r="X248" i="90" s="1"/>
  <c r="V699" i="90"/>
  <c r="V704" i="90" s="1"/>
  <c r="W689" i="90" s="1"/>
  <c r="R235" i="90"/>
  <c r="R212" i="90"/>
  <c r="R189" i="90"/>
  <c r="R191" i="90"/>
  <c r="R190" i="90"/>
  <c r="U667" i="90"/>
  <c r="T707" i="90"/>
  <c r="U707" i="90" s="1"/>
  <c r="R698" i="90"/>
  <c r="U875" i="90"/>
  <c r="T434" i="90"/>
  <c r="R311" i="90"/>
  <c r="R295" i="90" s="1"/>
  <c r="R136" i="90"/>
  <c r="R210" i="90"/>
  <c r="R211" i="90" s="1"/>
  <c r="R253" i="90" s="1"/>
  <c r="Y196" i="90"/>
  <c r="Y250" i="90" s="1"/>
  <c r="R196" i="90"/>
  <c r="R250" i="90" s="1"/>
  <c r="X512" i="90"/>
  <c r="W558" i="90"/>
  <c r="R17" i="90"/>
  <c r="R20" i="90" s="1"/>
  <c r="R21" i="90" s="1"/>
  <c r="R22" i="90" s="1"/>
  <c r="L311" i="47"/>
  <c r="M460" i="47"/>
  <c r="M465" i="47" s="1"/>
  <c r="N460" i="47" s="1"/>
  <c r="N465" i="47" s="1"/>
  <c r="O460" i="47" s="1"/>
  <c r="O465" i="47" s="1"/>
  <c r="S458" i="47"/>
  <c r="S370" i="47" s="1"/>
  <c r="R512" i="47"/>
  <c r="R547" i="47" s="1"/>
  <c r="R561" i="47" s="1"/>
  <c r="Q512" i="47"/>
  <c r="Q547" i="47" s="1"/>
  <c r="Q561" i="47" s="1"/>
  <c r="P139" i="47"/>
  <c r="P211" i="47" s="1"/>
  <c r="P258" i="47"/>
  <c r="Q7" i="47"/>
  <c r="L405" i="47"/>
  <c r="S12" i="47"/>
  <c r="S177" i="47"/>
  <c r="S130" i="47"/>
  <c r="S147" i="47"/>
  <c r="S170" i="47"/>
  <c r="S173" i="47"/>
  <c r="S174" i="47" s="1"/>
  <c r="M170" i="47"/>
  <c r="N200" i="47"/>
  <c r="N201" i="47" s="1"/>
  <c r="L201" i="47"/>
  <c r="Q170" i="47"/>
  <c r="U168" i="47"/>
  <c r="V168" i="47" s="1"/>
  <c r="W168" i="47" s="1"/>
  <c r="X168" i="47" s="1"/>
  <c r="L422" i="47"/>
  <c r="L322" i="47" s="1"/>
  <c r="L321" i="47" s="1"/>
  <c r="L325" i="47" s="1"/>
  <c r="P466" i="47"/>
  <c r="P468" i="47" s="1"/>
  <c r="O312" i="47"/>
  <c r="P236" i="47"/>
  <c r="P268" i="47" s="1"/>
  <c r="W107" i="47"/>
  <c r="W93" i="47"/>
  <c r="W165" i="47" s="1"/>
  <c r="W179" i="47"/>
  <c r="Q353" i="47"/>
  <c r="Q400" i="47" s="1"/>
  <c r="Q446" i="47" s="1"/>
  <c r="Q500" i="47" s="1"/>
  <c r="Q542" i="47" s="1"/>
  <c r="R297" i="47"/>
  <c r="U297" i="47"/>
  <c r="L136" i="57"/>
  <c r="Q173" i="47"/>
  <c r="O11" i="47"/>
  <c r="O15" i="47"/>
  <c r="O216" i="47" s="1"/>
  <c r="O13" i="47"/>
  <c r="O243" i="47"/>
  <c r="U117" i="47"/>
  <c r="U119" i="47"/>
  <c r="U129" i="47" s="1"/>
  <c r="O420" i="47"/>
  <c r="O306" i="47" s="1"/>
  <c r="Y195" i="47"/>
  <c r="Y193" i="47" s="1"/>
  <c r="X193" i="47"/>
  <c r="Y52" i="47"/>
  <c r="X73" i="47"/>
  <c r="X85" i="47" s="1"/>
  <c r="X74" i="47"/>
  <c r="X87" i="47" s="1"/>
  <c r="P462" i="47"/>
  <c r="P199" i="47"/>
  <c r="P200" i="47" s="1"/>
  <c r="P186" i="47" s="1"/>
  <c r="P222" i="47" s="1"/>
  <c r="P270" i="47" s="1"/>
  <c r="P273" i="47"/>
  <c r="P359" i="47" s="1"/>
  <c r="Q130" i="47"/>
  <c r="Q176" i="47"/>
  <c r="Q12" i="47"/>
  <c r="Q147" i="47"/>
  <c r="O151" i="47"/>
  <c r="O149" i="47"/>
  <c r="O152" i="47"/>
  <c r="O153" i="47" s="1"/>
  <c r="V113" i="47"/>
  <c r="V118" i="47"/>
  <c r="M389" i="89"/>
  <c r="M390" i="89" s="1"/>
  <c r="X12" i="56"/>
  <c r="V316" i="92"/>
  <c r="Y12" i="56"/>
  <c r="L119" i="88"/>
  <c r="M117" i="88" s="1"/>
  <c r="M118" i="88" s="1"/>
  <c r="M13" i="88" s="1"/>
  <c r="M204" i="88" s="1"/>
  <c r="L15" i="88"/>
  <c r="L200" i="88" s="1"/>
  <c r="P522" i="88"/>
  <c r="P485" i="88" s="1"/>
  <c r="P237" i="88" s="1"/>
  <c r="P318" i="88" s="1"/>
  <c r="N522" i="88"/>
  <c r="N485" i="88" s="1"/>
  <c r="N237" i="88" s="1"/>
  <c r="N318" i="88" s="1"/>
  <c r="J292" i="89"/>
  <c r="M292" i="89"/>
  <c r="X197" i="56"/>
  <c r="X13" i="56"/>
  <c r="X198" i="56"/>
  <c r="P299" i="80"/>
  <c r="P298" i="80" s="1"/>
  <c r="P306" i="80" s="1"/>
  <c r="P310" i="80" s="1"/>
  <c r="P417" i="80" s="1"/>
  <c r="P421" i="80" s="1"/>
  <c r="Q300" i="80"/>
  <c r="P565" i="56"/>
  <c r="P579" i="56" s="1"/>
  <c r="Q99" i="57"/>
  <c r="V41" i="57" s="1"/>
  <c r="T565" i="56"/>
  <c r="T579" i="56" s="1"/>
  <c r="T583" i="56" s="1"/>
  <c r="T587" i="56" s="1"/>
  <c r="T248" i="56" s="1"/>
  <c r="Q530" i="56"/>
  <c r="Q565" i="56" s="1"/>
  <c r="Q579" i="56" s="1"/>
  <c r="T530" i="56"/>
  <c r="T533" i="56" s="1"/>
  <c r="T323" i="56" s="1"/>
  <c r="V164" i="56"/>
  <c r="V109" i="56"/>
  <c r="W110" i="56"/>
  <c r="T294" i="90"/>
  <c r="U294" i="90" s="1"/>
  <c r="U306" i="90"/>
  <c r="K197" i="88"/>
  <c r="K175" i="89"/>
  <c r="K182" i="89" s="1"/>
  <c r="K184" i="89" s="1"/>
  <c r="J390" i="89"/>
  <c r="K389" i="89" s="1"/>
  <c r="K390" i="89" s="1"/>
  <c r="W112" i="56"/>
  <c r="V166" i="56"/>
  <c r="K483" i="88"/>
  <c r="K488" i="88" s="1"/>
  <c r="L483" i="88" s="1"/>
  <c r="L488" i="88" s="1"/>
  <c r="J275" i="88"/>
  <c r="U12" i="90"/>
  <c r="T21" i="90"/>
  <c r="T16" i="90"/>
  <c r="AB53" i="90"/>
  <c r="AA52" i="90"/>
  <c r="AA240" i="90" s="1"/>
  <c r="U794" i="90"/>
  <c r="T796" i="90"/>
  <c r="V373" i="64"/>
  <c r="T210" i="90"/>
  <c r="T136" i="90"/>
  <c r="U136" i="90" s="1"/>
  <c r="U134" i="90"/>
  <c r="R513" i="47"/>
  <c r="R548" i="47" s="1"/>
  <c r="R562" i="47" s="1"/>
  <c r="U513" i="47"/>
  <c r="R783" i="90"/>
  <c r="V762" i="90" s="1"/>
  <c r="V776" i="90" s="1"/>
  <c r="R471" i="90"/>
  <c r="V727" i="90"/>
  <c r="U147" i="90"/>
  <c r="T191" i="90"/>
  <c r="U191" i="90" s="1"/>
  <c r="T190" i="90"/>
  <c r="U190" i="90" s="1"/>
  <c r="T189" i="90"/>
  <c r="M301" i="56"/>
  <c r="M300" i="56" s="1"/>
  <c r="M415" i="56"/>
  <c r="M419" i="56" s="1"/>
  <c r="K177" i="64"/>
  <c r="K200" i="64"/>
  <c r="K275" i="64"/>
  <c r="K279" i="64" s="1"/>
  <c r="L579" i="88"/>
  <c r="L593" i="88" s="1"/>
  <c r="M544" i="88"/>
  <c r="N544" i="88" s="1"/>
  <c r="N579" i="88" s="1"/>
  <c r="N593" i="88" s="1"/>
  <c r="M301" i="64"/>
  <c r="M105" i="57" s="1"/>
  <c r="M426" i="64"/>
  <c r="P16" i="72"/>
  <c r="Q47" i="72"/>
  <c r="P51" i="72"/>
  <c r="P53" i="72" s="1"/>
  <c r="H12" i="95"/>
  <c r="I12" i="95" s="1"/>
  <c r="E12" i="95"/>
  <c r="S264" i="79"/>
  <c r="S464" i="47"/>
  <c r="S490" i="47" s="1"/>
  <c r="T464" i="47"/>
  <c r="T462" i="47" s="1"/>
  <c r="P486" i="64"/>
  <c r="P489" i="64" s="1"/>
  <c r="P297" i="64" s="1"/>
  <c r="P95" i="57" s="1"/>
  <c r="P173" i="57" s="1"/>
  <c r="P480" i="64"/>
  <c r="P515" i="64" s="1"/>
  <c r="P529" i="64" s="1"/>
  <c r="O483" i="64"/>
  <c r="O249" i="64" s="1"/>
  <c r="V165" i="56"/>
  <c r="W111" i="56"/>
  <c r="M319" i="56"/>
  <c r="M433" i="56"/>
  <c r="X88" i="56"/>
  <c r="W143" i="56"/>
  <c r="L204" i="88"/>
  <c r="N456" i="64"/>
  <c r="N439" i="64"/>
  <c r="N441" i="64" s="1"/>
  <c r="N443" i="64" s="1"/>
  <c r="O451" i="64"/>
  <c r="O454" i="64" s="1"/>
  <c r="N625" i="80"/>
  <c r="N391" i="80" s="1"/>
  <c r="O622" i="80"/>
  <c r="O625" i="80" s="1"/>
  <c r="O391" i="80" s="1"/>
  <c r="N660" i="80"/>
  <c r="N676" i="80" s="1"/>
  <c r="N680" i="80" s="1"/>
  <c r="N684" i="80" s="1"/>
  <c r="N312" i="80" s="1"/>
  <c r="N422" i="80" s="1"/>
  <c r="X100" i="92"/>
  <c r="X127" i="92" s="1"/>
  <c r="X11" i="92"/>
  <c r="X209" i="90"/>
  <c r="X252" i="90" s="1"/>
  <c r="U531" i="56"/>
  <c r="U566" i="56" s="1"/>
  <c r="U580" i="56" s="1"/>
  <c r="N777" i="90"/>
  <c r="N789" i="90" s="1"/>
  <c r="M316" i="56"/>
  <c r="M320" i="56" s="1"/>
  <c r="M326" i="56" s="1"/>
  <c r="T212" i="90"/>
  <c r="T235" i="90"/>
  <c r="U172" i="90"/>
  <c r="O515" i="64"/>
  <c r="O529" i="64" s="1"/>
  <c r="Y13" i="56"/>
  <c r="Y197" i="56"/>
  <c r="P538" i="56"/>
  <c r="P567" i="56"/>
  <c r="P581" i="56" s="1"/>
  <c r="T66" i="88"/>
  <c r="S71" i="88"/>
  <c r="S90" i="88" s="1"/>
  <c r="S95" i="88" s="1"/>
  <c r="S114" i="88" s="1"/>
  <c r="S115" i="88" s="1"/>
  <c r="T112" i="88" s="1"/>
  <c r="O533" i="56"/>
  <c r="O323" i="56" s="1"/>
  <c r="Z820" i="90"/>
  <c r="AA820" i="90" s="1"/>
  <c r="AB820" i="90" s="1"/>
  <c r="Y198" i="56"/>
  <c r="U194" i="90"/>
  <c r="T193" i="90"/>
  <c r="X22" i="90"/>
  <c r="S32" i="79"/>
  <c r="S13" i="79" s="1"/>
  <c r="R13" i="79"/>
  <c r="O270" i="56"/>
  <c r="O242" i="56"/>
  <c r="Q38" i="72"/>
  <c r="P40" i="72"/>
  <c r="P42" i="72" s="1"/>
  <c r="T200" i="90"/>
  <c r="U200" i="90" s="1"/>
  <c r="U199" i="90"/>
  <c r="L197" i="88"/>
  <c r="K204" i="88"/>
  <c r="X236" i="56"/>
  <c r="Q224" i="79"/>
  <c r="Y154" i="56"/>
  <c r="L137" i="57"/>
  <c r="O72" i="72"/>
  <c r="I456" i="89"/>
  <c r="I460" i="89" s="1"/>
  <c r="I465" i="89" s="1"/>
  <c r="I447" i="89"/>
  <c r="I449" i="89" s="1"/>
  <c r="W334" i="92"/>
  <c r="W112" i="92"/>
  <c r="W101" i="92"/>
  <c r="W128" i="92" s="1"/>
  <c r="W123" i="92" s="1"/>
  <c r="U197" i="90"/>
  <c r="T198" i="90"/>
  <c r="X92" i="56"/>
  <c r="W144" i="56"/>
  <c r="W264" i="56"/>
  <c r="W443" i="56"/>
  <c r="W138" i="56"/>
  <c r="W294" i="56"/>
  <c r="W560" i="56"/>
  <c r="W81" i="56"/>
  <c r="W494" i="56"/>
  <c r="W344" i="56"/>
  <c r="W218" i="56"/>
  <c r="W517" i="56"/>
  <c r="X7" i="56"/>
  <c r="W394" i="56"/>
  <c r="AA154" i="90"/>
  <c r="O15" i="72"/>
  <c r="K15" i="88"/>
  <c r="K198" i="88" s="1"/>
  <c r="S293" i="80"/>
  <c r="S466" i="80" s="1"/>
  <c r="O71" i="72"/>
  <c r="Z14" i="92"/>
  <c r="Y13" i="92"/>
  <c r="U29" i="72"/>
  <c r="U31" i="72" s="1"/>
  <c r="V27" i="72"/>
  <c r="U309" i="90"/>
  <c r="T311" i="90"/>
  <c r="O517" i="64"/>
  <c r="O531" i="64" s="1"/>
  <c r="P482" i="64"/>
  <c r="M417" i="80"/>
  <c r="N529" i="80"/>
  <c r="O525" i="80" s="1"/>
  <c r="O529" i="80" s="1"/>
  <c r="O377" i="80" s="1"/>
  <c r="M200" i="64"/>
  <c r="J345" i="88"/>
  <c r="J334" i="88"/>
  <c r="K596" i="88"/>
  <c r="K600" i="88" s="1"/>
  <c r="P779" i="90"/>
  <c r="Q758" i="90" s="1"/>
  <c r="Q772" i="90" s="1"/>
  <c r="AA167" i="90"/>
  <c r="AA206" i="90"/>
  <c r="N545" i="88"/>
  <c r="N580" i="88" s="1"/>
  <c r="N594" i="88" s="1"/>
  <c r="R722" i="90"/>
  <c r="Q721" i="90"/>
  <c r="Q469" i="90" s="1"/>
  <c r="P131" i="88"/>
  <c r="Q130" i="88"/>
  <c r="Z52" i="64"/>
  <c r="Z14" i="64"/>
  <c r="AC125" i="90"/>
  <c r="AB139" i="90"/>
  <c r="AB154" i="90" s="1"/>
  <c r="AB132" i="90"/>
  <c r="Y21" i="90"/>
  <c r="Y16" i="90"/>
  <c r="X20" i="92"/>
  <c r="Y18" i="92"/>
  <c r="AA795" i="90"/>
  <c r="V666" i="90"/>
  <c r="R706" i="90"/>
  <c r="V691" i="90" s="1"/>
  <c r="V701" i="90" s="1"/>
  <c r="P65" i="72"/>
  <c r="X457" i="47"/>
  <c r="X456" i="47"/>
  <c r="W674" i="90"/>
  <c r="Z131" i="64"/>
  <c r="Z159" i="64"/>
  <c r="U675" i="90"/>
  <c r="T673" i="90"/>
  <c r="Q515" i="80"/>
  <c r="Q516" i="80" s="1"/>
  <c r="Q465" i="80"/>
  <c r="Q617" i="80"/>
  <c r="Q643" i="80" s="1"/>
  <c r="Q644" i="80" s="1"/>
  <c r="R664" i="80" s="1"/>
  <c r="R686" i="80" s="1"/>
  <c r="R688" i="80" s="1"/>
  <c r="R313" i="80" s="1"/>
  <c r="R423" i="80" s="1"/>
  <c r="Q296" i="80"/>
  <c r="L364" i="47"/>
  <c r="M38" i="57"/>
  <c r="M73" i="57" s="1"/>
  <c r="O437" i="90"/>
  <c r="N440" i="90"/>
  <c r="AG67" i="90"/>
  <c r="W368" i="64"/>
  <c r="W369" i="64" s="1"/>
  <c r="W153" i="64"/>
  <c r="W349" i="64"/>
  <c r="W236" i="64" s="1"/>
  <c r="W476" i="64"/>
  <c r="W500" i="64" s="1"/>
  <c r="W348" i="64"/>
  <c r="W230" i="64" s="1"/>
  <c r="W322" i="64"/>
  <c r="W9" i="57"/>
  <c r="W204" i="64"/>
  <c r="P100" i="88"/>
  <c r="Q97" i="88"/>
  <c r="Q96" i="88"/>
  <c r="P99" i="88"/>
  <c r="T41" i="88"/>
  <c r="S478" i="88"/>
  <c r="S477" i="88"/>
  <c r="W67" i="88"/>
  <c r="V73" i="88"/>
  <c r="Q208" i="79"/>
  <c r="Q214" i="79" s="1"/>
  <c r="Q11" i="79"/>
  <c r="M387" i="80"/>
  <c r="M501" i="80"/>
  <c r="S343" i="92"/>
  <c r="T343" i="92" s="1"/>
  <c r="Q195" i="92"/>
  <c r="S195" i="92" s="1"/>
  <c r="T195" i="92" s="1"/>
  <c r="U338" i="92"/>
  <c r="U343" i="92" s="1"/>
  <c r="R153" i="88"/>
  <c r="Q154" i="88"/>
  <c r="I564" i="88"/>
  <c r="J582" i="88" s="1"/>
  <c r="K602" i="88" s="1"/>
  <c r="K604" i="88" s="1"/>
  <c r="K243" i="88" s="1"/>
  <c r="K323" i="88" s="1"/>
  <c r="J347" i="88"/>
  <c r="J537" i="88" s="1"/>
  <c r="I266" i="88"/>
  <c r="I273" i="88" s="1"/>
  <c r="I277" i="88" s="1"/>
  <c r="Z792" i="90"/>
  <c r="Z794" i="90" s="1"/>
  <c r="Z796" i="90" s="1"/>
  <c r="Z168" i="90"/>
  <c r="Z171" i="90"/>
  <c r="Z304" i="90"/>
  <c r="Z306" i="90" s="1"/>
  <c r="Z294" i="90" s="1"/>
  <c r="Z169" i="90"/>
  <c r="P76" i="88"/>
  <c r="U665" i="90"/>
  <c r="T705" i="90"/>
  <c r="T663" i="90"/>
  <c r="R291" i="80"/>
  <c r="R28" i="80"/>
  <c r="K29" i="57"/>
  <c r="K31" i="57" s="1"/>
  <c r="J242" i="56"/>
  <c r="X239" i="90"/>
  <c r="X259" i="90"/>
  <c r="P324" i="47"/>
  <c r="P436" i="47"/>
  <c r="Q74" i="88"/>
  <c r="Q72" i="88"/>
  <c r="R68" i="88"/>
  <c r="X819" i="90"/>
  <c r="X854" i="90" s="1"/>
  <c r="X868" i="90" s="1"/>
  <c r="Y572" i="56"/>
  <c r="Z522" i="64"/>
  <c r="Y574" i="56"/>
  <c r="L304" i="56"/>
  <c r="T577" i="90"/>
  <c r="U576" i="90"/>
  <c r="R26" i="79"/>
  <c r="R14" i="79"/>
  <c r="S33" i="79"/>
  <c r="R212" i="79"/>
  <c r="R210" i="79"/>
  <c r="R25" i="79"/>
  <c r="R43" i="79"/>
  <c r="I336" i="88"/>
  <c r="I535" i="88"/>
  <c r="I540" i="88" s="1"/>
  <c r="I554" i="88" s="1"/>
  <c r="I561" i="88" s="1"/>
  <c r="I361" i="88"/>
  <c r="I362" i="88" s="1"/>
  <c r="L215" i="47"/>
  <c r="L249" i="47" s="1"/>
  <c r="R479" i="88"/>
  <c r="R481" i="88" s="1"/>
  <c r="O310" i="80"/>
  <c r="W40" i="57"/>
  <c r="W520" i="90"/>
  <c r="V195" i="56"/>
  <c r="W129" i="56"/>
  <c r="V128" i="56"/>
  <c r="L307" i="47"/>
  <c r="L421" i="47"/>
  <c r="P532" i="88"/>
  <c r="Q531" i="88"/>
  <c r="Z40" i="64"/>
  <c r="Z44" i="64" s="1"/>
  <c r="Z20" i="64" s="1"/>
  <c r="Y44" i="64"/>
  <c r="Y20" i="64" s="1"/>
  <c r="S431" i="47"/>
  <c r="R432" i="47"/>
  <c r="R433" i="47" s="1"/>
  <c r="R314" i="47"/>
  <c r="V196" i="56"/>
  <c r="W130" i="56"/>
  <c r="U432" i="47"/>
  <c r="U433" i="47" s="1"/>
  <c r="U314" i="47"/>
  <c r="L399" i="56"/>
  <c r="L269" i="56"/>
  <c r="O781" i="90"/>
  <c r="P760" i="90" s="1"/>
  <c r="AB293" i="92"/>
  <c r="AA296" i="92"/>
  <c r="W48" i="47"/>
  <c r="V198" i="47"/>
  <c r="AA204" i="90"/>
  <c r="AA205" i="90" s="1"/>
  <c r="AC58" i="90"/>
  <c r="AB57" i="90"/>
  <c r="AF55" i="90"/>
  <c r="R519" i="80"/>
  <c r="R523" i="80" s="1"/>
  <c r="Q376" i="80"/>
  <c r="I300" i="88"/>
  <c r="N264" i="47"/>
  <c r="Q472" i="90"/>
  <c r="V40" i="57"/>
  <c r="V520" i="90"/>
  <c r="X53" i="64"/>
  <c r="X51" i="64" s="1"/>
  <c r="X152" i="64" s="1"/>
  <c r="X22" i="64"/>
  <c r="W428" i="47"/>
  <c r="V431" i="47"/>
  <c r="O782" i="90"/>
  <c r="P761" i="90" s="1"/>
  <c r="P775" i="90" s="1"/>
  <c r="U19" i="70"/>
  <c r="U31" i="70" s="1"/>
  <c r="U43" i="70" s="1"/>
  <c r="U120" i="70" s="1"/>
  <c r="U59" i="70" s="1"/>
  <c r="V7" i="70"/>
  <c r="V19" i="70" s="1"/>
  <c r="V31" i="70" s="1"/>
  <c r="V43" i="70" s="1"/>
  <c r="V120" i="70" s="1"/>
  <c r="V59" i="70" s="1"/>
  <c r="M347" i="80"/>
  <c r="M339" i="80"/>
  <c r="P289" i="79"/>
  <c r="P28" i="79"/>
  <c r="Y347" i="92"/>
  <c r="X373" i="92"/>
  <c r="U409" i="56"/>
  <c r="V406" i="56"/>
  <c r="U316" i="92"/>
  <c r="O515" i="90"/>
  <c r="N519" i="90"/>
  <c r="O519" i="90" s="1"/>
  <c r="N419" i="47"/>
  <c r="N220" i="47"/>
  <c r="N215" i="47" s="1"/>
  <c r="N249" i="47" s="1"/>
  <c r="P377" i="80"/>
  <c r="Q525" i="80"/>
  <c r="V665" i="90"/>
  <c r="R705" i="90"/>
  <c r="R663" i="90"/>
  <c r="V330" i="92"/>
  <c r="V56" i="92"/>
  <c r="V108" i="92"/>
  <c r="V151" i="92"/>
  <c r="V181" i="92"/>
  <c r="V281" i="92"/>
  <c r="V447" i="92"/>
  <c r="V45" i="92"/>
  <c r="V79" i="92"/>
  <c r="V381" i="92"/>
  <c r="V404" i="92"/>
  <c r="W7" i="92"/>
  <c r="V231" i="92"/>
  <c r="S31" i="72"/>
  <c r="R675" i="90"/>
  <c r="Q673" i="90"/>
  <c r="Q786" i="90" s="1"/>
  <c r="Q473" i="90" s="1"/>
  <c r="V470" i="90"/>
  <c r="W797" i="90"/>
  <c r="T357" i="88"/>
  <c r="S358" i="88"/>
  <c r="P312" i="88"/>
  <c r="O313" i="88"/>
  <c r="Q328" i="88"/>
  <c r="Q332" i="88" s="1"/>
  <c r="J502" i="88"/>
  <c r="Q484" i="88"/>
  <c r="X99" i="56"/>
  <c r="W148" i="56"/>
  <c r="W131" i="92"/>
  <c r="X33" i="57" s="1"/>
  <c r="W237" i="92"/>
  <c r="X84" i="92"/>
  <c r="Y52" i="92"/>
  <c r="W418" i="92"/>
  <c r="Q291" i="79"/>
  <c r="Q464" i="79" s="1"/>
  <c r="Q573" i="88"/>
  <c r="P574" i="88"/>
  <c r="H363" i="88"/>
  <c r="R19" i="79"/>
  <c r="R238" i="79" s="1"/>
  <c r="R244" i="79" s="1"/>
  <c r="S55" i="79"/>
  <c r="S19" i="79" s="1"/>
  <c r="S238" i="79" s="1"/>
  <c r="S244" i="79" s="1"/>
  <c r="R517" i="79"/>
  <c r="R521" i="79" s="1"/>
  <c r="Q374" i="79"/>
  <c r="W639" i="90"/>
  <c r="X664" i="90"/>
  <c r="O387" i="80"/>
  <c r="O501" i="80"/>
  <c r="O502" i="80" s="1"/>
  <c r="X60" i="57"/>
  <c r="Y3" i="57"/>
  <c r="Y327" i="90"/>
  <c r="Y322" i="90"/>
  <c r="Y342" i="90"/>
  <c r="Y347" i="90"/>
  <c r="Y332" i="90"/>
  <c r="Y337" i="90"/>
  <c r="Y352" i="90"/>
  <c r="Q780" i="90"/>
  <c r="R759" i="90" s="1"/>
  <c r="R773" i="90" s="1"/>
  <c r="R724" i="90"/>
  <c r="P262" i="88"/>
  <c r="Q261" i="88"/>
  <c r="S620" i="79"/>
  <c r="S658" i="79" s="1"/>
  <c r="S674" i="79" s="1"/>
  <c r="R623" i="79"/>
  <c r="R389" i="79" s="1"/>
  <c r="V414" i="56"/>
  <c r="V303" i="56" s="1"/>
  <c r="V142" i="56"/>
  <c r="S470" i="92"/>
  <c r="T466" i="92"/>
  <c r="T470" i="92" s="1"/>
  <c r="X710" i="90"/>
  <c r="O833" i="90"/>
  <c r="O834" i="90" s="1"/>
  <c r="P856" i="90" s="1"/>
  <c r="M366" i="79"/>
  <c r="P228" i="47"/>
  <c r="W821" i="90"/>
  <c r="W492" i="90" s="1"/>
  <c r="P315" i="80"/>
  <c r="U476" i="64"/>
  <c r="U500" i="64" s="1"/>
  <c r="S152" i="64"/>
  <c r="U197" i="64"/>
  <c r="U349" i="64"/>
  <c r="U236" i="64" s="1"/>
  <c r="U204" i="64"/>
  <c r="U348" i="64"/>
  <c r="U230" i="64" s="1"/>
  <c r="U9" i="57"/>
  <c r="U322" i="64"/>
  <c r="U368" i="64"/>
  <c r="U370" i="64" s="1"/>
  <c r="U153" i="64"/>
  <c r="S153" i="64" s="1"/>
  <c r="T153" i="64" s="1"/>
  <c r="U187" i="88"/>
  <c r="V186" i="88"/>
  <c r="AC76" i="90"/>
  <c r="AB18" i="90"/>
  <c r="Y124" i="70"/>
  <c r="L347" i="80"/>
  <c r="L339" i="80"/>
  <c r="O234" i="64"/>
  <c r="P383" i="64"/>
  <c r="P387" i="64" s="1"/>
  <c r="M232" i="47"/>
  <c r="M420" i="47"/>
  <c r="M306" i="47" s="1"/>
  <c r="AC70" i="90"/>
  <c r="V189" i="90"/>
  <c r="V191" i="90"/>
  <c r="V190" i="90"/>
  <c r="Y818" i="90"/>
  <c r="V235" i="90"/>
  <c r="V212" i="90"/>
  <c r="S474" i="92"/>
  <c r="T474" i="92" s="1"/>
  <c r="Q135" i="92"/>
  <c r="J173" i="89"/>
  <c r="R204" i="79"/>
  <c r="V196" i="90"/>
  <c r="V250" i="90" s="1"/>
  <c r="J596" i="88"/>
  <c r="J600" i="88" s="1"/>
  <c r="R658" i="79"/>
  <c r="R674" i="79" s="1"/>
  <c r="R293" i="80"/>
  <c r="R466" i="80" s="1"/>
  <c r="T458" i="56"/>
  <c r="T461" i="56" s="1"/>
  <c r="T309" i="56" s="1"/>
  <c r="Q458" i="56"/>
  <c r="Q461" i="56" s="1"/>
  <c r="P309" i="56"/>
  <c r="AA319" i="90"/>
  <c r="AA24" i="90"/>
  <c r="AA26" i="90" s="1"/>
  <c r="AA414" i="90" s="1"/>
  <c r="AA359" i="90"/>
  <c r="AA399" i="90" s="1"/>
  <c r="AA303" i="90"/>
  <c r="X481" i="64"/>
  <c r="X516" i="64" s="1"/>
  <c r="X530" i="64" s="1"/>
  <c r="X726" i="90"/>
  <c r="L495" i="80"/>
  <c r="L496" i="80"/>
  <c r="L378" i="80" s="1"/>
  <c r="L483" i="80"/>
  <c r="L479" i="80"/>
  <c r="L480" i="80"/>
  <c r="L370" i="80" s="1"/>
  <c r="Y52" i="64"/>
  <c r="Y14" i="64"/>
  <c r="Q416" i="56"/>
  <c r="Q227" i="56"/>
  <c r="V725" i="90"/>
  <c r="V210" i="90"/>
  <c r="V211" i="90" s="1"/>
  <c r="V253" i="90" s="1"/>
  <c r="V136" i="90"/>
  <c r="Y191" i="90"/>
  <c r="Y189" i="90"/>
  <c r="Y190" i="90"/>
  <c r="S63" i="92"/>
  <c r="T63" i="92" s="1"/>
  <c r="Q89" i="92"/>
  <c r="AD54" i="90"/>
  <c r="W196" i="92"/>
  <c r="X345" i="92"/>
  <c r="X348" i="92" s="1"/>
  <c r="H14" i="89"/>
  <c r="Q51" i="57" s="1"/>
  <c r="L67" i="57"/>
  <c r="O152" i="88"/>
  <c r="L552" i="89"/>
  <c r="L543" i="89"/>
  <c r="X17" i="90"/>
  <c r="X20" i="90" s="1"/>
  <c r="X23" i="90"/>
  <c r="R296" i="79"/>
  <c r="S297" i="79"/>
  <c r="S296" i="79" s="1"/>
  <c r="Q472" i="88"/>
  <c r="P473" i="88"/>
  <c r="W9" i="64"/>
  <c r="V150" i="64"/>
  <c r="V191" i="64" s="1"/>
  <c r="V221" i="64" s="1"/>
  <c r="V272" i="64" s="1"/>
  <c r="V320" i="64" s="1"/>
  <c r="V366" i="64" s="1"/>
  <c r="V420" i="64" s="1"/>
  <c r="V469" i="64" s="1"/>
  <c r="V512" i="64" s="1"/>
  <c r="V65" i="64"/>
  <c r="V113" i="64" s="1"/>
  <c r="P152" i="88"/>
  <c r="Q151" i="88"/>
  <c r="Y159" i="64"/>
  <c r="Y131" i="64"/>
  <c r="V112" i="64"/>
  <c r="AD40" i="90"/>
  <c r="AC216" i="90"/>
  <c r="V21" i="90"/>
  <c r="V16" i="90"/>
  <c r="Q221" i="88"/>
  <c r="P222" i="88"/>
  <c r="W516" i="64"/>
  <c r="W530" i="64" s="1"/>
  <c r="M351" i="64"/>
  <c r="M356" i="64" s="1"/>
  <c r="M278" i="64" s="1"/>
  <c r="J159" i="89"/>
  <c r="J15" i="89" s="1"/>
  <c r="J16" i="89" s="1"/>
  <c r="K448" i="80"/>
  <c r="K451" i="80" s="1"/>
  <c r="K434" i="80"/>
  <c r="L543" i="88"/>
  <c r="L578" i="88" s="1"/>
  <c r="L592" i="88" s="1"/>
  <c r="K546" i="88"/>
  <c r="K287" i="88" s="1"/>
  <c r="O545" i="90"/>
  <c r="O839" i="90" s="1"/>
  <c r="P857" i="90" s="1"/>
  <c r="N458" i="90"/>
  <c r="N463" i="90" s="1"/>
  <c r="N478" i="90" s="1"/>
  <c r="P220" i="47"/>
  <c r="P419" i="47"/>
  <c r="Z337" i="90"/>
  <c r="Z347" i="90"/>
  <c r="Z352" i="90"/>
  <c r="Z327" i="90"/>
  <c r="Z342" i="90"/>
  <c r="Z332" i="90"/>
  <c r="Z322" i="90"/>
  <c r="AD64" i="90"/>
  <c r="U150" i="64"/>
  <c r="U191" i="64" s="1"/>
  <c r="U221" i="64" s="1"/>
  <c r="U272" i="64" s="1"/>
  <c r="U320" i="64" s="1"/>
  <c r="U366" i="64" s="1"/>
  <c r="U420" i="64" s="1"/>
  <c r="U469" i="64" s="1"/>
  <c r="U512" i="64" s="1"/>
  <c r="U65" i="64"/>
  <c r="U113" i="64" s="1"/>
  <c r="N482" i="80"/>
  <c r="O479" i="80"/>
  <c r="N369" i="80"/>
  <c r="N469" i="80"/>
  <c r="Q182" i="56"/>
  <c r="Q183" i="56"/>
  <c r="AB214" i="90"/>
  <c r="AB424" i="90"/>
  <c r="T131" i="92"/>
  <c r="U33" i="57" s="1"/>
  <c r="T33" i="57"/>
  <c r="Q85" i="92"/>
  <c r="S55" i="92"/>
  <c r="T55" i="92" s="1"/>
  <c r="P87" i="88"/>
  <c r="Q86" i="88"/>
  <c r="R176" i="88"/>
  <c r="S42" i="88"/>
  <c r="N426" i="79"/>
  <c r="N430" i="79" s="1"/>
  <c r="F539" i="79"/>
  <c r="N524" i="79"/>
  <c r="L357" i="56"/>
  <c r="M46" i="57"/>
  <c r="Q34" i="56"/>
  <c r="R277" i="79"/>
  <c r="R225" i="64"/>
  <c r="O347" i="80"/>
  <c r="O339" i="80"/>
  <c r="O463" i="79"/>
  <c r="O615" i="79"/>
  <c r="O641" i="79" s="1"/>
  <c r="O342" i="79"/>
  <c r="O513" i="79"/>
  <c r="O515" i="79" s="1"/>
  <c r="O294" i="79"/>
  <c r="O335" i="79"/>
  <c r="O344" i="79" s="1"/>
  <c r="W491" i="90"/>
  <c r="X832" i="90"/>
  <c r="X834" i="90" s="1"/>
  <c r="X856" i="90"/>
  <c r="X870" i="90" s="1"/>
  <c r="N481" i="79"/>
  <c r="N493" i="79"/>
  <c r="N478" i="79"/>
  <c r="N494" i="79"/>
  <c r="N376" i="79" s="1"/>
  <c r="N477" i="79"/>
  <c r="M377" i="80"/>
  <c r="M18" i="57"/>
  <c r="M17" i="57" s="1"/>
  <c r="Z427" i="90"/>
  <c r="Z562" i="90"/>
  <c r="Z576" i="90" s="1"/>
  <c r="Z577" i="90" s="1"/>
  <c r="M480" i="80"/>
  <c r="M370" i="80" s="1"/>
  <c r="M483" i="80"/>
  <c r="M496" i="80"/>
  <c r="M378" i="80" s="1"/>
  <c r="M479" i="80"/>
  <c r="M495" i="80"/>
  <c r="J286" i="88"/>
  <c r="J290" i="88" s="1"/>
  <c r="J298" i="88" s="1"/>
  <c r="K557" i="88"/>
  <c r="K559" i="88" s="1"/>
  <c r="K581" i="88"/>
  <c r="K595" i="88" s="1"/>
  <c r="S34" i="79"/>
  <c r="S277" i="79" s="1"/>
  <c r="R15" i="79"/>
  <c r="R218" i="79" s="1"/>
  <c r="R220" i="79"/>
  <c r="P427" i="88"/>
  <c r="Q426" i="88"/>
  <c r="S520" i="79"/>
  <c r="S427" i="79" s="1"/>
  <c r="R427" i="79"/>
  <c r="Y59" i="72"/>
  <c r="X17" i="72"/>
  <c r="AB419" i="92"/>
  <c r="AB454" i="92" s="1"/>
  <c r="AB468" i="92" s="1"/>
  <c r="O373" i="80"/>
  <c r="S16" i="79"/>
  <c r="L205" i="64"/>
  <c r="L199" i="64"/>
  <c r="L501" i="80"/>
  <c r="L502" i="80" s="1"/>
  <c r="L387" i="80"/>
  <c r="V537" i="56"/>
  <c r="N378" i="80"/>
  <c r="O496" i="80"/>
  <c r="O378" i="80" s="1"/>
  <c r="P144" i="88"/>
  <c r="O146" i="88"/>
  <c r="O443" i="88" s="1"/>
  <c r="O272" i="88" s="1"/>
  <c r="Y212" i="90"/>
  <c r="N385" i="79"/>
  <c r="O497" i="79"/>
  <c r="N499" i="79"/>
  <c r="N500" i="79" s="1"/>
  <c r="R429" i="80"/>
  <c r="S522" i="80"/>
  <c r="S429" i="80" s="1"/>
  <c r="W514" i="47"/>
  <c r="W549" i="47" s="1"/>
  <c r="W563" i="47" s="1"/>
  <c r="Z203" i="90"/>
  <c r="S204" i="79"/>
  <c r="L225" i="56"/>
  <c r="L234" i="56" s="1"/>
  <c r="P218" i="47"/>
  <c r="P185" i="47"/>
  <c r="P227" i="47" s="1"/>
  <c r="P454" i="88"/>
  <c r="O457" i="88"/>
  <c r="O458" i="88" s="1"/>
  <c r="O459" i="88" s="1"/>
  <c r="N385" i="80"/>
  <c r="N384" i="80" s="1"/>
  <c r="N388" i="80" s="1"/>
  <c r="N394" i="80" s="1"/>
  <c r="N484" i="80"/>
  <c r="O483" i="80"/>
  <c r="N472" i="80"/>
  <c r="Q771" i="90"/>
  <c r="Q778" i="90" s="1"/>
  <c r="S622" i="79"/>
  <c r="S660" i="79" s="1"/>
  <c r="S676" i="79" s="1"/>
  <c r="AC77" i="90"/>
  <c r="AB236" i="90"/>
  <c r="X723" i="90"/>
  <c r="U55" i="92"/>
  <c r="U85" i="92" s="1"/>
  <c r="U83" i="92" s="1"/>
  <c r="U63" i="92"/>
  <c r="U89" i="92" s="1"/>
  <c r="U87" i="92" s="1"/>
  <c r="U119" i="92" s="1"/>
  <c r="U57" i="92"/>
  <c r="N497" i="80"/>
  <c r="N373" i="80"/>
  <c r="W417" i="92"/>
  <c r="V420" i="92"/>
  <c r="V210" i="92" s="1"/>
  <c r="R260" i="47"/>
  <c r="R141" i="47"/>
  <c r="R213" i="47" s="1"/>
  <c r="S9" i="47"/>
  <c r="W370" i="90"/>
  <c r="W426" i="90"/>
  <c r="W425" i="90"/>
  <c r="W30" i="57" s="1"/>
  <c r="R272" i="79"/>
  <c r="S42" i="79"/>
  <c r="R23" i="79"/>
  <c r="R270" i="79" s="1"/>
  <c r="U181" i="56"/>
  <c r="U426" i="56"/>
  <c r="U304" i="56" s="1"/>
  <c r="Y210" i="90"/>
  <c r="Y211" i="90" s="1"/>
  <c r="Y253" i="90" s="1"/>
  <c r="Y136" i="90"/>
  <c r="O498" i="79"/>
  <c r="O384" i="79" s="1"/>
  <c r="N384" i="79"/>
  <c r="L416" i="56"/>
  <c r="L427" i="56"/>
  <c r="L305" i="56" s="1"/>
  <c r="L431" i="56"/>
  <c r="L413" i="56"/>
  <c r="L302" i="56" s="1"/>
  <c r="L432" i="56"/>
  <c r="L318" i="56" s="1"/>
  <c r="L412" i="56"/>
  <c r="L422" i="56"/>
  <c r="M422" i="56" s="1"/>
  <c r="M14" i="89"/>
  <c r="V51" i="57" s="1"/>
  <c r="AA454" i="92"/>
  <c r="AA468" i="92" s="1"/>
  <c r="V549" i="47"/>
  <c r="V563" i="47" s="1"/>
  <c r="S230" i="80"/>
  <c r="S236" i="80" s="1"/>
  <c r="S11" i="80"/>
  <c r="W707" i="90"/>
  <c r="X692" i="90" s="1"/>
  <c r="X702" i="90" s="1"/>
  <c r="X667" i="90"/>
  <c r="AA241" i="90"/>
  <c r="AA243" i="90"/>
  <c r="Q378" i="64"/>
  <c r="Q381" i="64" s="1"/>
  <c r="P235" i="64"/>
  <c r="P150" i="88"/>
  <c r="Q149" i="88"/>
  <c r="Q635" i="79"/>
  <c r="Q637" i="79" s="1"/>
  <c r="P392" i="79"/>
  <c r="N370" i="80"/>
  <c r="O480" i="80"/>
  <c r="O370" i="80" s="1"/>
  <c r="AE69" i="90"/>
  <c r="U141" i="47"/>
  <c r="U213" i="47" s="1"/>
  <c r="U260" i="47"/>
  <c r="V9" i="47"/>
  <c r="AC72" i="90"/>
  <c r="U549" i="47"/>
  <c r="U563" i="47" s="1"/>
  <c r="M242" i="56"/>
  <c r="M270" i="56"/>
  <c r="T61" i="72"/>
  <c r="T63" i="72" s="1"/>
  <c r="U61" i="72"/>
  <c r="Q63" i="72"/>
  <c r="P269" i="47"/>
  <c r="Q24" i="57" s="1"/>
  <c r="P242" i="47"/>
  <c r="W301" i="90"/>
  <c r="W11" i="90"/>
  <c r="W413" i="90"/>
  <c r="L281" i="47"/>
  <c r="L284" i="47" s="1"/>
  <c r="L450" i="47" s="1"/>
  <c r="L452" i="47" s="1"/>
  <c r="M480" i="79"/>
  <c r="O770" i="90"/>
  <c r="O788" i="90" s="1"/>
  <c r="O475" i="90" s="1"/>
  <c r="O478" i="90" s="1"/>
  <c r="O504" i="90" s="1"/>
  <c r="Q717" i="90"/>
  <c r="Q274" i="79"/>
  <c r="H552" i="89"/>
  <c r="H556" i="89" s="1"/>
  <c r="H561" i="89" s="1"/>
  <c r="H543" i="89"/>
  <c r="H545" i="89" s="1"/>
  <c r="H9" i="89"/>
  <c r="R155" i="64"/>
  <c r="R154" i="64" s="1"/>
  <c r="R347" i="64"/>
  <c r="R141" i="64"/>
  <c r="W197" i="64"/>
  <c r="Q228" i="64"/>
  <c r="Q336" i="64"/>
  <c r="AG99" i="92"/>
  <c r="AG126" i="92" s="1"/>
  <c r="Y126" i="56"/>
  <c r="Y193" i="56" s="1"/>
  <c r="X193" i="56"/>
  <c r="X156" i="64"/>
  <c r="P206" i="92"/>
  <c r="P207" i="92" s="1"/>
  <c r="P213" i="92" s="1"/>
  <c r="P320" i="92"/>
  <c r="P321" i="92" s="1"/>
  <c r="H460" i="89"/>
  <c r="H465" i="89" s="1"/>
  <c r="X191" i="56"/>
  <c r="Y122" i="56"/>
  <c r="Y191" i="56" s="1"/>
  <c r="L173" i="89"/>
  <c r="V302" i="92"/>
  <c r="V188" i="92"/>
  <c r="V187" i="92" s="1"/>
  <c r="P316" i="92"/>
  <c r="P317" i="92" s="1"/>
  <c r="P192" i="92"/>
  <c r="L159" i="89"/>
  <c r="Q413" i="56"/>
  <c r="Q302" i="56" s="1"/>
  <c r="Q427" i="56"/>
  <c r="Q412" i="56"/>
  <c r="Q432" i="56"/>
  <c r="Q318" i="56" s="1"/>
  <c r="Q431" i="56"/>
  <c r="U155" i="64"/>
  <c r="U347" i="64"/>
  <c r="U141" i="64"/>
  <c r="H449" i="89"/>
  <c r="V206" i="92"/>
  <c r="V207" i="92" s="1"/>
  <c r="V320" i="92"/>
  <c r="P188" i="92"/>
  <c r="P187" i="92" s="1"/>
  <c r="P302" i="92"/>
  <c r="P306" i="92" s="1"/>
  <c r="O228" i="64"/>
  <c r="P140" i="92"/>
  <c r="P142" i="92" s="1"/>
  <c r="P386" i="92" s="1"/>
  <c r="P393" i="92" s="1"/>
  <c r="Q199" i="64"/>
  <c r="Q127" i="57"/>
  <c r="H7" i="89"/>
  <c r="Q20" i="57" s="1"/>
  <c r="AF99" i="92"/>
  <c r="AF126" i="92" s="1"/>
  <c r="Y100" i="64"/>
  <c r="X101" i="64"/>
  <c r="O338" i="64"/>
  <c r="O243" i="64"/>
  <c r="O242" i="64" s="1"/>
  <c r="M460" i="89"/>
  <c r="M465" i="89" s="1"/>
  <c r="M7" i="89"/>
  <c r="V20" i="57" s="1"/>
  <c r="N199" i="64"/>
  <c r="N205" i="64"/>
  <c r="U227" i="56"/>
  <c r="U416" i="56"/>
  <c r="O354" i="64"/>
  <c r="O245" i="64"/>
  <c r="O246" i="64" s="1"/>
  <c r="M449" i="89"/>
  <c r="Q354" i="64"/>
  <c r="Q245" i="64"/>
  <c r="T222" i="56"/>
  <c r="T31" i="56"/>
  <c r="T223" i="56" s="1"/>
  <c r="T447" i="56"/>
  <c r="T449" i="56" s="1"/>
  <c r="V290" i="64"/>
  <c r="P245" i="64"/>
  <c r="P354" i="64"/>
  <c r="S315" i="92"/>
  <c r="T315" i="92" s="1"/>
  <c r="Q338" i="64"/>
  <c r="Q243" i="64"/>
  <c r="Q242" i="64" s="1"/>
  <c r="Y119" i="56"/>
  <c r="Y188" i="56" s="1"/>
  <c r="X188" i="56"/>
  <c r="Z401" i="64"/>
  <c r="V401" i="64"/>
  <c r="V407" i="64" s="1"/>
  <c r="Y401" i="64"/>
  <c r="W401" i="64"/>
  <c r="X401" i="64"/>
  <c r="P228" i="64"/>
  <c r="Z72" i="64"/>
  <c r="Z119" i="64" s="1"/>
  <c r="Y119" i="64"/>
  <c r="Q159" i="92"/>
  <c r="S159" i="92" s="1"/>
  <c r="T159" i="92" s="1"/>
  <c r="R27" i="57"/>
  <c r="S123" i="92"/>
  <c r="V120" i="64"/>
  <c r="V116" i="64" s="1"/>
  <c r="W73" i="64"/>
  <c r="Q205" i="92"/>
  <c r="S319" i="92"/>
  <c r="T319" i="92" s="1"/>
  <c r="Y94" i="56"/>
  <c r="Y147" i="56" s="1"/>
  <c r="H30" i="89"/>
  <c r="P243" i="64"/>
  <c r="P242" i="64" s="1"/>
  <c r="P338" i="64"/>
  <c r="Y121" i="56"/>
  <c r="Y190" i="56" s="1"/>
  <c r="X190" i="56"/>
  <c r="Y139" i="64"/>
  <c r="Y157" i="64" s="1"/>
  <c r="Z88" i="64"/>
  <c r="Z139" i="64" s="1"/>
  <c r="Z157" i="64" s="1"/>
  <c r="I545" i="89"/>
  <c r="U302" i="92"/>
  <c r="U188" i="92"/>
  <c r="U187" i="92" s="1"/>
  <c r="M383" i="79"/>
  <c r="M382" i="79" s="1"/>
  <c r="M386" i="79" s="1"/>
  <c r="M392" i="79" s="1"/>
  <c r="V31" i="56"/>
  <c r="V223" i="56" s="1"/>
  <c r="V222" i="56"/>
  <c r="V447" i="56"/>
  <c r="V449" i="56" s="1"/>
  <c r="W229" i="56"/>
  <c r="Y238" i="56"/>
  <c r="Y169" i="56"/>
  <c r="I556" i="89"/>
  <c r="I561" i="89" s="1"/>
  <c r="Y117" i="64"/>
  <c r="Z70" i="64"/>
  <c r="Z117" i="64" s="1"/>
  <c r="Y102" i="64"/>
  <c r="X166" i="64"/>
  <c r="X164" i="64" s="1"/>
  <c r="S300" i="92"/>
  <c r="T300" i="92" s="1"/>
  <c r="Q189" i="92"/>
  <c r="S189" i="92" s="1"/>
  <c r="T189" i="92" s="1"/>
  <c r="N243" i="64"/>
  <c r="N242" i="64" s="1"/>
  <c r="N338" i="64"/>
  <c r="X71" i="64"/>
  <c r="W118" i="64"/>
  <c r="M371" i="79"/>
  <c r="M495" i="79"/>
  <c r="Q206" i="92"/>
  <c r="S318" i="92"/>
  <c r="T318" i="92" s="1"/>
  <c r="Q320" i="92"/>
  <c r="W186" i="56"/>
  <c r="W212" i="56" s="1"/>
  <c r="W213" i="56" s="1"/>
  <c r="M500" i="79"/>
  <c r="N228" i="64"/>
  <c r="Y232" i="56"/>
  <c r="Y200" i="56"/>
  <c r="M30" i="89"/>
  <c r="M272" i="89"/>
  <c r="N245" i="64"/>
  <c r="N354" i="64"/>
  <c r="N355" i="64" s="1"/>
  <c r="N356" i="64" s="1"/>
  <c r="N278" i="64" s="1"/>
  <c r="X187" i="56"/>
  <c r="Y118" i="56"/>
  <c r="Y187" i="56" s="1"/>
  <c r="Y98" i="64"/>
  <c r="X99" i="64"/>
  <c r="X96" i="64"/>
  <c r="X133" i="64" s="1"/>
  <c r="X353" i="64" s="1"/>
  <c r="X244" i="64" s="1"/>
  <c r="X192" i="56"/>
  <c r="Y123" i="56"/>
  <c r="Y192" i="56" s="1"/>
  <c r="I175" i="89"/>
  <c r="Z78" i="64"/>
  <c r="Z125" i="64" s="1"/>
  <c r="Z124" i="64" s="1"/>
  <c r="Y125" i="64"/>
  <c r="Y124" i="64" s="1"/>
  <c r="U320" i="92"/>
  <c r="U206" i="92"/>
  <c r="U207" i="92" s="1"/>
  <c r="Y120" i="56"/>
  <c r="Y189" i="56" s="1"/>
  <c r="X189" i="56"/>
  <c r="V189" i="47"/>
  <c r="S189" i="47"/>
  <c r="P175" i="88"/>
  <c r="O175" i="88"/>
  <c r="L437" i="47"/>
  <c r="L438" i="47" s="1"/>
  <c r="L361" i="47" s="1"/>
  <c r="L36" i="57"/>
  <c r="L65" i="57" s="1"/>
  <c r="P29" i="88"/>
  <c r="Q28" i="88"/>
  <c r="M451" i="56"/>
  <c r="M456" i="56" s="1"/>
  <c r="N451" i="56" s="1"/>
  <c r="N456" i="56" s="1"/>
  <c r="O451" i="56" s="1"/>
  <c r="O456" i="56" s="1"/>
  <c r="P451" i="56" s="1"/>
  <c r="P456" i="56" s="1"/>
  <c r="R160" i="88"/>
  <c r="Q232" i="88"/>
  <c r="R173" i="88"/>
  <c r="Q175" i="88"/>
  <c r="M337" i="79"/>
  <c r="M308" i="79"/>
  <c r="Q316" i="92" l="1"/>
  <c r="Z250" i="92"/>
  <c r="Y252" i="92"/>
  <c r="V37" i="72"/>
  <c r="W36" i="72"/>
  <c r="W460" i="56"/>
  <c r="V486" i="56"/>
  <c r="U350" i="56"/>
  <c r="U244" i="56"/>
  <c r="W222" i="56"/>
  <c r="M376" i="64"/>
  <c r="N372" i="64" s="1"/>
  <c r="M279" i="64"/>
  <c r="O168" i="64"/>
  <c r="O195" i="64"/>
  <c r="P63" i="64"/>
  <c r="P111" i="64" s="1"/>
  <c r="Q7" i="64"/>
  <c r="P148" i="64"/>
  <c r="P189" i="64" s="1"/>
  <c r="P219" i="64" s="1"/>
  <c r="P270" i="64" s="1"/>
  <c r="P318" i="64" s="1"/>
  <c r="P364" i="64" s="1"/>
  <c r="N170" i="64"/>
  <c r="N276" i="64"/>
  <c r="N374" i="64"/>
  <c r="N336" i="64"/>
  <c r="O6" i="57"/>
  <c r="O135" i="57" s="1"/>
  <c r="O350" i="64"/>
  <c r="O351" i="64" s="1"/>
  <c r="O230" i="64"/>
  <c r="P153" i="64"/>
  <c r="P162" i="64" s="1"/>
  <c r="P349" i="64"/>
  <c r="P236" i="64" s="1"/>
  <c r="P368" i="64"/>
  <c r="P370" i="64" s="1"/>
  <c r="P9" i="57"/>
  <c r="P476" i="64"/>
  <c r="P500" i="64" s="1"/>
  <c r="P322" i="64"/>
  <c r="P348" i="64"/>
  <c r="P204" i="64"/>
  <c r="P197" i="64"/>
  <c r="P194" i="64"/>
  <c r="Q204" i="64"/>
  <c r="O333" i="64"/>
  <c r="O334" i="64"/>
  <c r="O227" i="64" s="1"/>
  <c r="O418" i="64"/>
  <c r="O467" i="64" s="1"/>
  <c r="O510" i="64" s="1"/>
  <c r="O390" i="64"/>
  <c r="O407" i="64" s="1"/>
  <c r="R199" i="47"/>
  <c r="R462" i="47"/>
  <c r="Y454" i="47"/>
  <c r="M200" i="47"/>
  <c r="M201" i="47" s="1"/>
  <c r="S314" i="92"/>
  <c r="T314" i="92" s="1"/>
  <c r="Q302" i="92"/>
  <c r="S302" i="92" s="1"/>
  <c r="T302" i="92" s="1"/>
  <c r="W447" i="56"/>
  <c r="W449" i="56" s="1"/>
  <c r="L348" i="80"/>
  <c r="L340" i="80"/>
  <c r="M348" i="80"/>
  <c r="M484" i="79"/>
  <c r="M485" i="79" s="1"/>
  <c r="M417" i="79" s="1"/>
  <c r="Q625" i="80"/>
  <c r="Q391" i="80" s="1"/>
  <c r="Q394" i="80" s="1"/>
  <c r="R623" i="80"/>
  <c r="Q661" i="80"/>
  <c r="Q677" i="80" s="1"/>
  <c r="Q680" i="80" s="1"/>
  <c r="Q684" i="80" s="1"/>
  <c r="Q312" i="80" s="1"/>
  <c r="Q422" i="80" s="1"/>
  <c r="M9" i="89"/>
  <c r="M552" i="89"/>
  <c r="M556" i="89" s="1"/>
  <c r="M561" i="89" s="1"/>
  <c r="M568" i="89" s="1"/>
  <c r="M570" i="89" s="1"/>
  <c r="W238" i="90"/>
  <c r="W416" i="90" s="1"/>
  <c r="X247" i="90"/>
  <c r="X258" i="90" s="1"/>
  <c r="X260" i="90" s="1"/>
  <c r="W464" i="47"/>
  <c r="R151" i="47"/>
  <c r="R219" i="47" s="1"/>
  <c r="S299" i="92"/>
  <c r="T299" i="92" s="1"/>
  <c r="H23" i="89"/>
  <c r="H27" i="89" s="1"/>
  <c r="H32" i="89" s="1"/>
  <c r="I23" i="89"/>
  <c r="I27" i="89" s="1"/>
  <c r="I32" i="89" s="1"/>
  <c r="I50" i="89" s="1"/>
  <c r="X11" i="56"/>
  <c r="X447" i="56" s="1"/>
  <c r="X449" i="56" s="1"/>
  <c r="M436" i="47"/>
  <c r="N437" i="47" s="1"/>
  <c r="N438" i="47" s="1"/>
  <c r="N361" i="47" s="1"/>
  <c r="R243" i="47"/>
  <c r="T12" i="47"/>
  <c r="X464" i="47"/>
  <c r="S13" i="47"/>
  <c r="R231" i="47"/>
  <c r="V464" i="47"/>
  <c r="V458" i="47"/>
  <c r="V461" i="47" s="1"/>
  <c r="R153" i="47"/>
  <c r="R220" i="47" s="1"/>
  <c r="U370" i="47"/>
  <c r="U374" i="47" s="1"/>
  <c r="F485" i="47"/>
  <c r="Y485" i="47" s="1"/>
  <c r="R239" i="47"/>
  <c r="R238" i="47"/>
  <c r="S238" i="47" s="1"/>
  <c r="R11" i="47"/>
  <c r="R2" i="47" s="1"/>
  <c r="Q273" i="47"/>
  <c r="Q359" i="47" s="1"/>
  <c r="Q199" i="47"/>
  <c r="L423" i="47"/>
  <c r="L425" i="47" s="1"/>
  <c r="L426" i="47" s="1"/>
  <c r="L360" i="47" s="1"/>
  <c r="L363" i="47" s="1"/>
  <c r="M419" i="47"/>
  <c r="M307" i="47" s="1"/>
  <c r="M417" i="47"/>
  <c r="M308" i="47" s="1"/>
  <c r="V485" i="47"/>
  <c r="Q29" i="57"/>
  <c r="T280" i="56"/>
  <c r="U222" i="56"/>
  <c r="U225" i="56" s="1"/>
  <c r="U234" i="56" s="1"/>
  <c r="P34" i="56"/>
  <c r="U447" i="56"/>
  <c r="U449" i="56" s="1"/>
  <c r="N225" i="56"/>
  <c r="N234" i="56" s="1"/>
  <c r="O29" i="57"/>
  <c r="Y236" i="56"/>
  <c r="N413" i="56"/>
  <c r="N302" i="56" s="1"/>
  <c r="N432" i="56"/>
  <c r="N318" i="56" s="1"/>
  <c r="N316" i="56" s="1"/>
  <c r="N412" i="56"/>
  <c r="N427" i="56"/>
  <c r="N305" i="56" s="1"/>
  <c r="N431" i="56"/>
  <c r="Y229" i="56"/>
  <c r="P269" i="56"/>
  <c r="P225" i="56"/>
  <c r="P234" i="56" s="1"/>
  <c r="P272" i="56"/>
  <c r="Q279" i="56"/>
  <c r="P279" i="56"/>
  <c r="Q8" i="57"/>
  <c r="Q6" i="57" s="1"/>
  <c r="Q135" i="57" s="1"/>
  <c r="P398" i="56"/>
  <c r="P526" i="56"/>
  <c r="P550" i="56" s="1"/>
  <c r="L200" i="64"/>
  <c r="M206" i="64"/>
  <c r="L206" i="64"/>
  <c r="W485" i="47"/>
  <c r="W248" i="90"/>
  <c r="W415" i="90"/>
  <c r="W21" i="57" s="1"/>
  <c r="N348" i="80"/>
  <c r="N340" i="80"/>
  <c r="O660" i="80"/>
  <c r="O676" i="80" s="1"/>
  <c r="O680" i="80" s="1"/>
  <c r="O684" i="80" s="1"/>
  <c r="O312" i="80" s="1"/>
  <c r="O422" i="80" s="1"/>
  <c r="K9" i="89"/>
  <c r="K254" i="89"/>
  <c r="K263" i="89"/>
  <c r="I13" i="89"/>
  <c r="J30" i="89"/>
  <c r="J32" i="89" s="1"/>
  <c r="J39" i="89" s="1"/>
  <c r="J41" i="89" s="1"/>
  <c r="J279" i="89"/>
  <c r="J281" i="89" s="1"/>
  <c r="J290" i="89"/>
  <c r="J293" i="89" s="1"/>
  <c r="K292" i="89" s="1"/>
  <c r="U13" i="57"/>
  <c r="T131" i="57"/>
  <c r="T199" i="57"/>
  <c r="J14" i="89"/>
  <c r="S51" i="57" s="1"/>
  <c r="S165" i="57" s="1"/>
  <c r="L254" i="89"/>
  <c r="L13" i="89" s="1"/>
  <c r="L263" i="89"/>
  <c r="L267" i="89" s="1"/>
  <c r="X415" i="90"/>
  <c r="X21" i="57" s="1"/>
  <c r="R23" i="90"/>
  <c r="R413" i="90" s="1"/>
  <c r="V22" i="90"/>
  <c r="AA203" i="90"/>
  <c r="W699" i="90"/>
  <c r="W704" i="90" s="1"/>
  <c r="X689" i="90" s="1"/>
  <c r="X699" i="90" s="1"/>
  <c r="Q787" i="90"/>
  <c r="T520" i="90"/>
  <c r="U520" i="90" s="1"/>
  <c r="T40" i="57"/>
  <c r="U434" i="90"/>
  <c r="U40" i="57" s="1"/>
  <c r="R209" i="90"/>
  <c r="R252" i="90" s="1"/>
  <c r="R188" i="90"/>
  <c r="R259" i="90"/>
  <c r="R239" i="90"/>
  <c r="V209" i="90"/>
  <c r="V252" i="90" s="1"/>
  <c r="Z251" i="90"/>
  <c r="P756" i="90"/>
  <c r="P785" i="90" s="1"/>
  <c r="P430" i="90" s="1"/>
  <c r="P432" i="90" s="1"/>
  <c r="X558" i="90"/>
  <c r="Y512" i="90"/>
  <c r="R232" i="47"/>
  <c r="Q515" i="47"/>
  <c r="Q328" i="47" s="1"/>
  <c r="S461" i="47"/>
  <c r="N311" i="47"/>
  <c r="N491" i="47"/>
  <c r="N492" i="47" s="1"/>
  <c r="M491" i="47"/>
  <c r="M492" i="47" s="1"/>
  <c r="M311" i="47"/>
  <c r="U170" i="47"/>
  <c r="U417" i="47" s="1"/>
  <c r="U308" i="47" s="1"/>
  <c r="S512" i="47"/>
  <c r="U512" i="47" s="1"/>
  <c r="V518" i="47" s="1"/>
  <c r="V521" i="47" s="1"/>
  <c r="V381" i="47" s="1"/>
  <c r="W95" i="57" s="1"/>
  <c r="O219" i="47"/>
  <c r="S149" i="47"/>
  <c r="S151" i="47"/>
  <c r="S153" i="47"/>
  <c r="M185" i="47"/>
  <c r="M227" i="47" s="1"/>
  <c r="M277" i="47" s="1"/>
  <c r="M364" i="47" s="1"/>
  <c r="S20" i="47"/>
  <c r="S15" i="47"/>
  <c r="T15" i="47" s="1"/>
  <c r="U187" i="57" s="1"/>
  <c r="S243" i="47"/>
  <c r="M229" i="47"/>
  <c r="M228" i="47" s="1"/>
  <c r="M264" i="47" s="1"/>
  <c r="Q258" i="47"/>
  <c r="U7" i="47"/>
  <c r="Q139" i="47"/>
  <c r="Q211" i="47" s="1"/>
  <c r="N202" i="47"/>
  <c r="N248" i="47" s="1"/>
  <c r="P202" i="47"/>
  <c r="P201" i="47"/>
  <c r="U147" i="47"/>
  <c r="U12" i="47"/>
  <c r="U130" i="47"/>
  <c r="W118" i="47"/>
  <c r="W113" i="47"/>
  <c r="U176" i="47"/>
  <c r="Q177" i="47"/>
  <c r="Y73" i="47"/>
  <c r="Y85" i="47" s="1"/>
  <c r="Y74" i="47"/>
  <c r="Y87" i="47" s="1"/>
  <c r="V297" i="47"/>
  <c r="U353" i="47"/>
  <c r="U400" i="47" s="1"/>
  <c r="U446" i="47" s="1"/>
  <c r="U500" i="47" s="1"/>
  <c r="U542" i="47" s="1"/>
  <c r="Q151" i="47"/>
  <c r="Q146" i="47"/>
  <c r="Q149" i="47" s="1"/>
  <c r="Q152" i="47"/>
  <c r="O246" i="47"/>
  <c r="O250" i="47"/>
  <c r="O231" i="47"/>
  <c r="O235" i="47"/>
  <c r="O245" i="47"/>
  <c r="O240" i="47"/>
  <c r="O233" i="47"/>
  <c r="O237" i="47"/>
  <c r="O234" i="47"/>
  <c r="O239" i="47"/>
  <c r="O244" i="47"/>
  <c r="O226" i="47"/>
  <c r="O225" i="47"/>
  <c r="O247" i="47"/>
  <c r="O223" i="47"/>
  <c r="O227" i="47"/>
  <c r="O229" i="47"/>
  <c r="O238" i="47"/>
  <c r="O224" i="47"/>
  <c r="R353" i="47"/>
  <c r="R400" i="47" s="1"/>
  <c r="R446" i="47" s="1"/>
  <c r="R500" i="47" s="1"/>
  <c r="R542" i="47" s="1"/>
  <c r="S297" i="47"/>
  <c r="S353" i="47" s="1"/>
  <c r="S400" i="47" s="1"/>
  <c r="S446" i="47" s="1"/>
  <c r="S500" i="47" s="1"/>
  <c r="S542" i="47" s="1"/>
  <c r="P312" i="47"/>
  <c r="Q466" i="47"/>
  <c r="Q468" i="47" s="1"/>
  <c r="R466" i="47"/>
  <c r="R468" i="47" s="1"/>
  <c r="U485" i="47"/>
  <c r="U490" i="47" s="1"/>
  <c r="U273" i="47" s="1"/>
  <c r="U359" i="47" s="1"/>
  <c r="V119" i="47"/>
  <c r="V129" i="47" s="1"/>
  <c r="V117" i="47"/>
  <c r="V170" i="47" s="1"/>
  <c r="V417" i="47" s="1"/>
  <c r="V308" i="47" s="1"/>
  <c r="O262" i="47"/>
  <c r="O416" i="47"/>
  <c r="O418" i="47"/>
  <c r="O305" i="47" s="1"/>
  <c r="L72" i="57"/>
  <c r="R216" i="47"/>
  <c r="X485" i="47"/>
  <c r="O220" i="47"/>
  <c r="O419" i="47"/>
  <c r="O307" i="47" s="1"/>
  <c r="O200" i="47"/>
  <c r="O186" i="47" s="1"/>
  <c r="O222" i="47" s="1"/>
  <c r="O232" i="47"/>
  <c r="Q174" i="47"/>
  <c r="U173" i="47"/>
  <c r="Q243" i="47"/>
  <c r="Q15" i="47"/>
  <c r="Q216" i="47" s="1"/>
  <c r="Q13" i="47"/>
  <c r="X107" i="47"/>
  <c r="X179" i="47"/>
  <c r="X93" i="47"/>
  <c r="X165" i="47" s="1"/>
  <c r="O269" i="47"/>
  <c r="P24" i="57" s="1"/>
  <c r="R13" i="47"/>
  <c r="O218" i="47"/>
  <c r="Q417" i="47"/>
  <c r="V317" i="92"/>
  <c r="M209" i="88"/>
  <c r="L198" i="88"/>
  <c r="M119" i="88"/>
  <c r="N117" i="88" s="1"/>
  <c r="N118" i="88" s="1"/>
  <c r="N13" i="88" s="1"/>
  <c r="N197" i="88" s="1"/>
  <c r="M15" i="88"/>
  <c r="M207" i="88" s="1"/>
  <c r="M197" i="88"/>
  <c r="Y11" i="56"/>
  <c r="Y222" i="56" s="1"/>
  <c r="M13" i="89"/>
  <c r="I15" i="89"/>
  <c r="I16" i="89" s="1"/>
  <c r="M15" i="89"/>
  <c r="M16" i="89" s="1"/>
  <c r="K192" i="89"/>
  <c r="L207" i="88"/>
  <c r="L199" i="88"/>
  <c r="L208" i="88"/>
  <c r="L211" i="88"/>
  <c r="L210" i="88"/>
  <c r="L16" i="88"/>
  <c r="L19" i="88" s="1"/>
  <c r="L20" i="88" s="1"/>
  <c r="L11" i="88" s="1"/>
  <c r="L225" i="88" s="1"/>
  <c r="L228" i="88" s="1"/>
  <c r="L206" i="88"/>
  <c r="L201" i="88"/>
  <c r="K211" i="88"/>
  <c r="K210" i="88"/>
  <c r="K208" i="88"/>
  <c r="K275" i="88"/>
  <c r="K523" i="88"/>
  <c r="K524" i="88" s="1"/>
  <c r="AA417" i="90"/>
  <c r="AA242" i="90"/>
  <c r="AA244" i="90" s="1"/>
  <c r="S462" i="47"/>
  <c r="S199" i="47"/>
  <c r="S273" i="47"/>
  <c r="AA855" i="90"/>
  <c r="AA869" i="90" s="1"/>
  <c r="W27" i="72"/>
  <c r="V29" i="72"/>
  <c r="V31" i="72" s="1"/>
  <c r="W285" i="92"/>
  <c r="W166" i="92"/>
  <c r="W413" i="92"/>
  <c r="W437" i="92" s="1"/>
  <c r="X12" i="57"/>
  <c r="W115" i="92"/>
  <c r="Z855" i="90"/>
  <c r="Z869" i="90" s="1"/>
  <c r="X334" i="92"/>
  <c r="X112" i="92"/>
  <c r="X101" i="92"/>
  <c r="X128" i="92" s="1"/>
  <c r="X123" i="92" s="1"/>
  <c r="W165" i="56"/>
  <c r="X111" i="56"/>
  <c r="K199" i="88"/>
  <c r="X871" i="90"/>
  <c r="X875" i="90" s="1"/>
  <c r="X434" i="90" s="1"/>
  <c r="X520" i="90" s="1"/>
  <c r="N368" i="80"/>
  <c r="Y188" i="90"/>
  <c r="Y248" i="90" s="1"/>
  <c r="X821" i="90"/>
  <c r="X492" i="90" s="1"/>
  <c r="P774" i="90"/>
  <c r="P770" i="90" s="1"/>
  <c r="P788" i="90" s="1"/>
  <c r="X238" i="90"/>
  <c r="X561" i="90" s="1"/>
  <c r="U193" i="90"/>
  <c r="T249" i="90"/>
  <c r="U249" i="90" s="1"/>
  <c r="V163" i="56"/>
  <c r="H13" i="95"/>
  <c r="I13" i="95" s="1"/>
  <c r="E13" i="95"/>
  <c r="M579" i="88"/>
  <c r="M593" i="88" s="1"/>
  <c r="T211" i="90"/>
  <c r="T209" i="90" s="1"/>
  <c r="U210" i="90"/>
  <c r="AC53" i="90"/>
  <c r="AB52" i="90"/>
  <c r="AB240" i="90" s="1"/>
  <c r="AB417" i="90" s="1"/>
  <c r="W166" i="56"/>
  <c r="X112" i="56"/>
  <c r="Q299" i="80"/>
  <c r="Q298" i="80" s="1"/>
  <c r="Q306" i="80" s="1"/>
  <c r="Q310" i="80" s="1"/>
  <c r="R300" i="80"/>
  <c r="U317" i="92"/>
  <c r="R703" i="90"/>
  <c r="P517" i="64"/>
  <c r="P531" i="64" s="1"/>
  <c r="Q482" i="64"/>
  <c r="T38" i="72"/>
  <c r="T40" i="72" s="1"/>
  <c r="Q40" i="72"/>
  <c r="Q42" i="72" s="1"/>
  <c r="R42" i="72" s="1"/>
  <c r="S42" i="72" s="1"/>
  <c r="U38" i="72"/>
  <c r="X144" i="56"/>
  <c r="Y92" i="56"/>
  <c r="Y144" i="56" s="1"/>
  <c r="U212" i="90"/>
  <c r="K201" i="88"/>
  <c r="O777" i="90"/>
  <c r="O789" i="90" s="1"/>
  <c r="O836" i="90"/>
  <c r="V690" i="90"/>
  <c r="V688" i="90" s="1"/>
  <c r="V194" i="56"/>
  <c r="L429" i="56"/>
  <c r="L430" i="56" s="1"/>
  <c r="X458" i="47"/>
  <c r="X370" i="47" s="1"/>
  <c r="P15" i="72"/>
  <c r="Y11" i="92"/>
  <c r="Y100" i="92"/>
  <c r="Y127" i="92" s="1"/>
  <c r="S374" i="47"/>
  <c r="T374" i="47" s="1"/>
  <c r="T370" i="47"/>
  <c r="U80" i="57" s="1"/>
  <c r="U90" i="57" s="1"/>
  <c r="T80" i="57"/>
  <c r="T90" i="57" s="1"/>
  <c r="Q480" i="64"/>
  <c r="P483" i="64"/>
  <c r="P249" i="64" s="1"/>
  <c r="Q16" i="72"/>
  <c r="T47" i="72"/>
  <c r="U47" i="72"/>
  <c r="Q51" i="72"/>
  <c r="Q53" i="72" s="1"/>
  <c r="R53" i="72" s="1"/>
  <c r="S53" i="72" s="1"/>
  <c r="X27" i="57"/>
  <c r="W159" i="92"/>
  <c r="N426" i="64"/>
  <c r="N301" i="64"/>
  <c r="N105" i="57" s="1"/>
  <c r="W164" i="56"/>
  <c r="W109" i="56"/>
  <c r="X110" i="56"/>
  <c r="Q173" i="57"/>
  <c r="U41" i="57"/>
  <c r="J348" i="88"/>
  <c r="T17" i="90"/>
  <c r="U16" i="90"/>
  <c r="T23" i="90"/>
  <c r="K206" i="88"/>
  <c r="K207" i="88"/>
  <c r="Q355" i="64"/>
  <c r="R224" i="79"/>
  <c r="P248" i="47"/>
  <c r="Z13" i="92"/>
  <c r="AA14" i="92"/>
  <c r="X494" i="56"/>
  <c r="X218" i="56"/>
  <c r="X344" i="56"/>
  <c r="X138" i="56"/>
  <c r="X81" i="56"/>
  <c r="X517" i="56"/>
  <c r="X294" i="56"/>
  <c r="X264" i="56"/>
  <c r="X443" i="56"/>
  <c r="X394" i="56"/>
  <c r="Y7" i="56"/>
  <c r="X560" i="56"/>
  <c r="U198" i="90"/>
  <c r="T196" i="90"/>
  <c r="P532" i="56"/>
  <c r="P539" i="56"/>
  <c r="P372" i="56" s="1"/>
  <c r="Q95" i="57" s="1"/>
  <c r="K179" i="64"/>
  <c r="K282" i="64" s="1"/>
  <c r="K180" i="64"/>
  <c r="T188" i="90"/>
  <c r="U189" i="90"/>
  <c r="V513" i="47"/>
  <c r="V548" i="47" s="1"/>
  <c r="V562" i="47" s="1"/>
  <c r="U530" i="56"/>
  <c r="U565" i="56" s="1"/>
  <c r="U579" i="56" s="1"/>
  <c r="U235" i="90"/>
  <c r="T259" i="90"/>
  <c r="U259" i="90" s="1"/>
  <c r="T239" i="90"/>
  <c r="I472" i="89"/>
  <c r="I474" i="89" s="1"/>
  <c r="I483" i="89"/>
  <c r="O274" i="56"/>
  <c r="P126" i="57"/>
  <c r="O246" i="56"/>
  <c r="U66" i="88"/>
  <c r="T71" i="88"/>
  <c r="T90" i="88" s="1"/>
  <c r="T95" i="88" s="1"/>
  <c r="T114" i="88" s="1"/>
  <c r="T115" i="88" s="1"/>
  <c r="U112" i="88" s="1"/>
  <c r="Y88" i="56"/>
  <c r="Y143" i="56" s="1"/>
  <c r="X143" i="56"/>
  <c r="K283" i="64"/>
  <c r="K292" i="64" s="1"/>
  <c r="T22" i="90"/>
  <c r="U22" i="90" s="1"/>
  <c r="U21" i="90"/>
  <c r="K200" i="88"/>
  <c r="P322" i="92"/>
  <c r="P239" i="92" s="1"/>
  <c r="K16" i="88"/>
  <c r="K140" i="88" s="1"/>
  <c r="K193" i="88" s="1"/>
  <c r="R274" i="79"/>
  <c r="O544" i="88"/>
  <c r="O579" i="88" s="1"/>
  <c r="O593" i="88" s="1"/>
  <c r="P71" i="72"/>
  <c r="Y22" i="90"/>
  <c r="U311" i="90"/>
  <c r="T295" i="90"/>
  <c r="U295" i="90" s="1"/>
  <c r="P451" i="64"/>
  <c r="P454" i="64" s="1"/>
  <c r="O456" i="64"/>
  <c r="O439" i="64"/>
  <c r="O441" i="64" s="1"/>
  <c r="O443" i="64" s="1"/>
  <c r="V783" i="90"/>
  <c r="W762" i="90" s="1"/>
  <c r="W776" i="90" s="1"/>
  <c r="V471" i="90"/>
  <c r="W727" i="90"/>
  <c r="S513" i="47"/>
  <c r="R515" i="47"/>
  <c r="R328" i="47" s="1"/>
  <c r="U796" i="90"/>
  <c r="T797" i="90"/>
  <c r="T354" i="56"/>
  <c r="R248" i="56"/>
  <c r="S248" i="56" s="1"/>
  <c r="L335" i="47"/>
  <c r="M333" i="47" s="1"/>
  <c r="N377" i="80"/>
  <c r="P516" i="90"/>
  <c r="I363" i="88"/>
  <c r="W361" i="90"/>
  <c r="W400" i="90" s="1"/>
  <c r="W401" i="90" s="1"/>
  <c r="W412" i="90"/>
  <c r="W364" i="90"/>
  <c r="W286" i="90"/>
  <c r="L301" i="56"/>
  <c r="L300" i="56" s="1"/>
  <c r="L415" i="56"/>
  <c r="Q427" i="88"/>
  <c r="R426" i="88"/>
  <c r="O369" i="80"/>
  <c r="O368" i="80" s="1"/>
  <c r="O482" i="80"/>
  <c r="O469" i="80"/>
  <c r="Q473" i="88"/>
  <c r="R472" i="88"/>
  <c r="Y726" i="90"/>
  <c r="Q262" i="88"/>
  <c r="R261" i="88"/>
  <c r="X131" i="92"/>
  <c r="Y33" i="57" s="1"/>
  <c r="X237" i="92"/>
  <c r="X153" i="64"/>
  <c r="X348" i="64"/>
  <c r="X230" i="64" s="1"/>
  <c r="X9" i="57"/>
  <c r="X204" i="64"/>
  <c r="X476" i="64"/>
  <c r="X500" i="64" s="1"/>
  <c r="X349" i="64"/>
  <c r="X236" i="64" s="1"/>
  <c r="X368" i="64"/>
  <c r="X369" i="64" s="1"/>
  <c r="X322" i="64"/>
  <c r="W196" i="56"/>
  <c r="X130" i="56"/>
  <c r="Q526" i="80"/>
  <c r="Q529" i="80" s="1"/>
  <c r="F544" i="80"/>
  <c r="Q428" i="80"/>
  <c r="Q432" i="80" s="1"/>
  <c r="AB155" i="90"/>
  <c r="R151" i="88"/>
  <c r="L497" i="80"/>
  <c r="L498" i="80" s="1"/>
  <c r="L503" i="80" s="1"/>
  <c r="L420" i="80" s="1"/>
  <c r="L373" i="80"/>
  <c r="Y60" i="57"/>
  <c r="Z3" i="57"/>
  <c r="Z60" i="57" s="1"/>
  <c r="V57" i="92"/>
  <c r="V55" i="92"/>
  <c r="V85" i="92" s="1"/>
  <c r="V83" i="92" s="1"/>
  <c r="V63" i="92"/>
  <c r="V89" i="92" s="1"/>
  <c r="V87" i="92" s="1"/>
  <c r="V119" i="92" s="1"/>
  <c r="N405" i="47"/>
  <c r="N422" i="47"/>
  <c r="N266" i="47"/>
  <c r="N271" i="47" s="1"/>
  <c r="N275" i="47" s="1"/>
  <c r="N358" i="47" s="1"/>
  <c r="O18" i="57"/>
  <c r="Z197" i="90"/>
  <c r="Z198" i="90" s="1"/>
  <c r="Z199" i="90"/>
  <c r="Z200" i="90" s="1"/>
  <c r="Z201" i="90"/>
  <c r="W333" i="64"/>
  <c r="W226" i="64" s="1"/>
  <c r="W334" i="64"/>
  <c r="W227" i="64" s="1"/>
  <c r="K347" i="88"/>
  <c r="K537" i="88" s="1"/>
  <c r="J564" i="88"/>
  <c r="K582" i="88" s="1"/>
  <c r="L602" i="88" s="1"/>
  <c r="L604" i="88" s="1"/>
  <c r="L243" i="88" s="1"/>
  <c r="L323" i="88" s="1"/>
  <c r="J266" i="88"/>
  <c r="J273" i="88" s="1"/>
  <c r="J277" i="88" s="1"/>
  <c r="J300" i="88" s="1"/>
  <c r="S623" i="79"/>
  <c r="S389" i="79" s="1"/>
  <c r="X417" i="92"/>
  <c r="W420" i="92"/>
  <c r="W210" i="92" s="1"/>
  <c r="L270" i="56"/>
  <c r="L242" i="56"/>
  <c r="M280" i="56" s="1"/>
  <c r="O499" i="79"/>
  <c r="O500" i="79" s="1"/>
  <c r="O385" i="79"/>
  <c r="P579" i="88"/>
  <c r="P593" i="88" s="1"/>
  <c r="P544" i="88"/>
  <c r="W370" i="47"/>
  <c r="W461" i="47"/>
  <c r="F487" i="47"/>
  <c r="AE64" i="90"/>
  <c r="P307" i="47"/>
  <c r="P421" i="47"/>
  <c r="V259" i="90"/>
  <c r="V239" i="90"/>
  <c r="S517" i="79"/>
  <c r="S521" i="79" s="1"/>
  <c r="S374" i="79" s="1"/>
  <c r="R374" i="79"/>
  <c r="Y84" i="92"/>
  <c r="Z52" i="92"/>
  <c r="W470" i="90"/>
  <c r="X797" i="90"/>
  <c r="W406" i="56"/>
  <c r="V409" i="56"/>
  <c r="Q289" i="79"/>
  <c r="Q28" i="79"/>
  <c r="AB204" i="90"/>
  <c r="AB205" i="90" s="1"/>
  <c r="J361" i="88"/>
  <c r="J362" i="88" s="1"/>
  <c r="J363" i="88" s="1"/>
  <c r="J336" i="88"/>
  <c r="J535" i="88"/>
  <c r="J540" i="88" s="1"/>
  <c r="J554" i="88" s="1"/>
  <c r="J561" i="88" s="1"/>
  <c r="Y832" i="90"/>
  <c r="Y856" i="90"/>
  <c r="Y870" i="90" s="1"/>
  <c r="X491" i="90"/>
  <c r="P264" i="47"/>
  <c r="P215" i="47"/>
  <c r="P249" i="47" s="1"/>
  <c r="N482" i="79"/>
  <c r="N383" i="79"/>
  <c r="N382" i="79" s="1"/>
  <c r="N386" i="79" s="1"/>
  <c r="N392" i="79" s="1"/>
  <c r="N470" i="79"/>
  <c r="O481" i="79"/>
  <c r="L472" i="80"/>
  <c r="L385" i="80"/>
  <c r="L384" i="80" s="1"/>
  <c r="L388" i="80" s="1"/>
  <c r="L394" i="80" s="1"/>
  <c r="L484" i="80"/>
  <c r="T358" i="88"/>
  <c r="U357" i="88"/>
  <c r="AD58" i="90"/>
  <c r="AC57" i="90"/>
  <c r="W128" i="56"/>
  <c r="X129" i="56"/>
  <c r="W195" i="56"/>
  <c r="AD72" i="90"/>
  <c r="N495" i="79"/>
  <c r="N496" i="79" s="1"/>
  <c r="N501" i="79" s="1"/>
  <c r="N418" i="79" s="1"/>
  <c r="N371" i="79"/>
  <c r="Q83" i="92"/>
  <c r="S85" i="92"/>
  <c r="T85" i="92" s="1"/>
  <c r="M483" i="88"/>
  <c r="M488" i="88" s="1"/>
  <c r="L523" i="88"/>
  <c r="L524" i="88" s="1"/>
  <c r="L275" i="88"/>
  <c r="L469" i="80"/>
  <c r="L369" i="80"/>
  <c r="L368" i="80" s="1"/>
  <c r="L482" i="80"/>
  <c r="N307" i="47"/>
  <c r="N421" i="47"/>
  <c r="Y17" i="90"/>
  <c r="Y20" i="90" s="1"/>
  <c r="Y23" i="90"/>
  <c r="W452" i="92"/>
  <c r="W466" i="92" s="1"/>
  <c r="M502" i="80"/>
  <c r="R149" i="88"/>
  <c r="Q454" i="88"/>
  <c r="P457" i="88"/>
  <c r="P458" i="88" s="1"/>
  <c r="P459" i="88" s="1"/>
  <c r="M385" i="80"/>
  <c r="M384" i="80" s="1"/>
  <c r="M388" i="80" s="1"/>
  <c r="M394" i="80" s="1"/>
  <c r="M484" i="80"/>
  <c r="M472" i="80"/>
  <c r="O478" i="79"/>
  <c r="O368" i="79" s="1"/>
  <c r="N368" i="79"/>
  <c r="Q87" i="92"/>
  <c r="S89" i="92"/>
  <c r="T89" i="92" s="1"/>
  <c r="S135" i="92"/>
  <c r="R39" i="57"/>
  <c r="R74" i="57" s="1"/>
  <c r="Q241" i="92"/>
  <c r="S241" i="92" s="1"/>
  <c r="T241" i="92" s="1"/>
  <c r="P234" i="64"/>
  <c r="Q383" i="64"/>
  <c r="Q387" i="64" s="1"/>
  <c r="W186" i="88"/>
  <c r="V187" i="88"/>
  <c r="V181" i="56"/>
  <c r="V426" i="56"/>
  <c r="V304" i="56" s="1"/>
  <c r="V228" i="56"/>
  <c r="X639" i="90"/>
  <c r="X424" i="92"/>
  <c r="X426" i="92" s="1"/>
  <c r="X259" i="92" s="1"/>
  <c r="Y97" i="57" s="1"/>
  <c r="W453" i="92"/>
  <c r="W467" i="92" s="1"/>
  <c r="P313" i="88"/>
  <c r="Q312" i="88"/>
  <c r="X428" i="47"/>
  <c r="W431" i="47"/>
  <c r="Q100" i="88"/>
  <c r="R97" i="88"/>
  <c r="O545" i="88"/>
  <c r="Q388" i="79"/>
  <c r="R661" i="79"/>
  <c r="R677" i="79" s="1"/>
  <c r="R678" i="79" s="1"/>
  <c r="R682" i="79" s="1"/>
  <c r="R310" i="79" s="1"/>
  <c r="R420" i="79" s="1"/>
  <c r="V531" i="56"/>
  <c r="V539" i="56"/>
  <c r="V372" i="56" s="1"/>
  <c r="W99" i="57" s="1"/>
  <c r="Y17" i="72"/>
  <c r="X9" i="64"/>
  <c r="W150" i="64"/>
  <c r="W191" i="64" s="1"/>
  <c r="W221" i="64" s="1"/>
  <c r="W272" i="64" s="1"/>
  <c r="W320" i="64" s="1"/>
  <c r="W366" i="64" s="1"/>
  <c r="W420" i="64" s="1"/>
  <c r="W469" i="64" s="1"/>
  <c r="W512" i="64" s="1"/>
  <c r="W65" i="64"/>
  <c r="W113" i="64" s="1"/>
  <c r="U458" i="56"/>
  <c r="U461" i="56" s="1"/>
  <c r="Q309" i="56"/>
  <c r="P319" i="80"/>
  <c r="P317" i="80" s="1"/>
  <c r="P424" i="80" s="1"/>
  <c r="P425" i="80" s="1"/>
  <c r="V432" i="47"/>
  <c r="V433" i="47" s="1"/>
  <c r="V314" i="47"/>
  <c r="Z22" i="64"/>
  <c r="Z53" i="64"/>
  <c r="Z51" i="64" s="1"/>
  <c r="Z152" i="64" s="1"/>
  <c r="U577" i="90"/>
  <c r="X370" i="90"/>
  <c r="X426" i="90"/>
  <c r="X425" i="90"/>
  <c r="X30" i="57" s="1"/>
  <c r="R96" i="88"/>
  <c r="Q99" i="88"/>
  <c r="Y20" i="92"/>
  <c r="Z18" i="92"/>
  <c r="Q718" i="90"/>
  <c r="M482" i="80"/>
  <c r="M486" i="80" s="1"/>
  <c r="M469" i="80"/>
  <c r="M369" i="80"/>
  <c r="M368" i="80" s="1"/>
  <c r="O477" i="79"/>
  <c r="N467" i="79"/>
  <c r="N367" i="79"/>
  <c r="R86" i="88"/>
  <c r="Q87" i="88"/>
  <c r="AE54" i="90"/>
  <c r="AD76" i="90"/>
  <c r="P782" i="90"/>
  <c r="Q761" i="90" s="1"/>
  <c r="Q775" i="90" s="1"/>
  <c r="AC820" i="90"/>
  <c r="AC855" i="90" s="1"/>
  <c r="AC869" i="90" s="1"/>
  <c r="AB296" i="92"/>
  <c r="AC293" i="92"/>
  <c r="Y53" i="64"/>
  <c r="Y51" i="64" s="1"/>
  <c r="Y152" i="64" s="1"/>
  <c r="Y22" i="64"/>
  <c r="V338" i="92"/>
  <c r="V343" i="92" s="1"/>
  <c r="U195" i="92"/>
  <c r="O440" i="90"/>
  <c r="N498" i="90"/>
  <c r="N500" i="90" s="1"/>
  <c r="N502" i="90" s="1"/>
  <c r="N504" i="90" s="1"/>
  <c r="AD77" i="90"/>
  <c r="AC236" i="90"/>
  <c r="M497" i="80"/>
  <c r="N498" i="80" s="1"/>
  <c r="M373" i="80"/>
  <c r="W112" i="64"/>
  <c r="Q317" i="56"/>
  <c r="Q316" i="56" s="1"/>
  <c r="Q417" i="56"/>
  <c r="AA337" i="90"/>
  <c r="AA327" i="90"/>
  <c r="AA332" i="90"/>
  <c r="AA352" i="90"/>
  <c r="AA347" i="90"/>
  <c r="AA342" i="90"/>
  <c r="AA322" i="90"/>
  <c r="AD70" i="90"/>
  <c r="AB24" i="90"/>
  <c r="AB26" i="90" s="1"/>
  <c r="AB414" i="90" s="1"/>
  <c r="AB319" i="90"/>
  <c r="AB359" i="90"/>
  <c r="AB399" i="90" s="1"/>
  <c r="AB303" i="90"/>
  <c r="S9" i="57"/>
  <c r="T152" i="64"/>
  <c r="T9" i="57" s="1"/>
  <c r="S502" i="88"/>
  <c r="T502" i="88"/>
  <c r="U502" i="88"/>
  <c r="R502" i="88"/>
  <c r="Q502" i="88"/>
  <c r="Q522" i="88" s="1"/>
  <c r="Q485" i="88" s="1"/>
  <c r="Q237" i="88" s="1"/>
  <c r="Q318" i="88" s="1"/>
  <c r="Q532" i="88"/>
  <c r="R531" i="88"/>
  <c r="U705" i="90"/>
  <c r="T703" i="90"/>
  <c r="U703" i="90" s="1"/>
  <c r="S153" i="88"/>
  <c r="R154" i="88"/>
  <c r="AH67" i="90"/>
  <c r="AB795" i="90"/>
  <c r="R721" i="90"/>
  <c r="R469" i="90" s="1"/>
  <c r="V722" i="90"/>
  <c r="Q779" i="90"/>
  <c r="R758" i="90" s="1"/>
  <c r="AB855" i="90"/>
  <c r="AB869" i="90" s="1"/>
  <c r="J175" i="89"/>
  <c r="N422" i="56"/>
  <c r="M428" i="56"/>
  <c r="AB243" i="90"/>
  <c r="AB241" i="90"/>
  <c r="O472" i="80"/>
  <c r="O385" i="80"/>
  <c r="O384" i="80" s="1"/>
  <c r="O388" i="80" s="1"/>
  <c r="O484" i="80"/>
  <c r="T42" i="88"/>
  <c r="S176" i="88"/>
  <c r="L556" i="89"/>
  <c r="L561" i="89" s="1"/>
  <c r="X196" i="92"/>
  <c r="Y345" i="92"/>
  <c r="Y348" i="92" s="1"/>
  <c r="Q269" i="56"/>
  <c r="Q399" i="56"/>
  <c r="Z124" i="70"/>
  <c r="AC18" i="90"/>
  <c r="R780" i="90"/>
  <c r="V759" i="90" s="1"/>
  <c r="V773" i="90" s="1"/>
  <c r="V724" i="90"/>
  <c r="Y664" i="90"/>
  <c r="W665" i="90"/>
  <c r="V663" i="90"/>
  <c r="AG55" i="90"/>
  <c r="X48" i="47"/>
  <c r="W198" i="47"/>
  <c r="U663" i="90"/>
  <c r="T472" i="90"/>
  <c r="U472" i="90" s="1"/>
  <c r="T787" i="90"/>
  <c r="U787" i="90" s="1"/>
  <c r="W666" i="90"/>
  <c r="V706" i="90"/>
  <c r="W691" i="90" s="1"/>
  <c r="W701" i="90" s="1"/>
  <c r="Y667" i="90"/>
  <c r="X707" i="90"/>
  <c r="Y692" i="90" s="1"/>
  <c r="Y702" i="90" s="1"/>
  <c r="U183" i="56"/>
  <c r="U182" i="56"/>
  <c r="T65" i="72"/>
  <c r="AF69" i="90"/>
  <c r="AA427" i="90"/>
  <c r="AA562" i="90"/>
  <c r="AA576" i="90" s="1"/>
  <c r="AA577" i="90" s="1"/>
  <c r="T9" i="47"/>
  <c r="S141" i="47"/>
  <c r="S213" i="47" s="1"/>
  <c r="S260" i="47"/>
  <c r="Y723" i="90"/>
  <c r="K286" i="88"/>
  <c r="L557" i="88"/>
  <c r="L559" i="88" s="1"/>
  <c r="L581" i="88"/>
  <c r="L595" i="88" s="1"/>
  <c r="L596" i="88" s="1"/>
  <c r="O493" i="79"/>
  <c r="O494" i="79"/>
  <c r="O376" i="79" s="1"/>
  <c r="K367" i="80"/>
  <c r="K374" i="80" s="1"/>
  <c r="K381" i="80" s="1"/>
  <c r="K400" i="80" s="1"/>
  <c r="L450" i="80"/>
  <c r="L616" i="80" s="1"/>
  <c r="L545" i="89"/>
  <c r="Y710" i="90"/>
  <c r="S519" i="80"/>
  <c r="S523" i="80" s="1"/>
  <c r="S376" i="80" s="1"/>
  <c r="R376" i="80"/>
  <c r="R269" i="47"/>
  <c r="R617" i="80"/>
  <c r="R643" i="80" s="1"/>
  <c r="R644" i="80" s="1"/>
  <c r="S664" i="80" s="1"/>
  <c r="S686" i="80" s="1"/>
  <c r="S688" i="80" s="1"/>
  <c r="S313" i="80" s="1"/>
  <c r="S423" i="80" s="1"/>
  <c r="R515" i="80"/>
  <c r="R516" i="80" s="1"/>
  <c r="R465" i="80"/>
  <c r="R296" i="80"/>
  <c r="T477" i="88"/>
  <c r="U41" i="88"/>
  <c r="T478" i="88"/>
  <c r="H15" i="89"/>
  <c r="V188" i="90"/>
  <c r="Q235" i="64"/>
  <c r="R378" i="64"/>
  <c r="R381" i="64" s="1"/>
  <c r="U378" i="64"/>
  <c r="U381" i="64" s="1"/>
  <c r="U235" i="64" s="1"/>
  <c r="V61" i="72"/>
  <c r="U63" i="72"/>
  <c r="S291" i="80"/>
  <c r="S28" i="80"/>
  <c r="L417" i="56"/>
  <c r="L317" i="56"/>
  <c r="L316" i="56" s="1"/>
  <c r="X514" i="47"/>
  <c r="X549" i="47" s="1"/>
  <c r="X563" i="47" s="1"/>
  <c r="P146" i="88"/>
  <c r="P443" i="88" s="1"/>
  <c r="P272" i="88" s="1"/>
  <c r="Q144" i="88"/>
  <c r="O539" i="79"/>
  <c r="O544" i="79" s="1"/>
  <c r="N539" i="79"/>
  <c r="N544" i="79" s="1"/>
  <c r="K612" i="80"/>
  <c r="K618" i="80" s="1"/>
  <c r="K634" i="80" s="1"/>
  <c r="K641" i="80" s="1"/>
  <c r="K644" i="80" s="1"/>
  <c r="L664" i="80" s="1"/>
  <c r="L686" i="80" s="1"/>
  <c r="L688" i="80" s="1"/>
  <c r="L313" i="80" s="1"/>
  <c r="K436" i="80"/>
  <c r="AE40" i="90"/>
  <c r="AD216" i="90"/>
  <c r="Y99" i="56"/>
  <c r="Y148" i="56" s="1"/>
  <c r="X148" i="56"/>
  <c r="W79" i="92"/>
  <c r="W381" i="92"/>
  <c r="W108" i="92"/>
  <c r="W151" i="92"/>
  <c r="W330" i="92"/>
  <c r="W56" i="92"/>
  <c r="W181" i="92"/>
  <c r="W281" i="92"/>
  <c r="W447" i="92"/>
  <c r="W45" i="92"/>
  <c r="W404" i="92"/>
  <c r="X7" i="92"/>
  <c r="W231" i="92"/>
  <c r="R472" i="90"/>
  <c r="R208" i="79"/>
  <c r="R214" i="79" s="1"/>
  <c r="R11" i="79"/>
  <c r="Y457" i="47"/>
  <c r="Y464" i="47" s="1"/>
  <c r="Y456" i="47"/>
  <c r="Q131" i="88"/>
  <c r="R130" i="88"/>
  <c r="O497" i="80"/>
  <c r="O498" i="80" s="1"/>
  <c r="O503" i="80" s="1"/>
  <c r="O420" i="80" s="1"/>
  <c r="Q76" i="88"/>
  <c r="Q65" i="72"/>
  <c r="S15" i="79"/>
  <c r="S218" i="79" s="1"/>
  <c r="S220" i="79"/>
  <c r="AC424" i="90"/>
  <c r="AC214" i="90"/>
  <c r="Y168" i="47"/>
  <c r="W725" i="90"/>
  <c r="Q574" i="88"/>
  <c r="R573" i="88"/>
  <c r="W142" i="56"/>
  <c r="W414" i="56"/>
  <c r="W303" i="56" s="1"/>
  <c r="S432" i="47"/>
  <c r="S314" i="47"/>
  <c r="S26" i="79"/>
  <c r="S14" i="79"/>
  <c r="S212" i="79"/>
  <c r="S25" i="79"/>
  <c r="S210" i="79"/>
  <c r="S43" i="79"/>
  <c r="R72" i="88"/>
  <c r="S68" i="88"/>
  <c r="R74" i="88"/>
  <c r="W373" i="64"/>
  <c r="G402" i="64"/>
  <c r="W286" i="64"/>
  <c r="Y156" i="64"/>
  <c r="S479" i="88"/>
  <c r="S481" i="88" s="1"/>
  <c r="M246" i="56"/>
  <c r="M274" i="56"/>
  <c r="L319" i="56"/>
  <c r="L433" i="56"/>
  <c r="U118" i="92"/>
  <c r="U117" i="92" s="1"/>
  <c r="U95" i="92"/>
  <c r="U96" i="92" s="1"/>
  <c r="L546" i="88"/>
  <c r="L287" i="88" s="1"/>
  <c r="M543" i="88"/>
  <c r="M578" i="88" s="1"/>
  <c r="M592" i="88" s="1"/>
  <c r="X413" i="90"/>
  <c r="X11" i="90"/>
  <c r="X301" i="90"/>
  <c r="Y481" i="64"/>
  <c r="Y516" i="64" s="1"/>
  <c r="Y530" i="64" s="1"/>
  <c r="Z818" i="90"/>
  <c r="P463" i="79"/>
  <c r="P615" i="79"/>
  <c r="P641" i="79" s="1"/>
  <c r="P294" i="79"/>
  <c r="P304" i="79" s="1"/>
  <c r="P308" i="79" s="1"/>
  <c r="P513" i="79"/>
  <c r="P514" i="79" s="1"/>
  <c r="R227" i="47"/>
  <c r="R240" i="47"/>
  <c r="R244" i="47"/>
  <c r="R16" i="47"/>
  <c r="R247" i="47"/>
  <c r="R245" i="47"/>
  <c r="R246" i="47"/>
  <c r="S187" i="57"/>
  <c r="R230" i="47"/>
  <c r="R237" i="47"/>
  <c r="S237" i="47" s="1"/>
  <c r="R234" i="47"/>
  <c r="R233" i="47"/>
  <c r="R218" i="47"/>
  <c r="J503" i="88"/>
  <c r="R328" i="88"/>
  <c r="R332" i="88" s="1"/>
  <c r="R484" i="88"/>
  <c r="U673" i="90"/>
  <c r="T786" i="90"/>
  <c r="AA792" i="90"/>
  <c r="AA794" i="90" s="1"/>
  <c r="AA796" i="90" s="1"/>
  <c r="AA168" i="90"/>
  <c r="AA171" i="90"/>
  <c r="AA304" i="90"/>
  <c r="AA306" i="90" s="1"/>
  <c r="AA294" i="90" s="1"/>
  <c r="AA169" i="90"/>
  <c r="H13" i="89"/>
  <c r="N246" i="64"/>
  <c r="Y209" i="90"/>
  <c r="N502" i="80"/>
  <c r="W9" i="47"/>
  <c r="V260" i="47"/>
  <c r="V141" i="47"/>
  <c r="V213" i="47" s="1"/>
  <c r="Y239" i="90"/>
  <c r="Y259" i="90"/>
  <c r="O333" i="79"/>
  <c r="O304" i="79"/>
  <c r="O337" i="79" s="1"/>
  <c r="V17" i="90"/>
  <c r="V20" i="90" s="1"/>
  <c r="V23" i="90"/>
  <c r="U333" i="64"/>
  <c r="U226" i="64" s="1"/>
  <c r="U334" i="64"/>
  <c r="U227" i="64" s="1"/>
  <c r="Y819" i="90"/>
  <c r="K36" i="57"/>
  <c r="K47" i="57" s="1"/>
  <c r="K137" i="57"/>
  <c r="K136" i="57"/>
  <c r="Z147" i="90"/>
  <c r="Z194" i="90"/>
  <c r="Z193" i="90" s="1"/>
  <c r="Z249" i="90" s="1"/>
  <c r="M23" i="57"/>
  <c r="M31" i="57" s="1"/>
  <c r="P355" i="64"/>
  <c r="S222" i="79"/>
  <c r="Y853" i="90"/>
  <c r="Y867" i="90" s="1"/>
  <c r="R291" i="79"/>
  <c r="R464" i="79" s="1"/>
  <c r="AC419" i="92"/>
  <c r="AC454" i="92" s="1"/>
  <c r="AC468" i="92" s="1"/>
  <c r="W293" i="90"/>
  <c r="W368" i="90"/>
  <c r="S272" i="79"/>
  <c r="S23" i="79"/>
  <c r="S270" i="79" s="1"/>
  <c r="R771" i="90"/>
  <c r="Q222" i="88"/>
  <c r="R221" i="88"/>
  <c r="V675" i="90"/>
  <c r="R673" i="90"/>
  <c r="R786" i="90" s="1"/>
  <c r="R473" i="90" s="1"/>
  <c r="Y373" i="92"/>
  <c r="Z347" i="92"/>
  <c r="O417" i="80"/>
  <c r="O340" i="80"/>
  <c r="O348" i="80"/>
  <c r="J246" i="56"/>
  <c r="J274" i="56"/>
  <c r="K280" i="56"/>
  <c r="Z257" i="90"/>
  <c r="Z256" i="90"/>
  <c r="Z12" i="90"/>
  <c r="Z172" i="90"/>
  <c r="Z134" i="90"/>
  <c r="Z255" i="90"/>
  <c r="Z254" i="90"/>
  <c r="X67" i="88"/>
  <c r="W73" i="88"/>
  <c r="X674" i="90"/>
  <c r="AC132" i="90"/>
  <c r="AD125" i="90"/>
  <c r="AC139" i="90"/>
  <c r="AC155" i="90" s="1"/>
  <c r="U34" i="56"/>
  <c r="X229" i="56"/>
  <c r="N486" i="80"/>
  <c r="Q234" i="56"/>
  <c r="P307" i="92"/>
  <c r="P238" i="92" s="1"/>
  <c r="Q307" i="92"/>
  <c r="P215" i="92"/>
  <c r="P221" i="92" s="1"/>
  <c r="P222" i="92" s="1"/>
  <c r="Q385" i="92"/>
  <c r="H568" i="89"/>
  <c r="H570" i="89" s="1"/>
  <c r="H579" i="89"/>
  <c r="H582" i="89" s="1"/>
  <c r="I581" i="89" s="1"/>
  <c r="Q246" i="64"/>
  <c r="S206" i="92"/>
  <c r="T206" i="92" s="1"/>
  <c r="W8" i="57"/>
  <c r="V398" i="56"/>
  <c r="V225" i="56"/>
  <c r="V526" i="56"/>
  <c r="V550" i="56" s="1"/>
  <c r="V272" i="56"/>
  <c r="Q50" i="57"/>
  <c r="P243" i="92"/>
  <c r="X186" i="56"/>
  <c r="X212" i="56" s="1"/>
  <c r="X213" i="56" s="1"/>
  <c r="Y186" i="56"/>
  <c r="Y212" i="56" s="1"/>
  <c r="Y213" i="56" s="1"/>
  <c r="P246" i="64"/>
  <c r="T34" i="56"/>
  <c r="M496" i="79"/>
  <c r="M501" i="79" s="1"/>
  <c r="M418" i="79" s="1"/>
  <c r="L175" i="89"/>
  <c r="X197" i="64"/>
  <c r="Q187" i="92"/>
  <c r="S187" i="92" s="1"/>
  <c r="T187" i="92" s="1"/>
  <c r="S188" i="92"/>
  <c r="T188" i="92" s="1"/>
  <c r="R323" i="64"/>
  <c r="R194" i="64"/>
  <c r="R162" i="64"/>
  <c r="I182" i="89"/>
  <c r="I184" i="89" s="1"/>
  <c r="I192" i="89"/>
  <c r="I194" i="89" s="1"/>
  <c r="Z100" i="64"/>
  <c r="Z101" i="64" s="1"/>
  <c r="Y101" i="64"/>
  <c r="R350" i="64"/>
  <c r="R351" i="64" s="1"/>
  <c r="R229" i="64"/>
  <c r="T526" i="56"/>
  <c r="T550" i="56" s="1"/>
  <c r="U8" i="57"/>
  <c r="T279" i="56"/>
  <c r="T225" i="56"/>
  <c r="T272" i="56"/>
  <c r="T398" i="56"/>
  <c r="T269" i="56"/>
  <c r="Q321" i="92"/>
  <c r="S321" i="92" s="1"/>
  <c r="T321" i="92" s="1"/>
  <c r="S320" i="92"/>
  <c r="T320" i="92" s="1"/>
  <c r="Z98" i="64"/>
  <c r="Y99" i="64"/>
  <c r="Y96" i="64"/>
  <c r="Y133" i="64" s="1"/>
  <c r="Y353" i="64" s="1"/>
  <c r="Y244" i="64" s="1"/>
  <c r="M472" i="89"/>
  <c r="M474" i="89" s="1"/>
  <c r="M483" i="89"/>
  <c r="Q305" i="56"/>
  <c r="Q415" i="56"/>
  <c r="Q301" i="56"/>
  <c r="Q300" i="56" s="1"/>
  <c r="T123" i="92"/>
  <c r="T27" i="57"/>
  <c r="U321" i="92"/>
  <c r="V141" i="64"/>
  <c r="V347" i="64"/>
  <c r="V155" i="64"/>
  <c r="V154" i="64" s="1"/>
  <c r="W120" i="64"/>
  <c r="W116" i="64" s="1"/>
  <c r="X73" i="64"/>
  <c r="V276" i="64"/>
  <c r="V374" i="64"/>
  <c r="V170" i="64"/>
  <c r="Q433" i="56"/>
  <c r="Q319" i="56"/>
  <c r="I568" i="89"/>
  <c r="I570" i="89" s="1"/>
  <c r="I579" i="89"/>
  <c r="W526" i="56"/>
  <c r="W550" i="56" s="1"/>
  <c r="W225" i="56"/>
  <c r="X8" i="57"/>
  <c r="W398" i="56"/>
  <c r="W279" i="56"/>
  <c r="W272" i="56"/>
  <c r="U399" i="56"/>
  <c r="U154" i="64"/>
  <c r="S155" i="64"/>
  <c r="T155" i="64" s="1"/>
  <c r="N340" i="64"/>
  <c r="N341" i="64" s="1"/>
  <c r="N277" i="64" s="1"/>
  <c r="V321" i="92"/>
  <c r="Z102" i="64"/>
  <c r="Z166" i="64" s="1"/>
  <c r="Z164" i="64" s="1"/>
  <c r="Y166" i="64"/>
  <c r="Y164" i="64" s="1"/>
  <c r="AA20" i="57"/>
  <c r="V131" i="57"/>
  <c r="V165" i="57"/>
  <c r="U350" i="64"/>
  <c r="U351" i="64" s="1"/>
  <c r="U229" i="64"/>
  <c r="U417" i="56"/>
  <c r="U317" i="56"/>
  <c r="Y71" i="64"/>
  <c r="X118" i="64"/>
  <c r="S205" i="92"/>
  <c r="T205" i="92" s="1"/>
  <c r="Q203" i="92"/>
  <c r="S203" i="92" s="1"/>
  <c r="T203" i="92" s="1"/>
  <c r="O355" i="64"/>
  <c r="O356" i="64" s="1"/>
  <c r="O278" i="64" s="1"/>
  <c r="S316" i="92"/>
  <c r="T316" i="92" s="1"/>
  <c r="Q317" i="92"/>
  <c r="Q131" i="57"/>
  <c r="Q165" i="57"/>
  <c r="M290" i="89"/>
  <c r="M293" i="89" s="1"/>
  <c r="M279" i="89"/>
  <c r="M281" i="89" s="1"/>
  <c r="H472" i="89"/>
  <c r="H474" i="89" s="1"/>
  <c r="H483" i="89"/>
  <c r="H486" i="89" s="1"/>
  <c r="I485" i="89" s="1"/>
  <c r="Q340" i="64"/>
  <c r="W189" i="47"/>
  <c r="R28" i="88"/>
  <c r="Q29" i="88"/>
  <c r="O308" i="56"/>
  <c r="N308" i="56"/>
  <c r="M308" i="56"/>
  <c r="S173" i="88"/>
  <c r="R175" i="88"/>
  <c r="S160" i="88"/>
  <c r="R232" i="88"/>
  <c r="M313" i="79"/>
  <c r="M319" i="79" s="1"/>
  <c r="M338" i="79"/>
  <c r="M415" i="79"/>
  <c r="T451" i="56"/>
  <c r="T456" i="56" s="1"/>
  <c r="T308" i="56" s="1"/>
  <c r="P308" i="56"/>
  <c r="Q451" i="56"/>
  <c r="Q456" i="56" s="1"/>
  <c r="P460" i="47"/>
  <c r="P465" i="47" s="1"/>
  <c r="O311" i="47"/>
  <c r="O491" i="47"/>
  <c r="O492" i="47" s="1"/>
  <c r="Z252" i="92" l="1"/>
  <c r="AA250" i="92"/>
  <c r="W37" i="72"/>
  <c r="X36" i="72"/>
  <c r="W194" i="56"/>
  <c r="V350" i="56"/>
  <c r="V244" i="56"/>
  <c r="W486" i="56"/>
  <c r="X460" i="56"/>
  <c r="M233" i="64"/>
  <c r="M408" i="64"/>
  <c r="M409" i="64" s="1"/>
  <c r="N376" i="64"/>
  <c r="O372" i="64" s="1"/>
  <c r="P195" i="64"/>
  <c r="P168" i="64"/>
  <c r="O374" i="64"/>
  <c r="O276" i="64"/>
  <c r="O170" i="64"/>
  <c r="O32" i="57" s="1"/>
  <c r="O66" i="57" s="1"/>
  <c r="P230" i="64"/>
  <c r="P350" i="64"/>
  <c r="P418" i="64"/>
  <c r="P467" i="64" s="1"/>
  <c r="P510" i="64" s="1"/>
  <c r="P390" i="64"/>
  <c r="P407" i="64" s="1"/>
  <c r="P334" i="64"/>
  <c r="P227" i="64" s="1"/>
  <c r="P333" i="64"/>
  <c r="Q148" i="64"/>
  <c r="Q189" i="64" s="1"/>
  <c r="Q219" i="64" s="1"/>
  <c r="Q270" i="64" s="1"/>
  <c r="Q318" i="64" s="1"/>
  <c r="Q364" i="64" s="1"/>
  <c r="R7" i="64"/>
  <c r="Q63" i="64"/>
  <c r="Q111" i="64" s="1"/>
  <c r="O205" i="64"/>
  <c r="O199" i="64"/>
  <c r="N32" i="57"/>
  <c r="N66" i="57" s="1"/>
  <c r="N172" i="64"/>
  <c r="O226" i="64"/>
  <c r="O225" i="64" s="1"/>
  <c r="O336" i="64"/>
  <c r="O340" i="64" s="1"/>
  <c r="O341" i="64" s="1"/>
  <c r="O277" i="64" s="1"/>
  <c r="M23" i="89"/>
  <c r="M27" i="89" s="1"/>
  <c r="M32" i="89" s="1"/>
  <c r="M202" i="47"/>
  <c r="M248" i="47" s="1"/>
  <c r="M579" i="89"/>
  <c r="W561" i="90"/>
  <c r="W266" i="90"/>
  <c r="W375" i="90"/>
  <c r="U322" i="92"/>
  <c r="U239" i="92" s="1"/>
  <c r="Y142" i="56"/>
  <c r="Y228" i="56" s="1"/>
  <c r="V32" i="56"/>
  <c r="R661" i="80"/>
  <c r="R677" i="80" s="1"/>
  <c r="R680" i="80" s="1"/>
  <c r="R684" i="80" s="1"/>
  <c r="R312" i="80" s="1"/>
  <c r="R422" i="80" s="1"/>
  <c r="R625" i="80"/>
  <c r="R391" i="80" s="1"/>
  <c r="R394" i="80" s="1"/>
  <c r="S623" i="80"/>
  <c r="S625" i="80" s="1"/>
  <c r="S391" i="80" s="1"/>
  <c r="S394" i="80" s="1"/>
  <c r="S661" i="80"/>
  <c r="S677" i="80" s="1"/>
  <c r="S680" i="80" s="1"/>
  <c r="S684" i="80" s="1"/>
  <c r="S312" i="80" s="1"/>
  <c r="S422" i="80" s="1"/>
  <c r="L23" i="89"/>
  <c r="L27" i="89" s="1"/>
  <c r="V322" i="92"/>
  <c r="V239" i="92" s="1"/>
  <c r="I39" i="89"/>
  <c r="I41" i="89" s="1"/>
  <c r="U526" i="56"/>
  <c r="U550" i="56" s="1"/>
  <c r="U279" i="56"/>
  <c r="W602" i="90"/>
  <c r="W607" i="90" s="1"/>
  <c r="W483" i="90" s="1"/>
  <c r="W571" i="90"/>
  <c r="W594" i="90" s="1"/>
  <c r="M421" i="47"/>
  <c r="M437" i="47"/>
  <c r="M438" i="47" s="1"/>
  <c r="M361" i="47" s="1"/>
  <c r="V80" i="57"/>
  <c r="V90" i="57" s="1"/>
  <c r="R11" i="90"/>
  <c r="R412" i="90" s="1"/>
  <c r="R301" i="90"/>
  <c r="R293" i="90" s="1"/>
  <c r="R292" i="90" s="1"/>
  <c r="R423" i="90" s="1"/>
  <c r="X31" i="56"/>
  <c r="X223" i="56" s="1"/>
  <c r="X222" i="56"/>
  <c r="X526" i="56" s="1"/>
  <c r="X550" i="56" s="1"/>
  <c r="S547" i="47"/>
  <c r="S561" i="47" s="1"/>
  <c r="M215" i="47"/>
  <c r="M249" i="47" s="1"/>
  <c r="V370" i="47"/>
  <c r="V374" i="47" s="1"/>
  <c r="F486" i="47"/>
  <c r="V486" i="47" s="1"/>
  <c r="V490" i="47" s="1"/>
  <c r="V462" i="47" s="1"/>
  <c r="R262" i="47"/>
  <c r="R508" i="47" s="1"/>
  <c r="R532" i="47" s="1"/>
  <c r="N433" i="56"/>
  <c r="N319" i="56"/>
  <c r="N320" i="56" s="1"/>
  <c r="V8" i="57"/>
  <c r="V279" i="56"/>
  <c r="Y31" i="56"/>
  <c r="Y223" i="56" s="1"/>
  <c r="Y225" i="56" s="1"/>
  <c r="P242" i="56"/>
  <c r="P270" i="56"/>
  <c r="U398" i="56"/>
  <c r="U432" i="56" s="1"/>
  <c r="U318" i="56" s="1"/>
  <c r="U316" i="56" s="1"/>
  <c r="Y447" i="56"/>
  <c r="Y449" i="56" s="1"/>
  <c r="P412" i="56"/>
  <c r="P427" i="56"/>
  <c r="P305" i="56" s="1"/>
  <c r="P432" i="56"/>
  <c r="P318" i="56" s="1"/>
  <c r="P316" i="56" s="1"/>
  <c r="P431" i="56"/>
  <c r="P413" i="56"/>
  <c r="P302" i="56" s="1"/>
  <c r="N415" i="56"/>
  <c r="N419" i="56" s="1"/>
  <c r="N301" i="56"/>
  <c r="N300" i="56" s="1"/>
  <c r="U272" i="56"/>
  <c r="U269" i="56"/>
  <c r="W163" i="56"/>
  <c r="W32" i="56" s="1"/>
  <c r="N242" i="56"/>
  <c r="N270" i="56"/>
  <c r="V512" i="47"/>
  <c r="V515" i="47" s="1"/>
  <c r="V328" i="47" s="1"/>
  <c r="X461" i="47"/>
  <c r="X416" i="90"/>
  <c r="V700" i="90"/>
  <c r="V705" i="90" s="1"/>
  <c r="N366" i="79"/>
  <c r="K267" i="89"/>
  <c r="K23" i="89"/>
  <c r="K27" i="89" s="1"/>
  <c r="J50" i="89"/>
  <c r="L255" i="89"/>
  <c r="L256" i="89" s="1"/>
  <c r="L15" i="89" s="1"/>
  <c r="K13" i="89"/>
  <c r="K255" i="89"/>
  <c r="K256" i="89" s="1"/>
  <c r="K15" i="89" s="1"/>
  <c r="K16" i="89" s="1"/>
  <c r="AA13" i="57"/>
  <c r="U131" i="57"/>
  <c r="AA131" i="57" s="1"/>
  <c r="U199" i="57"/>
  <c r="V199" i="57" s="1"/>
  <c r="AA251" i="90"/>
  <c r="P781" i="90"/>
  <c r="P777" i="90" s="1"/>
  <c r="P789" i="90" s="1"/>
  <c r="Y415" i="90"/>
  <c r="Y21" i="57" s="1"/>
  <c r="AB242" i="90"/>
  <c r="AB244" i="90" s="1"/>
  <c r="R361" i="90"/>
  <c r="R364" i="90"/>
  <c r="Z196" i="90"/>
  <c r="Z250" i="90" s="1"/>
  <c r="X266" i="90"/>
  <c r="X267" i="90" s="1"/>
  <c r="X377" i="90" s="1"/>
  <c r="Z512" i="90"/>
  <c r="Y558" i="90"/>
  <c r="R426" i="90"/>
  <c r="R370" i="90"/>
  <c r="R425" i="90"/>
  <c r="R30" i="57" s="1"/>
  <c r="R248" i="90"/>
  <c r="R247" i="90"/>
  <c r="R258" i="90" s="1"/>
  <c r="R260" i="90" s="1"/>
  <c r="R238" i="90"/>
  <c r="R415" i="90"/>
  <c r="R21" i="57" s="1"/>
  <c r="S269" i="47"/>
  <c r="T24" i="57" s="1"/>
  <c r="U547" i="47"/>
  <c r="U561" i="47" s="1"/>
  <c r="S220" i="47"/>
  <c r="U515" i="47"/>
  <c r="U328" i="47" s="1"/>
  <c r="L367" i="47"/>
  <c r="L376" i="47" s="1"/>
  <c r="L378" i="47" s="1"/>
  <c r="Q229" i="47"/>
  <c r="T20" i="47"/>
  <c r="S11" i="47"/>
  <c r="Q230" i="47"/>
  <c r="T187" i="57"/>
  <c r="S230" i="47"/>
  <c r="S232" i="47"/>
  <c r="S247" i="47"/>
  <c r="S229" i="47"/>
  <c r="S246" i="47"/>
  <c r="S16" i="47"/>
  <c r="T16" i="47" s="1"/>
  <c r="S244" i="47"/>
  <c r="S231" i="47"/>
  <c r="S245" i="47"/>
  <c r="S250" i="47"/>
  <c r="Q219" i="47"/>
  <c r="U258" i="47"/>
  <c r="U139" i="47"/>
  <c r="U211" i="47" s="1"/>
  <c r="V7" i="47"/>
  <c r="O242" i="47"/>
  <c r="S236" i="47"/>
  <c r="U199" i="47"/>
  <c r="U462" i="47"/>
  <c r="R417" i="47"/>
  <c r="Q308" i="47"/>
  <c r="O215" i="47"/>
  <c r="O270" i="47"/>
  <c r="P29" i="57" s="1"/>
  <c r="Y93" i="47"/>
  <c r="Y165" i="47" s="1"/>
  <c r="Y107" i="47"/>
  <c r="Y179" i="47"/>
  <c r="X118" i="47"/>
  <c r="X113" i="47"/>
  <c r="O201" i="47"/>
  <c r="O202" i="47"/>
  <c r="O228" i="47"/>
  <c r="O264" i="47" s="1"/>
  <c r="Q232" i="47"/>
  <c r="O304" i="47"/>
  <c r="O303" i="47" s="1"/>
  <c r="O421" i="47"/>
  <c r="S466" i="47"/>
  <c r="S468" i="47" s="1"/>
  <c r="R312" i="47"/>
  <c r="O236" i="47"/>
  <c r="O268" i="47" s="1"/>
  <c r="U152" i="47"/>
  <c r="Q153" i="47"/>
  <c r="Q220" i="47" s="1"/>
  <c r="U177" i="47"/>
  <c r="V176" i="47"/>
  <c r="R187" i="57"/>
  <c r="V187" i="57" s="1"/>
  <c r="Q238" i="47"/>
  <c r="Q237" i="47"/>
  <c r="Q233" i="47"/>
  <c r="Q16" i="47"/>
  <c r="Q239" i="47"/>
  <c r="Q240" i="47"/>
  <c r="Q247" i="47"/>
  <c r="Q245" i="47"/>
  <c r="Q231" i="47"/>
  <c r="Q244" i="47"/>
  <c r="Q250" i="47"/>
  <c r="Q234" i="47"/>
  <c r="Q246" i="47"/>
  <c r="P7" i="57"/>
  <c r="P6" i="57" s="1"/>
  <c r="P135" i="57" s="1"/>
  <c r="O508" i="47"/>
  <c r="O532" i="47" s="1"/>
  <c r="O404" i="47"/>
  <c r="U466" i="47"/>
  <c r="U468" i="47" s="1"/>
  <c r="Q312" i="47"/>
  <c r="Q218" i="47"/>
  <c r="W117" i="47"/>
  <c r="W170" i="47" s="1"/>
  <c r="W417" i="47" s="1"/>
  <c r="W308" i="47" s="1"/>
  <c r="W119" i="47"/>
  <c r="W129" i="47" s="1"/>
  <c r="V130" i="47"/>
  <c r="V147" i="47"/>
  <c r="V12" i="47"/>
  <c r="U149" i="47"/>
  <c r="U151" i="47"/>
  <c r="R236" i="47"/>
  <c r="R268" i="47" s="1"/>
  <c r="U174" i="47"/>
  <c r="V173" i="47"/>
  <c r="V353" i="47"/>
  <c r="V400" i="47" s="1"/>
  <c r="V446" i="47" s="1"/>
  <c r="V500" i="47" s="1"/>
  <c r="V542" i="47" s="1"/>
  <c r="W297" i="47"/>
  <c r="U15" i="47"/>
  <c r="U243" i="47"/>
  <c r="U13" i="47"/>
  <c r="Q269" i="47"/>
  <c r="R24" i="57" s="1"/>
  <c r="T42" i="57"/>
  <c r="U42" i="57" s="1"/>
  <c r="U75" i="57" s="1"/>
  <c r="U174" i="57" s="1"/>
  <c r="Y272" i="56"/>
  <c r="Y526" i="56"/>
  <c r="Y550" i="56" s="1"/>
  <c r="AA60" i="57"/>
  <c r="N204" i="88"/>
  <c r="N15" i="88"/>
  <c r="N206" i="88" s="1"/>
  <c r="N209" i="88"/>
  <c r="N119" i="88"/>
  <c r="O117" i="88" s="1"/>
  <c r="O118" i="88" s="1"/>
  <c r="O119" i="88" s="1"/>
  <c r="P117" i="88" s="1"/>
  <c r="P118" i="88" s="1"/>
  <c r="P13" i="88" s="1"/>
  <c r="P204" i="88" s="1"/>
  <c r="M200" i="88"/>
  <c r="M201" i="88"/>
  <c r="M16" i="88"/>
  <c r="M138" i="88" s="1"/>
  <c r="M192" i="88" s="1"/>
  <c r="M198" i="88"/>
  <c r="M206" i="88"/>
  <c r="M210" i="88"/>
  <c r="M211" i="88"/>
  <c r="M208" i="88"/>
  <c r="M199" i="88"/>
  <c r="Z8" i="57"/>
  <c r="Y398" i="56"/>
  <c r="Y412" i="56" s="1"/>
  <c r="I486" i="89"/>
  <c r="M485" i="89" s="1"/>
  <c r="M486" i="89" s="1"/>
  <c r="U225" i="64"/>
  <c r="W225" i="64"/>
  <c r="Q207" i="92"/>
  <c r="S207" i="92" s="1"/>
  <c r="T207" i="92" s="1"/>
  <c r="K138" i="88"/>
  <c r="K192" i="88" s="1"/>
  <c r="L203" i="88"/>
  <c r="L539" i="88"/>
  <c r="L563" i="88" s="1"/>
  <c r="L142" i="88"/>
  <c r="L194" i="88" s="1"/>
  <c r="L430" i="88"/>
  <c r="L461" i="88" s="1"/>
  <c r="L282" i="88" s="1"/>
  <c r="L156" i="88"/>
  <c r="L202" i="88" s="1"/>
  <c r="L196" i="88" s="1"/>
  <c r="L442" i="88"/>
  <c r="L268" i="88" s="1"/>
  <c r="K19" i="88"/>
  <c r="K20" i="88" s="1"/>
  <c r="K11" i="88" s="1"/>
  <c r="K442" i="88" s="1"/>
  <c r="K268" i="88" s="1"/>
  <c r="L444" i="88"/>
  <c r="L269" i="88" s="1"/>
  <c r="L140" i="88"/>
  <c r="L193" i="88" s="1"/>
  <c r="L138" i="88"/>
  <c r="L192" i="88" s="1"/>
  <c r="K203" i="88"/>
  <c r="K156" i="88"/>
  <c r="K446" i="88" s="1"/>
  <c r="K270" i="88" s="1"/>
  <c r="K142" i="88"/>
  <c r="K194" i="88" s="1"/>
  <c r="Q315" i="80"/>
  <c r="Q319" i="80" s="1"/>
  <c r="Q317" i="80" s="1"/>
  <c r="Q417" i="80"/>
  <c r="Q421" i="80" s="1"/>
  <c r="V703" i="90"/>
  <c r="Q15" i="72"/>
  <c r="L419" i="56"/>
  <c r="M420" i="56" s="1"/>
  <c r="M351" i="56" s="1"/>
  <c r="O426" i="64"/>
  <c r="O301" i="64"/>
  <c r="O105" i="57" s="1"/>
  <c r="K423" i="64"/>
  <c r="K430" i="64" s="1"/>
  <c r="K201" i="64"/>
  <c r="Y394" i="56"/>
  <c r="Y218" i="56"/>
  <c r="Y264" i="56"/>
  <c r="Y344" i="56"/>
  <c r="Y443" i="56"/>
  <c r="Y294" i="56"/>
  <c r="Y138" i="56"/>
  <c r="Y81" i="56"/>
  <c r="Y560" i="56"/>
  <c r="Y517" i="56"/>
  <c r="Y494" i="56"/>
  <c r="R480" i="64"/>
  <c r="R515" i="64" s="1"/>
  <c r="R529" i="64" s="1"/>
  <c r="U480" i="64"/>
  <c r="U483" i="64" s="1"/>
  <c r="U249" i="64" s="1"/>
  <c r="U515" i="64"/>
  <c r="U529" i="64" s="1"/>
  <c r="U533" i="64" s="1"/>
  <c r="U537" i="64" s="1"/>
  <c r="U174" i="64" s="1"/>
  <c r="Q483" i="64"/>
  <c r="Q249" i="64" s="1"/>
  <c r="T470" i="90"/>
  <c r="U470" i="90" s="1"/>
  <c r="U797" i="90"/>
  <c r="V530" i="56"/>
  <c r="V565" i="56"/>
  <c r="V579" i="56" s="1"/>
  <c r="Q515" i="64"/>
  <c r="Q529" i="64" s="1"/>
  <c r="U211" i="90"/>
  <c r="T253" i="90"/>
  <c r="U253" i="90" s="1"/>
  <c r="X165" i="56"/>
  <c r="Y111" i="56"/>
  <c r="Y165" i="56" s="1"/>
  <c r="Y27" i="57"/>
  <c r="X159" i="92"/>
  <c r="Q71" i="72"/>
  <c r="R787" i="90"/>
  <c r="Y414" i="56"/>
  <c r="Y303" i="56" s="1"/>
  <c r="P439" i="64"/>
  <c r="P441" i="64" s="1"/>
  <c r="P443" i="64" s="1"/>
  <c r="Q451" i="64"/>
  <c r="Q454" i="64" s="1"/>
  <c r="P456" i="64"/>
  <c r="K294" i="64"/>
  <c r="K471" i="64"/>
  <c r="K477" i="64" s="1"/>
  <c r="K491" i="64" s="1"/>
  <c r="T41" i="57"/>
  <c r="S41" i="57"/>
  <c r="S75" i="57" s="1"/>
  <c r="S174" i="57" s="1"/>
  <c r="Y101" i="92"/>
  <c r="Y128" i="92" s="1"/>
  <c r="Y123" i="92" s="1"/>
  <c r="Y112" i="92"/>
  <c r="Y334" i="92"/>
  <c r="U40" i="72"/>
  <c r="U42" i="72" s="1"/>
  <c r="V38" i="72"/>
  <c r="S300" i="80"/>
  <c r="S299" i="80" s="1"/>
  <c r="S298" i="80" s="1"/>
  <c r="R299" i="80"/>
  <c r="R298" i="80" s="1"/>
  <c r="R306" i="80" s="1"/>
  <c r="R310" i="80" s="1"/>
  <c r="X40" i="57"/>
  <c r="S548" i="47"/>
  <c r="S562" i="47" s="1"/>
  <c r="S515" i="47"/>
  <c r="S328" i="47" s="1"/>
  <c r="T426" i="90"/>
  <c r="U426" i="90" s="1"/>
  <c r="U239" i="90"/>
  <c r="T370" i="90"/>
  <c r="U370" i="90" s="1"/>
  <c r="T425" i="90"/>
  <c r="Z11" i="92"/>
  <c r="Z100" i="92"/>
  <c r="Z127" i="92" s="1"/>
  <c r="X164" i="56"/>
  <c r="X109" i="56"/>
  <c r="Y110" i="56"/>
  <c r="T42" i="72"/>
  <c r="X166" i="56"/>
  <c r="Y112" i="56"/>
  <c r="Y166" i="56" s="1"/>
  <c r="S224" i="79"/>
  <c r="Q150" i="88"/>
  <c r="X727" i="90"/>
  <c r="W783" i="90"/>
  <c r="X762" i="90" s="1"/>
  <c r="X776" i="90" s="1"/>
  <c r="W471" i="90"/>
  <c r="Q538" i="56"/>
  <c r="Q539" i="56" s="1"/>
  <c r="Q372" i="56" s="1"/>
  <c r="R99" i="57" s="1"/>
  <c r="P533" i="56"/>
  <c r="P323" i="56" s="1"/>
  <c r="T250" i="90"/>
  <c r="U250" i="90" s="1"/>
  <c r="U196" i="90"/>
  <c r="T20" i="90"/>
  <c r="U20" i="90" s="1"/>
  <c r="U17" i="90"/>
  <c r="T51" i="72"/>
  <c r="T15" i="72" s="1"/>
  <c r="T16" i="72"/>
  <c r="Q517" i="64"/>
  <c r="Q531" i="64" s="1"/>
  <c r="R482" i="64"/>
  <c r="V482" i="64" s="1"/>
  <c r="W482" i="64" s="1"/>
  <c r="R517" i="64"/>
  <c r="R531" i="64" s="1"/>
  <c r="X27" i="72"/>
  <c r="W29" i="72"/>
  <c r="W31" i="72" s="1"/>
  <c r="W513" i="47"/>
  <c r="W548" i="47" s="1"/>
  <c r="W562" i="47" s="1"/>
  <c r="T413" i="90"/>
  <c r="U413" i="90" s="1"/>
  <c r="U23" i="90"/>
  <c r="T11" i="90"/>
  <c r="T301" i="90"/>
  <c r="W319" i="92"/>
  <c r="W205" i="92" s="1"/>
  <c r="W203" i="92" s="1"/>
  <c r="W318" i="92"/>
  <c r="W314" i="92"/>
  <c r="W300" i="92"/>
  <c r="W189" i="92" s="1"/>
  <c r="W299" i="92"/>
  <c r="W315" i="92"/>
  <c r="W197" i="92" s="1"/>
  <c r="Y12" i="57"/>
  <c r="X166" i="92"/>
  <c r="X115" i="92"/>
  <c r="X413" i="92"/>
  <c r="X437" i="92" s="1"/>
  <c r="X285" i="92"/>
  <c r="U548" i="47"/>
  <c r="U562" i="47" s="1"/>
  <c r="N487" i="80"/>
  <c r="N419" i="80" s="1"/>
  <c r="AC154" i="90"/>
  <c r="R242" i="47"/>
  <c r="V66" i="88"/>
  <c r="U71" i="88"/>
  <c r="U90" i="88" s="1"/>
  <c r="U95" i="88" s="1"/>
  <c r="U114" i="88" s="1"/>
  <c r="U115" i="88" s="1"/>
  <c r="V112" i="88" s="1"/>
  <c r="H14" i="95"/>
  <c r="I14" i="95" s="1"/>
  <c r="E14" i="95"/>
  <c r="AA13" i="92"/>
  <c r="AB14" i="92"/>
  <c r="U16" i="72"/>
  <c r="V47" i="72"/>
  <c r="U51" i="72"/>
  <c r="U53" i="72" s="1"/>
  <c r="S274" i="79"/>
  <c r="O275" i="56"/>
  <c r="O349" i="56"/>
  <c r="U188" i="90"/>
  <c r="T248" i="90"/>
  <c r="U248" i="90" s="1"/>
  <c r="T238" i="90"/>
  <c r="T415" i="90"/>
  <c r="T247" i="90"/>
  <c r="U209" i="90"/>
  <c r="T252" i="90"/>
  <c r="U252" i="90" s="1"/>
  <c r="AC52" i="90"/>
  <c r="AC240" i="90" s="1"/>
  <c r="AC242" i="90" s="1"/>
  <c r="AD53" i="90"/>
  <c r="S359" i="47"/>
  <c r="T359" i="47" s="1"/>
  <c r="T273" i="47"/>
  <c r="AC167" i="90"/>
  <c r="AC206" i="90"/>
  <c r="AB347" i="90"/>
  <c r="AB337" i="90"/>
  <c r="AB332" i="90"/>
  <c r="AB342" i="90"/>
  <c r="AB352" i="90"/>
  <c r="AB327" i="90"/>
  <c r="AB322" i="90"/>
  <c r="V458" i="56"/>
  <c r="V461" i="56" s="1"/>
  <c r="U309" i="56"/>
  <c r="W41" i="57"/>
  <c r="S97" i="88"/>
  <c r="R100" i="88"/>
  <c r="X373" i="64"/>
  <c r="X286" i="64"/>
  <c r="X290" i="64" s="1"/>
  <c r="G403" i="64"/>
  <c r="W690" i="90"/>
  <c r="W688" i="90" s="1"/>
  <c r="Y67" i="88"/>
  <c r="X73" i="88"/>
  <c r="S86" i="88"/>
  <c r="R87" i="88"/>
  <c r="W595" i="90"/>
  <c r="W482" i="90"/>
  <c r="P545" i="88"/>
  <c r="P580" i="88"/>
  <c r="P594" i="88" s="1"/>
  <c r="X334" i="64"/>
  <c r="X227" i="64" s="1"/>
  <c r="X333" i="64"/>
  <c r="X226" i="64" s="1"/>
  <c r="Z726" i="90"/>
  <c r="I582" i="89"/>
  <c r="M581" i="89" s="1"/>
  <c r="M582" i="89" s="1"/>
  <c r="V771" i="90"/>
  <c r="V413" i="90"/>
  <c r="V11" i="90"/>
  <c r="V301" i="90"/>
  <c r="X368" i="90"/>
  <c r="X293" i="90"/>
  <c r="R574" i="88"/>
  <c r="S573" i="88"/>
  <c r="N306" i="79"/>
  <c r="N291" i="79" s="1"/>
  <c r="N416" i="79"/>
  <c r="N525" i="79"/>
  <c r="N527" i="79" s="1"/>
  <c r="V472" i="90"/>
  <c r="J182" i="89"/>
  <c r="J184" i="89" s="1"/>
  <c r="J192" i="89"/>
  <c r="X112" i="64"/>
  <c r="S96" i="88"/>
  <c r="R99" i="88"/>
  <c r="R150" i="88" s="1"/>
  <c r="N18" i="57"/>
  <c r="M422" i="47"/>
  <c r="M266" i="47"/>
  <c r="M271" i="47" s="1"/>
  <c r="M275" i="47" s="1"/>
  <c r="M358" i="47" s="1"/>
  <c r="M405" i="47"/>
  <c r="Q95" i="92"/>
  <c r="S83" i="92"/>
  <c r="T83" i="92" s="1"/>
  <c r="Q118" i="92"/>
  <c r="Q579" i="88"/>
  <c r="Q593" i="88" s="1"/>
  <c r="Q544" i="88"/>
  <c r="L420" i="56"/>
  <c r="L351" i="56" s="1"/>
  <c r="M67" i="57" s="1"/>
  <c r="Y458" i="47"/>
  <c r="O580" i="88"/>
  <c r="O594" i="88" s="1"/>
  <c r="N503" i="80"/>
  <c r="N420" i="80" s="1"/>
  <c r="R144" i="88"/>
  <c r="Q146" i="88"/>
  <c r="Q443" i="88" s="1"/>
  <c r="Q272" i="88" s="1"/>
  <c r="X361" i="90"/>
  <c r="X400" i="90" s="1"/>
  <c r="X401" i="90" s="1"/>
  <c r="X375" i="90"/>
  <c r="X364" i="90"/>
  <c r="X286" i="90"/>
  <c r="X412" i="90"/>
  <c r="Z723" i="90"/>
  <c r="Q242" i="56"/>
  <c r="Q270" i="56"/>
  <c r="Y674" i="90"/>
  <c r="W426" i="56"/>
  <c r="W304" i="56" s="1"/>
  <c r="W181" i="56"/>
  <c r="W55" i="92"/>
  <c r="W85" i="92" s="1"/>
  <c r="W83" i="92" s="1"/>
  <c r="W57" i="92"/>
  <c r="W63" i="92"/>
  <c r="W89" i="92" s="1"/>
  <c r="W87" i="92" s="1"/>
  <c r="W119" i="92" s="1"/>
  <c r="L423" i="80"/>
  <c r="L315" i="80"/>
  <c r="L321" i="80" s="1"/>
  <c r="Z667" i="90"/>
  <c r="Y707" i="90"/>
  <c r="Z692" i="90" s="1"/>
  <c r="Z702" i="90" s="1"/>
  <c r="AH55" i="90"/>
  <c r="N428" i="56"/>
  <c r="O422" i="56"/>
  <c r="S87" i="92"/>
  <c r="T87" i="92" s="1"/>
  <c r="Q119" i="92"/>
  <c r="S119" i="92" s="1"/>
  <c r="T119" i="92" s="1"/>
  <c r="Y301" i="90"/>
  <c r="Y11" i="90"/>
  <c r="Y413" i="90"/>
  <c r="W374" i="47"/>
  <c r="V118" i="92"/>
  <c r="V117" i="92" s="1"/>
  <c r="V95" i="92"/>
  <c r="V96" i="92" s="1"/>
  <c r="R289" i="79"/>
  <c r="R28" i="79"/>
  <c r="V248" i="90"/>
  <c r="V415" i="90"/>
  <c r="V21" i="57" s="1"/>
  <c r="V238" i="90"/>
  <c r="V247" i="90"/>
  <c r="V258" i="90" s="1"/>
  <c r="V260" i="90" s="1"/>
  <c r="AC204" i="90"/>
  <c r="AC205" i="90" s="1"/>
  <c r="M137" i="57"/>
  <c r="M136" i="57"/>
  <c r="M36" i="57"/>
  <c r="M65" i="57" s="1"/>
  <c r="R131" i="88"/>
  <c r="S130" i="88"/>
  <c r="AA124" i="70"/>
  <c r="AD18" i="90"/>
  <c r="M310" i="56"/>
  <c r="M429" i="56"/>
  <c r="M430" i="56" s="1"/>
  <c r="T153" i="88"/>
  <c r="S154" i="88"/>
  <c r="AF54" i="90"/>
  <c r="Y639" i="90"/>
  <c r="N483" i="88"/>
  <c r="N488" i="88" s="1"/>
  <c r="M275" i="88"/>
  <c r="M523" i="88"/>
  <c r="M524" i="88" s="1"/>
  <c r="R262" i="88"/>
  <c r="S261" i="88"/>
  <c r="P321" i="80"/>
  <c r="P563" i="80" s="1"/>
  <c r="P570" i="80" s="1"/>
  <c r="S531" i="88"/>
  <c r="R532" i="88"/>
  <c r="R183" i="47"/>
  <c r="R235" i="47" s="1"/>
  <c r="R161" i="47"/>
  <c r="R155" i="47"/>
  <c r="R223" i="47" s="1"/>
  <c r="R157" i="47"/>
  <c r="R19" i="47"/>
  <c r="R159" i="47"/>
  <c r="R225" i="47" s="1"/>
  <c r="S225" i="47" s="1"/>
  <c r="R170" i="47"/>
  <c r="R229" i="47" s="1"/>
  <c r="Z402" i="64"/>
  <c r="X402" i="64"/>
  <c r="W402" i="64"/>
  <c r="W407" i="64" s="1"/>
  <c r="Y402" i="64"/>
  <c r="L286" i="88"/>
  <c r="M557" i="88"/>
  <c r="M559" i="88" s="1"/>
  <c r="M581" i="88"/>
  <c r="M595" i="88" s="1"/>
  <c r="M596" i="88" s="1"/>
  <c r="AC359" i="90"/>
  <c r="AC399" i="90" s="1"/>
  <c r="AC24" i="90"/>
  <c r="AC26" i="90" s="1"/>
  <c r="AC414" i="90" s="1"/>
  <c r="AC303" i="90"/>
  <c r="AC319" i="90"/>
  <c r="Z20" i="92"/>
  <c r="AA18" i="92"/>
  <c r="P448" i="80"/>
  <c r="P451" i="80" s="1"/>
  <c r="P434" i="80"/>
  <c r="T39" i="57"/>
  <c r="T74" i="57" s="1"/>
  <c r="T135" i="92"/>
  <c r="U39" i="57" s="1"/>
  <c r="U74" i="57" s="1"/>
  <c r="Y130" i="56"/>
  <c r="Y196" i="56" s="1"/>
  <c r="X196" i="56"/>
  <c r="S72" i="88"/>
  <c r="T68" i="88"/>
  <c r="S74" i="88"/>
  <c r="Y196" i="92"/>
  <c r="Z345" i="92"/>
  <c r="Z348" i="92" s="1"/>
  <c r="AE76" i="90"/>
  <c r="U358" i="88"/>
  <c r="V357" i="88"/>
  <c r="W487" i="47"/>
  <c r="X487" i="47"/>
  <c r="Y487" i="47"/>
  <c r="Y417" i="92"/>
  <c r="Y452" i="92" s="1"/>
  <c r="Y466" i="92" s="1"/>
  <c r="AB167" i="90"/>
  <c r="AB206" i="90"/>
  <c r="AB203" i="90" s="1"/>
  <c r="J275" i="56"/>
  <c r="J349" i="56"/>
  <c r="J353" i="56" s="1"/>
  <c r="J251" i="56"/>
  <c r="K281" i="56"/>
  <c r="X374" i="47"/>
  <c r="S433" i="47"/>
  <c r="T433" i="47"/>
  <c r="W61" i="72"/>
  <c r="V63" i="72"/>
  <c r="S24" i="57"/>
  <c r="O371" i="79"/>
  <c r="O495" i="79"/>
  <c r="O496" i="79" s="1"/>
  <c r="O501" i="79" s="1"/>
  <c r="O418" i="79" s="1"/>
  <c r="Q782" i="90"/>
  <c r="R761" i="90" s="1"/>
  <c r="R775" i="90" s="1"/>
  <c r="AA52" i="92"/>
  <c r="Z84" i="92"/>
  <c r="S151" i="88"/>
  <c r="X418" i="92"/>
  <c r="X198" i="47"/>
  <c r="Y48" i="47"/>
  <c r="Y198" i="47" s="1"/>
  <c r="X9" i="47"/>
  <c r="W260" i="47"/>
  <c r="W141" i="47"/>
  <c r="W213" i="47" s="1"/>
  <c r="X725" i="90"/>
  <c r="U65" i="72"/>
  <c r="AB427" i="90"/>
  <c r="AB562" i="90"/>
  <c r="AB576" i="90" s="1"/>
  <c r="AB577" i="90" s="1"/>
  <c r="AI67" i="90"/>
  <c r="AF64" i="90"/>
  <c r="X452" i="92"/>
  <c r="X466" i="92" s="1"/>
  <c r="Q152" i="88"/>
  <c r="U503" i="88"/>
  <c r="V503" i="88"/>
  <c r="T503" i="88"/>
  <c r="R503" i="88"/>
  <c r="R522" i="88" s="1"/>
  <c r="R485" i="88" s="1"/>
  <c r="R237" i="88" s="1"/>
  <c r="R318" i="88" s="1"/>
  <c r="S503" i="88"/>
  <c r="Z819" i="90"/>
  <c r="Z854" i="90" s="1"/>
  <c r="Z868" i="90" s="1"/>
  <c r="AA818" i="90"/>
  <c r="AA853" i="90" s="1"/>
  <c r="AA867" i="90" s="1"/>
  <c r="W675" i="90"/>
  <c r="V673" i="90"/>
  <c r="V786" i="90" s="1"/>
  <c r="V473" i="90" s="1"/>
  <c r="X231" i="92"/>
  <c r="X151" i="92"/>
  <c r="X330" i="92"/>
  <c r="X181" i="92"/>
  <c r="X281" i="92"/>
  <c r="X447" i="92"/>
  <c r="X45" i="92"/>
  <c r="X79" i="92"/>
  <c r="X381" i="92"/>
  <c r="X404" i="92"/>
  <c r="Y7" i="92"/>
  <c r="X56" i="92"/>
  <c r="X108" i="92"/>
  <c r="S617" i="80"/>
  <c r="S643" i="80" s="1"/>
  <c r="S644" i="80" s="1"/>
  <c r="S515" i="80"/>
  <c r="S516" i="80" s="1"/>
  <c r="S465" i="80"/>
  <c r="S296" i="80"/>
  <c r="Q377" i="80"/>
  <c r="R525" i="80"/>
  <c r="AD820" i="90"/>
  <c r="AD855" i="90" s="1"/>
  <c r="AD869" i="90" s="1"/>
  <c r="R635" i="79"/>
  <c r="R637" i="79" s="1"/>
  <c r="Q392" i="79"/>
  <c r="Q234" i="64"/>
  <c r="R383" i="64"/>
  <c r="R387" i="64" s="1"/>
  <c r="U383" i="64"/>
  <c r="U387" i="64" s="1"/>
  <c r="U234" i="64" s="1"/>
  <c r="AE58" i="90"/>
  <c r="AD57" i="90"/>
  <c r="Y797" i="90"/>
  <c r="X470" i="90"/>
  <c r="P515" i="90"/>
  <c r="P519" i="90" s="1"/>
  <c r="P437" i="90"/>
  <c r="Y854" i="90"/>
  <c r="Y868" i="90" s="1"/>
  <c r="Y871" i="90" s="1"/>
  <c r="Y875" i="90" s="1"/>
  <c r="Y434" i="90" s="1"/>
  <c r="Y821" i="90"/>
  <c r="Y492" i="90" s="1"/>
  <c r="L320" i="56"/>
  <c r="L326" i="56" s="1"/>
  <c r="Z481" i="64"/>
  <c r="Z516" i="64" s="1"/>
  <c r="Z530" i="64" s="1"/>
  <c r="L434" i="56"/>
  <c r="L435" i="56" s="1"/>
  <c r="L352" i="56" s="1"/>
  <c r="M71" i="57" s="1"/>
  <c r="M434" i="56"/>
  <c r="S11" i="79"/>
  <c r="S208" i="79"/>
  <c r="S214" i="79" s="1"/>
  <c r="R526" i="80"/>
  <c r="F545" i="80"/>
  <c r="R428" i="80"/>
  <c r="R432" i="80" s="1"/>
  <c r="AG69" i="90"/>
  <c r="V780" i="90"/>
  <c r="W759" i="90" s="1"/>
  <c r="W773" i="90" s="1"/>
  <c r="W724" i="90"/>
  <c r="R312" i="88"/>
  <c r="Q313" i="88"/>
  <c r="X186" i="88"/>
  <c r="W187" i="88"/>
  <c r="S149" i="88"/>
  <c r="P266" i="47"/>
  <c r="P271" i="47" s="1"/>
  <c r="P405" i="47"/>
  <c r="P422" i="47"/>
  <c r="Q18" i="57"/>
  <c r="Q17" i="57" s="1"/>
  <c r="Q23" i="57" s="1"/>
  <c r="Q31" i="57" s="1"/>
  <c r="Q36" i="57" s="1"/>
  <c r="Q65" i="57" s="1"/>
  <c r="X406" i="56"/>
  <c r="W409" i="56"/>
  <c r="R427" i="88"/>
  <c r="S426" i="88"/>
  <c r="Z853" i="90"/>
  <c r="Z867" i="90" s="1"/>
  <c r="AD132" i="90"/>
  <c r="AE125" i="90"/>
  <c r="AD139" i="90"/>
  <c r="AD155" i="90" s="1"/>
  <c r="AD167" i="90" s="1"/>
  <c r="V378" i="64"/>
  <c r="V381" i="64" s="1"/>
  <c r="R235" i="64"/>
  <c r="Z21" i="90"/>
  <c r="Z16" i="90"/>
  <c r="Y131" i="92"/>
  <c r="Z33" i="57" s="1"/>
  <c r="AA33" i="57" s="1"/>
  <c r="Y237" i="92"/>
  <c r="Y370" i="90"/>
  <c r="Y426" i="90"/>
  <c r="Y425" i="90"/>
  <c r="Y30" i="57" s="1"/>
  <c r="AA147" i="90"/>
  <c r="AA194" i="90"/>
  <c r="AA193" i="90" s="1"/>
  <c r="AA249" i="90" s="1"/>
  <c r="U286" i="92"/>
  <c r="V19" i="57"/>
  <c r="V132" i="57" s="1"/>
  <c r="U156" i="92"/>
  <c r="U121" i="92"/>
  <c r="J504" i="88"/>
  <c r="S484" i="88"/>
  <c r="S328" i="88"/>
  <c r="S332" i="88" s="1"/>
  <c r="Z664" i="90"/>
  <c r="AC795" i="90"/>
  <c r="Y428" i="47"/>
  <c r="Y431" i="47" s="1"/>
  <c r="X431" i="47"/>
  <c r="W418" i="90"/>
  <c r="W814" i="90"/>
  <c r="W838" i="90" s="1"/>
  <c r="W14" i="57"/>
  <c r="W560" i="90"/>
  <c r="M419" i="79"/>
  <c r="M423" i="79" s="1"/>
  <c r="M432" i="79" s="1"/>
  <c r="J90" i="89"/>
  <c r="J92" i="89" s="1"/>
  <c r="Q419" i="56"/>
  <c r="Z156" i="64"/>
  <c r="L486" i="80"/>
  <c r="L487" i="80" s="1"/>
  <c r="L419" i="80" s="1"/>
  <c r="L421" i="80" s="1"/>
  <c r="O306" i="79"/>
  <c r="O308" i="79" s="1"/>
  <c r="O416" i="79"/>
  <c r="O525" i="79"/>
  <c r="AE216" i="90"/>
  <c r="AF40" i="90"/>
  <c r="S221" i="88"/>
  <c r="R222" i="88"/>
  <c r="T473" i="90"/>
  <c r="U473" i="90" s="1"/>
  <c r="U786" i="90"/>
  <c r="W290" i="64"/>
  <c r="AD214" i="90"/>
  <c r="AD424" i="90"/>
  <c r="Z368" i="64"/>
  <c r="Z369" i="64" s="1"/>
  <c r="Z153" i="64"/>
  <c r="Z322" i="64"/>
  <c r="Z349" i="64"/>
  <c r="Z236" i="64" s="1"/>
  <c r="Z348" i="64"/>
  <c r="Z230" i="64" s="1"/>
  <c r="Z204" i="64"/>
  <c r="Z476" i="64"/>
  <c r="Z500" i="64" s="1"/>
  <c r="Z9" i="57"/>
  <c r="U42" i="88"/>
  <c r="T176" i="88"/>
  <c r="AC296" i="92"/>
  <c r="AD293" i="92"/>
  <c r="R715" i="90"/>
  <c r="W314" i="47"/>
  <c r="W432" i="47"/>
  <c r="W433" i="47" s="1"/>
  <c r="V182" i="56"/>
  <c r="V183" i="56"/>
  <c r="Q457" i="88"/>
  <c r="Q458" i="88" s="1"/>
  <c r="Q459" i="88" s="1"/>
  <c r="R454" i="88"/>
  <c r="AE72" i="90"/>
  <c r="Q294" i="79"/>
  <c r="Q304" i="79" s="1"/>
  <c r="Q308" i="79" s="1"/>
  <c r="Q513" i="79"/>
  <c r="Q514" i="79" s="1"/>
  <c r="Q615" i="79"/>
  <c r="Q641" i="79" s="1"/>
  <c r="Q463" i="79"/>
  <c r="X571" i="90"/>
  <c r="X594" i="90" s="1"/>
  <c r="X602" i="90"/>
  <c r="X607" i="90" s="1"/>
  <c r="X483" i="90" s="1"/>
  <c r="X570" i="90"/>
  <c r="X581" i="90" s="1"/>
  <c r="X583" i="90" s="1"/>
  <c r="X584" i="90" s="1"/>
  <c r="X590" i="90" s="1"/>
  <c r="X462" i="90" s="1"/>
  <c r="X569" i="90"/>
  <c r="X592" i="90" s="1"/>
  <c r="N322" i="47"/>
  <c r="N321" i="47" s="1"/>
  <c r="N325" i="47" s="1"/>
  <c r="N423" i="47"/>
  <c r="N425" i="47" s="1"/>
  <c r="Q320" i="56"/>
  <c r="I90" i="89"/>
  <c r="I92" i="89" s="1"/>
  <c r="H16" i="89"/>
  <c r="Y247" i="90"/>
  <c r="Y258" i="90" s="1"/>
  <c r="Y260" i="90" s="1"/>
  <c r="O486" i="80"/>
  <c r="O487" i="80" s="1"/>
  <c r="O419" i="80" s="1"/>
  <c r="O421" i="80" s="1"/>
  <c r="F541" i="79"/>
  <c r="P426" i="79"/>
  <c r="P430" i="79" s="1"/>
  <c r="P524" i="79"/>
  <c r="P527" i="79" s="1"/>
  <c r="Z212" i="90"/>
  <c r="Z235" i="90"/>
  <c r="Z373" i="92"/>
  <c r="AA347" i="92"/>
  <c r="AD419" i="92"/>
  <c r="AA256" i="90"/>
  <c r="AA134" i="90"/>
  <c r="AA12" i="90"/>
  <c r="AA172" i="90"/>
  <c r="AA257" i="90"/>
  <c r="AA255" i="90"/>
  <c r="AA254" i="90"/>
  <c r="Z210" i="90"/>
  <c r="Z211" i="90" s="1"/>
  <c r="Z253" i="90" s="1"/>
  <c r="Z136" i="90"/>
  <c r="Z191" i="90"/>
  <c r="Z189" i="90"/>
  <c r="Z190" i="90"/>
  <c r="M349" i="56"/>
  <c r="M275" i="56"/>
  <c r="Q72" i="72"/>
  <c r="R65" i="72"/>
  <c r="Q18" i="72"/>
  <c r="R11" i="57" s="1"/>
  <c r="X142" i="56"/>
  <c r="X414" i="56"/>
  <c r="X303" i="56" s="1"/>
  <c r="Y514" i="47"/>
  <c r="Y549" i="47" s="1"/>
  <c r="Y563" i="47" s="1"/>
  <c r="Z710" i="90"/>
  <c r="X666" i="90"/>
  <c r="W706" i="90"/>
  <c r="X691" i="90" s="1"/>
  <c r="X701" i="90" s="1"/>
  <c r="V698" i="90"/>
  <c r="AE77" i="90"/>
  <c r="AD236" i="90"/>
  <c r="Y322" i="64"/>
  <c r="Y476" i="64"/>
  <c r="Y500" i="64" s="1"/>
  <c r="Y349" i="64"/>
  <c r="Y236" i="64" s="1"/>
  <c r="Y153" i="64"/>
  <c r="Y348" i="64"/>
  <c r="Y230" i="64" s="1"/>
  <c r="Y368" i="64"/>
  <c r="Y369" i="64" s="1"/>
  <c r="Y9" i="57"/>
  <c r="Y204" i="64"/>
  <c r="Y9" i="64"/>
  <c r="X65" i="64"/>
  <c r="X113" i="64" s="1"/>
  <c r="X150" i="64"/>
  <c r="X191" i="64" s="1"/>
  <c r="X221" i="64" s="1"/>
  <c r="X272" i="64" s="1"/>
  <c r="X320" i="64" s="1"/>
  <c r="X366" i="64" s="1"/>
  <c r="X420" i="64" s="1"/>
  <c r="X469" i="64" s="1"/>
  <c r="X512" i="64" s="1"/>
  <c r="W315" i="90"/>
  <c r="W287" i="90"/>
  <c r="W316" i="90" s="1"/>
  <c r="W317" i="90" s="1"/>
  <c r="H90" i="89"/>
  <c r="H92" i="89" s="1"/>
  <c r="W228" i="56"/>
  <c r="W416" i="56" s="1"/>
  <c r="S291" i="79"/>
  <c r="S464" i="79" s="1"/>
  <c r="T479" i="88"/>
  <c r="T481" i="88" s="1"/>
  <c r="X704" i="90"/>
  <c r="R778" i="90"/>
  <c r="Y238" i="90"/>
  <c r="Y252" i="90"/>
  <c r="AA197" i="90"/>
  <c r="AA198" i="90" s="1"/>
  <c r="AA199" i="90"/>
  <c r="AA200" i="90" s="1"/>
  <c r="AA201" i="90"/>
  <c r="V41" i="88"/>
  <c r="U478" i="88"/>
  <c r="U477" i="88"/>
  <c r="L568" i="89"/>
  <c r="L570" i="89" s="1"/>
  <c r="L579" i="89"/>
  <c r="L582" i="89" s="1"/>
  <c r="W722" i="90"/>
  <c r="V721" i="90"/>
  <c r="V469" i="90" s="1"/>
  <c r="AE70" i="90"/>
  <c r="AC243" i="90"/>
  <c r="AC241" i="90"/>
  <c r="O367" i="79"/>
  <c r="O366" i="79" s="1"/>
  <c r="O467" i="79"/>
  <c r="V227" i="56"/>
  <c r="V234" i="56" s="1"/>
  <c r="V416" i="56"/>
  <c r="L280" i="56"/>
  <c r="L274" i="56"/>
  <c r="L246" i="56"/>
  <c r="O17" i="57"/>
  <c r="O23" i="57"/>
  <c r="O31" i="57" s="1"/>
  <c r="P313" i="79"/>
  <c r="P415" i="79"/>
  <c r="P419" i="79" s="1"/>
  <c r="P423" i="79" s="1"/>
  <c r="N543" i="88"/>
  <c r="N578" i="88" s="1"/>
  <c r="N592" i="88" s="1"/>
  <c r="M546" i="88"/>
  <c r="M287" i="88" s="1"/>
  <c r="X665" i="90"/>
  <c r="W663" i="90"/>
  <c r="V195" i="92"/>
  <c r="W338" i="92"/>
  <c r="W343" i="92" s="1"/>
  <c r="W537" i="56"/>
  <c r="W539" i="56" s="1"/>
  <c r="W372" i="56" s="1"/>
  <c r="X99" i="57" s="1"/>
  <c r="Z41" i="57" s="1"/>
  <c r="V566" i="56"/>
  <c r="V580" i="56" s="1"/>
  <c r="Y129" i="56"/>
  <c r="X195" i="56"/>
  <c r="X128" i="56"/>
  <c r="O383" i="79"/>
  <c r="O382" i="79" s="1"/>
  <c r="O386" i="79" s="1"/>
  <c r="O392" i="79" s="1"/>
  <c r="O470" i="79"/>
  <c r="O482" i="79"/>
  <c r="V425" i="90"/>
  <c r="V30" i="57" s="1"/>
  <c r="V370" i="90"/>
  <c r="V426" i="90"/>
  <c r="R473" i="88"/>
  <c r="S472" i="88"/>
  <c r="R76" i="88"/>
  <c r="R772" i="90"/>
  <c r="M498" i="80"/>
  <c r="M503" i="80" s="1"/>
  <c r="M420" i="80" s="1"/>
  <c r="U270" i="56"/>
  <c r="U242" i="56"/>
  <c r="X120" i="64"/>
  <c r="X116" i="64" s="1"/>
  <c r="Y73" i="64"/>
  <c r="H39" i="89"/>
  <c r="H41" i="89" s="1"/>
  <c r="H50" i="89"/>
  <c r="R335" i="64"/>
  <c r="R352" i="64"/>
  <c r="R337" i="64"/>
  <c r="Q170" i="57"/>
  <c r="P217" i="92"/>
  <c r="V32" i="57"/>
  <c r="R195" i="64"/>
  <c r="R168" i="64"/>
  <c r="Y181" i="56"/>
  <c r="Y426" i="56"/>
  <c r="Q322" i="92"/>
  <c r="S317" i="92"/>
  <c r="T317" i="92" s="1"/>
  <c r="Z197" i="64"/>
  <c r="T234" i="56"/>
  <c r="T282" i="56"/>
  <c r="W347" i="64"/>
  <c r="W155" i="64"/>
  <c r="W154" i="64" s="1"/>
  <c r="W141" i="64"/>
  <c r="S385" i="92"/>
  <c r="Y197" i="64"/>
  <c r="J193" i="89"/>
  <c r="M193" i="89"/>
  <c r="M194" i="89" s="1"/>
  <c r="T427" i="56"/>
  <c r="T431" i="56"/>
  <c r="T413" i="56"/>
  <c r="T302" i="56" s="1"/>
  <c r="T412" i="56"/>
  <c r="T432" i="56"/>
  <c r="T318" i="56" s="1"/>
  <c r="T316" i="56" s="1"/>
  <c r="Q68" i="57"/>
  <c r="P240" i="92"/>
  <c r="P245" i="92" s="1"/>
  <c r="R554" i="64"/>
  <c r="S154" i="64"/>
  <c r="T154" i="64" s="1"/>
  <c r="U194" i="64"/>
  <c r="U323" i="64"/>
  <c r="U162" i="64"/>
  <c r="Q238" i="92"/>
  <c r="S307" i="92"/>
  <c r="T307" i="92" s="1"/>
  <c r="V427" i="56"/>
  <c r="V431" i="56"/>
  <c r="V413" i="56"/>
  <c r="V302" i="56" s="1"/>
  <c r="V432" i="56"/>
  <c r="V318" i="56" s="1"/>
  <c r="V412" i="56"/>
  <c r="Y118" i="64"/>
  <c r="Z71" i="64"/>
  <c r="Z118" i="64" s="1"/>
  <c r="V229" i="64"/>
  <c r="V350" i="64"/>
  <c r="V351" i="64" s="1"/>
  <c r="U27" i="57"/>
  <c r="V194" i="64"/>
  <c r="V323" i="64"/>
  <c r="V162" i="64"/>
  <c r="W431" i="56"/>
  <c r="W432" i="56"/>
  <c r="W318" i="56" s="1"/>
  <c r="W412" i="56"/>
  <c r="W427" i="56"/>
  <c r="W413" i="56"/>
  <c r="W302" i="56" s="1"/>
  <c r="L182" i="89"/>
  <c r="L184" i="89" s="1"/>
  <c r="L192" i="89"/>
  <c r="L194" i="89" s="1"/>
  <c r="I54" i="89"/>
  <c r="M39" i="89"/>
  <c r="M41" i="89" s="1"/>
  <c r="M50" i="89"/>
  <c r="Z96" i="64"/>
  <c r="Z133" i="64" s="1"/>
  <c r="Z353" i="64" s="1"/>
  <c r="Z244" i="64" s="1"/>
  <c r="Z99" i="64"/>
  <c r="X189" i="47"/>
  <c r="R29" i="88"/>
  <c r="S28" i="88"/>
  <c r="T160" i="88"/>
  <c r="S232" i="88"/>
  <c r="T173" i="88"/>
  <c r="S175" i="88"/>
  <c r="M561" i="79"/>
  <c r="M568" i="79" s="1"/>
  <c r="M339" i="79"/>
  <c r="M577" i="79"/>
  <c r="R460" i="47"/>
  <c r="R465" i="47" s="1"/>
  <c r="P311" i="47"/>
  <c r="Q460" i="47"/>
  <c r="Q465" i="47" s="1"/>
  <c r="P491" i="47"/>
  <c r="P492" i="47" s="1"/>
  <c r="U451" i="56"/>
  <c r="U456" i="56" s="1"/>
  <c r="Q308" i="56"/>
  <c r="AA252" i="92" l="1"/>
  <c r="AB250" i="92"/>
  <c r="X37" i="72"/>
  <c r="Y36" i="72"/>
  <c r="Y37" i="72" s="1"/>
  <c r="Y460" i="56"/>
  <c r="Y486" i="56" s="1"/>
  <c r="X486" i="56"/>
  <c r="W244" i="56"/>
  <c r="W350" i="56"/>
  <c r="N233" i="64"/>
  <c r="N408" i="64"/>
  <c r="N409" i="64" s="1"/>
  <c r="P170" i="64"/>
  <c r="P172" i="64" s="1"/>
  <c r="P374" i="64"/>
  <c r="P276" i="64"/>
  <c r="O172" i="64"/>
  <c r="V517" i="64"/>
  <c r="V531" i="64" s="1"/>
  <c r="P205" i="64"/>
  <c r="Q205" i="64"/>
  <c r="P199" i="64"/>
  <c r="P127" i="57"/>
  <c r="P226" i="64"/>
  <c r="P225" i="64" s="1"/>
  <c r="P336" i="64"/>
  <c r="P340" i="64" s="1"/>
  <c r="P351" i="64"/>
  <c r="P356" i="64" s="1"/>
  <c r="P278" i="64" s="1"/>
  <c r="Q351" i="64"/>
  <c r="Q356" i="64" s="1"/>
  <c r="Q278" i="64" s="1"/>
  <c r="N200" i="64"/>
  <c r="N206" i="64"/>
  <c r="N275" i="64"/>
  <c r="N279" i="64" s="1"/>
  <c r="R63" i="64"/>
  <c r="R111" i="64" s="1"/>
  <c r="V7" i="64"/>
  <c r="R148" i="64"/>
  <c r="R189" i="64" s="1"/>
  <c r="R219" i="64" s="1"/>
  <c r="R270" i="64" s="1"/>
  <c r="R318" i="64" s="1"/>
  <c r="R364" i="64" s="1"/>
  <c r="O376" i="64"/>
  <c r="Q418" i="64"/>
  <c r="Q467" i="64" s="1"/>
  <c r="Q510" i="64" s="1"/>
  <c r="Q390" i="64"/>
  <c r="Q407" i="64" s="1"/>
  <c r="U431" i="56"/>
  <c r="W267" i="90"/>
  <c r="W377" i="90" s="1"/>
  <c r="W268" i="90"/>
  <c r="W569" i="90"/>
  <c r="W592" i="90" s="1"/>
  <c r="W570" i="90"/>
  <c r="W581" i="90" s="1"/>
  <c r="W583" i="90" s="1"/>
  <c r="W584" i="90" s="1"/>
  <c r="W590" i="90" s="1"/>
  <c r="W462" i="90" s="1"/>
  <c r="V241" i="56"/>
  <c r="V34" i="56"/>
  <c r="S306" i="80"/>
  <c r="S310" i="80" s="1"/>
  <c r="N421" i="80"/>
  <c r="R368" i="90"/>
  <c r="R286" i="90"/>
  <c r="X268" i="90"/>
  <c r="W80" i="57"/>
  <c r="W90" i="57" s="1"/>
  <c r="X486" i="47"/>
  <c r="X490" i="47" s="1"/>
  <c r="X462" i="47" s="1"/>
  <c r="X225" i="56"/>
  <c r="X279" i="56"/>
  <c r="Y279" i="56"/>
  <c r="Y8" i="57"/>
  <c r="AA8" i="57" s="1"/>
  <c r="X272" i="56"/>
  <c r="R375" i="90"/>
  <c r="X398" i="56"/>
  <c r="X431" i="56" s="1"/>
  <c r="X319" i="56" s="1"/>
  <c r="Y413" i="56"/>
  <c r="Y302" i="56" s="1"/>
  <c r="Y427" i="56"/>
  <c r="Y305" i="56" s="1"/>
  <c r="U413" i="56"/>
  <c r="U302" i="56" s="1"/>
  <c r="U412" i="56"/>
  <c r="U301" i="56" s="1"/>
  <c r="U427" i="56"/>
  <c r="U305" i="56" s="1"/>
  <c r="Y432" i="56"/>
  <c r="Y318" i="56" s="1"/>
  <c r="R404" i="47"/>
  <c r="Y486" i="47"/>
  <c r="Y490" i="47" s="1"/>
  <c r="Y273" i="47" s="1"/>
  <c r="Y359" i="47" s="1"/>
  <c r="S7" i="57"/>
  <c r="W486" i="47"/>
  <c r="W490" i="47" s="1"/>
  <c r="V273" i="47"/>
  <c r="V359" i="47" s="1"/>
  <c r="V199" i="47"/>
  <c r="T269" i="47"/>
  <c r="U24" i="57" s="1"/>
  <c r="W512" i="47"/>
  <c r="X512" i="47" s="1"/>
  <c r="X547" i="47" s="1"/>
  <c r="X561" i="47" s="1"/>
  <c r="V547" i="47"/>
  <c r="V561" i="47" s="1"/>
  <c r="U269" i="47"/>
  <c r="V24" i="57" s="1"/>
  <c r="U219" i="47"/>
  <c r="W241" i="56"/>
  <c r="W34" i="56"/>
  <c r="N420" i="56"/>
  <c r="N351" i="56" s="1"/>
  <c r="O420" i="56"/>
  <c r="O351" i="56" s="1"/>
  <c r="P433" i="56"/>
  <c r="P319" i="56"/>
  <c r="P320" i="56" s="1"/>
  <c r="P280" i="56"/>
  <c r="P246" i="56"/>
  <c r="P274" i="56"/>
  <c r="Q126" i="57"/>
  <c r="O280" i="56"/>
  <c r="N274" i="56"/>
  <c r="N280" i="56"/>
  <c r="N246" i="56"/>
  <c r="P301" i="56"/>
  <c r="P300" i="56" s="1"/>
  <c r="P415" i="56"/>
  <c r="P419" i="56" s="1"/>
  <c r="P420" i="56" s="1"/>
  <c r="P351" i="56" s="1"/>
  <c r="N434" i="56"/>
  <c r="O434" i="56"/>
  <c r="Q760" i="90"/>
  <c r="Q424" i="80"/>
  <c r="Q425" i="80" s="1"/>
  <c r="Q321" i="80"/>
  <c r="Q563" i="80" s="1"/>
  <c r="M487" i="80"/>
  <c r="M419" i="80" s="1"/>
  <c r="M421" i="80" s="1"/>
  <c r="P446" i="79"/>
  <c r="P449" i="79" s="1"/>
  <c r="Q448" i="79" s="1"/>
  <c r="Q614" i="79" s="1"/>
  <c r="K90" i="89"/>
  <c r="K92" i="89" s="1"/>
  <c r="L16" i="89"/>
  <c r="L90" i="89"/>
  <c r="L92" i="89" s="1"/>
  <c r="M90" i="89"/>
  <c r="M92" i="89" s="1"/>
  <c r="K270" i="89"/>
  <c r="K14" i="89"/>
  <c r="T51" i="57" s="1"/>
  <c r="T165" i="57" s="1"/>
  <c r="L270" i="89"/>
  <c r="L14" i="89"/>
  <c r="U51" i="57" s="1"/>
  <c r="J54" i="89"/>
  <c r="W700" i="90"/>
  <c r="W705" i="90" s="1"/>
  <c r="W703" i="90" s="1"/>
  <c r="AC244" i="90"/>
  <c r="R561" i="90"/>
  <c r="R266" i="90"/>
  <c r="R416" i="90"/>
  <c r="R418" i="90"/>
  <c r="R14" i="57"/>
  <c r="R560" i="90"/>
  <c r="R814" i="90"/>
  <c r="R838" i="90" s="1"/>
  <c r="R287" i="90"/>
  <c r="R316" i="90" s="1"/>
  <c r="R317" i="90" s="1"/>
  <c r="R315" i="90"/>
  <c r="Z188" i="90"/>
  <c r="Z248" i="90" s="1"/>
  <c r="AA512" i="90"/>
  <c r="Z558" i="90"/>
  <c r="O249" i="47"/>
  <c r="S268" i="47"/>
  <c r="T268" i="47" s="1"/>
  <c r="L504" i="47"/>
  <c r="L509" i="47" s="1"/>
  <c r="L523" i="47" s="1"/>
  <c r="L527" i="47" s="1"/>
  <c r="S242" i="47"/>
  <c r="V139" i="47"/>
  <c r="V211" i="47" s="1"/>
  <c r="W7" i="47"/>
  <c r="V258" i="47"/>
  <c r="S262" i="47"/>
  <c r="T11" i="47"/>
  <c r="U218" i="47"/>
  <c r="Q242" i="47"/>
  <c r="Q236" i="47"/>
  <c r="Q268" i="47" s="1"/>
  <c r="S157" i="47"/>
  <c r="S183" i="47"/>
  <c r="S235" i="47" s="1"/>
  <c r="S228" i="47" s="1"/>
  <c r="S155" i="47"/>
  <c r="S159" i="47"/>
  <c r="S19" i="47"/>
  <c r="T19" i="47" s="1"/>
  <c r="S161" i="47"/>
  <c r="U230" i="47"/>
  <c r="V177" i="47"/>
  <c r="W176" i="47"/>
  <c r="Y118" i="47"/>
  <c r="Y113" i="47"/>
  <c r="W130" i="47"/>
  <c r="W147" i="47"/>
  <c r="W12" i="47"/>
  <c r="U232" i="47"/>
  <c r="Q19" i="47"/>
  <c r="Q20" i="47" s="1"/>
  <c r="Q11" i="47" s="1"/>
  <c r="Q154" i="47"/>
  <c r="Q182" i="47"/>
  <c r="Q161" i="47"/>
  <c r="Q226" i="47" s="1"/>
  <c r="Q159" i="47"/>
  <c r="Q225" i="47" s="1"/>
  <c r="Q157" i="47"/>
  <c r="Q224" i="47" s="1"/>
  <c r="V152" i="47"/>
  <c r="U153" i="47"/>
  <c r="U220" i="47" s="1"/>
  <c r="P18" i="57"/>
  <c r="P17" i="57" s="1"/>
  <c r="P23" i="57" s="1"/>
  <c r="P31" i="57" s="1"/>
  <c r="O405" i="47"/>
  <c r="O422" i="47"/>
  <c r="U247" i="47"/>
  <c r="U238" i="47"/>
  <c r="U240" i="47"/>
  <c r="U229" i="47"/>
  <c r="U234" i="47"/>
  <c r="U244" i="47"/>
  <c r="U231" i="47"/>
  <c r="U246" i="47"/>
  <c r="U233" i="47"/>
  <c r="U237" i="47"/>
  <c r="U239" i="47"/>
  <c r="U245" i="47"/>
  <c r="U250" i="47"/>
  <c r="U16" i="47"/>
  <c r="W353" i="47"/>
  <c r="W400" i="47" s="1"/>
  <c r="W446" i="47" s="1"/>
  <c r="W500" i="47" s="1"/>
  <c r="W542" i="47" s="1"/>
  <c r="X297" i="47"/>
  <c r="U312" i="47"/>
  <c r="V466" i="47"/>
  <c r="V468" i="47" s="1"/>
  <c r="S417" i="47"/>
  <c r="S308" i="47" s="1"/>
  <c r="R308" i="47"/>
  <c r="O266" i="47"/>
  <c r="O271" i="47" s="1"/>
  <c r="T466" i="47"/>
  <c r="T468" i="47" s="1"/>
  <c r="S312" i="47"/>
  <c r="V13" i="47"/>
  <c r="V243" i="47"/>
  <c r="V15" i="47"/>
  <c r="X117" i="47"/>
  <c r="X170" i="47" s="1"/>
  <c r="X417" i="47" s="1"/>
  <c r="X308" i="47" s="1"/>
  <c r="X119" i="47"/>
  <c r="X129" i="47" s="1"/>
  <c r="U216" i="47"/>
  <c r="V174" i="47"/>
  <c r="W173" i="47"/>
  <c r="X173" i="47" s="1"/>
  <c r="V151" i="47"/>
  <c r="V149" i="47"/>
  <c r="O434" i="47"/>
  <c r="O435" i="47"/>
  <c r="O323" i="47" s="1"/>
  <c r="O248" i="47"/>
  <c r="T75" i="57"/>
  <c r="T174" i="57" s="1"/>
  <c r="X225" i="64"/>
  <c r="Y431" i="56"/>
  <c r="Y319" i="56" s="1"/>
  <c r="N208" i="88"/>
  <c r="N200" i="88"/>
  <c r="P15" i="88"/>
  <c r="P211" i="88" s="1"/>
  <c r="N207" i="88"/>
  <c r="N201" i="88"/>
  <c r="O13" i="88"/>
  <c r="O197" i="88" s="1"/>
  <c r="N16" i="88"/>
  <c r="N142" i="88" s="1"/>
  <c r="N194" i="88" s="1"/>
  <c r="N199" i="88"/>
  <c r="N210" i="88"/>
  <c r="N198" i="88"/>
  <c r="N211" i="88"/>
  <c r="P209" i="88"/>
  <c r="P197" i="88"/>
  <c r="P119" i="88"/>
  <c r="Q117" i="88" s="1"/>
  <c r="Q118" i="88" s="1"/>
  <c r="Q119" i="88" s="1"/>
  <c r="R117" i="88" s="1"/>
  <c r="R118" i="88" s="1"/>
  <c r="R119" i="88" s="1"/>
  <c r="S117" i="88" s="1"/>
  <c r="S118" i="88" s="1"/>
  <c r="S13" i="88" s="1"/>
  <c r="S15" i="88" s="1"/>
  <c r="S201" i="88" s="1"/>
  <c r="M142" i="88"/>
  <c r="M194" i="88" s="1"/>
  <c r="M140" i="88"/>
  <c r="M193" i="88" s="1"/>
  <c r="M19" i="88"/>
  <c r="M20" i="88" s="1"/>
  <c r="M11" i="88" s="1"/>
  <c r="M444" i="88" s="1"/>
  <c r="M269" i="88" s="1"/>
  <c r="M156" i="88"/>
  <c r="M158" i="88" s="1"/>
  <c r="M241" i="88" s="1"/>
  <c r="M322" i="88" s="1"/>
  <c r="M203" i="88"/>
  <c r="K444" i="88"/>
  <c r="K269" i="88" s="1"/>
  <c r="K267" i="88" s="1"/>
  <c r="Y301" i="56"/>
  <c r="L227" i="88"/>
  <c r="L431" i="88" s="1"/>
  <c r="L446" i="88"/>
  <c r="L270" i="88" s="1"/>
  <c r="L460" i="88"/>
  <c r="L283" i="88" s="1"/>
  <c r="K225" i="88"/>
  <c r="K228" i="88" s="1"/>
  <c r="K202" i="88"/>
  <c r="K196" i="88" s="1"/>
  <c r="L267" i="88"/>
  <c r="L158" i="88"/>
  <c r="L241" i="88" s="1"/>
  <c r="L322" i="88" s="1"/>
  <c r="K158" i="88"/>
  <c r="K241" i="88" s="1"/>
  <c r="K322" i="88" s="1"/>
  <c r="L445" i="88"/>
  <c r="L271" i="88" s="1"/>
  <c r="L233" i="88"/>
  <c r="K445" i="88"/>
  <c r="K271" i="88" s="1"/>
  <c r="K227" i="88"/>
  <c r="K431" i="88" s="1"/>
  <c r="K233" i="88"/>
  <c r="R315" i="80"/>
  <c r="R319" i="80" s="1"/>
  <c r="R317" i="80" s="1"/>
  <c r="R424" i="80" s="1"/>
  <c r="R425" i="80" s="1"/>
  <c r="R417" i="80"/>
  <c r="R421" i="80" s="1"/>
  <c r="U247" i="90"/>
  <c r="T258" i="90"/>
  <c r="AA11" i="92"/>
  <c r="AA100" i="92"/>
  <c r="AA127" i="92" s="1"/>
  <c r="W316" i="92"/>
  <c r="W317" i="92" s="1"/>
  <c r="Y115" i="92"/>
  <c r="Y166" i="92"/>
  <c r="Z12" i="57"/>
  <c r="AA12" i="57" s="1"/>
  <c r="Y285" i="92"/>
  <c r="Y413" i="92"/>
  <c r="Y437" i="92" s="1"/>
  <c r="Z22" i="90"/>
  <c r="AD154" i="90"/>
  <c r="AC417" i="90"/>
  <c r="R152" i="88"/>
  <c r="E15" i="95"/>
  <c r="H15" i="95"/>
  <c r="I15" i="95" s="1"/>
  <c r="W320" i="92"/>
  <c r="W321" i="92" s="1"/>
  <c r="W206" i="92"/>
  <c r="W207" i="92" s="1"/>
  <c r="Q532" i="56"/>
  <c r="T30" i="57"/>
  <c r="U425" i="90"/>
  <c r="U30" i="57" s="1"/>
  <c r="Y159" i="92"/>
  <c r="Z27" i="57"/>
  <c r="AA27" i="57" s="1"/>
  <c r="P301" i="64"/>
  <c r="P105" i="57" s="1"/>
  <c r="P426" i="64"/>
  <c r="Y164" i="56"/>
  <c r="Y163" i="56" s="1"/>
  <c r="Y109" i="56"/>
  <c r="V51" i="72"/>
  <c r="V53" i="72" s="1"/>
  <c r="W47" i="72"/>
  <c r="V16" i="72"/>
  <c r="Y27" i="72"/>
  <c r="Y29" i="72" s="1"/>
  <c r="Y31" i="72" s="1"/>
  <c r="X29" i="72"/>
  <c r="X31" i="72" s="1"/>
  <c r="V40" i="72"/>
  <c r="V42" i="72" s="1"/>
  <c r="W38" i="72"/>
  <c r="K495" i="64"/>
  <c r="K298" i="64" s="1"/>
  <c r="K304" i="64" s="1"/>
  <c r="K306" i="64" s="1"/>
  <c r="K309" i="64" s="1"/>
  <c r="U15" i="72"/>
  <c r="X300" i="92"/>
  <c r="X189" i="92" s="1"/>
  <c r="X299" i="92"/>
  <c r="X319" i="92"/>
  <c r="X205" i="92" s="1"/>
  <c r="X203" i="92" s="1"/>
  <c r="X315" i="92"/>
  <c r="X197" i="92" s="1"/>
  <c r="X314" i="92"/>
  <c r="X318" i="92"/>
  <c r="X471" i="90"/>
  <c r="Y727" i="90"/>
  <c r="X783" i="90"/>
  <c r="Y762" i="90" s="1"/>
  <c r="Y776" i="90" s="1"/>
  <c r="Z101" i="92"/>
  <c r="Z128" i="92" s="1"/>
  <c r="Z123" i="92" s="1"/>
  <c r="Z112" i="92"/>
  <c r="Z334" i="92"/>
  <c r="U451" i="64"/>
  <c r="U454" i="64" s="1"/>
  <c r="R451" i="64"/>
  <c r="R454" i="64" s="1"/>
  <c r="Q439" i="64"/>
  <c r="Q441" i="64" s="1"/>
  <c r="Q443" i="64" s="1"/>
  <c r="Q456" i="64"/>
  <c r="V480" i="64"/>
  <c r="V515" i="64" s="1"/>
  <c r="V529" i="64" s="1"/>
  <c r="R483" i="64"/>
  <c r="R249" i="64" s="1"/>
  <c r="U71" i="72"/>
  <c r="V787" i="90"/>
  <c r="X513" i="47"/>
  <c r="X548" i="47" s="1"/>
  <c r="X562" i="47" s="1"/>
  <c r="T53" i="72"/>
  <c r="T71" i="72"/>
  <c r="R173" i="57"/>
  <c r="R41" i="57"/>
  <c r="R75" i="57" s="1"/>
  <c r="R174" i="57" s="1"/>
  <c r="W302" i="92"/>
  <c r="W188" i="92"/>
  <c r="W187" i="92" s="1"/>
  <c r="U301" i="90"/>
  <c r="T368" i="90"/>
  <c r="U368" i="90" s="1"/>
  <c r="T293" i="90"/>
  <c r="U280" i="64"/>
  <c r="S174" i="64"/>
  <c r="T174" i="64" s="1"/>
  <c r="U415" i="90"/>
  <c r="U21" i="57" s="1"/>
  <c r="T21" i="57"/>
  <c r="W66" i="88"/>
  <c r="V71" i="88"/>
  <c r="V90" i="88" s="1"/>
  <c r="V95" i="88" s="1"/>
  <c r="V114" i="88" s="1"/>
  <c r="V115" i="88" s="1"/>
  <c r="W112" i="88" s="1"/>
  <c r="T266" i="90"/>
  <c r="T416" i="90"/>
  <c r="U416" i="90" s="1"/>
  <c r="T561" i="90"/>
  <c r="U238" i="90"/>
  <c r="K254" i="64"/>
  <c r="L422" i="64"/>
  <c r="X194" i="56"/>
  <c r="Z209" i="90"/>
  <c r="Z252" i="90" s="1"/>
  <c r="AE53" i="90"/>
  <c r="AD52" i="90"/>
  <c r="AD240" i="90" s="1"/>
  <c r="AB13" i="92"/>
  <c r="AC14" i="92"/>
  <c r="T286" i="90"/>
  <c r="T364" i="90"/>
  <c r="U364" i="90" s="1"/>
  <c r="T412" i="90"/>
  <c r="T375" i="90"/>
  <c r="U375" i="90" s="1"/>
  <c r="U11" i="90"/>
  <c r="T361" i="90"/>
  <c r="U361" i="90" s="1"/>
  <c r="X163" i="56"/>
  <c r="W530" i="56"/>
  <c r="X530" i="56" s="1"/>
  <c r="R228" i="47"/>
  <c r="R248" i="47" s="1"/>
  <c r="M446" i="79"/>
  <c r="M449" i="79" s="1"/>
  <c r="N448" i="79" s="1"/>
  <c r="N614" i="79" s="1"/>
  <c r="X482" i="90"/>
  <c r="X595" i="90"/>
  <c r="V242" i="56"/>
  <c r="W126" i="57" s="1"/>
  <c r="V270" i="56"/>
  <c r="X482" i="64"/>
  <c r="AD243" i="90"/>
  <c r="AD241" i="90"/>
  <c r="P275" i="47"/>
  <c r="P358" i="47" s="1"/>
  <c r="Q125" i="57"/>
  <c r="AI55" i="90"/>
  <c r="S144" i="88"/>
  <c r="R146" i="88"/>
  <c r="R443" i="88" s="1"/>
  <c r="R272" i="88" s="1"/>
  <c r="S118" i="92"/>
  <c r="Q117" i="92"/>
  <c r="N375" i="79"/>
  <c r="O523" i="79"/>
  <c r="O527" i="79" s="1"/>
  <c r="O375" i="79" s="1"/>
  <c r="R779" i="90"/>
  <c r="V758" i="90" s="1"/>
  <c r="V772" i="90" s="1"/>
  <c r="W41" i="88"/>
  <c r="V478" i="88"/>
  <c r="V477" i="88"/>
  <c r="Y333" i="64"/>
  <c r="Y226" i="64" s="1"/>
  <c r="Y334" i="64"/>
  <c r="Y227" i="64" s="1"/>
  <c r="AA210" i="90"/>
  <c r="AA211" i="90" s="1"/>
  <c r="AA136" i="90"/>
  <c r="AA664" i="90"/>
  <c r="AD204" i="90"/>
  <c r="AD205" i="90" s="1"/>
  <c r="R388" i="79"/>
  <c r="S661" i="79"/>
  <c r="S677" i="79" s="1"/>
  <c r="S678" i="79" s="1"/>
  <c r="S682" i="79" s="1"/>
  <c r="S310" i="79" s="1"/>
  <c r="S420" i="79" s="1"/>
  <c r="AB818" i="90"/>
  <c r="P396" i="80"/>
  <c r="P398" i="80" s="1"/>
  <c r="Q562" i="80"/>
  <c r="Q570" i="80" s="1"/>
  <c r="N310" i="56"/>
  <c r="N429" i="56"/>
  <c r="N430" i="56" s="1"/>
  <c r="N435" i="56" s="1"/>
  <c r="N352" i="56" s="1"/>
  <c r="O71" i="57" s="1"/>
  <c r="W517" i="64"/>
  <c r="W531" i="64" s="1"/>
  <c r="AE132" i="90"/>
  <c r="AF125" i="90"/>
  <c r="AE139" i="90"/>
  <c r="AE155" i="90" s="1"/>
  <c r="P423" i="47"/>
  <c r="P425" i="47" s="1"/>
  <c r="P322" i="47"/>
  <c r="P321" i="47" s="1"/>
  <c r="P325" i="47" s="1"/>
  <c r="P439" i="90"/>
  <c r="Y404" i="92"/>
  <c r="Z7" i="92"/>
  <c r="Y79" i="92"/>
  <c r="Y381" i="92"/>
  <c r="Y56" i="92"/>
  <c r="Y231" i="92"/>
  <c r="Y108" i="92"/>
  <c r="Y330" i="92"/>
  <c r="Y181" i="92"/>
  <c r="Y151" i="92"/>
  <c r="Y281" i="92"/>
  <c r="Y447" i="92"/>
  <c r="Y45" i="92"/>
  <c r="U72" i="72"/>
  <c r="U18" i="72"/>
  <c r="V11" i="57" s="1"/>
  <c r="R782" i="90"/>
  <c r="V761" i="90" s="1"/>
  <c r="V775" i="90" s="1"/>
  <c r="AB169" i="90"/>
  <c r="AB168" i="90"/>
  <c r="AB171" i="90"/>
  <c r="AB251" i="90" s="1"/>
  <c r="AB304" i="90"/>
  <c r="AB306" i="90" s="1"/>
  <c r="AB294" i="90" s="1"/>
  <c r="AB792" i="90"/>
  <c r="AB794" i="90" s="1"/>
  <c r="AB796" i="90" s="1"/>
  <c r="Z196" i="92"/>
  <c r="AA345" i="92"/>
  <c r="AA348" i="92" s="1"/>
  <c r="AB18" i="92"/>
  <c r="AA20" i="92"/>
  <c r="AG54" i="90"/>
  <c r="O428" i="56"/>
  <c r="P422" i="56"/>
  <c r="T86" i="88"/>
  <c r="S87" i="88"/>
  <c r="R197" i="57"/>
  <c r="R164" i="57"/>
  <c r="R128" i="57"/>
  <c r="AH69" i="90"/>
  <c r="X57" i="92"/>
  <c r="X63" i="92"/>
  <c r="X89" i="92" s="1"/>
  <c r="X87" i="92" s="1"/>
  <c r="X119" i="92" s="1"/>
  <c r="X55" i="92"/>
  <c r="X85" i="92" s="1"/>
  <c r="X83" i="92" s="1"/>
  <c r="AF76" i="90"/>
  <c r="Q450" i="80"/>
  <c r="Q616" i="80" s="1"/>
  <c r="P367" i="80"/>
  <c r="P374" i="80" s="1"/>
  <c r="P381" i="80" s="1"/>
  <c r="W19" i="57"/>
  <c r="W132" i="57" s="1"/>
  <c r="V286" i="92"/>
  <c r="V156" i="92"/>
  <c r="V121" i="92"/>
  <c r="Z639" i="90"/>
  <c r="W771" i="90"/>
  <c r="W778" i="90" s="1"/>
  <c r="Y665" i="90"/>
  <c r="X663" i="90"/>
  <c r="V399" i="56"/>
  <c r="V269" i="56"/>
  <c r="X181" i="56"/>
  <c r="X426" i="56"/>
  <c r="X228" i="56"/>
  <c r="Y406" i="56"/>
  <c r="Y409" i="56" s="1"/>
  <c r="X409" i="56"/>
  <c r="R234" i="64"/>
  <c r="V383" i="64"/>
  <c r="V387" i="64" s="1"/>
  <c r="P612" i="80"/>
  <c r="P618" i="80" s="1"/>
  <c r="P436" i="80"/>
  <c r="AD795" i="90"/>
  <c r="AD792" i="90"/>
  <c r="AD794" i="90" s="1"/>
  <c r="AD171" i="90"/>
  <c r="AD304" i="90"/>
  <c r="AD169" i="90"/>
  <c r="AD168" i="90"/>
  <c r="N523" i="88"/>
  <c r="N524" i="88" s="1"/>
  <c r="O483" i="88"/>
  <c r="O488" i="88" s="1"/>
  <c r="N275" i="88"/>
  <c r="Y293" i="90"/>
  <c r="Y368" i="90"/>
  <c r="X287" i="90"/>
  <c r="X316" i="90" s="1"/>
  <c r="X317" i="90" s="1"/>
  <c r="X315" i="90"/>
  <c r="W458" i="56"/>
  <c r="W461" i="56" s="1"/>
  <c r="V309" i="56"/>
  <c r="M72" i="57"/>
  <c r="W721" i="90"/>
  <c r="W469" i="90" s="1"/>
  <c r="X722" i="90"/>
  <c r="W374" i="64"/>
  <c r="W170" i="64"/>
  <c r="W276" i="64"/>
  <c r="Y361" i="90"/>
  <c r="Y400" i="90" s="1"/>
  <c r="Y401" i="90" s="1"/>
  <c r="Y375" i="90"/>
  <c r="Y286" i="90"/>
  <c r="Y364" i="90"/>
  <c r="Y412" i="90"/>
  <c r="W183" i="56"/>
  <c r="W182" i="56"/>
  <c r="X418" i="90"/>
  <c r="X560" i="90"/>
  <c r="X14" i="57"/>
  <c r="X814" i="90"/>
  <c r="X838" i="90" s="1"/>
  <c r="R544" i="88"/>
  <c r="R579" i="88" s="1"/>
  <c r="R593" i="88" s="1"/>
  <c r="V286" i="90"/>
  <c r="V375" i="90"/>
  <c r="V364" i="90"/>
  <c r="V361" i="90"/>
  <c r="V412" i="90"/>
  <c r="Q545" i="88"/>
  <c r="Q580" i="88"/>
  <c r="Q594" i="88" s="1"/>
  <c r="AF58" i="90"/>
  <c r="AE57" i="90"/>
  <c r="W472" i="90"/>
  <c r="AF72" i="90"/>
  <c r="X724" i="90"/>
  <c r="W780" i="90"/>
  <c r="X759" i="90" s="1"/>
  <c r="X773" i="90" s="1"/>
  <c r="T130" i="88"/>
  <c r="S131" i="88"/>
  <c r="W95" i="92"/>
  <c r="W96" i="92" s="1"/>
  <c r="W118" i="92"/>
  <c r="W117" i="92" s="1"/>
  <c r="Y112" i="64"/>
  <c r="V293" i="90"/>
  <c r="V368" i="90"/>
  <c r="AA9" i="57"/>
  <c r="Y41" i="57"/>
  <c r="V417" i="56"/>
  <c r="V317" i="56"/>
  <c r="V316" i="56" s="1"/>
  <c r="S526" i="80"/>
  <c r="S428" i="80"/>
  <c r="S432" i="80" s="1"/>
  <c r="T328" i="88"/>
  <c r="T332" i="88" s="1"/>
  <c r="T484" i="88"/>
  <c r="J505" i="88"/>
  <c r="Y432" i="47"/>
  <c r="Y314" i="47"/>
  <c r="Z797" i="90"/>
  <c r="Y470" i="90"/>
  <c r="S417" i="80"/>
  <c r="S421" i="80" s="1"/>
  <c r="S315" i="80"/>
  <c r="W357" i="88"/>
  <c r="V358" i="88"/>
  <c r="AE18" i="90"/>
  <c r="AB124" i="70"/>
  <c r="AA723" i="90"/>
  <c r="T96" i="88"/>
  <c r="S99" i="88"/>
  <c r="W227" i="56"/>
  <c r="W234" i="56" s="1"/>
  <c r="W242" i="56" s="1"/>
  <c r="V778" i="90"/>
  <c r="P432" i="79"/>
  <c r="AD206" i="90"/>
  <c r="AA99" i="57"/>
  <c r="V235" i="64"/>
  <c r="W378" i="64"/>
  <c r="W381" i="64" s="1"/>
  <c r="Y689" i="90"/>
  <c r="Z9" i="64"/>
  <c r="Y65" i="64"/>
  <c r="Y113" i="64" s="1"/>
  <c r="Y150" i="64"/>
  <c r="Y191" i="64" s="1"/>
  <c r="Y221" i="64" s="1"/>
  <c r="Y272" i="64" s="1"/>
  <c r="Y320" i="64" s="1"/>
  <c r="Y366" i="64" s="1"/>
  <c r="Y420" i="64" s="1"/>
  <c r="Y469" i="64" s="1"/>
  <c r="Y512" i="64" s="1"/>
  <c r="AA710" i="90"/>
  <c r="Q523" i="79"/>
  <c r="P375" i="79"/>
  <c r="V42" i="88"/>
  <c r="U176" i="88"/>
  <c r="Z373" i="64"/>
  <c r="G405" i="64"/>
  <c r="Z405" i="64" s="1"/>
  <c r="Z286" i="64"/>
  <c r="Z290" i="64" s="1"/>
  <c r="O338" i="79"/>
  <c r="O415" i="79"/>
  <c r="X432" i="47"/>
  <c r="X433" i="47" s="1"/>
  <c r="X314" i="47"/>
  <c r="M286" i="88"/>
  <c r="N557" i="88"/>
  <c r="N559" i="88" s="1"/>
  <c r="N581" i="88"/>
  <c r="N595" i="88" s="1"/>
  <c r="N596" i="88" s="1"/>
  <c r="N600" i="88" s="1"/>
  <c r="AD24" i="90"/>
  <c r="AD26" i="90" s="1"/>
  <c r="AD414" i="90" s="1"/>
  <c r="AD359" i="90"/>
  <c r="AD399" i="90" s="1"/>
  <c r="AD303" i="90"/>
  <c r="AD319" i="90"/>
  <c r="R513" i="79"/>
  <c r="R514" i="79" s="1"/>
  <c r="R615" i="79"/>
  <c r="R641" i="79" s="1"/>
  <c r="R463" i="79"/>
  <c r="R294" i="79"/>
  <c r="R304" i="79" s="1"/>
  <c r="R308" i="79" s="1"/>
  <c r="X403" i="64"/>
  <c r="X407" i="64" s="1"/>
  <c r="Y403" i="64"/>
  <c r="Z403" i="64"/>
  <c r="AC169" i="90"/>
  <c r="AC168" i="90"/>
  <c r="AC792" i="90"/>
  <c r="AC794" i="90" s="1"/>
  <c r="AC796" i="90" s="1"/>
  <c r="AC171" i="90"/>
  <c r="AC304" i="90"/>
  <c r="AC306" i="90" s="1"/>
  <c r="AC294" i="90" s="1"/>
  <c r="X41" i="57"/>
  <c r="X75" i="57" s="1"/>
  <c r="X174" i="57" s="1"/>
  <c r="AA21" i="90"/>
  <c r="AA16" i="90"/>
  <c r="AA191" i="90"/>
  <c r="AA189" i="90"/>
  <c r="AA190" i="90"/>
  <c r="Y195" i="56"/>
  <c r="Y194" i="56" s="1"/>
  <c r="Y128" i="56"/>
  <c r="Y424" i="92"/>
  <c r="Y426" i="92" s="1"/>
  <c r="Y259" i="92" s="1"/>
  <c r="Z97" i="57" s="1"/>
  <c r="AA97" i="57" s="1"/>
  <c r="X453" i="92"/>
  <c r="X467" i="92" s="1"/>
  <c r="T531" i="88"/>
  <c r="S532" i="88"/>
  <c r="R126" i="57"/>
  <c r="Q246" i="56"/>
  <c r="Q274" i="56"/>
  <c r="Q280" i="56"/>
  <c r="N23" i="57"/>
  <c r="N31" i="57" s="1"/>
  <c r="N17" i="57"/>
  <c r="W75" i="57"/>
  <c r="W174" i="57" s="1"/>
  <c r="AA212" i="90"/>
  <c r="AA235" i="90"/>
  <c r="Y373" i="64"/>
  <c r="G404" i="64"/>
  <c r="Y286" i="64"/>
  <c r="AA84" i="92"/>
  <c r="AB52" i="92"/>
  <c r="W195" i="92"/>
  <c r="X338" i="92"/>
  <c r="X343" i="92" s="1"/>
  <c r="P319" i="79"/>
  <c r="P561" i="79" s="1"/>
  <c r="P568" i="79" s="1"/>
  <c r="P317" i="79"/>
  <c r="Z239" i="90"/>
  <c r="Z259" i="90"/>
  <c r="Z333" i="64"/>
  <c r="Z226" i="64" s="1"/>
  <c r="Z334" i="64"/>
  <c r="Z227" i="64" s="1"/>
  <c r="U129" i="92"/>
  <c r="U157" i="92"/>
  <c r="AE820" i="90"/>
  <c r="X260" i="47"/>
  <c r="X141" i="47"/>
  <c r="X213" i="47" s="1"/>
  <c r="Y9" i="47"/>
  <c r="T151" i="88"/>
  <c r="S152" i="88"/>
  <c r="V65" i="72"/>
  <c r="V15" i="72"/>
  <c r="S262" i="88"/>
  <c r="T261" i="88"/>
  <c r="L349" i="80"/>
  <c r="L579" i="80"/>
  <c r="L581" i="80" s="1"/>
  <c r="L583" i="80" s="1"/>
  <c r="L563" i="80"/>
  <c r="L341" i="80"/>
  <c r="Y461" i="47"/>
  <c r="Y370" i="47"/>
  <c r="M322" i="47"/>
  <c r="M321" i="47" s="1"/>
  <c r="M325" i="47" s="1"/>
  <c r="M423" i="47"/>
  <c r="M425" i="47" s="1"/>
  <c r="M426" i="47" s="1"/>
  <c r="M360" i="47" s="1"/>
  <c r="N67" i="57" s="1"/>
  <c r="T97" i="88"/>
  <c r="S100" i="88"/>
  <c r="U479" i="88"/>
  <c r="U481" i="88" s="1"/>
  <c r="L425" i="80"/>
  <c r="L434" i="80" s="1"/>
  <c r="M435" i="56"/>
  <c r="M352" i="56" s="1"/>
  <c r="N71" i="57" s="1"/>
  <c r="AJ67" i="90"/>
  <c r="S312" i="88"/>
  <c r="R313" i="88"/>
  <c r="P365" i="79"/>
  <c r="P372" i="79" s="1"/>
  <c r="T504" i="88"/>
  <c r="S504" i="88"/>
  <c r="S522" i="88" s="1"/>
  <c r="S485" i="88" s="1"/>
  <c r="S237" i="88" s="1"/>
  <c r="S318" i="88" s="1"/>
  <c r="V504" i="88"/>
  <c r="W504" i="88"/>
  <c r="U504" i="88"/>
  <c r="Y186" i="88"/>
  <c r="X187" i="88"/>
  <c r="S289" i="79"/>
  <c r="S28" i="79"/>
  <c r="U153" i="88"/>
  <c r="T154" i="88"/>
  <c r="Z707" i="90"/>
  <c r="AA692" i="90" s="1"/>
  <c r="AA702" i="90" s="1"/>
  <c r="AA667" i="90"/>
  <c r="X420" i="92"/>
  <c r="X210" i="92" s="1"/>
  <c r="R72" i="72"/>
  <c r="S65" i="72"/>
  <c r="R18" i="72"/>
  <c r="S11" i="57" s="1"/>
  <c r="X675" i="90"/>
  <c r="W673" i="90"/>
  <c r="W786" i="90" s="1"/>
  <c r="W473" i="90" s="1"/>
  <c r="M281" i="56"/>
  <c r="L275" i="56"/>
  <c r="L281" i="56"/>
  <c r="L349" i="56"/>
  <c r="L353" i="56" s="1"/>
  <c r="V561" i="90"/>
  <c r="V416" i="90"/>
  <c r="V266" i="90"/>
  <c r="Z674" i="90"/>
  <c r="S574" i="88"/>
  <c r="T573" i="88"/>
  <c r="X80" i="57"/>
  <c r="X90" i="57" s="1"/>
  <c r="Q774" i="90"/>
  <c r="Q756" i="90"/>
  <c r="Q785" i="90" s="1"/>
  <c r="Q430" i="90" s="1"/>
  <c r="R457" i="88"/>
  <c r="R458" i="88" s="1"/>
  <c r="R459" i="88" s="1"/>
  <c r="S454" i="88"/>
  <c r="X706" i="90"/>
  <c r="Y691" i="90" s="1"/>
  <c r="Y701" i="90" s="1"/>
  <c r="Y666" i="90"/>
  <c r="X61" i="72"/>
  <c r="W63" i="72"/>
  <c r="Z131" i="92"/>
  <c r="Z237" i="92"/>
  <c r="AB347" i="92"/>
  <c r="AA373" i="92"/>
  <c r="Q426" i="79"/>
  <c r="Q430" i="79" s="1"/>
  <c r="Q524" i="79"/>
  <c r="F542" i="79"/>
  <c r="Z17" i="90"/>
  <c r="Z20" i="90" s="1"/>
  <c r="Z23" i="90"/>
  <c r="O543" i="88"/>
  <c r="O578" i="88" s="1"/>
  <c r="O592" i="88" s="1"/>
  <c r="N546" i="88"/>
  <c r="N287" i="88" s="1"/>
  <c r="S427" i="88"/>
  <c r="T426" i="88"/>
  <c r="T149" i="88"/>
  <c r="S150" i="88"/>
  <c r="AA819" i="90"/>
  <c r="AA821" i="90" s="1"/>
  <c r="AA492" i="90" s="1"/>
  <c r="J253" i="56"/>
  <c r="J255" i="56" s="1"/>
  <c r="Z417" i="92"/>
  <c r="Z452" i="92" s="1"/>
  <c r="Z466" i="92" s="1"/>
  <c r="AC337" i="90"/>
  <c r="AC327" i="90"/>
  <c r="AC342" i="90"/>
  <c r="AC322" i="90"/>
  <c r="AC332" i="90"/>
  <c r="AC347" i="90"/>
  <c r="AC352" i="90"/>
  <c r="Q96" i="92"/>
  <c r="S96" i="92" s="1"/>
  <c r="T96" i="92" s="1"/>
  <c r="S95" i="92"/>
  <c r="T95" i="92" s="1"/>
  <c r="N294" i="79"/>
  <c r="N464" i="79"/>
  <c r="N479" i="79" s="1"/>
  <c r="AA726" i="90"/>
  <c r="Z67" i="88"/>
  <c r="Y73" i="88"/>
  <c r="Q136" i="57"/>
  <c r="W531" i="56"/>
  <c r="Q123" i="57"/>
  <c r="S76" i="88"/>
  <c r="Y40" i="57"/>
  <c r="Y520" i="90"/>
  <c r="Y561" i="90"/>
  <c r="Y416" i="90"/>
  <c r="Y266" i="90"/>
  <c r="Q415" i="79"/>
  <c r="Q419" i="79" s="1"/>
  <c r="AE293" i="92"/>
  <c r="AD296" i="92"/>
  <c r="AE214" i="90"/>
  <c r="AE424" i="90"/>
  <c r="AG64" i="90"/>
  <c r="AF70" i="90"/>
  <c r="R717" i="90"/>
  <c r="AF216" i="90"/>
  <c r="AG40" i="90"/>
  <c r="O36" i="57"/>
  <c r="O65" i="57" s="1"/>
  <c r="O137" i="57"/>
  <c r="O136" i="57"/>
  <c r="AE419" i="92"/>
  <c r="AE454" i="92" s="1"/>
  <c r="AE468" i="92" s="1"/>
  <c r="S222" i="88"/>
  <c r="T221" i="88"/>
  <c r="S473" i="88"/>
  <c r="T472" i="88"/>
  <c r="AC427" i="90"/>
  <c r="AC562" i="90"/>
  <c r="AC576" i="90" s="1"/>
  <c r="AC577" i="90" s="1"/>
  <c r="W328" i="90"/>
  <c r="W329" i="90" s="1"/>
  <c r="W333" i="90"/>
  <c r="W334" i="90" s="1"/>
  <c r="W343" i="90"/>
  <c r="W344" i="90" s="1"/>
  <c r="W338" i="90"/>
  <c r="W339" i="90" s="1"/>
  <c r="W353" i="90"/>
  <c r="W354" i="90" s="1"/>
  <c r="W348" i="90"/>
  <c r="W349" i="90" s="1"/>
  <c r="W323" i="90"/>
  <c r="W324" i="90" s="1"/>
  <c r="AE236" i="90"/>
  <c r="AF77" i="90"/>
  <c r="W606" i="90"/>
  <c r="W589" i="90"/>
  <c r="Y725" i="90"/>
  <c r="U68" i="88"/>
  <c r="T74" i="88"/>
  <c r="T72" i="88"/>
  <c r="R529" i="80"/>
  <c r="M353" i="56"/>
  <c r="X517" i="64"/>
  <c r="X531" i="64" s="1"/>
  <c r="AA196" i="90"/>
  <c r="AA250" i="90" s="1"/>
  <c r="J194" i="89"/>
  <c r="K193" i="89" s="1"/>
  <c r="K194" i="89" s="1"/>
  <c r="AD454" i="92"/>
  <c r="AD468" i="92" s="1"/>
  <c r="Z821" i="90"/>
  <c r="Z492" i="90" s="1"/>
  <c r="AC203" i="90"/>
  <c r="V301" i="56"/>
  <c r="V300" i="56" s="1"/>
  <c r="V415" i="56"/>
  <c r="S322" i="92"/>
  <c r="T322" i="92" s="1"/>
  <c r="Q239" i="92"/>
  <c r="W433" i="56"/>
  <c r="W319" i="56"/>
  <c r="U352" i="64"/>
  <c r="U337" i="64"/>
  <c r="U335" i="64"/>
  <c r="U433" i="56"/>
  <c r="U434" i="56" s="1"/>
  <c r="U319" i="56"/>
  <c r="U320" i="56" s="1"/>
  <c r="Y183" i="56"/>
  <c r="Y182" i="56"/>
  <c r="U274" i="56"/>
  <c r="U280" i="56"/>
  <c r="V126" i="57"/>
  <c r="U246" i="56"/>
  <c r="W301" i="56"/>
  <c r="W300" i="56" s="1"/>
  <c r="W415" i="56"/>
  <c r="P254" i="92"/>
  <c r="P267" i="92"/>
  <c r="P270" i="92" s="1"/>
  <c r="T385" i="92"/>
  <c r="T242" i="56"/>
  <c r="R234" i="56"/>
  <c r="S234" i="56" s="1"/>
  <c r="T270" i="56"/>
  <c r="Y227" i="56"/>
  <c r="Y416" i="56"/>
  <c r="W417" i="56"/>
  <c r="W317" i="56"/>
  <c r="W316" i="56" s="1"/>
  <c r="U168" i="64"/>
  <c r="S162" i="64"/>
  <c r="T162" i="64" s="1"/>
  <c r="U195" i="64"/>
  <c r="W305" i="56"/>
  <c r="S238" i="92"/>
  <c r="R68" i="57"/>
  <c r="T305" i="56"/>
  <c r="Y304" i="56"/>
  <c r="R336" i="64"/>
  <c r="R228" i="64"/>
  <c r="R245" i="64"/>
  <c r="R354" i="64"/>
  <c r="R355" i="64" s="1"/>
  <c r="R356" i="64" s="1"/>
  <c r="R278" i="64" s="1"/>
  <c r="T433" i="56"/>
  <c r="T434" i="56" s="1"/>
  <c r="T319" i="56"/>
  <c r="T320" i="56" s="1"/>
  <c r="R338" i="64"/>
  <c r="R243" i="64"/>
  <c r="R242" i="64" s="1"/>
  <c r="X141" i="64"/>
  <c r="X347" i="64"/>
  <c r="X155" i="64"/>
  <c r="X154" i="64" s="1"/>
  <c r="Z73" i="64"/>
  <c r="Z120" i="64" s="1"/>
  <c r="Z116" i="64" s="1"/>
  <c r="Y120" i="64"/>
  <c r="Y116" i="64" s="1"/>
  <c r="T415" i="56"/>
  <c r="T419" i="56" s="1"/>
  <c r="T301" i="56"/>
  <c r="T300" i="56" s="1"/>
  <c r="W350" i="64"/>
  <c r="W351" i="64" s="1"/>
  <c r="W229" i="64"/>
  <c r="V305" i="56"/>
  <c r="W194" i="64"/>
  <c r="W323" i="64"/>
  <c r="W162" i="64"/>
  <c r="R199" i="64"/>
  <c r="R127" i="57"/>
  <c r="R205" i="64"/>
  <c r="J61" i="89"/>
  <c r="J68" i="89" s="1"/>
  <c r="J75" i="89" s="1"/>
  <c r="J94" i="89" s="1"/>
  <c r="H53" i="89"/>
  <c r="I61" i="89"/>
  <c r="I68" i="89" s="1"/>
  <c r="I75" i="89" s="1"/>
  <c r="I94" i="89" s="1"/>
  <c r="H54" i="89"/>
  <c r="H61" i="89"/>
  <c r="H68" i="89" s="1"/>
  <c r="H75" i="89" s="1"/>
  <c r="H94" i="89" s="1"/>
  <c r="V352" i="64"/>
  <c r="V337" i="64"/>
  <c r="V335" i="64"/>
  <c r="V319" i="56"/>
  <c r="V433" i="56"/>
  <c r="V195" i="64"/>
  <c r="V168" i="64"/>
  <c r="M54" i="89"/>
  <c r="Y189" i="47"/>
  <c r="S29" i="88"/>
  <c r="T28" i="88"/>
  <c r="U160" i="88"/>
  <c r="T232" i="88"/>
  <c r="T175" i="88"/>
  <c r="U173" i="88"/>
  <c r="N560" i="79"/>
  <c r="M394" i="79"/>
  <c r="M434" i="79"/>
  <c r="M610" i="79"/>
  <c r="M616" i="79" s="1"/>
  <c r="M632" i="79" s="1"/>
  <c r="M639" i="79" s="1"/>
  <c r="M642" i="79" s="1"/>
  <c r="N662" i="79" s="1"/>
  <c r="N684" i="79" s="1"/>
  <c r="N686" i="79" s="1"/>
  <c r="N311" i="79" s="1"/>
  <c r="R491" i="47"/>
  <c r="R492" i="47" s="1"/>
  <c r="R311" i="47"/>
  <c r="S460" i="47"/>
  <c r="S465" i="47" s="1"/>
  <c r="Q491" i="47"/>
  <c r="Q492" i="47" s="1"/>
  <c r="U460" i="47"/>
  <c r="U465" i="47" s="1"/>
  <c r="Q311" i="47"/>
  <c r="U308" i="56"/>
  <c r="V451" i="56"/>
  <c r="V456" i="56" s="1"/>
  <c r="AB252" i="92" l="1"/>
  <c r="AC250" i="92"/>
  <c r="X244" i="56"/>
  <c r="X350" i="56"/>
  <c r="Y244" i="56"/>
  <c r="Y350" i="56"/>
  <c r="Q374" i="64"/>
  <c r="Q276" i="64"/>
  <c r="Q170" i="64"/>
  <c r="Q172" i="64" s="1"/>
  <c r="O233" i="64"/>
  <c r="O408" i="64"/>
  <c r="O409" i="64" s="1"/>
  <c r="P372" i="64"/>
  <c r="P376" i="64" s="1"/>
  <c r="O206" i="64"/>
  <c r="O275" i="64"/>
  <c r="O279" i="64" s="1"/>
  <c r="O200" i="64"/>
  <c r="R390" i="64"/>
  <c r="R418" i="64"/>
  <c r="R467" i="64" s="1"/>
  <c r="R510" i="64" s="1"/>
  <c r="P341" i="64"/>
  <c r="P277" i="64" s="1"/>
  <c r="Q341" i="64"/>
  <c r="Q277" i="64" s="1"/>
  <c r="V63" i="64"/>
  <c r="V111" i="64" s="1"/>
  <c r="V148" i="64"/>
  <c r="V189" i="64" s="1"/>
  <c r="V219" i="64" s="1"/>
  <c r="V270" i="64" s="1"/>
  <c r="V318" i="64" s="1"/>
  <c r="V364" i="64" s="1"/>
  <c r="V418" i="64" s="1"/>
  <c r="V467" i="64" s="1"/>
  <c r="V510" i="64" s="1"/>
  <c r="W7" i="64"/>
  <c r="P275" i="64"/>
  <c r="P200" i="64"/>
  <c r="P206" i="64"/>
  <c r="Y32" i="56"/>
  <c r="Y241" i="56" s="1"/>
  <c r="W269" i="56"/>
  <c r="W399" i="56"/>
  <c r="AD306" i="90"/>
  <c r="AD294" i="90" s="1"/>
  <c r="X413" i="56"/>
  <c r="X302" i="56" s="1"/>
  <c r="X427" i="56"/>
  <c r="X305" i="56" s="1"/>
  <c r="U300" i="56"/>
  <c r="X432" i="56"/>
  <c r="X318" i="56" s="1"/>
  <c r="X412" i="56"/>
  <c r="X301" i="56" s="1"/>
  <c r="U415" i="56"/>
  <c r="U419" i="56" s="1"/>
  <c r="U420" i="56" s="1"/>
  <c r="U351" i="56" s="1"/>
  <c r="T420" i="56"/>
  <c r="T351" i="56" s="1"/>
  <c r="Q420" i="56"/>
  <c r="Q351" i="56" s="1"/>
  <c r="Y415" i="56"/>
  <c r="Y300" i="56"/>
  <c r="AA41" i="57"/>
  <c r="Y433" i="56"/>
  <c r="W273" i="47"/>
  <c r="W359" i="47" s="1"/>
  <c r="W462" i="47"/>
  <c r="W199" i="47"/>
  <c r="W515" i="47"/>
  <c r="W328" i="47" s="1"/>
  <c r="X273" i="47"/>
  <c r="X359" i="47" s="1"/>
  <c r="X199" i="47"/>
  <c r="W32" i="57"/>
  <c r="Y462" i="47"/>
  <c r="Y199" i="47"/>
  <c r="W547" i="47"/>
  <c r="W561" i="47" s="1"/>
  <c r="P434" i="56"/>
  <c r="Q434" i="56"/>
  <c r="P275" i="56"/>
  <c r="P349" i="56"/>
  <c r="P281" i="56"/>
  <c r="N275" i="56"/>
  <c r="N281" i="56"/>
  <c r="N349" i="56"/>
  <c r="N353" i="56" s="1"/>
  <c r="O281" i="56"/>
  <c r="W698" i="90"/>
  <c r="X690" i="90"/>
  <c r="X688" i="90" s="1"/>
  <c r="P400" i="80"/>
  <c r="Q448" i="80"/>
  <c r="Q434" i="80"/>
  <c r="AA51" i="57"/>
  <c r="U165" i="57"/>
  <c r="AA165" i="57" s="1"/>
  <c r="L272" i="89"/>
  <c r="L30" i="89"/>
  <c r="L32" i="89" s="1"/>
  <c r="K272" i="89"/>
  <c r="K30" i="89"/>
  <c r="K32" i="89" s="1"/>
  <c r="Z415" i="90"/>
  <c r="Z21" i="57" s="1"/>
  <c r="AA21" i="57" s="1"/>
  <c r="Z238" i="90"/>
  <c r="Z416" i="90" s="1"/>
  <c r="R589" i="90"/>
  <c r="R606" i="90"/>
  <c r="AA558" i="90"/>
  <c r="AB512" i="90"/>
  <c r="AC251" i="90"/>
  <c r="R268" i="90"/>
  <c r="R267" i="90"/>
  <c r="AA188" i="90"/>
  <c r="AA248" i="90" s="1"/>
  <c r="R602" i="90"/>
  <c r="R607" i="90" s="1"/>
  <c r="R483" i="90" s="1"/>
  <c r="R570" i="90"/>
  <c r="R581" i="90" s="1"/>
  <c r="R583" i="90" s="1"/>
  <c r="R584" i="90" s="1"/>
  <c r="R590" i="90" s="1"/>
  <c r="R462" i="90" s="1"/>
  <c r="R571" i="90"/>
  <c r="R594" i="90" s="1"/>
  <c r="R569" i="90"/>
  <c r="R592" i="90" s="1"/>
  <c r="Z247" i="90"/>
  <c r="Z258" i="90" s="1"/>
  <c r="Z260" i="90" s="1"/>
  <c r="R328" i="90"/>
  <c r="R329" i="90" s="1"/>
  <c r="R353" i="90"/>
  <c r="R354" i="90" s="1"/>
  <c r="R338" i="90"/>
  <c r="R339" i="90" s="1"/>
  <c r="R323" i="90"/>
  <c r="R324" i="90" s="1"/>
  <c r="R343" i="90"/>
  <c r="R344" i="90" s="1"/>
  <c r="R333" i="90"/>
  <c r="R334" i="90" s="1"/>
  <c r="R348" i="90"/>
  <c r="R349" i="90" s="1"/>
  <c r="V218" i="47"/>
  <c r="S185" i="47"/>
  <c r="U242" i="47"/>
  <c r="V219" i="47"/>
  <c r="V269" i="47"/>
  <c r="W24" i="57" s="1"/>
  <c r="U236" i="47"/>
  <c r="U268" i="47" s="1"/>
  <c r="T418" i="47"/>
  <c r="T416" i="47"/>
  <c r="S404" i="47"/>
  <c r="S508" i="47"/>
  <c r="S532" i="47" s="1"/>
  <c r="T7" i="57"/>
  <c r="T262" i="47"/>
  <c r="S248" i="47"/>
  <c r="S200" i="47"/>
  <c r="S264" i="47"/>
  <c r="W139" i="47"/>
  <c r="W211" i="47" s="1"/>
  <c r="X7" i="47"/>
  <c r="W258" i="47"/>
  <c r="W174" i="47"/>
  <c r="P123" i="57"/>
  <c r="P137" i="57"/>
  <c r="P36" i="57"/>
  <c r="P65" i="57" s="1"/>
  <c r="P136" i="57"/>
  <c r="O322" i="47"/>
  <c r="O321" i="47" s="1"/>
  <c r="O423" i="47"/>
  <c r="O425" i="47" s="1"/>
  <c r="O426" i="47" s="1"/>
  <c r="O360" i="47" s="1"/>
  <c r="O275" i="47"/>
  <c r="O358" i="47" s="1"/>
  <c r="P125" i="57"/>
  <c r="U182" i="47"/>
  <c r="Q183" i="47"/>
  <c r="N426" i="47"/>
  <c r="N360" i="47" s="1"/>
  <c r="O67" i="57" s="1"/>
  <c r="O72" i="57" s="1"/>
  <c r="Y173" i="47"/>
  <c r="X174" i="47"/>
  <c r="W466" i="47"/>
  <c r="W468" i="47" s="1"/>
  <c r="V312" i="47"/>
  <c r="W152" i="47"/>
  <c r="V153" i="47"/>
  <c r="V220" i="47" s="1"/>
  <c r="W243" i="47"/>
  <c r="W13" i="47"/>
  <c r="W15" i="47"/>
  <c r="V230" i="47"/>
  <c r="X353" i="47"/>
  <c r="X400" i="47" s="1"/>
  <c r="X446" i="47" s="1"/>
  <c r="X500" i="47" s="1"/>
  <c r="X542" i="47" s="1"/>
  <c r="Y297" i="47"/>
  <c r="Y353" i="47" s="1"/>
  <c r="Y400" i="47" s="1"/>
  <c r="Y446" i="47" s="1"/>
  <c r="Y500" i="47" s="1"/>
  <c r="Y542" i="47" s="1"/>
  <c r="W151" i="47"/>
  <c r="W149" i="47"/>
  <c r="U157" i="47"/>
  <c r="U224" i="47" s="1"/>
  <c r="U19" i="47"/>
  <c r="U20" i="47" s="1"/>
  <c r="U11" i="47" s="1"/>
  <c r="U159" i="47"/>
  <c r="U225" i="47" s="1"/>
  <c r="U161" i="47"/>
  <c r="U226" i="47" s="1"/>
  <c r="X130" i="47"/>
  <c r="X12" i="47"/>
  <c r="X147" i="47"/>
  <c r="O436" i="47"/>
  <c r="O324" i="47"/>
  <c r="Q418" i="47"/>
  <c r="Q262" i="47"/>
  <c r="Q416" i="47"/>
  <c r="V232" i="47"/>
  <c r="Y119" i="47"/>
  <c r="Y129" i="47" s="1"/>
  <c r="Y117" i="47"/>
  <c r="Y170" i="47" s="1"/>
  <c r="Q155" i="47"/>
  <c r="U154" i="47"/>
  <c r="X176" i="47"/>
  <c r="W177" i="47"/>
  <c r="W232" i="47" s="1"/>
  <c r="V238" i="47"/>
  <c r="V247" i="47"/>
  <c r="V245" i="47"/>
  <c r="V229" i="47"/>
  <c r="V246" i="47"/>
  <c r="V244" i="47"/>
  <c r="V233" i="47"/>
  <c r="V237" i="47"/>
  <c r="V231" i="47"/>
  <c r="V239" i="47"/>
  <c r="V16" i="47"/>
  <c r="V250" i="47"/>
  <c r="V216" i="47"/>
  <c r="V240" i="47"/>
  <c r="V234" i="47"/>
  <c r="Z159" i="92"/>
  <c r="W270" i="56"/>
  <c r="V280" i="56"/>
  <c r="V246" i="56"/>
  <c r="V275" i="56" s="1"/>
  <c r="V274" i="56"/>
  <c r="W322" i="92"/>
  <c r="W239" i="92" s="1"/>
  <c r="P206" i="88"/>
  <c r="P208" i="88"/>
  <c r="P200" i="88"/>
  <c r="P199" i="88"/>
  <c r="P201" i="88"/>
  <c r="P16" i="88"/>
  <c r="P142" i="88" s="1"/>
  <c r="P194" i="88" s="1"/>
  <c r="N19" i="88"/>
  <c r="N20" i="88" s="1"/>
  <c r="N11" i="88" s="1"/>
  <c r="N444" i="88" s="1"/>
  <c r="N269" i="88" s="1"/>
  <c r="P198" i="88"/>
  <c r="P210" i="88"/>
  <c r="P207" i="88"/>
  <c r="N156" i="88"/>
  <c r="N445" i="88" s="1"/>
  <c r="N271" i="88" s="1"/>
  <c r="Q13" i="88"/>
  <c r="Q209" i="88" s="1"/>
  <c r="S207" i="88"/>
  <c r="N140" i="88"/>
  <c r="N193" i="88" s="1"/>
  <c r="N138" i="88"/>
  <c r="N192" i="88" s="1"/>
  <c r="N203" i="88"/>
  <c r="S198" i="88"/>
  <c r="S204" i="88"/>
  <c r="O209" i="88"/>
  <c r="O204" i="88"/>
  <c r="O15" i="88"/>
  <c r="O16" i="88" s="1"/>
  <c r="O138" i="88" s="1"/>
  <c r="O192" i="88" s="1"/>
  <c r="S211" i="88"/>
  <c r="S208" i="88"/>
  <c r="R13" i="88"/>
  <c r="R204" i="88" s="1"/>
  <c r="S16" i="88"/>
  <c r="S156" i="88" s="1"/>
  <c r="S119" i="88"/>
  <c r="T117" i="88" s="1"/>
  <c r="T118" i="88" s="1"/>
  <c r="T119" i="88" s="1"/>
  <c r="U117" i="88" s="1"/>
  <c r="U118" i="88" s="1"/>
  <c r="U13" i="88" s="1"/>
  <c r="U15" i="88" s="1"/>
  <c r="S200" i="88"/>
  <c r="S209" i="88"/>
  <c r="S210" i="88"/>
  <c r="S197" i="88"/>
  <c r="M233" i="88"/>
  <c r="M442" i="88"/>
  <c r="M268" i="88" s="1"/>
  <c r="M267" i="88" s="1"/>
  <c r="M202" i="88"/>
  <c r="M196" i="88" s="1"/>
  <c r="M225" i="88"/>
  <c r="M430" i="88" s="1"/>
  <c r="M460" i="88" s="1"/>
  <c r="M445" i="88"/>
  <c r="M271" i="88" s="1"/>
  <c r="M195" i="88"/>
  <c r="M190" i="88" s="1"/>
  <c r="M446" i="88"/>
  <c r="M270" i="88" s="1"/>
  <c r="M227" i="88"/>
  <c r="M431" i="88" s="1"/>
  <c r="L230" i="88"/>
  <c r="L235" i="88" s="1"/>
  <c r="L239" i="88" s="1"/>
  <c r="L317" i="88" s="1"/>
  <c r="L447" i="88"/>
  <c r="Z225" i="64"/>
  <c r="X316" i="92"/>
  <c r="X317" i="92" s="1"/>
  <c r="L462" i="88"/>
  <c r="K430" i="88"/>
  <c r="K461" i="88" s="1"/>
  <c r="K282" i="88" s="1"/>
  <c r="K539" i="88"/>
  <c r="K563" i="88" s="1"/>
  <c r="L448" i="88"/>
  <c r="L281" i="88" s="1"/>
  <c r="L280" i="88" s="1"/>
  <c r="L284" i="88" s="1"/>
  <c r="L290" i="88" s="1"/>
  <c r="L195" i="88"/>
  <c r="L190" i="88" s="1"/>
  <c r="L212" i="88" s="1"/>
  <c r="L213" i="88" s="1"/>
  <c r="K195" i="88"/>
  <c r="K190" i="88" s="1"/>
  <c r="K212" i="88" s="1"/>
  <c r="K213" i="88" s="1"/>
  <c r="K447" i="88"/>
  <c r="K448" i="88"/>
  <c r="K449" i="88" s="1"/>
  <c r="K230" i="88"/>
  <c r="K235" i="88" s="1"/>
  <c r="K239" i="88" s="1"/>
  <c r="K245" i="88" s="1"/>
  <c r="K247" i="88" s="1"/>
  <c r="K324" i="88" s="1"/>
  <c r="K498" i="64"/>
  <c r="AD242" i="90"/>
  <c r="AD244" i="90" s="1"/>
  <c r="AD417" i="90"/>
  <c r="U293" i="90"/>
  <c r="T292" i="90"/>
  <c r="E16" i="95"/>
  <c r="H16" i="95"/>
  <c r="I16" i="95" s="1"/>
  <c r="Y300" i="92"/>
  <c r="Y189" i="92" s="1"/>
  <c r="Y319" i="92"/>
  <c r="Y205" i="92" s="1"/>
  <c r="Y203" i="92" s="1"/>
  <c r="Y315" i="92"/>
  <c r="Y197" i="92" s="1"/>
  <c r="Y314" i="92"/>
  <c r="Y299" i="92"/>
  <c r="Y318" i="92"/>
  <c r="AE154" i="90"/>
  <c r="W565" i="56"/>
  <c r="W579" i="56" s="1"/>
  <c r="T287" i="90"/>
  <c r="T315" i="90"/>
  <c r="U315" i="90" s="1"/>
  <c r="U286" i="90"/>
  <c r="X32" i="56"/>
  <c r="Y471" i="90"/>
  <c r="Y783" i="90"/>
  <c r="Z762" i="90" s="1"/>
  <c r="Z776" i="90" s="1"/>
  <c r="Z727" i="90"/>
  <c r="X515" i="47"/>
  <c r="X328" i="47" s="1"/>
  <c r="Y512" i="47"/>
  <c r="Y547" i="47" s="1"/>
  <c r="Y561" i="47" s="1"/>
  <c r="AB11" i="92"/>
  <c r="AB100" i="92"/>
  <c r="AB127" i="92" s="1"/>
  <c r="K256" i="64"/>
  <c r="K260" i="64"/>
  <c r="K261" i="64" s="1"/>
  <c r="X320" i="92"/>
  <c r="X321" i="92" s="1"/>
  <c r="X206" i="92"/>
  <c r="X207" i="92" s="1"/>
  <c r="V71" i="72"/>
  <c r="Y418" i="92"/>
  <c r="Z424" i="92" s="1"/>
  <c r="Z426" i="92" s="1"/>
  <c r="Z259" i="92" s="1"/>
  <c r="Y513" i="47"/>
  <c r="Y548" i="47" s="1"/>
  <c r="Y562" i="47" s="1"/>
  <c r="Q426" i="64"/>
  <c r="Q301" i="64"/>
  <c r="Q105" i="57" s="1"/>
  <c r="L308" i="64"/>
  <c r="L475" i="64" s="1"/>
  <c r="K501" i="64"/>
  <c r="L519" i="64" s="1"/>
  <c r="L539" i="64" s="1"/>
  <c r="L541" i="64" s="1"/>
  <c r="L175" i="64" s="1"/>
  <c r="K224" i="64"/>
  <c r="K231" i="64" s="1"/>
  <c r="K239" i="64" s="1"/>
  <c r="U532" i="56"/>
  <c r="U567" i="56" s="1"/>
  <c r="U581" i="56" s="1"/>
  <c r="Q533" i="56"/>
  <c r="Q323" i="56" s="1"/>
  <c r="Q567" i="56"/>
  <c r="Q581" i="56" s="1"/>
  <c r="X565" i="56"/>
  <c r="X579" i="56" s="1"/>
  <c r="Y530" i="56"/>
  <c r="Y565" i="56"/>
  <c r="Y579" i="56" s="1"/>
  <c r="T72" i="72"/>
  <c r="T18" i="72"/>
  <c r="U258" i="90"/>
  <c r="T260" i="90"/>
  <c r="U260" i="90" s="1"/>
  <c r="V320" i="56"/>
  <c r="Y433" i="47"/>
  <c r="AF53" i="90"/>
  <c r="AE52" i="90"/>
  <c r="AE240" i="90" s="1"/>
  <c r="AE242" i="90" s="1"/>
  <c r="U561" i="90"/>
  <c r="T569" i="90"/>
  <c r="T570" i="90"/>
  <c r="T571" i="90"/>
  <c r="T602" i="90"/>
  <c r="V451" i="64"/>
  <c r="V454" i="64" s="1"/>
  <c r="R456" i="64"/>
  <c r="R439" i="64"/>
  <c r="R441" i="64" s="1"/>
  <c r="R443" i="64" s="1"/>
  <c r="Z413" i="92"/>
  <c r="Z437" i="92" s="1"/>
  <c r="Z115" i="92"/>
  <c r="Z285" i="92"/>
  <c r="Z166" i="92"/>
  <c r="W40" i="72"/>
  <c r="W42" i="72" s="1"/>
  <c r="X38" i="72"/>
  <c r="U456" i="64"/>
  <c r="U439" i="64"/>
  <c r="U441" i="64" s="1"/>
  <c r="U443" i="64" s="1"/>
  <c r="AA334" i="92"/>
  <c r="AA101" i="92"/>
  <c r="AA128" i="92" s="1"/>
  <c r="AA123" i="92" s="1"/>
  <c r="AA112" i="92"/>
  <c r="AC13" i="92"/>
  <c r="AD14" i="92"/>
  <c r="W71" i="88"/>
  <c r="W90" i="88" s="1"/>
  <c r="W95" i="88" s="1"/>
  <c r="W114" i="88" s="1"/>
  <c r="W115" i="88" s="1"/>
  <c r="X112" i="88" s="1"/>
  <c r="X66" i="88"/>
  <c r="W480" i="64"/>
  <c r="W515" i="64" s="1"/>
  <c r="W529" i="64" s="1"/>
  <c r="V483" i="64"/>
  <c r="V249" i="64" s="1"/>
  <c r="X47" i="72"/>
  <c r="W51" i="72"/>
  <c r="W53" i="72" s="1"/>
  <c r="W16" i="72"/>
  <c r="T76" i="88"/>
  <c r="R321" i="80"/>
  <c r="R563" i="80" s="1"/>
  <c r="T560" i="90"/>
  <c r="T14" i="57"/>
  <c r="U14" i="57" s="1"/>
  <c r="T418" i="90"/>
  <c r="U418" i="90" s="1"/>
  <c r="U412" i="90"/>
  <c r="T814" i="90"/>
  <c r="T268" i="90"/>
  <c r="U268" i="90" s="1"/>
  <c r="T267" i="90"/>
  <c r="U266" i="90"/>
  <c r="X302" i="92"/>
  <c r="X188" i="92"/>
  <c r="X187" i="92" s="1"/>
  <c r="R264" i="47"/>
  <c r="R200" i="47"/>
  <c r="M365" i="79"/>
  <c r="M372" i="79" s="1"/>
  <c r="M379" i="79" s="1"/>
  <c r="Q134" i="57"/>
  <c r="R448" i="80"/>
  <c r="R434" i="80"/>
  <c r="AE167" i="90"/>
  <c r="AE206" i="90"/>
  <c r="V782" i="90"/>
  <c r="W761" i="90" s="1"/>
  <c r="W775" i="90" s="1"/>
  <c r="X170" i="64"/>
  <c r="X276" i="64"/>
  <c r="X374" i="64"/>
  <c r="AG77" i="90"/>
  <c r="AF236" i="90"/>
  <c r="AG70" i="90"/>
  <c r="W65" i="72"/>
  <c r="W71" i="72"/>
  <c r="W15" i="72"/>
  <c r="L436" i="80"/>
  <c r="L612" i="80"/>
  <c r="L618" i="80" s="1"/>
  <c r="L634" i="80" s="1"/>
  <c r="L641" i="80" s="1"/>
  <c r="L644" i="80" s="1"/>
  <c r="M664" i="80" s="1"/>
  <c r="M686" i="80" s="1"/>
  <c r="M688" i="80" s="1"/>
  <c r="M313" i="80" s="1"/>
  <c r="N286" i="88"/>
  <c r="O557" i="88"/>
  <c r="O559" i="88" s="1"/>
  <c r="O581" i="88"/>
  <c r="O595" i="88" s="1"/>
  <c r="O596" i="88" s="1"/>
  <c r="O600" i="88" s="1"/>
  <c r="AB710" i="90"/>
  <c r="AE359" i="90"/>
  <c r="AE399" i="90" s="1"/>
  <c r="AE319" i="90"/>
  <c r="AE303" i="90"/>
  <c r="AE24" i="90"/>
  <c r="AE26" i="90" s="1"/>
  <c r="AE414" i="90" s="1"/>
  <c r="Y724" i="90"/>
  <c r="X780" i="90"/>
  <c r="Y759" i="90" s="1"/>
  <c r="Y773" i="90" s="1"/>
  <c r="AF57" i="90"/>
  <c r="AG58" i="90"/>
  <c r="Z665" i="90"/>
  <c r="Y663" i="90"/>
  <c r="V157" i="92"/>
  <c r="V129" i="92"/>
  <c r="S635" i="79"/>
  <c r="S637" i="79" s="1"/>
  <c r="S388" i="79" s="1"/>
  <c r="S392" i="79" s="1"/>
  <c r="R392" i="79"/>
  <c r="AJ55" i="90"/>
  <c r="P379" i="79"/>
  <c r="AC197" i="90"/>
  <c r="AC198" i="90" s="1"/>
  <c r="AC199" i="90"/>
  <c r="AC200" i="90" s="1"/>
  <c r="AC201" i="90"/>
  <c r="AC124" i="70"/>
  <c r="AF18" i="90"/>
  <c r="AA797" i="90"/>
  <c r="Z470" i="90"/>
  <c r="V505" i="88"/>
  <c r="X505" i="88"/>
  <c r="W505" i="88"/>
  <c r="U505" i="88"/>
  <c r="T505" i="88"/>
  <c r="T522" i="88" s="1"/>
  <c r="T485" i="88" s="1"/>
  <c r="T237" i="88" s="1"/>
  <c r="T318" i="88" s="1"/>
  <c r="X589" i="90"/>
  <c r="X606" i="90"/>
  <c r="W478" i="88"/>
  <c r="X41" i="88"/>
  <c r="W477" i="88"/>
  <c r="S146" i="88"/>
  <c r="T144" i="88"/>
  <c r="Q527" i="79"/>
  <c r="U426" i="88"/>
  <c r="T427" i="88"/>
  <c r="O275" i="88"/>
  <c r="P483" i="88"/>
  <c r="P488" i="88" s="1"/>
  <c r="O523" i="88"/>
  <c r="O524" i="88" s="1"/>
  <c r="AA639" i="90"/>
  <c r="AH54" i="90"/>
  <c r="AC818" i="90"/>
  <c r="AC853" i="90" s="1"/>
  <c r="AC867" i="90" s="1"/>
  <c r="T473" i="88"/>
  <c r="U472" i="88"/>
  <c r="AF214" i="90"/>
  <c r="AF424" i="90"/>
  <c r="Y571" i="90"/>
  <c r="Y594" i="90" s="1"/>
  <c r="Y569" i="90"/>
  <c r="Y592" i="90" s="1"/>
  <c r="Y602" i="90"/>
  <c r="Y607" i="90" s="1"/>
  <c r="Y483" i="90" s="1"/>
  <c r="Y570" i="90"/>
  <c r="Y581" i="90" s="1"/>
  <c r="Y583" i="90" s="1"/>
  <c r="Y584" i="90" s="1"/>
  <c r="Y590" i="90" s="1"/>
  <c r="Y462" i="90" s="1"/>
  <c r="U149" i="88"/>
  <c r="L443" i="80"/>
  <c r="L446" i="80" s="1"/>
  <c r="L448" i="80" s="1"/>
  <c r="L451" i="80" s="1"/>
  <c r="L566" i="80"/>
  <c r="L570" i="80" s="1"/>
  <c r="Y260" i="47"/>
  <c r="Y141" i="47"/>
  <c r="Y213" i="47" s="1"/>
  <c r="P394" i="79"/>
  <c r="P396" i="79" s="1"/>
  <c r="Q560" i="79"/>
  <c r="W42" i="88"/>
  <c r="V176" i="88"/>
  <c r="W235" i="64"/>
  <c r="X378" i="64"/>
  <c r="X381" i="64" s="1"/>
  <c r="Y722" i="90"/>
  <c r="X721" i="90"/>
  <c r="X469" i="90" s="1"/>
  <c r="X472" i="90"/>
  <c r="O310" i="56"/>
  <c r="O429" i="56"/>
  <c r="O430" i="56" s="1"/>
  <c r="O435" i="56" s="1"/>
  <c r="O352" i="56" s="1"/>
  <c r="Q586" i="47"/>
  <c r="T118" i="92"/>
  <c r="T117" i="92" s="1"/>
  <c r="S117" i="92"/>
  <c r="W787" i="90"/>
  <c r="AB853" i="90"/>
  <c r="AB867" i="90" s="1"/>
  <c r="V479" i="88"/>
  <c r="V481" i="88" s="1"/>
  <c r="U151" i="88"/>
  <c r="AC172" i="90"/>
  <c r="AC134" i="90"/>
  <c r="AC257" i="90"/>
  <c r="AC12" i="90"/>
  <c r="AC16" i="90" s="1"/>
  <c r="AC256" i="90"/>
  <c r="AC255" i="90"/>
  <c r="AC254" i="90"/>
  <c r="S319" i="80"/>
  <c r="S317" i="80" s="1"/>
  <c r="S424" i="80" s="1"/>
  <c r="S425" i="80" s="1"/>
  <c r="AI69" i="90"/>
  <c r="Q422" i="56"/>
  <c r="P428" i="56"/>
  <c r="R19" i="57"/>
  <c r="Q156" i="92"/>
  <c r="S156" i="92" s="1"/>
  <c r="T156" i="92" s="1"/>
  <c r="Q286" i="92"/>
  <c r="Q121" i="92"/>
  <c r="Y225" i="64"/>
  <c r="W608" i="90"/>
  <c r="W484" i="90"/>
  <c r="AG216" i="90"/>
  <c r="AH40" i="90"/>
  <c r="R377" i="80"/>
  <c r="S525" i="80"/>
  <c r="S529" i="80" s="1"/>
  <c r="S377" i="80" s="1"/>
  <c r="W460" i="90"/>
  <c r="Y267" i="90"/>
  <c r="Y377" i="90" s="1"/>
  <c r="Y268" i="90"/>
  <c r="AC347" i="92"/>
  <c r="AB373" i="92"/>
  <c r="Q781" i="90"/>
  <c r="Q770" i="90"/>
  <c r="Q788" i="90" s="1"/>
  <c r="Q475" i="90" s="1"/>
  <c r="V570" i="90"/>
  <c r="V581" i="90" s="1"/>
  <c r="V583" i="90" s="1"/>
  <c r="V584" i="90" s="1"/>
  <c r="V590" i="90" s="1"/>
  <c r="V462" i="90" s="1"/>
  <c r="V571" i="90"/>
  <c r="V594" i="90" s="1"/>
  <c r="V569" i="90"/>
  <c r="V592" i="90" s="1"/>
  <c r="V602" i="90"/>
  <c r="V607" i="90" s="1"/>
  <c r="V483" i="90" s="1"/>
  <c r="Z426" i="90"/>
  <c r="Z425" i="90"/>
  <c r="Z30" i="57" s="1"/>
  <c r="AA30" i="57" s="1"/>
  <c r="Z370" i="90"/>
  <c r="AB723" i="90"/>
  <c r="S544" i="88"/>
  <c r="S579" i="88"/>
  <c r="S593" i="88" s="1"/>
  <c r="AE795" i="90"/>
  <c r="AD796" i="90"/>
  <c r="V128" i="57"/>
  <c r="V164" i="57"/>
  <c r="P522" i="90"/>
  <c r="P523" i="90" s="1"/>
  <c r="P52" i="57"/>
  <c r="P442" i="90"/>
  <c r="Y482" i="64"/>
  <c r="Y517" i="64" s="1"/>
  <c r="Y531" i="64" s="1"/>
  <c r="R246" i="64"/>
  <c r="X537" i="56"/>
  <c r="X539" i="56" s="1"/>
  <c r="X372" i="56" s="1"/>
  <c r="Y95" i="57" s="1"/>
  <c r="W566" i="56"/>
  <c r="W580" i="56" s="1"/>
  <c r="AA237" i="92"/>
  <c r="AA131" i="92"/>
  <c r="Q516" i="90"/>
  <c r="Q432" i="90"/>
  <c r="V72" i="72"/>
  <c r="V18" i="72"/>
  <c r="W11" i="57" s="1"/>
  <c r="V287" i="90"/>
  <c r="V316" i="90" s="1"/>
  <c r="V317" i="90" s="1"/>
  <c r="V315" i="90"/>
  <c r="X348" i="90"/>
  <c r="X349" i="90" s="1"/>
  <c r="X328" i="90"/>
  <c r="X329" i="90" s="1"/>
  <c r="X338" i="90"/>
  <c r="X339" i="90" s="1"/>
  <c r="X323" i="90"/>
  <c r="X324" i="90" s="1"/>
  <c r="X353" i="90"/>
  <c r="X354" i="90" s="1"/>
  <c r="X333" i="90"/>
  <c r="X334" i="90" s="1"/>
  <c r="X343" i="90"/>
  <c r="X344" i="90" s="1"/>
  <c r="X183" i="56"/>
  <c r="X182" i="56"/>
  <c r="R562" i="80"/>
  <c r="Q396" i="80"/>
  <c r="Q398" i="80" s="1"/>
  <c r="AA209" i="90"/>
  <c r="AA252" i="90" s="1"/>
  <c r="AA253" i="90"/>
  <c r="Y75" i="57"/>
  <c r="Y174" i="57" s="1"/>
  <c r="P440" i="90"/>
  <c r="P498" i="90" s="1"/>
  <c r="AD322" i="90"/>
  <c r="AD347" i="90"/>
  <c r="AD342" i="90"/>
  <c r="AD332" i="90"/>
  <c r="AD352" i="90"/>
  <c r="AD327" i="90"/>
  <c r="AD337" i="90"/>
  <c r="T99" i="88"/>
  <c r="U96" i="88"/>
  <c r="AD257" i="90"/>
  <c r="AD12" i="90"/>
  <c r="AD16" i="90" s="1"/>
  <c r="AD256" i="90"/>
  <c r="AD172" i="90"/>
  <c r="AD134" i="90"/>
  <c r="AD255" i="90"/>
  <c r="X304" i="56"/>
  <c r="X771" i="90"/>
  <c r="AA67" i="88"/>
  <c r="Z73" i="88"/>
  <c r="X195" i="92"/>
  <c r="Y338" i="92"/>
  <c r="Y343" i="92" s="1"/>
  <c r="AC147" i="90"/>
  <c r="AC194" i="90"/>
  <c r="AC193" i="90" s="1"/>
  <c r="AC249" i="90" s="1"/>
  <c r="AE296" i="92"/>
  <c r="AF293" i="92"/>
  <c r="T454" i="88"/>
  <c r="S457" i="88"/>
  <c r="S458" i="88" s="1"/>
  <c r="S459" i="88" s="1"/>
  <c r="AK67" i="90"/>
  <c r="Y374" i="47"/>
  <c r="Z80" i="57"/>
  <c r="Z90" i="57" s="1"/>
  <c r="R524" i="79"/>
  <c r="R426" i="79"/>
  <c r="R430" i="79" s="1"/>
  <c r="F543" i="79"/>
  <c r="AG72" i="90"/>
  <c r="X416" i="56"/>
  <c r="X227" i="56"/>
  <c r="X118" i="92"/>
  <c r="X117" i="92" s="1"/>
  <c r="X95" i="92"/>
  <c r="X96" i="92" s="1"/>
  <c r="AB197" i="90"/>
  <c r="AB198" i="90" s="1"/>
  <c r="AB199" i="90"/>
  <c r="AB200" i="90" s="1"/>
  <c r="AB201" i="90"/>
  <c r="Z330" i="92"/>
  <c r="Z181" i="92"/>
  <c r="AA7" i="92"/>
  <c r="Z56" i="92"/>
  <c r="Z231" i="92"/>
  <c r="Z108" i="92"/>
  <c r="Z151" i="92"/>
  <c r="Z447" i="92"/>
  <c r="Z45" i="92"/>
  <c r="Z381" i="92"/>
  <c r="Z404" i="92"/>
  <c r="Z281" i="92"/>
  <c r="Z79" i="92"/>
  <c r="AD427" i="90"/>
  <c r="AD562" i="90"/>
  <c r="AD576" i="90" s="1"/>
  <c r="AD577" i="90" s="1"/>
  <c r="M363" i="47"/>
  <c r="AA674" i="90"/>
  <c r="U133" i="92"/>
  <c r="U161" i="92"/>
  <c r="AA239" i="90"/>
  <c r="AA259" i="90"/>
  <c r="U130" i="88"/>
  <c r="T131" i="88"/>
  <c r="AD197" i="90"/>
  <c r="AD198" i="90" s="1"/>
  <c r="AD199" i="90"/>
  <c r="AD200" i="90" s="1"/>
  <c r="AD201" i="90"/>
  <c r="T87" i="88"/>
  <c r="U86" i="88"/>
  <c r="AB147" i="90"/>
  <c r="AB194" i="90"/>
  <c r="AB193" i="90" s="1"/>
  <c r="AB249" i="90" s="1"/>
  <c r="W356" i="90"/>
  <c r="W288" i="90" s="1"/>
  <c r="W289" i="90" s="1"/>
  <c r="S72" i="72"/>
  <c r="S18" i="72"/>
  <c r="T11" i="57" s="1"/>
  <c r="U11" i="57" s="1"/>
  <c r="V814" i="90"/>
  <c r="V838" i="90" s="1"/>
  <c r="V14" i="57"/>
  <c r="V418" i="90"/>
  <c r="V560" i="90"/>
  <c r="W309" i="56"/>
  <c r="X458" i="56"/>
  <c r="X461" i="56" s="1"/>
  <c r="AD147" i="90"/>
  <c r="AD194" i="90"/>
  <c r="AD193" i="90" s="1"/>
  <c r="AD249" i="90" s="1"/>
  <c r="AG76" i="90"/>
  <c r="AB12" i="90"/>
  <c r="AB16" i="90" s="1"/>
  <c r="AB256" i="90"/>
  <c r="AB172" i="90"/>
  <c r="AB134" i="90"/>
  <c r="AB257" i="90"/>
  <c r="AB255" i="90"/>
  <c r="AB254" i="90"/>
  <c r="AD254" i="90"/>
  <c r="AF419" i="92"/>
  <c r="AF454" i="92" s="1"/>
  <c r="AF468" i="92" s="1"/>
  <c r="AB819" i="90"/>
  <c r="AB821" i="90" s="1"/>
  <c r="AB492" i="90" s="1"/>
  <c r="Z11" i="90"/>
  <c r="Z301" i="90"/>
  <c r="Z413" i="90"/>
  <c r="U573" i="88"/>
  <c r="T574" i="88"/>
  <c r="S128" i="57"/>
  <c r="S164" i="57"/>
  <c r="S197" i="57"/>
  <c r="S6" i="57"/>
  <c r="S135" i="57" s="1"/>
  <c r="Y187" i="88"/>
  <c r="Z186" i="88"/>
  <c r="U97" i="88"/>
  <c r="T100" i="88"/>
  <c r="Y404" i="64"/>
  <c r="Y407" i="64" s="1"/>
  <c r="Z404" i="64"/>
  <c r="Z407" i="64" s="1"/>
  <c r="R415" i="79"/>
  <c r="R419" i="79" s="1"/>
  <c r="Y699" i="90"/>
  <c r="P434" i="79"/>
  <c r="P610" i="79"/>
  <c r="P616" i="79" s="1"/>
  <c r="P632" i="79" s="1"/>
  <c r="P639" i="79" s="1"/>
  <c r="P642" i="79" s="1"/>
  <c r="Q662" i="79" s="1"/>
  <c r="Q684" i="79" s="1"/>
  <c r="Q686" i="79" s="1"/>
  <c r="Q311" i="79" s="1"/>
  <c r="X357" i="88"/>
  <c r="W358" i="88"/>
  <c r="R580" i="88"/>
  <c r="R594" i="88" s="1"/>
  <c r="R545" i="88"/>
  <c r="Y287" i="90"/>
  <c r="Y316" i="90" s="1"/>
  <c r="Y317" i="90" s="1"/>
  <c r="Y315" i="90"/>
  <c r="Y55" i="92"/>
  <c r="Y85" i="92" s="1"/>
  <c r="Y83" i="92" s="1"/>
  <c r="Y63" i="92"/>
  <c r="Y89" i="92" s="1"/>
  <c r="Y87" i="92" s="1"/>
  <c r="Y119" i="92" s="1"/>
  <c r="Y57" i="92"/>
  <c r="AB664" i="90"/>
  <c r="V419" i="56"/>
  <c r="Q451" i="80"/>
  <c r="AB667" i="90"/>
  <c r="AA707" i="90"/>
  <c r="AB692" i="90" s="1"/>
  <c r="AB702" i="90" s="1"/>
  <c r="Z725" i="90"/>
  <c r="Y675" i="90"/>
  <c r="X673" i="90"/>
  <c r="X786" i="90" s="1"/>
  <c r="X473" i="90" s="1"/>
  <c r="Y290" i="64"/>
  <c r="Y80" i="57"/>
  <c r="Y90" i="57" s="1"/>
  <c r="Q281" i="56"/>
  <c r="Q349" i="56"/>
  <c r="Q275" i="56"/>
  <c r="Z150" i="64"/>
  <c r="Z191" i="64" s="1"/>
  <c r="Z221" i="64" s="1"/>
  <c r="Z272" i="64" s="1"/>
  <c r="Z320" i="64" s="1"/>
  <c r="Z366" i="64" s="1"/>
  <c r="Z420" i="64" s="1"/>
  <c r="Z469" i="64" s="1"/>
  <c r="Z512" i="64" s="1"/>
  <c r="Z65" i="64"/>
  <c r="Z113" i="64" s="1"/>
  <c r="W286" i="92"/>
  <c r="X19" i="57"/>
  <c r="X132" i="57" s="1"/>
  <c r="W156" i="92"/>
  <c r="W121" i="92"/>
  <c r="V234" i="64"/>
  <c r="W383" i="64"/>
  <c r="W387" i="64" s="1"/>
  <c r="AA854" i="90"/>
  <c r="AA868" i="90" s="1"/>
  <c r="AA22" i="90"/>
  <c r="N333" i="79"/>
  <c r="N304" i="79"/>
  <c r="J499" i="56"/>
  <c r="J506" i="56" s="1"/>
  <c r="J276" i="56"/>
  <c r="S463" i="79"/>
  <c r="S615" i="79"/>
  <c r="S641" i="79" s="1"/>
  <c r="S513" i="79"/>
  <c r="S514" i="79" s="1"/>
  <c r="S294" i="79"/>
  <c r="S304" i="79" s="1"/>
  <c r="S308" i="79" s="1"/>
  <c r="S415" i="79" s="1"/>
  <c r="S419" i="79" s="1"/>
  <c r="T312" i="88"/>
  <c r="S313" i="88"/>
  <c r="U328" i="88"/>
  <c r="U332" i="88" s="1"/>
  <c r="U484" i="88"/>
  <c r="J506" i="88"/>
  <c r="U261" i="88"/>
  <c r="T262" i="88"/>
  <c r="AF820" i="90"/>
  <c r="AF855" i="90" s="1"/>
  <c r="AF869" i="90" s="1"/>
  <c r="AA17" i="90"/>
  <c r="AA20" i="90" s="1"/>
  <c r="AA23" i="90"/>
  <c r="Y814" i="90"/>
  <c r="Y838" i="90" s="1"/>
  <c r="Y418" i="90"/>
  <c r="Y560" i="90"/>
  <c r="Y14" i="57"/>
  <c r="V779" i="90"/>
  <c r="W758" i="90" s="1"/>
  <c r="V268" i="90"/>
  <c r="V267" i="90"/>
  <c r="U531" i="88"/>
  <c r="T532" i="88"/>
  <c r="U221" i="88"/>
  <c r="T222" i="88"/>
  <c r="AH64" i="90"/>
  <c r="O479" i="79"/>
  <c r="N480" i="79"/>
  <c r="N484" i="79" s="1"/>
  <c r="N485" i="79" s="1"/>
  <c r="N417" i="79" s="1"/>
  <c r="N369" i="79"/>
  <c r="K49" i="57"/>
  <c r="K54" i="57" s="1"/>
  <c r="K138" i="57" s="1"/>
  <c r="J356" i="56"/>
  <c r="J358" i="56" s="1"/>
  <c r="P543" i="88"/>
  <c r="O546" i="88"/>
  <c r="O287" i="88" s="1"/>
  <c r="Z666" i="90"/>
  <c r="Y706" i="90"/>
  <c r="Z691" i="90" s="1"/>
  <c r="Z701" i="90" s="1"/>
  <c r="AC52" i="92"/>
  <c r="AB84" i="92"/>
  <c r="AA196" i="92"/>
  <c r="AB345" i="92"/>
  <c r="AB348" i="92" s="1"/>
  <c r="AE204" i="90"/>
  <c r="AE205" i="90" s="1"/>
  <c r="R340" i="64"/>
  <c r="R341" i="64" s="1"/>
  <c r="R277" i="64" s="1"/>
  <c r="AE855" i="90"/>
  <c r="AE869" i="90" s="1"/>
  <c r="R718" i="90"/>
  <c r="U74" i="88"/>
  <c r="V68" i="88"/>
  <c r="U72" i="88"/>
  <c r="AE243" i="90"/>
  <c r="AE241" i="90"/>
  <c r="AB726" i="90"/>
  <c r="AA417" i="92"/>
  <c r="Y61" i="72"/>
  <c r="Y63" i="72" s="1"/>
  <c r="X63" i="72"/>
  <c r="V153" i="88"/>
  <c r="U154" i="88"/>
  <c r="N137" i="57"/>
  <c r="N136" i="57"/>
  <c r="N36" i="57"/>
  <c r="N65" i="57" s="1"/>
  <c r="N72" i="57" s="1"/>
  <c r="Z112" i="64"/>
  <c r="AC18" i="92"/>
  <c r="AB20" i="92"/>
  <c r="AF132" i="90"/>
  <c r="AG125" i="90"/>
  <c r="AF139" i="90"/>
  <c r="AF155" i="90" s="1"/>
  <c r="V434" i="56"/>
  <c r="AD203" i="90"/>
  <c r="AD251" i="90" s="1"/>
  <c r="Y347" i="64"/>
  <c r="Y155" i="64"/>
  <c r="Y154" i="64" s="1"/>
  <c r="Y141" i="64"/>
  <c r="U127" i="57"/>
  <c r="U199" i="64"/>
  <c r="U205" i="64"/>
  <c r="S168" i="64"/>
  <c r="P408" i="92"/>
  <c r="P414" i="92" s="1"/>
  <c r="P428" i="92" s="1"/>
  <c r="P435" i="92" s="1"/>
  <c r="P256" i="92"/>
  <c r="I52" i="89"/>
  <c r="I53" i="89" s="1"/>
  <c r="L52" i="89"/>
  <c r="Y399" i="56"/>
  <c r="Y269" i="56"/>
  <c r="Y234" i="56"/>
  <c r="P438" i="92"/>
  <c r="Q456" i="92" s="1"/>
  <c r="P186" i="92"/>
  <c r="P193" i="92" s="1"/>
  <c r="P200" i="92" s="1"/>
  <c r="P219" i="92" s="1"/>
  <c r="Y417" i="56"/>
  <c r="Y317" i="56"/>
  <c r="Y316" i="56" s="1"/>
  <c r="Y320" i="56" s="1"/>
  <c r="V338" i="64"/>
  <c r="V243" i="64"/>
  <c r="V242" i="64" s="1"/>
  <c r="V228" i="64"/>
  <c r="V336" i="64"/>
  <c r="X323" i="64"/>
  <c r="X194" i="64"/>
  <c r="X162" i="64"/>
  <c r="W335" i="64"/>
  <c r="W337" i="64"/>
  <c r="W352" i="64"/>
  <c r="U275" i="56"/>
  <c r="U349" i="56"/>
  <c r="U281" i="56"/>
  <c r="W434" i="56"/>
  <c r="W320" i="56"/>
  <c r="T238" i="92"/>
  <c r="U68" i="57" s="1"/>
  <c r="AA68" i="57" s="1"/>
  <c r="T68" i="57"/>
  <c r="U354" i="64"/>
  <c r="U355" i="64" s="1"/>
  <c r="U356" i="64" s="1"/>
  <c r="U278" i="64" s="1"/>
  <c r="U245" i="64"/>
  <c r="U338" i="64"/>
  <c r="U243" i="64"/>
  <c r="U242" i="64" s="1"/>
  <c r="Z141" i="64"/>
  <c r="Z155" i="64"/>
  <c r="Z154" i="64" s="1"/>
  <c r="Z347" i="64"/>
  <c r="T274" i="56"/>
  <c r="R242" i="56"/>
  <c r="U126" i="57"/>
  <c r="T246" i="56"/>
  <c r="U228" i="64"/>
  <c r="U336" i="64"/>
  <c r="X126" i="57"/>
  <c r="W280" i="56"/>
  <c r="W274" i="56"/>
  <c r="W246" i="56"/>
  <c r="S239" i="92"/>
  <c r="W419" i="56"/>
  <c r="V199" i="64"/>
  <c r="V205" i="64"/>
  <c r="V127" i="57"/>
  <c r="V172" i="64"/>
  <c r="V245" i="64"/>
  <c r="V354" i="64"/>
  <c r="V355" i="64" s="1"/>
  <c r="V356" i="64" s="1"/>
  <c r="V278" i="64" s="1"/>
  <c r="X350" i="64"/>
  <c r="X351" i="64" s="1"/>
  <c r="X229" i="64"/>
  <c r="W195" i="64"/>
  <c r="W168" i="64"/>
  <c r="T29" i="88"/>
  <c r="U28" i="88"/>
  <c r="V160" i="88"/>
  <c r="U232" i="88"/>
  <c r="U175" i="88"/>
  <c r="V173" i="88"/>
  <c r="N421" i="79"/>
  <c r="M396" i="79"/>
  <c r="M400" i="79"/>
  <c r="M401" i="79" s="1"/>
  <c r="W451" i="56"/>
  <c r="W456" i="56" s="1"/>
  <c r="V308" i="56"/>
  <c r="T460" i="47"/>
  <c r="T465" i="47" s="1"/>
  <c r="S311" i="47"/>
  <c r="S491" i="47"/>
  <c r="S492" i="47" s="1"/>
  <c r="L528" i="47"/>
  <c r="L382" i="47"/>
  <c r="L530" i="47"/>
  <c r="U311" i="47"/>
  <c r="V460" i="47"/>
  <c r="V465" i="47" s="1"/>
  <c r="U491" i="47"/>
  <c r="U492" i="47" s="1"/>
  <c r="AD250" i="92" l="1"/>
  <c r="AC252" i="92"/>
  <c r="P279" i="64"/>
  <c r="P67" i="57"/>
  <c r="Y34" i="56"/>
  <c r="W148" i="64"/>
  <c r="W189" i="64" s="1"/>
  <c r="W219" i="64" s="1"/>
  <c r="W270" i="64" s="1"/>
  <c r="W318" i="64" s="1"/>
  <c r="W364" i="64" s="1"/>
  <c r="W418" i="64" s="1"/>
  <c r="W467" i="64" s="1"/>
  <c r="W510" i="64" s="1"/>
  <c r="W63" i="64"/>
  <c r="W111" i="64" s="1"/>
  <c r="X7" i="64"/>
  <c r="Q372" i="64"/>
  <c r="Q376" i="64" s="1"/>
  <c r="P408" i="64"/>
  <c r="P409" i="64" s="1"/>
  <c r="P233" i="64"/>
  <c r="Q200" i="64"/>
  <c r="Q206" i="64"/>
  <c r="Q275" i="64"/>
  <c r="Q279" i="64" s="1"/>
  <c r="U390" i="64"/>
  <c r="U407" i="64" s="1"/>
  <c r="R407" i="64"/>
  <c r="Z561" i="90"/>
  <c r="Z266" i="90"/>
  <c r="V420" i="56"/>
  <c r="V351" i="56" s="1"/>
  <c r="X433" i="56"/>
  <c r="Y434" i="56" s="1"/>
  <c r="V246" i="64"/>
  <c r="X300" i="56"/>
  <c r="X415" i="56"/>
  <c r="Y419" i="56"/>
  <c r="X32" i="57"/>
  <c r="T421" i="47"/>
  <c r="X700" i="90"/>
  <c r="Q612" i="80"/>
  <c r="Q618" i="80" s="1"/>
  <c r="Q436" i="80"/>
  <c r="R570" i="80"/>
  <c r="R396" i="80" s="1"/>
  <c r="R398" i="80" s="1"/>
  <c r="K39" i="89"/>
  <c r="K41" i="89" s="1"/>
  <c r="K50" i="89"/>
  <c r="K290" i="89"/>
  <c r="K293" i="89" s="1"/>
  <c r="K279" i="89"/>
  <c r="K281" i="89" s="1"/>
  <c r="L39" i="89"/>
  <c r="L41" i="89" s="1"/>
  <c r="L50" i="89"/>
  <c r="L290" i="89"/>
  <c r="L293" i="89" s="1"/>
  <c r="L279" i="89"/>
  <c r="L281" i="89" s="1"/>
  <c r="AE203" i="90"/>
  <c r="AE417" i="90"/>
  <c r="R377" i="90"/>
  <c r="R591" i="90"/>
  <c r="R461" i="90" s="1"/>
  <c r="R356" i="90"/>
  <c r="R288" i="90" s="1"/>
  <c r="R289" i="90" s="1"/>
  <c r="R484" i="90"/>
  <c r="R608" i="90"/>
  <c r="R609" i="90" s="1"/>
  <c r="R610" i="90" s="1"/>
  <c r="R518" i="90" s="1"/>
  <c r="R595" i="90"/>
  <c r="R482" i="90"/>
  <c r="R366" i="90"/>
  <c r="R460" i="90"/>
  <c r="AC512" i="90"/>
  <c r="AB558" i="90"/>
  <c r="N363" i="47"/>
  <c r="X139" i="47"/>
  <c r="X211" i="47" s="1"/>
  <c r="Y7" i="47"/>
  <c r="X258" i="47"/>
  <c r="V242" i="47"/>
  <c r="Y174" i="47"/>
  <c r="T18" i="57"/>
  <c r="S405" i="47"/>
  <c r="S253" i="47"/>
  <c r="U7" i="57"/>
  <c r="U6" i="57" s="1"/>
  <c r="U135" i="57" s="1"/>
  <c r="T404" i="47"/>
  <c r="P426" i="47"/>
  <c r="P360" i="47" s="1"/>
  <c r="Q67" i="57" s="1"/>
  <c r="S201" i="47"/>
  <c r="S186" i="47"/>
  <c r="S222" i="47" s="1"/>
  <c r="S202" i="47"/>
  <c r="S266" i="47"/>
  <c r="P134" i="57"/>
  <c r="X177" i="47"/>
  <c r="Y176" i="47"/>
  <c r="Y177" i="47" s="1"/>
  <c r="X466" i="47"/>
  <c r="X468" i="47" s="1"/>
  <c r="W312" i="47"/>
  <c r="Q185" i="47"/>
  <c r="Q227" i="47" s="1"/>
  <c r="Q200" i="47"/>
  <c r="Q419" i="47"/>
  <c r="Q223" i="47"/>
  <c r="O325" i="47"/>
  <c r="V159" i="47"/>
  <c r="V225" i="47" s="1"/>
  <c r="V161" i="47"/>
  <c r="V226" i="47" s="1"/>
  <c r="V19" i="47"/>
  <c r="V20" i="47" s="1"/>
  <c r="V11" i="47" s="1"/>
  <c r="V157" i="47"/>
  <c r="V224" i="47" s="1"/>
  <c r="Y417" i="47"/>
  <c r="Y308" i="47" s="1"/>
  <c r="O437" i="47"/>
  <c r="O438" i="47" s="1"/>
  <c r="O361" i="47" s="1"/>
  <c r="O363" i="47" s="1"/>
  <c r="P437" i="47"/>
  <c r="P438" i="47" s="1"/>
  <c r="P361" i="47" s="1"/>
  <c r="W218" i="47"/>
  <c r="W269" i="47"/>
  <c r="X24" i="57" s="1"/>
  <c r="W219" i="47"/>
  <c r="R416" i="47"/>
  <c r="Q304" i="47"/>
  <c r="Q508" i="47"/>
  <c r="Q532" i="47" s="1"/>
  <c r="Q404" i="47"/>
  <c r="R7" i="57"/>
  <c r="R6" i="57" s="1"/>
  <c r="R135" i="57" s="1"/>
  <c r="V154" i="47"/>
  <c r="U155" i="47"/>
  <c r="Q305" i="47"/>
  <c r="R418" i="47"/>
  <c r="U416" i="47"/>
  <c r="U418" i="47"/>
  <c r="U305" i="47" s="1"/>
  <c r="U262" i="47"/>
  <c r="W247" i="47"/>
  <c r="W238" i="47"/>
  <c r="W230" i="47"/>
  <c r="W231" i="47"/>
  <c r="W16" i="47"/>
  <c r="W216" i="47"/>
  <c r="W240" i="47"/>
  <c r="W250" i="47"/>
  <c r="W233" i="47"/>
  <c r="W237" i="47"/>
  <c r="W244" i="47"/>
  <c r="W239" i="47"/>
  <c r="W246" i="47"/>
  <c r="W245" i="47"/>
  <c r="W234" i="47"/>
  <c r="W229" i="47"/>
  <c r="Y12" i="47"/>
  <c r="Y147" i="47"/>
  <c r="Y130" i="47"/>
  <c r="X15" i="47"/>
  <c r="X216" i="47" s="1"/>
  <c r="X13" i="47"/>
  <c r="X243" i="47"/>
  <c r="W153" i="47"/>
  <c r="W220" i="47" s="1"/>
  <c r="X152" i="47"/>
  <c r="Q235" i="47"/>
  <c r="Q228" i="47" s="1"/>
  <c r="Q264" i="47" s="1"/>
  <c r="Q420" i="47"/>
  <c r="V236" i="47"/>
  <c r="V268" i="47" s="1"/>
  <c r="X151" i="47"/>
  <c r="X219" i="47" s="1"/>
  <c r="X149" i="47"/>
  <c r="V182" i="47"/>
  <c r="U183" i="47"/>
  <c r="V349" i="56"/>
  <c r="V281" i="56"/>
  <c r="O199" i="88"/>
  <c r="P203" i="88"/>
  <c r="P19" i="88"/>
  <c r="P20" i="88" s="1"/>
  <c r="P11" i="88" s="1"/>
  <c r="P225" i="88" s="1"/>
  <c r="P228" i="88" s="1"/>
  <c r="K317" i="88"/>
  <c r="P156" i="88"/>
  <c r="P158" i="88" s="1"/>
  <c r="P195" i="88" s="1"/>
  <c r="P138" i="88"/>
  <c r="P192" i="88" s="1"/>
  <c r="N442" i="88"/>
  <c r="N268" i="88" s="1"/>
  <c r="N267" i="88" s="1"/>
  <c r="P140" i="88"/>
  <c r="P193" i="88" s="1"/>
  <c r="N225" i="88"/>
  <c r="N228" i="88" s="1"/>
  <c r="Q15" i="88"/>
  <c r="Q201" i="88" s="1"/>
  <c r="Q204" i="88"/>
  <c r="N446" i="88"/>
  <c r="N270" i="88" s="1"/>
  <c r="N202" i="88"/>
  <c r="N196" i="88" s="1"/>
  <c r="N158" i="88"/>
  <c r="N195" i="88" s="1"/>
  <c r="N190" i="88" s="1"/>
  <c r="N227" i="88"/>
  <c r="N431" i="88" s="1"/>
  <c r="Q197" i="88"/>
  <c r="R197" i="88"/>
  <c r="N233" i="88"/>
  <c r="O198" i="88"/>
  <c r="O19" i="88"/>
  <c r="O20" i="88" s="1"/>
  <c r="O11" i="88" s="1"/>
  <c r="O225" i="88" s="1"/>
  <c r="O539" i="88" s="1"/>
  <c r="O563" i="88" s="1"/>
  <c r="O206" i="88"/>
  <c r="O200" i="88"/>
  <c r="S142" i="88"/>
  <c r="S194" i="88" s="1"/>
  <c r="O140" i="88"/>
  <c r="O193" i="88" s="1"/>
  <c r="O211" i="88"/>
  <c r="O201" i="88"/>
  <c r="O208" i="88"/>
  <c r="O142" i="88"/>
  <c r="O194" i="88" s="1"/>
  <c r="O207" i="88"/>
  <c r="O210" i="88"/>
  <c r="S140" i="88"/>
  <c r="S193" i="88" s="1"/>
  <c r="O156" i="88"/>
  <c r="O445" i="88" s="1"/>
  <c r="O271" i="88" s="1"/>
  <c r="S138" i="88"/>
  <c r="S19" i="88"/>
  <c r="S20" i="88" s="1"/>
  <c r="S11" i="88" s="1"/>
  <c r="S444" i="88" s="1"/>
  <c r="S269" i="88" s="1"/>
  <c r="T13" i="88"/>
  <c r="T209" i="88" s="1"/>
  <c r="U204" i="88"/>
  <c r="U119" i="88"/>
  <c r="V117" i="88" s="1"/>
  <c r="V118" i="88" s="1"/>
  <c r="V119" i="88" s="1"/>
  <c r="W117" i="88" s="1"/>
  <c r="W118" i="88" s="1"/>
  <c r="W13" i="88" s="1"/>
  <c r="U209" i="88"/>
  <c r="U197" i="88"/>
  <c r="R15" i="88"/>
  <c r="R210" i="88" s="1"/>
  <c r="R209" i="88"/>
  <c r="M539" i="88"/>
  <c r="M563" i="88" s="1"/>
  <c r="M228" i="88"/>
  <c r="M230" i="88" s="1"/>
  <c r="M235" i="88" s="1"/>
  <c r="M239" i="88" s="1"/>
  <c r="M317" i="88" s="1"/>
  <c r="M447" i="88"/>
  <c r="M212" i="88"/>
  <c r="M213" i="88" s="1"/>
  <c r="M461" i="88"/>
  <c r="M282" i="88" s="1"/>
  <c r="M448" i="88"/>
  <c r="M281" i="88" s="1"/>
  <c r="K460" i="88"/>
  <c r="K283" i="88" s="1"/>
  <c r="X322" i="92"/>
  <c r="X239" i="92" s="1"/>
  <c r="W420" i="56"/>
  <c r="W351" i="56" s="1"/>
  <c r="Y316" i="92"/>
  <c r="Y317" i="92" s="1"/>
  <c r="L449" i="88"/>
  <c r="L451" i="88" s="1"/>
  <c r="K451" i="88"/>
  <c r="K452" i="88" s="1"/>
  <c r="K319" i="88" s="1"/>
  <c r="K248" i="88"/>
  <c r="K294" i="88" s="1"/>
  <c r="L292" i="88" s="1"/>
  <c r="L245" i="88"/>
  <c r="L247" i="88" s="1"/>
  <c r="L324" i="88" s="1"/>
  <c r="K281" i="88"/>
  <c r="K280" i="88" s="1"/>
  <c r="U814" i="90"/>
  <c r="T838" i="90"/>
  <c r="U838" i="90" s="1"/>
  <c r="AD13" i="92"/>
  <c r="AE14" i="92"/>
  <c r="U602" i="90"/>
  <c r="T607" i="90"/>
  <c r="V532" i="56"/>
  <c r="V567" i="56" s="1"/>
  <c r="V581" i="56" s="1"/>
  <c r="U533" i="56"/>
  <c r="U323" i="56" s="1"/>
  <c r="K258" i="64"/>
  <c r="E17" i="95"/>
  <c r="H17" i="95"/>
  <c r="I17" i="95" s="1"/>
  <c r="X531" i="56"/>
  <c r="X566" i="56" s="1"/>
  <c r="X580" i="56" s="1"/>
  <c r="S321" i="80"/>
  <c r="S563" i="80" s="1"/>
  <c r="AC100" i="92"/>
  <c r="AC127" i="92" s="1"/>
  <c r="AC11" i="92"/>
  <c r="U571" i="90"/>
  <c r="T594" i="90"/>
  <c r="Y206" i="92"/>
  <c r="Y207" i="92" s="1"/>
  <c r="Y320" i="92"/>
  <c r="Y321" i="92" s="1"/>
  <c r="U292" i="90"/>
  <c r="T423" i="90"/>
  <c r="U423" i="90" s="1"/>
  <c r="V456" i="64"/>
  <c r="W451" i="64"/>
  <c r="W454" i="64" s="1"/>
  <c r="V439" i="64"/>
  <c r="V441" i="64" s="1"/>
  <c r="V443" i="64" s="1"/>
  <c r="Y188" i="92"/>
  <c r="Y187" i="92" s="1"/>
  <c r="Y302" i="92"/>
  <c r="AF154" i="90"/>
  <c r="X787" i="90"/>
  <c r="AA159" i="92"/>
  <c r="T592" i="90"/>
  <c r="U569" i="90"/>
  <c r="Y420" i="92"/>
  <c r="Y210" i="92" s="1"/>
  <c r="Y453" i="92"/>
  <c r="Y467" i="92" s="1"/>
  <c r="Y66" i="88"/>
  <c r="X71" i="88"/>
  <c r="X90" i="88" s="1"/>
  <c r="X95" i="88" s="1"/>
  <c r="X114" i="88" s="1"/>
  <c r="X115" i="88" s="1"/>
  <c r="Y112" i="88" s="1"/>
  <c r="AF52" i="90"/>
  <c r="AF240" i="90" s="1"/>
  <c r="AG53" i="90"/>
  <c r="AA727" i="90"/>
  <c r="Z783" i="90"/>
  <c r="AA762" i="90" s="1"/>
  <c r="AA776" i="90" s="1"/>
  <c r="Z471" i="90"/>
  <c r="Y38" i="72"/>
  <c r="Y40" i="72" s="1"/>
  <c r="Y42" i="72" s="1"/>
  <c r="X40" i="72"/>
  <c r="X42" i="72" s="1"/>
  <c r="Y47" i="72"/>
  <c r="X51" i="72"/>
  <c r="X53" i="72" s="1"/>
  <c r="X16" i="72"/>
  <c r="AA413" i="92"/>
  <c r="AA437" i="92" s="1"/>
  <c r="AA115" i="92"/>
  <c r="AA285" i="92"/>
  <c r="AA166" i="92"/>
  <c r="Z318" i="92"/>
  <c r="Z300" i="92"/>
  <c r="Z189" i="92" s="1"/>
  <c r="Z315" i="92"/>
  <c r="Z197" i="92" s="1"/>
  <c r="Z299" i="92"/>
  <c r="Z319" i="92"/>
  <c r="Z205" i="92" s="1"/>
  <c r="Z203" i="92" s="1"/>
  <c r="Z314" i="92"/>
  <c r="U570" i="90"/>
  <c r="T581" i="90"/>
  <c r="AB101" i="92"/>
  <c r="AB128" i="92" s="1"/>
  <c r="AB123" i="92" s="1"/>
  <c r="AB334" i="92"/>
  <c r="AB112" i="92"/>
  <c r="X34" i="56"/>
  <c r="X241" i="56"/>
  <c r="T150" i="88"/>
  <c r="T606" i="90"/>
  <c r="U560" i="90"/>
  <c r="T589" i="90"/>
  <c r="L177" i="64"/>
  <c r="L179" i="64" s="1"/>
  <c r="L281" i="64"/>
  <c r="Y515" i="47"/>
  <c r="Y328" i="47" s="1"/>
  <c r="T377" i="90"/>
  <c r="U377" i="90" s="1"/>
  <c r="U267" i="90"/>
  <c r="T591" i="90"/>
  <c r="U591" i="90" s="1"/>
  <c r="AB854" i="90"/>
  <c r="AB868" i="90" s="1"/>
  <c r="Z418" i="92"/>
  <c r="Z453" i="92" s="1"/>
  <c r="Z467" i="92" s="1"/>
  <c r="T152" i="88"/>
  <c r="X480" i="64"/>
  <c r="X515" i="64" s="1"/>
  <c r="X529" i="64" s="1"/>
  <c r="W483" i="64"/>
  <c r="W249" i="64" s="1"/>
  <c r="U426" i="64"/>
  <c r="U301" i="64"/>
  <c r="R426" i="64"/>
  <c r="R301" i="64"/>
  <c r="R105" i="57" s="1"/>
  <c r="U287" i="90"/>
  <c r="T316" i="90"/>
  <c r="R266" i="47"/>
  <c r="R405" i="47"/>
  <c r="T264" i="47"/>
  <c r="S18" i="57"/>
  <c r="S17" i="57" s="1"/>
  <c r="S23" i="57" s="1"/>
  <c r="R202" i="47"/>
  <c r="R201" i="47"/>
  <c r="R186" i="47"/>
  <c r="R222" i="47" s="1"/>
  <c r="R253" i="47"/>
  <c r="M398" i="79"/>
  <c r="S448" i="80"/>
  <c r="S434" i="80"/>
  <c r="AF167" i="90"/>
  <c r="AF206" i="90"/>
  <c r="AF204" i="90"/>
  <c r="AF205" i="90" s="1"/>
  <c r="Y65" i="72"/>
  <c r="O480" i="79"/>
  <c r="O484" i="79" s="1"/>
  <c r="O485" i="79" s="1"/>
  <c r="O417" i="79" s="1"/>
  <c r="O419" i="79" s="1"/>
  <c r="O369" i="79"/>
  <c r="N343" i="79"/>
  <c r="O343" i="79"/>
  <c r="Z675" i="90"/>
  <c r="Y673" i="90"/>
  <c r="Y786" i="90" s="1"/>
  <c r="Y473" i="90" s="1"/>
  <c r="AC664" i="90"/>
  <c r="Y704" i="90"/>
  <c r="U574" i="88"/>
  <c r="V573" i="88"/>
  <c r="AH76" i="90"/>
  <c r="Z55" i="92"/>
  <c r="Z85" i="92" s="1"/>
  <c r="Z83" i="92" s="1"/>
  <c r="Z57" i="92"/>
  <c r="Z63" i="92"/>
  <c r="Z89" i="92" s="1"/>
  <c r="Z87" i="92" s="1"/>
  <c r="Z119" i="92" s="1"/>
  <c r="Y771" i="90"/>
  <c r="Y778" i="90" s="1"/>
  <c r="T544" i="88"/>
  <c r="T579" i="88" s="1"/>
  <c r="T593" i="88" s="1"/>
  <c r="AG214" i="90"/>
  <c r="AG424" i="90"/>
  <c r="V151" i="88"/>
  <c r="V426" i="88"/>
  <c r="U427" i="88"/>
  <c r="AK55" i="90"/>
  <c r="Z276" i="64"/>
  <c r="Z170" i="64"/>
  <c r="Z32" i="57" s="1"/>
  <c r="Z374" i="64"/>
  <c r="X71" i="72"/>
  <c r="X65" i="72"/>
  <c r="P542" i="90"/>
  <c r="P545" i="90" s="1"/>
  <c r="P532" i="90"/>
  <c r="R612" i="80"/>
  <c r="R436" i="80"/>
  <c r="U131" i="88"/>
  <c r="V130" i="88"/>
  <c r="AG132" i="90"/>
  <c r="AH125" i="90"/>
  <c r="AG139" i="90"/>
  <c r="AG154" i="90" s="1"/>
  <c r="W153" i="88"/>
  <c r="V154" i="88"/>
  <c r="K498" i="56"/>
  <c r="J328" i="56"/>
  <c r="Q421" i="79"/>
  <c r="Q423" i="79" s="1"/>
  <c r="Q313" i="79"/>
  <c r="AH72" i="90"/>
  <c r="Q515" i="90"/>
  <c r="Q519" i="90" s="1"/>
  <c r="Q437" i="90"/>
  <c r="P169" i="57"/>
  <c r="P77" i="57"/>
  <c r="AF795" i="90"/>
  <c r="U422" i="56"/>
  <c r="T422" i="56"/>
  <c r="T428" i="56" s="1"/>
  <c r="Q428" i="56"/>
  <c r="Y780" i="90"/>
  <c r="Z759" i="90" s="1"/>
  <c r="Z773" i="90" s="1"/>
  <c r="Z724" i="90"/>
  <c r="X358" i="88"/>
  <c r="Y357" i="88"/>
  <c r="AB212" i="90"/>
  <c r="AB235" i="90"/>
  <c r="AL67" i="90"/>
  <c r="V96" i="88"/>
  <c r="U99" i="88"/>
  <c r="U152" i="88" s="1"/>
  <c r="U200" i="88" s="1"/>
  <c r="P310" i="56"/>
  <c r="P429" i="56"/>
  <c r="Y595" i="90"/>
  <c r="Y482" i="90"/>
  <c r="P523" i="88"/>
  <c r="P524" i="88" s="1"/>
  <c r="Q483" i="88"/>
  <c r="Q488" i="88" s="1"/>
  <c r="P275" i="88"/>
  <c r="AD196" i="90"/>
  <c r="AD250" i="90" s="1"/>
  <c r="P398" i="79"/>
  <c r="W164" i="57"/>
  <c r="W128" i="57"/>
  <c r="R198" i="57"/>
  <c r="R132" i="57"/>
  <c r="M315" i="80"/>
  <c r="M321" i="80" s="1"/>
  <c r="M423" i="80"/>
  <c r="M425" i="80" s="1"/>
  <c r="M434" i="80" s="1"/>
  <c r="AE169" i="90"/>
  <c r="AE168" i="90"/>
  <c r="AE171" i="90"/>
  <c r="AE304" i="90"/>
  <c r="AE792" i="90"/>
  <c r="AE794" i="90" s="1"/>
  <c r="AE796" i="90" s="1"/>
  <c r="AH216" i="90"/>
  <c r="AI40" i="90"/>
  <c r="U236" i="92"/>
  <c r="U240" i="92" s="1"/>
  <c r="U162" i="92"/>
  <c r="AC212" i="90"/>
  <c r="AC235" i="90"/>
  <c r="W176" i="88"/>
  <c r="X42" i="88"/>
  <c r="AH58" i="90"/>
  <c r="AG57" i="90"/>
  <c r="AH77" i="90"/>
  <c r="AG236" i="90"/>
  <c r="Z482" i="64"/>
  <c r="AC210" i="90"/>
  <c r="AC211" i="90" s="1"/>
  <c r="AC253" i="90" s="1"/>
  <c r="AC136" i="90"/>
  <c r="AB639" i="90"/>
  <c r="X460" i="90"/>
  <c r="X366" i="90"/>
  <c r="AA665" i="90"/>
  <c r="Z663" i="90"/>
  <c r="AF241" i="90"/>
  <c r="AF243" i="90"/>
  <c r="Y374" i="64"/>
  <c r="Y170" i="64"/>
  <c r="Y32" i="57" s="1"/>
  <c r="Y276" i="64"/>
  <c r="W376" i="90"/>
  <c r="W422" i="90"/>
  <c r="W308" i="90"/>
  <c r="W309" i="90" s="1"/>
  <c r="W367" i="90"/>
  <c r="W290" i="90"/>
  <c r="T197" i="57"/>
  <c r="T164" i="57"/>
  <c r="T128" i="57"/>
  <c r="T6" i="57"/>
  <c r="T135" i="57" s="1"/>
  <c r="X234" i="56"/>
  <c r="X399" i="56"/>
  <c r="X269" i="56"/>
  <c r="V323" i="90"/>
  <c r="V324" i="90" s="1"/>
  <c r="V353" i="90"/>
  <c r="V354" i="90" s="1"/>
  <c r="V343" i="90"/>
  <c r="V344" i="90" s="1"/>
  <c r="V333" i="90"/>
  <c r="V334" i="90" s="1"/>
  <c r="V328" i="90"/>
  <c r="V329" i="90" s="1"/>
  <c r="V348" i="90"/>
  <c r="V349" i="90" s="1"/>
  <c r="V338" i="90"/>
  <c r="V339" i="90" s="1"/>
  <c r="Q129" i="92"/>
  <c r="Q157" i="92"/>
  <c r="S157" i="92" s="1"/>
  <c r="T157" i="92" s="1"/>
  <c r="O353" i="56"/>
  <c r="X484" i="90"/>
  <c r="X608" i="90"/>
  <c r="X609" i="90" s="1"/>
  <c r="X610" i="90" s="1"/>
  <c r="X518" i="90" s="1"/>
  <c r="W782" i="90"/>
  <c r="X761" i="90" s="1"/>
  <c r="X775" i="90" s="1"/>
  <c r="AE244" i="90"/>
  <c r="V595" i="90"/>
  <c r="V482" i="90"/>
  <c r="Q543" i="88"/>
  <c r="Q578" i="88" s="1"/>
  <c r="Q592" i="88" s="1"/>
  <c r="P546" i="88"/>
  <c r="P287" i="88" s="1"/>
  <c r="AA370" i="90"/>
  <c r="AA426" i="90"/>
  <c r="AA425" i="90"/>
  <c r="Y19" i="57"/>
  <c r="Y132" i="57" s="1"/>
  <c r="X286" i="92"/>
  <c r="X156" i="92"/>
  <c r="X121" i="92"/>
  <c r="AD347" i="92"/>
  <c r="AC373" i="92"/>
  <c r="AC17" i="90"/>
  <c r="AC20" i="90" s="1"/>
  <c r="AC21" i="90" s="1"/>
  <c r="AC22" i="90" s="1"/>
  <c r="Y378" i="64"/>
  <c r="Y381" i="64" s="1"/>
  <c r="X235" i="64"/>
  <c r="AI54" i="90"/>
  <c r="Q367" i="80"/>
  <c r="Q374" i="80" s="1"/>
  <c r="Q381" i="80" s="1"/>
  <c r="Q400" i="80" s="1"/>
  <c r="Q405" i="80" s="1"/>
  <c r="R450" i="80"/>
  <c r="R616" i="80" s="1"/>
  <c r="AB196" i="92"/>
  <c r="AC345" i="92"/>
  <c r="AC348" i="92" s="1"/>
  <c r="S545" i="88"/>
  <c r="S580" i="88"/>
  <c r="S594" i="88" s="1"/>
  <c r="AA666" i="90"/>
  <c r="Z706" i="90"/>
  <c r="AA691" i="90" s="1"/>
  <c r="AA701" i="90" s="1"/>
  <c r="S524" i="79"/>
  <c r="S426" i="79"/>
  <c r="S430" i="79" s="1"/>
  <c r="U100" i="88"/>
  <c r="V97" i="88"/>
  <c r="AG419" i="92"/>
  <c r="AG454" i="92" s="1"/>
  <c r="AG468" i="92" s="1"/>
  <c r="U87" i="88"/>
  <c r="V86" i="88"/>
  <c r="Z338" i="92"/>
  <c r="Z343" i="92" s="1"/>
  <c r="Y195" i="92"/>
  <c r="AD17" i="90"/>
  <c r="AD20" i="90" s="1"/>
  <c r="AD21" i="90" s="1"/>
  <c r="AD22" i="90" s="1"/>
  <c r="AB237" i="92"/>
  <c r="AB131" i="92"/>
  <c r="X478" i="88"/>
  <c r="Y41" i="88"/>
  <c r="X477" i="88"/>
  <c r="Y472" i="90"/>
  <c r="P557" i="88"/>
  <c r="O286" i="88"/>
  <c r="P581" i="88"/>
  <c r="P595" i="88" s="1"/>
  <c r="AA238" i="90"/>
  <c r="AG820" i="90"/>
  <c r="AG855" i="90" s="1"/>
  <c r="AG869" i="90" s="1"/>
  <c r="AB210" i="90"/>
  <c r="AB211" i="90" s="1"/>
  <c r="AB253" i="90" s="1"/>
  <c r="AB136" i="90"/>
  <c r="AC667" i="90"/>
  <c r="AB707" i="90"/>
  <c r="AC692" i="90" s="1"/>
  <c r="AC702" i="90" s="1"/>
  <c r="Y328" i="90"/>
  <c r="Y329" i="90" s="1"/>
  <c r="Y333" i="90"/>
  <c r="Y334" i="90" s="1"/>
  <c r="Y353" i="90"/>
  <c r="Y354" i="90" s="1"/>
  <c r="Y343" i="90"/>
  <c r="Y344" i="90" s="1"/>
  <c r="Y348" i="90"/>
  <c r="Y349" i="90" s="1"/>
  <c r="Y323" i="90"/>
  <c r="Y324" i="90" s="1"/>
  <c r="Y338" i="90"/>
  <c r="Y339" i="90" s="1"/>
  <c r="AE562" i="90"/>
  <c r="AE576" i="90" s="1"/>
  <c r="AE577" i="90" s="1"/>
  <c r="AE427" i="90"/>
  <c r="U222" i="88"/>
  <c r="V221" i="88"/>
  <c r="U312" i="88"/>
  <c r="T313" i="88"/>
  <c r="AC819" i="90"/>
  <c r="AC854" i="90" s="1"/>
  <c r="AC868" i="90" s="1"/>
  <c r="V589" i="90"/>
  <c r="V606" i="90"/>
  <c r="AB191" i="90"/>
  <c r="AB190" i="90"/>
  <c r="AB189" i="90"/>
  <c r="AC191" i="90"/>
  <c r="AC190" i="90"/>
  <c r="AC189" i="90"/>
  <c r="P500" i="90"/>
  <c r="P502" i="90" s="1"/>
  <c r="P504" i="90" s="1"/>
  <c r="Q498" i="90"/>
  <c r="U19" i="57"/>
  <c r="T286" i="92"/>
  <c r="U150" i="88"/>
  <c r="V149" i="88"/>
  <c r="AD818" i="90"/>
  <c r="AD853" i="90" s="1"/>
  <c r="AD867" i="90" s="1"/>
  <c r="AA415" i="90"/>
  <c r="AA247" i="90"/>
  <c r="AA258" i="90" s="1"/>
  <c r="AA260" i="90" s="1"/>
  <c r="AB196" i="90"/>
  <c r="AB250" i="90" s="1"/>
  <c r="W479" i="88"/>
  <c r="W481" i="88" s="1"/>
  <c r="AC196" i="90"/>
  <c r="AC250" i="90" s="1"/>
  <c r="AB67" i="88"/>
  <c r="AA73" i="88"/>
  <c r="AD52" i="92"/>
  <c r="AC84" i="92"/>
  <c r="Y589" i="90"/>
  <c r="Y606" i="90"/>
  <c r="AD212" i="90"/>
  <c r="AD235" i="90"/>
  <c r="AC723" i="90"/>
  <c r="R760" i="90"/>
  <c r="Q777" i="90"/>
  <c r="Q789" i="90" s="1"/>
  <c r="S121" i="92"/>
  <c r="T19" i="57"/>
  <c r="S286" i="92"/>
  <c r="S443" i="88"/>
  <c r="S272" i="88" s="1"/>
  <c r="S206" i="88"/>
  <c r="S203" i="88" s="1"/>
  <c r="S199" i="88"/>
  <c r="V133" i="92"/>
  <c r="V161" i="92"/>
  <c r="V167" i="92"/>
  <c r="N345" i="79"/>
  <c r="O345" i="79"/>
  <c r="N308" i="79"/>
  <c r="N337" i="79"/>
  <c r="AJ69" i="90"/>
  <c r="AA301" i="90"/>
  <c r="AA11" i="90"/>
  <c r="AA413" i="90"/>
  <c r="AB674" i="90"/>
  <c r="X317" i="56"/>
  <c r="X316" i="56" s="1"/>
  <c r="X320" i="56" s="1"/>
  <c r="X417" i="56"/>
  <c r="X383" i="64"/>
  <c r="X387" i="64" s="1"/>
  <c r="W234" i="64"/>
  <c r="U144" i="88"/>
  <c r="T146" i="88"/>
  <c r="T443" i="88" s="1"/>
  <c r="T272" i="88" s="1"/>
  <c r="AC710" i="90"/>
  <c r="AH70" i="90"/>
  <c r="AA80" i="57"/>
  <c r="AA90" i="57" s="1"/>
  <c r="P578" i="88"/>
  <c r="P592" i="88" s="1"/>
  <c r="P596" i="88" s="1"/>
  <c r="P600" i="88" s="1"/>
  <c r="V340" i="64"/>
  <c r="V341" i="64" s="1"/>
  <c r="V277" i="64" s="1"/>
  <c r="V377" i="90"/>
  <c r="V591" i="90"/>
  <c r="W591" i="90" s="1"/>
  <c r="AC726" i="90"/>
  <c r="AG293" i="92"/>
  <c r="AG296" i="92" s="1"/>
  <c r="AF296" i="92"/>
  <c r="W487" i="90"/>
  <c r="W494" i="90" s="1"/>
  <c r="W481" i="90"/>
  <c r="Y721" i="90"/>
  <c r="Y469" i="90" s="1"/>
  <c r="Z722" i="90"/>
  <c r="M450" i="80"/>
  <c r="M616" i="80" s="1"/>
  <c r="L367" i="80"/>
  <c r="L374" i="80" s="1"/>
  <c r="L381" i="80" s="1"/>
  <c r="Q375" i="79"/>
  <c r="R523" i="79"/>
  <c r="R527" i="79" s="1"/>
  <c r="AG18" i="90"/>
  <c r="AD124" i="70"/>
  <c r="W72" i="72"/>
  <c r="W18" i="72"/>
  <c r="X11" i="57" s="1"/>
  <c r="U76" i="88"/>
  <c r="AB17" i="90"/>
  <c r="AB20" i="90" s="1"/>
  <c r="AB21" i="90" s="1"/>
  <c r="AB22" i="90" s="1"/>
  <c r="V715" i="90"/>
  <c r="J380" i="56"/>
  <c r="J383" i="56" s="1"/>
  <c r="J367" i="56"/>
  <c r="U197" i="57"/>
  <c r="V197" i="57" s="1"/>
  <c r="U128" i="57"/>
  <c r="U164" i="57"/>
  <c r="V531" i="88"/>
  <c r="U532" i="88"/>
  <c r="AA725" i="90"/>
  <c r="Z361" i="90"/>
  <c r="Z400" i="90" s="1"/>
  <c r="Z401" i="90" s="1"/>
  <c r="Z412" i="90"/>
  <c r="Z375" i="90"/>
  <c r="Z364" i="90"/>
  <c r="Z286" i="90"/>
  <c r="Y458" i="56"/>
  <c r="Y461" i="56" s="1"/>
  <c r="Y309" i="56" s="1"/>
  <c r="X309" i="56"/>
  <c r="Z267" i="90"/>
  <c r="Z377" i="90" s="1"/>
  <c r="Z268" i="90"/>
  <c r="AD210" i="90"/>
  <c r="AD211" i="90" s="1"/>
  <c r="AD136" i="90"/>
  <c r="AC20" i="92"/>
  <c r="AD18" i="92"/>
  <c r="AB417" i="92"/>
  <c r="Z293" i="90"/>
  <c r="Z368" i="90"/>
  <c r="AD191" i="90"/>
  <c r="AD189" i="90"/>
  <c r="AD190" i="90"/>
  <c r="W506" i="88"/>
  <c r="X506" i="88"/>
  <c r="V506" i="88"/>
  <c r="Y506" i="88"/>
  <c r="U506" i="88"/>
  <c r="U522" i="88" s="1"/>
  <c r="U485" i="88" s="1"/>
  <c r="U237" i="88" s="1"/>
  <c r="U318" i="88" s="1"/>
  <c r="W129" i="92"/>
  <c r="W157" i="92"/>
  <c r="Z602" i="90"/>
  <c r="Z607" i="90" s="1"/>
  <c r="Z483" i="90" s="1"/>
  <c r="Z570" i="90"/>
  <c r="Z581" i="90" s="1"/>
  <c r="Z583" i="90" s="1"/>
  <c r="Z584" i="90" s="1"/>
  <c r="Z590" i="90" s="1"/>
  <c r="Z462" i="90" s="1"/>
  <c r="Z571" i="90"/>
  <c r="Z594" i="90" s="1"/>
  <c r="Z569" i="90"/>
  <c r="Z592" i="90" s="1"/>
  <c r="U454" i="88"/>
  <c r="T457" i="88"/>
  <c r="T458" i="88" s="1"/>
  <c r="T459" i="88" s="1"/>
  <c r="L396" i="80"/>
  <c r="M562" i="80"/>
  <c r="AF24" i="90"/>
  <c r="AF26" i="90" s="1"/>
  <c r="AF414" i="90" s="1"/>
  <c r="AF303" i="90"/>
  <c r="AF319" i="90"/>
  <c r="AF359" i="90"/>
  <c r="AF399" i="90" s="1"/>
  <c r="AE322" i="90"/>
  <c r="AE337" i="90"/>
  <c r="AE347" i="90"/>
  <c r="AE332" i="90"/>
  <c r="AE327" i="90"/>
  <c r="AE352" i="90"/>
  <c r="AE342" i="90"/>
  <c r="X356" i="90"/>
  <c r="X288" i="90" s="1"/>
  <c r="X289" i="90" s="1"/>
  <c r="AA452" i="92"/>
  <c r="AA466" i="92" s="1"/>
  <c r="V74" i="88"/>
  <c r="W68" i="88"/>
  <c r="V72" i="88"/>
  <c r="Z187" i="88"/>
  <c r="AA186" i="88"/>
  <c r="Y95" i="92"/>
  <c r="Y96" i="92" s="1"/>
  <c r="Y118" i="92"/>
  <c r="Y117" i="92" s="1"/>
  <c r="AI64" i="90"/>
  <c r="V261" i="88"/>
  <c r="U262" i="88"/>
  <c r="AA79" i="92"/>
  <c r="AA381" i="92"/>
  <c r="AB7" i="92"/>
  <c r="AA231" i="92"/>
  <c r="AA108" i="92"/>
  <c r="AA151" i="92"/>
  <c r="AA330" i="92"/>
  <c r="AA181" i="92"/>
  <c r="AA281" i="92"/>
  <c r="AA447" i="92"/>
  <c r="AA56" i="92"/>
  <c r="AA404" i="92"/>
  <c r="AA45" i="92"/>
  <c r="V328" i="88"/>
  <c r="V332" i="88" s="1"/>
  <c r="J507" i="88"/>
  <c r="V484" i="88"/>
  <c r="V472" i="88"/>
  <c r="U473" i="88"/>
  <c r="AA470" i="90"/>
  <c r="AB797" i="90"/>
  <c r="W772" i="90"/>
  <c r="X778" i="90"/>
  <c r="AE306" i="90"/>
  <c r="AE294" i="90" s="1"/>
  <c r="S126" i="57"/>
  <c r="S242" i="56"/>
  <c r="T126" i="57" s="1"/>
  <c r="Y350" i="64"/>
  <c r="Y351" i="64" s="1"/>
  <c r="Y229" i="64"/>
  <c r="Y194" i="64"/>
  <c r="Y323" i="64"/>
  <c r="Y162" i="64"/>
  <c r="V200" i="64"/>
  <c r="V275" i="64"/>
  <c r="T349" i="56"/>
  <c r="T275" i="56"/>
  <c r="R246" i="56"/>
  <c r="S246" i="56" s="1"/>
  <c r="X335" i="64"/>
  <c r="X337" i="64"/>
  <c r="X352" i="64"/>
  <c r="U340" i="64"/>
  <c r="U341" i="64" s="1"/>
  <c r="U277" i="64" s="1"/>
  <c r="X168" i="64"/>
  <c r="X195" i="64"/>
  <c r="Y242" i="56"/>
  <c r="Y270" i="56"/>
  <c r="Q476" i="92"/>
  <c r="S456" i="92"/>
  <c r="T456" i="92" s="1"/>
  <c r="T239" i="92"/>
  <c r="W228" i="64"/>
  <c r="W336" i="64"/>
  <c r="W205" i="64"/>
  <c r="W199" i="64"/>
  <c r="W127" i="57"/>
  <c r="W172" i="64"/>
  <c r="W338" i="64"/>
  <c r="W243" i="64"/>
  <c r="W242" i="64" s="1"/>
  <c r="W354" i="64"/>
  <c r="W355" i="64" s="1"/>
  <c r="W356" i="64" s="1"/>
  <c r="W278" i="64" s="1"/>
  <c r="W245" i="64"/>
  <c r="W275" i="56"/>
  <c r="W349" i="56"/>
  <c r="W281" i="56"/>
  <c r="Z194" i="64"/>
  <c r="Z323" i="64"/>
  <c r="Z162" i="64"/>
  <c r="J52" i="89"/>
  <c r="J53" i="89" s="1"/>
  <c r="K52" i="89" s="1"/>
  <c r="M52" i="89"/>
  <c r="M53" i="89" s="1"/>
  <c r="Z350" i="64"/>
  <c r="Z229" i="64"/>
  <c r="U246" i="64"/>
  <c r="T168" i="64"/>
  <c r="T127" i="57" s="1"/>
  <c r="S127" i="57"/>
  <c r="M283" i="88"/>
  <c r="V28" i="88"/>
  <c r="U29" i="88"/>
  <c r="V232" i="88"/>
  <c r="W160" i="88"/>
  <c r="V175" i="88"/>
  <c r="W173" i="88"/>
  <c r="S227" i="88"/>
  <c r="S445" i="88"/>
  <c r="S271" i="88" s="1"/>
  <c r="S202" i="88"/>
  <c r="S158" i="88"/>
  <c r="S446" i="88"/>
  <c r="S270" i="88" s="1"/>
  <c r="U208" i="88"/>
  <c r="U210" i="88"/>
  <c r="U201" i="88"/>
  <c r="U211" i="88"/>
  <c r="U207" i="88"/>
  <c r="U16" i="88"/>
  <c r="U198" i="88"/>
  <c r="L384" i="47"/>
  <c r="L386" i="47" s="1"/>
  <c r="L389" i="47" s="1"/>
  <c r="X451" i="56"/>
  <c r="X456" i="56" s="1"/>
  <c r="W308" i="56"/>
  <c r="V491" i="47"/>
  <c r="V492" i="47" s="1"/>
  <c r="V311" i="47"/>
  <c r="W460" i="47"/>
  <c r="W465" i="47" s="1"/>
  <c r="M526" i="47"/>
  <c r="M550" i="47"/>
  <c r="M564" i="47" s="1"/>
  <c r="M565" i="47" s="1"/>
  <c r="M569" i="47" s="1"/>
  <c r="L327" i="47"/>
  <c r="AA424" i="92" l="1"/>
  <c r="AA426" i="92" s="1"/>
  <c r="AA259" i="92" s="1"/>
  <c r="Z420" i="92"/>
  <c r="Z210" i="92" s="1"/>
  <c r="AA418" i="92"/>
  <c r="AA420" i="92" s="1"/>
  <c r="AA210" i="92" s="1"/>
  <c r="AE250" i="92"/>
  <c r="AD252" i="92"/>
  <c r="X15" i="72"/>
  <c r="Y537" i="56"/>
  <c r="Y539" i="56" s="1"/>
  <c r="Y372" i="56" s="1"/>
  <c r="Z95" i="57" s="1"/>
  <c r="AA95" i="57" s="1"/>
  <c r="U372" i="64"/>
  <c r="R372" i="64"/>
  <c r="Q233" i="64"/>
  <c r="Q408" i="64"/>
  <c r="Q409" i="64" s="1"/>
  <c r="R170" i="64"/>
  <c r="R276" i="64"/>
  <c r="R374" i="64"/>
  <c r="X63" i="64"/>
  <c r="X111" i="64" s="1"/>
  <c r="Y7" i="64"/>
  <c r="X148" i="64"/>
  <c r="X189" i="64" s="1"/>
  <c r="X219" i="64" s="1"/>
  <c r="X270" i="64" s="1"/>
  <c r="X318" i="64" s="1"/>
  <c r="X364" i="64" s="1"/>
  <c r="X418" i="64" s="1"/>
  <c r="X467" i="64" s="1"/>
  <c r="X510" i="64" s="1"/>
  <c r="U276" i="64"/>
  <c r="U170" i="64"/>
  <c r="U374" i="64"/>
  <c r="X434" i="56"/>
  <c r="X419" i="56"/>
  <c r="X420" i="56" s="1"/>
  <c r="X351" i="56" s="1"/>
  <c r="S562" i="80"/>
  <c r="S570" i="80" s="1"/>
  <c r="S396" i="80" s="1"/>
  <c r="S398" i="80" s="1"/>
  <c r="Z351" i="64"/>
  <c r="Q421" i="47"/>
  <c r="P363" i="47"/>
  <c r="R593" i="90"/>
  <c r="R597" i="90" s="1"/>
  <c r="R598" i="90" s="1"/>
  <c r="X705" i="90"/>
  <c r="X698" i="90"/>
  <c r="R618" i="80"/>
  <c r="K53" i="89"/>
  <c r="L54" i="89"/>
  <c r="K54" i="89"/>
  <c r="K61" i="89"/>
  <c r="K68" i="89" s="1"/>
  <c r="K75" i="89" s="1"/>
  <c r="K94" i="89" s="1"/>
  <c r="M61" i="89"/>
  <c r="M68" i="89" s="1"/>
  <c r="M75" i="89" s="1"/>
  <c r="M94" i="89" s="1"/>
  <c r="L61" i="89"/>
  <c r="L68" i="89" s="1"/>
  <c r="L75" i="89" s="1"/>
  <c r="L94" i="89" s="1"/>
  <c r="L53" i="89"/>
  <c r="R459" i="90"/>
  <c r="V461" i="90"/>
  <c r="AC188" i="90"/>
  <c r="AC248" i="90" s="1"/>
  <c r="Y787" i="90"/>
  <c r="AB209" i="90"/>
  <c r="AB252" i="90" s="1"/>
  <c r="R290" i="90"/>
  <c r="R420" i="90"/>
  <c r="R308" i="90"/>
  <c r="R422" i="90"/>
  <c r="R261" i="90" s="1"/>
  <c r="R262" i="90" s="1"/>
  <c r="R367" i="90"/>
  <c r="R371" i="90" s="1"/>
  <c r="R399" i="90" s="1"/>
  <c r="R401" i="90" s="1"/>
  <c r="R376" i="90"/>
  <c r="AC558" i="90"/>
  <c r="AD512" i="90"/>
  <c r="R487" i="90"/>
  <c r="R494" i="90" s="1"/>
  <c r="R481" i="90"/>
  <c r="P71" i="57"/>
  <c r="P72" i="57" s="1"/>
  <c r="X218" i="47"/>
  <c r="S215" i="47"/>
  <c r="S249" i="47" s="1"/>
  <c r="T189" i="57" s="1"/>
  <c r="S270" i="47"/>
  <c r="T266" i="47"/>
  <c r="T435" i="47"/>
  <c r="T434" i="47"/>
  <c r="X232" i="47"/>
  <c r="Y258" i="47"/>
  <c r="Y139" i="47"/>
  <c r="Y211" i="47" s="1"/>
  <c r="Q405" i="47"/>
  <c r="R18" i="57"/>
  <c r="R17" i="57" s="1"/>
  <c r="R23" i="57" s="1"/>
  <c r="Q422" i="47"/>
  <c r="Y243" i="47"/>
  <c r="Y13" i="47"/>
  <c r="Y15" i="47"/>
  <c r="Y216" i="47" s="1"/>
  <c r="Q266" i="47"/>
  <c r="V418" i="47"/>
  <c r="V305" i="47" s="1"/>
  <c r="V416" i="47"/>
  <c r="V262" i="47"/>
  <c r="X153" i="47"/>
  <c r="X220" i="47" s="1"/>
  <c r="Y152" i="47"/>
  <c r="Y153" i="47" s="1"/>
  <c r="V7" i="57"/>
  <c r="V6" i="57" s="1"/>
  <c r="V135" i="57" s="1"/>
  <c r="U508" i="47"/>
  <c r="U532" i="47" s="1"/>
  <c r="U404" i="47"/>
  <c r="R305" i="47"/>
  <c r="S418" i="47"/>
  <c r="S305" i="47" s="1"/>
  <c r="X230" i="47"/>
  <c r="X246" i="47"/>
  <c r="X239" i="47"/>
  <c r="X16" i="47"/>
  <c r="X250" i="47"/>
  <c r="X244" i="47"/>
  <c r="X233" i="47"/>
  <c r="X237" i="47"/>
  <c r="X231" i="47"/>
  <c r="X238" i="47"/>
  <c r="X245" i="47"/>
  <c r="X240" i="47"/>
  <c r="X234" i="47"/>
  <c r="X247" i="47"/>
  <c r="X229" i="47"/>
  <c r="Q303" i="47"/>
  <c r="Q248" i="47"/>
  <c r="Q253" i="47" s="1"/>
  <c r="W182" i="47"/>
  <c r="V183" i="47"/>
  <c r="X269" i="47"/>
  <c r="Y24" i="57" s="1"/>
  <c r="U304" i="47"/>
  <c r="U303" i="47" s="1"/>
  <c r="W159" i="47"/>
  <c r="W225" i="47" s="1"/>
  <c r="W19" i="47"/>
  <c r="W20" i="47" s="1"/>
  <c r="W11" i="47" s="1"/>
  <c r="W161" i="47"/>
  <c r="W226" i="47" s="1"/>
  <c r="W157" i="47"/>
  <c r="W224" i="47" s="1"/>
  <c r="Y151" i="47"/>
  <c r="Y149" i="47"/>
  <c r="W242" i="47"/>
  <c r="U200" i="47"/>
  <c r="U419" i="47"/>
  <c r="U307" i="47" s="1"/>
  <c r="U223" i="47"/>
  <c r="U185" i="47"/>
  <c r="U227" i="47" s="1"/>
  <c r="R304" i="47"/>
  <c r="S416" i="47"/>
  <c r="R419" i="47"/>
  <c r="Q307" i="47"/>
  <c r="U235" i="47"/>
  <c r="U228" i="47" s="1"/>
  <c r="U264" i="47" s="1"/>
  <c r="U266" i="47" s="1"/>
  <c r="U420" i="47"/>
  <c r="U306" i="47" s="1"/>
  <c r="Q434" i="47"/>
  <c r="Q435" i="47"/>
  <c r="Y466" i="47"/>
  <c r="Y468" i="47" s="1"/>
  <c r="Y312" i="47" s="1"/>
  <c r="X312" i="47"/>
  <c r="Q306" i="47"/>
  <c r="R420" i="47"/>
  <c r="W236" i="47"/>
  <c r="W268" i="47" s="1"/>
  <c r="V155" i="47"/>
  <c r="W154" i="47"/>
  <c r="Q202" i="47"/>
  <c r="Q201" i="47"/>
  <c r="Q186" i="47"/>
  <c r="Q222" i="47" s="1"/>
  <c r="P430" i="88"/>
  <c r="P460" i="88" s="1"/>
  <c r="P283" i="88" s="1"/>
  <c r="Q206" i="88"/>
  <c r="P444" i="88"/>
  <c r="P269" i="88" s="1"/>
  <c r="P442" i="88"/>
  <c r="P268" i="88" s="1"/>
  <c r="P539" i="88"/>
  <c r="P563" i="88" s="1"/>
  <c r="P241" i="88"/>
  <c r="P322" i="88" s="1"/>
  <c r="P202" i="88"/>
  <c r="P196" i="88" s="1"/>
  <c r="P227" i="88"/>
  <c r="P230" i="88" s="1"/>
  <c r="P445" i="88"/>
  <c r="P271" i="88" s="1"/>
  <c r="P446" i="88"/>
  <c r="P270" i="88" s="1"/>
  <c r="P190" i="88"/>
  <c r="N447" i="88"/>
  <c r="N539" i="88"/>
  <c r="N563" i="88" s="1"/>
  <c r="N430" i="88"/>
  <c r="N460" i="88" s="1"/>
  <c r="Q200" i="88"/>
  <c r="P233" i="88"/>
  <c r="Q211" i="88"/>
  <c r="Q198" i="88"/>
  <c r="Q199" i="88"/>
  <c r="N212" i="88"/>
  <c r="N213" i="88" s="1"/>
  <c r="Q16" i="88"/>
  <c r="Q19" i="88" s="1"/>
  <c r="Q20" i="88" s="1"/>
  <c r="Q11" i="88" s="1"/>
  <c r="Q442" i="88" s="1"/>
  <c r="Q210" i="88"/>
  <c r="Q207" i="88"/>
  <c r="Q208" i="88"/>
  <c r="N230" i="88"/>
  <c r="N235" i="88" s="1"/>
  <c r="N239" i="88" s="1"/>
  <c r="N317" i="88" s="1"/>
  <c r="N241" i="88"/>
  <c r="N322" i="88" s="1"/>
  <c r="N448" i="88"/>
  <c r="N449" i="88" s="1"/>
  <c r="O228" i="88"/>
  <c r="O233" i="88"/>
  <c r="T197" i="88"/>
  <c r="O430" i="88"/>
  <c r="O460" i="88" s="1"/>
  <c r="O444" i="88"/>
  <c r="O269" i="88" s="1"/>
  <c r="O442" i="88"/>
  <c r="O268" i="88" s="1"/>
  <c r="S233" i="88"/>
  <c r="S448" i="88" s="1"/>
  <c r="O446" i="88"/>
  <c r="O270" i="88" s="1"/>
  <c r="O158" i="88"/>
  <c r="O195" i="88" s="1"/>
  <c r="O190" i="88" s="1"/>
  <c r="O203" i="88"/>
  <c r="T204" i="88"/>
  <c r="S192" i="88"/>
  <c r="T15" i="88"/>
  <c r="T211" i="88" s="1"/>
  <c r="O202" i="88"/>
  <c r="O196" i="88" s="1"/>
  <c r="R198" i="88"/>
  <c r="O227" i="88"/>
  <c r="O431" i="88" s="1"/>
  <c r="V13" i="88"/>
  <c r="V209" i="88" s="1"/>
  <c r="R199" i="88"/>
  <c r="S225" i="88"/>
  <c r="S539" i="88" s="1"/>
  <c r="S563" i="88" s="1"/>
  <c r="S442" i="88"/>
  <c r="S447" i="88" s="1"/>
  <c r="R208" i="88"/>
  <c r="R211" i="88"/>
  <c r="R200" i="88"/>
  <c r="R207" i="88"/>
  <c r="R206" i="88"/>
  <c r="R16" i="88"/>
  <c r="R140" i="88" s="1"/>
  <c r="R193" i="88" s="1"/>
  <c r="R201" i="88"/>
  <c r="M449" i="88"/>
  <c r="M451" i="88" s="1"/>
  <c r="M452" i="88" s="1"/>
  <c r="M319" i="88" s="1"/>
  <c r="M462" i="88"/>
  <c r="M463" i="88" s="1"/>
  <c r="M464" i="88" s="1"/>
  <c r="M320" i="88" s="1"/>
  <c r="M280" i="88"/>
  <c r="M284" i="88" s="1"/>
  <c r="M290" i="88" s="1"/>
  <c r="K462" i="88"/>
  <c r="K463" i="88" s="1"/>
  <c r="K464" i="88" s="1"/>
  <c r="K320" i="88" s="1"/>
  <c r="K321" i="88" s="1"/>
  <c r="K284" i="88"/>
  <c r="K290" i="88" s="1"/>
  <c r="K298" i="88" s="1"/>
  <c r="Y322" i="92"/>
  <c r="Y239" i="92" s="1"/>
  <c r="Z316" i="92"/>
  <c r="Z317" i="92" s="1"/>
  <c r="V279" i="64"/>
  <c r="L452" i="88"/>
  <c r="L319" i="88" s="1"/>
  <c r="L248" i="88"/>
  <c r="L294" i="88" s="1"/>
  <c r="M292" i="88" s="1"/>
  <c r="W119" i="88"/>
  <c r="X117" i="88" s="1"/>
  <c r="X118" i="88" s="1"/>
  <c r="X119" i="88" s="1"/>
  <c r="Y117" i="88" s="1"/>
  <c r="Y118" i="88" s="1"/>
  <c r="AF417" i="90"/>
  <c r="AF242" i="90"/>
  <c r="AF244" i="90" s="1"/>
  <c r="U316" i="90"/>
  <c r="T317" i="90"/>
  <c r="Y51" i="72"/>
  <c r="Y16" i="72"/>
  <c r="U606" i="90"/>
  <c r="T608" i="90"/>
  <c r="T484" i="90"/>
  <c r="U484" i="90" s="1"/>
  <c r="Z206" i="92"/>
  <c r="Z207" i="92" s="1"/>
  <c r="Z320" i="92"/>
  <c r="Z321" i="92" s="1"/>
  <c r="W532" i="56"/>
  <c r="W567" i="56" s="1"/>
  <c r="W581" i="56" s="1"/>
  <c r="V533" i="56"/>
  <c r="V323" i="56" s="1"/>
  <c r="AF14" i="92"/>
  <c r="AE13" i="92"/>
  <c r="Y531" i="56"/>
  <c r="Z517" i="64"/>
  <c r="Z531" i="64" s="1"/>
  <c r="U581" i="90"/>
  <c r="T583" i="90"/>
  <c r="Z66" i="88"/>
  <c r="Y71" i="88"/>
  <c r="Y90" i="88" s="1"/>
  <c r="Y95" i="88" s="1"/>
  <c r="Y114" i="88" s="1"/>
  <c r="Y115" i="88" s="1"/>
  <c r="Z112" i="88" s="1"/>
  <c r="U607" i="90"/>
  <c r="T483" i="90"/>
  <c r="U483" i="90" s="1"/>
  <c r="Y480" i="64"/>
  <c r="X483" i="64"/>
  <c r="X249" i="64" s="1"/>
  <c r="AA315" i="92"/>
  <c r="AA197" i="92" s="1"/>
  <c r="AA299" i="92"/>
  <c r="AA319" i="92"/>
  <c r="AA205" i="92" s="1"/>
  <c r="AA203" i="92" s="1"/>
  <c r="AA314" i="92"/>
  <c r="AA300" i="92"/>
  <c r="AA189" i="92" s="1"/>
  <c r="AA318" i="92"/>
  <c r="T595" i="90"/>
  <c r="U595" i="90" s="1"/>
  <c r="T482" i="90"/>
  <c r="U594" i="90"/>
  <c r="H18" i="95"/>
  <c r="I18" i="95" s="1"/>
  <c r="E18" i="95"/>
  <c r="R451" i="80"/>
  <c r="S450" i="80" s="1"/>
  <c r="L180" i="64"/>
  <c r="L282" i="64"/>
  <c r="L283" i="64" s="1"/>
  <c r="L292" i="64" s="1"/>
  <c r="Z302" i="92"/>
  <c r="Z188" i="92"/>
  <c r="Z187" i="92" s="1"/>
  <c r="AB727" i="90"/>
  <c r="AA471" i="90"/>
  <c r="AA783" i="90"/>
  <c r="AB762" i="90" s="1"/>
  <c r="AB776" i="90" s="1"/>
  <c r="T461" i="90"/>
  <c r="U461" i="90" s="1"/>
  <c r="U592" i="90"/>
  <c r="V426" i="64"/>
  <c r="V301" i="64"/>
  <c r="V105" i="57" s="1"/>
  <c r="AA105" i="57" s="1"/>
  <c r="AB115" i="92"/>
  <c r="AB285" i="92"/>
  <c r="AB413" i="92"/>
  <c r="AB437" i="92" s="1"/>
  <c r="AB166" i="92"/>
  <c r="AD11" i="92"/>
  <c r="AD100" i="92"/>
  <c r="AD127" i="92" s="1"/>
  <c r="S196" i="88"/>
  <c r="T460" i="90"/>
  <c r="T366" i="90"/>
  <c r="U366" i="90" s="1"/>
  <c r="U589" i="90"/>
  <c r="AB159" i="92"/>
  <c r="AG52" i="90"/>
  <c r="AG240" i="90" s="1"/>
  <c r="AG242" i="90" s="1"/>
  <c r="AH53" i="90"/>
  <c r="W456" i="64"/>
  <c r="X451" i="64"/>
  <c r="X454" i="64" s="1"/>
  <c r="W439" i="64"/>
  <c r="W441" i="64" s="1"/>
  <c r="W443" i="64" s="1"/>
  <c r="AC101" i="92"/>
  <c r="AC128" i="92" s="1"/>
  <c r="AC123" i="92" s="1"/>
  <c r="AC334" i="92"/>
  <c r="AC112" i="92"/>
  <c r="T405" i="47"/>
  <c r="T422" i="47"/>
  <c r="T423" i="47" s="1"/>
  <c r="T425" i="47" s="1"/>
  <c r="U18" i="57"/>
  <c r="R215" i="47"/>
  <c r="R249" i="47" s="1"/>
  <c r="R270" i="47"/>
  <c r="V356" i="90"/>
  <c r="V288" i="90" s="1"/>
  <c r="V289" i="90" s="1"/>
  <c r="X782" i="90"/>
  <c r="Y761" i="90" s="1"/>
  <c r="Y775" i="90" s="1"/>
  <c r="Q439" i="90"/>
  <c r="Q440" i="90" s="1"/>
  <c r="Q499" i="90" s="1"/>
  <c r="R498" i="90" s="1"/>
  <c r="AI70" i="90"/>
  <c r="AD819" i="90"/>
  <c r="AD854" i="90" s="1"/>
  <c r="AD868" i="90" s="1"/>
  <c r="M322" i="80"/>
  <c r="M326" i="80" s="1"/>
  <c r="M563" i="80"/>
  <c r="M341" i="80"/>
  <c r="M349" i="80"/>
  <c r="M579" i="80"/>
  <c r="M581" i="80" s="1"/>
  <c r="M583" i="80" s="1"/>
  <c r="Y358" i="88"/>
  <c r="Z357" i="88"/>
  <c r="X153" i="88"/>
  <c r="W154" i="88"/>
  <c r="V574" i="88"/>
  <c r="W573" i="88"/>
  <c r="Y566" i="56"/>
  <c r="Y580" i="56" s="1"/>
  <c r="AC23" i="90"/>
  <c r="V460" i="90"/>
  <c r="V593" i="90"/>
  <c r="V597" i="90" s="1"/>
  <c r="V366" i="90"/>
  <c r="W366" i="90"/>
  <c r="W371" i="90" s="1"/>
  <c r="V87" i="88"/>
  <c r="W86" i="88"/>
  <c r="Y235" i="64"/>
  <c r="Z378" i="64"/>
  <c r="Z381" i="64" s="1"/>
  <c r="Z235" i="64" s="1"/>
  <c r="M436" i="80"/>
  <c r="M612" i="80"/>
  <c r="M618" i="80" s="1"/>
  <c r="M634" i="80" s="1"/>
  <c r="M641" i="80" s="1"/>
  <c r="M644" i="80" s="1"/>
  <c r="N664" i="80" s="1"/>
  <c r="N686" i="80" s="1"/>
  <c r="N688" i="80" s="1"/>
  <c r="N313" i="80" s="1"/>
  <c r="R367" i="80"/>
  <c r="R374" i="80" s="1"/>
  <c r="R381" i="80" s="1"/>
  <c r="R400" i="80" s="1"/>
  <c r="R405" i="80" s="1"/>
  <c r="AA706" i="90"/>
  <c r="AB691" i="90"/>
  <c r="AB701" i="90" s="1"/>
  <c r="AB666" i="90"/>
  <c r="Z595" i="90"/>
  <c r="Z482" i="90"/>
  <c r="W472" i="88"/>
  <c r="V473" i="88"/>
  <c r="AC417" i="92"/>
  <c r="AC452" i="92" s="1"/>
  <c r="AC466" i="92" s="1"/>
  <c r="AB725" i="90"/>
  <c r="X234" i="64"/>
  <c r="Y383" i="64"/>
  <c r="Y387" i="64" s="1"/>
  <c r="V608" i="90"/>
  <c r="V484" i="90"/>
  <c r="V481" i="90" s="1"/>
  <c r="Z195" i="92"/>
  <c r="AA338" i="92"/>
  <c r="AA343" i="92" s="1"/>
  <c r="AE197" i="90"/>
  <c r="AE198" i="90" s="1"/>
  <c r="AE199" i="90"/>
  <c r="AE200" i="90" s="1"/>
  <c r="AE201" i="90"/>
  <c r="AB239" i="90"/>
  <c r="AB259" i="90"/>
  <c r="AG795" i="90"/>
  <c r="V152" i="88"/>
  <c r="W151" i="88"/>
  <c r="AI76" i="90"/>
  <c r="AC67" i="88"/>
  <c r="AB73" i="88"/>
  <c r="AD84" i="92"/>
  <c r="AE52" i="92"/>
  <c r="AC639" i="90"/>
  <c r="AE147" i="90"/>
  <c r="AE194" i="90"/>
  <c r="AE193" i="90" s="1"/>
  <c r="AE249" i="90" s="1"/>
  <c r="AM67" i="90"/>
  <c r="J330" i="56"/>
  <c r="J334" i="56"/>
  <c r="J335" i="56" s="1"/>
  <c r="X72" i="72"/>
  <c r="X18" i="72"/>
  <c r="Y11" i="57" s="1"/>
  <c r="V427" i="88"/>
  <c r="W426" i="88"/>
  <c r="AD188" i="90"/>
  <c r="AC209" i="90"/>
  <c r="AC252" i="90" s="1"/>
  <c r="AB56" i="92"/>
  <c r="AB79" i="92"/>
  <c r="AB381" i="92"/>
  <c r="AB404" i="92"/>
  <c r="AC7" i="92"/>
  <c r="AB231" i="92"/>
  <c r="AB108" i="92"/>
  <c r="AB151" i="92"/>
  <c r="AB181" i="92"/>
  <c r="AB281" i="92"/>
  <c r="AB330" i="92"/>
  <c r="AB447" i="92"/>
  <c r="AB45" i="92"/>
  <c r="Z14" i="57"/>
  <c r="AA14" i="57" s="1"/>
  <c r="Z418" i="90"/>
  <c r="Z560" i="90"/>
  <c r="Z814" i="90"/>
  <c r="Z838" i="90" s="1"/>
  <c r="N346" i="79"/>
  <c r="O346" i="79"/>
  <c r="N415" i="79"/>
  <c r="N419" i="79" s="1"/>
  <c r="N423" i="79" s="1"/>
  <c r="N432" i="79" s="1"/>
  <c r="N338" i="79"/>
  <c r="N313" i="79"/>
  <c r="N319" i="79" s="1"/>
  <c r="AD723" i="90"/>
  <c r="V150" i="88"/>
  <c r="W149" i="88"/>
  <c r="AJ54" i="90"/>
  <c r="AC239" i="90"/>
  <c r="AC259" i="90"/>
  <c r="AE12" i="90"/>
  <c r="AE16" i="90" s="1"/>
  <c r="AE256" i="90"/>
  <c r="AE172" i="90"/>
  <c r="AE134" i="90"/>
  <c r="AE257" i="90"/>
  <c r="AE255" i="90"/>
  <c r="AE254" i="90"/>
  <c r="V422" i="56"/>
  <c r="U428" i="56"/>
  <c r="Q446" i="79"/>
  <c r="Q449" i="79" s="1"/>
  <c r="Q432" i="79"/>
  <c r="AB452" i="92"/>
  <c r="AB466" i="92" s="1"/>
  <c r="R756" i="90"/>
  <c r="R785" i="90" s="1"/>
  <c r="R774" i="90"/>
  <c r="Y460" i="90"/>
  <c r="Y366" i="90"/>
  <c r="X157" i="92"/>
  <c r="X129" i="92"/>
  <c r="W96" i="88"/>
  <c r="V99" i="88"/>
  <c r="T310" i="56"/>
  <c r="T429" i="56"/>
  <c r="T430" i="56" s="1"/>
  <c r="T435" i="56" s="1"/>
  <c r="T352" i="56" s="1"/>
  <c r="T353" i="56" s="1"/>
  <c r="Q319" i="79"/>
  <c r="Q561" i="79" s="1"/>
  <c r="Q568" i="79" s="1"/>
  <c r="Q317" i="79"/>
  <c r="Q544" i="90"/>
  <c r="P839" i="90"/>
  <c r="Q857" i="90" s="1"/>
  <c r="Z95" i="92"/>
  <c r="Z96" i="92" s="1"/>
  <c r="Z118" i="92"/>
  <c r="Z117" i="92" s="1"/>
  <c r="AB23" i="90"/>
  <c r="AC821" i="90"/>
  <c r="AC492" i="90" s="1"/>
  <c r="AB188" i="90"/>
  <c r="AD23" i="90"/>
  <c r="AC797" i="90"/>
  <c r="AB470" i="90"/>
  <c r="V717" i="90"/>
  <c r="AK69" i="90"/>
  <c r="Y608" i="90"/>
  <c r="Y609" i="90" s="1"/>
  <c r="Y610" i="90" s="1"/>
  <c r="Y518" i="90" s="1"/>
  <c r="Y484" i="90"/>
  <c r="Y481" i="90" s="1"/>
  <c r="Y42" i="88"/>
  <c r="X176" i="88"/>
  <c r="Q310" i="56"/>
  <c r="Q429" i="56"/>
  <c r="Q430" i="56" s="1"/>
  <c r="Q435" i="56" s="1"/>
  <c r="Q352" i="56" s="1"/>
  <c r="P810" i="90"/>
  <c r="P815" i="90" s="1"/>
  <c r="P829" i="90" s="1"/>
  <c r="P836" i="90" s="1"/>
  <c r="P534" i="90"/>
  <c r="AL55" i="90"/>
  <c r="AA675" i="90"/>
  <c r="Z673" i="90"/>
  <c r="Z786" i="90" s="1"/>
  <c r="Z473" i="90" s="1"/>
  <c r="U198" i="57"/>
  <c r="V198" i="57" s="1"/>
  <c r="U132" i="57"/>
  <c r="AF352" i="90"/>
  <c r="AF332" i="90"/>
  <c r="AF322" i="90"/>
  <c r="AF342" i="90"/>
  <c r="AF337" i="90"/>
  <c r="AF327" i="90"/>
  <c r="AF347" i="90"/>
  <c r="Y156" i="92"/>
  <c r="Y286" i="92"/>
  <c r="Z19" i="57"/>
  <c r="Z132" i="57" s="1"/>
  <c r="Y121" i="92"/>
  <c r="AA63" i="92"/>
  <c r="AA89" i="92" s="1"/>
  <c r="AA87" i="92" s="1"/>
  <c r="AA119" i="92" s="1"/>
  <c r="AA57" i="92"/>
  <c r="AA55" i="92"/>
  <c r="AA85" i="92" s="1"/>
  <c r="AA83" i="92" s="1"/>
  <c r="Z287" i="90"/>
  <c r="Z316" i="90" s="1"/>
  <c r="Z317" i="90" s="1"/>
  <c r="Z315" i="90"/>
  <c r="AA722" i="90"/>
  <c r="Z721" i="90"/>
  <c r="Z469" i="90" s="1"/>
  <c r="T121" i="92"/>
  <c r="T129" i="92" s="1"/>
  <c r="S129" i="92"/>
  <c r="S133" i="92" s="1"/>
  <c r="AE818" i="90"/>
  <c r="AE853" i="90" s="1"/>
  <c r="AE867" i="90" s="1"/>
  <c r="AH57" i="90"/>
  <c r="AI58" i="90"/>
  <c r="S612" i="80"/>
  <c r="S436" i="80"/>
  <c r="AE251" i="90"/>
  <c r="Y356" i="90"/>
  <c r="Y288" i="90" s="1"/>
  <c r="Y289" i="90" s="1"/>
  <c r="AC707" i="90"/>
  <c r="AD692" i="90" s="1"/>
  <c r="AD702" i="90" s="1"/>
  <c r="AD667" i="90"/>
  <c r="AJ64" i="90"/>
  <c r="W74" i="88"/>
  <c r="X68" i="88"/>
  <c r="W72" i="88"/>
  <c r="V454" i="88"/>
  <c r="U457" i="88"/>
  <c r="U458" i="88" s="1"/>
  <c r="U459" i="88" s="1"/>
  <c r="K382" i="56"/>
  <c r="K525" i="56" s="1"/>
  <c r="J299" i="56"/>
  <c r="J306" i="56" s="1"/>
  <c r="J313" i="56" s="1"/>
  <c r="J551" i="56"/>
  <c r="K569" i="56" s="1"/>
  <c r="K589" i="56" s="1"/>
  <c r="K591" i="56" s="1"/>
  <c r="K249" i="56" s="1"/>
  <c r="AA293" i="90"/>
  <c r="AA368" i="90"/>
  <c r="T198" i="57"/>
  <c r="T132" i="57"/>
  <c r="T17" i="57"/>
  <c r="AA266" i="90"/>
  <c r="AA561" i="90"/>
  <c r="AA416" i="90"/>
  <c r="AH424" i="90"/>
  <c r="AH214" i="90"/>
  <c r="P430" i="56"/>
  <c r="P435" i="56" s="1"/>
  <c r="P352" i="56" s="1"/>
  <c r="Q603" i="56"/>
  <c r="AA187" i="88"/>
  <c r="AB186" i="88"/>
  <c r="V262" i="88"/>
  <c r="W261" i="88"/>
  <c r="J521" i="56"/>
  <c r="J527" i="56" s="1"/>
  <c r="J541" i="56" s="1"/>
  <c r="J548" i="56" s="1"/>
  <c r="J369" i="56"/>
  <c r="U146" i="88"/>
  <c r="V144" i="88"/>
  <c r="AA364" i="90"/>
  <c r="AA361" i="90"/>
  <c r="AA400" i="90" s="1"/>
  <c r="AA401" i="90" s="1"/>
  <c r="AA286" i="90"/>
  <c r="AA375" i="90"/>
  <c r="AA412" i="90"/>
  <c r="R543" i="88"/>
  <c r="Q546" i="88"/>
  <c r="Q287" i="88" s="1"/>
  <c r="R578" i="88"/>
  <c r="R592" i="88" s="1"/>
  <c r="AB424" i="92"/>
  <c r="AB426" i="92" s="1"/>
  <c r="AB259" i="92" s="1"/>
  <c r="AB665" i="90"/>
  <c r="AA663" i="90"/>
  <c r="AI216" i="90"/>
  <c r="AJ40" i="90"/>
  <c r="AF304" i="90"/>
  <c r="AF306" i="90" s="1"/>
  <c r="AF294" i="90" s="1"/>
  <c r="AF792" i="90"/>
  <c r="AF794" i="90" s="1"/>
  <c r="AF796" i="90" s="1"/>
  <c r="AF169" i="90"/>
  <c r="AF168" i="90"/>
  <c r="AF171" i="90"/>
  <c r="V76" i="88"/>
  <c r="W507" i="88"/>
  <c r="Z507" i="88"/>
  <c r="V507" i="88"/>
  <c r="V522" i="88" s="1"/>
  <c r="V485" i="88" s="1"/>
  <c r="V237" i="88" s="1"/>
  <c r="V318" i="88" s="1"/>
  <c r="Y507" i="88"/>
  <c r="X507" i="88"/>
  <c r="AC196" i="92"/>
  <c r="AD345" i="92"/>
  <c r="AD348" i="92" s="1"/>
  <c r="Q161" i="92"/>
  <c r="S161" i="92" s="1"/>
  <c r="T161" i="92" s="1"/>
  <c r="Q133" i="92"/>
  <c r="U167" i="92"/>
  <c r="AI72" i="90"/>
  <c r="V131" i="88"/>
  <c r="W130" i="88"/>
  <c r="X164" i="57"/>
  <c r="X128" i="57"/>
  <c r="AD20" i="92"/>
  <c r="AE18" i="92"/>
  <c r="X422" i="90"/>
  <c r="X290" i="90"/>
  <c r="X367" i="90"/>
  <c r="X371" i="90" s="1"/>
  <c r="X376" i="90"/>
  <c r="X308" i="90"/>
  <c r="X309" i="90" s="1"/>
  <c r="W167" i="92"/>
  <c r="W161" i="92"/>
  <c r="W133" i="92"/>
  <c r="W779" i="90"/>
  <c r="S523" i="79"/>
  <c r="S527" i="79" s="1"/>
  <c r="S375" i="79" s="1"/>
  <c r="R375" i="79"/>
  <c r="W593" i="90"/>
  <c r="W597" i="90" s="1"/>
  <c r="X591" i="90"/>
  <c r="W461" i="90"/>
  <c r="W459" i="90" s="1"/>
  <c r="V100" i="88"/>
  <c r="W97" i="88"/>
  <c r="T580" i="88"/>
  <c r="T594" i="88" s="1"/>
  <c r="T545" i="88"/>
  <c r="X270" i="56"/>
  <c r="X242" i="56"/>
  <c r="Z472" i="90"/>
  <c r="AI77" i="90"/>
  <c r="AH236" i="90"/>
  <c r="Z771" i="90"/>
  <c r="Z778" i="90" s="1"/>
  <c r="AD664" i="90"/>
  <c r="AG155" i="90"/>
  <c r="AF427" i="90"/>
  <c r="AF562" i="90"/>
  <c r="AF576" i="90" s="1"/>
  <c r="AF577" i="90" s="1"/>
  <c r="AG243" i="90"/>
  <c r="AG241" i="90"/>
  <c r="Q275" i="88"/>
  <c r="R483" i="88"/>
  <c r="R488" i="88" s="1"/>
  <c r="Q523" i="88"/>
  <c r="Q524" i="88" s="1"/>
  <c r="AA724" i="90"/>
  <c r="Z780" i="90"/>
  <c r="AA759" i="90"/>
  <c r="AA773" i="90" s="1"/>
  <c r="AG204" i="90"/>
  <c r="AG205" i="90" s="1"/>
  <c r="L398" i="80"/>
  <c r="L400" i="80" s="1"/>
  <c r="L405" i="80" s="1"/>
  <c r="L402" i="80"/>
  <c r="L403" i="80" s="1"/>
  <c r="AG319" i="90"/>
  <c r="AG24" i="90"/>
  <c r="AG26" i="90" s="1"/>
  <c r="AG414" i="90" s="1"/>
  <c r="AG303" i="90"/>
  <c r="AG359" i="90"/>
  <c r="AG399" i="90" s="1"/>
  <c r="V222" i="88"/>
  <c r="W221" i="88"/>
  <c r="AH18" i="90"/>
  <c r="AE124" i="70"/>
  <c r="V162" i="92"/>
  <c r="V236" i="92"/>
  <c r="V240" i="92" s="1"/>
  <c r="V168" i="92"/>
  <c r="U313" i="88"/>
  <c r="V312" i="88"/>
  <c r="Y477" i="88"/>
  <c r="Y479" i="88" s="1"/>
  <c r="Y481" i="88" s="1"/>
  <c r="Z41" i="88"/>
  <c r="Y478" i="88"/>
  <c r="AE347" i="92"/>
  <c r="AD373" i="92"/>
  <c r="AH132" i="90"/>
  <c r="AI125" i="90"/>
  <c r="AH139" i="90"/>
  <c r="AH154" i="90" s="1"/>
  <c r="U544" i="88"/>
  <c r="U579" i="88" s="1"/>
  <c r="U593" i="88" s="1"/>
  <c r="AC674" i="90"/>
  <c r="AD239" i="90"/>
  <c r="AD259" i="90"/>
  <c r="AH820" i="90"/>
  <c r="AH855" i="90" s="1"/>
  <c r="AH869" i="90" s="1"/>
  <c r="AD209" i="90"/>
  <c r="AD252" i="90" s="1"/>
  <c r="AD253" i="90"/>
  <c r="W531" i="88"/>
  <c r="V532" i="88"/>
  <c r="AD726" i="90"/>
  <c r="AD710" i="90"/>
  <c r="W484" i="88"/>
  <c r="J508" i="88"/>
  <c r="W328" i="88"/>
  <c r="W332" i="88" s="1"/>
  <c r="AC131" i="92"/>
  <c r="AC237" i="92"/>
  <c r="X487" i="90"/>
  <c r="X494" i="90" s="1"/>
  <c r="X481" i="90"/>
  <c r="Z689" i="90"/>
  <c r="X479" i="88"/>
  <c r="X481" i="88" s="1"/>
  <c r="AF203" i="90"/>
  <c r="X228" i="64"/>
  <c r="X336" i="64"/>
  <c r="S476" i="92"/>
  <c r="T476" i="92" s="1"/>
  <c r="Q478" i="92"/>
  <c r="X338" i="64"/>
  <c r="X243" i="64"/>
  <c r="X242" i="64" s="1"/>
  <c r="Y337" i="64"/>
  <c r="Y335" i="64"/>
  <c r="Y352" i="64"/>
  <c r="X127" i="57"/>
  <c r="X205" i="64"/>
  <c r="X199" i="64"/>
  <c r="X172" i="64"/>
  <c r="X354" i="64"/>
  <c r="X355" i="64" s="1"/>
  <c r="X356" i="64" s="1"/>
  <c r="X278" i="64" s="1"/>
  <c r="X245" i="64"/>
  <c r="Y168" i="64"/>
  <c r="Y195" i="64"/>
  <c r="W275" i="64"/>
  <c r="W206" i="64"/>
  <c r="W200" i="64"/>
  <c r="Z335" i="64"/>
  <c r="Z337" i="64"/>
  <c r="Z352" i="64"/>
  <c r="Z195" i="64"/>
  <c r="Z168" i="64"/>
  <c r="Y274" i="56"/>
  <c r="Y246" i="56"/>
  <c r="Z126" i="57"/>
  <c r="W340" i="64"/>
  <c r="W341" i="64" s="1"/>
  <c r="W277" i="64" s="1"/>
  <c r="W246" i="64"/>
  <c r="V29" i="88"/>
  <c r="W28" i="88"/>
  <c r="X160" i="88"/>
  <c r="W232" i="88"/>
  <c r="W175" i="88"/>
  <c r="X173" i="88"/>
  <c r="S431" i="88"/>
  <c r="W15" i="88"/>
  <c r="W197" i="88"/>
  <c r="W204" i="88"/>
  <c r="W209" i="88"/>
  <c r="S241" i="88"/>
  <c r="S322" i="88" s="1"/>
  <c r="S195" i="88"/>
  <c r="U140" i="88"/>
  <c r="U193" i="88" s="1"/>
  <c r="U142" i="88"/>
  <c r="U194" i="88" s="1"/>
  <c r="U138" i="88"/>
  <c r="U156" i="88"/>
  <c r="U19" i="88"/>
  <c r="U20" i="88" s="1"/>
  <c r="U11" i="88" s="1"/>
  <c r="L302" i="47"/>
  <c r="L309" i="47" s="1"/>
  <c r="L318" i="47" s="1"/>
  <c r="M388" i="47"/>
  <c r="M506" i="47" s="1"/>
  <c r="L533" i="47"/>
  <c r="M551" i="47" s="1"/>
  <c r="W311" i="47"/>
  <c r="W491" i="47"/>
  <c r="W492" i="47" s="1"/>
  <c r="X460" i="47"/>
  <c r="X465" i="47" s="1"/>
  <c r="Y451" i="56"/>
  <c r="Y456" i="56" s="1"/>
  <c r="Y308" i="56" s="1"/>
  <c r="X308" i="56"/>
  <c r="L331" i="47"/>
  <c r="L339" i="47" s="1"/>
  <c r="L343" i="47"/>
  <c r="L344" i="47" s="1"/>
  <c r="AE252" i="92" l="1"/>
  <c r="AF250" i="92"/>
  <c r="AA453" i="92"/>
  <c r="AA467" i="92" s="1"/>
  <c r="Y420" i="56"/>
  <c r="Y351" i="56" s="1"/>
  <c r="R32" i="57"/>
  <c r="R172" i="64"/>
  <c r="U32" i="57"/>
  <c r="AA32" i="57" s="1"/>
  <c r="S170" i="64"/>
  <c r="U172" i="64"/>
  <c r="R376" i="64"/>
  <c r="Y148" i="64"/>
  <c r="Y189" i="64" s="1"/>
  <c r="Y219" i="64" s="1"/>
  <c r="Y270" i="64" s="1"/>
  <c r="Y318" i="64" s="1"/>
  <c r="Y364" i="64" s="1"/>
  <c r="Y418" i="64" s="1"/>
  <c r="Y467" i="64" s="1"/>
  <c r="Y510" i="64" s="1"/>
  <c r="Y63" i="64"/>
  <c r="Y111" i="64" s="1"/>
  <c r="Z7" i="64"/>
  <c r="U376" i="64"/>
  <c r="Z322" i="92"/>
  <c r="Z239" i="92" s="1"/>
  <c r="R303" i="47"/>
  <c r="X703" i="90"/>
  <c r="Y690" i="90"/>
  <c r="AD821" i="90"/>
  <c r="AD492" i="90" s="1"/>
  <c r="V598" i="90"/>
  <c r="V379" i="90" s="1"/>
  <c r="AH155" i="90"/>
  <c r="AH167" i="90" s="1"/>
  <c r="AH792" i="90" s="1"/>
  <c r="AH794" i="90" s="1"/>
  <c r="V459" i="90"/>
  <c r="AG244" i="90"/>
  <c r="R25" i="57"/>
  <c r="R428" i="90"/>
  <c r="R444" i="90" s="1"/>
  <c r="AD558" i="90"/>
  <c r="AE512" i="90"/>
  <c r="R517" i="90"/>
  <c r="R69" i="57" s="1"/>
  <c r="R379" i="90"/>
  <c r="R380" i="90" s="1"/>
  <c r="R390" i="90" s="1"/>
  <c r="R392" i="90" s="1"/>
  <c r="R393" i="90" s="1"/>
  <c r="AF251" i="90"/>
  <c r="X242" i="47"/>
  <c r="T436" i="47"/>
  <c r="R421" i="47"/>
  <c r="Y219" i="47"/>
  <c r="Y220" i="47"/>
  <c r="Y232" i="47"/>
  <c r="T29" i="57"/>
  <c r="S1" i="47"/>
  <c r="U421" i="47"/>
  <c r="Y218" i="47"/>
  <c r="S271" i="47"/>
  <c r="R435" i="47"/>
  <c r="Q323" i="47"/>
  <c r="X159" i="47"/>
  <c r="X225" i="47" s="1"/>
  <c r="X19" i="47"/>
  <c r="X20" i="47" s="1"/>
  <c r="X11" i="47" s="1"/>
  <c r="X161" i="47"/>
  <c r="X226" i="47" s="1"/>
  <c r="X157" i="47"/>
  <c r="X224" i="47" s="1"/>
  <c r="U434" i="47"/>
  <c r="U435" i="47"/>
  <c r="U323" i="47" s="1"/>
  <c r="R306" i="47"/>
  <c r="S420" i="47"/>
  <c r="S306" i="47" s="1"/>
  <c r="U248" i="47"/>
  <c r="U253" i="47" s="1"/>
  <c r="V235" i="47"/>
  <c r="V228" i="47" s="1"/>
  <c r="V264" i="47" s="1"/>
  <c r="V420" i="47"/>
  <c r="V306" i="47" s="1"/>
  <c r="Y250" i="47"/>
  <c r="Y247" i="47"/>
  <c r="Y238" i="47"/>
  <c r="Y16" i="47"/>
  <c r="Y231" i="47"/>
  <c r="Y246" i="47"/>
  <c r="Y233" i="47"/>
  <c r="Y244" i="47"/>
  <c r="Y239" i="47"/>
  <c r="Y245" i="47"/>
  <c r="Y237" i="47"/>
  <c r="Y240" i="47"/>
  <c r="Y234" i="47"/>
  <c r="Y230" i="47"/>
  <c r="Y229" i="47"/>
  <c r="R434" i="47"/>
  <c r="Q324" i="47"/>
  <c r="Q436" i="47"/>
  <c r="Q437" i="47" s="1"/>
  <c r="Q438" i="47" s="1"/>
  <c r="Q361" i="47" s="1"/>
  <c r="R71" i="57" s="1"/>
  <c r="Q215" i="47"/>
  <c r="Q249" i="47" s="1"/>
  <c r="R189" i="57" s="1"/>
  <c r="Q270" i="47"/>
  <c r="R29" i="57" s="1"/>
  <c r="U405" i="47"/>
  <c r="U422" i="47"/>
  <c r="V18" i="57"/>
  <c r="V17" i="57" s="1"/>
  <c r="V23" i="57" s="1"/>
  <c r="W416" i="47"/>
  <c r="W262" i="47"/>
  <c r="W418" i="47"/>
  <c r="W305" i="47" s="1"/>
  <c r="X182" i="47"/>
  <c r="W183" i="47"/>
  <c r="U201" i="47"/>
  <c r="U202" i="47"/>
  <c r="U186" i="47"/>
  <c r="U222" i="47" s="1"/>
  <c r="Y269" i="47"/>
  <c r="Z24" i="57" s="1"/>
  <c r="AA24" i="57" s="1"/>
  <c r="R307" i="47"/>
  <c r="S419" i="47"/>
  <c r="S307" i="47" s="1"/>
  <c r="X236" i="47"/>
  <c r="X268" i="47" s="1"/>
  <c r="Q423" i="47"/>
  <c r="Q425" i="47" s="1"/>
  <c r="Q426" i="47" s="1"/>
  <c r="Q360" i="47" s="1"/>
  <c r="R422" i="47"/>
  <c r="Q322" i="47"/>
  <c r="W155" i="47"/>
  <c r="X154" i="47"/>
  <c r="V508" i="47"/>
  <c r="V532" i="47" s="1"/>
  <c r="W7" i="57"/>
  <c r="W6" i="57" s="1"/>
  <c r="W135" i="57" s="1"/>
  <c r="V404" i="47"/>
  <c r="V223" i="47"/>
  <c r="V200" i="47"/>
  <c r="V419" i="47"/>
  <c r="V307" i="47" s="1"/>
  <c r="V185" i="47"/>
  <c r="V227" i="47" s="1"/>
  <c r="S304" i="47"/>
  <c r="S303" i="47" s="1"/>
  <c r="V304" i="47"/>
  <c r="V303" i="47" s="1"/>
  <c r="AC159" i="92"/>
  <c r="P461" i="88"/>
  <c r="P282" i="88" s="1"/>
  <c r="P212" i="88"/>
  <c r="P213" i="88" s="1"/>
  <c r="P267" i="88"/>
  <c r="P431" i="88"/>
  <c r="Q140" i="88"/>
  <c r="Q193" i="88" s="1"/>
  <c r="P235" i="88"/>
  <c r="P239" i="88" s="1"/>
  <c r="P317" i="88" s="1"/>
  <c r="N461" i="88"/>
  <c r="N282" i="88" s="1"/>
  <c r="Q138" i="88"/>
  <c r="Q192" i="88" s="1"/>
  <c r="P447" i="88"/>
  <c r="Q225" i="88"/>
  <c r="Q539" i="88" s="1"/>
  <c r="Q563" i="88" s="1"/>
  <c r="N451" i="88"/>
  <c r="N452" i="88" s="1"/>
  <c r="N319" i="88" s="1"/>
  <c r="Q203" i="88"/>
  <c r="P448" i="88"/>
  <c r="P449" i="88" s="1"/>
  <c r="O241" i="88"/>
  <c r="O322" i="88" s="1"/>
  <c r="Q444" i="88"/>
  <c r="Q269" i="88" s="1"/>
  <c r="Q156" i="88"/>
  <c r="Q158" i="88" s="1"/>
  <c r="Q195" i="88" s="1"/>
  <c r="Q142" i="88"/>
  <c r="Q194" i="88" s="1"/>
  <c r="N281" i="88"/>
  <c r="O461" i="88"/>
  <c r="O282" i="88" s="1"/>
  <c r="T201" i="88"/>
  <c r="O230" i="88"/>
  <c r="O235" i="88" s="1"/>
  <c r="O239" i="88" s="1"/>
  <c r="O317" i="88" s="1"/>
  <c r="T16" i="88"/>
  <c r="T140" i="88" s="1"/>
  <c r="T193" i="88" s="1"/>
  <c r="O267" i="88"/>
  <c r="O447" i="88"/>
  <c r="T206" i="88"/>
  <c r="T198" i="88"/>
  <c r="S190" i="88"/>
  <c r="S212" i="88" s="1"/>
  <c r="S213" i="88" s="1"/>
  <c r="O212" i="88"/>
  <c r="O213" i="88" s="1"/>
  <c r="T207" i="88"/>
  <c r="T208" i="88"/>
  <c r="T200" i="88"/>
  <c r="T210" i="88"/>
  <c r="T199" i="88"/>
  <c r="R142" i="88"/>
  <c r="R194" i="88" s="1"/>
  <c r="R156" i="88"/>
  <c r="R227" i="88" s="1"/>
  <c r="R431" i="88" s="1"/>
  <c r="R19" i="88"/>
  <c r="R20" i="88" s="1"/>
  <c r="R11" i="88" s="1"/>
  <c r="R444" i="88" s="1"/>
  <c r="R269" i="88" s="1"/>
  <c r="V15" i="88"/>
  <c r="V200" i="88" s="1"/>
  <c r="V204" i="88"/>
  <c r="V197" i="88"/>
  <c r="O448" i="88"/>
  <c r="O449" i="88" s="1"/>
  <c r="S268" i="88"/>
  <c r="S267" i="88" s="1"/>
  <c r="S430" i="88"/>
  <c r="S460" i="88" s="1"/>
  <c r="S228" i="88"/>
  <c r="S230" i="88" s="1"/>
  <c r="S235" i="88" s="1"/>
  <c r="S239" i="88" s="1"/>
  <c r="S317" i="88" s="1"/>
  <c r="R203" i="88"/>
  <c r="R138" i="88"/>
  <c r="R192" i="88" s="1"/>
  <c r="M321" i="88"/>
  <c r="L463" i="88"/>
  <c r="L464" i="88" s="1"/>
  <c r="L320" i="88" s="1"/>
  <c r="L325" i="88" s="1"/>
  <c r="L345" i="88" s="1"/>
  <c r="K325" i="88"/>
  <c r="K334" i="88" s="1"/>
  <c r="K336" i="88" s="1"/>
  <c r="V487" i="90"/>
  <c r="V494" i="90" s="1"/>
  <c r="AA316" i="92"/>
  <c r="AA317" i="92" s="1"/>
  <c r="X13" i="88"/>
  <c r="X197" i="88" s="1"/>
  <c r="L298" i="88"/>
  <c r="S616" i="80"/>
  <c r="S618" i="80" s="1"/>
  <c r="S451" i="80"/>
  <c r="S367" i="80" s="1"/>
  <c r="S374" i="80" s="1"/>
  <c r="S381" i="80" s="1"/>
  <c r="S400" i="80" s="1"/>
  <c r="S405" i="80" s="1"/>
  <c r="AI53" i="90"/>
  <c r="AH52" i="90"/>
  <c r="AH240" i="90" s="1"/>
  <c r="AH417" i="90" s="1"/>
  <c r="AD112" i="92"/>
  <c r="AD334" i="92"/>
  <c r="AD101" i="92"/>
  <c r="AD128" i="92" s="1"/>
  <c r="AD123" i="92" s="1"/>
  <c r="AA320" i="92"/>
  <c r="AA321" i="92" s="1"/>
  <c r="AA206" i="92"/>
  <c r="AA207" i="92" s="1"/>
  <c r="T584" i="90"/>
  <c r="U583" i="90"/>
  <c r="AC413" i="92"/>
  <c r="AC437" i="92" s="1"/>
  <c r="AC115" i="92"/>
  <c r="AC285" i="92"/>
  <c r="AC166" i="92"/>
  <c r="T338" i="90"/>
  <c r="T348" i="90"/>
  <c r="T333" i="90"/>
  <c r="T353" i="90"/>
  <c r="T343" i="90"/>
  <c r="U317" i="90"/>
  <c r="T328" i="90"/>
  <c r="T323" i="90"/>
  <c r="AB314" i="92"/>
  <c r="AB300" i="92"/>
  <c r="AB189" i="92" s="1"/>
  <c r="AB318" i="92"/>
  <c r="AB315" i="92"/>
  <c r="AB197" i="92" s="1"/>
  <c r="AB299" i="92"/>
  <c r="AB319" i="92"/>
  <c r="AB205" i="92" s="1"/>
  <c r="AB203" i="92" s="1"/>
  <c r="AB783" i="90"/>
  <c r="AC762" i="90" s="1"/>
  <c r="AC776" i="90" s="1"/>
  <c r="AB471" i="90"/>
  <c r="AC727" i="90"/>
  <c r="H19" i="95"/>
  <c r="I19" i="95" s="1"/>
  <c r="E19" i="95"/>
  <c r="T609" i="90"/>
  <c r="U608" i="90"/>
  <c r="Y53" i="72"/>
  <c r="Y71" i="72"/>
  <c r="Y15" i="72"/>
  <c r="Z787" i="90"/>
  <c r="AG417" i="90"/>
  <c r="W426" i="64"/>
  <c r="W301" i="64"/>
  <c r="T459" i="90"/>
  <c r="U459" i="90" s="1"/>
  <c r="U460" i="90"/>
  <c r="W598" i="90"/>
  <c r="W379" i="90" s="1"/>
  <c r="W380" i="90" s="1"/>
  <c r="W390" i="90" s="1"/>
  <c r="W392" i="90" s="1"/>
  <c r="Y451" i="64"/>
  <c r="Y454" i="64" s="1"/>
  <c r="X456" i="64"/>
  <c r="X439" i="64"/>
  <c r="X441" i="64" s="1"/>
  <c r="X443" i="64" s="1"/>
  <c r="L427" i="64"/>
  <c r="L303" i="64" s="1"/>
  <c r="L304" i="64" s="1"/>
  <c r="L306" i="64" s="1"/>
  <c r="L309" i="64" s="1"/>
  <c r="L294" i="64"/>
  <c r="L471" i="64"/>
  <c r="L477" i="64" s="1"/>
  <c r="L491" i="64" s="1"/>
  <c r="L498" i="64" s="1"/>
  <c r="U482" i="90"/>
  <c r="T487" i="90"/>
  <c r="T481" i="90"/>
  <c r="U481" i="90" s="1"/>
  <c r="AE11" i="92"/>
  <c r="AE100" i="92"/>
  <c r="AE127" i="92" s="1"/>
  <c r="AA188" i="92"/>
  <c r="AA187" i="92" s="1"/>
  <c r="AA302" i="92"/>
  <c r="X532" i="56"/>
  <c r="W533" i="56"/>
  <c r="W323" i="56" s="1"/>
  <c r="L207" i="64"/>
  <c r="L201" i="64"/>
  <c r="L423" i="64"/>
  <c r="Y515" i="64"/>
  <c r="Y529" i="64" s="1"/>
  <c r="Z480" i="64"/>
  <c r="Z483" i="64" s="1"/>
  <c r="Z249" i="64" s="1"/>
  <c r="Y483" i="64"/>
  <c r="Y249" i="64" s="1"/>
  <c r="AA66" i="88"/>
  <c r="Z71" i="88"/>
  <c r="Z90" i="88" s="1"/>
  <c r="Z95" i="88" s="1"/>
  <c r="Z114" i="88" s="1"/>
  <c r="Z115" i="88" s="1"/>
  <c r="AA112" i="88" s="1"/>
  <c r="AF13" i="92"/>
  <c r="AG14" i="92"/>
  <c r="AG13" i="92" s="1"/>
  <c r="T249" i="47"/>
  <c r="U189" i="57" s="1"/>
  <c r="S189" i="57"/>
  <c r="R1" i="47"/>
  <c r="R271" i="47"/>
  <c r="S29" i="57"/>
  <c r="S31" i="57" s="1"/>
  <c r="S194" i="57" s="1"/>
  <c r="T270" i="47"/>
  <c r="U29" i="57" s="1"/>
  <c r="W222" i="88"/>
  <c r="X221" i="88"/>
  <c r="Y126" i="57"/>
  <c r="AA126" i="57" s="1"/>
  <c r="X280" i="56"/>
  <c r="X246" i="56"/>
  <c r="Y281" i="56" s="1"/>
  <c r="X274" i="56"/>
  <c r="U443" i="88"/>
  <c r="U272" i="88" s="1"/>
  <c r="U206" i="88"/>
  <c r="U203" i="88" s="1"/>
  <c r="U199" i="88"/>
  <c r="W422" i="56"/>
  <c r="V428" i="56"/>
  <c r="Z286" i="92"/>
  <c r="Z156" i="92"/>
  <c r="Z121" i="92"/>
  <c r="AK64" i="90"/>
  <c r="AB675" i="90"/>
  <c r="AA673" i="90"/>
  <c r="AA786" i="90" s="1"/>
  <c r="AA473" i="90" s="1"/>
  <c r="R448" i="79"/>
  <c r="R614" i="79" s="1"/>
  <c r="Q365" i="79"/>
  <c r="Q372" i="79" s="1"/>
  <c r="Q379" i="79" s="1"/>
  <c r="X149" i="88"/>
  <c r="AD248" i="90"/>
  <c r="AD415" i="90"/>
  <c r="AD238" i="90"/>
  <c r="AD247" i="90"/>
  <c r="AD258" i="90" s="1"/>
  <c r="AD260" i="90" s="1"/>
  <c r="AB370" i="90"/>
  <c r="AB426" i="90"/>
  <c r="AB425" i="90"/>
  <c r="Y153" i="88"/>
  <c r="X154" i="88"/>
  <c r="X426" i="88"/>
  <c r="W427" i="88"/>
  <c r="AB301" i="90"/>
  <c r="AB11" i="90"/>
  <c r="AB413" i="90"/>
  <c r="Q434" i="79"/>
  <c r="Q610" i="79"/>
  <c r="Q616" i="79" s="1"/>
  <c r="Q632" i="79" s="1"/>
  <c r="Q639" i="79" s="1"/>
  <c r="Q642" i="79" s="1"/>
  <c r="R662" i="79" s="1"/>
  <c r="R684" i="79" s="1"/>
  <c r="R686" i="79" s="1"/>
  <c r="R311" i="79" s="1"/>
  <c r="AD417" i="92"/>
  <c r="AD452" i="92" s="1"/>
  <c r="AD466" i="92" s="1"/>
  <c r="X86" i="88"/>
  <c r="W87" i="88"/>
  <c r="AH359" i="90"/>
  <c r="AH399" i="90" s="1"/>
  <c r="AH303" i="90"/>
  <c r="AH319" i="90"/>
  <c r="AH24" i="90"/>
  <c r="AH26" i="90" s="1"/>
  <c r="AH414" i="90" s="1"/>
  <c r="AA472" i="90"/>
  <c r="V146" i="88"/>
  <c r="V443" i="88" s="1"/>
  <c r="V272" i="88" s="1"/>
  <c r="W144" i="88"/>
  <c r="AH204" i="90"/>
  <c r="AH205" i="90" s="1"/>
  <c r="W532" i="88"/>
  <c r="X531" i="88"/>
  <c r="AI424" i="90"/>
  <c r="AI214" i="90"/>
  <c r="X484" i="88"/>
  <c r="J509" i="88"/>
  <c r="X328" i="88"/>
  <c r="X332" i="88" s="1"/>
  <c r="W162" i="92"/>
  <c r="W168" i="92"/>
  <c r="W236" i="92"/>
  <c r="W240" i="92" s="1"/>
  <c r="AD11" i="90"/>
  <c r="AD413" i="90"/>
  <c r="AD301" i="90"/>
  <c r="AB55" i="92"/>
  <c r="AB85" i="92" s="1"/>
  <c r="AB83" i="92" s="1"/>
  <c r="AB63" i="92"/>
  <c r="AB89" i="92" s="1"/>
  <c r="AB87" i="92" s="1"/>
  <c r="AB119" i="92" s="1"/>
  <c r="AB57" i="92"/>
  <c r="AC725" i="90"/>
  <c r="AM55" i="90"/>
  <c r="W574" i="88"/>
  <c r="X573" i="88"/>
  <c r="V544" i="88"/>
  <c r="AC370" i="90"/>
  <c r="AC426" i="90"/>
  <c r="AC425" i="90"/>
  <c r="Z606" i="90"/>
  <c r="Z589" i="90"/>
  <c r="AD639" i="90"/>
  <c r="X151" i="88"/>
  <c r="Z358" i="88"/>
  <c r="AA357" i="88"/>
  <c r="AE191" i="90"/>
  <c r="AE189" i="90"/>
  <c r="AE190" i="90"/>
  <c r="AC301" i="90"/>
  <c r="AC413" i="90"/>
  <c r="AC11" i="90"/>
  <c r="T23" i="57"/>
  <c r="U23" i="57" s="1"/>
  <c r="U17" i="57"/>
  <c r="V290" i="90"/>
  <c r="V376" i="90"/>
  <c r="V367" i="90"/>
  <c r="V371" i="90" s="1"/>
  <c r="V399" i="90" s="1"/>
  <c r="V401" i="90" s="1"/>
  <c r="V422" i="90"/>
  <c r="V308" i="90"/>
  <c r="V309" i="90" s="1"/>
  <c r="AE726" i="90"/>
  <c r="Y129" i="92"/>
  <c r="Y157" i="92"/>
  <c r="X161" i="92"/>
  <c r="X133" i="92"/>
  <c r="X167" i="92"/>
  <c r="Y422" i="90"/>
  <c r="Y290" i="90"/>
  <c r="Y367" i="90"/>
  <c r="Y371" i="90" s="1"/>
  <c r="Y376" i="90"/>
  <c r="Y308" i="90"/>
  <c r="Y309" i="90" s="1"/>
  <c r="AA41" i="88"/>
  <c r="Z478" i="88"/>
  <c r="Z477" i="88"/>
  <c r="Z479" i="88" s="1"/>
  <c r="Z481" i="88" s="1"/>
  <c r="Y591" i="90"/>
  <c r="X461" i="90"/>
  <c r="X459" i="90" s="1"/>
  <c r="X593" i="90"/>
  <c r="X597" i="90" s="1"/>
  <c r="X598" i="90" s="1"/>
  <c r="R546" i="88"/>
  <c r="R287" i="88" s="1"/>
  <c r="S578" i="88"/>
  <c r="S592" i="88" s="1"/>
  <c r="S543" i="88"/>
  <c r="AE17" i="90"/>
  <c r="AE20" i="90" s="1"/>
  <c r="AE21" i="90" s="1"/>
  <c r="AE22" i="90" s="1"/>
  <c r="AJ76" i="90"/>
  <c r="W76" i="88"/>
  <c r="AC238" i="90"/>
  <c r="AA315" i="90"/>
  <c r="AA287" i="90"/>
  <c r="AA316" i="90" s="1"/>
  <c r="AA317" i="90" s="1"/>
  <c r="AF18" i="92"/>
  <c r="AE20" i="92"/>
  <c r="AA560" i="90"/>
  <c r="AA814" i="90"/>
  <c r="AA838" i="90" s="1"/>
  <c r="AA418" i="90"/>
  <c r="AA602" i="90"/>
  <c r="AA607" i="90" s="1"/>
  <c r="AA483" i="90" s="1"/>
  <c r="AA571" i="90"/>
  <c r="AA594" i="90" s="1"/>
  <c r="AA570" i="90"/>
  <c r="AA581" i="90" s="1"/>
  <c r="AA583" i="90" s="1"/>
  <c r="AA584" i="90" s="1"/>
  <c r="AA590" i="90" s="1"/>
  <c r="AA462" i="90" s="1"/>
  <c r="AA569" i="90"/>
  <c r="AA592" i="90" s="1"/>
  <c r="V313" i="88"/>
  <c r="W312" i="88"/>
  <c r="X261" i="88"/>
  <c r="W262" i="88"/>
  <c r="Y782" i="90"/>
  <c r="Z761" i="90" s="1"/>
  <c r="Z775" i="90" s="1"/>
  <c r="AE345" i="92"/>
  <c r="AE348" i="92" s="1"/>
  <c r="AD196" i="92"/>
  <c r="X96" i="88"/>
  <c r="W99" i="88"/>
  <c r="W152" i="88" s="1"/>
  <c r="W200" i="88" s="1"/>
  <c r="AG427" i="90"/>
  <c r="AG562" i="90"/>
  <c r="AG576" i="90" s="1"/>
  <c r="AG577" i="90" s="1"/>
  <c r="Q162" i="92"/>
  <c r="S162" i="92" s="1"/>
  <c r="T162" i="92" s="1"/>
  <c r="Q236" i="92"/>
  <c r="Q240" i="92" s="1"/>
  <c r="U168" i="92"/>
  <c r="AI57" i="90"/>
  <c r="AJ58" i="90"/>
  <c r="AA118" i="92"/>
  <c r="AA117" i="92" s="1"/>
  <c r="AA95" i="92"/>
  <c r="AA96" i="92" s="1"/>
  <c r="Z42" i="88"/>
  <c r="Y176" i="88"/>
  <c r="AC447" i="92"/>
  <c r="AC45" i="92"/>
  <c r="AC281" i="92"/>
  <c r="AC56" i="92"/>
  <c r="AC79" i="92"/>
  <c r="AC381" i="92"/>
  <c r="AC404" i="92"/>
  <c r="AC231" i="92"/>
  <c r="AC108" i="92"/>
  <c r="AD7" i="92"/>
  <c r="AC151" i="92"/>
  <c r="AC330" i="92"/>
  <c r="AC181" i="92"/>
  <c r="AN67" i="90"/>
  <c r="AE819" i="90"/>
  <c r="AE854" i="90" s="1"/>
  <c r="AE868" i="90" s="1"/>
  <c r="Q500" i="90"/>
  <c r="Q502" i="90" s="1"/>
  <c r="Y280" i="56"/>
  <c r="AC247" i="90"/>
  <c r="AC258" i="90" s="1"/>
  <c r="AC260" i="90" s="1"/>
  <c r="AA19" i="57"/>
  <c r="U310" i="56"/>
  <c r="U429" i="56"/>
  <c r="U430" i="56" s="1"/>
  <c r="U435" i="56" s="1"/>
  <c r="U352" i="56" s="1"/>
  <c r="U353" i="56" s="1"/>
  <c r="AH241" i="90"/>
  <c r="AH243" i="90"/>
  <c r="X74" i="88"/>
  <c r="X72" i="88"/>
  <c r="Y68" i="88"/>
  <c r="T785" i="90"/>
  <c r="R430" i="90"/>
  <c r="AE212" i="90"/>
  <c r="AE235" i="90"/>
  <c r="N434" i="79"/>
  <c r="N610" i="79"/>
  <c r="N616" i="79" s="1"/>
  <c r="N632" i="79" s="1"/>
  <c r="N639" i="79" s="1"/>
  <c r="N642" i="79" s="1"/>
  <c r="O662" i="79" s="1"/>
  <c r="O684" i="79" s="1"/>
  <c r="O686" i="79" s="1"/>
  <c r="O311" i="79" s="1"/>
  <c r="V609" i="90"/>
  <c r="V610" i="90" s="1"/>
  <c r="V518" i="90" s="1"/>
  <c r="W609" i="90"/>
  <c r="W610" i="90" s="1"/>
  <c r="W518" i="90" s="1"/>
  <c r="AC415" i="90"/>
  <c r="Z699" i="90"/>
  <c r="AI236" i="90"/>
  <c r="AJ77" i="90"/>
  <c r="AF818" i="90"/>
  <c r="AF853" i="90" s="1"/>
  <c r="AF867" i="90" s="1"/>
  <c r="AK40" i="90"/>
  <c r="AJ216" i="90"/>
  <c r="AD370" i="90"/>
  <c r="AD426" i="90"/>
  <c r="AD425" i="90"/>
  <c r="AA268" i="90"/>
  <c r="AA267" i="90"/>
  <c r="AA377" i="90" s="1"/>
  <c r="AB248" i="90"/>
  <c r="AB238" i="90"/>
  <c r="AB247" i="90"/>
  <c r="AB258" i="90" s="1"/>
  <c r="AB260" i="90" s="1"/>
  <c r="AB415" i="90"/>
  <c r="AF52" i="92"/>
  <c r="AE84" i="92"/>
  <c r="AH795" i="90"/>
  <c r="W454" i="88"/>
  <c r="V457" i="88"/>
  <c r="V458" i="88" s="1"/>
  <c r="V459" i="88" s="1"/>
  <c r="R523" i="88"/>
  <c r="R524" i="88" s="1"/>
  <c r="S483" i="88"/>
  <c r="S488" i="88" s="1"/>
  <c r="R275" i="88"/>
  <c r="X97" i="88"/>
  <c r="W100" i="88"/>
  <c r="K355" i="56"/>
  <c r="K251" i="56"/>
  <c r="L44" i="57"/>
  <c r="R560" i="79"/>
  <c r="Q394" i="79"/>
  <c r="Q396" i="79" s="1"/>
  <c r="Q398" i="79" s="1"/>
  <c r="R781" i="90"/>
  <c r="R770" i="90"/>
  <c r="R788" i="90" s="1"/>
  <c r="AE210" i="90"/>
  <c r="AE211" i="90" s="1"/>
  <c r="AE253" i="90" s="1"/>
  <c r="AE136" i="90"/>
  <c r="AB706" i="90"/>
  <c r="AC691" i="90" s="1"/>
  <c r="AC701" i="90" s="1"/>
  <c r="AC666" i="90"/>
  <c r="Y487" i="90"/>
  <c r="AA132" i="57"/>
  <c r="J332" i="56"/>
  <c r="T133" i="92"/>
  <c r="T236" i="92" s="1"/>
  <c r="T240" i="92" s="1"/>
  <c r="S236" i="92"/>
  <c r="S240" i="92" s="1"/>
  <c r="AK54" i="90"/>
  <c r="AJ70" i="90"/>
  <c r="AC186" i="88"/>
  <c r="AB187" i="88"/>
  <c r="Q353" i="56"/>
  <c r="V718" i="90"/>
  <c r="N339" i="79"/>
  <c r="N561" i="79"/>
  <c r="N568" i="79" s="1"/>
  <c r="N347" i="79"/>
  <c r="N577" i="79"/>
  <c r="N579" i="79" s="1"/>
  <c r="N581" i="79" s="1"/>
  <c r="N441" i="79" s="1"/>
  <c r="N444" i="79" s="1"/>
  <c r="N446" i="79" s="1"/>
  <c r="N449" i="79" s="1"/>
  <c r="AF124" i="70"/>
  <c r="AI18" i="90"/>
  <c r="AI132" i="90"/>
  <c r="AJ125" i="90"/>
  <c r="AI139" i="90"/>
  <c r="AI155" i="90" s="1"/>
  <c r="N315" i="80"/>
  <c r="N423" i="80"/>
  <c r="N425" i="80" s="1"/>
  <c r="N434" i="80" s="1"/>
  <c r="J510" i="88"/>
  <c r="Y484" i="88"/>
  <c r="Y328" i="88"/>
  <c r="Y332" i="88" s="1"/>
  <c r="AD797" i="90"/>
  <c r="AC470" i="90"/>
  <c r="AI820" i="90"/>
  <c r="AI855" i="90" s="1"/>
  <c r="AI869" i="90" s="1"/>
  <c r="AG342" i="90"/>
  <c r="AG337" i="90"/>
  <c r="AG332" i="90"/>
  <c r="AG347" i="90"/>
  <c r="AG352" i="90"/>
  <c r="AG322" i="90"/>
  <c r="AG327" i="90"/>
  <c r="AD131" i="92"/>
  <c r="AD237" i="92"/>
  <c r="AA780" i="90"/>
  <c r="AB759" i="90" s="1"/>
  <c r="AB773" i="90" s="1"/>
  <c r="AB724" i="90"/>
  <c r="U545" i="88"/>
  <c r="U580" i="88" s="1"/>
  <c r="U594" i="88" s="1"/>
  <c r="AJ72" i="90"/>
  <c r="AF147" i="90"/>
  <c r="AF194" i="90"/>
  <c r="AF193" i="90" s="1"/>
  <c r="AF249" i="90" s="1"/>
  <c r="AE667" i="90"/>
  <c r="AD707" i="90"/>
  <c r="AE692" i="90" s="1"/>
  <c r="AE702" i="90" s="1"/>
  <c r="AB722" i="90"/>
  <c r="AA721" i="90"/>
  <c r="AA469" i="90" s="1"/>
  <c r="AL69" i="90"/>
  <c r="AE723" i="90"/>
  <c r="AD67" i="88"/>
  <c r="AC73" i="88"/>
  <c r="AA195" i="92"/>
  <c r="AB338" i="92"/>
  <c r="AB343" i="92" s="1"/>
  <c r="AB418" i="92"/>
  <c r="W131" i="88"/>
  <c r="X130" i="88"/>
  <c r="AD674" i="90"/>
  <c r="AE710" i="90"/>
  <c r="AA771" i="90"/>
  <c r="Y234" i="64"/>
  <c r="Z383" i="64"/>
  <c r="Z387" i="64" s="1"/>
  <c r="Z234" i="64" s="1"/>
  <c r="X508" i="88"/>
  <c r="Z508" i="88"/>
  <c r="AA508" i="88"/>
  <c r="W508" i="88"/>
  <c r="W522" i="88" s="1"/>
  <c r="W485" i="88" s="1"/>
  <c r="W237" i="88" s="1"/>
  <c r="W318" i="88" s="1"/>
  <c r="Y508" i="88"/>
  <c r="AE664" i="90"/>
  <c r="Z343" i="90"/>
  <c r="Z344" i="90" s="1"/>
  <c r="Z353" i="90"/>
  <c r="Z354" i="90" s="1"/>
  <c r="Z333" i="90"/>
  <c r="Z334" i="90" s="1"/>
  <c r="Z348" i="90"/>
  <c r="Z349" i="90" s="1"/>
  <c r="Z323" i="90"/>
  <c r="Z324" i="90" s="1"/>
  <c r="Z328" i="90"/>
  <c r="Z329" i="90" s="1"/>
  <c r="Z338" i="90"/>
  <c r="Z339" i="90" s="1"/>
  <c r="AE373" i="92"/>
  <c r="AF347" i="92"/>
  <c r="X758" i="90"/>
  <c r="AF197" i="90"/>
  <c r="AF198" i="90" s="1"/>
  <c r="AF199" i="90"/>
  <c r="AF200" i="90" s="1"/>
  <c r="AF201" i="90"/>
  <c r="Q71" i="57"/>
  <c r="Q72" i="57" s="1"/>
  <c r="P353" i="56"/>
  <c r="AG167" i="90"/>
  <c r="AG206" i="90"/>
  <c r="AG203" i="90" s="1"/>
  <c r="AF256" i="90"/>
  <c r="AF172" i="90"/>
  <c r="AF134" i="90"/>
  <c r="AF12" i="90"/>
  <c r="AF16" i="90" s="1"/>
  <c r="AF257" i="90"/>
  <c r="AF255" i="90"/>
  <c r="AF254" i="90"/>
  <c r="AC665" i="90"/>
  <c r="AB663" i="90"/>
  <c r="Y164" i="57"/>
  <c r="Y128" i="57"/>
  <c r="X472" i="88"/>
  <c r="W473" i="88"/>
  <c r="M443" i="80"/>
  <c r="M446" i="80" s="1"/>
  <c r="M448" i="80" s="1"/>
  <c r="M451" i="80" s="1"/>
  <c r="M566" i="80"/>
  <c r="M570" i="80" s="1"/>
  <c r="Q52" i="57"/>
  <c r="Q522" i="90"/>
  <c r="Q523" i="90" s="1"/>
  <c r="Q442" i="90"/>
  <c r="X340" i="64"/>
  <c r="X341" i="64" s="1"/>
  <c r="X277" i="64" s="1"/>
  <c r="AE196" i="90"/>
  <c r="AE250" i="90" s="1"/>
  <c r="X275" i="64"/>
  <c r="X200" i="64"/>
  <c r="X206" i="64"/>
  <c r="Y338" i="64"/>
  <c r="Y243" i="64"/>
  <c r="Y242" i="64" s="1"/>
  <c r="Y228" i="64"/>
  <c r="Y336" i="64"/>
  <c r="Y354" i="64"/>
  <c r="Y355" i="64" s="1"/>
  <c r="Y356" i="64" s="1"/>
  <c r="Y278" i="64" s="1"/>
  <c r="Y245" i="64"/>
  <c r="X246" i="64"/>
  <c r="Y127" i="57"/>
  <c r="Y199" i="64"/>
  <c r="Y205" i="64"/>
  <c r="Y172" i="64"/>
  <c r="Z228" i="64"/>
  <c r="Z336" i="64"/>
  <c r="Z338" i="64"/>
  <c r="Z243" i="64"/>
  <c r="Z242" i="64" s="1"/>
  <c r="Z354" i="64"/>
  <c r="Z245" i="64"/>
  <c r="W279" i="64"/>
  <c r="Q136" i="92"/>
  <c r="S478" i="92"/>
  <c r="T478" i="92" s="1"/>
  <c r="Y275" i="56"/>
  <c r="Y349" i="56"/>
  <c r="Z199" i="64"/>
  <c r="Z172" i="64"/>
  <c r="Z127" i="57"/>
  <c r="Z205" i="64"/>
  <c r="N283" i="88"/>
  <c r="Q268" i="88"/>
  <c r="O283" i="88"/>
  <c r="W29" i="88"/>
  <c r="X28" i="88"/>
  <c r="Y160" i="88"/>
  <c r="X232" i="88"/>
  <c r="Y173" i="88"/>
  <c r="X175" i="88"/>
  <c r="S281" i="88"/>
  <c r="S449" i="88"/>
  <c r="S451" i="88" s="1"/>
  <c r="Y13" i="88"/>
  <c r="Y119" i="88"/>
  <c r="Z117" i="88" s="1"/>
  <c r="U233" i="88"/>
  <c r="U192" i="88"/>
  <c r="U158" i="88"/>
  <c r="U445" i="88"/>
  <c r="U271" i="88" s="1"/>
  <c r="U446" i="88"/>
  <c r="U270" i="88" s="1"/>
  <c r="U227" i="88"/>
  <c r="U202" i="88"/>
  <c r="U442" i="88"/>
  <c r="U444" i="88"/>
  <c r="U269" i="88" s="1"/>
  <c r="U225" i="88"/>
  <c r="W16" i="88"/>
  <c r="W201" i="88"/>
  <c r="W211" i="88"/>
  <c r="W208" i="88"/>
  <c r="W207" i="88"/>
  <c r="W210" i="88"/>
  <c r="M571" i="47"/>
  <c r="M573" i="47" s="1"/>
  <c r="M278" i="47" s="1"/>
  <c r="X491" i="47"/>
  <c r="X492" i="47" s="1"/>
  <c r="X311" i="47"/>
  <c r="Y460" i="47"/>
  <c r="Y465" i="47" s="1"/>
  <c r="L341" i="47"/>
  <c r="AF252" i="92" l="1"/>
  <c r="AG250" i="92"/>
  <c r="AG252" i="92" s="1"/>
  <c r="V372" i="64"/>
  <c r="V376" i="64" s="1"/>
  <c r="R233" i="64"/>
  <c r="R408" i="64"/>
  <c r="R409" i="64" s="1"/>
  <c r="U206" i="64"/>
  <c r="U200" i="64"/>
  <c r="S172" i="64"/>
  <c r="T172" i="64" s="1"/>
  <c r="U177" i="64"/>
  <c r="S177" i="64" s="1"/>
  <c r="T177" i="64" s="1"/>
  <c r="U275" i="64"/>
  <c r="U279" i="64" s="1"/>
  <c r="S32" i="57"/>
  <c r="S66" i="57" s="1"/>
  <c r="T170" i="64"/>
  <c r="T32" i="57" s="1"/>
  <c r="U233" i="64"/>
  <c r="U408" i="64"/>
  <c r="U409" i="64" s="1"/>
  <c r="R200" i="64"/>
  <c r="R275" i="64"/>
  <c r="R279" i="64" s="1"/>
  <c r="R206" i="64"/>
  <c r="V206" i="64"/>
  <c r="Z63" i="64"/>
  <c r="Z111" i="64" s="1"/>
  <c r="Z148" i="64"/>
  <c r="Z189" i="64" s="1"/>
  <c r="Z219" i="64" s="1"/>
  <c r="Z270" i="64" s="1"/>
  <c r="Z318" i="64" s="1"/>
  <c r="Z364" i="64" s="1"/>
  <c r="Z418" i="64" s="1"/>
  <c r="Z467" i="64" s="1"/>
  <c r="Z510" i="64" s="1"/>
  <c r="AA322" i="92"/>
  <c r="AA239" i="92" s="1"/>
  <c r="AH168" i="90"/>
  <c r="AH206" i="90"/>
  <c r="V517" i="90"/>
  <c r="V69" i="57" s="1"/>
  <c r="AH304" i="90"/>
  <c r="AH306" i="90" s="1"/>
  <c r="AH294" i="90" s="1"/>
  <c r="R31" i="57"/>
  <c r="R136" i="57" s="1"/>
  <c r="Y700" i="90"/>
  <c r="Y688" i="90"/>
  <c r="AH169" i="90"/>
  <c r="AH199" i="90" s="1"/>
  <c r="AH200" i="90" s="1"/>
  <c r="AH171" i="90"/>
  <c r="AH254" i="90" s="1"/>
  <c r="AH242" i="90"/>
  <c r="AH244" i="90" s="1"/>
  <c r="W517" i="90"/>
  <c r="W69" i="57" s="1"/>
  <c r="AF512" i="90"/>
  <c r="AE558" i="90"/>
  <c r="R129" i="57"/>
  <c r="R200" i="57"/>
  <c r="Y242" i="47"/>
  <c r="S275" i="47"/>
  <c r="S358" i="47" s="1"/>
  <c r="T190" i="57"/>
  <c r="T195" i="57" s="1"/>
  <c r="T196" i="57" s="1"/>
  <c r="T125" i="57"/>
  <c r="S421" i="47"/>
  <c r="V189" i="57"/>
  <c r="V434" i="47"/>
  <c r="V435" i="47"/>
  <c r="V323" i="47" s="1"/>
  <c r="U436" i="47"/>
  <c r="U437" i="47" s="1"/>
  <c r="U438" i="47" s="1"/>
  <c r="U361" i="47" s="1"/>
  <c r="V71" i="57" s="1"/>
  <c r="U324" i="47"/>
  <c r="V405" i="47"/>
  <c r="W18" i="57"/>
  <c r="W17" i="57" s="1"/>
  <c r="W23" i="57" s="1"/>
  <c r="V422" i="47"/>
  <c r="Y161" i="47"/>
  <c r="Y226" i="47" s="1"/>
  <c r="Y19" i="47"/>
  <c r="Y20" i="47" s="1"/>
  <c r="Y11" i="47" s="1"/>
  <c r="Y157" i="47"/>
  <c r="Y224" i="47" s="1"/>
  <c r="Y159" i="47"/>
  <c r="Y225" i="47" s="1"/>
  <c r="W508" i="47"/>
  <c r="W532" i="47" s="1"/>
  <c r="W404" i="47"/>
  <c r="X7" i="57"/>
  <c r="X6" i="57" s="1"/>
  <c r="X135" i="57" s="1"/>
  <c r="R361" i="47"/>
  <c r="S361" i="47"/>
  <c r="Y236" i="47"/>
  <c r="Y268" i="47" s="1"/>
  <c r="V248" i="47"/>
  <c r="V253" i="47" s="1"/>
  <c r="Q321" i="47"/>
  <c r="Q325" i="47" s="1"/>
  <c r="U215" i="47"/>
  <c r="U249" i="47" s="1"/>
  <c r="U270" i="47"/>
  <c r="W304" i="47"/>
  <c r="W303" i="47" s="1"/>
  <c r="Q271" i="47"/>
  <c r="R323" i="47"/>
  <c r="S435" i="47"/>
  <c r="S323" i="47" s="1"/>
  <c r="R360" i="47"/>
  <c r="S360" i="47"/>
  <c r="R67" i="57"/>
  <c r="U423" i="47"/>
  <c r="U425" i="47" s="1"/>
  <c r="U426" i="47" s="1"/>
  <c r="U360" i="47" s="1"/>
  <c r="V67" i="57" s="1"/>
  <c r="U322" i="47"/>
  <c r="U321" i="47" s="1"/>
  <c r="V266" i="47"/>
  <c r="W235" i="47"/>
  <c r="W228" i="47" s="1"/>
  <c r="W264" i="47" s="1"/>
  <c r="W420" i="47"/>
  <c r="W306" i="47" s="1"/>
  <c r="X183" i="47"/>
  <c r="Y182" i="47"/>
  <c r="Y183" i="47" s="1"/>
  <c r="X262" i="47"/>
  <c r="X416" i="47"/>
  <c r="X418" i="47"/>
  <c r="X305" i="47" s="1"/>
  <c r="X155" i="47"/>
  <c r="Y154" i="47"/>
  <c r="Y155" i="47" s="1"/>
  <c r="V201" i="47"/>
  <c r="V202" i="47"/>
  <c r="V186" i="47"/>
  <c r="V222" i="47" s="1"/>
  <c r="W223" i="47"/>
  <c r="W185" i="47"/>
  <c r="W227" i="47" s="1"/>
  <c r="W200" i="47"/>
  <c r="W419" i="47"/>
  <c r="W307" i="47" s="1"/>
  <c r="V421" i="47"/>
  <c r="R322" i="47"/>
  <c r="S422" i="47"/>
  <c r="R423" i="47"/>
  <c r="R425" i="47" s="1"/>
  <c r="R426" i="47" s="1"/>
  <c r="R324" i="47"/>
  <c r="S434" i="47"/>
  <c r="R436" i="47"/>
  <c r="R437" i="47" s="1"/>
  <c r="R438" i="47" s="1"/>
  <c r="P462" i="88"/>
  <c r="Q228" i="88"/>
  <c r="N462" i="88"/>
  <c r="N463" i="88" s="1"/>
  <c r="N464" i="88" s="1"/>
  <c r="N320" i="88" s="1"/>
  <c r="N321" i="88" s="1"/>
  <c r="Q430" i="88"/>
  <c r="Q461" i="88" s="1"/>
  <c r="Q282" i="88" s="1"/>
  <c r="N280" i="88"/>
  <c r="N284" i="88" s="1"/>
  <c r="N290" i="88" s="1"/>
  <c r="P451" i="88"/>
  <c r="Q202" i="88"/>
  <c r="Q196" i="88" s="1"/>
  <c r="Q241" i="88"/>
  <c r="Q322" i="88" s="1"/>
  <c r="Q233" i="88"/>
  <c r="P281" i="88"/>
  <c r="P280" i="88" s="1"/>
  <c r="P284" i="88" s="1"/>
  <c r="Q267" i="88"/>
  <c r="Q190" i="88"/>
  <c r="Q445" i="88"/>
  <c r="Q271" i="88" s="1"/>
  <c r="Q446" i="88"/>
  <c r="Q270" i="88" s="1"/>
  <c r="Q227" i="88"/>
  <c r="Q431" i="88" s="1"/>
  <c r="O462" i="88"/>
  <c r="O451" i="88"/>
  <c r="O452" i="88" s="1"/>
  <c r="O319" i="88" s="1"/>
  <c r="V206" i="88"/>
  <c r="T142" i="88"/>
  <c r="T194" i="88" s="1"/>
  <c r="T19" i="88"/>
  <c r="T20" i="88" s="1"/>
  <c r="T11" i="88" s="1"/>
  <c r="T442" i="88" s="1"/>
  <c r="T268" i="88" s="1"/>
  <c r="T138" i="88"/>
  <c r="T192" i="88" s="1"/>
  <c r="T156" i="88"/>
  <c r="T446" i="88" s="1"/>
  <c r="T270" i="88" s="1"/>
  <c r="V210" i="88"/>
  <c r="V16" i="88"/>
  <c r="V140" i="88" s="1"/>
  <c r="V193" i="88" s="1"/>
  <c r="V199" i="88"/>
  <c r="T203" i="88"/>
  <c r="S461" i="88"/>
  <c r="S282" i="88" s="1"/>
  <c r="S280" i="88" s="1"/>
  <c r="R158" i="88"/>
  <c r="R241" i="88" s="1"/>
  <c r="R322" i="88" s="1"/>
  <c r="R445" i="88"/>
  <c r="R271" i="88" s="1"/>
  <c r="R202" i="88"/>
  <c r="R196" i="88" s="1"/>
  <c r="R446" i="88"/>
  <c r="R270" i="88" s="1"/>
  <c r="R442" i="88"/>
  <c r="R268" i="88" s="1"/>
  <c r="R267" i="88" s="1"/>
  <c r="R225" i="88"/>
  <c r="R228" i="88" s="1"/>
  <c r="R230" i="88" s="1"/>
  <c r="V208" i="88"/>
  <c r="V207" i="88"/>
  <c r="V201" i="88"/>
  <c r="O281" i="88"/>
  <c r="O280" i="88" s="1"/>
  <c r="O284" i="88" s="1"/>
  <c r="O290" i="88" s="1"/>
  <c r="V211" i="88"/>
  <c r="V198" i="88"/>
  <c r="R233" i="88"/>
  <c r="R448" i="88" s="1"/>
  <c r="R449" i="88" s="1"/>
  <c r="L321" i="88"/>
  <c r="K361" i="88"/>
  <c r="K362" i="88" s="1"/>
  <c r="K363" i="88" s="1"/>
  <c r="K345" i="88"/>
  <c r="K348" i="88" s="1"/>
  <c r="L347" i="88" s="1"/>
  <c r="L537" i="88" s="1"/>
  <c r="K535" i="88"/>
  <c r="K540" i="88" s="1"/>
  <c r="K554" i="88" s="1"/>
  <c r="K561" i="88" s="1"/>
  <c r="X209" i="88"/>
  <c r="X204" i="88"/>
  <c r="X15" i="88"/>
  <c r="X16" i="88" s="1"/>
  <c r="L334" i="88"/>
  <c r="L336" i="88" s="1"/>
  <c r="L107" i="57"/>
  <c r="L109" i="57" s="1"/>
  <c r="T334" i="90"/>
  <c r="U334" i="90" s="1"/>
  <c r="U333" i="90"/>
  <c r="Y18" i="72"/>
  <c r="Z11" i="57" s="1"/>
  <c r="Y72" i="72"/>
  <c r="AB320" i="92"/>
  <c r="AB321" i="92" s="1"/>
  <c r="AB206" i="92"/>
  <c r="AB207" i="92" s="1"/>
  <c r="AG11" i="92"/>
  <c r="AG100" i="92"/>
  <c r="AG127" i="92" s="1"/>
  <c r="L430" i="64"/>
  <c r="X426" i="64"/>
  <c r="X301" i="64"/>
  <c r="AB316" i="92"/>
  <c r="AB317" i="92" s="1"/>
  <c r="U338" i="90"/>
  <c r="T339" i="90"/>
  <c r="U339" i="90" s="1"/>
  <c r="V380" i="90"/>
  <c r="V390" i="90" s="1"/>
  <c r="V392" i="90" s="1"/>
  <c r="V393" i="90" s="1"/>
  <c r="W393" i="90" s="1"/>
  <c r="AC471" i="90"/>
  <c r="AD727" i="90"/>
  <c r="AC783" i="90"/>
  <c r="AD762" i="90" s="1"/>
  <c r="AD776" i="90" s="1"/>
  <c r="U348" i="90"/>
  <c r="T349" i="90"/>
  <c r="U349" i="90" s="1"/>
  <c r="AD413" i="92"/>
  <c r="AD437" i="92" s="1"/>
  <c r="AD285" i="92"/>
  <c r="AD115" i="92"/>
  <c r="AD166" i="92"/>
  <c r="Y246" i="64"/>
  <c r="AF100" i="92"/>
  <c r="AF127" i="92" s="1"/>
  <c r="AF11" i="92"/>
  <c r="AE112" i="92"/>
  <c r="AE101" i="92"/>
  <c r="AE128" i="92" s="1"/>
  <c r="AE123" i="92" s="1"/>
  <c r="AE334" i="92"/>
  <c r="T324" i="90"/>
  <c r="U323" i="90"/>
  <c r="AJ53" i="90"/>
  <c r="AI52" i="90"/>
  <c r="AI240" i="90" s="1"/>
  <c r="AI417" i="90" s="1"/>
  <c r="Y439" i="64"/>
  <c r="Y441" i="64" s="1"/>
  <c r="Y443" i="64" s="1"/>
  <c r="Z451" i="64"/>
  <c r="Z454" i="64" s="1"/>
  <c r="Y456" i="64"/>
  <c r="U328" i="90"/>
  <c r="T329" i="90"/>
  <c r="U329" i="90" s="1"/>
  <c r="U584" i="90"/>
  <c r="T590" i="90"/>
  <c r="AE821" i="90"/>
  <c r="AE492" i="90" s="1"/>
  <c r="AA71" i="88"/>
  <c r="AA90" i="88" s="1"/>
  <c r="AA95" i="88" s="1"/>
  <c r="AA114" i="88" s="1"/>
  <c r="AA115" i="88" s="1"/>
  <c r="AB112" i="88" s="1"/>
  <c r="AB66" i="88"/>
  <c r="U487" i="90"/>
  <c r="T494" i="90"/>
  <c r="U494" i="90" s="1"/>
  <c r="T610" i="90"/>
  <c r="U609" i="90"/>
  <c r="AC299" i="92"/>
  <c r="AC318" i="92"/>
  <c r="AC315" i="92"/>
  <c r="AC197" i="92" s="1"/>
  <c r="AC319" i="92"/>
  <c r="AC205" i="92" s="1"/>
  <c r="AC203" i="92" s="1"/>
  <c r="AC314" i="92"/>
  <c r="AC300" i="92"/>
  <c r="AC189" i="92" s="1"/>
  <c r="AB302" i="92"/>
  <c r="AB188" i="92"/>
  <c r="AB187" i="92" s="1"/>
  <c r="U343" i="90"/>
  <c r="T344" i="90"/>
  <c r="U344" i="90" s="1"/>
  <c r="Z118" i="88"/>
  <c r="Z119" i="88" s="1"/>
  <c r="AA117" i="88" s="1"/>
  <c r="AI154" i="90"/>
  <c r="Z515" i="64"/>
  <c r="Z529" i="64" s="1"/>
  <c r="X567" i="56"/>
  <c r="X581" i="56" s="1"/>
  <c r="Y532" i="56"/>
  <c r="Y533" i="56" s="1"/>
  <c r="Y323" i="56" s="1"/>
  <c r="X533" i="56"/>
  <c r="X323" i="56" s="1"/>
  <c r="H20" i="95"/>
  <c r="I20" i="95" s="1"/>
  <c r="I22" i="95" s="1"/>
  <c r="E20" i="95"/>
  <c r="U353" i="90"/>
  <c r="T354" i="90"/>
  <c r="U354" i="90" s="1"/>
  <c r="AD159" i="92"/>
  <c r="S190" i="57"/>
  <c r="S195" i="57" s="1"/>
  <c r="S196" i="57" s="1"/>
  <c r="S125" i="57"/>
  <c r="R275" i="47"/>
  <c r="T271" i="47"/>
  <c r="S136" i="57"/>
  <c r="S123" i="57"/>
  <c r="Z782" i="90"/>
  <c r="AA761" i="90" s="1"/>
  <c r="AA775" i="90" s="1"/>
  <c r="AI167" i="90"/>
  <c r="AI206" i="90"/>
  <c r="AA595" i="90"/>
  <c r="AA482" i="90"/>
  <c r="Z356" i="90"/>
  <c r="Z288" i="90" s="1"/>
  <c r="Z289" i="90" s="1"/>
  <c r="Q169" i="57"/>
  <c r="Q77" i="57"/>
  <c r="AD470" i="90"/>
  <c r="AE797" i="90"/>
  <c r="N394" i="79"/>
  <c r="O560" i="79"/>
  <c r="AK70" i="90"/>
  <c r="Q542" i="90"/>
  <c r="Q545" i="90" s="1"/>
  <c r="Q532" i="90"/>
  <c r="AD73" i="88"/>
  <c r="AE67" i="88"/>
  <c r="V545" i="88"/>
  <c r="V580" i="88" s="1"/>
  <c r="V594" i="88" s="1"/>
  <c r="AD666" i="90"/>
  <c r="AC706" i="90"/>
  <c r="AD691" i="90" s="1"/>
  <c r="AD701" i="90" s="1"/>
  <c r="AG52" i="92"/>
  <c r="AG84" i="92" s="1"/>
  <c r="AF84" i="92"/>
  <c r="Z176" i="88"/>
  <c r="AA42" i="88"/>
  <c r="AA358" i="88"/>
  <c r="AB357" i="88"/>
  <c r="AN55" i="90"/>
  <c r="AF196" i="90"/>
  <c r="AF250" i="90" s="1"/>
  <c r="AH203" i="90"/>
  <c r="AH251" i="90" s="1"/>
  <c r="AB472" i="90"/>
  <c r="AE674" i="90"/>
  <c r="AD186" i="88"/>
  <c r="AC187" i="88"/>
  <c r="AO67" i="90"/>
  <c r="AE196" i="92"/>
  <c r="AF345" i="92"/>
  <c r="AF348" i="92" s="1"/>
  <c r="AD293" i="90"/>
  <c r="AD368" i="90"/>
  <c r="AC675" i="90"/>
  <c r="AB673" i="90"/>
  <c r="AB786" i="90" s="1"/>
  <c r="AB473" i="90" s="1"/>
  <c r="AH796" i="90"/>
  <c r="AI795" i="90"/>
  <c r="AK216" i="90"/>
  <c r="AL40" i="90"/>
  <c r="X574" i="88"/>
  <c r="Y573" i="88"/>
  <c r="AE417" i="92"/>
  <c r="AE452" i="92"/>
  <c r="AE466" i="92" s="1"/>
  <c r="Z153" i="88"/>
  <c r="Y154" i="88"/>
  <c r="X76" i="88"/>
  <c r="AF710" i="90"/>
  <c r="AB195" i="92"/>
  <c r="AC338" i="92"/>
  <c r="AC343" i="92" s="1"/>
  <c r="AF191" i="90"/>
  <c r="AF189" i="90"/>
  <c r="AF190" i="90"/>
  <c r="AG124" i="70"/>
  <c r="AJ18" i="90"/>
  <c r="AJ424" i="90"/>
  <c r="AJ214" i="90"/>
  <c r="Y72" i="88"/>
  <c r="Z68" i="88"/>
  <c r="Y74" i="88"/>
  <c r="X236" i="92"/>
  <c r="X240" i="92" s="1"/>
  <c r="X168" i="92"/>
  <c r="X162" i="92"/>
  <c r="W544" i="88"/>
  <c r="AB118" i="92"/>
  <c r="AB117" i="92" s="1"/>
  <c r="AB95" i="92"/>
  <c r="AB96" i="92" s="1"/>
  <c r="Y531" i="88"/>
  <c r="X532" i="88"/>
  <c r="Y86" i="88"/>
  <c r="X87" i="88"/>
  <c r="AB771" i="90"/>
  <c r="AI24" i="90"/>
  <c r="AI26" i="90" s="1"/>
  <c r="AI414" i="90" s="1"/>
  <c r="AI319" i="90"/>
  <c r="AI303" i="90"/>
  <c r="AI359" i="90"/>
  <c r="AI399" i="90" s="1"/>
  <c r="AE188" i="90"/>
  <c r="V579" i="88"/>
  <c r="V593" i="88" s="1"/>
  <c r="Y96" i="88"/>
  <c r="X99" i="88"/>
  <c r="AC561" i="90"/>
  <c r="AC266" i="90"/>
  <c r="AC416" i="90"/>
  <c r="X422" i="56"/>
  <c r="W428" i="56"/>
  <c r="AH12" i="90"/>
  <c r="AH16" i="90" s="1"/>
  <c r="AH256" i="90"/>
  <c r="AH172" i="90"/>
  <c r="AH257" i="90"/>
  <c r="AH134" i="90"/>
  <c r="AH255" i="90"/>
  <c r="AF819" i="90"/>
  <c r="S546" i="88"/>
  <c r="S287" i="88" s="1"/>
  <c r="T543" i="88"/>
  <c r="AF726" i="90"/>
  <c r="AC368" i="90"/>
  <c r="AC293" i="90"/>
  <c r="AD725" i="90"/>
  <c r="Y426" i="88"/>
  <c r="X427" i="88"/>
  <c r="V310" i="56"/>
  <c r="V429" i="56"/>
  <c r="V430" i="56" s="1"/>
  <c r="V435" i="56" s="1"/>
  <c r="V352" i="56" s="1"/>
  <c r="V353" i="56" s="1"/>
  <c r="AB293" i="90"/>
  <c r="AB368" i="90"/>
  <c r="T483" i="88"/>
  <c r="T488" i="88" s="1"/>
  <c r="S275" i="88"/>
  <c r="S523" i="88"/>
  <c r="S524" i="88" s="1"/>
  <c r="AH197" i="90"/>
  <c r="AH198" i="90" s="1"/>
  <c r="AH201" i="90"/>
  <c r="R34" i="57"/>
  <c r="R516" i="90"/>
  <c r="R432" i="90"/>
  <c r="Y261" i="88"/>
  <c r="X262" i="88"/>
  <c r="AG18" i="92"/>
  <c r="AG20" i="92" s="1"/>
  <c r="AF20" i="92"/>
  <c r="Z366" i="90"/>
  <c r="Z460" i="90"/>
  <c r="AH327" i="90"/>
  <c r="AH332" i="90"/>
  <c r="AH337" i="90"/>
  <c r="AH322" i="90"/>
  <c r="AH347" i="90"/>
  <c r="AH352" i="90"/>
  <c r="AH342" i="90"/>
  <c r="AB286" i="90"/>
  <c r="AB375" i="90"/>
  <c r="AB412" i="90"/>
  <c r="AB364" i="90"/>
  <c r="AB361" i="90"/>
  <c r="AB400" i="90" s="1"/>
  <c r="AB401" i="90" s="1"/>
  <c r="Y149" i="88"/>
  <c r="N365" i="79"/>
  <c r="N372" i="79" s="1"/>
  <c r="N379" i="79" s="1"/>
  <c r="O448" i="79"/>
  <c r="O614" i="79" s="1"/>
  <c r="AF212" i="90"/>
  <c r="AF235" i="90"/>
  <c r="AC424" i="92"/>
  <c r="AC426" i="92" s="1"/>
  <c r="AC259" i="92" s="1"/>
  <c r="AB453" i="92"/>
  <c r="AB467" i="92" s="1"/>
  <c r="AB420" i="92"/>
  <c r="AB210" i="92" s="1"/>
  <c r="N351" i="80"/>
  <c r="O351" i="80" s="1"/>
  <c r="N321" i="80"/>
  <c r="V760" i="90"/>
  <c r="R777" i="90"/>
  <c r="R789" i="90" s="1"/>
  <c r="T789" i="90" s="1"/>
  <c r="U789" i="90" s="1"/>
  <c r="AH147" i="90"/>
  <c r="AH194" i="90"/>
  <c r="AH193" i="90" s="1"/>
  <c r="AH249" i="90" s="1"/>
  <c r="AB41" i="88"/>
  <c r="AA478" i="88"/>
  <c r="AA477" i="88"/>
  <c r="AA509" i="88"/>
  <c r="AB509" i="88"/>
  <c r="Y509" i="88"/>
  <c r="X509" i="88"/>
  <c r="X522" i="88" s="1"/>
  <c r="X485" i="88" s="1"/>
  <c r="X237" i="88" s="1"/>
  <c r="X318" i="88" s="1"/>
  <c r="Z509" i="88"/>
  <c r="Z129" i="92"/>
  <c r="Z157" i="92"/>
  <c r="Y221" i="88"/>
  <c r="X222" i="88"/>
  <c r="AE209" i="90"/>
  <c r="AE252" i="90" s="1"/>
  <c r="W150" i="88"/>
  <c r="W198" i="88" s="1"/>
  <c r="AK72" i="90"/>
  <c r="AI204" i="90"/>
  <c r="AI205" i="90" s="1"/>
  <c r="X312" i="88"/>
  <c r="W313" i="88"/>
  <c r="Z484" i="90"/>
  <c r="Z608" i="90"/>
  <c r="Z609" i="90" s="1"/>
  <c r="Z610" i="90" s="1"/>
  <c r="Z518" i="90" s="1"/>
  <c r="X473" i="88"/>
  <c r="Y472" i="88"/>
  <c r="AF210" i="90"/>
  <c r="AF211" i="90" s="1"/>
  <c r="AF253" i="90" s="1"/>
  <c r="AF136" i="90"/>
  <c r="AF17" i="90"/>
  <c r="AF20" i="90" s="1"/>
  <c r="AF21" i="90" s="1"/>
  <c r="AF22" i="90" s="1"/>
  <c r="AF23" i="90"/>
  <c r="AM69" i="90"/>
  <c r="N436" i="80"/>
  <c r="N612" i="80"/>
  <c r="T788" i="90"/>
  <c r="R475" i="90"/>
  <c r="X100" i="88"/>
  <c r="X150" i="88" s="1"/>
  <c r="Y97" i="88"/>
  <c r="AE239" i="90"/>
  <c r="AE259" i="90"/>
  <c r="AE639" i="90"/>
  <c r="AF667" i="90"/>
  <c r="AE707" i="90"/>
  <c r="AF692" i="90" s="1"/>
  <c r="AF702" i="90" s="1"/>
  <c r="X454" i="88"/>
  <c r="W457" i="88"/>
  <c r="W458" i="88" s="1"/>
  <c r="W459" i="88" s="1"/>
  <c r="AC55" i="92"/>
  <c r="AC85" i="92" s="1"/>
  <c r="AC83" i="92" s="1"/>
  <c r="AC63" i="92"/>
  <c r="AC89" i="92" s="1"/>
  <c r="AC87" i="92" s="1"/>
  <c r="AC119" i="92" s="1"/>
  <c r="AC57" i="92"/>
  <c r="T430" i="90"/>
  <c r="U785" i="90"/>
  <c r="AE237" i="92"/>
  <c r="AE131" i="92"/>
  <c r="W715" i="90"/>
  <c r="AA778" i="90"/>
  <c r="U196" i="88"/>
  <c r="Y130" i="88"/>
  <c r="X131" i="88"/>
  <c r="AA510" i="88"/>
  <c r="AB510" i="88"/>
  <c r="AC510" i="88"/>
  <c r="Z510" i="88"/>
  <c r="Y510" i="88"/>
  <c r="Z704" i="90"/>
  <c r="Z328" i="88"/>
  <c r="Z332" i="88" s="1"/>
  <c r="J511" i="88"/>
  <c r="Z484" i="88"/>
  <c r="Y151" i="88"/>
  <c r="AF664" i="90"/>
  <c r="O313" i="79"/>
  <c r="O421" i="79"/>
  <c r="AJ57" i="90"/>
  <c r="AK58" i="90"/>
  <c r="Z591" i="90"/>
  <c r="Y461" i="90"/>
  <c r="Y459" i="90" s="1"/>
  <c r="Y593" i="90"/>
  <c r="Y597" i="90" s="1"/>
  <c r="Y598" i="90" s="1"/>
  <c r="AD266" i="90"/>
  <c r="AD416" i="90"/>
  <c r="AD561" i="90"/>
  <c r="X281" i="56"/>
  <c r="X275" i="56"/>
  <c r="X349" i="56"/>
  <c r="AA787" i="90"/>
  <c r="AE23" i="90"/>
  <c r="AJ820" i="90"/>
  <c r="AJ855" i="90" s="1"/>
  <c r="AJ869" i="90" s="1"/>
  <c r="AG171" i="90"/>
  <c r="AG304" i="90"/>
  <c r="AG306" i="90" s="1"/>
  <c r="AG294" i="90" s="1"/>
  <c r="AG792" i="90"/>
  <c r="AG794" i="90" s="1"/>
  <c r="AG796" i="90" s="1"/>
  <c r="AG169" i="90"/>
  <c r="AG168" i="90"/>
  <c r="AJ139" i="90"/>
  <c r="AJ154" i="90" s="1"/>
  <c r="AJ132" i="90"/>
  <c r="AK125" i="90"/>
  <c r="AA343" i="90"/>
  <c r="AA344" i="90" s="1"/>
  <c r="AA338" i="90"/>
  <c r="AA339" i="90" s="1"/>
  <c r="AA323" i="90"/>
  <c r="AA324" i="90" s="1"/>
  <c r="AA333" i="90"/>
  <c r="AA334" i="90" s="1"/>
  <c r="AA348" i="90"/>
  <c r="AA349" i="90" s="1"/>
  <c r="AA328" i="90"/>
  <c r="AA329" i="90" s="1"/>
  <c r="AA353" i="90"/>
  <c r="AA354" i="90" s="1"/>
  <c r="AC364" i="90"/>
  <c r="AC361" i="90"/>
  <c r="AC400" i="90" s="1"/>
  <c r="AC401" i="90" s="1"/>
  <c r="AC412" i="90"/>
  <c r="AC375" i="90"/>
  <c r="AC286" i="90"/>
  <c r="AC722" i="90"/>
  <c r="AB721" i="90"/>
  <c r="AB469" i="90" s="1"/>
  <c r="M367" i="80"/>
  <c r="M374" i="80" s="1"/>
  <c r="M381" i="80" s="1"/>
  <c r="N450" i="80"/>
  <c r="N616" i="80" s="1"/>
  <c r="AG347" i="92"/>
  <c r="AG373" i="92" s="1"/>
  <c r="AF373" i="92"/>
  <c r="AF723" i="90"/>
  <c r="AL54" i="90"/>
  <c r="AB561" i="90"/>
  <c r="AB416" i="90"/>
  <c r="AB266" i="90"/>
  <c r="AI241" i="90"/>
  <c r="AI243" i="90"/>
  <c r="AD181" i="92"/>
  <c r="AD281" i="92"/>
  <c r="AD231" i="92"/>
  <c r="AD108" i="92"/>
  <c r="AD151" i="92"/>
  <c r="AD330" i="92"/>
  <c r="AD56" i="92"/>
  <c r="AD45" i="92"/>
  <c r="AD79" i="92"/>
  <c r="AD447" i="92"/>
  <c r="AD381" i="92"/>
  <c r="AD404" i="92"/>
  <c r="AE7" i="92"/>
  <c r="M396" i="80"/>
  <c r="N562" i="80"/>
  <c r="AD665" i="90"/>
  <c r="AC663" i="90"/>
  <c r="X772" i="90"/>
  <c r="AC724" i="90"/>
  <c r="AB780" i="90"/>
  <c r="AC759" i="90" s="1"/>
  <c r="AC773" i="90" s="1"/>
  <c r="K253" i="56"/>
  <c r="AJ236" i="90"/>
  <c r="AK77" i="90"/>
  <c r="AA286" i="92"/>
  <c r="AA156" i="92"/>
  <c r="AA121" i="92"/>
  <c r="Y133" i="92"/>
  <c r="Y161" i="92"/>
  <c r="Y167" i="92"/>
  <c r="Z355" i="64"/>
  <c r="Z356" i="64" s="1"/>
  <c r="Z278" i="64" s="1"/>
  <c r="Z246" i="64"/>
  <c r="L76" i="57"/>
  <c r="L47" i="57"/>
  <c r="AG818" i="90"/>
  <c r="AG853" i="90" s="1"/>
  <c r="AG867" i="90" s="1"/>
  <c r="AH427" i="90"/>
  <c r="AH562" i="90"/>
  <c r="AH576" i="90" s="1"/>
  <c r="AH577" i="90" s="1"/>
  <c r="AA606" i="90"/>
  <c r="AA589" i="90"/>
  <c r="AK76" i="90"/>
  <c r="X517" i="90"/>
  <c r="X69" i="57" s="1"/>
  <c r="X379" i="90"/>
  <c r="X380" i="90" s="1"/>
  <c r="X390" i="90" s="1"/>
  <c r="X392" i="90" s="1"/>
  <c r="AD286" i="90"/>
  <c r="AD364" i="90"/>
  <c r="AD361" i="90"/>
  <c r="AD400" i="90" s="1"/>
  <c r="AD401" i="90" s="1"/>
  <c r="AD412" i="90"/>
  <c r="AD375" i="90"/>
  <c r="W146" i="88"/>
  <c r="X144" i="88"/>
  <c r="R421" i="79"/>
  <c r="R423" i="79" s="1"/>
  <c r="R313" i="79"/>
  <c r="AL64" i="90"/>
  <c r="Z206" i="64"/>
  <c r="Y206" i="64"/>
  <c r="Y275" i="64"/>
  <c r="Y200" i="64"/>
  <c r="S136" i="92"/>
  <c r="Q242" i="92"/>
  <c r="Q138" i="92"/>
  <c r="X279" i="64"/>
  <c r="Y340" i="64"/>
  <c r="Y341" i="64" s="1"/>
  <c r="Y277" i="64" s="1"/>
  <c r="AA127" i="57"/>
  <c r="Z275" i="64"/>
  <c r="Z200" i="64"/>
  <c r="Z340" i="64"/>
  <c r="X29" i="88"/>
  <c r="Y28" i="88"/>
  <c r="Z160" i="88"/>
  <c r="Y232" i="88"/>
  <c r="Y175" i="88"/>
  <c r="Z173" i="88"/>
  <c r="U241" i="88"/>
  <c r="U322" i="88" s="1"/>
  <c r="U195" i="88"/>
  <c r="U190" i="88" s="1"/>
  <c r="U430" i="88"/>
  <c r="U228" i="88"/>
  <c r="U230" i="88" s="1"/>
  <c r="U235" i="88" s="1"/>
  <c r="U239" i="88" s="1"/>
  <c r="U317" i="88" s="1"/>
  <c r="U539" i="88"/>
  <c r="U563" i="88" s="1"/>
  <c r="Y197" i="88"/>
  <c r="Y204" i="88"/>
  <c r="Y209" i="88"/>
  <c r="Y15" i="88"/>
  <c r="U431" i="88"/>
  <c r="U448" i="88"/>
  <c r="S283" i="88"/>
  <c r="W140" i="88"/>
  <c r="W193" i="88" s="1"/>
  <c r="W19" i="88"/>
  <c r="W20" i="88" s="1"/>
  <c r="W11" i="88" s="1"/>
  <c r="W138" i="88"/>
  <c r="W142" i="88"/>
  <c r="W194" i="88" s="1"/>
  <c r="W156" i="88"/>
  <c r="U447" i="88"/>
  <c r="U268" i="88"/>
  <c r="U267" i="88" s="1"/>
  <c r="Y311" i="47"/>
  <c r="Y491" i="47"/>
  <c r="Y492" i="47" s="1"/>
  <c r="M365" i="47"/>
  <c r="M367" i="47" s="1"/>
  <c r="M281" i="47"/>
  <c r="L501" i="64"/>
  <c r="M519" i="64" s="1"/>
  <c r="M539" i="64" s="1"/>
  <c r="M541" i="64" s="1"/>
  <c r="M175" i="64" s="1"/>
  <c r="M308" i="64"/>
  <c r="M475" i="64" s="1"/>
  <c r="L224" i="64"/>
  <c r="L231" i="64" s="1"/>
  <c r="L239" i="64" s="1"/>
  <c r="S36" i="57" l="1"/>
  <c r="S65" i="57" s="1"/>
  <c r="S72" i="57" s="1"/>
  <c r="W372" i="64"/>
  <c r="W376" i="64" s="1"/>
  <c r="V233" i="64"/>
  <c r="V408" i="64"/>
  <c r="V409" i="64" s="1"/>
  <c r="Y567" i="56"/>
  <c r="Y581" i="56" s="1"/>
  <c r="AC316" i="92"/>
  <c r="AC317" i="92" s="1"/>
  <c r="R123" i="57"/>
  <c r="R194" i="57"/>
  <c r="H198" i="57" s="1"/>
  <c r="Y698" i="90"/>
  <c r="Y705" i="90"/>
  <c r="AJ155" i="90"/>
  <c r="AJ167" i="90" s="1"/>
  <c r="AJ304" i="90" s="1"/>
  <c r="V310" i="90"/>
  <c r="V311" i="90" s="1"/>
  <c r="V295" i="90" s="1"/>
  <c r="V292" i="90" s="1"/>
  <c r="V420" i="90" s="1"/>
  <c r="AI242" i="90"/>
  <c r="AI244" i="90" s="1"/>
  <c r="AG512" i="90"/>
  <c r="AF558" i="90"/>
  <c r="S363" i="47"/>
  <c r="W248" i="47"/>
  <c r="W253" i="47" s="1"/>
  <c r="U325" i="47"/>
  <c r="R321" i="47"/>
  <c r="R325" i="47" s="1"/>
  <c r="Y7" i="57"/>
  <c r="X404" i="47"/>
  <c r="X508" i="47"/>
  <c r="X532" i="47" s="1"/>
  <c r="V29" i="57"/>
  <c r="U271" i="47"/>
  <c r="W435" i="47"/>
  <c r="W323" i="47" s="1"/>
  <c r="W434" i="47"/>
  <c r="S322" i="47"/>
  <c r="S321" i="47" s="1"/>
  <c r="S423" i="47"/>
  <c r="S425" i="47" s="1"/>
  <c r="V270" i="47"/>
  <c r="W29" i="57" s="1"/>
  <c r="V215" i="47"/>
  <c r="V249" i="47" s="1"/>
  <c r="Y235" i="47"/>
  <c r="Y228" i="47" s="1"/>
  <c r="Y264" i="47" s="1"/>
  <c r="Y420" i="47"/>
  <c r="Y306" i="47" s="1"/>
  <c r="X235" i="47"/>
  <c r="X228" i="47" s="1"/>
  <c r="X264" i="47" s="1"/>
  <c r="X420" i="47"/>
  <c r="X306" i="47" s="1"/>
  <c r="T360" i="47"/>
  <c r="U67" i="57" s="1"/>
  <c r="Y223" i="47"/>
  <c r="Y419" i="47"/>
  <c r="Y307" i="47" s="1"/>
  <c r="Y200" i="47"/>
  <c r="Y185" i="47"/>
  <c r="Y227" i="47" s="1"/>
  <c r="W405" i="47"/>
  <c r="X18" i="57"/>
  <c r="X17" i="57" s="1"/>
  <c r="X23" i="57" s="1"/>
  <c r="W422" i="47"/>
  <c r="W266" i="47"/>
  <c r="Y262" i="47"/>
  <c r="Y416" i="47"/>
  <c r="Y418" i="47"/>
  <c r="Y305" i="47" s="1"/>
  <c r="V324" i="47"/>
  <c r="V436" i="47"/>
  <c r="V437" i="47" s="1"/>
  <c r="V438" i="47" s="1"/>
  <c r="V361" i="47" s="1"/>
  <c r="W71" i="57" s="1"/>
  <c r="X223" i="47"/>
  <c r="X248" i="47" s="1"/>
  <c r="X185" i="47"/>
  <c r="X227" i="47" s="1"/>
  <c r="X419" i="47"/>
  <c r="X307" i="47" s="1"/>
  <c r="X200" i="47"/>
  <c r="Q275" i="47"/>
  <c r="Q358" i="47" s="1"/>
  <c r="Q363" i="47" s="1"/>
  <c r="R125" i="57"/>
  <c r="R190" i="57"/>
  <c r="R195" i="57" s="1"/>
  <c r="S436" i="47"/>
  <c r="S324" i="47"/>
  <c r="W201" i="47"/>
  <c r="W186" i="47"/>
  <c r="W222" i="47" s="1"/>
  <c r="W202" i="47"/>
  <c r="W421" i="47"/>
  <c r="T361" i="47"/>
  <c r="V423" i="47"/>
  <c r="V425" i="47" s="1"/>
  <c r="V426" i="47" s="1"/>
  <c r="V360" i="47" s="1"/>
  <c r="W67" i="57" s="1"/>
  <c r="V322" i="47"/>
  <c r="V321" i="47" s="1"/>
  <c r="X304" i="47"/>
  <c r="X303" i="47" s="1"/>
  <c r="Q460" i="88"/>
  <c r="Q462" i="88" s="1"/>
  <c r="Q463" i="88" s="1"/>
  <c r="Q464" i="88" s="1"/>
  <c r="Q320" i="88" s="1"/>
  <c r="O463" i="88"/>
  <c r="O464" i="88" s="1"/>
  <c r="O320" i="88" s="1"/>
  <c r="O321" i="88" s="1"/>
  <c r="Q212" i="88"/>
  <c r="Q213" i="88" s="1"/>
  <c r="Q230" i="88"/>
  <c r="Q235" i="88" s="1"/>
  <c r="Q239" i="88" s="1"/>
  <c r="Q317" i="88" s="1"/>
  <c r="Q448" i="88"/>
  <c r="Q449" i="88" s="1"/>
  <c r="Q447" i="88"/>
  <c r="P452" i="88"/>
  <c r="P319" i="88" s="1"/>
  <c r="P463" i="88"/>
  <c r="P464" i="88" s="1"/>
  <c r="P320" i="88" s="1"/>
  <c r="V156" i="88"/>
  <c r="V445" i="88" s="1"/>
  <c r="V271" i="88" s="1"/>
  <c r="V138" i="88"/>
  <c r="V192" i="88" s="1"/>
  <c r="T202" i="88"/>
  <c r="T196" i="88" s="1"/>
  <c r="T233" i="88"/>
  <c r="T225" i="88"/>
  <c r="T539" i="88" s="1"/>
  <c r="T563" i="88" s="1"/>
  <c r="R195" i="88"/>
  <c r="R190" i="88" s="1"/>
  <c r="R212" i="88" s="1"/>
  <c r="R213" i="88" s="1"/>
  <c r="T444" i="88"/>
  <c r="T269" i="88" s="1"/>
  <c r="T267" i="88" s="1"/>
  <c r="V19" i="88"/>
  <c r="V20" i="88" s="1"/>
  <c r="V11" i="88" s="1"/>
  <c r="V225" i="88" s="1"/>
  <c r="V430" i="88" s="1"/>
  <c r="V142" i="88"/>
  <c r="V194" i="88" s="1"/>
  <c r="T158" i="88"/>
  <c r="T241" i="88" s="1"/>
  <c r="T322" i="88" s="1"/>
  <c r="T445" i="88"/>
  <c r="T271" i="88" s="1"/>
  <c r="T227" i="88"/>
  <c r="T431" i="88" s="1"/>
  <c r="S462" i="88"/>
  <c r="V203" i="88"/>
  <c r="R447" i="88"/>
  <c r="R451" i="88" s="1"/>
  <c r="S452" i="88" s="1"/>
  <c r="S319" i="88" s="1"/>
  <c r="R539" i="88"/>
  <c r="R563" i="88" s="1"/>
  <c r="R430" i="88"/>
  <c r="R460" i="88" s="1"/>
  <c r="R283" i="88" s="1"/>
  <c r="R281" i="88"/>
  <c r="R235" i="88"/>
  <c r="R239" i="88" s="1"/>
  <c r="R317" i="88" s="1"/>
  <c r="X211" i="88"/>
  <c r="L348" i="88"/>
  <c r="M347" i="88" s="1"/>
  <c r="M537" i="88" s="1"/>
  <c r="K266" i="88"/>
  <c r="K273" i="88" s="1"/>
  <c r="K277" i="88" s="1"/>
  <c r="K300" i="88" s="1"/>
  <c r="K564" i="88"/>
  <c r="L582" i="88" s="1"/>
  <c r="M602" i="88" s="1"/>
  <c r="M604" i="88" s="1"/>
  <c r="M243" i="88" s="1"/>
  <c r="M245" i="88" s="1"/>
  <c r="M247" i="88" s="1"/>
  <c r="M324" i="88" s="1"/>
  <c r="X207" i="88"/>
  <c r="X198" i="88"/>
  <c r="X201" i="88"/>
  <c r="X210" i="88"/>
  <c r="X208" i="88"/>
  <c r="L535" i="88"/>
  <c r="L540" i="88" s="1"/>
  <c r="L554" i="88" s="1"/>
  <c r="L561" i="88" s="1"/>
  <c r="L361" i="88"/>
  <c r="L362" i="88" s="1"/>
  <c r="L363" i="88" s="1"/>
  <c r="AB322" i="92"/>
  <c r="AB239" i="92" s="1"/>
  <c r="AE159" i="92"/>
  <c r="Z13" i="88"/>
  <c r="Z209" i="88" s="1"/>
  <c r="AA118" i="88"/>
  <c r="AA13" i="88" s="1"/>
  <c r="X152" i="88"/>
  <c r="X200" i="88" s="1"/>
  <c r="AC418" i="92"/>
  <c r="AC453" i="92" s="1"/>
  <c r="AC467" i="92" s="1"/>
  <c r="AG101" i="92"/>
  <c r="AG128" i="92" s="1"/>
  <c r="AG334" i="92"/>
  <c r="AG112" i="92"/>
  <c r="U324" i="90"/>
  <c r="T356" i="90"/>
  <c r="AC66" i="88"/>
  <c r="AB71" i="88"/>
  <c r="AB90" i="88" s="1"/>
  <c r="AB95" i="88" s="1"/>
  <c r="AB114" i="88" s="1"/>
  <c r="AB115" i="88" s="1"/>
  <c r="AC112" i="88" s="1"/>
  <c r="Z439" i="64"/>
  <c r="Z441" i="64" s="1"/>
  <c r="Z443" i="64" s="1"/>
  <c r="Z456" i="64"/>
  <c r="AE727" i="90"/>
  <c r="AD471" i="90"/>
  <c r="AD783" i="90"/>
  <c r="AE762" i="90" s="1"/>
  <c r="AE776" i="90" s="1"/>
  <c r="AB787" i="90"/>
  <c r="AC188" i="92"/>
  <c r="AC187" i="92" s="1"/>
  <c r="AC302" i="92"/>
  <c r="U590" i="90"/>
  <c r="T462" i="90"/>
  <c r="U462" i="90" s="1"/>
  <c r="T593" i="90"/>
  <c r="AD314" i="92"/>
  <c r="AD318" i="92"/>
  <c r="AD300" i="92"/>
  <c r="AD189" i="92" s="1"/>
  <c r="AD315" i="92"/>
  <c r="AD197" i="92" s="1"/>
  <c r="AD299" i="92"/>
  <c r="AD319" i="92"/>
  <c r="AD205" i="92" s="1"/>
  <c r="AD203" i="92" s="1"/>
  <c r="AC206" i="92"/>
  <c r="AC207" i="92" s="1"/>
  <c r="AC320" i="92"/>
  <c r="AC321" i="92" s="1"/>
  <c r="Y301" i="64"/>
  <c r="Y426" i="64"/>
  <c r="AA11" i="57"/>
  <c r="Z164" i="57"/>
  <c r="AA164" i="57" s="1"/>
  <c r="Z128" i="57"/>
  <c r="AA128" i="57" s="1"/>
  <c r="Z341" i="64"/>
  <c r="Z277" i="64" s="1"/>
  <c r="Z279" i="64" s="1"/>
  <c r="Y76" i="88"/>
  <c r="AE115" i="92"/>
  <c r="AE413" i="92"/>
  <c r="AE437" i="92" s="1"/>
  <c r="AE285" i="92"/>
  <c r="AE166" i="92"/>
  <c r="L254" i="64"/>
  <c r="M422" i="64"/>
  <c r="AH196" i="90"/>
  <c r="AH250" i="90" s="1"/>
  <c r="V42" i="57"/>
  <c r="U610" i="90"/>
  <c r="T518" i="90"/>
  <c r="AK53" i="90"/>
  <c r="AJ52" i="90"/>
  <c r="AJ240" i="90" s="1"/>
  <c r="AJ417" i="90" s="1"/>
  <c r="AF101" i="92"/>
  <c r="AF128" i="92" s="1"/>
  <c r="AF123" i="92" s="1"/>
  <c r="AF334" i="92"/>
  <c r="AF112" i="92"/>
  <c r="AG123" i="92"/>
  <c r="U190" i="57"/>
  <c r="U125" i="57"/>
  <c r="S134" i="57"/>
  <c r="R358" i="47"/>
  <c r="T275" i="47"/>
  <c r="Y522" i="88"/>
  <c r="Y485" i="88" s="1"/>
  <c r="Y237" i="88" s="1"/>
  <c r="Y318" i="88" s="1"/>
  <c r="N618" i="80"/>
  <c r="N634" i="80" s="1"/>
  <c r="N641" i="80" s="1"/>
  <c r="N644" i="80" s="1"/>
  <c r="O664" i="80" s="1"/>
  <c r="O686" i="80" s="1"/>
  <c r="O688" i="80" s="1"/>
  <c r="O313" i="80" s="1"/>
  <c r="O423" i="80" s="1"/>
  <c r="R319" i="79"/>
  <c r="R561" i="79" s="1"/>
  <c r="R568" i="79" s="1"/>
  <c r="R317" i="79"/>
  <c r="X779" i="90"/>
  <c r="AG237" i="92"/>
  <c r="AG131" i="92"/>
  <c r="AA591" i="90"/>
  <c r="Z461" i="90"/>
  <c r="Z459" i="90" s="1"/>
  <c r="Z487" i="90"/>
  <c r="Z481" i="90"/>
  <c r="R66" i="57"/>
  <c r="R36" i="57"/>
  <c r="R65" i="57" s="1"/>
  <c r="T546" i="88"/>
  <c r="T287" i="88" s="1"/>
  <c r="U543" i="88"/>
  <c r="U578" i="88" s="1"/>
  <c r="U592" i="88" s="1"/>
  <c r="AC268" i="90"/>
  <c r="AC267" i="90"/>
  <c r="AC377" i="90" s="1"/>
  <c r="Z531" i="88"/>
  <c r="Y532" i="88"/>
  <c r="AJ24" i="90"/>
  <c r="AJ26" i="90" s="1"/>
  <c r="AJ414" i="90" s="1"/>
  <c r="AJ359" i="90"/>
  <c r="AJ399" i="90" s="1"/>
  <c r="AJ303" i="90"/>
  <c r="AJ319" i="90"/>
  <c r="AM64" i="90"/>
  <c r="AF131" i="92"/>
  <c r="AF237" i="92"/>
  <c r="AG134" i="90"/>
  <c r="AG12" i="90"/>
  <c r="AG16" i="90" s="1"/>
  <c r="AG256" i="90"/>
  <c r="AG172" i="90"/>
  <c r="AG257" i="90"/>
  <c r="AG255" i="90"/>
  <c r="AG254" i="90"/>
  <c r="W717" i="90"/>
  <c r="AD424" i="92"/>
  <c r="AD426" i="92" s="1"/>
  <c r="AD259" i="92" s="1"/>
  <c r="AD418" i="92"/>
  <c r="AC420" i="92"/>
  <c r="AC210" i="92" s="1"/>
  <c r="AB287" i="90"/>
  <c r="AB316" i="90" s="1"/>
  <c r="AB317" i="90" s="1"/>
  <c r="AB315" i="90"/>
  <c r="AA153" i="88"/>
  <c r="Z154" i="88"/>
  <c r="AD706" i="90"/>
  <c r="AE691" i="90" s="1"/>
  <c r="AE701" i="90" s="1"/>
  <c r="AE666" i="90"/>
  <c r="AA356" i="90"/>
  <c r="AA288" i="90" s="1"/>
  <c r="AA289" i="90" s="1"/>
  <c r="AA782" i="90"/>
  <c r="AB761" i="90" s="1"/>
  <c r="AB775" i="90" s="1"/>
  <c r="AD267" i="90"/>
  <c r="AD377" i="90" s="1"/>
  <c r="AD268" i="90"/>
  <c r="AG667" i="90"/>
  <c r="AF707" i="90"/>
  <c r="AG692" i="90" s="1"/>
  <c r="AG702" i="90" s="1"/>
  <c r="Z472" i="88"/>
  <c r="Y473" i="88"/>
  <c r="AB814" i="90"/>
  <c r="AB838" i="90" s="1"/>
  <c r="AB560" i="90"/>
  <c r="AB418" i="90"/>
  <c r="Z261" i="88"/>
  <c r="Y262" i="88"/>
  <c r="W310" i="56"/>
  <c r="W429" i="56"/>
  <c r="W430" i="56" s="1"/>
  <c r="W435" i="56" s="1"/>
  <c r="W352" i="56" s="1"/>
  <c r="W353" i="56" s="1"/>
  <c r="K356" i="56"/>
  <c r="K358" i="56" s="1"/>
  <c r="L49" i="57"/>
  <c r="L77" i="57" s="1"/>
  <c r="L78" i="57" s="1"/>
  <c r="AG723" i="90"/>
  <c r="AG197" i="90"/>
  <c r="AG198" i="90" s="1"/>
  <c r="AG199" i="90"/>
  <c r="AG200" i="90" s="1"/>
  <c r="AG201" i="90"/>
  <c r="AB511" i="88"/>
  <c r="Z511" i="88"/>
  <c r="Z522" i="88" s="1"/>
  <c r="Z485" i="88" s="1"/>
  <c r="Z237" i="88" s="1"/>
  <c r="Z318" i="88" s="1"/>
  <c r="AD511" i="88"/>
  <c r="AA511" i="88"/>
  <c r="AC511" i="88"/>
  <c r="Z221" i="88"/>
  <c r="Y222" i="88"/>
  <c r="AH17" i="90"/>
  <c r="AH20" i="90" s="1"/>
  <c r="AH21" i="90" s="1"/>
  <c r="AH22" i="90" s="1"/>
  <c r="AA608" i="90"/>
  <c r="AA609" i="90" s="1"/>
  <c r="AA610" i="90" s="1"/>
  <c r="AA518" i="90" s="1"/>
  <c r="AA484" i="90"/>
  <c r="AA487" i="90" s="1"/>
  <c r="R515" i="90"/>
  <c r="R519" i="90" s="1"/>
  <c r="R437" i="90"/>
  <c r="R439" i="90" s="1"/>
  <c r="R445" i="90"/>
  <c r="AL76" i="90"/>
  <c r="AM54" i="90"/>
  <c r="AG147" i="90"/>
  <c r="AG194" i="90"/>
  <c r="AG193" i="90" s="1"/>
  <c r="AG249" i="90" s="1"/>
  <c r="AD569" i="90"/>
  <c r="AD592" i="90" s="1"/>
  <c r="AD570" i="90"/>
  <c r="AD581" i="90" s="1"/>
  <c r="AD583" i="90" s="1"/>
  <c r="AD584" i="90" s="1"/>
  <c r="AD590" i="90" s="1"/>
  <c r="AD462" i="90" s="1"/>
  <c r="AD602" i="90"/>
  <c r="AD607" i="90" s="1"/>
  <c r="AD483" i="90" s="1"/>
  <c r="AD571" i="90"/>
  <c r="AD594" i="90" s="1"/>
  <c r="Z97" i="88"/>
  <c r="Y100" i="88"/>
  <c r="N349" i="80"/>
  <c r="N341" i="80"/>
  <c r="N563" i="80"/>
  <c r="N579" i="80"/>
  <c r="N581" i="80" s="1"/>
  <c r="N583" i="80" s="1"/>
  <c r="Z72" i="88"/>
  <c r="AA68" i="88"/>
  <c r="Z74" i="88"/>
  <c r="AJ795" i="90"/>
  <c r="AF674" i="90"/>
  <c r="K255" i="56"/>
  <c r="Y454" i="88"/>
  <c r="X457" i="88"/>
  <c r="X458" i="88" s="1"/>
  <c r="X459" i="88" s="1"/>
  <c r="AE370" i="90"/>
  <c r="AE426" i="90"/>
  <c r="AE425" i="90"/>
  <c r="V756" i="90"/>
  <c r="V785" i="90" s="1"/>
  <c r="V430" i="90" s="1"/>
  <c r="V774" i="90"/>
  <c r="Z149" i="88"/>
  <c r="AH212" i="90"/>
  <c r="AH235" i="90"/>
  <c r="AK214" i="90"/>
  <c r="AK424" i="90"/>
  <c r="AF797" i="90"/>
  <c r="AE470" i="90"/>
  <c r="AL216" i="90"/>
  <c r="AM40" i="90"/>
  <c r="AD187" i="88"/>
  <c r="AE186" i="88"/>
  <c r="N396" i="79"/>
  <c r="N398" i="79" s="1"/>
  <c r="N400" i="79"/>
  <c r="N401" i="79" s="1"/>
  <c r="AE725" i="90"/>
  <c r="AH210" i="90"/>
  <c r="AH211" i="90" s="1"/>
  <c r="AH253" i="90" s="1"/>
  <c r="AH136" i="90"/>
  <c r="X393" i="90"/>
  <c r="W310" i="90"/>
  <c r="W311" i="90" s="1"/>
  <c r="W295" i="90" s="1"/>
  <c r="W292" i="90" s="1"/>
  <c r="AC780" i="90"/>
  <c r="AD759" i="90" s="1"/>
  <c r="AD773" i="90" s="1"/>
  <c r="AD724" i="90"/>
  <c r="Y87" i="88"/>
  <c r="Z86" i="88"/>
  <c r="AJ241" i="90"/>
  <c r="AJ243" i="90"/>
  <c r="AG664" i="90"/>
  <c r="M402" i="80"/>
  <c r="M403" i="80" s="1"/>
  <c r="M398" i="80"/>
  <c r="M400" i="80" s="1"/>
  <c r="M405" i="80" s="1"/>
  <c r="Z130" i="88"/>
  <c r="Y131" i="88"/>
  <c r="Z426" i="88"/>
  <c r="Y427" i="88"/>
  <c r="AE248" i="90"/>
  <c r="AE238" i="90"/>
  <c r="AE247" i="90"/>
  <c r="AE258" i="90" s="1"/>
  <c r="AE260" i="90" s="1"/>
  <c r="AE415" i="90"/>
  <c r="AC771" i="90"/>
  <c r="AG710" i="90"/>
  <c r="AP67" i="90"/>
  <c r="AA176" i="88"/>
  <c r="AB42" i="88"/>
  <c r="AL70" i="90"/>
  <c r="Z593" i="90"/>
  <c r="Z597" i="90" s="1"/>
  <c r="Z598" i="90" s="1"/>
  <c r="AG251" i="90"/>
  <c r="AG726" i="90"/>
  <c r="AB569" i="90"/>
  <c r="AB592" i="90" s="1"/>
  <c r="AB571" i="90"/>
  <c r="AB594" i="90" s="1"/>
  <c r="AB602" i="90"/>
  <c r="AB607" i="90" s="1"/>
  <c r="AB483" i="90" s="1"/>
  <c r="AB570" i="90"/>
  <c r="AB581" i="90" s="1"/>
  <c r="AB583" i="90" s="1"/>
  <c r="AB584" i="90" s="1"/>
  <c r="AB590" i="90" s="1"/>
  <c r="AB462" i="90" s="1"/>
  <c r="Y379" i="90"/>
  <c r="Y380" i="90" s="1"/>
  <c r="Y390" i="90" s="1"/>
  <c r="Y392" i="90" s="1"/>
  <c r="Y517" i="90"/>
  <c r="Y69" i="57" s="1"/>
  <c r="AF413" i="90"/>
  <c r="AF301" i="90"/>
  <c r="AF11" i="90"/>
  <c r="AD315" i="90"/>
  <c r="AD287" i="90"/>
  <c r="AD316" i="90" s="1"/>
  <c r="AD317" i="90" s="1"/>
  <c r="AC814" i="90"/>
  <c r="AC838" i="90" s="1"/>
  <c r="AC418" i="90"/>
  <c r="AC560" i="90"/>
  <c r="AI322" i="90"/>
  <c r="AI347" i="90"/>
  <c r="AI327" i="90"/>
  <c r="AI332" i="90"/>
  <c r="AI337" i="90"/>
  <c r="AI352" i="90"/>
  <c r="AI342" i="90"/>
  <c r="AD338" i="92"/>
  <c r="AD343" i="92" s="1"/>
  <c r="AC195" i="92"/>
  <c r="AE665" i="90"/>
  <c r="AD663" i="90"/>
  <c r="AL125" i="90"/>
  <c r="AK139" i="90"/>
  <c r="AK155" i="90" s="1"/>
  <c r="AK132" i="90"/>
  <c r="O317" i="79"/>
  <c r="O315" i="79" s="1"/>
  <c r="O422" i="79" s="1"/>
  <c r="O423" i="79" s="1"/>
  <c r="X544" i="88"/>
  <c r="AG345" i="92"/>
  <c r="AG348" i="92" s="1"/>
  <c r="AG196" i="92" s="1"/>
  <c r="AF196" i="92"/>
  <c r="Q534" i="90"/>
  <c r="Q810" i="90"/>
  <c r="Q815" i="90" s="1"/>
  <c r="Q829" i="90" s="1"/>
  <c r="Q836" i="90" s="1"/>
  <c r="AB778" i="90"/>
  <c r="AI203" i="90"/>
  <c r="AA479" i="88"/>
  <c r="AA481" i="88" s="1"/>
  <c r="AC95" i="92"/>
  <c r="AC96" i="92" s="1"/>
  <c r="AC118" i="92"/>
  <c r="AC117" i="92" s="1"/>
  <c r="AA129" i="92"/>
  <c r="AA157" i="92"/>
  <c r="AC287" i="90"/>
  <c r="AC316" i="90" s="1"/>
  <c r="AC317" i="90" s="1"/>
  <c r="AC315" i="90"/>
  <c r="AL72" i="90"/>
  <c r="AG819" i="90"/>
  <c r="AG854" i="90" s="1"/>
  <c r="AG868" i="90" s="1"/>
  <c r="AI171" i="90"/>
  <c r="AI304" i="90"/>
  <c r="AI306" i="90" s="1"/>
  <c r="AI294" i="90" s="1"/>
  <c r="AI792" i="90"/>
  <c r="AI794" i="90" s="1"/>
  <c r="AI796" i="90" s="1"/>
  <c r="AI169" i="90"/>
  <c r="AI168" i="90"/>
  <c r="Y236" i="92"/>
  <c r="Y240" i="92" s="1"/>
  <c r="Y162" i="92"/>
  <c r="Y168" i="92"/>
  <c r="AD722" i="90"/>
  <c r="AC721" i="90"/>
  <c r="AC469" i="90" s="1"/>
  <c r="R544" i="90"/>
  <c r="R812" i="90" s="1"/>
  <c r="U544" i="90"/>
  <c r="Q839" i="90"/>
  <c r="R857" i="90" s="1"/>
  <c r="S544" i="90"/>
  <c r="S545" i="90" s="1"/>
  <c r="T544" i="90" s="1"/>
  <c r="T812" i="90" s="1"/>
  <c r="U812" i="90" s="1"/>
  <c r="Q458" i="90"/>
  <c r="Q463" i="90" s="1"/>
  <c r="Q478" i="90" s="1"/>
  <c r="Q504" i="90" s="1"/>
  <c r="W443" i="88"/>
  <c r="W272" i="88" s="1"/>
  <c r="W199" i="88"/>
  <c r="W206" i="88"/>
  <c r="W203" i="88" s="1"/>
  <c r="T516" i="90"/>
  <c r="U516" i="90" s="1"/>
  <c r="T34" i="57"/>
  <c r="T66" i="57" s="1"/>
  <c r="U430" i="90"/>
  <c r="U34" i="57" s="1"/>
  <c r="Z96" i="88"/>
  <c r="Y99" i="88"/>
  <c r="Y574" i="88"/>
  <c r="Z573" i="88"/>
  <c r="AO55" i="90"/>
  <c r="U212" i="88"/>
  <c r="U213" i="88" s="1"/>
  <c r="AF854" i="90"/>
  <c r="AF868" i="90" s="1"/>
  <c r="AF209" i="90"/>
  <c r="AF252" i="90" s="1"/>
  <c r="W579" i="88"/>
  <c r="W593" i="88" s="1"/>
  <c r="AF188" i="90"/>
  <c r="T475" i="90"/>
  <c r="U475" i="90" s="1"/>
  <c r="U788" i="90"/>
  <c r="Y152" i="88"/>
  <c r="Y200" i="88" s="1"/>
  <c r="Z151" i="88"/>
  <c r="AE56" i="92"/>
  <c r="AE181" i="92"/>
  <c r="AE281" i="92"/>
  <c r="AE447" i="92"/>
  <c r="AE45" i="92"/>
  <c r="AE79" i="92"/>
  <c r="AE381" i="92"/>
  <c r="AE404" i="92"/>
  <c r="AF7" i="92"/>
  <c r="AE231" i="92"/>
  <c r="AE151" i="92"/>
  <c r="AE330" i="92"/>
  <c r="AE108" i="92"/>
  <c r="AH191" i="90"/>
  <c r="AH189" i="90"/>
  <c r="AH190" i="90"/>
  <c r="AB268" i="90"/>
  <c r="AB267" i="90"/>
  <c r="AB377" i="90" s="1"/>
  <c r="AI562" i="90"/>
  <c r="AI576" i="90" s="1"/>
  <c r="AI577" i="90" s="1"/>
  <c r="AI427" i="90"/>
  <c r="AB478" i="88"/>
  <c r="AC41" i="88"/>
  <c r="AB477" i="88"/>
  <c r="T523" i="88"/>
  <c r="T524" i="88" s="1"/>
  <c r="T275" i="88"/>
  <c r="U483" i="88"/>
  <c r="U488" i="88" s="1"/>
  <c r="AD560" i="90"/>
  <c r="AD418" i="90"/>
  <c r="AD814" i="90"/>
  <c r="AD838" i="90" s="1"/>
  <c r="AC357" i="88"/>
  <c r="AB358" i="88"/>
  <c r="Y144" i="88"/>
  <c r="X146" i="88"/>
  <c r="AC472" i="90"/>
  <c r="AE413" i="90"/>
  <c r="AE301" i="90"/>
  <c r="AE11" i="90"/>
  <c r="AF639" i="90"/>
  <c r="AN69" i="90"/>
  <c r="Y312" i="88"/>
  <c r="X313" i="88"/>
  <c r="AF239" i="90"/>
  <c r="AF259" i="90"/>
  <c r="AB286" i="92"/>
  <c r="AB156" i="92"/>
  <c r="AB121" i="92"/>
  <c r="AF417" i="92"/>
  <c r="AF452" i="92" s="1"/>
  <c r="AF466" i="92" s="1"/>
  <c r="AE73" i="88"/>
  <c r="AF67" i="88"/>
  <c r="Z367" i="90"/>
  <c r="Z371" i="90" s="1"/>
  <c r="Z376" i="90"/>
  <c r="Z290" i="90"/>
  <c r="Z422" i="90"/>
  <c r="Z308" i="90"/>
  <c r="Z309" i="90" s="1"/>
  <c r="AD55" i="92"/>
  <c r="AD85" i="92" s="1"/>
  <c r="AD83" i="92" s="1"/>
  <c r="AD57" i="92"/>
  <c r="AD63" i="92"/>
  <c r="AD89" i="92" s="1"/>
  <c r="AD87" i="92" s="1"/>
  <c r="AD119" i="92" s="1"/>
  <c r="AA689" i="90"/>
  <c r="Z133" i="92"/>
  <c r="Z167" i="92"/>
  <c r="Z161" i="92"/>
  <c r="Y422" i="56"/>
  <c r="Y428" i="56" s="1"/>
  <c r="X428" i="56"/>
  <c r="AA460" i="90"/>
  <c r="AA366" i="90"/>
  <c r="AK236" i="90"/>
  <c r="AL77" i="90"/>
  <c r="AJ792" i="90"/>
  <c r="AJ794" i="90" s="1"/>
  <c r="AJ171" i="90"/>
  <c r="AJ254" i="90" s="1"/>
  <c r="AJ204" i="90"/>
  <c r="AJ205" i="90" s="1"/>
  <c r="AH818" i="90"/>
  <c r="AH853" i="90" s="1"/>
  <c r="AH867" i="90" s="1"/>
  <c r="R446" i="79"/>
  <c r="R449" i="79" s="1"/>
  <c r="R432" i="79"/>
  <c r="AK820" i="90"/>
  <c r="AK855" i="90" s="1"/>
  <c r="AK869" i="90" s="1"/>
  <c r="AL58" i="90"/>
  <c r="AK57" i="90"/>
  <c r="AC570" i="90"/>
  <c r="AC581" i="90" s="1"/>
  <c r="AC583" i="90" s="1"/>
  <c r="AC584" i="90" s="1"/>
  <c r="AC590" i="90" s="1"/>
  <c r="AC462" i="90" s="1"/>
  <c r="AC602" i="90"/>
  <c r="AC607" i="90" s="1"/>
  <c r="AC483" i="90" s="1"/>
  <c r="AC569" i="90"/>
  <c r="AC592" i="90" s="1"/>
  <c r="AC571" i="90"/>
  <c r="AC594" i="90" s="1"/>
  <c r="AH124" i="70"/>
  <c r="AK18" i="90"/>
  <c r="AD675" i="90"/>
  <c r="AC673" i="90"/>
  <c r="AC786" i="90" s="1"/>
  <c r="AC473" i="90" s="1"/>
  <c r="W545" i="88"/>
  <c r="Y279" i="64"/>
  <c r="AF821" i="90"/>
  <c r="AF492" i="90" s="1"/>
  <c r="T578" i="88"/>
  <c r="T592" i="88" s="1"/>
  <c r="T136" i="92"/>
  <c r="T138" i="92" s="1"/>
  <c r="S138" i="92"/>
  <c r="S242" i="92"/>
  <c r="Q140" i="92"/>
  <c r="Q142" i="92" s="1"/>
  <c r="Z28" i="88"/>
  <c r="Y29" i="88"/>
  <c r="AA160" i="88"/>
  <c r="Z232" i="88"/>
  <c r="AA173" i="88"/>
  <c r="Z175" i="88"/>
  <c r="S284" i="88"/>
  <c r="W444" i="88"/>
  <c r="W269" i="88" s="1"/>
  <c r="W442" i="88"/>
  <c r="W225" i="88"/>
  <c r="X142" i="88"/>
  <c r="X194" i="88" s="1"/>
  <c r="X140" i="88"/>
  <c r="X193" i="88" s="1"/>
  <c r="X138" i="88"/>
  <c r="X19" i="88"/>
  <c r="X20" i="88" s="1"/>
  <c r="X11" i="88" s="1"/>
  <c r="X156" i="88"/>
  <c r="U461" i="88"/>
  <c r="U282" i="88" s="1"/>
  <c r="U460" i="88"/>
  <c r="U449" i="88"/>
  <c r="U451" i="88" s="1"/>
  <c r="U281" i="88"/>
  <c r="W202" i="88"/>
  <c r="W158" i="88"/>
  <c r="W445" i="88"/>
  <c r="W271" i="88" s="1"/>
  <c r="W227" i="88"/>
  <c r="W446" i="88"/>
  <c r="W270" i="88" s="1"/>
  <c r="W192" i="88"/>
  <c r="W233" i="88"/>
  <c r="Y210" i="88"/>
  <c r="Y16" i="88"/>
  <c r="Y208" i="88"/>
  <c r="Y201" i="88"/>
  <c r="Y211" i="88"/>
  <c r="Y207" i="88"/>
  <c r="M376" i="47"/>
  <c r="M284" i="47"/>
  <c r="M286" i="47"/>
  <c r="M281" i="64"/>
  <c r="M283" i="64" s="1"/>
  <c r="M177" i="64"/>
  <c r="M180" i="64" s="1"/>
  <c r="W233" i="64" l="1"/>
  <c r="W408" i="64"/>
  <c r="W409" i="64" s="1"/>
  <c r="X372" i="64"/>
  <c r="X376" i="64" s="1"/>
  <c r="AG159" i="92"/>
  <c r="R134" i="57"/>
  <c r="H200" i="57"/>
  <c r="H194" i="57"/>
  <c r="H199" i="57"/>
  <c r="AJ168" i="90"/>
  <c r="AJ147" i="90" s="1"/>
  <c r="AJ169" i="90"/>
  <c r="AJ201" i="90" s="1"/>
  <c r="AJ206" i="90"/>
  <c r="V423" i="90"/>
  <c r="V261" i="90" s="1"/>
  <c r="V262" i="90" s="1"/>
  <c r="H197" i="57"/>
  <c r="Y703" i="90"/>
  <c r="Z690" i="90"/>
  <c r="AJ242" i="90"/>
  <c r="AJ244" i="90" s="1"/>
  <c r="AH512" i="90"/>
  <c r="AG558" i="90"/>
  <c r="AA481" i="90"/>
  <c r="AH188" i="90"/>
  <c r="V271" i="47"/>
  <c r="V275" i="47" s="1"/>
  <c r="V358" i="47" s="1"/>
  <c r="V363" i="47" s="1"/>
  <c r="X253" i="47"/>
  <c r="Y6" i="57"/>
  <c r="Y135" i="57" s="1"/>
  <c r="S325" i="47"/>
  <c r="W322" i="47"/>
  <c r="W321" i="47" s="1"/>
  <c r="W423" i="47"/>
  <c r="W425" i="47" s="1"/>
  <c r="W426" i="47" s="1"/>
  <c r="W360" i="47" s="1"/>
  <c r="X67" i="57" s="1"/>
  <c r="S437" i="47"/>
  <c r="S438" i="47" s="1"/>
  <c r="T437" i="47"/>
  <c r="T438" i="47" s="1"/>
  <c r="X405" i="47"/>
  <c r="X422" i="47"/>
  <c r="Y18" i="57"/>
  <c r="Y17" i="57" s="1"/>
  <c r="X266" i="47"/>
  <c r="W436" i="47"/>
  <c r="W437" i="47" s="1"/>
  <c r="W438" i="47" s="1"/>
  <c r="W361" i="47" s="1"/>
  <c r="X71" i="57" s="1"/>
  <c r="W324" i="47"/>
  <c r="X421" i="47"/>
  <c r="H195" i="57"/>
  <c r="R196" i="57"/>
  <c r="H196" i="57" s="1"/>
  <c r="V325" i="47"/>
  <c r="Z18" i="57"/>
  <c r="Z17" i="57" s="1"/>
  <c r="Y422" i="47"/>
  <c r="Y405" i="47"/>
  <c r="V125" i="57"/>
  <c r="U275" i="47"/>
  <c r="U358" i="47" s="1"/>
  <c r="U363" i="47" s="1"/>
  <c r="Y186" i="47"/>
  <c r="Y222" i="47" s="1"/>
  <c r="Y201" i="47"/>
  <c r="Y202" i="47"/>
  <c r="Y421" i="47"/>
  <c r="Y304" i="47"/>
  <c r="Y303" i="47" s="1"/>
  <c r="W270" i="47"/>
  <c r="X29" i="57" s="1"/>
  <c r="W215" i="47"/>
  <c r="W249" i="47" s="1"/>
  <c r="X202" i="47"/>
  <c r="X201" i="47"/>
  <c r="X186" i="47"/>
  <c r="X222" i="47" s="1"/>
  <c r="Y404" i="47"/>
  <c r="Y508" i="47"/>
  <c r="Y532" i="47" s="1"/>
  <c r="Y266" i="47"/>
  <c r="Z7" i="57"/>
  <c r="Z6" i="57" s="1"/>
  <c r="Z135" i="57" s="1"/>
  <c r="Y248" i="47"/>
  <c r="Y253" i="47" s="1"/>
  <c r="S426" i="47"/>
  <c r="T426" i="47"/>
  <c r="X435" i="47"/>
  <c r="X323" i="47" s="1"/>
  <c r="X434" i="47"/>
  <c r="AD316" i="92"/>
  <c r="AD317" i="92" s="1"/>
  <c r="AC322" i="92"/>
  <c r="AC239" i="92" s="1"/>
  <c r="AF159" i="92"/>
  <c r="Q283" i="88"/>
  <c r="Q281" i="88"/>
  <c r="Q280" i="88" s="1"/>
  <c r="Q451" i="88"/>
  <c r="Q452" i="88" s="1"/>
  <c r="Q319" i="88" s="1"/>
  <c r="Q321" i="88" s="1"/>
  <c r="P321" i="88"/>
  <c r="V227" i="88"/>
  <c r="V431" i="88" s="1"/>
  <c r="V202" i="88"/>
  <c r="V196" i="88" s="1"/>
  <c r="V158" i="88"/>
  <c r="V241" i="88" s="1"/>
  <c r="V322" i="88" s="1"/>
  <c r="V446" i="88"/>
  <c r="V270" i="88" s="1"/>
  <c r="T228" i="88"/>
  <c r="T230" i="88" s="1"/>
  <c r="T235" i="88" s="1"/>
  <c r="T239" i="88" s="1"/>
  <c r="T317" i="88" s="1"/>
  <c r="T430" i="88"/>
  <c r="T460" i="88" s="1"/>
  <c r="V233" i="88"/>
  <c r="V442" i="88"/>
  <c r="V268" i="88" s="1"/>
  <c r="V228" i="88"/>
  <c r="V539" i="88"/>
  <c r="V563" i="88" s="1"/>
  <c r="T448" i="88"/>
  <c r="T281" i="88" s="1"/>
  <c r="V444" i="88"/>
  <c r="V269" i="88" s="1"/>
  <c r="T195" i="88"/>
  <c r="T190" i="88" s="1"/>
  <c r="T212" i="88" s="1"/>
  <c r="T213" i="88" s="1"/>
  <c r="T447" i="88"/>
  <c r="L266" i="88"/>
  <c r="L273" i="88" s="1"/>
  <c r="L277" i="88" s="1"/>
  <c r="L300" i="88" s="1"/>
  <c r="R461" i="88"/>
  <c r="R282" i="88" s="1"/>
  <c r="R280" i="88" s="1"/>
  <c r="R284" i="88" s="1"/>
  <c r="M323" i="88"/>
  <c r="M325" i="88" s="1"/>
  <c r="M345" i="88" s="1"/>
  <c r="M348" i="88" s="1"/>
  <c r="L564" i="88"/>
  <c r="M582" i="88" s="1"/>
  <c r="N602" i="88" s="1"/>
  <c r="N604" i="88" s="1"/>
  <c r="N243" i="88" s="1"/>
  <c r="N323" i="88" s="1"/>
  <c r="M248" i="88"/>
  <c r="M294" i="88" s="1"/>
  <c r="M298" i="88" s="1"/>
  <c r="Z204" i="88"/>
  <c r="Z197" i="88"/>
  <c r="Z15" i="88"/>
  <c r="Z16" i="88" s="1"/>
  <c r="AA119" i="88"/>
  <c r="AB117" i="88" s="1"/>
  <c r="AB118" i="88" s="1"/>
  <c r="AB13" i="88" s="1"/>
  <c r="U518" i="90"/>
  <c r="U71" i="57"/>
  <c r="AE314" i="92"/>
  <c r="AE318" i="92"/>
  <c r="AE299" i="92"/>
  <c r="AE315" i="92"/>
  <c r="AE197" i="92" s="1"/>
  <c r="AE319" i="92"/>
  <c r="AE205" i="92" s="1"/>
  <c r="AE203" i="92" s="1"/>
  <c r="AE300" i="92"/>
  <c r="AE189" i="92" s="1"/>
  <c r="AC71" i="88"/>
  <c r="AC90" i="88" s="1"/>
  <c r="AC95" i="88" s="1"/>
  <c r="AC114" i="88" s="1"/>
  <c r="AC115" i="88" s="1"/>
  <c r="AD112" i="88" s="1"/>
  <c r="AD66" i="88"/>
  <c r="Y150" i="88"/>
  <c r="Y198" i="88" s="1"/>
  <c r="AF166" i="92"/>
  <c r="AF285" i="92"/>
  <c r="AF413" i="92"/>
  <c r="AF437" i="92" s="1"/>
  <c r="AF115" i="92"/>
  <c r="T597" i="90"/>
  <c r="U593" i="90"/>
  <c r="AD206" i="92"/>
  <c r="AD207" i="92" s="1"/>
  <c r="AD320" i="92"/>
  <c r="AD321" i="92" s="1"/>
  <c r="AD322" i="92" s="1"/>
  <c r="AD239" i="92" s="1"/>
  <c r="AA42" i="57"/>
  <c r="V75" i="57"/>
  <c r="V174" i="57" s="1"/>
  <c r="U356" i="90"/>
  <c r="T288" i="90"/>
  <c r="AE471" i="90"/>
  <c r="AF727" i="90"/>
  <c r="AE783" i="90"/>
  <c r="AF762" i="90" s="1"/>
  <c r="AF776" i="90" s="1"/>
  <c r="L256" i="64"/>
  <c r="L258" i="64" s="1"/>
  <c r="L260" i="64"/>
  <c r="L261" i="64" s="1"/>
  <c r="AD188" i="92"/>
  <c r="AD187" i="92" s="1"/>
  <c r="AD302" i="92"/>
  <c r="Z426" i="64"/>
  <c r="Z301" i="64"/>
  <c r="Z76" i="88"/>
  <c r="AG285" i="92"/>
  <c r="AG115" i="92"/>
  <c r="AG166" i="92"/>
  <c r="AG413" i="92"/>
  <c r="AG437" i="92" s="1"/>
  <c r="AC787" i="90"/>
  <c r="AJ203" i="90"/>
  <c r="AJ251" i="90" s="1"/>
  <c r="AL53" i="90"/>
  <c r="AK52" i="90"/>
  <c r="AK240" i="90" s="1"/>
  <c r="AK242" i="90" s="1"/>
  <c r="U195" i="57"/>
  <c r="V190" i="57"/>
  <c r="T358" i="47"/>
  <c r="R363" i="47"/>
  <c r="T363" i="47" s="1"/>
  <c r="W196" i="88"/>
  <c r="O315" i="80"/>
  <c r="O319" i="80" s="1"/>
  <c r="O317" i="80" s="1"/>
  <c r="O424" i="80" s="1"/>
  <c r="O425" i="80" s="1"/>
  <c r="O434" i="80" s="1"/>
  <c r="L54" i="57"/>
  <c r="L138" i="57" s="1"/>
  <c r="AB595" i="90"/>
  <c r="AB482" i="90"/>
  <c r="AK167" i="90"/>
  <c r="AK206" i="90"/>
  <c r="O432" i="79"/>
  <c r="O446" i="79"/>
  <c r="O449" i="79" s="1"/>
  <c r="O365" i="79" s="1"/>
  <c r="O372" i="79" s="1"/>
  <c r="O379" i="79" s="1"/>
  <c r="AB782" i="90"/>
  <c r="AC761" i="90" s="1"/>
  <c r="AC775" i="90" s="1"/>
  <c r="AD95" i="92"/>
  <c r="AD96" i="92" s="1"/>
  <c r="AD118" i="92"/>
  <c r="AD117" i="92" s="1"/>
  <c r="AF665" i="90"/>
  <c r="AE663" i="90"/>
  <c r="Y457" i="88"/>
  <c r="Y458" i="88" s="1"/>
  <c r="Y459" i="88" s="1"/>
  <c r="Z454" i="88"/>
  <c r="R440" i="90"/>
  <c r="R442" i="90"/>
  <c r="R522" i="90"/>
  <c r="R523" i="90" s="1"/>
  <c r="R52" i="57"/>
  <c r="R169" i="57" s="1"/>
  <c r="AJ306" i="90"/>
  <c r="AJ294" i="90" s="1"/>
  <c r="V483" i="88"/>
  <c r="V488" i="88" s="1"/>
  <c r="U275" i="88"/>
  <c r="U523" i="88"/>
  <c r="U524" i="88" s="1"/>
  <c r="AH819" i="90"/>
  <c r="AH854" i="90" s="1"/>
  <c r="AH868" i="90" s="1"/>
  <c r="AJ337" i="90"/>
  <c r="AJ347" i="90"/>
  <c r="AJ322" i="90"/>
  <c r="AJ342" i="90"/>
  <c r="AJ352" i="90"/>
  <c r="AJ332" i="90"/>
  <c r="AJ327" i="90"/>
  <c r="AB591" i="90"/>
  <c r="AC591" i="90" s="1"/>
  <c r="AD591" i="90" s="1"/>
  <c r="AD461" i="90" s="1"/>
  <c r="AA461" i="90"/>
  <c r="AA459" i="90" s="1"/>
  <c r="AM76" i="90"/>
  <c r="AE424" i="92"/>
  <c r="AE426" i="92" s="1"/>
  <c r="AE259" i="92" s="1"/>
  <c r="AD420" i="92"/>
  <c r="AD210" i="92" s="1"/>
  <c r="AN64" i="90"/>
  <c r="AB157" i="92"/>
  <c r="AB129" i="92"/>
  <c r="AJ197" i="90"/>
  <c r="AJ198" i="90" s="1"/>
  <c r="AJ199" i="90"/>
  <c r="AJ200" i="90" s="1"/>
  <c r="AM125" i="90"/>
  <c r="AL139" i="90"/>
  <c r="AL154" i="90" s="1"/>
  <c r="AL132" i="90"/>
  <c r="AD453" i="92"/>
  <c r="AD467" i="92" s="1"/>
  <c r="AE368" i="90"/>
  <c r="AE293" i="90"/>
  <c r="AB333" i="90"/>
  <c r="AB334" i="90" s="1"/>
  <c r="AB328" i="90"/>
  <c r="AB329" i="90" s="1"/>
  <c r="AB353" i="90"/>
  <c r="AB354" i="90" s="1"/>
  <c r="AB323" i="90"/>
  <c r="AB324" i="90" s="1"/>
  <c r="AB338" i="90"/>
  <c r="AB339" i="90" s="1"/>
  <c r="AB343" i="90"/>
  <c r="AB344" i="90" s="1"/>
  <c r="AB348" i="90"/>
  <c r="AB349" i="90" s="1"/>
  <c r="AD606" i="90"/>
  <c r="AD589" i="90"/>
  <c r="X443" i="88"/>
  <c r="X272" i="88" s="1"/>
  <c r="X206" i="88"/>
  <c r="X203" i="88" s="1"/>
  <c r="X199" i="88"/>
  <c r="X310" i="90"/>
  <c r="X311" i="90" s="1"/>
  <c r="X295" i="90" s="1"/>
  <c r="X292" i="90" s="1"/>
  <c r="Y393" i="90"/>
  <c r="AE187" i="88"/>
  <c r="AF186" i="88"/>
  <c r="AA74" i="88"/>
  <c r="AB68" i="88"/>
  <c r="AA72" i="88"/>
  <c r="AG191" i="90"/>
  <c r="AG189" i="90"/>
  <c r="AG190" i="90"/>
  <c r="AA472" i="88"/>
  <c r="Z473" i="88"/>
  <c r="AG417" i="92"/>
  <c r="AE286" i="90"/>
  <c r="AE364" i="90"/>
  <c r="AE412" i="90"/>
  <c r="AE375" i="90"/>
  <c r="AE361" i="90"/>
  <c r="AE400" i="90" s="1"/>
  <c r="AE401" i="90" s="1"/>
  <c r="AA151" i="88"/>
  <c r="AL424" i="90"/>
  <c r="AL214" i="90"/>
  <c r="AE63" i="92"/>
  <c r="AE89" i="92" s="1"/>
  <c r="AE87" i="92" s="1"/>
  <c r="AE119" i="92" s="1"/>
  <c r="AE55" i="92"/>
  <c r="AE85" i="92" s="1"/>
  <c r="AE83" i="92" s="1"/>
  <c r="AE57" i="92"/>
  <c r="AG639" i="90"/>
  <c r="AA149" i="88"/>
  <c r="Z131" i="88"/>
  <c r="AA130" i="88"/>
  <c r="W423" i="90"/>
  <c r="W261" i="90" s="1"/>
  <c r="W262" i="90" s="1"/>
  <c r="W420" i="90"/>
  <c r="AG212" i="90"/>
  <c r="AG235" i="90"/>
  <c r="V543" i="88"/>
  <c r="U546" i="88"/>
  <c r="U287" i="88" s="1"/>
  <c r="AI251" i="90"/>
  <c r="AH209" i="90"/>
  <c r="AH252" i="90" s="1"/>
  <c r="AJ12" i="90"/>
  <c r="AJ16" i="90" s="1"/>
  <c r="AJ256" i="90"/>
  <c r="AJ172" i="90"/>
  <c r="AJ134" i="90"/>
  <c r="AJ257" i="90"/>
  <c r="AJ255" i="90"/>
  <c r="AI257" i="90"/>
  <c r="AI134" i="90"/>
  <c r="AI12" i="90"/>
  <c r="AI16" i="90" s="1"/>
  <c r="AI256" i="90"/>
  <c r="AI172" i="90"/>
  <c r="AI255" i="90"/>
  <c r="AI254" i="90"/>
  <c r="Z236" i="92"/>
  <c r="Z240" i="92" s="1"/>
  <c r="Z168" i="92"/>
  <c r="Z162" i="92"/>
  <c r="U66" i="57"/>
  <c r="AQ67" i="90"/>
  <c r="X545" i="88"/>
  <c r="AI818" i="90"/>
  <c r="AI853" i="90" s="1"/>
  <c r="AI867" i="90" s="1"/>
  <c r="AG67" i="88"/>
  <c r="AF73" i="88"/>
  <c r="AO69" i="90"/>
  <c r="AC286" i="92"/>
  <c r="AC156" i="92"/>
  <c r="AC121" i="92"/>
  <c r="AE722" i="90"/>
  <c r="AD721" i="90"/>
  <c r="AD469" i="90" s="1"/>
  <c r="AA161" i="92"/>
  <c r="AA167" i="92"/>
  <c r="AA133" i="92"/>
  <c r="AB176" i="88"/>
  <c r="AC42" i="88"/>
  <c r="AH259" i="90"/>
  <c r="AH239" i="90"/>
  <c r="K367" i="56"/>
  <c r="K380" i="56"/>
  <c r="K383" i="56" s="1"/>
  <c r="S560" i="79"/>
  <c r="R394" i="79"/>
  <c r="R396" i="79" s="1"/>
  <c r="W580" i="88"/>
  <c r="W594" i="88" s="1"/>
  <c r="AG821" i="90"/>
  <c r="AG492" i="90" s="1"/>
  <c r="AH23" i="90"/>
  <c r="AD771" i="90"/>
  <c r="AD778" i="90" s="1"/>
  <c r="AI197" i="90"/>
  <c r="AI198" i="90" s="1"/>
  <c r="AI199" i="90"/>
  <c r="AI200" i="90" s="1"/>
  <c r="AI201" i="90"/>
  <c r="V25" i="57"/>
  <c r="V428" i="90"/>
  <c r="V516" i="90"/>
  <c r="V34" i="57"/>
  <c r="V66" i="57" s="1"/>
  <c r="AI147" i="90"/>
  <c r="AI194" i="90"/>
  <c r="AI193" i="90" s="1"/>
  <c r="AI249" i="90" s="1"/>
  <c r="AK204" i="90"/>
  <c r="AK205" i="90" s="1"/>
  <c r="AG210" i="90"/>
  <c r="AG211" i="90" s="1"/>
  <c r="AG253" i="90" s="1"/>
  <c r="AG136" i="90"/>
  <c r="L92" i="57"/>
  <c r="L93" i="57" s="1"/>
  <c r="L110" i="57"/>
  <c r="AB606" i="90"/>
  <c r="AB589" i="90"/>
  <c r="AE706" i="90"/>
  <c r="AF691" i="90" s="1"/>
  <c r="AF701" i="90" s="1"/>
  <c r="AF666" i="90"/>
  <c r="AA699" i="90"/>
  <c r="N443" i="80"/>
  <c r="N446" i="80" s="1"/>
  <c r="N448" i="80" s="1"/>
  <c r="N451" i="80" s="1"/>
  <c r="N566" i="80"/>
  <c r="N570" i="80" s="1"/>
  <c r="AG707" i="90"/>
  <c r="AH692" i="90" s="1"/>
  <c r="AH702" i="90" s="1"/>
  <c r="AH667" i="90"/>
  <c r="AG17" i="90"/>
  <c r="AG20" i="90" s="1"/>
  <c r="AG21" i="90" s="1"/>
  <c r="AG22" i="90" s="1"/>
  <c r="Y310" i="56"/>
  <c r="Y429" i="56"/>
  <c r="S448" i="79"/>
  <c r="S614" i="79" s="1"/>
  <c r="R365" i="79"/>
  <c r="R372" i="79" s="1"/>
  <c r="R379" i="79" s="1"/>
  <c r="R610" i="79"/>
  <c r="R616" i="79" s="1"/>
  <c r="R632" i="79" s="1"/>
  <c r="R639" i="79" s="1"/>
  <c r="R642" i="79" s="1"/>
  <c r="S662" i="79" s="1"/>
  <c r="S684" i="79" s="1"/>
  <c r="S686" i="79" s="1"/>
  <c r="S311" i="79" s="1"/>
  <c r="R434" i="79"/>
  <c r="AC343" i="90"/>
  <c r="AC344" i="90" s="1"/>
  <c r="AC353" i="90"/>
  <c r="AC354" i="90" s="1"/>
  <c r="AC323" i="90"/>
  <c r="AC324" i="90" s="1"/>
  <c r="AC328" i="90"/>
  <c r="AC329" i="90" s="1"/>
  <c r="AC333" i="90"/>
  <c r="AC334" i="90" s="1"/>
  <c r="AC338" i="90"/>
  <c r="AC339" i="90" s="1"/>
  <c r="AC348" i="90"/>
  <c r="AC349" i="90" s="1"/>
  <c r="AF286" i="90"/>
  <c r="AF364" i="90"/>
  <c r="AF361" i="90"/>
  <c r="AF400" i="90" s="1"/>
  <c r="AF401" i="90" s="1"/>
  <c r="AF412" i="90"/>
  <c r="AD780" i="90"/>
  <c r="AE759" i="90" s="1"/>
  <c r="AE773" i="90" s="1"/>
  <c r="AE724" i="90"/>
  <c r="AD482" i="90"/>
  <c r="AD595" i="90"/>
  <c r="AA376" i="90"/>
  <c r="AA367" i="90"/>
  <c r="AA371" i="90" s="1"/>
  <c r="AA422" i="90"/>
  <c r="AA290" i="90"/>
  <c r="AA308" i="90"/>
  <c r="AA309" i="90" s="1"/>
  <c r="AA531" i="88"/>
  <c r="Z532" i="88"/>
  <c r="AK154" i="90"/>
  <c r="O319" i="79"/>
  <c r="AA593" i="90"/>
  <c r="AA597" i="90" s="1"/>
  <c r="AA598" i="90" s="1"/>
  <c r="AH664" i="90"/>
  <c r="AC482" i="90"/>
  <c r="AC595" i="90"/>
  <c r="AD357" i="88"/>
  <c r="AC358" i="88"/>
  <c r="AK359" i="90"/>
  <c r="AK399" i="90" s="1"/>
  <c r="AK319" i="90"/>
  <c r="AK24" i="90"/>
  <c r="AK26" i="90" s="1"/>
  <c r="AK414" i="90" s="1"/>
  <c r="AK303" i="90"/>
  <c r="J512" i="88"/>
  <c r="AA328" i="88"/>
  <c r="AA332" i="88" s="1"/>
  <c r="AA484" i="88"/>
  <c r="AM216" i="90"/>
  <c r="AN40" i="90"/>
  <c r="AN54" i="90"/>
  <c r="AB153" i="88"/>
  <c r="AA154" i="88"/>
  <c r="AK795" i="90"/>
  <c r="AJ796" i="90"/>
  <c r="AC477" i="88"/>
  <c r="AC478" i="88"/>
  <c r="AD41" i="88"/>
  <c r="Y544" i="88"/>
  <c r="AD195" i="92"/>
  <c r="AE338" i="92"/>
  <c r="AE343" i="92" s="1"/>
  <c r="Z379" i="90"/>
  <c r="Z380" i="90" s="1"/>
  <c r="Z390" i="90" s="1"/>
  <c r="Z392" i="90" s="1"/>
  <c r="Z517" i="90"/>
  <c r="Z69" i="57" s="1"/>
  <c r="Z262" i="88"/>
  <c r="AA261" i="88"/>
  <c r="Y758" i="90"/>
  <c r="R72" i="57"/>
  <c r="AD472" i="90"/>
  <c r="AI124" i="70"/>
  <c r="AL18" i="90"/>
  <c r="AF725" i="90"/>
  <c r="V781" i="90"/>
  <c r="V770" i="90"/>
  <c r="V788" i="90" s="1"/>
  <c r="V475" i="90" s="1"/>
  <c r="AE675" i="90"/>
  <c r="AD673" i="90"/>
  <c r="AD786" i="90" s="1"/>
  <c r="AD473" i="90" s="1"/>
  <c r="Y146" i="88"/>
  <c r="Z144" i="88"/>
  <c r="AA221" i="88"/>
  <c r="Z222" i="88"/>
  <c r="X310" i="56"/>
  <c r="X429" i="56"/>
  <c r="X430" i="56" s="1"/>
  <c r="X435" i="56" s="1"/>
  <c r="X352" i="56" s="1"/>
  <c r="AL236" i="90"/>
  <c r="AM77" i="90"/>
  <c r="AG7" i="92"/>
  <c r="AF231" i="92"/>
  <c r="AF56" i="92"/>
  <c r="AF108" i="92"/>
  <c r="AF151" i="92"/>
  <c r="AF330" i="92"/>
  <c r="AF181" i="92"/>
  <c r="AF447" i="92"/>
  <c r="AF45" i="92"/>
  <c r="AF281" i="92"/>
  <c r="AF79" i="92"/>
  <c r="AF381" i="92"/>
  <c r="AF404" i="92"/>
  <c r="Z574" i="88"/>
  <c r="AA573" i="88"/>
  <c r="AE561" i="90"/>
  <c r="AE416" i="90"/>
  <c r="AE266" i="90"/>
  <c r="Z87" i="88"/>
  <c r="AA86" i="88"/>
  <c r="AG797" i="90"/>
  <c r="AF470" i="90"/>
  <c r="K276" i="56"/>
  <c r="K499" i="56"/>
  <c r="K506" i="56" s="1"/>
  <c r="K282" i="56"/>
  <c r="AH723" i="90"/>
  <c r="W718" i="90"/>
  <c r="AB479" i="88"/>
  <c r="AB481" i="88" s="1"/>
  <c r="X579" i="88"/>
  <c r="X593" i="88" s="1"/>
  <c r="AC606" i="90"/>
  <c r="AC589" i="90"/>
  <c r="AH710" i="90"/>
  <c r="Y313" i="88"/>
  <c r="Z312" i="88"/>
  <c r="AA96" i="88"/>
  <c r="Z99" i="88"/>
  <c r="Z152" i="88" s="1"/>
  <c r="AF293" i="90"/>
  <c r="AF368" i="90"/>
  <c r="AM70" i="90"/>
  <c r="AA426" i="88"/>
  <c r="Z427" i="88"/>
  <c r="AL820" i="90"/>
  <c r="AL855" i="90" s="1"/>
  <c r="AL869" i="90" s="1"/>
  <c r="AK241" i="90"/>
  <c r="AK243" i="90"/>
  <c r="AF425" i="90"/>
  <c r="AF370" i="90"/>
  <c r="AF426" i="90"/>
  <c r="AG674" i="90"/>
  <c r="AM58" i="90"/>
  <c r="AL57" i="90"/>
  <c r="AJ194" i="90"/>
  <c r="AJ193" i="90" s="1"/>
  <c r="AJ249" i="90" s="1"/>
  <c r="AF248" i="90"/>
  <c r="AF415" i="90"/>
  <c r="AF247" i="90"/>
  <c r="AF258" i="90" s="1"/>
  <c r="AF260" i="90" s="1"/>
  <c r="AF238" i="90"/>
  <c r="AP55" i="90"/>
  <c r="R877" i="90"/>
  <c r="R879" i="90" s="1"/>
  <c r="AM72" i="90"/>
  <c r="AD348" i="90"/>
  <c r="AD349" i="90" s="1"/>
  <c r="AD353" i="90"/>
  <c r="AD354" i="90" s="1"/>
  <c r="AD338" i="90"/>
  <c r="AD339" i="90" s="1"/>
  <c r="AD333" i="90"/>
  <c r="AD334" i="90" s="1"/>
  <c r="AD343" i="90"/>
  <c r="AD344" i="90" s="1"/>
  <c r="AD323" i="90"/>
  <c r="AD324" i="90" s="1"/>
  <c r="AD328" i="90"/>
  <c r="AD329" i="90" s="1"/>
  <c r="AH726" i="90"/>
  <c r="AJ562" i="90"/>
  <c r="AJ576" i="90" s="1"/>
  <c r="AJ577" i="90" s="1"/>
  <c r="AJ427" i="90"/>
  <c r="AA97" i="88"/>
  <c r="Z100" i="88"/>
  <c r="AC778" i="90"/>
  <c r="AG196" i="90"/>
  <c r="AG250" i="90" s="1"/>
  <c r="Q386" i="92"/>
  <c r="Q393" i="92" s="1"/>
  <c r="Q163" i="92"/>
  <c r="S163" i="92" s="1"/>
  <c r="T163" i="92" s="1"/>
  <c r="S140" i="92"/>
  <c r="S142" i="92" s="1"/>
  <c r="S386" i="92" s="1"/>
  <c r="S393" i="92" s="1"/>
  <c r="R50" i="57"/>
  <c r="R170" i="57" s="1"/>
  <c r="Q243" i="92"/>
  <c r="T242" i="92"/>
  <c r="Z29" i="88"/>
  <c r="AA28" i="88"/>
  <c r="AA232" i="88"/>
  <c r="AB160" i="88"/>
  <c r="U280" i="88"/>
  <c r="AB173" i="88"/>
  <c r="AA175" i="88"/>
  <c r="AA15" i="88"/>
  <c r="AA197" i="88"/>
  <c r="AA209" i="88"/>
  <c r="AA204" i="88"/>
  <c r="W447" i="88"/>
  <c r="W268" i="88"/>
  <c r="W267" i="88" s="1"/>
  <c r="W241" i="88"/>
  <c r="W322" i="88" s="1"/>
  <c r="W195" i="88"/>
  <c r="W190" i="88" s="1"/>
  <c r="W539" i="88"/>
  <c r="W563" i="88" s="1"/>
  <c r="W228" i="88"/>
  <c r="W230" i="88" s="1"/>
  <c r="W235" i="88" s="1"/>
  <c r="W239" i="88" s="1"/>
  <c r="W317" i="88" s="1"/>
  <c r="W430" i="88"/>
  <c r="X192" i="88"/>
  <c r="X233" i="88"/>
  <c r="X158" i="88"/>
  <c r="X445" i="88"/>
  <c r="X271" i="88" s="1"/>
  <c r="X202" i="88"/>
  <c r="X227" i="88"/>
  <c r="X446" i="88"/>
  <c r="X270" i="88" s="1"/>
  <c r="W431" i="88"/>
  <c r="W448" i="88"/>
  <c r="U283" i="88"/>
  <c r="U462" i="88"/>
  <c r="X225" i="88"/>
  <c r="X444" i="88"/>
  <c r="X269" i="88" s="1"/>
  <c r="X442" i="88"/>
  <c r="Y19" i="88"/>
  <c r="Y20" i="88" s="1"/>
  <c r="Y11" i="88" s="1"/>
  <c r="Y156" i="88"/>
  <c r="Y140" i="88"/>
  <c r="Y193" i="88" s="1"/>
  <c r="Y138" i="88"/>
  <c r="Y142" i="88"/>
  <c r="Y194" i="88" s="1"/>
  <c r="V460" i="88"/>
  <c r="V461" i="88"/>
  <c r="V282" i="88" s="1"/>
  <c r="M504" i="47"/>
  <c r="M509" i="47" s="1"/>
  <c r="M523" i="47" s="1"/>
  <c r="M378" i="47"/>
  <c r="M450" i="47"/>
  <c r="M452" i="47" s="1"/>
  <c r="M335" i="47"/>
  <c r="N333" i="47" s="1"/>
  <c r="M288" i="47"/>
  <c r="M291" i="47" s="1"/>
  <c r="M292" i="64"/>
  <c r="M207" i="64"/>
  <c r="M201" i="64"/>
  <c r="M423" i="64"/>
  <c r="M430" i="64" s="1"/>
  <c r="X233" i="64" l="1"/>
  <c r="X408" i="64"/>
  <c r="X409" i="64" s="1"/>
  <c r="Y372" i="64"/>
  <c r="Y376" i="64" s="1"/>
  <c r="AB461" i="90"/>
  <c r="Y430" i="56"/>
  <c r="Y435" i="56" s="1"/>
  <c r="Y352" i="56" s="1"/>
  <c r="Y353" i="56" s="1"/>
  <c r="Z700" i="90"/>
  <c r="Z688" i="90"/>
  <c r="AC461" i="90"/>
  <c r="AH415" i="90"/>
  <c r="AH248" i="90"/>
  <c r="AH238" i="90"/>
  <c r="AH416" i="90" s="1"/>
  <c r="AH558" i="90"/>
  <c r="AI512" i="90"/>
  <c r="AA7" i="57"/>
  <c r="AA6" i="57" s="1"/>
  <c r="AA135" i="57" s="1"/>
  <c r="W125" i="57"/>
  <c r="AA18" i="57"/>
  <c r="AA17" i="57" s="1"/>
  <c r="R452" i="88"/>
  <c r="R319" i="88" s="1"/>
  <c r="Y23" i="57"/>
  <c r="Z23" i="57"/>
  <c r="W325" i="47"/>
  <c r="X436" i="47"/>
  <c r="X437" i="47" s="1"/>
  <c r="X438" i="47" s="1"/>
  <c r="X361" i="47" s="1"/>
  <c r="Y71" i="57" s="1"/>
  <c r="X324" i="47"/>
  <c r="Y434" i="47"/>
  <c r="Y435" i="47"/>
  <c r="Y323" i="47" s="1"/>
  <c r="X270" i="47"/>
  <c r="Y29" i="57" s="1"/>
  <c r="X215" i="47"/>
  <c r="X249" i="47" s="1"/>
  <c r="Y322" i="47"/>
  <c r="Y423" i="47"/>
  <c r="Y425" i="47" s="1"/>
  <c r="Y270" i="47"/>
  <c r="Z29" i="57" s="1"/>
  <c r="Y215" i="47"/>
  <c r="Y249" i="47" s="1"/>
  <c r="X423" i="47"/>
  <c r="X425" i="47" s="1"/>
  <c r="X426" i="47" s="1"/>
  <c r="X360" i="47" s="1"/>
  <c r="Y67" i="57" s="1"/>
  <c r="X322" i="47"/>
  <c r="X321" i="47" s="1"/>
  <c r="W271" i="47"/>
  <c r="AE316" i="92"/>
  <c r="AE317" i="92" s="1"/>
  <c r="Q284" i="88"/>
  <c r="V230" i="88"/>
  <c r="V235" i="88" s="1"/>
  <c r="V239" i="88" s="1"/>
  <c r="V317" i="88" s="1"/>
  <c r="V195" i="88"/>
  <c r="V190" i="88" s="1"/>
  <c r="V212" i="88" s="1"/>
  <c r="V213" i="88" s="1"/>
  <c r="V448" i="88"/>
  <c r="V449" i="88" s="1"/>
  <c r="T461" i="88"/>
  <c r="T282" i="88" s="1"/>
  <c r="T280" i="88" s="1"/>
  <c r="V267" i="88"/>
  <c r="V447" i="88"/>
  <c r="T449" i="88"/>
  <c r="T451" i="88" s="1"/>
  <c r="R462" i="88"/>
  <c r="S463" i="88" s="1"/>
  <c r="S464" i="88" s="1"/>
  <c r="S320" i="88" s="1"/>
  <c r="S321" i="88" s="1"/>
  <c r="N245" i="88"/>
  <c r="N247" i="88" s="1"/>
  <c r="N324" i="88" s="1"/>
  <c r="N325" i="88" s="1"/>
  <c r="N345" i="88" s="1"/>
  <c r="M334" i="88"/>
  <c r="M535" i="88" s="1"/>
  <c r="M540" i="88" s="1"/>
  <c r="M554" i="88" s="1"/>
  <c r="M561" i="88" s="1"/>
  <c r="M564" i="88"/>
  <c r="N582" i="88" s="1"/>
  <c r="O602" i="88" s="1"/>
  <c r="O604" i="88" s="1"/>
  <c r="O243" i="88" s="1"/>
  <c r="N347" i="88"/>
  <c r="N537" i="88" s="1"/>
  <c r="M266" i="88"/>
  <c r="M273" i="88" s="1"/>
  <c r="M277" i="88" s="1"/>
  <c r="M300" i="88" s="1"/>
  <c r="N292" i="88"/>
  <c r="N302" i="88" s="1"/>
  <c r="N303" i="88" s="1"/>
  <c r="Z207" i="88"/>
  <c r="Z200" i="88"/>
  <c r="Z211" i="88"/>
  <c r="Z210" i="88"/>
  <c r="AB119" i="88"/>
  <c r="AC117" i="88" s="1"/>
  <c r="AC118" i="88" s="1"/>
  <c r="AC13" i="88" s="1"/>
  <c r="Z208" i="88"/>
  <c r="Z201" i="88"/>
  <c r="AE320" i="92"/>
  <c r="AE321" i="92" s="1"/>
  <c r="AE206" i="92"/>
  <c r="AE207" i="92" s="1"/>
  <c r="AE66" i="88"/>
  <c r="AD71" i="88"/>
  <c r="AD90" i="88" s="1"/>
  <c r="AD95" i="88" s="1"/>
  <c r="AD114" i="88" s="1"/>
  <c r="AD115" i="88" s="1"/>
  <c r="AE112" i="88" s="1"/>
  <c r="AK203" i="90"/>
  <c r="R398" i="79"/>
  <c r="Z150" i="88"/>
  <c r="Z198" i="88" s="1"/>
  <c r="AK417" i="90"/>
  <c r="T598" i="90"/>
  <c r="U597" i="90"/>
  <c r="AD356" i="90"/>
  <c r="AD288" i="90" s="1"/>
  <c r="AD289" i="90" s="1"/>
  <c r="AD290" i="90" s="1"/>
  <c r="AG315" i="92"/>
  <c r="AG197" i="92" s="1"/>
  <c r="AG300" i="92"/>
  <c r="AG189" i="92" s="1"/>
  <c r="AG314" i="92"/>
  <c r="AG319" i="92"/>
  <c r="AG205" i="92" s="1"/>
  <c r="AG203" i="92" s="1"/>
  <c r="AG318" i="92"/>
  <c r="AG299" i="92"/>
  <c r="AE302" i="92"/>
  <c r="AE188" i="92"/>
  <c r="AE187" i="92" s="1"/>
  <c r="AC479" i="88"/>
  <c r="AC481" i="88" s="1"/>
  <c r="AJ196" i="90"/>
  <c r="AJ250" i="90" s="1"/>
  <c r="AH247" i="90"/>
  <c r="AH258" i="90" s="1"/>
  <c r="AH260" i="90" s="1"/>
  <c r="AM53" i="90"/>
  <c r="AL52" i="90"/>
  <c r="AL240" i="90" s="1"/>
  <c r="AL242" i="90" s="1"/>
  <c r="AF783" i="90"/>
  <c r="AG762" i="90" s="1"/>
  <c r="AG776" i="90" s="1"/>
  <c r="AF471" i="90"/>
  <c r="AG727" i="90"/>
  <c r="AI196" i="90"/>
  <c r="AI250" i="90" s="1"/>
  <c r="T289" i="90"/>
  <c r="U288" i="90"/>
  <c r="AF300" i="92"/>
  <c r="AF189" i="92" s="1"/>
  <c r="AF315" i="92"/>
  <c r="AF197" i="92" s="1"/>
  <c r="AF318" i="92"/>
  <c r="AF299" i="92"/>
  <c r="AF319" i="92"/>
  <c r="AF205" i="92" s="1"/>
  <c r="AF203" i="92" s="1"/>
  <c r="AF314" i="92"/>
  <c r="AE418" i="92"/>
  <c r="AE453" i="92" s="1"/>
  <c r="AE467" i="92" s="1"/>
  <c r="U196" i="57"/>
  <c r="V196" i="57" s="1"/>
  <c r="V195" i="57"/>
  <c r="W212" i="88"/>
  <c r="W213" i="88" s="1"/>
  <c r="O321" i="80"/>
  <c r="O563" i="80" s="1"/>
  <c r="AC782" i="90"/>
  <c r="AD761" i="90" s="1"/>
  <c r="AD775" i="90" s="1"/>
  <c r="AC356" i="90"/>
  <c r="AC288" i="90" s="1"/>
  <c r="AC289" i="90" s="1"/>
  <c r="O562" i="80"/>
  <c r="N396" i="80"/>
  <c r="AJ17" i="90"/>
  <c r="AJ20" i="90" s="1"/>
  <c r="AJ21" i="90" s="1"/>
  <c r="AJ22" i="90" s="1"/>
  <c r="V275" i="88"/>
  <c r="V523" i="88"/>
  <c r="V524" i="88" s="1"/>
  <c r="W483" i="88"/>
  <c r="W488" i="88" s="1"/>
  <c r="W760" i="90"/>
  <c r="V777" i="90"/>
  <c r="V789" i="90" s="1"/>
  <c r="AK244" i="90"/>
  <c r="AB573" i="88"/>
  <c r="AA574" i="88"/>
  <c r="AI710" i="90"/>
  <c r="AM236" i="90"/>
  <c r="AN77" i="90"/>
  <c r="AB167" i="92"/>
  <c r="AB161" i="92"/>
  <c r="AB133" i="92"/>
  <c r="AF416" i="90"/>
  <c r="AF561" i="90"/>
  <c r="AF266" i="90"/>
  <c r="AI819" i="90"/>
  <c r="AI821" i="90" s="1"/>
  <c r="AI492" i="90" s="1"/>
  <c r="AQ55" i="90"/>
  <c r="AF287" i="90"/>
  <c r="AF316" i="90" s="1"/>
  <c r="AF317" i="90" s="1"/>
  <c r="AF315" i="90"/>
  <c r="AE771" i="90"/>
  <c r="AE778" i="90" s="1"/>
  <c r="AA131" i="88"/>
  <c r="AB130" i="88"/>
  <c r="AG186" i="88"/>
  <c r="AF187" i="88"/>
  <c r="AN125" i="90"/>
  <c r="AM139" i="90"/>
  <c r="AM154" i="90" s="1"/>
  <c r="AM132" i="90"/>
  <c r="AK171" i="90"/>
  <c r="AK304" i="90"/>
  <c r="AK306" i="90" s="1"/>
  <c r="AK294" i="90" s="1"/>
  <c r="AK169" i="90"/>
  <c r="AK792" i="90"/>
  <c r="AK794" i="90" s="1"/>
  <c r="AK796" i="90" s="1"/>
  <c r="AK168" i="90"/>
  <c r="AH821" i="90"/>
  <c r="AH492" i="90" s="1"/>
  <c r="AK562" i="90"/>
  <c r="AK576" i="90" s="1"/>
  <c r="AK577" i="90" s="1"/>
  <c r="AK427" i="90"/>
  <c r="Y772" i="90"/>
  <c r="AI667" i="90"/>
  <c r="AH707" i="90"/>
  <c r="AI692" i="90" s="1"/>
  <c r="AI702" i="90" s="1"/>
  <c r="AJ210" i="90"/>
  <c r="AJ211" i="90" s="1"/>
  <c r="AJ253" i="90" s="1"/>
  <c r="AJ136" i="90"/>
  <c r="AI726" i="90"/>
  <c r="AB531" i="88"/>
  <c r="AA532" i="88"/>
  <c r="Y545" i="88"/>
  <c r="AE814" i="90"/>
  <c r="AE838" i="90" s="1"/>
  <c r="AE418" i="90"/>
  <c r="AE560" i="90"/>
  <c r="AE268" i="90"/>
  <c r="AE267" i="90"/>
  <c r="AE377" i="90" s="1"/>
  <c r="AO54" i="90"/>
  <c r="AF418" i="90"/>
  <c r="AF814" i="90"/>
  <c r="AF838" i="90" s="1"/>
  <c r="AF560" i="90"/>
  <c r="AA236" i="92"/>
  <c r="AA240" i="92" s="1"/>
  <c r="AA162" i="92"/>
  <c r="AA168" i="92"/>
  <c r="AJ818" i="90"/>
  <c r="AI17" i="90"/>
  <c r="AI20" i="90" s="1"/>
  <c r="AI21" i="90" s="1"/>
  <c r="AI22" i="90" s="1"/>
  <c r="W428" i="90"/>
  <c r="W25" i="57"/>
  <c r="AB151" i="88"/>
  <c r="AB74" i="88"/>
  <c r="AC68" i="88"/>
  <c r="AB72" i="88"/>
  <c r="AE472" i="90"/>
  <c r="AL155" i="90"/>
  <c r="X715" i="90"/>
  <c r="AJ212" i="90"/>
  <c r="AJ235" i="90"/>
  <c r="Z313" i="88"/>
  <c r="AA312" i="88"/>
  <c r="Z393" i="90"/>
  <c r="Y310" i="90"/>
  <c r="Y311" i="90" s="1"/>
  <c r="Y295" i="90" s="1"/>
  <c r="Y292" i="90" s="1"/>
  <c r="AD286" i="92"/>
  <c r="AD156" i="92"/>
  <c r="AD121" i="92"/>
  <c r="AK322" i="90"/>
  <c r="AK352" i="90"/>
  <c r="AK337" i="90"/>
  <c r="AK327" i="90"/>
  <c r="AK347" i="90"/>
  <c r="AK342" i="90"/>
  <c r="AK332" i="90"/>
  <c r="AH301" i="90"/>
  <c r="AH11" i="90"/>
  <c r="AH413" i="90"/>
  <c r="AG665" i="90"/>
  <c r="AF663" i="90"/>
  <c r="AF675" i="90"/>
  <c r="AE673" i="90"/>
  <c r="AE786" i="90" s="1"/>
  <c r="AE473" i="90" s="1"/>
  <c r="O436" i="80"/>
  <c r="O612" i="80"/>
  <c r="AN72" i="90"/>
  <c r="AG470" i="90"/>
  <c r="AH797" i="90"/>
  <c r="AA517" i="90"/>
  <c r="AA379" i="90"/>
  <c r="AA380" i="90" s="1"/>
  <c r="AA390" i="90" s="1"/>
  <c r="AA392" i="90" s="1"/>
  <c r="AH67" i="88"/>
  <c r="AG73" i="88"/>
  <c r="AL204" i="90"/>
  <c r="AL205" i="90" s="1"/>
  <c r="AN76" i="90"/>
  <c r="X580" i="88"/>
  <c r="X594" i="88" s="1"/>
  <c r="X196" i="88"/>
  <c r="AF375" i="90"/>
  <c r="AG209" i="90"/>
  <c r="AG252" i="90" s="1"/>
  <c r="AA76" i="88"/>
  <c r="AA454" i="88"/>
  <c r="Z457" i="88"/>
  <c r="Z458" i="88" s="1"/>
  <c r="Z459" i="88" s="1"/>
  <c r="O434" i="79"/>
  <c r="O610" i="79"/>
  <c r="O616" i="79" s="1"/>
  <c r="O632" i="79" s="1"/>
  <c r="O639" i="79" s="1"/>
  <c r="O642" i="79" s="1"/>
  <c r="V129" i="57"/>
  <c r="V31" i="57"/>
  <c r="V546" i="88"/>
  <c r="V287" i="88" s="1"/>
  <c r="W543" i="88"/>
  <c r="W578" i="88" s="1"/>
  <c r="W592" i="88" s="1"/>
  <c r="R446" i="90"/>
  <c r="R499" i="90"/>
  <c r="AG188" i="90"/>
  <c r="AL241" i="90"/>
  <c r="AL243" i="90"/>
  <c r="AR67" i="90"/>
  <c r="AE721" i="90"/>
  <c r="AE469" i="90" s="1"/>
  <c r="AF722" i="90"/>
  <c r="AF55" i="92"/>
  <c r="AF85" i="92" s="1"/>
  <c r="AF83" i="92" s="1"/>
  <c r="AF63" i="92"/>
  <c r="AF89" i="92" s="1"/>
  <c r="AF87" i="92" s="1"/>
  <c r="AF119" i="92" s="1"/>
  <c r="AF57" i="92"/>
  <c r="AL795" i="90"/>
  <c r="AB328" i="88"/>
  <c r="AB332" i="88" s="1"/>
  <c r="J513" i="88"/>
  <c r="AB484" i="88"/>
  <c r="AB608" i="90"/>
  <c r="AB609" i="90" s="1"/>
  <c r="AB610" i="90" s="1"/>
  <c r="AB518" i="90" s="1"/>
  <c r="AB484" i="90"/>
  <c r="AB481" i="90" s="1"/>
  <c r="AI210" i="90"/>
  <c r="AI211" i="90" s="1"/>
  <c r="AI253" i="90" s="1"/>
  <c r="AI136" i="90"/>
  <c r="AC328" i="88"/>
  <c r="AC332" i="88" s="1"/>
  <c r="J514" i="88"/>
  <c r="AC484" i="88"/>
  <c r="O561" i="79"/>
  <c r="O568" i="79" s="1"/>
  <c r="O394" i="79" s="1"/>
  <c r="O339" i="79"/>
  <c r="O347" i="79"/>
  <c r="O577" i="79"/>
  <c r="AE41" i="88"/>
  <c r="AD478" i="88"/>
  <c r="AD477" i="88"/>
  <c r="AD479" i="88" s="1"/>
  <c r="AD481" i="88" s="1"/>
  <c r="AG239" i="90"/>
  <c r="AG259" i="90"/>
  <c r="AC460" i="90"/>
  <c r="AC459" i="90" s="1"/>
  <c r="AC366" i="90"/>
  <c r="AC593" i="90"/>
  <c r="AC597" i="90" s="1"/>
  <c r="Z544" i="88"/>
  <c r="AH674" i="90"/>
  <c r="AB426" i="88"/>
  <c r="AA427" i="88"/>
  <c r="K328" i="56"/>
  <c r="L498" i="56"/>
  <c r="AB221" i="88"/>
  <c r="AA222" i="88"/>
  <c r="AL24" i="90"/>
  <c r="AL26" i="90" s="1"/>
  <c r="AL414" i="90" s="1"/>
  <c r="AL303" i="90"/>
  <c r="AL359" i="90"/>
  <c r="AL399" i="90" s="1"/>
  <c r="AL319" i="90"/>
  <c r="S421" i="79"/>
  <c r="S423" i="79" s="1"/>
  <c r="S313" i="79"/>
  <c r="V432" i="90"/>
  <c r="V444" i="90"/>
  <c r="AH425" i="90"/>
  <c r="AH370" i="90"/>
  <c r="AH426" i="90"/>
  <c r="AG23" i="90"/>
  <c r="Y579" i="88"/>
  <c r="Y593" i="88" s="1"/>
  <c r="AG79" i="92"/>
  <c r="AG381" i="92"/>
  <c r="AG404" i="92"/>
  <c r="AG56" i="92"/>
  <c r="AG231" i="92"/>
  <c r="AG108" i="92"/>
  <c r="AG151" i="92"/>
  <c r="AG330" i="92"/>
  <c r="AG281" i="92"/>
  <c r="AG447" i="92"/>
  <c r="AG181" i="92"/>
  <c r="AG45" i="92"/>
  <c r="AB149" i="88"/>
  <c r="X423" i="90"/>
  <c r="X261" i="90" s="1"/>
  <c r="X262" i="90" s="1"/>
  <c r="X420" i="90"/>
  <c r="AE602" i="90"/>
  <c r="AE607" i="90" s="1"/>
  <c r="AE483" i="90" s="1"/>
  <c r="AE569" i="90"/>
  <c r="AE592" i="90" s="1"/>
  <c r="AE570" i="90"/>
  <c r="AE581" i="90" s="1"/>
  <c r="AE583" i="90" s="1"/>
  <c r="AE584" i="90" s="1"/>
  <c r="AE590" i="90" s="1"/>
  <c r="AE462" i="90" s="1"/>
  <c r="AE571" i="90"/>
  <c r="AE594" i="90" s="1"/>
  <c r="AC153" i="88"/>
  <c r="AB154" i="88"/>
  <c r="AA99" i="88"/>
  <c r="AB96" i="88"/>
  <c r="AA100" i="88"/>
  <c r="AA152" i="88" s="1"/>
  <c r="AA200" i="88" s="1"/>
  <c r="AB97" i="88"/>
  <c r="AA144" i="88"/>
  <c r="Z146" i="88"/>
  <c r="AP69" i="90"/>
  <c r="AN58" i="90"/>
  <c r="AM57" i="90"/>
  <c r="AG725" i="90"/>
  <c r="K521" i="56"/>
  <c r="K527" i="56" s="1"/>
  <c r="K541" i="56" s="1"/>
  <c r="K548" i="56" s="1"/>
  <c r="K369" i="56"/>
  <c r="AE95" i="92"/>
  <c r="AE96" i="92" s="1"/>
  <c r="AE118" i="92"/>
  <c r="AE117" i="92" s="1"/>
  <c r="AB472" i="88"/>
  <c r="AA473" i="88"/>
  <c r="R532" i="90"/>
  <c r="R542" i="90"/>
  <c r="R545" i="90" s="1"/>
  <c r="AB356" i="90"/>
  <c r="AB288" i="90" s="1"/>
  <c r="AB289" i="90" s="1"/>
  <c r="V578" i="88"/>
  <c r="V592" i="88" s="1"/>
  <c r="AE357" i="88"/>
  <c r="AD358" i="88"/>
  <c r="AE315" i="90"/>
  <c r="AE287" i="90"/>
  <c r="AE316" i="90" s="1"/>
  <c r="AE317" i="90" s="1"/>
  <c r="AB366" i="90"/>
  <c r="AB460" i="90"/>
  <c r="AB459" i="90" s="1"/>
  <c r="AB593" i="90"/>
  <c r="AB597" i="90" s="1"/>
  <c r="AB598" i="90" s="1"/>
  <c r="AC484" i="90"/>
  <c r="AC481" i="90" s="1"/>
  <c r="AC608" i="90"/>
  <c r="Y443" i="88"/>
  <c r="Y272" i="88" s="1"/>
  <c r="Y206" i="88"/>
  <c r="Y203" i="88" s="1"/>
  <c r="Y199" i="88"/>
  <c r="AD42" i="88"/>
  <c r="AC176" i="88"/>
  <c r="AI212" i="90"/>
  <c r="AI235" i="90"/>
  <c r="AC512" i="88"/>
  <c r="AB512" i="88"/>
  <c r="AD512" i="88"/>
  <c r="AA512" i="88"/>
  <c r="AA522" i="88" s="1"/>
  <c r="AA485" i="88" s="1"/>
  <c r="AA237" i="88" s="1"/>
  <c r="AA318" i="88" s="1"/>
  <c r="AE512" i="88"/>
  <c r="AE780" i="90"/>
  <c r="AF759" i="90" s="1"/>
  <c r="AF773" i="90" s="1"/>
  <c r="AF724" i="90"/>
  <c r="L382" i="56"/>
  <c r="L525" i="56" s="1"/>
  <c r="K299" i="56"/>
  <c r="K306" i="56" s="1"/>
  <c r="K313" i="56" s="1"/>
  <c r="K551" i="56"/>
  <c r="L569" i="56" s="1"/>
  <c r="L589" i="56" s="1"/>
  <c r="L591" i="56" s="1"/>
  <c r="L249" i="56" s="1"/>
  <c r="AD484" i="90"/>
  <c r="AD481" i="90" s="1"/>
  <c r="AD608" i="90"/>
  <c r="AA262" i="88"/>
  <c r="AB261" i="88"/>
  <c r="AB86" i="88"/>
  <c r="AA87" i="88"/>
  <c r="AN70" i="90"/>
  <c r="AM18" i="90"/>
  <c r="AJ124" i="70"/>
  <c r="AF706" i="90"/>
  <c r="AG691" i="90" s="1"/>
  <c r="AG701" i="90" s="1"/>
  <c r="AG666" i="90"/>
  <c r="AI723" i="90"/>
  <c r="AF338" i="92"/>
  <c r="AF343" i="92" s="1"/>
  <c r="AE195" i="92"/>
  <c r="AM214" i="90"/>
  <c r="AM424" i="90"/>
  <c r="AI664" i="90"/>
  <c r="AA704" i="90"/>
  <c r="AJ191" i="90"/>
  <c r="AJ189" i="90"/>
  <c r="AJ190" i="90"/>
  <c r="AM820" i="90"/>
  <c r="AM855" i="90" s="1"/>
  <c r="AM869" i="90" s="1"/>
  <c r="X353" i="56"/>
  <c r="AO40" i="90"/>
  <c r="AN216" i="90"/>
  <c r="O450" i="80"/>
  <c r="O616" i="80" s="1"/>
  <c r="N367" i="80"/>
  <c r="N374" i="80" s="1"/>
  <c r="N381" i="80" s="1"/>
  <c r="AI191" i="90"/>
  <c r="AI189" i="90"/>
  <c r="AI190" i="90"/>
  <c r="AC129" i="92"/>
  <c r="AC157" i="92"/>
  <c r="AH639" i="90"/>
  <c r="AD366" i="90"/>
  <c r="AD460" i="90"/>
  <c r="AD459" i="90" s="1"/>
  <c r="AD593" i="90"/>
  <c r="AD597" i="90" s="1"/>
  <c r="AO64" i="90"/>
  <c r="AD787" i="90"/>
  <c r="AG452" i="92"/>
  <c r="AG466" i="92" s="1"/>
  <c r="T140" i="92"/>
  <c r="T50" i="57"/>
  <c r="T170" i="57" s="1"/>
  <c r="S243" i="92"/>
  <c r="Q245" i="92"/>
  <c r="Q215" i="92"/>
  <c r="U385" i="92"/>
  <c r="T283" i="88"/>
  <c r="AA29" i="88"/>
  <c r="AB28" i="88"/>
  <c r="AC160" i="88"/>
  <c r="AB232" i="88"/>
  <c r="AC173" i="88"/>
  <c r="AB175" i="88"/>
  <c r="U284" i="88"/>
  <c r="AB209" i="88"/>
  <c r="AB204" i="88"/>
  <c r="AB15" i="88"/>
  <c r="AB197" i="88"/>
  <c r="AA208" i="88"/>
  <c r="AA211" i="88"/>
  <c r="AA207" i="88"/>
  <c r="AA210" i="88"/>
  <c r="AA16" i="88"/>
  <c r="AA201" i="88"/>
  <c r="Z19" i="88"/>
  <c r="Z20" i="88" s="1"/>
  <c r="Z11" i="88" s="1"/>
  <c r="Z156" i="88"/>
  <c r="Z138" i="88"/>
  <c r="Z140" i="88"/>
  <c r="Z193" i="88" s="1"/>
  <c r="Z142" i="88"/>
  <c r="Z194" i="88" s="1"/>
  <c r="W460" i="88"/>
  <c r="W461" i="88"/>
  <c r="W282" i="88" s="1"/>
  <c r="Y192" i="88"/>
  <c r="Y233" i="88"/>
  <c r="X195" i="88"/>
  <c r="X190" i="88" s="1"/>
  <c r="X241" i="88"/>
  <c r="X322" i="88" s="1"/>
  <c r="X448" i="88"/>
  <c r="X431" i="88"/>
  <c r="X447" i="88"/>
  <c r="X268" i="88"/>
  <c r="X267" i="88" s="1"/>
  <c r="V462" i="88"/>
  <c r="V463" i="88" s="1"/>
  <c r="V464" i="88" s="1"/>
  <c r="V320" i="88" s="1"/>
  <c r="V283" i="88"/>
  <c r="X539" i="88"/>
  <c r="X563" i="88" s="1"/>
  <c r="X228" i="88"/>
  <c r="X230" i="88" s="1"/>
  <c r="X235" i="88" s="1"/>
  <c r="X239" i="88" s="1"/>
  <c r="X317" i="88" s="1"/>
  <c r="X430" i="88"/>
  <c r="Y444" i="88"/>
  <c r="Y269" i="88" s="1"/>
  <c r="Y225" i="88"/>
  <c r="Y442" i="88"/>
  <c r="Y202" i="88"/>
  <c r="Y227" i="88"/>
  <c r="Y445" i="88"/>
  <c r="Y271" i="88" s="1"/>
  <c r="Y446" i="88"/>
  <c r="Y270" i="88" s="1"/>
  <c r="Y158" i="88"/>
  <c r="W281" i="88"/>
  <c r="W449" i="88"/>
  <c r="W451" i="88" s="1"/>
  <c r="M254" i="64"/>
  <c r="N422" i="64"/>
  <c r="M527" i="47"/>
  <c r="M530" i="47" s="1"/>
  <c r="M471" i="64"/>
  <c r="M477" i="64" s="1"/>
  <c r="M491" i="64" s="1"/>
  <c r="M294" i="64"/>
  <c r="AE420" i="92" l="1"/>
  <c r="AE210" i="92" s="1"/>
  <c r="Y233" i="64"/>
  <c r="Z372" i="64"/>
  <c r="Z376" i="64" s="1"/>
  <c r="Y408" i="64"/>
  <c r="Y409" i="64" s="1"/>
  <c r="AH266" i="90"/>
  <c r="AI854" i="90"/>
  <c r="AI868" i="90" s="1"/>
  <c r="AF316" i="92"/>
  <c r="AF317" i="92" s="1"/>
  <c r="AE322" i="92"/>
  <c r="AE239" i="92" s="1"/>
  <c r="AH561" i="90"/>
  <c r="AH569" i="90" s="1"/>
  <c r="AH592" i="90" s="1"/>
  <c r="AD308" i="90"/>
  <c r="AD309" i="90" s="1"/>
  <c r="AD367" i="90"/>
  <c r="AD371" i="90" s="1"/>
  <c r="Z705" i="90"/>
  <c r="Z698" i="90"/>
  <c r="AE591" i="90"/>
  <c r="AE461" i="90" s="1"/>
  <c r="AK251" i="90"/>
  <c r="AL417" i="90"/>
  <c r="AI558" i="90"/>
  <c r="AJ512" i="90"/>
  <c r="AI23" i="90"/>
  <c r="AI413" i="90" s="1"/>
  <c r="AA23" i="57"/>
  <c r="X325" i="47"/>
  <c r="Y271" i="47"/>
  <c r="Y275" i="47" s="1"/>
  <c r="Y358" i="47" s="1"/>
  <c r="AA29" i="57"/>
  <c r="Y426" i="47"/>
  <c r="Y360" i="47" s="1"/>
  <c r="Z67" i="57" s="1"/>
  <c r="AA67" i="57" s="1"/>
  <c r="Y436" i="47"/>
  <c r="Y437" i="47" s="1"/>
  <c r="Y438" i="47" s="1"/>
  <c r="Y361" i="47" s="1"/>
  <c r="Z71" i="57" s="1"/>
  <c r="AA71" i="57" s="1"/>
  <c r="Y324" i="47"/>
  <c r="X271" i="47"/>
  <c r="W275" i="47"/>
  <c r="W358" i="47" s="1"/>
  <c r="W363" i="47" s="1"/>
  <c r="X125" i="57"/>
  <c r="Y321" i="47"/>
  <c r="AD376" i="90"/>
  <c r="AG316" i="92"/>
  <c r="V281" i="88"/>
  <c r="V280" i="88" s="1"/>
  <c r="V284" i="88" s="1"/>
  <c r="T462" i="88"/>
  <c r="T463" i="88" s="1"/>
  <c r="T464" i="88" s="1"/>
  <c r="T320" i="88" s="1"/>
  <c r="V451" i="88"/>
  <c r="V452" i="88" s="1"/>
  <c r="V319" i="88" s="1"/>
  <c r="V321" i="88" s="1"/>
  <c r="R463" i="88"/>
  <c r="R464" i="88" s="1"/>
  <c r="R320" i="88" s="1"/>
  <c r="R321" i="88" s="1"/>
  <c r="T452" i="88"/>
  <c r="T319" i="88" s="1"/>
  <c r="U452" i="88"/>
  <c r="U319" i="88" s="1"/>
  <c r="N334" i="88"/>
  <c r="N535" i="88" s="1"/>
  <c r="N540" i="88" s="1"/>
  <c r="N554" i="88" s="1"/>
  <c r="N561" i="88" s="1"/>
  <c r="N248" i="88"/>
  <c r="N294" i="88" s="1"/>
  <c r="N298" i="88" s="1"/>
  <c r="N348" i="88"/>
  <c r="O347" i="88" s="1"/>
  <c r="O537" i="88" s="1"/>
  <c r="M361" i="88"/>
  <c r="M362" i="88" s="1"/>
  <c r="M363" i="88" s="1"/>
  <c r="M336" i="88"/>
  <c r="O323" i="88"/>
  <c r="O245" i="88"/>
  <c r="O247" i="88" s="1"/>
  <c r="O324" i="88" s="1"/>
  <c r="Y196" i="88"/>
  <c r="AC119" i="88"/>
  <c r="AD117" i="88" s="1"/>
  <c r="AD118" i="88" s="1"/>
  <c r="AD13" i="88" s="1"/>
  <c r="T367" i="90"/>
  <c r="T376" i="90"/>
  <c r="T308" i="90"/>
  <c r="U308" i="90" s="1"/>
  <c r="T420" i="90"/>
  <c r="T422" i="90"/>
  <c r="U289" i="90"/>
  <c r="T290" i="90"/>
  <c r="U290" i="90" s="1"/>
  <c r="AF424" i="92"/>
  <c r="AF426" i="92" s="1"/>
  <c r="AF259" i="92" s="1"/>
  <c r="AF188" i="92"/>
  <c r="AF187" i="92" s="1"/>
  <c r="AF302" i="92"/>
  <c r="AF206" i="92"/>
  <c r="AF207" i="92" s="1"/>
  <c r="AF320" i="92"/>
  <c r="AF321" i="92" s="1"/>
  <c r="AD598" i="90"/>
  <c r="AD517" i="90" s="1"/>
  <c r="AG188" i="92"/>
  <c r="AG187" i="92" s="1"/>
  <c r="AG302" i="92"/>
  <c r="AE71" i="88"/>
  <c r="AE90" i="88" s="1"/>
  <c r="AE95" i="88" s="1"/>
  <c r="AE114" i="88" s="1"/>
  <c r="AE115" i="88" s="1"/>
  <c r="AF112" i="88" s="1"/>
  <c r="AF66" i="88"/>
  <c r="AD422" i="90"/>
  <c r="AG320" i="92"/>
  <c r="AG206" i="92"/>
  <c r="AG207" i="92" s="1"/>
  <c r="AH727" i="90"/>
  <c r="AG471" i="90"/>
  <c r="AG783" i="90"/>
  <c r="AH762" i="90" s="1"/>
  <c r="AH776" i="90" s="1"/>
  <c r="AL244" i="90"/>
  <c r="AM155" i="90"/>
  <c r="AN53" i="90"/>
  <c r="AM52" i="90"/>
  <c r="AM240" i="90" s="1"/>
  <c r="AM242" i="90" s="1"/>
  <c r="AM244" i="90" s="1"/>
  <c r="T379" i="90"/>
  <c r="U379" i="90" s="1"/>
  <c r="U598" i="90"/>
  <c r="T517" i="90"/>
  <c r="X212" i="88"/>
  <c r="X213" i="88" s="1"/>
  <c r="O570" i="80"/>
  <c r="O396" i="80" s="1"/>
  <c r="O341" i="80"/>
  <c r="O618" i="80"/>
  <c r="O634" i="80" s="1"/>
  <c r="O638" i="80" s="1"/>
  <c r="O641" i="80" s="1"/>
  <c r="O644" i="80" s="1"/>
  <c r="O349" i="80"/>
  <c r="O579" i="80"/>
  <c r="AA313" i="88"/>
  <c r="AB312" i="88"/>
  <c r="AR55" i="90"/>
  <c r="N398" i="80"/>
  <c r="N400" i="80" s="1"/>
  <c r="N405" i="80" s="1"/>
  <c r="N402" i="80"/>
  <c r="N403" i="80" s="1"/>
  <c r="AG338" i="92"/>
  <c r="AG343" i="92" s="1"/>
  <c r="AG195" i="92" s="1"/>
  <c r="AF195" i="92"/>
  <c r="J515" i="88"/>
  <c r="AD328" i="88"/>
  <c r="AD332" i="88" s="1"/>
  <c r="AD484" i="88"/>
  <c r="AG248" i="90"/>
  <c r="AG415" i="90"/>
  <c r="AG238" i="90"/>
  <c r="AG247" i="90"/>
  <c r="AG258" i="90" s="1"/>
  <c r="AG260" i="90" s="1"/>
  <c r="AA393" i="90"/>
  <c r="Z310" i="90"/>
  <c r="Z311" i="90" s="1"/>
  <c r="Z295" i="90" s="1"/>
  <c r="Z292" i="90" s="1"/>
  <c r="AP54" i="90"/>
  <c r="AL427" i="90"/>
  <c r="AL562" i="90"/>
  <c r="AL576" i="90" s="1"/>
  <c r="AL577" i="90" s="1"/>
  <c r="AK147" i="90"/>
  <c r="AK194" i="90"/>
  <c r="AK193" i="90" s="1"/>
  <c r="AK249" i="90" s="1"/>
  <c r="AC151" i="88"/>
  <c r="AD129" i="92"/>
  <c r="AD157" i="92"/>
  <c r="AM241" i="90"/>
  <c r="AM243" i="90"/>
  <c r="AE323" i="90"/>
  <c r="AE324" i="90" s="1"/>
  <c r="AE328" i="90"/>
  <c r="AE329" i="90" s="1"/>
  <c r="AE333" i="90"/>
  <c r="AE334" i="90" s="1"/>
  <c r="AE343" i="90"/>
  <c r="AE344" i="90" s="1"/>
  <c r="AE338" i="90"/>
  <c r="AE339" i="90" s="1"/>
  <c r="AE353" i="90"/>
  <c r="AE354" i="90" s="1"/>
  <c r="AE348" i="90"/>
  <c r="AE349" i="90" s="1"/>
  <c r="AF338" i="90"/>
  <c r="AF339" i="90" s="1"/>
  <c r="AF353" i="90"/>
  <c r="AF354" i="90" s="1"/>
  <c r="AF343" i="90"/>
  <c r="AF344" i="90" s="1"/>
  <c r="AF323" i="90"/>
  <c r="AF324" i="90" s="1"/>
  <c r="AF328" i="90"/>
  <c r="AF329" i="90" s="1"/>
  <c r="AF333" i="90"/>
  <c r="AF334" i="90" s="1"/>
  <c r="AF348" i="90"/>
  <c r="AF349" i="90" s="1"/>
  <c r="AJ726" i="90"/>
  <c r="AC149" i="88"/>
  <c r="AB376" i="90"/>
  <c r="AB367" i="90"/>
  <c r="AB371" i="90" s="1"/>
  <c r="AB422" i="90"/>
  <c r="AB290" i="90"/>
  <c r="AB308" i="90"/>
  <c r="AB309" i="90" s="1"/>
  <c r="AF606" i="90"/>
  <c r="AF589" i="90"/>
  <c r="Z545" i="88"/>
  <c r="Z580" i="88"/>
  <c r="Z594" i="88" s="1"/>
  <c r="AH186" i="88"/>
  <c r="AG187" i="88"/>
  <c r="W275" i="88"/>
  <c r="X483" i="88"/>
  <c r="X488" i="88" s="1"/>
  <c r="W523" i="88"/>
  <c r="W524" i="88" s="1"/>
  <c r="AB99" i="88"/>
  <c r="AC96" i="88"/>
  <c r="Y423" i="90"/>
  <c r="Y261" i="90" s="1"/>
  <c r="Y262" i="90" s="1"/>
  <c r="Y420" i="90"/>
  <c r="AJ664" i="90"/>
  <c r="X25" i="57"/>
  <c r="X428" i="90"/>
  <c r="AO58" i="90"/>
  <c r="AN57" i="90"/>
  <c r="AC514" i="88"/>
  <c r="AG514" i="88"/>
  <c r="AF514" i="88"/>
  <c r="AD514" i="88"/>
  <c r="AE514" i="88"/>
  <c r="AH725" i="90"/>
  <c r="AI674" i="90"/>
  <c r="AF118" i="92"/>
  <c r="AF117" i="92" s="1"/>
  <c r="AF95" i="92"/>
  <c r="AF96" i="92" s="1"/>
  <c r="AO76" i="90"/>
  <c r="AO72" i="90"/>
  <c r="AJ23" i="90"/>
  <c r="AA150" i="88"/>
  <c r="AA198" i="88" s="1"/>
  <c r="AE787" i="90"/>
  <c r="Y580" i="88"/>
  <c r="Y594" i="88" s="1"/>
  <c r="AQ69" i="90"/>
  <c r="AG675" i="90"/>
  <c r="AF673" i="90"/>
  <c r="AF786" i="90" s="1"/>
  <c r="AF473" i="90" s="1"/>
  <c r="AF771" i="90"/>
  <c r="AF778" i="90" s="1"/>
  <c r="AN424" i="90"/>
  <c r="AN214" i="90"/>
  <c r="AG55" i="92"/>
  <c r="AG85" i="92" s="1"/>
  <c r="AG83" i="92" s="1"/>
  <c r="AG57" i="92"/>
  <c r="AG63" i="92"/>
  <c r="AG89" i="92" s="1"/>
  <c r="AG87" i="92" s="1"/>
  <c r="AG119" i="92" s="1"/>
  <c r="AK124" i="70"/>
  <c r="AN18" i="90"/>
  <c r="AB427" i="88"/>
  <c r="AC426" i="88"/>
  <c r="O396" i="79"/>
  <c r="O398" i="79" s="1"/>
  <c r="O400" i="79"/>
  <c r="O401" i="79" s="1"/>
  <c r="AL167" i="90"/>
  <c r="AL206" i="90"/>
  <c r="AL203" i="90" s="1"/>
  <c r="AO125" i="90"/>
  <c r="AN139" i="90"/>
  <c r="AN154" i="90" s="1"/>
  <c r="AN132" i="90"/>
  <c r="AB168" i="92"/>
  <c r="AB162" i="92"/>
  <c r="AB236" i="92"/>
  <c r="AB240" i="92" s="1"/>
  <c r="W756" i="90"/>
  <c r="W785" i="90" s="1"/>
  <c r="W430" i="90" s="1"/>
  <c r="W432" i="90" s="1"/>
  <c r="W774" i="90"/>
  <c r="AC598" i="90"/>
  <c r="AB473" i="88"/>
  <c r="AC472" i="88"/>
  <c r="AH268" i="90"/>
  <c r="AH267" i="90"/>
  <c r="AH377" i="90" s="1"/>
  <c r="AG724" i="90"/>
  <c r="AF780" i="90"/>
  <c r="AG759" i="90" s="1"/>
  <c r="AG773" i="90" s="1"/>
  <c r="R534" i="90"/>
  <c r="R810" i="90"/>
  <c r="R815" i="90" s="1"/>
  <c r="R829" i="90" s="1"/>
  <c r="R836" i="90" s="1"/>
  <c r="AF472" i="90"/>
  <c r="AO70" i="90"/>
  <c r="AJ710" i="90"/>
  <c r="AA544" i="88"/>
  <c r="AA579" i="88"/>
  <c r="AA593" i="88" s="1"/>
  <c r="W546" i="88"/>
  <c r="W287" i="88" s="1"/>
  <c r="X543" i="88"/>
  <c r="X578" i="88" s="1"/>
  <c r="X592" i="88" s="1"/>
  <c r="L251" i="56"/>
  <c r="L355" i="56"/>
  <c r="M44" i="57"/>
  <c r="AF721" i="90"/>
  <c r="AF469" i="90" s="1"/>
  <c r="AG722" i="90"/>
  <c r="X717" i="90"/>
  <c r="AI639" i="90"/>
  <c r="AN820" i="90"/>
  <c r="AN855" i="90" s="1"/>
  <c r="AN869" i="90" s="1"/>
  <c r="AE156" i="92"/>
  <c r="AE286" i="92"/>
  <c r="AE121" i="92"/>
  <c r="AG413" i="90"/>
  <c r="AG301" i="90"/>
  <c r="AG11" i="90"/>
  <c r="AG425" i="90"/>
  <c r="AG370" i="90"/>
  <c r="AG426" i="90"/>
  <c r="W444" i="90"/>
  <c r="V544" i="90"/>
  <c r="V812" i="90" s="1"/>
  <c r="R839" i="90"/>
  <c r="V857" i="90" s="1"/>
  <c r="V877" i="90" s="1"/>
  <c r="V879" i="90" s="1"/>
  <c r="R458" i="90"/>
  <c r="R463" i="90" s="1"/>
  <c r="R478" i="90" s="1"/>
  <c r="Q881" i="90"/>
  <c r="V515" i="90"/>
  <c r="V519" i="90" s="1"/>
  <c r="V437" i="90"/>
  <c r="V445" i="90"/>
  <c r="AC72" i="88"/>
  <c r="AD68" i="88"/>
  <c r="AC74" i="88"/>
  <c r="AO216" i="90"/>
  <c r="AP40" i="90"/>
  <c r="AM359" i="90"/>
  <c r="AM399" i="90" s="1"/>
  <c r="AM319" i="90"/>
  <c r="AM24" i="90"/>
  <c r="AM26" i="90" s="1"/>
  <c r="AM414" i="90" s="1"/>
  <c r="AM303" i="90"/>
  <c r="AE42" i="88"/>
  <c r="AD176" i="88"/>
  <c r="AB689" i="90"/>
  <c r="AE595" i="90"/>
  <c r="AE482" i="90"/>
  <c r="K330" i="56"/>
  <c r="K332" i="56" s="1"/>
  <c r="K334" i="56"/>
  <c r="K335" i="56" s="1"/>
  <c r="AM795" i="90"/>
  <c r="AK818" i="90"/>
  <c r="AK853" i="90" s="1"/>
  <c r="AK867" i="90" s="1"/>
  <c r="AE589" i="90"/>
  <c r="AE606" i="90"/>
  <c r="AF569" i="90"/>
  <c r="AF592" i="90" s="1"/>
  <c r="AF602" i="90"/>
  <c r="AF607" i="90" s="1"/>
  <c r="AF483" i="90" s="1"/>
  <c r="AF571" i="90"/>
  <c r="AF594" i="90" s="1"/>
  <c r="AF570" i="90"/>
  <c r="AF581" i="90" s="1"/>
  <c r="AF583" i="90" s="1"/>
  <c r="AF584" i="90" s="1"/>
  <c r="AF590" i="90" s="1"/>
  <c r="AF462" i="90" s="1"/>
  <c r="AC609" i="90"/>
  <c r="AC610" i="90" s="1"/>
  <c r="AC518" i="90" s="1"/>
  <c r="AF418" i="92"/>
  <c r="AI188" i="90"/>
  <c r="AI209" i="90"/>
  <c r="AI252" i="90" s="1"/>
  <c r="AD487" i="90"/>
  <c r="W129" i="57"/>
  <c r="W31" i="57"/>
  <c r="AB574" i="88"/>
  <c r="AC573" i="88"/>
  <c r="AB144" i="88"/>
  <c r="AA146" i="88"/>
  <c r="AL337" i="90"/>
  <c r="AL342" i="90"/>
  <c r="AL322" i="90"/>
  <c r="AL332" i="90"/>
  <c r="AL327" i="90"/>
  <c r="AL352" i="90"/>
  <c r="AL347" i="90"/>
  <c r="AH665" i="90"/>
  <c r="AG663" i="90"/>
  <c r="Z443" i="88"/>
  <c r="Z272" i="88" s="1"/>
  <c r="Z199" i="88"/>
  <c r="Z206" i="88"/>
  <c r="Z203" i="88" s="1"/>
  <c r="AS67" i="90"/>
  <c r="AC376" i="90"/>
  <c r="AC422" i="90"/>
  <c r="AC290" i="90"/>
  <c r="AC367" i="90"/>
  <c r="AC371" i="90" s="1"/>
  <c r="AC308" i="90"/>
  <c r="AC309" i="90" s="1"/>
  <c r="AP64" i="90"/>
  <c r="S319" i="79"/>
  <c r="S561" i="79" s="1"/>
  <c r="S568" i="79" s="1"/>
  <c r="S394" i="79" s="1"/>
  <c r="S396" i="79" s="1"/>
  <c r="S317" i="79"/>
  <c r="AN236" i="90"/>
  <c r="AO77" i="90"/>
  <c r="AH666" i="90"/>
  <c r="AG706" i="90"/>
  <c r="AH691" i="90" s="1"/>
  <c r="AH701" i="90" s="1"/>
  <c r="AI259" i="90"/>
  <c r="AI239" i="90"/>
  <c r="AD153" i="88"/>
  <c r="AC154" i="88"/>
  <c r="AH293" i="90"/>
  <c r="AH368" i="90"/>
  <c r="Y779" i="90"/>
  <c r="AM204" i="90"/>
  <c r="AM205" i="90" s="1"/>
  <c r="AF267" i="90"/>
  <c r="AF377" i="90" s="1"/>
  <c r="AF268" i="90"/>
  <c r="Z579" i="88"/>
  <c r="Z593" i="88" s="1"/>
  <c r="AJ209" i="90"/>
  <c r="AJ252" i="90" s="1"/>
  <c r="AC487" i="90"/>
  <c r="AK197" i="90"/>
  <c r="AK198" i="90" s="1"/>
  <c r="AK199" i="90"/>
  <c r="AK200" i="90" s="1"/>
  <c r="AK201" i="90"/>
  <c r="AD782" i="90"/>
  <c r="AE761" i="90" s="1"/>
  <c r="AE775" i="90" s="1"/>
  <c r="AB100" i="88"/>
  <c r="AC97" i="88"/>
  <c r="AB517" i="90"/>
  <c r="AB379" i="90"/>
  <c r="S432" i="79"/>
  <c r="S446" i="79"/>
  <c r="S449" i="79" s="1"/>
  <c r="S365" i="79" s="1"/>
  <c r="S372" i="79" s="1"/>
  <c r="S379" i="79" s="1"/>
  <c r="V36" i="57"/>
  <c r="V65" i="57" s="1"/>
  <c r="V72" i="57" s="1"/>
  <c r="V123" i="57"/>
  <c r="V134" i="57" s="1"/>
  <c r="V136" i="57"/>
  <c r="AI67" i="88"/>
  <c r="AI73" i="88" s="1"/>
  <c r="AH73" i="88"/>
  <c r="AB532" i="88"/>
  <c r="AC531" i="88"/>
  <c r="AB131" i="88"/>
  <c r="AC130" i="88"/>
  <c r="AC133" i="92"/>
  <c r="AC167" i="92"/>
  <c r="AC161" i="92"/>
  <c r="AJ723" i="90"/>
  <c r="AB262" i="88"/>
  <c r="AC261" i="88"/>
  <c r="AE358" i="88"/>
  <c r="AF357" i="88"/>
  <c r="AB222" i="88"/>
  <c r="AC221" i="88"/>
  <c r="AF41" i="88"/>
  <c r="AE477" i="88"/>
  <c r="AE478" i="88"/>
  <c r="AH470" i="90"/>
  <c r="AI797" i="90"/>
  <c r="AH361" i="90"/>
  <c r="AH400" i="90" s="1"/>
  <c r="AH401" i="90" s="1"/>
  <c r="AH364" i="90"/>
  <c r="AH412" i="90"/>
  <c r="AH286" i="90"/>
  <c r="AH375" i="90"/>
  <c r="AJ259" i="90"/>
  <c r="AJ239" i="90"/>
  <c r="AI707" i="90"/>
  <c r="AJ692" i="90" s="1"/>
  <c r="AJ702" i="90" s="1"/>
  <c r="AJ667" i="90"/>
  <c r="AJ819" i="90"/>
  <c r="AJ854" i="90" s="1"/>
  <c r="AJ868" i="90" s="1"/>
  <c r="AB76" i="88"/>
  <c r="AD609" i="90"/>
  <c r="AD610" i="90" s="1"/>
  <c r="AD518" i="90" s="1"/>
  <c r="AJ188" i="90"/>
  <c r="AJ853" i="90"/>
  <c r="AJ867" i="90" s="1"/>
  <c r="AB487" i="90"/>
  <c r="AC86" i="88"/>
  <c r="AB87" i="88"/>
  <c r="AC513" i="88"/>
  <c r="AB513" i="88"/>
  <c r="AB522" i="88" s="1"/>
  <c r="AB485" i="88" s="1"/>
  <c r="AB237" i="88" s="1"/>
  <c r="AB318" i="88" s="1"/>
  <c r="AE513" i="88"/>
  <c r="AF513" i="88"/>
  <c r="AD513" i="88"/>
  <c r="V498" i="90"/>
  <c r="R500" i="90"/>
  <c r="R502" i="90" s="1"/>
  <c r="AB454" i="88"/>
  <c r="AA457" i="88"/>
  <c r="AA458" i="88" s="1"/>
  <c r="AA459" i="88" s="1"/>
  <c r="AK12" i="90"/>
  <c r="AK16" i="90" s="1"/>
  <c r="AK256" i="90"/>
  <c r="AK172" i="90"/>
  <c r="AK134" i="90"/>
  <c r="AK257" i="90"/>
  <c r="AK255" i="90"/>
  <c r="AK254" i="90"/>
  <c r="T243" i="92"/>
  <c r="T245" i="92" s="1"/>
  <c r="S245" i="92"/>
  <c r="S215" i="92"/>
  <c r="T215" i="92" s="1"/>
  <c r="Q254" i="92"/>
  <c r="U50" i="57"/>
  <c r="T142" i="92"/>
  <c r="T386" i="92" s="1"/>
  <c r="T393" i="92" s="1"/>
  <c r="T284" i="88"/>
  <c r="AB29" i="88"/>
  <c r="AC28" i="88"/>
  <c r="AC232" i="88"/>
  <c r="AD160" i="88"/>
  <c r="AC175" i="88"/>
  <c r="AD173" i="88"/>
  <c r="W462" i="88"/>
  <c r="W463" i="88" s="1"/>
  <c r="W464" i="88" s="1"/>
  <c r="W320" i="88" s="1"/>
  <c r="W283" i="88"/>
  <c r="X281" i="88"/>
  <c r="X449" i="88"/>
  <c r="X451" i="88" s="1"/>
  <c r="X452" i="88" s="1"/>
  <c r="X319" i="88" s="1"/>
  <c r="AB201" i="88"/>
  <c r="AB208" i="88"/>
  <c r="AB16" i="88"/>
  <c r="AB211" i="88"/>
  <c r="AB207" i="88"/>
  <c r="AB210" i="88"/>
  <c r="AA140" i="88"/>
  <c r="AA193" i="88" s="1"/>
  <c r="AA142" i="88"/>
  <c r="AA194" i="88" s="1"/>
  <c r="AA156" i="88"/>
  <c r="AA19" i="88"/>
  <c r="AA20" i="88" s="1"/>
  <c r="AA11" i="88" s="1"/>
  <c r="AA138" i="88"/>
  <c r="Y448" i="88"/>
  <c r="Y431" i="88"/>
  <c r="Z442" i="88"/>
  <c r="Z225" i="88"/>
  <c r="Z444" i="88"/>
  <c r="Z269" i="88" s="1"/>
  <c r="Z202" i="88"/>
  <c r="Z446" i="88"/>
  <c r="Z270" i="88" s="1"/>
  <c r="Z227" i="88"/>
  <c r="Z158" i="88"/>
  <c r="Z445" i="88"/>
  <c r="Z271" i="88" s="1"/>
  <c r="AC209" i="88"/>
  <c r="AC197" i="88"/>
  <c r="AC15" i="88"/>
  <c r="AC204" i="88"/>
  <c r="Y241" i="88"/>
  <c r="Y322" i="88" s="1"/>
  <c r="Y195" i="88"/>
  <c r="Y190" i="88" s="1"/>
  <c r="X461" i="88"/>
  <c r="X282" i="88" s="1"/>
  <c r="X460" i="88"/>
  <c r="Y228" i="88"/>
  <c r="Y230" i="88" s="1"/>
  <c r="Y235" i="88" s="1"/>
  <c r="Y239" i="88" s="1"/>
  <c r="Y317" i="88" s="1"/>
  <c r="Y430" i="88"/>
  <c r="Y539" i="88"/>
  <c r="Y563" i="88" s="1"/>
  <c r="Y447" i="88"/>
  <c r="Y268" i="88"/>
  <c r="Y267" i="88" s="1"/>
  <c r="Z192" i="88"/>
  <c r="Z233" i="88"/>
  <c r="W280" i="88"/>
  <c r="M495" i="64"/>
  <c r="M498" i="64" s="1"/>
  <c r="M382" i="47"/>
  <c r="M528" i="47"/>
  <c r="Z408" i="64" l="1"/>
  <c r="Z409" i="64" s="1"/>
  <c r="Z233" i="64"/>
  <c r="AH570" i="90"/>
  <c r="AH581" i="90" s="1"/>
  <c r="AH583" i="90" s="1"/>
  <c r="AH584" i="90" s="1"/>
  <c r="AH590" i="90" s="1"/>
  <c r="AH462" i="90" s="1"/>
  <c r="AG317" i="92"/>
  <c r="AH602" i="90"/>
  <c r="AH607" i="90" s="1"/>
  <c r="AH483" i="90" s="1"/>
  <c r="AF322" i="92"/>
  <c r="AF239" i="92" s="1"/>
  <c r="AD379" i="90"/>
  <c r="AD380" i="90" s="1"/>
  <c r="AD390" i="90" s="1"/>
  <c r="AD392" i="90" s="1"/>
  <c r="Y325" i="47"/>
  <c r="AH571" i="90"/>
  <c r="AH594" i="90" s="1"/>
  <c r="AH482" i="90" s="1"/>
  <c r="Z703" i="90"/>
  <c r="AA690" i="90"/>
  <c r="AI11" i="90"/>
  <c r="AI364" i="90" s="1"/>
  <c r="AI301" i="90"/>
  <c r="AI368" i="90" s="1"/>
  <c r="AJ558" i="90"/>
  <c r="AK512" i="90"/>
  <c r="Z125" i="57"/>
  <c r="X275" i="47"/>
  <c r="X358" i="47" s="1"/>
  <c r="X363" i="47" s="1"/>
  <c r="Y125" i="57"/>
  <c r="Y363" i="47"/>
  <c r="U463" i="88"/>
  <c r="U464" i="88" s="1"/>
  <c r="U320" i="88" s="1"/>
  <c r="U321" i="88" s="1"/>
  <c r="W452" i="88"/>
  <c r="W319" i="88" s="1"/>
  <c r="W321" i="88" s="1"/>
  <c r="T321" i="88"/>
  <c r="N361" i="88"/>
  <c r="N362" i="88" s="1"/>
  <c r="N363" i="88" s="1"/>
  <c r="O292" i="88"/>
  <c r="O302" i="88" s="1"/>
  <c r="O303" i="88" s="1"/>
  <c r="N336" i="88"/>
  <c r="N564" i="88"/>
  <c r="O582" i="88" s="1"/>
  <c r="N266" i="88"/>
  <c r="N273" i="88" s="1"/>
  <c r="N277" i="88" s="1"/>
  <c r="N300" i="88" s="1"/>
  <c r="Y212" i="88"/>
  <c r="Y213" i="88" s="1"/>
  <c r="O325" i="88"/>
  <c r="O345" i="88" s="1"/>
  <c r="O348" i="88" s="1"/>
  <c r="O266" i="88" s="1"/>
  <c r="O273" i="88" s="1"/>
  <c r="O277" i="88" s="1"/>
  <c r="O248" i="88"/>
  <c r="O294" i="88" s="1"/>
  <c r="AD119" i="88"/>
  <c r="AE117" i="88" s="1"/>
  <c r="AE118" i="88" s="1"/>
  <c r="AE13" i="88" s="1"/>
  <c r="AN52" i="90"/>
  <c r="AN240" i="90" s="1"/>
  <c r="AN417" i="90" s="1"/>
  <c r="AO53" i="90"/>
  <c r="AH471" i="90"/>
  <c r="AI727" i="90"/>
  <c r="AH783" i="90"/>
  <c r="AI762" i="90" s="1"/>
  <c r="AI776" i="90" s="1"/>
  <c r="U422" i="90"/>
  <c r="T261" i="90"/>
  <c r="U517" i="90"/>
  <c r="U69" i="57" s="1"/>
  <c r="AA69" i="57" s="1"/>
  <c r="T69" i="57"/>
  <c r="U420" i="90"/>
  <c r="U25" i="57" s="1"/>
  <c r="T25" i="57"/>
  <c r="T428" i="90"/>
  <c r="AE479" i="88"/>
  <c r="AE481" i="88" s="1"/>
  <c r="AE484" i="88" s="1"/>
  <c r="AM417" i="90"/>
  <c r="AM167" i="90"/>
  <c r="AM206" i="90"/>
  <c r="AM203" i="90" s="1"/>
  <c r="AF356" i="90"/>
  <c r="AF288" i="90" s="1"/>
  <c r="AF289" i="90" s="1"/>
  <c r="AF367" i="90" s="1"/>
  <c r="AB380" i="90"/>
  <c r="AB390" i="90" s="1"/>
  <c r="AB392" i="90" s="1"/>
  <c r="AB393" i="90" s="1"/>
  <c r="AF787" i="90"/>
  <c r="AG321" i="92"/>
  <c r="AB150" i="88"/>
  <c r="AB198" i="88" s="1"/>
  <c r="T380" i="90"/>
  <c r="U376" i="90"/>
  <c r="AF71" i="88"/>
  <c r="AF90" i="88" s="1"/>
  <c r="AF95" i="88" s="1"/>
  <c r="AF114" i="88" s="1"/>
  <c r="AF115" i="88" s="1"/>
  <c r="AG112" i="88" s="1"/>
  <c r="AG66" i="88"/>
  <c r="AC76" i="88"/>
  <c r="T371" i="90"/>
  <c r="U367" i="90"/>
  <c r="Z196" i="88"/>
  <c r="O639" i="80"/>
  <c r="O390" i="80" s="1"/>
  <c r="AC522" i="88"/>
  <c r="AC485" i="88" s="1"/>
  <c r="AC237" i="88" s="1"/>
  <c r="AC318" i="88" s="1"/>
  <c r="O440" i="80"/>
  <c r="O446" i="80" s="1"/>
  <c r="O448" i="80" s="1"/>
  <c r="O451" i="80" s="1"/>
  <c r="O367" i="80" s="1"/>
  <c r="O374" i="80" s="1"/>
  <c r="O381" i="80" s="1"/>
  <c r="W136" i="57"/>
  <c r="W123" i="57"/>
  <c r="W134" i="57" s="1"/>
  <c r="AQ40" i="90"/>
  <c r="AP216" i="90"/>
  <c r="AJ639" i="90"/>
  <c r="AE356" i="90"/>
  <c r="AE288" i="90" s="1"/>
  <c r="AE289" i="90" s="1"/>
  <c r="X129" i="57"/>
  <c r="X31" i="57"/>
  <c r="AH187" i="88"/>
  <c r="AI186" i="88"/>
  <c r="AI187" i="88" s="1"/>
  <c r="AM352" i="90"/>
  <c r="AM337" i="90"/>
  <c r="AM322" i="90"/>
  <c r="AM332" i="90"/>
  <c r="AM347" i="90"/>
  <c r="AM327" i="90"/>
  <c r="AM342" i="90"/>
  <c r="AE608" i="90"/>
  <c r="AE609" i="90" s="1"/>
  <c r="AE610" i="90" s="1"/>
  <c r="AE518" i="90" s="1"/>
  <c r="AE484" i="90"/>
  <c r="AE481" i="90" s="1"/>
  <c r="AN155" i="90"/>
  <c r="Z758" i="90"/>
  <c r="AG118" i="92"/>
  <c r="AG117" i="92" s="1"/>
  <c r="AG95" i="92"/>
  <c r="AG96" i="92" s="1"/>
  <c r="AG41" i="88"/>
  <c r="AF478" i="88"/>
  <c r="AF477" i="88"/>
  <c r="AF479" i="88" s="1"/>
  <c r="AF481" i="88" s="1"/>
  <c r="W515" i="90"/>
  <c r="W437" i="90"/>
  <c r="W445" i="90"/>
  <c r="AC532" i="88"/>
  <c r="AD531" i="88"/>
  <c r="J516" i="88"/>
  <c r="AC222" i="88"/>
  <c r="AD221" i="88"/>
  <c r="AO132" i="90"/>
  <c r="AP125" i="90"/>
  <c r="AO139" i="90"/>
  <c r="AO154" i="90" s="1"/>
  <c r="AB152" i="88"/>
  <c r="AB200" i="88" s="1"/>
  <c r="AP76" i="90"/>
  <c r="AD130" i="88"/>
  <c r="AC131" i="88"/>
  <c r="AE460" i="90"/>
  <c r="AE459" i="90" s="1"/>
  <c r="AE366" i="90"/>
  <c r="AE593" i="90"/>
  <c r="AE597" i="90" s="1"/>
  <c r="AE598" i="90" s="1"/>
  <c r="AJ797" i="90"/>
  <c r="AI470" i="90"/>
  <c r="AF42" i="88"/>
  <c r="AE176" i="88"/>
  <c r="X546" i="88"/>
  <c r="X287" i="88" s="1"/>
  <c r="Y543" i="88"/>
  <c r="Y578" i="88" s="1"/>
  <c r="Y592" i="88" s="1"/>
  <c r="AJ11" i="90"/>
  <c r="AJ413" i="90"/>
  <c r="AJ301" i="90"/>
  <c r="AD151" i="88"/>
  <c r="AG368" i="90"/>
  <c r="AG293" i="90"/>
  <c r="AG375" i="90"/>
  <c r="AG361" i="90"/>
  <c r="AG400" i="90" s="1"/>
  <c r="AG401" i="90" s="1"/>
  <c r="AG412" i="90"/>
  <c r="AG286" i="90"/>
  <c r="AG364" i="90"/>
  <c r="AP70" i="90"/>
  <c r="W516" i="90"/>
  <c r="W34" i="57"/>
  <c r="AR69" i="90"/>
  <c r="Y428" i="90"/>
  <c r="Y25" i="57"/>
  <c r="AD161" i="92"/>
  <c r="AD167" i="92"/>
  <c r="AD133" i="92"/>
  <c r="AG416" i="90"/>
  <c r="AG561" i="90"/>
  <c r="AG266" i="90"/>
  <c r="AB313" i="88"/>
  <c r="AC312" i="88"/>
  <c r="R504" i="90"/>
  <c r="M47" i="57"/>
  <c r="M76" i="57"/>
  <c r="AK17" i="90"/>
  <c r="AK20" i="90" s="1"/>
  <c r="AK21" i="90" s="1"/>
  <c r="AK22" i="90" s="1"/>
  <c r="V439" i="90"/>
  <c r="V440" i="90" s="1"/>
  <c r="AG721" i="90"/>
  <c r="AG469" i="90" s="1"/>
  <c r="AH722" i="90"/>
  <c r="W781" i="90"/>
  <c r="W770" i="90"/>
  <c r="W788" i="90" s="1"/>
  <c r="W475" i="90" s="1"/>
  <c r="AD426" i="88"/>
  <c r="AC427" i="88"/>
  <c r="AI725" i="90"/>
  <c r="AH724" i="90"/>
  <c r="AG780" i="90"/>
  <c r="AH759" i="90" s="1"/>
  <c r="AH773" i="90" s="1"/>
  <c r="AP58" i="90"/>
  <c r="AO57" i="90"/>
  <c r="AC162" i="92"/>
  <c r="AC236" i="92"/>
  <c r="AC240" i="92" s="1"/>
  <c r="AC168" i="92"/>
  <c r="AN243" i="90"/>
  <c r="AN241" i="90"/>
  <c r="AK191" i="90"/>
  <c r="AK190" i="90"/>
  <c r="AK189" i="90"/>
  <c r="AO236" i="90"/>
  <c r="AP77" i="90"/>
  <c r="AF595" i="90"/>
  <c r="AF482" i="90"/>
  <c r="L253" i="56"/>
  <c r="AI666" i="90"/>
  <c r="AH706" i="90"/>
  <c r="AI691" i="90" s="1"/>
  <c r="AI701" i="90" s="1"/>
  <c r="AL124" i="70"/>
  <c r="AO18" i="90"/>
  <c r="S434" i="79"/>
  <c r="S610" i="79"/>
  <c r="S616" i="79" s="1"/>
  <c r="S632" i="79" s="1"/>
  <c r="S639" i="79" s="1"/>
  <c r="S642" i="79" s="1"/>
  <c r="AN24" i="90"/>
  <c r="AN26" i="90" s="1"/>
  <c r="AN414" i="90" s="1"/>
  <c r="AN359" i="90"/>
  <c r="AN399" i="90" s="1"/>
  <c r="AN319" i="90"/>
  <c r="AN303" i="90"/>
  <c r="AH287" i="90"/>
  <c r="AH316" i="90" s="1"/>
  <c r="AH317" i="90" s="1"/>
  <c r="AH315" i="90"/>
  <c r="AI370" i="90"/>
  <c r="AI426" i="90"/>
  <c r="AI425" i="90"/>
  <c r="AC379" i="90"/>
  <c r="AC380" i="90" s="1"/>
  <c r="AC390" i="90" s="1"/>
  <c r="AC392" i="90" s="1"/>
  <c r="AC517" i="90"/>
  <c r="AE782" i="90"/>
  <c r="AF761" i="90" s="1"/>
  <c r="AF775" i="90" s="1"/>
  <c r="X444" i="90"/>
  <c r="AB146" i="88"/>
  <c r="AC144" i="88"/>
  <c r="AO820" i="90"/>
  <c r="AN204" i="90"/>
  <c r="AN205" i="90" s="1"/>
  <c r="AP72" i="90"/>
  <c r="AJ248" i="90"/>
  <c r="AJ238" i="90"/>
  <c r="AJ247" i="90"/>
  <c r="AJ258" i="90" s="1"/>
  <c r="AJ260" i="90" s="1"/>
  <c r="AJ415" i="90"/>
  <c r="AE157" i="92"/>
  <c r="AE129" i="92"/>
  <c r="AD149" i="88"/>
  <c r="AM427" i="90"/>
  <c r="AM562" i="90"/>
  <c r="AM576" i="90" s="1"/>
  <c r="AM577" i="90" s="1"/>
  <c r="AJ426" i="90"/>
  <c r="AJ425" i="90"/>
  <c r="AJ370" i="90"/>
  <c r="AC262" i="88"/>
  <c r="AD261" i="88"/>
  <c r="AI665" i="90"/>
  <c r="AH663" i="90"/>
  <c r="AI248" i="90"/>
  <c r="AI415" i="90"/>
  <c r="AI247" i="90"/>
  <c r="AI258" i="90" s="1"/>
  <c r="AI260" i="90" s="1"/>
  <c r="AI238" i="90"/>
  <c r="Z420" i="90"/>
  <c r="Z423" i="90"/>
  <c r="Z261" i="90" s="1"/>
  <c r="Z262" i="90" s="1"/>
  <c r="AD573" i="88"/>
  <c r="AC574" i="88"/>
  <c r="AA443" i="88"/>
  <c r="AA272" i="88" s="1"/>
  <c r="AA206" i="88"/>
  <c r="AA203" i="88" s="1"/>
  <c r="AA199" i="88"/>
  <c r="AG515" i="88"/>
  <c r="AF515" i="88"/>
  <c r="AH515" i="88"/>
  <c r="AE515" i="88"/>
  <c r="AD515" i="88"/>
  <c r="AD522" i="88" s="1"/>
  <c r="AD485" i="88" s="1"/>
  <c r="AD237" i="88" s="1"/>
  <c r="AD318" i="88" s="1"/>
  <c r="AC100" i="88"/>
  <c r="AD97" i="88"/>
  <c r="AH814" i="90"/>
  <c r="AH838" i="90" s="1"/>
  <c r="AH560" i="90"/>
  <c r="AH418" i="90"/>
  <c r="AG424" i="92"/>
  <c r="AG426" i="92" s="1"/>
  <c r="AG259" i="92" s="1"/>
  <c r="AF420" i="92"/>
  <c r="AF210" i="92" s="1"/>
  <c r="AF453" i="92"/>
  <c r="AF467" i="92" s="1"/>
  <c r="AA310" i="90"/>
  <c r="AA311" i="90" s="1"/>
  <c r="AA295" i="90" s="1"/>
  <c r="AA292" i="90" s="1"/>
  <c r="AQ64" i="90"/>
  <c r="AD72" i="88"/>
  <c r="AD76" i="88" s="1"/>
  <c r="AE68" i="88"/>
  <c r="AD74" i="88"/>
  <c r="AL792" i="90"/>
  <c r="AL794" i="90" s="1"/>
  <c r="AL796" i="90" s="1"/>
  <c r="AL171" i="90"/>
  <c r="AL304" i="90"/>
  <c r="AL306" i="90" s="1"/>
  <c r="AL294" i="90" s="1"/>
  <c r="AL169" i="90"/>
  <c r="AL168" i="90"/>
  <c r="AK819" i="90"/>
  <c r="AK854" i="90" s="1"/>
  <c r="AK868" i="90" s="1"/>
  <c r="Y483" i="88"/>
  <c r="Y488" i="88" s="1"/>
  <c r="X275" i="88"/>
  <c r="X523" i="88"/>
  <c r="X524" i="88" s="1"/>
  <c r="AK726" i="90"/>
  <c r="AT67" i="90"/>
  <c r="AB699" i="90"/>
  <c r="AH675" i="90"/>
  <c r="AG673" i="90"/>
  <c r="AG786" i="90" s="1"/>
  <c r="AG473" i="90" s="1"/>
  <c r="AK210" i="90"/>
  <c r="AK211" i="90" s="1"/>
  <c r="AK253" i="90" s="1"/>
  <c r="AK136" i="90"/>
  <c r="AN795" i="90"/>
  <c r="X718" i="90"/>
  <c r="AF484" i="90"/>
  <c r="AF608" i="90"/>
  <c r="AK667" i="90"/>
  <c r="AJ707" i="90"/>
  <c r="AK692" i="90" s="1"/>
  <c r="AK702" i="90" s="1"/>
  <c r="AG357" i="88"/>
  <c r="AF358" i="88"/>
  <c r="AK710" i="90"/>
  <c r="AG771" i="90"/>
  <c r="AJ674" i="90"/>
  <c r="AK664" i="90"/>
  <c r="AF366" i="90"/>
  <c r="AF460" i="90"/>
  <c r="AQ54" i="90"/>
  <c r="AS55" i="90"/>
  <c r="AF591" i="90"/>
  <c r="AF461" i="90" s="1"/>
  <c r="AL818" i="90"/>
  <c r="AL853" i="90" s="1"/>
  <c r="AL867" i="90" s="1"/>
  <c r="AD96" i="88"/>
  <c r="AC99" i="88"/>
  <c r="AC454" i="88"/>
  <c r="AB457" i="88"/>
  <c r="AB458" i="88" s="1"/>
  <c r="AB459" i="88" s="1"/>
  <c r="AK723" i="90"/>
  <c r="AK212" i="90"/>
  <c r="AK235" i="90"/>
  <c r="AE153" i="88"/>
  <c r="AD154" i="88"/>
  <c r="AD86" i="88"/>
  <c r="AC87" i="88"/>
  <c r="AG472" i="90"/>
  <c r="AO214" i="90"/>
  <c r="AO424" i="90"/>
  <c r="AB544" i="88"/>
  <c r="AB579" i="88" s="1"/>
  <c r="AB593" i="88" s="1"/>
  <c r="AC473" i="88"/>
  <c r="AD472" i="88"/>
  <c r="AF156" i="92"/>
  <c r="AF286" i="92"/>
  <c r="AF121" i="92"/>
  <c r="AA545" i="88"/>
  <c r="AK196" i="90"/>
  <c r="AK250" i="90" s="1"/>
  <c r="S398" i="79"/>
  <c r="AJ821" i="90"/>
  <c r="AJ492" i="90" s="1"/>
  <c r="T254" i="92"/>
  <c r="T408" i="92" s="1"/>
  <c r="T414" i="92" s="1"/>
  <c r="T428" i="92" s="1"/>
  <c r="Q408" i="92"/>
  <c r="Q414" i="92" s="1"/>
  <c r="Q428" i="92" s="1"/>
  <c r="Q256" i="92"/>
  <c r="S256" i="92" s="1"/>
  <c r="T256" i="92" s="1"/>
  <c r="S254" i="92"/>
  <c r="S408" i="92" s="1"/>
  <c r="S414" i="92" s="1"/>
  <c r="S428" i="92" s="1"/>
  <c r="U170" i="57"/>
  <c r="W284" i="88"/>
  <c r="AC29" i="88"/>
  <c r="AD28" i="88"/>
  <c r="AE160" i="88"/>
  <c r="AD232" i="88"/>
  <c r="AE173" i="88"/>
  <c r="AD175" i="88"/>
  <c r="AB19" i="88"/>
  <c r="AB20" i="88" s="1"/>
  <c r="AB11" i="88" s="1"/>
  <c r="AB138" i="88"/>
  <c r="AB140" i="88"/>
  <c r="AB193" i="88" s="1"/>
  <c r="AB142" i="88"/>
  <c r="AB194" i="88" s="1"/>
  <c r="AB156" i="88"/>
  <c r="X280" i="88"/>
  <c r="AA444" i="88"/>
  <c r="AA269" i="88" s="1"/>
  <c r="AA442" i="88"/>
  <c r="AA225" i="88"/>
  <c r="Z430" i="88"/>
  <c r="Z539" i="88"/>
  <c r="Z563" i="88" s="1"/>
  <c r="Z228" i="88"/>
  <c r="Z230" i="88" s="1"/>
  <c r="Z235" i="88" s="1"/>
  <c r="Z239" i="88" s="1"/>
  <c r="Z317" i="88" s="1"/>
  <c r="Y460" i="88"/>
  <c r="Y461" i="88"/>
  <c r="Y282" i="88" s="1"/>
  <c r="AA233" i="88"/>
  <c r="AA192" i="88"/>
  <c r="AA446" i="88"/>
  <c r="AA270" i="88" s="1"/>
  <c r="AA445" i="88"/>
  <c r="AA271" i="88" s="1"/>
  <c r="AA227" i="88"/>
  <c r="AA158" i="88"/>
  <c r="AA202" i="88"/>
  <c r="AC208" i="88"/>
  <c r="AC210" i="88"/>
  <c r="AC201" i="88"/>
  <c r="AC207" i="88"/>
  <c r="AC16" i="88"/>
  <c r="AC211" i="88"/>
  <c r="Y281" i="88"/>
  <c r="Y449" i="88"/>
  <c r="Y451" i="88" s="1"/>
  <c r="Y452" i="88" s="1"/>
  <c r="Y319" i="88" s="1"/>
  <c r="Z241" i="88"/>
  <c r="Z322" i="88" s="1"/>
  <c r="Z195" i="88"/>
  <c r="Z190" i="88" s="1"/>
  <c r="X283" i="88"/>
  <c r="X462" i="88"/>
  <c r="X463" i="88" s="1"/>
  <c r="X464" i="88" s="1"/>
  <c r="X320" i="88" s="1"/>
  <c r="X321" i="88" s="1"/>
  <c r="Z431" i="88"/>
  <c r="Z448" i="88"/>
  <c r="AD209" i="88"/>
  <c r="AD15" i="88"/>
  <c r="AD197" i="88"/>
  <c r="AD204" i="88"/>
  <c r="Z447" i="88"/>
  <c r="Z268" i="88"/>
  <c r="Z267" i="88" s="1"/>
  <c r="M496" i="64"/>
  <c r="M298" i="64"/>
  <c r="M384" i="47"/>
  <c r="M386" i="47" s="1"/>
  <c r="M327" i="47"/>
  <c r="N550" i="47"/>
  <c r="N564" i="47" s="1"/>
  <c r="N565" i="47" s="1"/>
  <c r="N569" i="47" s="1"/>
  <c r="N526" i="47"/>
  <c r="AG322" i="92" l="1"/>
  <c r="AG239" i="92" s="1"/>
  <c r="AI361" i="90"/>
  <c r="AI400" i="90" s="1"/>
  <c r="AI401" i="90" s="1"/>
  <c r="AI293" i="90"/>
  <c r="AI412" i="90"/>
  <c r="AI814" i="90" s="1"/>
  <c r="AI838" i="90" s="1"/>
  <c r="AI286" i="90"/>
  <c r="AI287" i="90" s="1"/>
  <c r="AI316" i="90" s="1"/>
  <c r="AI317" i="90" s="1"/>
  <c r="AH595" i="90"/>
  <c r="AF308" i="90"/>
  <c r="AF309" i="90" s="1"/>
  <c r="AA688" i="90"/>
  <c r="AA700" i="90"/>
  <c r="AF376" i="90"/>
  <c r="AF422" i="90"/>
  <c r="AF593" i="90"/>
  <c r="AF597" i="90" s="1"/>
  <c r="AF598" i="90" s="1"/>
  <c r="AF517" i="90" s="1"/>
  <c r="AK558" i="90"/>
  <c r="AL512" i="90"/>
  <c r="AO155" i="90"/>
  <c r="AO167" i="90" s="1"/>
  <c r="AO169" i="90" s="1"/>
  <c r="W519" i="90"/>
  <c r="AN242" i="90"/>
  <c r="AN244" i="90" s="1"/>
  <c r="AA125" i="57"/>
  <c r="O298" i="88"/>
  <c r="O300" i="88" s="1"/>
  <c r="O564" i="88"/>
  <c r="P582" i="88" s="1"/>
  <c r="P347" i="88"/>
  <c r="P537" i="88" s="1"/>
  <c r="O334" i="88"/>
  <c r="P292" i="88"/>
  <c r="AE119" i="88"/>
  <c r="AF117" i="88" s="1"/>
  <c r="AF118" i="88" s="1"/>
  <c r="AF119" i="88" s="1"/>
  <c r="AG117" i="88" s="1"/>
  <c r="AG118" i="88" s="1"/>
  <c r="AF290" i="90"/>
  <c r="AE328" i="88"/>
  <c r="AE332" i="88" s="1"/>
  <c r="U428" i="90"/>
  <c r="T444" i="90"/>
  <c r="U444" i="90" s="1"/>
  <c r="T432" i="90"/>
  <c r="AG787" i="90"/>
  <c r="AG71" i="88"/>
  <c r="AG90" i="88" s="1"/>
  <c r="AG95" i="88" s="1"/>
  <c r="AG114" i="88" s="1"/>
  <c r="AH66" i="88"/>
  <c r="T31" i="57"/>
  <c r="T129" i="57"/>
  <c r="T200" i="57"/>
  <c r="AI471" i="90"/>
  <c r="AI783" i="90"/>
  <c r="AJ762" i="90" s="1"/>
  <c r="AJ776" i="90" s="1"/>
  <c r="AJ727" i="90"/>
  <c r="U200" i="57"/>
  <c r="V200" i="57" s="1"/>
  <c r="U129" i="57"/>
  <c r="AO52" i="90"/>
  <c r="AO240" i="90" s="1"/>
  <c r="AO417" i="90" s="1"/>
  <c r="AP53" i="90"/>
  <c r="T390" i="90"/>
  <c r="U380" i="90"/>
  <c r="U371" i="90"/>
  <c r="T399" i="90"/>
  <c r="AG115" i="88"/>
  <c r="AH112" i="88" s="1"/>
  <c r="AC152" i="88"/>
  <c r="AC200" i="88" s="1"/>
  <c r="AF459" i="90"/>
  <c r="AM168" i="90"/>
  <c r="AM304" i="90"/>
  <c r="AM306" i="90" s="1"/>
  <c r="AM294" i="90" s="1"/>
  <c r="AM171" i="90"/>
  <c r="AM169" i="90"/>
  <c r="AM792" i="90"/>
  <c r="AM794" i="90" s="1"/>
  <c r="AM796" i="90" s="1"/>
  <c r="U261" i="90"/>
  <c r="T262" i="90"/>
  <c r="U262" i="90" s="1"/>
  <c r="Z212" i="88"/>
  <c r="Z213" i="88" s="1"/>
  <c r="O402" i="80"/>
  <c r="O403" i="80" s="1"/>
  <c r="O394" i="80"/>
  <c r="O398" i="80" s="1"/>
  <c r="O400" i="80" s="1"/>
  <c r="V499" i="90"/>
  <c r="V446" i="90"/>
  <c r="AH357" i="88"/>
  <c r="AG358" i="88"/>
  <c r="Y444" i="90"/>
  <c r="AB545" i="88"/>
  <c r="AD532" i="88"/>
  <c r="AE531" i="88"/>
  <c r="Y31" i="57"/>
  <c r="Y129" i="57"/>
  <c r="AE96" i="88"/>
  <c r="AD99" i="88"/>
  <c r="AI561" i="90"/>
  <c r="AI266" i="90"/>
  <c r="AI416" i="90"/>
  <c r="AT55" i="90"/>
  <c r="AE487" i="90"/>
  <c r="AR54" i="90"/>
  <c r="AL197" i="90"/>
  <c r="AL198" i="90" s="1"/>
  <c r="AL199" i="90"/>
  <c r="AL200" i="90" s="1"/>
  <c r="AL201" i="90"/>
  <c r="AM124" i="70"/>
  <c r="AP18" i="90"/>
  <c r="AS69" i="90"/>
  <c r="AE290" i="90"/>
  <c r="AE367" i="90"/>
  <c r="AE371" i="90" s="1"/>
  <c r="AE376" i="90"/>
  <c r="AE422" i="90"/>
  <c r="AE308" i="90"/>
  <c r="AE309" i="90" s="1"/>
  <c r="Z772" i="90"/>
  <c r="AC146" i="88"/>
  <c r="AD144" i="88"/>
  <c r="AI675" i="90"/>
  <c r="AH673" i="90"/>
  <c r="AH786" i="90" s="1"/>
  <c r="AH473" i="90" s="1"/>
  <c r="AO241" i="90"/>
  <c r="AO243" i="90"/>
  <c r="AG569" i="90"/>
  <c r="AG592" i="90" s="1"/>
  <c r="AG570" i="90"/>
  <c r="AG581" i="90" s="1"/>
  <c r="AG583" i="90" s="1"/>
  <c r="AG584" i="90" s="1"/>
  <c r="AG590" i="90" s="1"/>
  <c r="AG462" i="90" s="1"/>
  <c r="AG571" i="90"/>
  <c r="AG594" i="90" s="1"/>
  <c r="AG602" i="90"/>
  <c r="AG607" i="90" s="1"/>
  <c r="AG483" i="90" s="1"/>
  <c r="AG42" i="88"/>
  <c r="AF176" i="88"/>
  <c r="AG477" i="88"/>
  <c r="AG479" i="88" s="1"/>
  <c r="AG481" i="88" s="1"/>
  <c r="AH41" i="88"/>
  <c r="AG478" i="88"/>
  <c r="AK209" i="90"/>
  <c r="AK252" i="90" s="1"/>
  <c r="AL172" i="90"/>
  <c r="AL134" i="90"/>
  <c r="AL256" i="90"/>
  <c r="AL12" i="90"/>
  <c r="AL16" i="90" s="1"/>
  <c r="AL257" i="90"/>
  <c r="AL255" i="90"/>
  <c r="AL254" i="90"/>
  <c r="AI706" i="90"/>
  <c r="AJ691" i="90" s="1"/>
  <c r="AJ701" i="90" s="1"/>
  <c r="AJ666" i="90"/>
  <c r="AD131" i="88"/>
  <c r="AE130" i="88"/>
  <c r="AD454" i="88"/>
  <c r="AC457" i="88"/>
  <c r="AC458" i="88" s="1"/>
  <c r="AC459" i="88" s="1"/>
  <c r="AE149" i="88"/>
  <c r="AG286" i="92"/>
  <c r="AG156" i="92"/>
  <c r="AG121" i="92"/>
  <c r="AE472" i="88"/>
  <c r="AD473" i="88"/>
  <c r="AE573" i="88"/>
  <c r="AD574" i="88"/>
  <c r="AH348" i="90"/>
  <c r="AH349" i="90" s="1"/>
  <c r="AH343" i="90"/>
  <c r="AH344" i="90" s="1"/>
  <c r="AH333" i="90"/>
  <c r="AH334" i="90" s="1"/>
  <c r="AH328" i="90"/>
  <c r="AH329" i="90" s="1"/>
  <c r="AH323" i="90"/>
  <c r="AH324" i="90" s="1"/>
  <c r="AH338" i="90"/>
  <c r="AH339" i="90" s="1"/>
  <c r="AH353" i="90"/>
  <c r="AH354" i="90" s="1"/>
  <c r="AP236" i="90"/>
  <c r="AQ77" i="90"/>
  <c r="AH780" i="90"/>
  <c r="AI759" i="90" s="1"/>
  <c r="AI773" i="90" s="1"/>
  <c r="AI724" i="90"/>
  <c r="AH721" i="90"/>
  <c r="AH469" i="90" s="1"/>
  <c r="AI722" i="90"/>
  <c r="AG267" i="90"/>
  <c r="AG377" i="90" s="1"/>
  <c r="AG268" i="90"/>
  <c r="AG418" i="90"/>
  <c r="AG814" i="90"/>
  <c r="AG838" i="90" s="1"/>
  <c r="AG560" i="90"/>
  <c r="AA580" i="88"/>
  <c r="AA594" i="88" s="1"/>
  <c r="AC150" i="88"/>
  <c r="AC198" i="88" s="1"/>
  <c r="AL251" i="90"/>
  <c r="AE133" i="92"/>
  <c r="AE161" i="92"/>
  <c r="AE167" i="92"/>
  <c r="AF516" i="88"/>
  <c r="AE516" i="88"/>
  <c r="AE522" i="88" s="1"/>
  <c r="AE485" i="88" s="1"/>
  <c r="AE237" i="88" s="1"/>
  <c r="AE318" i="88" s="1"/>
  <c r="AH516" i="88"/>
  <c r="AG516" i="88"/>
  <c r="AI516" i="88"/>
  <c r="AL710" i="90"/>
  <c r="AB443" i="88"/>
  <c r="AB272" i="88" s="1"/>
  <c r="AB199" i="88"/>
  <c r="AB206" i="88"/>
  <c r="AB203" i="88" s="1"/>
  <c r="AE379" i="90"/>
  <c r="AE517" i="90"/>
  <c r="AH771" i="90"/>
  <c r="AH778" i="90" s="1"/>
  <c r="AD168" i="92"/>
  <c r="AD236" i="92"/>
  <c r="AD240" i="92" s="1"/>
  <c r="AD162" i="92"/>
  <c r="AK674" i="90"/>
  <c r="AO204" i="90"/>
  <c r="AO205" i="90" s="1"/>
  <c r="AK23" i="90"/>
  <c r="W66" i="57"/>
  <c r="AA420" i="90"/>
  <c r="AA428" i="90" s="1"/>
  <c r="AA423" i="90"/>
  <c r="AA261" i="90" s="1"/>
  <c r="AA262" i="90" s="1"/>
  <c r="AL147" i="90"/>
  <c r="AL194" i="90"/>
  <c r="AL193" i="90" s="1"/>
  <c r="AL249" i="90" s="1"/>
  <c r="AO303" i="90"/>
  <c r="AO24" i="90"/>
  <c r="AO26" i="90" s="1"/>
  <c r="AO414" i="90" s="1"/>
  <c r="AO319" i="90"/>
  <c r="AO359" i="90"/>
  <c r="AO399" i="90" s="1"/>
  <c r="AN167" i="90"/>
  <c r="AN206" i="90"/>
  <c r="AN203" i="90" s="1"/>
  <c r="Z428" i="90"/>
  <c r="Z25" i="57"/>
  <c r="AE151" i="88"/>
  <c r="AB704" i="90"/>
  <c r="AN562" i="90"/>
  <c r="AN576" i="90" s="1"/>
  <c r="AN577" i="90" s="1"/>
  <c r="AN427" i="90"/>
  <c r="AP820" i="90"/>
  <c r="AP855" i="90" s="1"/>
  <c r="AP869" i="90" s="1"/>
  <c r="V52" i="57"/>
  <c r="V169" i="57" s="1"/>
  <c r="V522" i="90"/>
  <c r="V523" i="90" s="1"/>
  <c r="V442" i="90"/>
  <c r="AK797" i="90"/>
  <c r="AJ470" i="90"/>
  <c r="Y715" i="90"/>
  <c r="AF153" i="88"/>
  <c r="AE154" i="88"/>
  <c r="AH606" i="90"/>
  <c r="AH589" i="90"/>
  <c r="AM818" i="90"/>
  <c r="Z483" i="88"/>
  <c r="Z488" i="88" s="1"/>
  <c r="Y275" i="88"/>
  <c r="Y523" i="88"/>
  <c r="Y524" i="88" s="1"/>
  <c r="AJ665" i="90"/>
  <c r="AI663" i="90"/>
  <c r="AF481" i="90"/>
  <c r="AF487" i="90"/>
  <c r="AC313" i="88"/>
  <c r="AD312" i="88"/>
  <c r="AP139" i="90"/>
  <c r="AP154" i="90" s="1"/>
  <c r="AP132" i="90"/>
  <c r="AQ125" i="90"/>
  <c r="AK188" i="90"/>
  <c r="AF609" i="90"/>
  <c r="AF610" i="90" s="1"/>
  <c r="AF518" i="90" s="1"/>
  <c r="AQ76" i="90"/>
  <c r="AF782" i="90"/>
  <c r="AG761" i="90" s="1"/>
  <c r="AG775" i="90" s="1"/>
  <c r="AC393" i="90"/>
  <c r="AB310" i="90"/>
  <c r="AB311" i="90" s="1"/>
  <c r="AB295" i="90" s="1"/>
  <c r="AB292" i="90" s="1"/>
  <c r="AE221" i="88"/>
  <c r="AD222" i="88"/>
  <c r="AL723" i="90"/>
  <c r="AE97" i="88"/>
  <c r="AD100" i="88"/>
  <c r="AD150" i="88" s="1"/>
  <c r="AD198" i="88" s="1"/>
  <c r="AL664" i="90"/>
  <c r="AF68" i="88"/>
  <c r="AE74" i="88"/>
  <c r="AE72" i="88"/>
  <c r="M49" i="57"/>
  <c r="M77" i="57" s="1"/>
  <c r="M78" i="57" s="1"/>
  <c r="M92" i="57" s="1"/>
  <c r="M93" i="57" s="1"/>
  <c r="L356" i="56"/>
  <c r="L358" i="56" s="1"/>
  <c r="AQ58" i="90"/>
  <c r="AP57" i="90"/>
  <c r="X760" i="90"/>
  <c r="W777" i="90"/>
  <c r="W789" i="90" s="1"/>
  <c r="W439" i="90"/>
  <c r="W36" i="57"/>
  <c r="W65" i="57" s="1"/>
  <c r="AK639" i="90"/>
  <c r="AJ725" i="90"/>
  <c r="AU67" i="90"/>
  <c r="AL819" i="90"/>
  <c r="X123" i="57"/>
  <c r="X134" i="57" s="1"/>
  <c r="X136" i="57"/>
  <c r="AC544" i="88"/>
  <c r="Y546" i="88"/>
  <c r="Y287" i="88" s="1"/>
  <c r="Z543" i="88"/>
  <c r="Z578" i="88" s="1"/>
  <c r="Z592" i="88" s="1"/>
  <c r="AL667" i="90"/>
  <c r="AK707" i="90"/>
  <c r="AL692" i="90" s="1"/>
  <c r="AL702" i="90" s="1"/>
  <c r="AJ416" i="90"/>
  <c r="AJ266" i="90"/>
  <c r="AJ561" i="90"/>
  <c r="AQ70" i="90"/>
  <c r="AJ286" i="90"/>
  <c r="AJ412" i="90"/>
  <c r="AJ364" i="90"/>
  <c r="AJ375" i="90"/>
  <c r="AJ361" i="90"/>
  <c r="AJ400" i="90" s="1"/>
  <c r="AJ401" i="90" s="1"/>
  <c r="AR40" i="90"/>
  <c r="AQ216" i="90"/>
  <c r="AO855" i="90"/>
  <c r="AO869" i="90" s="1"/>
  <c r="AK821" i="90"/>
  <c r="AK492" i="90" s="1"/>
  <c r="AI375" i="90"/>
  <c r="AA196" i="88"/>
  <c r="AF371" i="90"/>
  <c r="L255" i="56"/>
  <c r="AJ368" i="90"/>
  <c r="AJ293" i="90"/>
  <c r="AO795" i="90"/>
  <c r="AN332" i="90"/>
  <c r="AN327" i="90"/>
  <c r="AN342" i="90"/>
  <c r="AN337" i="90"/>
  <c r="AN322" i="90"/>
  <c r="AN352" i="90"/>
  <c r="AN347" i="90"/>
  <c r="AK259" i="90"/>
  <c r="AK239" i="90"/>
  <c r="AR64" i="90"/>
  <c r="AE261" i="88"/>
  <c r="AD262" i="88"/>
  <c r="AQ72" i="90"/>
  <c r="AG287" i="90"/>
  <c r="AG316" i="90" s="1"/>
  <c r="AG317" i="90" s="1"/>
  <c r="AG315" i="90"/>
  <c r="AF328" i="88"/>
  <c r="AF332" i="88" s="1"/>
  <c r="AF484" i="88"/>
  <c r="J517" i="88"/>
  <c r="AE86" i="88"/>
  <c r="AD87" i="88"/>
  <c r="AF157" i="92"/>
  <c r="AF129" i="92"/>
  <c r="AL726" i="90"/>
  <c r="AH472" i="90"/>
  <c r="AE426" i="88"/>
  <c r="AD427" i="88"/>
  <c r="AP424" i="90"/>
  <c r="AP214" i="90"/>
  <c r="AG778" i="90"/>
  <c r="AG418" i="92"/>
  <c r="Q432" i="92"/>
  <c r="AE28" i="88"/>
  <c r="AD29" i="88"/>
  <c r="AF160" i="88"/>
  <c r="AE232" i="88"/>
  <c r="AE175" i="88"/>
  <c r="AF173" i="88"/>
  <c r="Y280" i="88"/>
  <c r="AB225" i="88"/>
  <c r="AB444" i="88"/>
  <c r="AB269" i="88" s="1"/>
  <c r="AB442" i="88"/>
  <c r="AA448" i="88"/>
  <c r="AA431" i="88"/>
  <c r="AA241" i="88"/>
  <c r="AA322" i="88" s="1"/>
  <c r="AA195" i="88"/>
  <c r="AA190" i="88" s="1"/>
  <c r="AB446" i="88"/>
  <c r="AB270" i="88" s="1"/>
  <c r="AB202" i="88"/>
  <c r="AB227" i="88"/>
  <c r="AB445" i="88"/>
  <c r="AB271" i="88" s="1"/>
  <c r="AB158" i="88"/>
  <c r="AA539" i="88"/>
  <c r="AA563" i="88" s="1"/>
  <c r="AA430" i="88"/>
  <c r="AA228" i="88"/>
  <c r="AA230" i="88" s="1"/>
  <c r="AA235" i="88" s="1"/>
  <c r="AA239" i="88" s="1"/>
  <c r="AA317" i="88" s="1"/>
  <c r="Z461" i="88"/>
  <c r="Z282" i="88" s="1"/>
  <c r="Z460" i="88"/>
  <c r="Z281" i="88"/>
  <c r="Z449" i="88"/>
  <c r="Z451" i="88" s="1"/>
  <c r="Z452" i="88" s="1"/>
  <c r="Z319" i="88" s="1"/>
  <c r="AD201" i="88"/>
  <c r="AD16" i="88"/>
  <c r="AD208" i="88"/>
  <c r="AD207" i="88"/>
  <c r="AD211" i="88"/>
  <c r="AD210" i="88"/>
  <c r="AE15" i="88"/>
  <c r="AE204" i="88"/>
  <c r="AE209" i="88"/>
  <c r="AE197" i="88"/>
  <c r="AB192" i="88"/>
  <c r="AB233" i="88"/>
  <c r="Y283" i="88"/>
  <c r="Y462" i="88"/>
  <c r="Y463" i="88" s="1"/>
  <c r="Y464" i="88" s="1"/>
  <c r="Y320" i="88" s="1"/>
  <c r="Y321" i="88" s="1"/>
  <c r="AC142" i="88"/>
  <c r="AC194" i="88" s="1"/>
  <c r="AC138" i="88"/>
  <c r="AC19" i="88"/>
  <c r="AC20" i="88" s="1"/>
  <c r="AC11" i="88" s="1"/>
  <c r="AC140" i="88"/>
  <c r="AC193" i="88" s="1"/>
  <c r="AC156" i="88"/>
  <c r="X284" i="88"/>
  <c r="AA268" i="88"/>
  <c r="AA267" i="88" s="1"/>
  <c r="AA447" i="88"/>
  <c r="M331" i="47"/>
  <c r="M339" i="47" s="1"/>
  <c r="M343" i="47"/>
  <c r="M344" i="47" s="1"/>
  <c r="N494" i="64"/>
  <c r="M248" i="64"/>
  <c r="N518" i="64"/>
  <c r="N532" i="64" s="1"/>
  <c r="N533" i="64" s="1"/>
  <c r="N537" i="64" s="1"/>
  <c r="N174" i="64" s="1"/>
  <c r="M389" i="47"/>
  <c r="M392" i="47"/>
  <c r="M393" i="47"/>
  <c r="M394" i="47" s="1"/>
  <c r="M304" i="64"/>
  <c r="M306" i="64" s="1"/>
  <c r="M309" i="64" s="1"/>
  <c r="M96" i="57"/>
  <c r="M109" i="57" s="1"/>
  <c r="AI560" i="90" l="1"/>
  <c r="AI418" i="90"/>
  <c r="AI315" i="90"/>
  <c r="P602" i="88"/>
  <c r="P604" i="88" s="1"/>
  <c r="P243" i="88" s="1"/>
  <c r="AO304" i="90"/>
  <c r="AA705" i="90"/>
  <c r="AA698" i="90"/>
  <c r="AO206" i="90"/>
  <c r="AO792" i="90"/>
  <c r="AO794" i="90" s="1"/>
  <c r="AO171" i="90"/>
  <c r="AO254" i="90" s="1"/>
  <c r="AO168" i="90"/>
  <c r="AO147" i="90" s="1"/>
  <c r="AO306" i="90"/>
  <c r="AO294" i="90" s="1"/>
  <c r="AM512" i="90"/>
  <c r="AL558" i="90"/>
  <c r="AF379" i="90"/>
  <c r="AF380" i="90" s="1"/>
  <c r="AF390" i="90" s="1"/>
  <c r="AF392" i="90" s="1"/>
  <c r="AG591" i="90"/>
  <c r="AH591" i="90" s="1"/>
  <c r="AH461" i="90" s="1"/>
  <c r="AF13" i="88"/>
  <c r="AF15" i="88" s="1"/>
  <c r="O535" i="88"/>
  <c r="O540" i="88" s="1"/>
  <c r="O554" i="88" s="1"/>
  <c r="O561" i="88" s="1"/>
  <c r="O336" i="88"/>
  <c r="O361" i="88"/>
  <c r="O362" i="88" s="1"/>
  <c r="O363" i="88" s="1"/>
  <c r="AO242" i="90"/>
  <c r="AO244" i="90" s="1"/>
  <c r="AM172" i="90"/>
  <c r="AM254" i="90"/>
  <c r="AM257" i="90"/>
  <c r="AM134" i="90"/>
  <c r="AM256" i="90"/>
  <c r="AM12" i="90"/>
  <c r="AM16" i="90" s="1"/>
  <c r="AM17" i="90" s="1"/>
  <c r="AM20" i="90" s="1"/>
  <c r="AM21" i="90" s="1"/>
  <c r="AM22" i="90" s="1"/>
  <c r="AM255" i="90"/>
  <c r="AJ471" i="90"/>
  <c r="AJ783" i="90"/>
  <c r="AK762" i="90" s="1"/>
  <c r="AK776" i="90" s="1"/>
  <c r="AK727" i="90"/>
  <c r="AL196" i="90"/>
  <c r="AL250" i="90" s="1"/>
  <c r="AD152" i="88"/>
  <c r="AD200" i="88" s="1"/>
  <c r="U390" i="90"/>
  <c r="T392" i="90"/>
  <c r="AM194" i="90"/>
  <c r="AM193" i="90" s="1"/>
  <c r="AM249" i="90" s="1"/>
  <c r="AM147" i="90"/>
  <c r="AQ53" i="90"/>
  <c r="AP52" i="90"/>
  <c r="AP240" i="90" s="1"/>
  <c r="T445" i="90"/>
  <c r="U445" i="90" s="1"/>
  <c r="T437" i="90"/>
  <c r="U432" i="90"/>
  <c r="T515" i="90"/>
  <c r="U399" i="90"/>
  <c r="T401" i="90"/>
  <c r="U401" i="90" s="1"/>
  <c r="T136" i="57"/>
  <c r="T36" i="57"/>
  <c r="U31" i="57"/>
  <c r="T194" i="57"/>
  <c r="T123" i="57"/>
  <c r="T134" i="57" s="1"/>
  <c r="AM251" i="90"/>
  <c r="AM197" i="90"/>
  <c r="AM198" i="90" s="1"/>
  <c r="AM199" i="90"/>
  <c r="AM200" i="90" s="1"/>
  <c r="AM201" i="90"/>
  <c r="AH71" i="88"/>
  <c r="AH90" i="88" s="1"/>
  <c r="AH95" i="88" s="1"/>
  <c r="AH114" i="88" s="1"/>
  <c r="AH115" i="88" s="1"/>
  <c r="AI112" i="88" s="1"/>
  <c r="AI115" i="88" s="1"/>
  <c r="AI66" i="88"/>
  <c r="AI71" i="88" s="1"/>
  <c r="AI90" i="88" s="1"/>
  <c r="AI95" i="88" s="1"/>
  <c r="AI114" i="88" s="1"/>
  <c r="AB196" i="88"/>
  <c r="AA212" i="88"/>
  <c r="AA213" i="88" s="1"/>
  <c r="P405" i="80"/>
  <c r="O405" i="80"/>
  <c r="W72" i="57"/>
  <c r="AG595" i="90"/>
  <c r="AG482" i="90"/>
  <c r="AH356" i="90"/>
  <c r="AH288" i="90" s="1"/>
  <c r="AH289" i="90" s="1"/>
  <c r="AN818" i="90"/>
  <c r="AN853" i="90" s="1"/>
  <c r="AN867" i="90" s="1"/>
  <c r="AJ706" i="90"/>
  <c r="AK691" i="90" s="1"/>
  <c r="AK701" i="90" s="1"/>
  <c r="AK666" i="90"/>
  <c r="J518" i="88"/>
  <c r="AG484" i="88"/>
  <c r="AG328" i="88"/>
  <c r="AG332" i="88" s="1"/>
  <c r="AF531" i="88"/>
  <c r="AE532" i="88"/>
  <c r="V500" i="90"/>
  <c r="V502" i="90" s="1"/>
  <c r="W498" i="90"/>
  <c r="AE427" i="88"/>
  <c r="AF426" i="88"/>
  <c r="Y136" i="57"/>
  <c r="Y123" i="57"/>
  <c r="Y134" i="57" s="1"/>
  <c r="AE131" i="88"/>
  <c r="AF130" i="88"/>
  <c r="AL210" i="90"/>
  <c r="AL211" i="90" s="1"/>
  <c r="AL253" i="90" s="1"/>
  <c r="AL136" i="90"/>
  <c r="AM819" i="90"/>
  <c r="AO197" i="90"/>
  <c r="AO198" i="90" s="1"/>
  <c r="AO199" i="90"/>
  <c r="AO200" i="90" s="1"/>
  <c r="AO201" i="90"/>
  <c r="AE87" i="88"/>
  <c r="AF86" i="88"/>
  <c r="AJ570" i="90"/>
  <c r="AJ581" i="90" s="1"/>
  <c r="AJ583" i="90" s="1"/>
  <c r="AJ584" i="90" s="1"/>
  <c r="AJ590" i="90" s="1"/>
  <c r="AJ462" i="90" s="1"/>
  <c r="AJ569" i="90"/>
  <c r="AJ592" i="90" s="1"/>
  <c r="AJ602" i="90"/>
  <c r="AJ607" i="90" s="1"/>
  <c r="AJ483" i="90" s="1"/>
  <c r="AJ571" i="90"/>
  <c r="AJ594" i="90" s="1"/>
  <c r="AR125" i="90"/>
  <c r="AQ139" i="90"/>
  <c r="AQ155" i="90" s="1"/>
  <c r="AQ132" i="90"/>
  <c r="AO322" i="90"/>
  <c r="AO342" i="90"/>
  <c r="AO347" i="90"/>
  <c r="AO327" i="90"/>
  <c r="AO332" i="90"/>
  <c r="AO352" i="90"/>
  <c r="AO337" i="90"/>
  <c r="L276" i="56"/>
  <c r="L282" i="56"/>
  <c r="L499" i="56"/>
  <c r="L506" i="56" s="1"/>
  <c r="AR70" i="90"/>
  <c r="AP241" i="90"/>
  <c r="AP243" i="90"/>
  <c r="AK248" i="90"/>
  <c r="AK238" i="90"/>
  <c r="AK247" i="90"/>
  <c r="AK258" i="90" s="1"/>
  <c r="AK260" i="90" s="1"/>
  <c r="AK415" i="90"/>
  <c r="AI333" i="90"/>
  <c r="AI348" i="90"/>
  <c r="AI323" i="90"/>
  <c r="AI324" i="90" s="1"/>
  <c r="AI353" i="90"/>
  <c r="AI354" i="90" s="1"/>
  <c r="AI338" i="90"/>
  <c r="AI339" i="90" s="1"/>
  <c r="AI328" i="90"/>
  <c r="AI329" i="90" s="1"/>
  <c r="AI343" i="90"/>
  <c r="AI344" i="90" s="1"/>
  <c r="AF97" i="88"/>
  <c r="AE100" i="88"/>
  <c r="AL212" i="90"/>
  <c r="AL235" i="90"/>
  <c r="Y717" i="90"/>
  <c r="AI780" i="90"/>
  <c r="AJ759" i="90" s="1"/>
  <c r="AJ773" i="90" s="1"/>
  <c r="AJ724" i="90"/>
  <c r="AG129" i="92"/>
  <c r="AG157" i="92"/>
  <c r="AM853" i="90"/>
  <c r="AM867" i="90" s="1"/>
  <c r="AI517" i="88"/>
  <c r="AH517" i="88"/>
  <c r="AG517" i="88"/>
  <c r="AF517" i="88"/>
  <c r="AF522" i="88" s="1"/>
  <c r="AF485" i="88" s="1"/>
  <c r="AF237" i="88" s="1"/>
  <c r="AF318" i="88" s="1"/>
  <c r="AP204" i="90"/>
  <c r="AP205" i="90" s="1"/>
  <c r="AA25" i="57"/>
  <c r="AA31" i="57" s="1"/>
  <c r="Z31" i="57"/>
  <c r="Z129" i="57"/>
  <c r="AA129" i="57" s="1"/>
  <c r="AE152" i="88"/>
  <c r="AF151" i="88"/>
  <c r="AK11" i="90"/>
  <c r="AK301" i="90"/>
  <c r="AK413" i="90"/>
  <c r="AF472" i="88"/>
  <c r="AE473" i="88"/>
  <c r="AL17" i="90"/>
  <c r="AL20" i="90" s="1"/>
  <c r="AL21" i="90" s="1"/>
  <c r="AL22" i="90" s="1"/>
  <c r="AG176" i="88"/>
  <c r="AH42" i="88"/>
  <c r="AI570" i="90"/>
  <c r="AI581" i="90" s="1"/>
  <c r="AI583" i="90" s="1"/>
  <c r="AI584" i="90" s="1"/>
  <c r="AI590" i="90" s="1"/>
  <c r="AI462" i="90" s="1"/>
  <c r="AI569" i="90"/>
  <c r="AI592" i="90" s="1"/>
  <c r="AI571" i="90"/>
  <c r="AI594" i="90" s="1"/>
  <c r="AI602" i="90"/>
  <c r="AI607" i="90" s="1"/>
  <c r="AI483" i="90" s="1"/>
  <c r="AL854" i="90"/>
  <c r="AL868" i="90" s="1"/>
  <c r="AG589" i="90"/>
  <c r="AH366" i="90" s="1"/>
  <c r="AG606" i="90"/>
  <c r="AR58" i="90"/>
  <c r="AQ57" i="90"/>
  <c r="AE162" i="92"/>
  <c r="AE236" i="92"/>
  <c r="AE240" i="92" s="1"/>
  <c r="AE168" i="92"/>
  <c r="AQ820" i="90"/>
  <c r="AQ855" i="90" s="1"/>
  <c r="AQ869" i="90" s="1"/>
  <c r="AD457" i="88"/>
  <c r="AD458" i="88" s="1"/>
  <c r="AD459" i="88" s="1"/>
  <c r="AE454" i="88"/>
  <c r="AO562" i="90"/>
  <c r="AO576" i="90" s="1"/>
  <c r="AO577" i="90" s="1"/>
  <c r="AO427" i="90"/>
  <c r="X756" i="90"/>
  <c r="X785" i="90" s="1"/>
  <c r="X430" i="90" s="1"/>
  <c r="X774" i="90"/>
  <c r="AN169" i="90"/>
  <c r="AN792" i="90"/>
  <c r="AN794" i="90" s="1"/>
  <c r="AN796" i="90" s="1"/>
  <c r="AN168" i="90"/>
  <c r="AN171" i="90"/>
  <c r="AN304" i="90"/>
  <c r="AN306" i="90" s="1"/>
  <c r="AN294" i="90" s="1"/>
  <c r="AO256" i="90"/>
  <c r="W442" i="90"/>
  <c r="W52" i="57"/>
  <c r="W169" i="57" s="1"/>
  <c r="W522" i="90"/>
  <c r="W523" i="90" s="1"/>
  <c r="AS54" i="90"/>
  <c r="AE262" i="88"/>
  <c r="AF261" i="88"/>
  <c r="AG782" i="90"/>
  <c r="AH761" i="90" s="1"/>
  <c r="AH775" i="90" s="1"/>
  <c r="M54" i="57"/>
  <c r="M138" i="57" s="1"/>
  <c r="Z523" i="88"/>
  <c r="Z524" i="88" s="1"/>
  <c r="Z275" i="88"/>
  <c r="AA483" i="88"/>
  <c r="AA488" i="88" s="1"/>
  <c r="AJ315" i="90"/>
  <c r="AJ287" i="90"/>
  <c r="AJ316" i="90" s="1"/>
  <c r="AJ317" i="90" s="1"/>
  <c r="AM723" i="90"/>
  <c r="AL674" i="90"/>
  <c r="AE150" i="88"/>
  <c r="AF149" i="88"/>
  <c r="AF96" i="88"/>
  <c r="AE99" i="88"/>
  <c r="AD544" i="88"/>
  <c r="AD579" i="88" s="1"/>
  <c r="AD593" i="88" s="1"/>
  <c r="AL639" i="90"/>
  <c r="AQ18" i="90"/>
  <c r="AN124" i="70"/>
  <c r="AQ214" i="90"/>
  <c r="AQ424" i="90"/>
  <c r="AI721" i="90"/>
  <c r="AI469" i="90" s="1"/>
  <c r="AJ722" i="90"/>
  <c r="AF573" i="88"/>
  <c r="AE574" i="88"/>
  <c r="AE144" i="88"/>
  <c r="AD146" i="88"/>
  <c r="AP303" i="90"/>
  <c r="AP24" i="90"/>
  <c r="AP26" i="90" s="1"/>
  <c r="AP414" i="90" s="1"/>
  <c r="AP359" i="90"/>
  <c r="AP399" i="90" s="1"/>
  <c r="AP319" i="90"/>
  <c r="AC579" i="88"/>
  <c r="AC593" i="88" s="1"/>
  <c r="AJ267" i="90"/>
  <c r="AJ377" i="90" s="1"/>
  <c r="AJ268" i="90"/>
  <c r="AI606" i="90"/>
  <c r="AI589" i="90"/>
  <c r="AS64" i="90"/>
  <c r="V542" i="90"/>
  <c r="V545" i="90" s="1"/>
  <c r="V532" i="90"/>
  <c r="Z779" i="90"/>
  <c r="AR77" i="90"/>
  <c r="AQ236" i="90"/>
  <c r="AG420" i="92"/>
  <c r="AG210" i="92" s="1"/>
  <c r="AG453" i="92"/>
  <c r="AG467" i="92" s="1"/>
  <c r="Z444" i="90"/>
  <c r="AO796" i="90"/>
  <c r="AP795" i="90"/>
  <c r="AK665" i="90"/>
  <c r="AJ663" i="90"/>
  <c r="AR216" i="90"/>
  <c r="AS40" i="90"/>
  <c r="AI472" i="90"/>
  <c r="AI268" i="90"/>
  <c r="AI267" i="90"/>
  <c r="AI377" i="90" s="1"/>
  <c r="AK725" i="90"/>
  <c r="AD393" i="90"/>
  <c r="AC310" i="90"/>
  <c r="AC311" i="90" s="1"/>
  <c r="AC295" i="90" s="1"/>
  <c r="AC292" i="90" s="1"/>
  <c r="AH608" i="90"/>
  <c r="AH484" i="90"/>
  <c r="AC689" i="90"/>
  <c r="AA444" i="90"/>
  <c r="AJ675" i="90"/>
  <c r="AI673" i="90"/>
  <c r="AI786" i="90" s="1"/>
  <c r="AI473" i="90" s="1"/>
  <c r="AC545" i="88"/>
  <c r="AP155" i="90"/>
  <c r="W440" i="90"/>
  <c r="M110" i="57"/>
  <c r="AH478" i="88"/>
  <c r="AH477" i="88"/>
  <c r="AI41" i="88"/>
  <c r="AE222" i="88"/>
  <c r="AF221" i="88"/>
  <c r="AK426" i="90"/>
  <c r="AK425" i="90"/>
  <c r="AK370" i="90"/>
  <c r="AJ418" i="90"/>
  <c r="AJ560" i="90"/>
  <c r="AJ814" i="90"/>
  <c r="AJ838" i="90" s="1"/>
  <c r="AK470" i="90"/>
  <c r="AL797" i="90"/>
  <c r="AI357" i="88"/>
  <c r="AI358" i="88" s="1"/>
  <c r="AH358" i="88"/>
  <c r="AF167" i="92"/>
  <c r="AF161" i="92"/>
  <c r="AF133" i="92"/>
  <c r="AR76" i="90"/>
  <c r="AC443" i="88"/>
  <c r="AC272" i="88" s="1"/>
  <c r="AC206" i="88"/>
  <c r="AC203" i="88" s="1"/>
  <c r="AC199" i="88"/>
  <c r="AG348" i="90"/>
  <c r="AG349" i="90" s="1"/>
  <c r="AG333" i="90"/>
  <c r="AG334" i="90" s="1"/>
  <c r="AG353" i="90"/>
  <c r="AG354" i="90" s="1"/>
  <c r="AG343" i="90"/>
  <c r="AG344" i="90" s="1"/>
  <c r="AG323" i="90"/>
  <c r="AG324" i="90" s="1"/>
  <c r="AG338" i="90"/>
  <c r="AG339" i="90" s="1"/>
  <c r="AG328" i="90"/>
  <c r="AG329" i="90" s="1"/>
  <c r="AB423" i="90"/>
  <c r="AB261" i="90" s="1"/>
  <c r="AB262" i="90" s="1"/>
  <c r="AB420" i="90"/>
  <c r="AB428" i="90" s="1"/>
  <c r="AH460" i="90"/>
  <c r="AT69" i="90"/>
  <c r="AU55" i="90"/>
  <c r="AO203" i="90"/>
  <c r="AO251" i="90" s="1"/>
  <c r="AB580" i="88"/>
  <c r="AB594" i="88" s="1"/>
  <c r="L380" i="56"/>
  <c r="L383" i="56" s="1"/>
  <c r="L367" i="56"/>
  <c r="AI771" i="90"/>
  <c r="AI778" i="90" s="1"/>
  <c r="AR72" i="90"/>
  <c r="AM664" i="90"/>
  <c r="AG153" i="88"/>
  <c r="AF154" i="88"/>
  <c r="AM710" i="90"/>
  <c r="AM726" i="90"/>
  <c r="AA578" i="88"/>
  <c r="AA592" i="88" s="1"/>
  <c r="Z546" i="88"/>
  <c r="Z287" i="88" s="1"/>
  <c r="AA543" i="88"/>
  <c r="AF74" i="88"/>
  <c r="AG68" i="88"/>
  <c r="AF72" i="88"/>
  <c r="AF76" i="88" s="1"/>
  <c r="AL707" i="90"/>
  <c r="AM692" i="90" s="1"/>
  <c r="AM702" i="90" s="1"/>
  <c r="AM667" i="90"/>
  <c r="AE312" i="88"/>
  <c r="AD313" i="88"/>
  <c r="AL191" i="90"/>
  <c r="AL189" i="90"/>
  <c r="AL190" i="90"/>
  <c r="AH787" i="90"/>
  <c r="AE76" i="88"/>
  <c r="AL821" i="90"/>
  <c r="AL492" i="90" s="1"/>
  <c r="AE380" i="90"/>
  <c r="AE390" i="90" s="1"/>
  <c r="AE392" i="90" s="1"/>
  <c r="Q433" i="92"/>
  <c r="Q260" i="92"/>
  <c r="S432" i="92"/>
  <c r="Q435" i="92"/>
  <c r="AE29" i="88"/>
  <c r="AF28" i="88"/>
  <c r="AG160" i="88"/>
  <c r="AF232" i="88"/>
  <c r="AF175" i="88"/>
  <c r="AG173" i="88"/>
  <c r="Y284" i="88"/>
  <c r="AB241" i="88"/>
  <c r="AB322" i="88" s="1"/>
  <c r="AB195" i="88"/>
  <c r="AB190" i="88" s="1"/>
  <c r="AA461" i="88"/>
  <c r="AA282" i="88" s="1"/>
  <c r="AA460" i="88"/>
  <c r="AC192" i="88"/>
  <c r="AC233" i="88"/>
  <c r="AA281" i="88"/>
  <c r="AA449" i="88"/>
  <c r="AA451" i="88" s="1"/>
  <c r="AA452" i="88" s="1"/>
  <c r="AA319" i="88" s="1"/>
  <c r="AB539" i="88"/>
  <c r="AB563" i="88" s="1"/>
  <c r="AB228" i="88"/>
  <c r="AB230" i="88" s="1"/>
  <c r="AB235" i="88" s="1"/>
  <c r="AB239" i="88" s="1"/>
  <c r="AB317" i="88" s="1"/>
  <c r="AB430" i="88"/>
  <c r="AB268" i="88"/>
  <c r="AB267" i="88" s="1"/>
  <c r="AB447" i="88"/>
  <c r="AC445" i="88"/>
  <c r="AC271" i="88" s="1"/>
  <c r="AC227" i="88"/>
  <c r="AC446" i="88"/>
  <c r="AC270" i="88" s="1"/>
  <c r="AC158" i="88"/>
  <c r="AC202" i="88"/>
  <c r="Z280" i="88"/>
  <c r="AG13" i="88"/>
  <c r="AG119" i="88"/>
  <c r="AH117" i="88" s="1"/>
  <c r="AH118" i="88" s="1"/>
  <c r="AD140" i="88"/>
  <c r="AD193" i="88" s="1"/>
  <c r="AD142" i="88"/>
  <c r="AD194" i="88" s="1"/>
  <c r="AD138" i="88"/>
  <c r="AD19" i="88"/>
  <c r="AD20" i="88" s="1"/>
  <c r="AD11" i="88" s="1"/>
  <c r="AD156" i="88"/>
  <c r="AC442" i="88"/>
  <c r="AC444" i="88"/>
  <c r="AC269" i="88" s="1"/>
  <c r="AC225" i="88"/>
  <c r="AE210" i="88"/>
  <c r="AE211" i="88"/>
  <c r="AE208" i="88"/>
  <c r="AE207" i="88"/>
  <c r="AE16" i="88"/>
  <c r="AE200" i="88"/>
  <c r="AE201" i="88"/>
  <c r="AE198" i="88"/>
  <c r="AB431" i="88"/>
  <c r="AB448" i="88"/>
  <c r="Z283" i="88"/>
  <c r="Z462" i="88"/>
  <c r="Z463" i="88" s="1"/>
  <c r="Z464" i="88" s="1"/>
  <c r="Z320" i="88" s="1"/>
  <c r="Z321" i="88" s="1"/>
  <c r="M302" i="47"/>
  <c r="M309" i="47" s="1"/>
  <c r="M318" i="47" s="1"/>
  <c r="M341" i="47" s="1"/>
  <c r="M533" i="47"/>
  <c r="N551" i="47" s="1"/>
  <c r="N388" i="47"/>
  <c r="N506" i="47" s="1"/>
  <c r="N38" i="57"/>
  <c r="N280" i="64"/>
  <c r="N308" i="64"/>
  <c r="N475" i="64" s="1"/>
  <c r="M501" i="64"/>
  <c r="N519" i="64" s="1"/>
  <c r="N539" i="64" s="1"/>
  <c r="N541" i="64" s="1"/>
  <c r="N175" i="64" s="1"/>
  <c r="N177" i="64" s="1"/>
  <c r="N180" i="64" s="1"/>
  <c r="M224" i="64"/>
  <c r="M231" i="64" s="1"/>
  <c r="M239" i="64" s="1"/>
  <c r="M252" i="64"/>
  <c r="M256" i="64" s="1"/>
  <c r="M260" i="64"/>
  <c r="M261" i="64" s="1"/>
  <c r="AI349" i="90" l="1"/>
  <c r="AI334" i="90"/>
  <c r="P323" i="88"/>
  <c r="P245" i="88"/>
  <c r="AO12" i="90"/>
  <c r="AO16" i="90" s="1"/>
  <c r="AO255" i="90"/>
  <c r="AO134" i="90"/>
  <c r="AO210" i="90" s="1"/>
  <c r="AO211" i="90" s="1"/>
  <c r="AO194" i="90"/>
  <c r="AO193" i="90" s="1"/>
  <c r="AO249" i="90" s="1"/>
  <c r="AO172" i="90"/>
  <c r="AO235" i="90" s="1"/>
  <c r="AB690" i="90"/>
  <c r="AA703" i="90"/>
  <c r="AO257" i="90"/>
  <c r="AQ154" i="90"/>
  <c r="AG461" i="90"/>
  <c r="AH593" i="90"/>
  <c r="AH597" i="90" s="1"/>
  <c r="AN512" i="90"/>
  <c r="AM558" i="90"/>
  <c r="AI787" i="90"/>
  <c r="AH459" i="90"/>
  <c r="AF197" i="88"/>
  <c r="AF204" i="88"/>
  <c r="AF209" i="88"/>
  <c r="AP242" i="90"/>
  <c r="AP244" i="90" s="1"/>
  <c r="AP417" i="90"/>
  <c r="T439" i="90"/>
  <c r="T440" i="90" s="1"/>
  <c r="U437" i="90"/>
  <c r="U136" i="57"/>
  <c r="U123" i="57"/>
  <c r="U134" i="57" s="1"/>
  <c r="U194" i="57"/>
  <c r="V194" i="57" s="1"/>
  <c r="AM23" i="90"/>
  <c r="AM301" i="90" s="1"/>
  <c r="U36" i="57"/>
  <c r="U65" i="57" s="1"/>
  <c r="U72" i="57" s="1"/>
  <c r="T65" i="57"/>
  <c r="T72" i="57" s="1"/>
  <c r="AM210" i="90"/>
  <c r="AM211" i="90" s="1"/>
  <c r="AM253" i="90" s="1"/>
  <c r="AM136" i="90"/>
  <c r="AK471" i="90"/>
  <c r="AL727" i="90"/>
  <c r="AK783" i="90"/>
  <c r="AL762" i="90" s="1"/>
  <c r="AL776" i="90" s="1"/>
  <c r="AM196" i="90"/>
  <c r="AM250" i="90" s="1"/>
  <c r="AM212" i="90"/>
  <c r="AM235" i="90"/>
  <c r="T519" i="90"/>
  <c r="U519" i="90" s="1"/>
  <c r="U515" i="90"/>
  <c r="T393" i="90"/>
  <c r="U393" i="90" s="1"/>
  <c r="U392" i="90"/>
  <c r="AR53" i="90"/>
  <c r="AQ52" i="90"/>
  <c r="AQ240" i="90" s="1"/>
  <c r="AQ417" i="90" s="1"/>
  <c r="AM190" i="90"/>
  <c r="AM191" i="90"/>
  <c r="AM189" i="90"/>
  <c r="AB212" i="88"/>
  <c r="AB213" i="88" s="1"/>
  <c r="AJ482" i="90"/>
  <c r="AJ595" i="90"/>
  <c r="AQ167" i="90"/>
  <c r="AQ206" i="90"/>
  <c r="AS216" i="90"/>
  <c r="AT40" i="90"/>
  <c r="AN664" i="90"/>
  <c r="AF454" i="88"/>
  <c r="AE457" i="88"/>
  <c r="AE458" i="88" s="1"/>
  <c r="AE459" i="88" s="1"/>
  <c r="Y718" i="90"/>
  <c r="AO191" i="90"/>
  <c r="AO189" i="90"/>
  <c r="AO190" i="90"/>
  <c r="AN819" i="90"/>
  <c r="AF532" i="88"/>
  <c r="AG531" i="88"/>
  <c r="AG356" i="90"/>
  <c r="AG288" i="90" s="1"/>
  <c r="AG289" i="90" s="1"/>
  <c r="AJ589" i="90"/>
  <c r="AJ606" i="90"/>
  <c r="AB483" i="88"/>
  <c r="AB488" i="88" s="1"/>
  <c r="AA275" i="88"/>
  <c r="AA523" i="88"/>
  <c r="AA524" i="88" s="1"/>
  <c r="Z136" i="57"/>
  <c r="Z123" i="57"/>
  <c r="Z134" i="57" s="1"/>
  <c r="AL666" i="90"/>
  <c r="AK706" i="90"/>
  <c r="AL691" i="90" s="1"/>
  <c r="AL701" i="90" s="1"/>
  <c r="AU69" i="90"/>
  <c r="AP352" i="90"/>
  <c r="AP322" i="90"/>
  <c r="AP332" i="90"/>
  <c r="AP337" i="90"/>
  <c r="AP342" i="90"/>
  <c r="AP327" i="90"/>
  <c r="AP347" i="90"/>
  <c r="AL470" i="90"/>
  <c r="AM797" i="90"/>
  <c r="AM674" i="90"/>
  <c r="AC423" i="90"/>
  <c r="AC261" i="90" s="1"/>
  <c r="AC262" i="90" s="1"/>
  <c r="AC420" i="90"/>
  <c r="AC428" i="90" s="1"/>
  <c r="AN256" i="90"/>
  <c r="AN12" i="90"/>
  <c r="AN16" i="90" s="1"/>
  <c r="AN172" i="90"/>
  <c r="AN134" i="90"/>
  <c r="AN257" i="90"/>
  <c r="AN255" i="90"/>
  <c r="AN254" i="90"/>
  <c r="AS58" i="90"/>
  <c r="AR57" i="90"/>
  <c r="AI356" i="90"/>
  <c r="AI288" i="90" s="1"/>
  <c r="AI289" i="90" s="1"/>
  <c r="AM854" i="90"/>
  <c r="AM868" i="90" s="1"/>
  <c r="X516" i="90"/>
  <c r="X34" i="57"/>
  <c r="X432" i="90"/>
  <c r="AF131" i="88"/>
  <c r="AG130" i="88"/>
  <c r="AH153" i="88"/>
  <c r="AG154" i="88"/>
  <c r="AN723" i="90"/>
  <c r="AK412" i="90"/>
  <c r="AK364" i="90"/>
  <c r="AK286" i="90"/>
  <c r="AK375" i="90"/>
  <c r="AK361" i="90"/>
  <c r="AK400" i="90" s="1"/>
  <c r="AK401" i="90" s="1"/>
  <c r="AH782" i="90"/>
  <c r="AI761" i="90" s="1"/>
  <c r="AI775" i="90" s="1"/>
  <c r="AN726" i="90"/>
  <c r="AQ795" i="90"/>
  <c r="AI608" i="90"/>
  <c r="AI609" i="90" s="1"/>
  <c r="AI610" i="90" s="1"/>
  <c r="AI518" i="90" s="1"/>
  <c r="AI484" i="90"/>
  <c r="AK722" i="90"/>
  <c r="AJ721" i="90"/>
  <c r="AJ469" i="90" s="1"/>
  <c r="AG472" i="88"/>
  <c r="AF473" i="88"/>
  <c r="AP562" i="90"/>
  <c r="AP576" i="90" s="1"/>
  <c r="AP577" i="90" s="1"/>
  <c r="AP427" i="90"/>
  <c r="AH290" i="90"/>
  <c r="AH367" i="90"/>
  <c r="AH371" i="90" s="1"/>
  <c r="AH376" i="90"/>
  <c r="AH422" i="90"/>
  <c r="AH308" i="90"/>
  <c r="AH309" i="90" s="1"/>
  <c r="AH479" i="88"/>
  <c r="AH481" i="88" s="1"/>
  <c r="AN251" i="90"/>
  <c r="AO196" i="90"/>
  <c r="AO250" i="90" s="1"/>
  <c r="AI595" i="90"/>
  <c r="AI482" i="90"/>
  <c r="AK561" i="90"/>
  <c r="AK416" i="90"/>
  <c r="AK266" i="90"/>
  <c r="AD545" i="88"/>
  <c r="AM639" i="90"/>
  <c r="W542" i="90"/>
  <c r="W532" i="90"/>
  <c r="AQ319" i="90"/>
  <c r="AQ359" i="90"/>
  <c r="AQ399" i="90" s="1"/>
  <c r="AQ303" i="90"/>
  <c r="AQ24" i="90"/>
  <c r="AQ26" i="90" s="1"/>
  <c r="AQ414" i="90" s="1"/>
  <c r="W499" i="90"/>
  <c r="X498" i="90" s="1"/>
  <c r="W446" i="90"/>
  <c r="AG167" i="92"/>
  <c r="AG133" i="92"/>
  <c r="AG161" i="92"/>
  <c r="AL665" i="90"/>
  <c r="AK663" i="90"/>
  <c r="AF100" i="88"/>
  <c r="AG97" i="88"/>
  <c r="AC580" i="88"/>
  <c r="AC594" i="88" s="1"/>
  <c r="AS77" i="90"/>
  <c r="AR236" i="90"/>
  <c r="AG518" i="88"/>
  <c r="AG522" i="88" s="1"/>
  <c r="AG485" i="88" s="1"/>
  <c r="AG237" i="88" s="1"/>
  <c r="AG318" i="88" s="1"/>
  <c r="AH518" i="88"/>
  <c r="AI518" i="88"/>
  <c r="AJ323" i="90"/>
  <c r="AJ324" i="90" s="1"/>
  <c r="AJ328" i="90"/>
  <c r="AJ329" i="90" s="1"/>
  <c r="AJ343" i="90"/>
  <c r="AJ344" i="90" s="1"/>
  <c r="AJ348" i="90"/>
  <c r="AJ349" i="90" s="1"/>
  <c r="AJ333" i="90"/>
  <c r="AJ334" i="90" s="1"/>
  <c r="AJ353" i="90"/>
  <c r="AJ354" i="90" s="1"/>
  <c r="AJ338" i="90"/>
  <c r="AJ339" i="90" s="1"/>
  <c r="AR132" i="90"/>
  <c r="AS125" i="90"/>
  <c r="AR139" i="90"/>
  <c r="AR155" i="90" s="1"/>
  <c r="AL725" i="90"/>
  <c r="AN197" i="90"/>
  <c r="AN198" i="90" s="1"/>
  <c r="AN199" i="90"/>
  <c r="AN200" i="90" s="1"/>
  <c r="AN201" i="90"/>
  <c r="AH481" i="90"/>
  <c r="AH487" i="90"/>
  <c r="AG74" i="88"/>
  <c r="AH68" i="88"/>
  <c r="AG72" i="88"/>
  <c r="AK675" i="90"/>
  <c r="AJ673" i="90"/>
  <c r="AJ786" i="90" s="1"/>
  <c r="AJ473" i="90" s="1"/>
  <c r="AA758" i="90"/>
  <c r="AA136" i="57"/>
  <c r="AP167" i="90"/>
  <c r="AP206" i="90"/>
  <c r="AP203" i="90" s="1"/>
  <c r="AQ241" i="90"/>
  <c r="AQ243" i="90"/>
  <c r="L328" i="56"/>
  <c r="M498" i="56"/>
  <c r="AF262" i="88"/>
  <c r="AG261" i="88"/>
  <c r="AG460" i="90"/>
  <c r="AG366" i="90"/>
  <c r="AG593" i="90"/>
  <c r="AG597" i="90" s="1"/>
  <c r="AG598" i="90" s="1"/>
  <c r="AQ204" i="90"/>
  <c r="AQ205" i="90" s="1"/>
  <c r="AN710" i="90"/>
  <c r="AE393" i="90"/>
  <c r="AD310" i="90"/>
  <c r="AD311" i="90" s="1"/>
  <c r="AD295" i="90" s="1"/>
  <c r="AD292" i="90" s="1"/>
  <c r="AN147" i="90"/>
  <c r="AN194" i="90"/>
  <c r="AN193" i="90" s="1"/>
  <c r="AN249" i="90" s="1"/>
  <c r="AF162" i="92"/>
  <c r="AF236" i="92"/>
  <c r="AF240" i="92" s="1"/>
  <c r="AF168" i="92"/>
  <c r="AF312" i="88"/>
  <c r="AE313" i="88"/>
  <c r="AI477" i="88"/>
  <c r="AI479" i="88" s="1"/>
  <c r="AI481" i="88" s="1"/>
  <c r="AI478" i="88"/>
  <c r="AO17" i="90"/>
  <c r="AO20" i="90" s="1"/>
  <c r="AO21" i="90" s="1"/>
  <c r="AO22" i="90" s="1"/>
  <c r="AG221" i="88"/>
  <c r="AF222" i="88"/>
  <c r="AC196" i="88"/>
  <c r="AL23" i="90"/>
  <c r="AL209" i="90"/>
  <c r="AL252" i="90" s="1"/>
  <c r="AQ242" i="90"/>
  <c r="X781" i="90"/>
  <c r="X770" i="90"/>
  <c r="X788" i="90" s="1"/>
  <c r="X475" i="90" s="1"/>
  <c r="AG484" i="90"/>
  <c r="AG481" i="90" s="1"/>
  <c r="AG608" i="90"/>
  <c r="AG609" i="90" s="1"/>
  <c r="AG610" i="90" s="1"/>
  <c r="AG518" i="90" s="1"/>
  <c r="AN667" i="90"/>
  <c r="AM707" i="90"/>
  <c r="AN692" i="90" s="1"/>
  <c r="AN702" i="90" s="1"/>
  <c r="AB444" i="90"/>
  <c r="AG96" i="88"/>
  <c r="AF99" i="88"/>
  <c r="AC699" i="90"/>
  <c r="AT64" i="90"/>
  <c r="AA546" i="88"/>
  <c r="AA287" i="88" s="1"/>
  <c r="AB543" i="88"/>
  <c r="AJ771" i="90"/>
  <c r="AJ778" i="90" s="1"/>
  <c r="AS76" i="90"/>
  <c r="AJ472" i="90"/>
  <c r="V839" i="90"/>
  <c r="W857" i="90" s="1"/>
  <c r="V458" i="90"/>
  <c r="V463" i="90" s="1"/>
  <c r="V478" i="90" s="1"/>
  <c r="V504" i="90" s="1"/>
  <c r="R881" i="90"/>
  <c r="W544" i="90"/>
  <c r="W812" i="90" s="1"/>
  <c r="AF144" i="88"/>
  <c r="AE146" i="88"/>
  <c r="AE544" i="88"/>
  <c r="AE579" i="88"/>
  <c r="AE593" i="88" s="1"/>
  <c r="AO136" i="90"/>
  <c r="AL259" i="90"/>
  <c r="AL239" i="90"/>
  <c r="AF87" i="88"/>
  <c r="AG86" i="88"/>
  <c r="AF427" i="88"/>
  <c r="AG426" i="88"/>
  <c r="AO818" i="90"/>
  <c r="AO853" i="90" s="1"/>
  <c r="AO867" i="90" s="1"/>
  <c r="AL188" i="90"/>
  <c r="AJ780" i="90"/>
  <c r="AK759" i="90" s="1"/>
  <c r="AK773" i="90" s="1"/>
  <c r="AK724" i="90"/>
  <c r="AO124" i="70"/>
  <c r="AR18" i="90"/>
  <c r="AT54" i="90"/>
  <c r="AG151" i="88"/>
  <c r="AS70" i="90"/>
  <c r="AK293" i="90"/>
  <c r="AK368" i="90"/>
  <c r="M382" i="56"/>
  <c r="M525" i="56" s="1"/>
  <c r="L551" i="56"/>
  <c r="M569" i="56" s="1"/>
  <c r="M589" i="56" s="1"/>
  <c r="M591" i="56" s="1"/>
  <c r="M249" i="56" s="1"/>
  <c r="N44" i="57" s="1"/>
  <c r="N76" i="57" s="1"/>
  <c r="L299" i="56"/>
  <c r="L306" i="56" s="1"/>
  <c r="L313" i="56" s="1"/>
  <c r="AI460" i="90"/>
  <c r="AI366" i="90"/>
  <c r="AG149" i="88"/>
  <c r="L521" i="56"/>
  <c r="L527" i="56" s="1"/>
  <c r="L541" i="56" s="1"/>
  <c r="L548" i="56" s="1"/>
  <c r="L369" i="56"/>
  <c r="AG573" i="88"/>
  <c r="AF574" i="88"/>
  <c r="AS72" i="90"/>
  <c r="AR424" i="90"/>
  <c r="AR214" i="90"/>
  <c r="V810" i="90"/>
  <c r="V815" i="90" s="1"/>
  <c r="V829" i="90" s="1"/>
  <c r="V836" i="90" s="1"/>
  <c r="V534" i="90"/>
  <c r="AD443" i="88"/>
  <c r="AD272" i="88" s="1"/>
  <c r="AD199" i="88"/>
  <c r="AD206" i="88"/>
  <c r="AD203" i="88" s="1"/>
  <c r="AR820" i="90"/>
  <c r="AR855" i="90" s="1"/>
  <c r="AR869" i="90" s="1"/>
  <c r="AH176" i="88"/>
  <c r="AI42" i="88"/>
  <c r="AI176" i="88" s="1"/>
  <c r="AI591" i="90"/>
  <c r="AJ591" i="90" s="1"/>
  <c r="AM821" i="90"/>
  <c r="AM492" i="90" s="1"/>
  <c r="T432" i="92"/>
  <c r="T435" i="92" s="1"/>
  <c r="S435" i="92"/>
  <c r="Q209" i="92"/>
  <c r="U431" i="92"/>
  <c r="U455" i="92"/>
  <c r="U469" i="92" s="1"/>
  <c r="U470" i="92" s="1"/>
  <c r="U474" i="92" s="1"/>
  <c r="U135" i="92" s="1"/>
  <c r="S433" i="92"/>
  <c r="T433" i="92" s="1"/>
  <c r="S260" i="92"/>
  <c r="Q265" i="92"/>
  <c r="Q267" i="92" s="1"/>
  <c r="Q270" i="92" s="1"/>
  <c r="AG28" i="88"/>
  <c r="AF29" i="88"/>
  <c r="Z284" i="88"/>
  <c r="AH160" i="88"/>
  <c r="AG232" i="88"/>
  <c r="AG175" i="88"/>
  <c r="AH173" i="88"/>
  <c r="AE138" i="88"/>
  <c r="AE140" i="88"/>
  <c r="AE193" i="88" s="1"/>
  <c r="AE142" i="88"/>
  <c r="AE194" i="88" s="1"/>
  <c r="AE156" i="88"/>
  <c r="AE19" i="88"/>
  <c r="AE20" i="88" s="1"/>
  <c r="AE11" i="88" s="1"/>
  <c r="AC241" i="88"/>
  <c r="AC322" i="88" s="1"/>
  <c r="AC195" i="88"/>
  <c r="AC190" i="88" s="1"/>
  <c r="AA462" i="88"/>
  <c r="AA463" i="88" s="1"/>
  <c r="AA464" i="88" s="1"/>
  <c r="AA320" i="88" s="1"/>
  <c r="AA321" i="88" s="1"/>
  <c r="AA283" i="88"/>
  <c r="AH13" i="88"/>
  <c r="AH119" i="88"/>
  <c r="AI117" i="88" s="1"/>
  <c r="AI118" i="88" s="1"/>
  <c r="AF16" i="88"/>
  <c r="AF201" i="88"/>
  <c r="AF208" i="88"/>
  <c r="AF211" i="88"/>
  <c r="AF210" i="88"/>
  <c r="AF207" i="88"/>
  <c r="AD192" i="88"/>
  <c r="AD233" i="88"/>
  <c r="AA280" i="88"/>
  <c r="AG209" i="88"/>
  <c r="AG15" i="88"/>
  <c r="AG197" i="88"/>
  <c r="AG204" i="88"/>
  <c r="AC268" i="88"/>
  <c r="AC267" i="88" s="1"/>
  <c r="AC447" i="88"/>
  <c r="AC228" i="88"/>
  <c r="AC230" i="88" s="1"/>
  <c r="AC235" i="88" s="1"/>
  <c r="AC239" i="88" s="1"/>
  <c r="AC317" i="88" s="1"/>
  <c r="AC539" i="88"/>
  <c r="AC563" i="88" s="1"/>
  <c r="AC430" i="88"/>
  <c r="AB460" i="88"/>
  <c r="AB461" i="88"/>
  <c r="AB282" i="88" s="1"/>
  <c r="AD225" i="88"/>
  <c r="AD442" i="88"/>
  <c r="AD444" i="88"/>
  <c r="AD269" i="88" s="1"/>
  <c r="AB449" i="88"/>
  <c r="AB451" i="88" s="1"/>
  <c r="AB452" i="88" s="1"/>
  <c r="AB319" i="88" s="1"/>
  <c r="AB281" i="88"/>
  <c r="AC431" i="88"/>
  <c r="AC448" i="88"/>
  <c r="AD202" i="88"/>
  <c r="AD445" i="88"/>
  <c r="AD271" i="88" s="1"/>
  <c r="AD158" i="88"/>
  <c r="AD227" i="88"/>
  <c r="AD446" i="88"/>
  <c r="AD270" i="88" s="1"/>
  <c r="N201" i="64"/>
  <c r="N423" i="64"/>
  <c r="N430" i="64" s="1"/>
  <c r="N207" i="64"/>
  <c r="N281" i="64"/>
  <c r="N283" i="64" s="1"/>
  <c r="M258" i="64"/>
  <c r="N571" i="47"/>
  <c r="N573" i="47" s="1"/>
  <c r="N278" i="47" s="1"/>
  <c r="N73" i="57"/>
  <c r="P247" i="88" l="1"/>
  <c r="P324" i="88" s="1"/>
  <c r="P325" i="88" s="1"/>
  <c r="P334" i="88" s="1"/>
  <c r="AO212" i="90"/>
  <c r="AB688" i="90"/>
  <c r="AB700" i="90"/>
  <c r="AG459" i="90"/>
  <c r="AM413" i="90"/>
  <c r="AM11" i="90"/>
  <c r="AM286" i="90" s="1"/>
  <c r="AM209" i="90"/>
  <c r="AM252" i="90" s="1"/>
  <c r="AO512" i="90"/>
  <c r="AN558" i="90"/>
  <c r="AJ787" i="90"/>
  <c r="W500" i="90"/>
  <c r="W502" i="90" s="1"/>
  <c r="AJ356" i="90"/>
  <c r="AJ288" i="90" s="1"/>
  <c r="AJ289" i="90" s="1"/>
  <c r="AJ290" i="90" s="1"/>
  <c r="AM188" i="90"/>
  <c r="AH598" i="90"/>
  <c r="AH379" i="90" s="1"/>
  <c r="AH380" i="90" s="1"/>
  <c r="AH390" i="90" s="1"/>
  <c r="AH392" i="90" s="1"/>
  <c r="AR154" i="90"/>
  <c r="W545" i="90"/>
  <c r="V881" i="90" s="1"/>
  <c r="AM239" i="90"/>
  <c r="AM259" i="90"/>
  <c r="AR52" i="90"/>
  <c r="AR240" i="90" s="1"/>
  <c r="AR242" i="90" s="1"/>
  <c r="AS53" i="90"/>
  <c r="T522" i="90"/>
  <c r="U439" i="90"/>
  <c r="U52" i="57" s="1"/>
  <c r="T442" i="90"/>
  <c r="U442" i="90" s="1"/>
  <c r="T52" i="57"/>
  <c r="T169" i="57" s="1"/>
  <c r="AF152" i="88"/>
  <c r="AF200" i="88" s="1"/>
  <c r="T499" i="90"/>
  <c r="U440" i="90"/>
  <c r="T446" i="90"/>
  <c r="U446" i="90" s="1"/>
  <c r="AM727" i="90"/>
  <c r="AL471" i="90"/>
  <c r="AL783" i="90"/>
  <c r="AM762" i="90" s="1"/>
  <c r="AM776" i="90" s="1"/>
  <c r="AD196" i="88"/>
  <c r="AC212" i="88"/>
  <c r="AC213" i="88" s="1"/>
  <c r="AR167" i="90"/>
  <c r="AR206" i="90"/>
  <c r="AM665" i="90"/>
  <c r="AL663" i="90"/>
  <c r="AK472" i="90"/>
  <c r="AC578" i="88"/>
  <c r="AC592" i="88" s="1"/>
  <c r="AC543" i="88"/>
  <c r="AB546" i="88"/>
  <c r="AB287" i="88" s="1"/>
  <c r="Z715" i="90"/>
  <c r="AN639" i="90"/>
  <c r="AN17" i="90"/>
  <c r="AN20" i="90" s="1"/>
  <c r="AN21" i="90" s="1"/>
  <c r="AN22" i="90" s="1"/>
  <c r="AI376" i="90"/>
  <c r="AI290" i="90"/>
  <c r="AI367" i="90"/>
  <c r="AI371" i="90" s="1"/>
  <c r="AI422" i="90"/>
  <c r="AI308" i="90"/>
  <c r="AI309" i="90" s="1"/>
  <c r="AO667" i="90"/>
  <c r="AN707" i="90"/>
  <c r="AO692" i="90" s="1"/>
  <c r="AO702" i="90" s="1"/>
  <c r="AD420" i="90"/>
  <c r="AD428" i="90" s="1"/>
  <c r="AD423" i="90"/>
  <c r="AD261" i="90" s="1"/>
  <c r="AD262" i="90" s="1"/>
  <c r="AT76" i="90"/>
  <c r="AH130" i="88"/>
  <c r="AG131" i="88"/>
  <c r="AH328" i="88"/>
  <c r="AH332" i="88" s="1"/>
  <c r="AH484" i="88"/>
  <c r="J519" i="88"/>
  <c r="AO723" i="90"/>
  <c r="AN212" i="90"/>
  <c r="AN235" i="90"/>
  <c r="AU40" i="90"/>
  <c r="AU216" i="90" s="1"/>
  <c r="AT216" i="90"/>
  <c r="X66" i="57"/>
  <c r="X36" i="57"/>
  <c r="X65" i="57" s="1"/>
  <c r="AN191" i="90"/>
  <c r="AN189" i="90"/>
  <c r="AN190" i="90"/>
  <c r="AG100" i="88"/>
  <c r="AH97" i="88"/>
  <c r="AO726" i="90"/>
  <c r="W534" i="90"/>
  <c r="W810" i="90"/>
  <c r="W815" i="90" s="1"/>
  <c r="W829" i="90" s="1"/>
  <c r="W836" i="90" s="1"/>
  <c r="AQ169" i="90"/>
  <c r="AQ792" i="90"/>
  <c r="AQ794" i="90" s="1"/>
  <c r="AQ796" i="90" s="1"/>
  <c r="AQ168" i="90"/>
  <c r="AQ171" i="90"/>
  <c r="AQ304" i="90"/>
  <c r="AQ306" i="90" s="1"/>
  <c r="AQ294" i="90" s="1"/>
  <c r="L334" i="56"/>
  <c r="L335" i="56" s="1"/>
  <c r="L330" i="56"/>
  <c r="L332" i="56" s="1"/>
  <c r="Y760" i="90"/>
  <c r="X777" i="90"/>
  <c r="X789" i="90" s="1"/>
  <c r="AN210" i="90"/>
  <c r="AN211" i="90" s="1"/>
  <c r="AN253" i="90" s="1"/>
  <c r="AN136" i="90"/>
  <c r="AG532" i="88"/>
  <c r="AH531" i="88"/>
  <c r="AO710" i="90"/>
  <c r="AL248" i="90"/>
  <c r="AL415" i="90"/>
  <c r="AL238" i="90"/>
  <c r="AL247" i="90"/>
  <c r="AL258" i="90" s="1"/>
  <c r="AL260" i="90" s="1"/>
  <c r="AQ427" i="90"/>
  <c r="AQ562" i="90"/>
  <c r="AQ576" i="90" s="1"/>
  <c r="AQ577" i="90" s="1"/>
  <c r="AR795" i="90"/>
  <c r="AL724" i="90"/>
  <c r="AK780" i="90"/>
  <c r="AL759" i="90" s="1"/>
  <c r="AL773" i="90" s="1"/>
  <c r="W877" i="90"/>
  <c r="W879" i="90" s="1"/>
  <c r="AH609" i="90"/>
  <c r="AH610" i="90" s="1"/>
  <c r="AH518" i="90" s="1"/>
  <c r="AE545" i="88"/>
  <c r="AE310" i="90"/>
  <c r="AE311" i="90" s="1"/>
  <c r="AE295" i="90" s="1"/>
  <c r="AE292" i="90" s="1"/>
  <c r="AF393" i="90"/>
  <c r="M251" i="56"/>
  <c r="M255" i="56" s="1"/>
  <c r="M355" i="56"/>
  <c r="M358" i="56" s="1"/>
  <c r="AP169" i="90"/>
  <c r="AP168" i="90"/>
  <c r="AP171" i="90"/>
  <c r="AP251" i="90" s="1"/>
  <c r="AP304" i="90"/>
  <c r="AP306" i="90" s="1"/>
  <c r="AP294" i="90" s="1"/>
  <c r="AP792" i="90"/>
  <c r="AP794" i="90" s="1"/>
  <c r="AP796" i="90" s="1"/>
  <c r="AL413" i="90"/>
  <c r="AL301" i="90"/>
  <c r="AL11" i="90"/>
  <c r="AC444" i="90"/>
  <c r="AH96" i="88"/>
  <c r="AG99" i="88"/>
  <c r="AO819" i="90"/>
  <c r="AO854" i="90" s="1"/>
  <c r="AO868" i="90" s="1"/>
  <c r="AS820" i="90"/>
  <c r="AS855" i="90" s="1"/>
  <c r="AS869" i="90" s="1"/>
  <c r="AH149" i="88"/>
  <c r="AG427" i="88"/>
  <c r="AH426" i="88"/>
  <c r="AR243" i="90"/>
  <c r="AR241" i="90"/>
  <c r="AI481" i="90"/>
  <c r="AI487" i="90"/>
  <c r="AK418" i="90"/>
  <c r="AK560" i="90"/>
  <c r="AK814" i="90"/>
  <c r="AK838" i="90" s="1"/>
  <c r="AO664" i="90"/>
  <c r="AF150" i="88"/>
  <c r="AF198" i="88" s="1"/>
  <c r="AA123" i="57"/>
  <c r="AA134" i="57" s="1"/>
  <c r="AL675" i="90"/>
  <c r="AK673" i="90"/>
  <c r="AK786" i="90" s="1"/>
  <c r="AK473" i="90" s="1"/>
  <c r="AO209" i="90"/>
  <c r="AO252" i="90" s="1"/>
  <c r="AO253" i="90"/>
  <c r="X437" i="90"/>
  <c r="X439" i="90" s="1"/>
  <c r="X445" i="90"/>
  <c r="X515" i="90"/>
  <c r="X519" i="90" s="1"/>
  <c r="AR204" i="90"/>
  <c r="AR205" i="90" s="1"/>
  <c r="AS132" i="90"/>
  <c r="AT125" i="90"/>
  <c r="AS139" i="90"/>
  <c r="AS155" i="90" s="1"/>
  <c r="AH86" i="88"/>
  <c r="AG87" i="88"/>
  <c r="AG262" i="88"/>
  <c r="AH261" i="88"/>
  <c r="AI484" i="88"/>
  <c r="AI328" i="88"/>
  <c r="AI332" i="88" s="1"/>
  <c r="J520" i="88"/>
  <c r="AI520" i="88" s="1"/>
  <c r="AJ481" i="88"/>
  <c r="AT77" i="90"/>
  <c r="AS236" i="90"/>
  <c r="AH151" i="88"/>
  <c r="AG168" i="92"/>
  <c r="AG162" i="92"/>
  <c r="AG236" i="92"/>
  <c r="AG240" i="92" s="1"/>
  <c r="AK602" i="90"/>
  <c r="AK607" i="90" s="1"/>
  <c r="AK483" i="90" s="1"/>
  <c r="AK571" i="90"/>
  <c r="AK594" i="90" s="1"/>
  <c r="AK570" i="90"/>
  <c r="AK581" i="90" s="1"/>
  <c r="AK583" i="90" s="1"/>
  <c r="AK584" i="90" s="1"/>
  <c r="AK590" i="90" s="1"/>
  <c r="AK462" i="90" s="1"/>
  <c r="AK569" i="90"/>
  <c r="AK592" i="90" s="1"/>
  <c r="AH472" i="88"/>
  <c r="AG473" i="88"/>
  <c r="AD580" i="88"/>
  <c r="AD594" i="88" s="1"/>
  <c r="AJ461" i="90"/>
  <c r="AQ244" i="90"/>
  <c r="AI593" i="90"/>
  <c r="AI597" i="90" s="1"/>
  <c r="AI598" i="90" s="1"/>
  <c r="AN797" i="90"/>
  <c r="AM470" i="90"/>
  <c r="AL426" i="90"/>
  <c r="AL425" i="90"/>
  <c r="AL370" i="90"/>
  <c r="AQ342" i="90"/>
  <c r="AQ337" i="90"/>
  <c r="AQ352" i="90"/>
  <c r="AQ347" i="90"/>
  <c r="AQ332" i="90"/>
  <c r="AQ322" i="90"/>
  <c r="AQ327" i="90"/>
  <c r="AL706" i="90"/>
  <c r="AM691" i="90" s="1"/>
  <c r="AM701" i="90" s="1"/>
  <c r="AM666" i="90"/>
  <c r="AS18" i="90"/>
  <c r="AP124" i="70"/>
  <c r="AR303" i="90"/>
  <c r="AR319" i="90"/>
  <c r="AR24" i="90"/>
  <c r="AR26" i="90" s="1"/>
  <c r="AR414" i="90" s="1"/>
  <c r="AR359" i="90"/>
  <c r="AR399" i="90" s="1"/>
  <c r="AF313" i="88"/>
  <c r="AG312" i="88"/>
  <c r="AC704" i="90"/>
  <c r="AG367" i="90"/>
  <c r="AG371" i="90" s="1"/>
  <c r="AG290" i="90"/>
  <c r="AG376" i="90"/>
  <c r="AG422" i="90"/>
  <c r="AG308" i="90"/>
  <c r="AG309" i="90" s="1"/>
  <c r="AF146" i="88"/>
  <c r="AG144" i="88"/>
  <c r="AT70" i="90"/>
  <c r="AE443" i="88"/>
  <c r="AE272" i="88" s="1"/>
  <c r="AE199" i="88"/>
  <c r="AE206" i="88"/>
  <c r="AE203" i="88" s="1"/>
  <c r="AO239" i="90"/>
  <c r="AO259" i="90"/>
  <c r="AM293" i="90"/>
  <c r="AM368" i="90"/>
  <c r="AQ203" i="90"/>
  <c r="AH72" i="88"/>
  <c r="AH76" i="88" s="1"/>
  <c r="AI68" i="88"/>
  <c r="AH74" i="88"/>
  <c r="AM725" i="90"/>
  <c r="AK287" i="90"/>
  <c r="AK316" i="90" s="1"/>
  <c r="AK317" i="90" s="1"/>
  <c r="AK315" i="90"/>
  <c r="AT58" i="90"/>
  <c r="AS57" i="90"/>
  <c r="AJ608" i="90"/>
  <c r="AJ609" i="90" s="1"/>
  <c r="AJ610" i="90" s="1"/>
  <c r="AJ518" i="90" s="1"/>
  <c r="AJ484" i="90"/>
  <c r="AJ481" i="90" s="1"/>
  <c r="AG454" i="88"/>
  <c r="AF457" i="88"/>
  <c r="AF458" i="88" s="1"/>
  <c r="AF459" i="88" s="1"/>
  <c r="AO188" i="90"/>
  <c r="AI461" i="90"/>
  <c r="AI459" i="90" s="1"/>
  <c r="AN854" i="90"/>
  <c r="AN868" i="90" s="1"/>
  <c r="AO23" i="90"/>
  <c r="AG487" i="90"/>
  <c r="AT72" i="90"/>
  <c r="AI782" i="90"/>
  <c r="AJ761" i="90" s="1"/>
  <c r="AJ775" i="90" s="1"/>
  <c r="AK771" i="90"/>
  <c r="AN674" i="90"/>
  <c r="AI153" i="88"/>
  <c r="AI154" i="88" s="1"/>
  <c r="AH154" i="88"/>
  <c r="AA772" i="90"/>
  <c r="AS214" i="90"/>
  <c r="AS424" i="90"/>
  <c r="AU54" i="90"/>
  <c r="AU64" i="90"/>
  <c r="AK721" i="90"/>
  <c r="AK469" i="90" s="1"/>
  <c r="AL722" i="90"/>
  <c r="AP818" i="90"/>
  <c r="AG517" i="90"/>
  <c r="AG379" i="90"/>
  <c r="AJ366" i="90"/>
  <c r="AJ460" i="90"/>
  <c r="AJ593" i="90"/>
  <c r="AJ597" i="90" s="1"/>
  <c r="AH573" i="88"/>
  <c r="AG574" i="88"/>
  <c r="AF579" i="88"/>
  <c r="AF593" i="88" s="1"/>
  <c r="AF544" i="88"/>
  <c r="AG222" i="88"/>
  <c r="AH221" i="88"/>
  <c r="AK267" i="90"/>
  <c r="AK377" i="90" s="1"/>
  <c r="AK268" i="90"/>
  <c r="AB523" i="88"/>
  <c r="AB524" i="88" s="1"/>
  <c r="AB275" i="88"/>
  <c r="AC483" i="88"/>
  <c r="AC488" i="88" s="1"/>
  <c r="AN821" i="90"/>
  <c r="AN492" i="90" s="1"/>
  <c r="AB578" i="88"/>
  <c r="AB592" i="88" s="1"/>
  <c r="AG76" i="88"/>
  <c r="AN196" i="90"/>
  <c r="AN250" i="90" s="1"/>
  <c r="S209" i="92"/>
  <c r="T209" i="92" s="1"/>
  <c r="Q213" i="92"/>
  <c r="Q221" i="92"/>
  <c r="V39" i="57"/>
  <c r="U241" i="92"/>
  <c r="Q438" i="92"/>
  <c r="U456" i="92" s="1"/>
  <c r="U476" i="92" s="1"/>
  <c r="U478" i="92" s="1"/>
  <c r="U136" i="92" s="1"/>
  <c r="U242" i="92" s="1"/>
  <c r="Q186" i="92"/>
  <c r="S265" i="92"/>
  <c r="S267" i="92" s="1"/>
  <c r="S270" i="92" s="1"/>
  <c r="T260" i="92"/>
  <c r="T265" i="92" s="1"/>
  <c r="T267" i="92" s="1"/>
  <c r="AG29" i="88"/>
  <c r="AH28" i="88"/>
  <c r="AH232" i="88"/>
  <c r="AI160" i="88"/>
  <c r="AH175" i="88"/>
  <c r="AI173" i="88"/>
  <c r="AB280" i="88"/>
  <c r="AD228" i="88"/>
  <c r="AD230" i="88" s="1"/>
  <c r="AD235" i="88" s="1"/>
  <c r="AD239" i="88" s="1"/>
  <c r="AD317" i="88" s="1"/>
  <c r="AD539" i="88"/>
  <c r="AD563" i="88" s="1"/>
  <c r="AD430" i="88"/>
  <c r="AD268" i="88"/>
  <c r="AD267" i="88" s="1"/>
  <c r="AD447" i="88"/>
  <c r="AI13" i="88"/>
  <c r="AI119" i="88"/>
  <c r="AE445" i="88"/>
  <c r="AE271" i="88" s="1"/>
  <c r="AE158" i="88"/>
  <c r="AE446" i="88"/>
  <c r="AE270" i="88" s="1"/>
  <c r="AE227" i="88"/>
  <c r="AE202" i="88"/>
  <c r="AE192" i="88"/>
  <c r="AE233" i="88"/>
  <c r="AG211" i="88"/>
  <c r="AG201" i="88"/>
  <c r="AG208" i="88"/>
  <c r="AG207" i="88"/>
  <c r="AG16" i="88"/>
  <c r="AG210" i="88"/>
  <c r="AD448" i="88"/>
  <c r="AD431" i="88"/>
  <c r="AC461" i="88"/>
  <c r="AC282" i="88" s="1"/>
  <c r="AC460" i="88"/>
  <c r="AF138" i="88"/>
  <c r="AF142" i="88"/>
  <c r="AF194" i="88" s="1"/>
  <c r="AF156" i="88"/>
  <c r="AF19" i="88"/>
  <c r="AF20" i="88" s="1"/>
  <c r="AF11" i="88" s="1"/>
  <c r="AF140" i="88"/>
  <c r="AF193" i="88" s="1"/>
  <c r="AE442" i="88"/>
  <c r="AE444" i="88"/>
  <c r="AE269" i="88" s="1"/>
  <c r="AE225" i="88"/>
  <c r="AB462" i="88"/>
  <c r="AB463" i="88" s="1"/>
  <c r="AB464" i="88" s="1"/>
  <c r="AB320" i="88" s="1"/>
  <c r="AB321" i="88" s="1"/>
  <c r="AB283" i="88"/>
  <c r="AA284" i="88"/>
  <c r="AC281" i="88"/>
  <c r="AC449" i="88"/>
  <c r="AC451" i="88" s="1"/>
  <c r="AC452" i="88" s="1"/>
  <c r="AC319" i="88" s="1"/>
  <c r="AD195" i="88"/>
  <c r="AD190" i="88" s="1"/>
  <c r="AD241" i="88"/>
  <c r="AD322" i="88" s="1"/>
  <c r="AH15" i="88"/>
  <c r="AH197" i="88"/>
  <c r="AH209" i="88"/>
  <c r="AH204" i="88"/>
  <c r="N292" i="64"/>
  <c r="N78" i="57"/>
  <c r="O422" i="64"/>
  <c r="N254" i="64"/>
  <c r="N47" i="57"/>
  <c r="N54" i="57" s="1"/>
  <c r="N138" i="57" s="1"/>
  <c r="N365" i="47"/>
  <c r="N367" i="47" s="1"/>
  <c r="N281" i="47"/>
  <c r="P248" i="88" l="1"/>
  <c r="P294" i="88" s="1"/>
  <c r="Q292" i="88" s="1"/>
  <c r="P535" i="88"/>
  <c r="P540" i="88" s="1"/>
  <c r="P554" i="88" s="1"/>
  <c r="P336" i="88"/>
  <c r="P361" i="88"/>
  <c r="P362" i="88" s="1"/>
  <c r="AJ422" i="90"/>
  <c r="AH517" i="90"/>
  <c r="AM361" i="90"/>
  <c r="AM400" i="90" s="1"/>
  <c r="AM401" i="90" s="1"/>
  <c r="AM412" i="90"/>
  <c r="AM814" i="90" s="1"/>
  <c r="AM838" i="90" s="1"/>
  <c r="AM364" i="90"/>
  <c r="AB705" i="90"/>
  <c r="AB698" i="90"/>
  <c r="AN209" i="90"/>
  <c r="AN252" i="90" s="1"/>
  <c r="W458" i="90"/>
  <c r="W463" i="90" s="1"/>
  <c r="W478" i="90" s="1"/>
  <c r="W504" i="90" s="1"/>
  <c r="W839" i="90"/>
  <c r="X857" i="90" s="1"/>
  <c r="X877" i="90" s="1"/>
  <c r="X879" i="90" s="1"/>
  <c r="AP512" i="90"/>
  <c r="AO558" i="90"/>
  <c r="AJ376" i="90"/>
  <c r="AG380" i="90"/>
  <c r="AG390" i="90" s="1"/>
  <c r="AG392" i="90" s="1"/>
  <c r="AG393" i="90" s="1"/>
  <c r="AO821" i="90"/>
  <c r="AO492" i="90" s="1"/>
  <c r="AQ251" i="90"/>
  <c r="AJ459" i="90"/>
  <c r="AK787" i="90"/>
  <c r="AJ367" i="90"/>
  <c r="AJ371" i="90" s="1"/>
  <c r="AM426" i="90"/>
  <c r="AM370" i="90"/>
  <c r="AM425" i="90"/>
  <c r="X544" i="90"/>
  <c r="X812" i="90" s="1"/>
  <c r="AN727" i="90"/>
  <c r="AM471" i="90"/>
  <c r="AM783" i="90"/>
  <c r="AN762" i="90" s="1"/>
  <c r="AN776" i="90" s="1"/>
  <c r="AS154" i="90"/>
  <c r="AG152" i="88"/>
  <c r="AG200" i="88" s="1"/>
  <c r="AJ308" i="90"/>
  <c r="AJ309" i="90" s="1"/>
  <c r="AE196" i="88"/>
  <c r="AR417" i="90"/>
  <c r="AN23" i="90"/>
  <c r="AN301" i="90" s="1"/>
  <c r="U522" i="90"/>
  <c r="T523" i="90"/>
  <c r="AM248" i="90"/>
  <c r="AM415" i="90"/>
  <c r="AM238" i="90"/>
  <c r="AM247" i="90"/>
  <c r="AM258" i="90" s="1"/>
  <c r="AM260" i="90" s="1"/>
  <c r="T500" i="90"/>
  <c r="U499" i="90"/>
  <c r="AS52" i="90"/>
  <c r="AS240" i="90" s="1"/>
  <c r="AT53" i="90"/>
  <c r="AD212" i="88"/>
  <c r="AD213" i="88" s="1"/>
  <c r="AS167" i="90"/>
  <c r="AS206" i="90"/>
  <c r="AK595" i="90"/>
  <c r="AK482" i="90"/>
  <c r="AL721" i="90"/>
  <c r="AL469" i="90" s="1"/>
  <c r="AM722" i="90"/>
  <c r="AL561" i="90"/>
  <c r="AL416" i="90"/>
  <c r="AL266" i="90"/>
  <c r="AL286" i="90"/>
  <c r="AL412" i="90"/>
  <c r="AL375" i="90"/>
  <c r="AL361" i="90"/>
  <c r="AL400" i="90" s="1"/>
  <c r="AL401" i="90" s="1"/>
  <c r="AL364" i="90"/>
  <c r="AM315" i="90"/>
  <c r="AM287" i="90"/>
  <c r="AM316" i="90" s="1"/>
  <c r="AM317" i="90" s="1"/>
  <c r="AQ818" i="90"/>
  <c r="AQ853" i="90" s="1"/>
  <c r="AQ867" i="90" s="1"/>
  <c r="AR562" i="90"/>
  <c r="AR576" i="90" s="1"/>
  <c r="AR577" i="90" s="1"/>
  <c r="AR427" i="90"/>
  <c r="AT57" i="90"/>
  <c r="AU58" i="90"/>
  <c r="AU57" i="90" s="1"/>
  <c r="AO674" i="90"/>
  <c r="AF545" i="88"/>
  <c r="AF580" i="88" s="1"/>
  <c r="AF594" i="88" s="1"/>
  <c r="AO370" i="90"/>
  <c r="AO426" i="90"/>
  <c r="AO425" i="90"/>
  <c r="AE580" i="88"/>
  <c r="AE594" i="88" s="1"/>
  <c r="AH519" i="88"/>
  <c r="AH522" i="88" s="1"/>
  <c r="AH485" i="88" s="1"/>
  <c r="AH237" i="88" s="1"/>
  <c r="AH318" i="88" s="1"/>
  <c r="AI519" i="88"/>
  <c r="AI522" i="88" s="1"/>
  <c r="AI485" i="88" s="1"/>
  <c r="AI237" i="88" s="1"/>
  <c r="AI318" i="88" s="1"/>
  <c r="AD483" i="88"/>
  <c r="AD488" i="88" s="1"/>
  <c r="AC523" i="88"/>
  <c r="AC524" i="88" s="1"/>
  <c r="AC275" i="88"/>
  <c r="AR792" i="90"/>
  <c r="AR794" i="90" s="1"/>
  <c r="AR796" i="90" s="1"/>
  <c r="AR169" i="90"/>
  <c r="AR168" i="90"/>
  <c r="AR171" i="90"/>
  <c r="AR304" i="90"/>
  <c r="AR306" i="90" s="1"/>
  <c r="AR294" i="90" s="1"/>
  <c r="AO248" i="90"/>
  <c r="AO415" i="90"/>
  <c r="AO247" i="90"/>
  <c r="AO258" i="90" s="1"/>
  <c r="AO260" i="90" s="1"/>
  <c r="AO238" i="90"/>
  <c r="AI96" i="88"/>
  <c r="AI99" i="88" s="1"/>
  <c r="AH99" i="88"/>
  <c r="AP819" i="90"/>
  <c r="AP854" i="90"/>
  <c r="AP868" i="90" s="1"/>
  <c r="M276" i="56"/>
  <c r="M282" i="56"/>
  <c r="M499" i="56"/>
  <c r="M506" i="56" s="1"/>
  <c r="AS795" i="90"/>
  <c r="AH532" i="88"/>
  <c r="AI531" i="88"/>
  <c r="AI532" i="88" s="1"/>
  <c r="AT214" i="90"/>
  <c r="AT424" i="90"/>
  <c r="AO639" i="90"/>
  <c r="AH312" i="88"/>
  <c r="AG313" i="88"/>
  <c r="X440" i="90"/>
  <c r="X442" i="90"/>
  <c r="X52" i="57"/>
  <c r="X169" i="57" s="1"/>
  <c r="X522" i="90"/>
  <c r="X523" i="90" s="1"/>
  <c r="M380" i="56"/>
  <c r="M383" i="56" s="1"/>
  <c r="M367" i="56"/>
  <c r="AQ197" i="90"/>
  <c r="AQ198" i="90" s="1"/>
  <c r="AQ199" i="90"/>
  <c r="AQ200" i="90" s="1"/>
  <c r="AQ201" i="90"/>
  <c r="AD444" i="90"/>
  <c r="U138" i="92"/>
  <c r="U140" i="92" s="1"/>
  <c r="AN470" i="90"/>
  <c r="AO797" i="90"/>
  <c r="AP723" i="90"/>
  <c r="AR244" i="90"/>
  <c r="AJ598" i="90"/>
  <c r="AJ487" i="90"/>
  <c r="AI379" i="90"/>
  <c r="AI380" i="90" s="1"/>
  <c r="AI390" i="90" s="1"/>
  <c r="AI392" i="90" s="1"/>
  <c r="AI517" i="90"/>
  <c r="Y756" i="90"/>
  <c r="Y785" i="90" s="1"/>
  <c r="Y430" i="90" s="1"/>
  <c r="Y774" i="90"/>
  <c r="Z717" i="90"/>
  <c r="AH262" i="88"/>
  <c r="AI261" i="88"/>
  <c r="AI262" i="88" s="1"/>
  <c r="AP667" i="90"/>
  <c r="AO707" i="90"/>
  <c r="AP692" i="90" s="1"/>
  <c r="AP702" i="90" s="1"/>
  <c r="AH574" i="88"/>
  <c r="AI573" i="88"/>
  <c r="AI574" i="88" s="1"/>
  <c r="AG544" i="88"/>
  <c r="AG579" i="88" s="1"/>
  <c r="AG593" i="88" s="1"/>
  <c r="AU72" i="90"/>
  <c r="AN725" i="90"/>
  <c r="AG146" i="88"/>
  <c r="AH144" i="88"/>
  <c r="AT18" i="90"/>
  <c r="AQ124" i="70"/>
  <c r="AT236" i="90"/>
  <c r="AU77" i="90"/>
  <c r="AU236" i="90" s="1"/>
  <c r="AI149" i="88"/>
  <c r="AI150" i="88" s="1"/>
  <c r="AH150" i="88"/>
  <c r="AH198" i="88" s="1"/>
  <c r="AP147" i="90"/>
  <c r="AP194" i="90"/>
  <c r="AP193" i="90" s="1"/>
  <c r="AP249" i="90" s="1"/>
  <c r="AQ147" i="90"/>
  <c r="AQ194" i="90"/>
  <c r="AQ193" i="90" s="1"/>
  <c r="AQ249" i="90" s="1"/>
  <c r="AN665" i="90"/>
  <c r="AM663" i="90"/>
  <c r="X72" i="57"/>
  <c r="AL771" i="90"/>
  <c r="AL778" i="90" s="1"/>
  <c r="AE420" i="90"/>
  <c r="AE428" i="90" s="1"/>
  <c r="AE423" i="90"/>
  <c r="AE261" i="90" s="1"/>
  <c r="AE262" i="90" s="1"/>
  <c r="AP726" i="90"/>
  <c r="AI472" i="88"/>
  <c r="AI473" i="88" s="1"/>
  <c r="AH473" i="88"/>
  <c r="AP12" i="90"/>
  <c r="AP16" i="90" s="1"/>
  <c r="AP172" i="90"/>
  <c r="AP134" i="90"/>
  <c r="AP256" i="90"/>
  <c r="AP257" i="90"/>
  <c r="AP255" i="90"/>
  <c r="AP254" i="90"/>
  <c r="AU76" i="90"/>
  <c r="AP853" i="90"/>
  <c r="AP867" i="90" s="1"/>
  <c r="AR203" i="90"/>
  <c r="AG150" i="88"/>
  <c r="AG198" i="88" s="1"/>
  <c r="AU125" i="90"/>
  <c r="AT139" i="90"/>
  <c r="AT155" i="90" s="1"/>
  <c r="AT132" i="90"/>
  <c r="AL368" i="90"/>
  <c r="AL293" i="90"/>
  <c r="AG457" i="88"/>
  <c r="AG458" i="88" s="1"/>
  <c r="AG459" i="88" s="1"/>
  <c r="AH454" i="88"/>
  <c r="AI86" i="88"/>
  <c r="AI87" i="88" s="1"/>
  <c r="AH87" i="88"/>
  <c r="AI97" i="88"/>
  <c r="AI100" i="88" s="1"/>
  <c r="AH100" i="88"/>
  <c r="AH152" i="88" s="1"/>
  <c r="AH200" i="88" s="1"/>
  <c r="AD689" i="90"/>
  <c r="AA779" i="90"/>
  <c r="AN239" i="90"/>
  <c r="AN259" i="90"/>
  <c r="AU424" i="90"/>
  <c r="AU214" i="90"/>
  <c r="AO301" i="90"/>
  <c r="AO413" i="90"/>
  <c r="AO11" i="90"/>
  <c r="AI72" i="88"/>
  <c r="AI76" i="88" s="1"/>
  <c r="AI74" i="88"/>
  <c r="AM724" i="90"/>
  <c r="AL780" i="90"/>
  <c r="AM759" i="90" s="1"/>
  <c r="AM773" i="90" s="1"/>
  <c r="AF443" i="88"/>
  <c r="AF272" i="88" s="1"/>
  <c r="AF206" i="88"/>
  <c r="AF203" i="88" s="1"/>
  <c r="AF199" i="88"/>
  <c r="AT820" i="90"/>
  <c r="AT855" i="90" s="1"/>
  <c r="AT869" i="90" s="1"/>
  <c r="AQ134" i="90"/>
  <c r="AQ172" i="90"/>
  <c r="AQ256" i="90"/>
  <c r="AQ12" i="90"/>
  <c r="AQ16" i="90" s="1"/>
  <c r="AQ257" i="90"/>
  <c r="AQ255" i="90"/>
  <c r="AQ254" i="90"/>
  <c r="AH222" i="88"/>
  <c r="AI221" i="88"/>
  <c r="AI222" i="88" s="1"/>
  <c r="AK353" i="90"/>
  <c r="AK354" i="90" s="1"/>
  <c r="AK343" i="90"/>
  <c r="AK344" i="90" s="1"/>
  <c r="AK338" i="90"/>
  <c r="AK339" i="90" s="1"/>
  <c r="AK323" i="90"/>
  <c r="AK324" i="90" s="1"/>
  <c r="AK328" i="90"/>
  <c r="AK329" i="90" s="1"/>
  <c r="AK348" i="90"/>
  <c r="AK349" i="90" s="1"/>
  <c r="AK333" i="90"/>
  <c r="AK334" i="90" s="1"/>
  <c r="AU70" i="90"/>
  <c r="AR352" i="90"/>
  <c r="AR322" i="90"/>
  <c r="AR347" i="90"/>
  <c r="AR327" i="90"/>
  <c r="AR337" i="90"/>
  <c r="AR342" i="90"/>
  <c r="AR332" i="90"/>
  <c r="AH131" i="88"/>
  <c r="AI130" i="88"/>
  <c r="AI131" i="88" s="1"/>
  <c r="AK778" i="90"/>
  <c r="AM675" i="90"/>
  <c r="AL673" i="90"/>
  <c r="AL786" i="90" s="1"/>
  <c r="AL473" i="90" s="1"/>
  <c r="AD578" i="88"/>
  <c r="AD592" i="88" s="1"/>
  <c r="AC546" i="88"/>
  <c r="AC287" i="88" s="1"/>
  <c r="AD543" i="88"/>
  <c r="AM706" i="90"/>
  <c r="AN691" i="90" s="1"/>
  <c r="AN701" i="90" s="1"/>
  <c r="AN666" i="90"/>
  <c r="AK589" i="90"/>
  <c r="AK606" i="90"/>
  <c r="AF310" i="90"/>
  <c r="AF311" i="90" s="1"/>
  <c r="AF295" i="90" s="1"/>
  <c r="AF292" i="90" s="1"/>
  <c r="AS303" i="90"/>
  <c r="AS319" i="90"/>
  <c r="AS359" i="90"/>
  <c r="AS399" i="90" s="1"/>
  <c r="AS24" i="90"/>
  <c r="AS26" i="90" s="1"/>
  <c r="AS414" i="90" s="1"/>
  <c r="AP664" i="90"/>
  <c r="AP197" i="90"/>
  <c r="AP198" i="90" s="1"/>
  <c r="AP199" i="90"/>
  <c r="AP200" i="90" s="1"/>
  <c r="AP201" i="90"/>
  <c r="AJ782" i="90"/>
  <c r="AK761" i="90" s="1"/>
  <c r="AK775" i="90" s="1"/>
  <c r="AS243" i="90"/>
  <c r="AS241" i="90"/>
  <c r="AP710" i="90"/>
  <c r="AI151" i="88"/>
  <c r="AS204" i="90"/>
  <c r="AS205" i="90" s="1"/>
  <c r="AI426" i="88"/>
  <c r="AI427" i="88" s="1"/>
  <c r="AH427" i="88"/>
  <c r="AL472" i="90"/>
  <c r="AN188" i="90"/>
  <c r="AK591" i="90"/>
  <c r="AK461" i="90" s="1"/>
  <c r="V74" i="57"/>
  <c r="S186" i="92"/>
  <c r="T186" i="92" s="1"/>
  <c r="Q193" i="92"/>
  <c r="S213" i="92"/>
  <c r="T213" i="92" s="1"/>
  <c r="Q217" i="92"/>
  <c r="S221" i="92"/>
  <c r="T221" i="92" s="1"/>
  <c r="Q222" i="92"/>
  <c r="S222" i="92" s="1"/>
  <c r="T222" i="92" s="1"/>
  <c r="S438" i="92"/>
  <c r="T270" i="92"/>
  <c r="T438" i="92" s="1"/>
  <c r="AH29" i="88"/>
  <c r="AI28" i="88"/>
  <c r="AI29" i="88" s="1"/>
  <c r="AI232" i="88"/>
  <c r="AJ160" i="88"/>
  <c r="AB284" i="88"/>
  <c r="AI175" i="88"/>
  <c r="AJ173" i="88"/>
  <c r="AC280" i="88"/>
  <c r="AI15" i="88"/>
  <c r="AI204" i="88"/>
  <c r="AI209" i="88"/>
  <c r="AI197" i="88"/>
  <c r="AH211" i="88"/>
  <c r="AH208" i="88"/>
  <c r="AH207" i="88"/>
  <c r="AH201" i="88"/>
  <c r="AH210" i="88"/>
  <c r="AH16" i="88"/>
  <c r="AD460" i="88"/>
  <c r="AD461" i="88"/>
  <c r="AD282" i="88" s="1"/>
  <c r="AE447" i="88"/>
  <c r="AE268" i="88"/>
  <c r="AE267" i="88" s="1"/>
  <c r="AE228" i="88"/>
  <c r="AE230" i="88" s="1"/>
  <c r="AE235" i="88" s="1"/>
  <c r="AE239" i="88" s="1"/>
  <c r="AE317" i="88" s="1"/>
  <c r="AE539" i="88"/>
  <c r="AE563" i="88" s="1"/>
  <c r="AE430" i="88"/>
  <c r="AF158" i="88"/>
  <c r="AF446" i="88"/>
  <c r="AF270" i="88" s="1"/>
  <c r="AF202" i="88"/>
  <c r="AF445" i="88"/>
  <c r="AF271" i="88" s="1"/>
  <c r="AF227" i="88"/>
  <c r="AF225" i="88"/>
  <c r="AF442" i="88"/>
  <c r="AF444" i="88"/>
  <c r="AF269" i="88" s="1"/>
  <c r="AG142" i="88"/>
  <c r="AG194" i="88" s="1"/>
  <c r="AG19" i="88"/>
  <c r="AG20" i="88" s="1"/>
  <c r="AG11" i="88" s="1"/>
  <c r="AG138" i="88"/>
  <c r="AG140" i="88"/>
  <c r="AG193" i="88" s="1"/>
  <c r="AG156" i="88"/>
  <c r="AC462" i="88"/>
  <c r="AC463" i="88" s="1"/>
  <c r="AC464" i="88" s="1"/>
  <c r="AC320" i="88" s="1"/>
  <c r="AC321" i="88" s="1"/>
  <c r="AC283" i="88"/>
  <c r="AE195" i="88"/>
  <c r="AE190" i="88" s="1"/>
  <c r="AE241" i="88"/>
  <c r="AE322" i="88" s="1"/>
  <c r="AF233" i="88"/>
  <c r="AF192" i="88"/>
  <c r="AD281" i="88"/>
  <c r="AD449" i="88"/>
  <c r="AD451" i="88" s="1"/>
  <c r="AD452" i="88" s="1"/>
  <c r="AD319" i="88" s="1"/>
  <c r="AE448" i="88"/>
  <c r="AE431" i="88"/>
  <c r="N284" i="47"/>
  <c r="N286" i="47"/>
  <c r="N376" i="47"/>
  <c r="N471" i="64"/>
  <c r="N477" i="64" s="1"/>
  <c r="N491" i="64" s="1"/>
  <c r="N294" i="64"/>
  <c r="N92" i="57"/>
  <c r="N93" i="57" s="1"/>
  <c r="P363" i="88" l="1"/>
  <c r="P558" i="88"/>
  <c r="P561" i="88" s="1"/>
  <c r="AL787" i="90"/>
  <c r="AM560" i="90"/>
  <c r="AM589" i="90" s="1"/>
  <c r="AM418" i="90"/>
  <c r="AC690" i="90"/>
  <c r="AB703" i="90"/>
  <c r="AP558" i="90"/>
  <c r="AQ512" i="90"/>
  <c r="AP196" i="90"/>
  <c r="AP250" i="90" s="1"/>
  <c r="AN413" i="90"/>
  <c r="AN11" i="90"/>
  <c r="AN364" i="90" s="1"/>
  <c r="AS417" i="90"/>
  <c r="AS242" i="90"/>
  <c r="AS244" i="90" s="1"/>
  <c r="T502" i="90"/>
  <c r="U502" i="90" s="1"/>
  <c r="U500" i="90"/>
  <c r="AM375" i="90"/>
  <c r="AM266" i="90"/>
  <c r="AM416" i="90"/>
  <c r="AM561" i="90"/>
  <c r="AN471" i="90"/>
  <c r="AN783" i="90"/>
  <c r="AO762" i="90" s="1"/>
  <c r="AO776" i="90" s="1"/>
  <c r="AO727" i="90"/>
  <c r="AT154" i="90"/>
  <c r="AE212" i="88"/>
  <c r="AE213" i="88" s="1"/>
  <c r="AQ196" i="90"/>
  <c r="AQ250" i="90" s="1"/>
  <c r="AU53" i="90"/>
  <c r="AU52" i="90" s="1"/>
  <c r="AU240" i="90" s="1"/>
  <c r="AT52" i="90"/>
  <c r="AT240" i="90" s="1"/>
  <c r="AT242" i="90" s="1"/>
  <c r="T532" i="90"/>
  <c r="U169" i="57"/>
  <c r="U523" i="90"/>
  <c r="T542" i="90"/>
  <c r="T545" i="90" s="1"/>
  <c r="AT167" i="90"/>
  <c r="AT206" i="90"/>
  <c r="AQ667" i="90"/>
  <c r="AP707" i="90"/>
  <c r="AQ692" i="90" s="1"/>
  <c r="AQ702" i="90" s="1"/>
  <c r="AN293" i="90"/>
  <c r="AN368" i="90"/>
  <c r="AR256" i="90"/>
  <c r="AR172" i="90"/>
  <c r="AR134" i="90"/>
  <c r="AR12" i="90"/>
  <c r="AR16" i="90" s="1"/>
  <c r="AR257" i="90"/>
  <c r="AR255" i="90"/>
  <c r="AR254" i="90"/>
  <c r="AN370" i="90"/>
  <c r="AN426" i="90"/>
  <c r="AN425" i="90"/>
  <c r="AT243" i="90"/>
  <c r="AT241" i="90"/>
  <c r="AK356" i="90"/>
  <c r="AK288" i="90" s="1"/>
  <c r="AK289" i="90" s="1"/>
  <c r="AS169" i="90"/>
  <c r="AS168" i="90"/>
  <c r="AS171" i="90"/>
  <c r="AS304" i="90"/>
  <c r="AS306" i="90" s="1"/>
  <c r="AS294" i="90" s="1"/>
  <c r="AS792" i="90"/>
  <c r="AS794" i="90" s="1"/>
  <c r="AS796" i="90" s="1"/>
  <c r="AU243" i="90"/>
  <c r="AU241" i="90"/>
  <c r="AK608" i="90"/>
  <c r="AK609" i="90" s="1"/>
  <c r="AK610" i="90" s="1"/>
  <c r="AK518" i="90" s="1"/>
  <c r="AK484" i="90"/>
  <c r="AK487" i="90" s="1"/>
  <c r="AE444" i="90"/>
  <c r="AP639" i="90"/>
  <c r="AF423" i="90"/>
  <c r="AF261" i="90" s="1"/>
  <c r="AF262" i="90" s="1"/>
  <c r="AF420" i="90"/>
  <c r="AF428" i="90" s="1"/>
  <c r="AQ17" i="90"/>
  <c r="AQ20" i="90" s="1"/>
  <c r="AQ21" i="90" s="1"/>
  <c r="AQ22" i="90" s="1"/>
  <c r="AP191" i="90"/>
  <c r="AP190" i="90"/>
  <c r="AP189" i="90"/>
  <c r="AM333" i="90"/>
  <c r="AM334" i="90" s="1"/>
  <c r="AM353" i="90"/>
  <c r="AM354" i="90" s="1"/>
  <c r="AM328" i="90"/>
  <c r="AM329" i="90" s="1"/>
  <c r="AM343" i="90"/>
  <c r="AM344" i="90" s="1"/>
  <c r="AM323" i="90"/>
  <c r="AM324" i="90" s="1"/>
  <c r="AM348" i="90"/>
  <c r="AM349" i="90" s="1"/>
  <c r="AM338" i="90"/>
  <c r="AM339" i="90" s="1"/>
  <c r="AP210" i="90"/>
  <c r="AP211" i="90" s="1"/>
  <c r="AP253" i="90" s="1"/>
  <c r="AP136" i="90"/>
  <c r="AK460" i="90"/>
  <c r="AK459" i="90" s="1"/>
  <c r="AK366" i="90"/>
  <c r="AK593" i="90"/>
  <c r="AK597" i="90" s="1"/>
  <c r="AK598" i="90" s="1"/>
  <c r="AI312" i="88"/>
  <c r="AI313" i="88" s="1"/>
  <c r="AH313" i="88"/>
  <c r="AQ710" i="90"/>
  <c r="AN675" i="90"/>
  <c r="AM673" i="90"/>
  <c r="AM786" i="90" s="1"/>
  <c r="AM473" i="90" s="1"/>
  <c r="AO375" i="90"/>
  <c r="AO364" i="90"/>
  <c r="AO412" i="90"/>
  <c r="AO361" i="90"/>
  <c r="AO400" i="90" s="1"/>
  <c r="AO401" i="90" s="1"/>
  <c r="AO286" i="90"/>
  <c r="X499" i="90"/>
  <c r="X446" i="90"/>
  <c r="AQ819" i="90"/>
  <c r="AQ854" i="90" s="1"/>
  <c r="AQ868" i="90" s="1"/>
  <c r="AN722" i="90"/>
  <c r="AM721" i="90"/>
  <c r="AM469" i="90" s="1"/>
  <c r="AP821" i="90"/>
  <c r="AP492" i="90" s="1"/>
  <c r="AT204" i="90"/>
  <c r="AT205" i="90" s="1"/>
  <c r="AL814" i="90"/>
  <c r="AL838" i="90" s="1"/>
  <c r="AL560" i="90"/>
  <c r="AL418" i="90"/>
  <c r="AQ210" i="90"/>
  <c r="AQ211" i="90" s="1"/>
  <c r="AQ253" i="90" s="1"/>
  <c r="AQ136" i="90"/>
  <c r="AO266" i="90"/>
  <c r="AO416" i="90"/>
  <c r="AO561" i="90"/>
  <c r="AO293" i="90"/>
  <c r="AO368" i="90"/>
  <c r="AS322" i="90"/>
  <c r="AS352" i="90"/>
  <c r="AS342" i="90"/>
  <c r="AS332" i="90"/>
  <c r="AS327" i="90"/>
  <c r="AS347" i="90"/>
  <c r="AS337" i="90"/>
  <c r="AQ726" i="90"/>
  <c r="AQ191" i="90"/>
  <c r="AQ189" i="90"/>
  <c r="AQ190" i="90"/>
  <c r="AH544" i="88"/>
  <c r="AH579" i="88" s="1"/>
  <c r="AH593" i="88" s="1"/>
  <c r="Y516" i="90"/>
  <c r="Y34" i="57"/>
  <c r="Y432" i="90"/>
  <c r="AR818" i="90"/>
  <c r="AR853" i="90" s="1"/>
  <c r="AR867" i="90" s="1"/>
  <c r="AL602" i="90"/>
  <c r="AL607" i="90" s="1"/>
  <c r="AL483" i="90" s="1"/>
  <c r="AL571" i="90"/>
  <c r="AL594" i="90" s="1"/>
  <c r="AL570" i="90"/>
  <c r="AL581" i="90" s="1"/>
  <c r="AL583" i="90" s="1"/>
  <c r="AL584" i="90" s="1"/>
  <c r="AL590" i="90" s="1"/>
  <c r="AL462" i="90" s="1"/>
  <c r="AL569" i="90"/>
  <c r="AL592" i="90" s="1"/>
  <c r="AI152" i="88"/>
  <c r="AI200" i="88" s="1"/>
  <c r="AM472" i="90"/>
  <c r="AR197" i="90"/>
  <c r="AR198" i="90" s="1"/>
  <c r="AR199" i="90"/>
  <c r="AR200" i="90" s="1"/>
  <c r="AR201" i="90"/>
  <c r="AR147" i="90"/>
  <c r="AR194" i="90"/>
  <c r="AR193" i="90" s="1"/>
  <c r="AR249" i="90" s="1"/>
  <c r="AH146" i="88"/>
  <c r="AI144" i="88"/>
  <c r="AI146" i="88" s="1"/>
  <c r="AI443" i="88" s="1"/>
  <c r="AI272" i="88" s="1"/>
  <c r="AT417" i="90"/>
  <c r="AE483" i="88"/>
  <c r="AE488" i="88" s="1"/>
  <c r="AD275" i="88"/>
  <c r="AD523" i="88"/>
  <c r="AD524" i="88" s="1"/>
  <c r="AU132" i="90"/>
  <c r="AU139" i="90"/>
  <c r="AU155" i="90" s="1"/>
  <c r="AL315" i="90"/>
  <c r="AL287" i="90"/>
  <c r="AL316" i="90" s="1"/>
  <c r="AL317" i="90" s="1"/>
  <c r="AN248" i="90"/>
  <c r="AN415" i="90"/>
  <c r="AN247" i="90"/>
  <c r="AN258" i="90" s="1"/>
  <c r="AN260" i="90" s="1"/>
  <c r="AN238" i="90"/>
  <c r="AR124" i="70"/>
  <c r="AS124" i="70" s="1"/>
  <c r="AT124" i="70" s="1"/>
  <c r="AU124" i="70" s="1"/>
  <c r="AV124" i="70" s="1"/>
  <c r="AW124" i="70" s="1"/>
  <c r="AX124" i="70" s="1"/>
  <c r="AY124" i="70" s="1"/>
  <c r="AZ124" i="70" s="1"/>
  <c r="BA124" i="70" s="1"/>
  <c r="BB124" i="70" s="1"/>
  <c r="BC124" i="70" s="1"/>
  <c r="BD124" i="70" s="1"/>
  <c r="BE124" i="70" s="1"/>
  <c r="BF124" i="70" s="1"/>
  <c r="BG124" i="70" s="1"/>
  <c r="BH124" i="70" s="1"/>
  <c r="BI124" i="70" s="1"/>
  <c r="BJ124" i="70" s="1"/>
  <c r="BK124" i="70" s="1"/>
  <c r="BL124" i="70" s="1"/>
  <c r="BM124" i="70" s="1"/>
  <c r="BN124" i="70" s="1"/>
  <c r="BO124" i="70" s="1"/>
  <c r="BP124" i="70" s="1"/>
  <c r="BQ124" i="70" s="1"/>
  <c r="BR124" i="70" s="1"/>
  <c r="BS124" i="70" s="1"/>
  <c r="BT124" i="70" s="1"/>
  <c r="BU124" i="70" s="1"/>
  <c r="BV124" i="70" s="1"/>
  <c r="BW124" i="70" s="1"/>
  <c r="BX124" i="70" s="1"/>
  <c r="BY124" i="70" s="1"/>
  <c r="BZ124" i="70" s="1"/>
  <c r="AU18" i="90"/>
  <c r="AM771" i="90"/>
  <c r="AM778" i="90" s="1"/>
  <c r="AI454" i="88"/>
  <c r="AI457" i="88" s="1"/>
  <c r="AI458" i="88" s="1"/>
  <c r="AH457" i="88"/>
  <c r="AH458" i="88" s="1"/>
  <c r="AH459" i="88" s="1"/>
  <c r="AD699" i="90"/>
  <c r="X542" i="90"/>
  <c r="X545" i="90" s="1"/>
  <c r="X532" i="90"/>
  <c r="AL267" i="90"/>
  <c r="AL377" i="90" s="1"/>
  <c r="AL268" i="90"/>
  <c r="AF196" i="88"/>
  <c r="AJ379" i="90"/>
  <c r="AJ380" i="90" s="1"/>
  <c r="AJ390" i="90" s="1"/>
  <c r="AJ392" i="90" s="1"/>
  <c r="AJ517" i="90"/>
  <c r="AP674" i="90"/>
  <c r="AG545" i="88"/>
  <c r="AG580" i="88"/>
  <c r="AG594" i="88" s="1"/>
  <c r="AU820" i="90"/>
  <c r="AU855" i="90" s="1"/>
  <c r="AU869" i="90" s="1"/>
  <c r="AO666" i="90"/>
  <c r="AN706" i="90"/>
  <c r="AO691" i="90" s="1"/>
  <c r="AO701" i="90" s="1"/>
  <c r="AQ212" i="90"/>
  <c r="AQ235" i="90"/>
  <c r="AS562" i="90"/>
  <c r="AS576" i="90" s="1"/>
  <c r="AS577" i="90" s="1"/>
  <c r="AS427" i="90"/>
  <c r="AG310" i="90"/>
  <c r="AG311" i="90" s="1"/>
  <c r="AG295" i="90" s="1"/>
  <c r="AG292" i="90" s="1"/>
  <c r="AH393" i="90"/>
  <c r="Y781" i="90"/>
  <c r="Y770" i="90"/>
  <c r="Y788" i="90" s="1"/>
  <c r="Y475" i="90" s="1"/>
  <c r="AE543" i="88"/>
  <c r="AE578" i="88" s="1"/>
  <c r="AE592" i="88" s="1"/>
  <c r="AD546" i="88"/>
  <c r="AD287" i="88" s="1"/>
  <c r="AM780" i="90"/>
  <c r="AN759" i="90" s="1"/>
  <c r="AN773" i="90" s="1"/>
  <c r="AN724" i="90"/>
  <c r="AP17" i="90"/>
  <c r="AP20" i="90" s="1"/>
  <c r="AP21" i="90" s="1"/>
  <c r="AP22" i="90" s="1"/>
  <c r="Z718" i="90"/>
  <c r="M299" i="56"/>
  <c r="M306" i="56" s="1"/>
  <c r="M313" i="56" s="1"/>
  <c r="N382" i="56"/>
  <c r="N525" i="56" s="1"/>
  <c r="M551" i="56"/>
  <c r="N569" i="56" s="1"/>
  <c r="N589" i="56" s="1"/>
  <c r="N591" i="56" s="1"/>
  <c r="N249" i="56" s="1"/>
  <c r="N498" i="56"/>
  <c r="M328" i="56"/>
  <c r="AS203" i="90"/>
  <c r="AG443" i="88"/>
  <c r="AG272" i="88" s="1"/>
  <c r="AG199" i="88"/>
  <c r="AG206" i="88"/>
  <c r="AG203" i="88" s="1"/>
  <c r="AT24" i="90"/>
  <c r="AT26" i="90" s="1"/>
  <c r="AT414" i="90" s="1"/>
  <c r="AT303" i="90"/>
  <c r="AT359" i="90"/>
  <c r="AT399" i="90" s="1"/>
  <c r="AT319" i="90"/>
  <c r="AK782" i="90"/>
  <c r="AL761" i="90" s="1"/>
  <c r="AL775" i="90" s="1"/>
  <c r="AO470" i="90"/>
  <c r="AP797" i="90"/>
  <c r="AO665" i="90"/>
  <c r="AN663" i="90"/>
  <c r="AQ664" i="90"/>
  <c r="AB758" i="90"/>
  <c r="AP212" i="90"/>
  <c r="AP235" i="90"/>
  <c r="AO725" i="90"/>
  <c r="AQ723" i="90"/>
  <c r="M369" i="56"/>
  <c r="M521" i="56"/>
  <c r="M527" i="56" s="1"/>
  <c r="M541" i="56" s="1"/>
  <c r="M548" i="56" s="1"/>
  <c r="AT795" i="90"/>
  <c r="AR251" i="90"/>
  <c r="Q200" i="92"/>
  <c r="S200" i="92" s="1"/>
  <c r="T200" i="92" s="1"/>
  <c r="S193" i="92"/>
  <c r="T193" i="92" s="1"/>
  <c r="V50" i="57"/>
  <c r="U243" i="92"/>
  <c r="U245" i="92" s="1"/>
  <c r="U142" i="92"/>
  <c r="S217" i="92"/>
  <c r="T217" i="92" s="1"/>
  <c r="AD280" i="88"/>
  <c r="AD462" i="88"/>
  <c r="AD463" i="88" s="1"/>
  <c r="AD464" i="88" s="1"/>
  <c r="AD320" i="88" s="1"/>
  <c r="AD321" i="88" s="1"/>
  <c r="AD283" i="88"/>
  <c r="AF431" i="88"/>
  <c r="AF448" i="88"/>
  <c r="AG446" i="88"/>
  <c r="AG270" i="88" s="1"/>
  <c r="AG202" i="88"/>
  <c r="AG445" i="88"/>
  <c r="AG271" i="88" s="1"/>
  <c r="AG227" i="88"/>
  <c r="AG158" i="88"/>
  <c r="AE460" i="88"/>
  <c r="AE461" i="88"/>
  <c r="AE282" i="88" s="1"/>
  <c r="AE449" i="88"/>
  <c r="AE451" i="88" s="1"/>
  <c r="AE452" i="88" s="1"/>
  <c r="AE319" i="88" s="1"/>
  <c r="AE281" i="88"/>
  <c r="AG225" i="88"/>
  <c r="AG442" i="88"/>
  <c r="AG444" i="88"/>
  <c r="AG269" i="88" s="1"/>
  <c r="AF195" i="88"/>
  <c r="AF190" i="88" s="1"/>
  <c r="AF241" i="88"/>
  <c r="AF322" i="88" s="1"/>
  <c r="AF447" i="88"/>
  <c r="AF268" i="88"/>
  <c r="AF267" i="88" s="1"/>
  <c r="AH142" i="88"/>
  <c r="AH194" i="88" s="1"/>
  <c r="AH140" i="88"/>
  <c r="AH193" i="88" s="1"/>
  <c r="AH138" i="88"/>
  <c r="AH19" i="88"/>
  <c r="AH20" i="88" s="1"/>
  <c r="AH11" i="88" s="1"/>
  <c r="AH156" i="88"/>
  <c r="AG233" i="88"/>
  <c r="AG192" i="88"/>
  <c r="AC284" i="88"/>
  <c r="AF539" i="88"/>
  <c r="AF563" i="88" s="1"/>
  <c r="AF430" i="88"/>
  <c r="AF228" i="88"/>
  <c r="AF230" i="88" s="1"/>
  <c r="AF235" i="88" s="1"/>
  <c r="AF239" i="88" s="1"/>
  <c r="AF317" i="88" s="1"/>
  <c r="AI201" i="88"/>
  <c r="AI208" i="88"/>
  <c r="AI210" i="88"/>
  <c r="AI211" i="88"/>
  <c r="AI207" i="88"/>
  <c r="AI198" i="88"/>
  <c r="AI16" i="88"/>
  <c r="N335" i="47"/>
  <c r="O333" i="47" s="1"/>
  <c r="N450" i="47"/>
  <c r="N452" i="47" s="1"/>
  <c r="N378" i="47"/>
  <c r="N504" i="47"/>
  <c r="N509" i="47" s="1"/>
  <c r="N523" i="47" s="1"/>
  <c r="N495" i="64"/>
  <c r="N498" i="64" s="1"/>
  <c r="AM606" i="90" l="1"/>
  <c r="Q219" i="92"/>
  <c r="S219" i="92" s="1"/>
  <c r="T219" i="92" s="1"/>
  <c r="P340" i="88"/>
  <c r="P343" i="88" s="1"/>
  <c r="P345" i="88" s="1"/>
  <c r="P348" i="88" s="1"/>
  <c r="P559" i="88"/>
  <c r="AC700" i="90"/>
  <c r="AC688" i="90"/>
  <c r="AT244" i="90"/>
  <c r="AN412" i="90"/>
  <c r="AN814" i="90" s="1"/>
  <c r="AN838" i="90" s="1"/>
  <c r="AU154" i="90"/>
  <c r="AQ821" i="90"/>
  <c r="AQ492" i="90" s="1"/>
  <c r="AQ23" i="90"/>
  <c r="AQ413" i="90" s="1"/>
  <c r="AR512" i="90"/>
  <c r="AQ558" i="90"/>
  <c r="AN361" i="90"/>
  <c r="AN400" i="90" s="1"/>
  <c r="AN401" i="90" s="1"/>
  <c r="AN286" i="90"/>
  <c r="AN287" i="90" s="1"/>
  <c r="AN316" i="90" s="1"/>
  <c r="AN317" i="90" s="1"/>
  <c r="AN375" i="90"/>
  <c r="AG196" i="88"/>
  <c r="AM268" i="90"/>
  <c r="AM267" i="90"/>
  <c r="AM377" i="90" s="1"/>
  <c r="AP23" i="90"/>
  <c r="AP11" i="90" s="1"/>
  <c r="AI459" i="88"/>
  <c r="T839" i="90"/>
  <c r="U839" i="90" s="1"/>
  <c r="T458" i="90"/>
  <c r="U542" i="90"/>
  <c r="U545" i="90" s="1"/>
  <c r="U532" i="90"/>
  <c r="U534" i="90" s="1"/>
  <c r="T534" i="90"/>
  <c r="T810" i="90"/>
  <c r="AO471" i="90"/>
  <c r="AP727" i="90"/>
  <c r="AO783" i="90"/>
  <c r="AP762" i="90" s="1"/>
  <c r="AP776" i="90" s="1"/>
  <c r="AI199" i="88"/>
  <c r="AM570" i="90"/>
  <c r="AM581" i="90" s="1"/>
  <c r="AM583" i="90" s="1"/>
  <c r="AM584" i="90" s="1"/>
  <c r="AM590" i="90" s="1"/>
  <c r="AM462" i="90" s="1"/>
  <c r="AM571" i="90"/>
  <c r="AM594" i="90" s="1"/>
  <c r="AM569" i="90"/>
  <c r="AM592" i="90" s="1"/>
  <c r="AM602" i="90"/>
  <c r="AM607" i="90" s="1"/>
  <c r="AM483" i="90" s="1"/>
  <c r="AQ209" i="90"/>
  <c r="AQ252" i="90" s="1"/>
  <c r="AF212" i="88"/>
  <c r="AF213" i="88" s="1"/>
  <c r="AU167" i="90"/>
  <c r="AU206" i="90"/>
  <c r="AL482" i="90"/>
  <c r="AL595" i="90"/>
  <c r="AL782" i="90"/>
  <c r="AM761" i="90" s="1"/>
  <c r="AM775" i="90" s="1"/>
  <c r="X810" i="90"/>
  <c r="X815" i="90" s="1"/>
  <c r="X829" i="90" s="1"/>
  <c r="X836" i="90" s="1"/>
  <c r="X534" i="90"/>
  <c r="Y437" i="90"/>
  <c r="Y515" i="90"/>
  <c r="Y519" i="90" s="1"/>
  <c r="Y445" i="90"/>
  <c r="AT792" i="90"/>
  <c r="AT794" i="90" s="1"/>
  <c r="AT796" i="90" s="1"/>
  <c r="AT169" i="90"/>
  <c r="AT168" i="90"/>
  <c r="AT171" i="90"/>
  <c r="AT304" i="90"/>
  <c r="AT306" i="90" s="1"/>
  <c r="AT294" i="90" s="1"/>
  <c r="AM356" i="90"/>
  <c r="AM288" i="90" s="1"/>
  <c r="AM289" i="90" s="1"/>
  <c r="AP665" i="90"/>
  <c r="AO663" i="90"/>
  <c r="AQ239" i="90"/>
  <c r="AQ259" i="90"/>
  <c r="AL343" i="90"/>
  <c r="AL344" i="90" s="1"/>
  <c r="AL348" i="90"/>
  <c r="AL349" i="90" s="1"/>
  <c r="AL328" i="90"/>
  <c r="AL329" i="90" s="1"/>
  <c r="AL353" i="90"/>
  <c r="AL354" i="90" s="1"/>
  <c r="AL338" i="90"/>
  <c r="AL339" i="90" s="1"/>
  <c r="AL333" i="90"/>
  <c r="AL334" i="90" s="1"/>
  <c r="AL323" i="90"/>
  <c r="AL324" i="90" s="1"/>
  <c r="AR191" i="90"/>
  <c r="AR189" i="90"/>
  <c r="AR190" i="90"/>
  <c r="AM460" i="90"/>
  <c r="AN472" i="90"/>
  <c r="AA715" i="90"/>
  <c r="AS818" i="90"/>
  <c r="AS853" i="90" s="1"/>
  <c r="AS867" i="90" s="1"/>
  <c r="AM484" i="90"/>
  <c r="AF444" i="90"/>
  <c r="AR212" i="90"/>
  <c r="AR235" i="90"/>
  <c r="AL591" i="90"/>
  <c r="AO287" i="90"/>
  <c r="AO316" i="90" s="1"/>
  <c r="AO317" i="90" s="1"/>
  <c r="AO315" i="90"/>
  <c r="AH443" i="88"/>
  <c r="AH272" i="88" s="1"/>
  <c r="AH199" i="88"/>
  <c r="AH206" i="88"/>
  <c r="AH203" i="88" s="1"/>
  <c r="X500" i="90"/>
  <c r="X502" i="90" s="1"/>
  <c r="Y498" i="90"/>
  <c r="AK376" i="90"/>
  <c r="AK367" i="90"/>
  <c r="AK371" i="90" s="1"/>
  <c r="AK422" i="90"/>
  <c r="AK290" i="90"/>
  <c r="AK308" i="90"/>
  <c r="AK309" i="90" s="1"/>
  <c r="AR210" i="90"/>
  <c r="AR211" i="90" s="1"/>
  <c r="AR253" i="90" s="1"/>
  <c r="AR136" i="90"/>
  <c r="AS197" i="90"/>
  <c r="AS198" i="90" s="1"/>
  <c r="AS199" i="90"/>
  <c r="AS200" i="90" s="1"/>
  <c r="AS201" i="90"/>
  <c r="AR17" i="90"/>
  <c r="AR20" i="90" s="1"/>
  <c r="AR21" i="90" s="1"/>
  <c r="AR22" i="90" s="1"/>
  <c r="AG420" i="90"/>
  <c r="AG428" i="90" s="1"/>
  <c r="AG423" i="90"/>
  <c r="AG261" i="90" s="1"/>
  <c r="AG262" i="90" s="1"/>
  <c r="AH310" i="90"/>
  <c r="AH311" i="90" s="1"/>
  <c r="AH295" i="90" s="1"/>
  <c r="AH292" i="90" s="1"/>
  <c r="AI393" i="90"/>
  <c r="AN416" i="90"/>
  <c r="AN266" i="90"/>
  <c r="AN561" i="90"/>
  <c r="AR726" i="90"/>
  <c r="AK379" i="90"/>
  <c r="AK517" i="90"/>
  <c r="AS147" i="90"/>
  <c r="AS194" i="90"/>
  <c r="AS193" i="90" s="1"/>
  <c r="AS249" i="90" s="1"/>
  <c r="AR819" i="90"/>
  <c r="AR821" i="90" s="1"/>
  <c r="AR492" i="90" s="1"/>
  <c r="AS256" i="90"/>
  <c r="AS172" i="90"/>
  <c r="AS12" i="90"/>
  <c r="AS16" i="90" s="1"/>
  <c r="AS134" i="90"/>
  <c r="AS257" i="90"/>
  <c r="AS255" i="90"/>
  <c r="AS254" i="90"/>
  <c r="AQ707" i="90"/>
  <c r="AR692" i="90" s="1"/>
  <c r="AR702" i="90" s="1"/>
  <c r="AR667" i="90"/>
  <c r="AB772" i="90"/>
  <c r="Z760" i="90"/>
  <c r="Y777" i="90"/>
  <c r="Y789" i="90" s="1"/>
  <c r="AQ674" i="90"/>
  <c r="AU24" i="90"/>
  <c r="AU26" i="90" s="1"/>
  <c r="AU414" i="90" s="1"/>
  <c r="AU319" i="90"/>
  <c r="AU303" i="90"/>
  <c r="AU359" i="90"/>
  <c r="AU399" i="90" s="1"/>
  <c r="AE275" i="88"/>
  <c r="AF483" i="88"/>
  <c r="AF488" i="88" s="1"/>
  <c r="AE523" i="88"/>
  <c r="AE524" i="88" s="1"/>
  <c r="AP188" i="90"/>
  <c r="M330" i="56"/>
  <c r="M332" i="56" s="1"/>
  <c r="M334" i="56"/>
  <c r="M335" i="56" s="1"/>
  <c r="AO722" i="90"/>
  <c r="AN721" i="90"/>
  <c r="AN469" i="90" s="1"/>
  <c r="AI206" i="88"/>
  <c r="AI203" i="88" s="1"/>
  <c r="AR664" i="90"/>
  <c r="AH545" i="88"/>
  <c r="AH580" i="88" s="1"/>
  <c r="AH594" i="88" s="1"/>
  <c r="AN771" i="90"/>
  <c r="AO268" i="90"/>
  <c r="AO267" i="90"/>
  <c r="AO377" i="90" s="1"/>
  <c r="AR710" i="90"/>
  <c r="AP209" i="90"/>
  <c r="AQ188" i="90"/>
  <c r="AQ639" i="90"/>
  <c r="AO675" i="90"/>
  <c r="AN673" i="90"/>
  <c r="AN786" i="90" s="1"/>
  <c r="AN473" i="90" s="1"/>
  <c r="AU562" i="90"/>
  <c r="AU576" i="90" s="1"/>
  <c r="AU577" i="90" s="1"/>
  <c r="AU427" i="90"/>
  <c r="AL589" i="90"/>
  <c r="AL606" i="90"/>
  <c r="AT342" i="90"/>
  <c r="AT322" i="90"/>
  <c r="AT327" i="90"/>
  <c r="AT352" i="90"/>
  <c r="AT337" i="90"/>
  <c r="AT332" i="90"/>
  <c r="AT347" i="90"/>
  <c r="AP725" i="90"/>
  <c r="AU242" i="90"/>
  <c r="AU244" i="90" s="1"/>
  <c r="AU417" i="90"/>
  <c r="AO570" i="90"/>
  <c r="AO581" i="90" s="1"/>
  <c r="AO583" i="90" s="1"/>
  <c r="AO584" i="90" s="1"/>
  <c r="AO590" i="90" s="1"/>
  <c r="AO462" i="90" s="1"/>
  <c r="AO571" i="90"/>
  <c r="AO594" i="90" s="1"/>
  <c r="AO602" i="90"/>
  <c r="AO607" i="90" s="1"/>
  <c r="AO483" i="90" s="1"/>
  <c r="AO569" i="90"/>
  <c r="AO592" i="90" s="1"/>
  <c r="AK481" i="90"/>
  <c r="AU795" i="90"/>
  <c r="N355" i="56"/>
  <c r="N358" i="56" s="1"/>
  <c r="N367" i="56" s="1"/>
  <c r="N251" i="56"/>
  <c r="AF543" i="88"/>
  <c r="AF578" i="88" s="1"/>
  <c r="AF592" i="88" s="1"/>
  <c r="AE546" i="88"/>
  <c r="AE287" i="88" s="1"/>
  <c r="AU204" i="90"/>
  <c r="AU205" i="90" s="1"/>
  <c r="AI544" i="88"/>
  <c r="AI579" i="88" s="1"/>
  <c r="AI593" i="88" s="1"/>
  <c r="AT427" i="90"/>
  <c r="AT562" i="90"/>
  <c r="AT576" i="90" s="1"/>
  <c r="AT577" i="90" s="1"/>
  <c r="AP259" i="90"/>
  <c r="AP239" i="90"/>
  <c r="AO724" i="90"/>
  <c r="AN780" i="90"/>
  <c r="AO759" i="90" s="1"/>
  <c r="AO773" i="90" s="1"/>
  <c r="AP666" i="90"/>
  <c r="AO706" i="90"/>
  <c r="AP691" i="90" s="1"/>
  <c r="AP701" i="90" s="1"/>
  <c r="AD704" i="90"/>
  <c r="AS251" i="90"/>
  <c r="AM787" i="90"/>
  <c r="AT203" i="90"/>
  <c r="AR723" i="90"/>
  <c r="AQ797" i="90"/>
  <c r="AP470" i="90"/>
  <c r="X839" i="90"/>
  <c r="Y857" i="90" s="1"/>
  <c r="Y544" i="90"/>
  <c r="Y812" i="90" s="1"/>
  <c r="X458" i="90"/>
  <c r="X463" i="90" s="1"/>
  <c r="X478" i="90" s="1"/>
  <c r="W881" i="90"/>
  <c r="T881" i="90"/>
  <c r="U881" i="90" s="1"/>
  <c r="Y66" i="57"/>
  <c r="Y36" i="57"/>
  <c r="Y65" i="57" s="1"/>
  <c r="AO560" i="90"/>
  <c r="AO814" i="90"/>
  <c r="AO838" i="90" s="1"/>
  <c r="AO418" i="90"/>
  <c r="AR196" i="90"/>
  <c r="AR250" i="90" s="1"/>
  <c r="V170" i="57"/>
  <c r="U254" i="92"/>
  <c r="U386" i="92"/>
  <c r="U393" i="92" s="1"/>
  <c r="U169" i="92"/>
  <c r="U163" i="92"/>
  <c r="AD284" i="88"/>
  <c r="AG268" i="88"/>
  <c r="AG267" i="88" s="1"/>
  <c r="AG447" i="88"/>
  <c r="AF281" i="88"/>
  <c r="AF449" i="88"/>
  <c r="AF451" i="88" s="1"/>
  <c r="AF452" i="88" s="1"/>
  <c r="AF319" i="88" s="1"/>
  <c r="AG241" i="88"/>
  <c r="AG322" i="88" s="1"/>
  <c r="AG195" i="88"/>
  <c r="AG190" i="88" s="1"/>
  <c r="AG430" i="88"/>
  <c r="AG228" i="88"/>
  <c r="AG230" i="88" s="1"/>
  <c r="AG235" i="88" s="1"/>
  <c r="AG239" i="88" s="1"/>
  <c r="AG317" i="88" s="1"/>
  <c r="AG539" i="88"/>
  <c r="AG563" i="88" s="1"/>
  <c r="AG431" i="88"/>
  <c r="AG448" i="88"/>
  <c r="AH225" i="88"/>
  <c r="AH444" i="88"/>
  <c r="AH269" i="88" s="1"/>
  <c r="AH442" i="88"/>
  <c r="AE283" i="88"/>
  <c r="AE462" i="88"/>
  <c r="AE463" i="88" s="1"/>
  <c r="AE464" i="88" s="1"/>
  <c r="AE320" i="88" s="1"/>
  <c r="AE321" i="88" s="1"/>
  <c r="AH233" i="88"/>
  <c r="AH192" i="88"/>
  <c r="AH227" i="88"/>
  <c r="AH446" i="88"/>
  <c r="AH270" i="88" s="1"/>
  <c r="AH158" i="88"/>
  <c r="AH445" i="88"/>
  <c r="AH271" i="88" s="1"/>
  <c r="AH202" i="88"/>
  <c r="AF461" i="88"/>
  <c r="AF282" i="88" s="1"/>
  <c r="AF460" i="88"/>
  <c r="AI138" i="88"/>
  <c r="AI140" i="88"/>
  <c r="AI193" i="88" s="1"/>
  <c r="AI156" i="88"/>
  <c r="AI142" i="88"/>
  <c r="AI194" i="88" s="1"/>
  <c r="AI19" i="88"/>
  <c r="AI20" i="88" s="1"/>
  <c r="AI11" i="88" s="1"/>
  <c r="AE280" i="88"/>
  <c r="N527" i="47"/>
  <c r="N298" i="64"/>
  <c r="N496" i="64"/>
  <c r="AN560" i="90" l="1"/>
  <c r="Q557" i="88"/>
  <c r="Q581" i="88"/>
  <c r="Q595" i="88" s="1"/>
  <c r="Q596" i="88" s="1"/>
  <c r="Q600" i="88" s="1"/>
  <c r="P286" i="88"/>
  <c r="AN418" i="90"/>
  <c r="P564" i="88"/>
  <c r="Q582" i="88" s="1"/>
  <c r="P266" i="88"/>
  <c r="P273" i="88" s="1"/>
  <c r="P277" i="88" s="1"/>
  <c r="Q347" i="88"/>
  <c r="Q537" i="88" s="1"/>
  <c r="AM608" i="90"/>
  <c r="AQ301" i="90"/>
  <c r="AQ368" i="90" s="1"/>
  <c r="AQ11" i="90"/>
  <c r="AQ361" i="90" s="1"/>
  <c r="AQ400" i="90" s="1"/>
  <c r="AQ401" i="90" s="1"/>
  <c r="AP413" i="90"/>
  <c r="AP301" i="90"/>
  <c r="AP368" i="90" s="1"/>
  <c r="AC705" i="90"/>
  <c r="AC698" i="90"/>
  <c r="AM591" i="90"/>
  <c r="AM593" i="90" s="1"/>
  <c r="AR854" i="90"/>
  <c r="AR868" i="90" s="1"/>
  <c r="AL461" i="90"/>
  <c r="AR558" i="90"/>
  <c r="AS512" i="90"/>
  <c r="AN315" i="90"/>
  <c r="AG212" i="88"/>
  <c r="AG213" i="88" s="1"/>
  <c r="X504" i="90"/>
  <c r="AP783" i="90"/>
  <c r="AQ762" i="90" s="1"/>
  <c r="AQ776" i="90" s="1"/>
  <c r="AQ727" i="90"/>
  <c r="AP471" i="90"/>
  <c r="U458" i="90"/>
  <c r="T463" i="90"/>
  <c r="AR209" i="90"/>
  <c r="AR252" i="90" s="1"/>
  <c r="AN787" i="90"/>
  <c r="AK380" i="90"/>
  <c r="AK390" i="90" s="1"/>
  <c r="AK392" i="90" s="1"/>
  <c r="AS196" i="90"/>
  <c r="AS250" i="90" s="1"/>
  <c r="AM595" i="90"/>
  <c r="AM482" i="90"/>
  <c r="T815" i="90"/>
  <c r="U810" i="90"/>
  <c r="AU792" i="90"/>
  <c r="AU794" i="90" s="1"/>
  <c r="AU796" i="90" s="1"/>
  <c r="AU169" i="90"/>
  <c r="AU168" i="90"/>
  <c r="AU171" i="90"/>
  <c r="AU304" i="90"/>
  <c r="AU306" i="90" s="1"/>
  <c r="AU294" i="90" s="1"/>
  <c r="AS664" i="90"/>
  <c r="AQ725" i="90"/>
  <c r="AS726" i="90"/>
  <c r="AU203" i="90"/>
  <c r="AR639" i="90"/>
  <c r="AN569" i="90"/>
  <c r="AN592" i="90" s="1"/>
  <c r="AN570" i="90"/>
  <c r="AN581" i="90" s="1"/>
  <c r="AN583" i="90" s="1"/>
  <c r="AN584" i="90" s="1"/>
  <c r="AN590" i="90" s="1"/>
  <c r="AN462" i="90" s="1"/>
  <c r="AN571" i="90"/>
  <c r="AN594" i="90" s="1"/>
  <c r="AN602" i="90"/>
  <c r="AN607" i="90" s="1"/>
  <c r="AN483" i="90" s="1"/>
  <c r="AG483" i="88"/>
  <c r="AG488" i="88" s="1"/>
  <c r="AF523" i="88"/>
  <c r="AF524" i="88" s="1"/>
  <c r="AF275" i="88"/>
  <c r="AP675" i="90"/>
  <c r="AO673" i="90"/>
  <c r="AO786" i="90" s="1"/>
  <c r="AO473" i="90" s="1"/>
  <c r="AM782" i="90"/>
  <c r="AN761" i="90" s="1"/>
  <c r="AN775" i="90" s="1"/>
  <c r="AT818" i="90"/>
  <c r="AE689" i="90"/>
  <c r="AT197" i="90"/>
  <c r="AT198" i="90" s="1"/>
  <c r="AT199" i="90"/>
  <c r="AT200" i="90" s="1"/>
  <c r="AT201" i="90"/>
  <c r="AN348" i="90"/>
  <c r="AN353" i="90"/>
  <c r="AN323" i="90"/>
  <c r="AN328" i="90"/>
  <c r="AN333" i="90"/>
  <c r="AN338" i="90"/>
  <c r="AN343" i="90"/>
  <c r="AH196" i="88"/>
  <c r="AN267" i="90"/>
  <c r="AN377" i="90" s="1"/>
  <c r="AN268" i="90"/>
  <c r="AN589" i="90"/>
  <c r="AN606" i="90"/>
  <c r="AL460" i="90"/>
  <c r="AL366" i="90"/>
  <c r="AL593" i="90"/>
  <c r="AL597" i="90" s="1"/>
  <c r="AL598" i="90" s="1"/>
  <c r="AS710" i="90"/>
  <c r="AS723" i="90"/>
  <c r="AT251" i="90"/>
  <c r="AR188" i="90"/>
  <c r="Y439" i="90"/>
  <c r="Y440" i="90" s="1"/>
  <c r="AQ425" i="90"/>
  <c r="AQ370" i="90"/>
  <c r="AQ426" i="90"/>
  <c r="AA717" i="90"/>
  <c r="AT147" i="90"/>
  <c r="AT194" i="90"/>
  <c r="AT193" i="90" s="1"/>
  <c r="AT249" i="90" s="1"/>
  <c r="AR707" i="90"/>
  <c r="AS692" i="90" s="1"/>
  <c r="AS702" i="90" s="1"/>
  <c r="AS667" i="90"/>
  <c r="AT12" i="90"/>
  <c r="AT16" i="90" s="1"/>
  <c r="AT256" i="90"/>
  <c r="AT257" i="90"/>
  <c r="AT172" i="90"/>
  <c r="AT134" i="90"/>
  <c r="AT255" i="90"/>
  <c r="AT254" i="90"/>
  <c r="Z756" i="90"/>
  <c r="Z785" i="90" s="1"/>
  <c r="Z430" i="90" s="1"/>
  <c r="Z774" i="90"/>
  <c r="AS191" i="90"/>
  <c r="AS190" i="90"/>
  <c r="AS189" i="90"/>
  <c r="AP361" i="90"/>
  <c r="AP400" i="90" s="1"/>
  <c r="AP401" i="90" s="1"/>
  <c r="AP364" i="90"/>
  <c r="AP412" i="90"/>
  <c r="AP286" i="90"/>
  <c r="AQ470" i="90"/>
  <c r="AR797" i="90"/>
  <c r="AR674" i="90"/>
  <c r="AO472" i="90"/>
  <c r="Y72" i="57"/>
  <c r="AR23" i="90"/>
  <c r="AL484" i="90"/>
  <c r="AL487" i="90" s="1"/>
  <c r="AL608" i="90"/>
  <c r="AL609" i="90" s="1"/>
  <c r="AL610" i="90" s="1"/>
  <c r="AL518" i="90" s="1"/>
  <c r="AB779" i="90"/>
  <c r="AO721" i="90"/>
  <c r="AO469" i="90" s="1"/>
  <c r="AP722" i="90"/>
  <c r="AP724" i="90"/>
  <c r="AO780" i="90"/>
  <c r="AP759" i="90" s="1"/>
  <c r="AP773" i="90" s="1"/>
  <c r="N255" i="56"/>
  <c r="N284" i="56"/>
  <c r="AH423" i="90"/>
  <c r="AH261" i="90" s="1"/>
  <c r="AH262" i="90" s="1"/>
  <c r="AH420" i="90"/>
  <c r="AH428" i="90" s="1"/>
  <c r="AL356" i="90"/>
  <c r="AL288" i="90" s="1"/>
  <c r="AL289" i="90" s="1"/>
  <c r="AS17" i="90"/>
  <c r="AS20" i="90" s="1"/>
  <c r="AS21" i="90" s="1"/>
  <c r="AS22" i="90" s="1"/>
  <c r="AS210" i="90"/>
  <c r="AS211" i="90" s="1"/>
  <c r="AS253" i="90" s="1"/>
  <c r="AS136" i="90"/>
  <c r="AI545" i="88"/>
  <c r="AI580" i="88" s="1"/>
  <c r="AI594" i="88" s="1"/>
  <c r="AO771" i="90"/>
  <c r="AO778" i="90" s="1"/>
  <c r="AO482" i="90"/>
  <c r="AO595" i="90"/>
  <c r="AP248" i="90"/>
  <c r="AP238" i="90"/>
  <c r="AP375" i="90" s="1"/>
  <c r="AP247" i="90"/>
  <c r="AP258" i="90" s="1"/>
  <c r="AP260" i="90" s="1"/>
  <c r="AO589" i="90"/>
  <c r="AO606" i="90"/>
  <c r="AM422" i="90"/>
  <c r="AM376" i="90"/>
  <c r="AM290" i="90"/>
  <c r="AM367" i="90"/>
  <c r="AM308" i="90"/>
  <c r="AM309" i="90" s="1"/>
  <c r="AP370" i="90"/>
  <c r="AP426" i="90"/>
  <c r="AP425" i="90"/>
  <c r="AG444" i="90"/>
  <c r="AQ665" i="90"/>
  <c r="AP663" i="90"/>
  <c r="N521" i="56"/>
  <c r="N527" i="56" s="1"/>
  <c r="N541" i="56" s="1"/>
  <c r="N545" i="56" s="1"/>
  <c r="N369" i="56"/>
  <c r="AP415" i="90"/>
  <c r="AP252" i="90"/>
  <c r="AS819" i="90"/>
  <c r="AS821" i="90" s="1"/>
  <c r="AS492" i="90" s="1"/>
  <c r="AR239" i="90"/>
  <c r="AR259" i="90"/>
  <c r="Y877" i="90"/>
  <c r="Y879" i="90" s="1"/>
  <c r="AP706" i="90"/>
  <c r="AQ691" i="90" s="1"/>
  <c r="AQ701" i="90" s="1"/>
  <c r="AQ666" i="90"/>
  <c r="AG543" i="88"/>
  <c r="AG578" i="88" s="1"/>
  <c r="AG592" i="88" s="1"/>
  <c r="AF546" i="88"/>
  <c r="AF287" i="88" s="1"/>
  <c r="AQ248" i="90"/>
  <c r="AQ415" i="90"/>
  <c r="AQ247" i="90"/>
  <c r="AQ258" i="90" s="1"/>
  <c r="AQ260" i="90" s="1"/>
  <c r="AQ238" i="90"/>
  <c r="AU352" i="90"/>
  <c r="AU322" i="90"/>
  <c r="AU347" i="90"/>
  <c r="AU332" i="90"/>
  <c r="AU337" i="90"/>
  <c r="AU327" i="90"/>
  <c r="AU342" i="90"/>
  <c r="AS212" i="90"/>
  <c r="AS235" i="90"/>
  <c r="AI310" i="90"/>
  <c r="AI311" i="90" s="1"/>
  <c r="AI295" i="90" s="1"/>
  <c r="AI292" i="90" s="1"/>
  <c r="AJ393" i="90"/>
  <c r="AO333" i="90"/>
  <c r="AO334" i="90" s="1"/>
  <c r="AO323" i="90"/>
  <c r="AO324" i="90" s="1"/>
  <c r="AO338" i="90"/>
  <c r="AO339" i="90" s="1"/>
  <c r="AO328" i="90"/>
  <c r="AO329" i="90" s="1"/>
  <c r="AO348" i="90"/>
  <c r="AO349" i="90" s="1"/>
  <c r="AO343" i="90"/>
  <c r="AO344" i="90" s="1"/>
  <c r="AO353" i="90"/>
  <c r="AO354" i="90" s="1"/>
  <c r="AN778" i="90"/>
  <c r="AM366" i="90"/>
  <c r="U408" i="92"/>
  <c r="U414" i="92" s="1"/>
  <c r="U428" i="92" s="1"/>
  <c r="U256" i="92"/>
  <c r="U215" i="92"/>
  <c r="V385" i="92"/>
  <c r="AF280" i="88"/>
  <c r="AE284" i="88"/>
  <c r="AH268" i="88"/>
  <c r="AH267" i="88" s="1"/>
  <c r="AH447" i="88"/>
  <c r="AF283" i="88"/>
  <c r="AF462" i="88"/>
  <c r="AF463" i="88" s="1"/>
  <c r="AF464" i="88" s="1"/>
  <c r="AF320" i="88" s="1"/>
  <c r="AF321" i="88" s="1"/>
  <c r="AH431" i="88"/>
  <c r="AH448" i="88"/>
  <c r="AG460" i="88"/>
  <c r="AG461" i="88"/>
  <c r="AG282" i="88" s="1"/>
  <c r="AI192" i="88"/>
  <c r="AI233" i="88"/>
  <c r="AG281" i="88"/>
  <c r="AG449" i="88"/>
  <c r="AG451" i="88" s="1"/>
  <c r="AG452" i="88" s="1"/>
  <c r="AG319" i="88" s="1"/>
  <c r="AI225" i="88"/>
  <c r="AI444" i="88"/>
  <c r="AI269" i="88" s="1"/>
  <c r="AI442" i="88"/>
  <c r="AH195" i="88"/>
  <c r="AH190" i="88" s="1"/>
  <c r="AH241" i="88"/>
  <c r="AH322" i="88" s="1"/>
  <c r="AH228" i="88"/>
  <c r="AH230" i="88" s="1"/>
  <c r="AH235" i="88" s="1"/>
  <c r="AH239" i="88" s="1"/>
  <c r="AH317" i="88" s="1"/>
  <c r="AH539" i="88"/>
  <c r="AH563" i="88" s="1"/>
  <c r="AH430" i="88"/>
  <c r="AI445" i="88"/>
  <c r="AI271" i="88" s="1"/>
  <c r="AI202" i="88"/>
  <c r="AI196" i="88" s="1"/>
  <c r="AI446" i="88"/>
  <c r="AI270" i="88" s="1"/>
  <c r="AI227" i="88"/>
  <c r="AI158" i="88"/>
  <c r="N382" i="47"/>
  <c r="N528" i="47"/>
  <c r="O494" i="64"/>
  <c r="N248" i="64"/>
  <c r="O518" i="64"/>
  <c r="O532" i="64" s="1"/>
  <c r="O533" i="64" s="1"/>
  <c r="O537" i="64" s="1"/>
  <c r="O174" i="64" s="1"/>
  <c r="N530" i="47"/>
  <c r="N304" i="64"/>
  <c r="N306" i="64" s="1"/>
  <c r="N309" i="64" s="1"/>
  <c r="N96" i="57"/>
  <c r="N109" i="57" s="1"/>
  <c r="N110" i="57" s="1"/>
  <c r="AP293" i="90" l="1"/>
  <c r="Q602" i="88"/>
  <c r="Q604" i="88" s="1"/>
  <c r="Q243" i="88" s="1"/>
  <c r="P302" i="88"/>
  <c r="P303" i="88" s="1"/>
  <c r="P290" i="88"/>
  <c r="P298" i="88" s="1"/>
  <c r="P300" i="88" s="1"/>
  <c r="AQ286" i="90"/>
  <c r="AQ287" i="90" s="1"/>
  <c r="AQ316" i="90" s="1"/>
  <c r="AQ317" i="90" s="1"/>
  <c r="AQ375" i="90"/>
  <c r="AQ293" i="90"/>
  <c r="AQ364" i="90"/>
  <c r="AQ412" i="90"/>
  <c r="AQ814" i="90" s="1"/>
  <c r="AQ838" i="90" s="1"/>
  <c r="AN329" i="90"/>
  <c r="AN334" i="90"/>
  <c r="AC703" i="90"/>
  <c r="AD690" i="90"/>
  <c r="AM597" i="90"/>
  <c r="AT196" i="90"/>
  <c r="AT250" i="90" s="1"/>
  <c r="AM461" i="90"/>
  <c r="AM459" i="90" s="1"/>
  <c r="AL459" i="90"/>
  <c r="AN324" i="90"/>
  <c r="AN339" i="90"/>
  <c r="AN354" i="90"/>
  <c r="AS558" i="90"/>
  <c r="AT512" i="90"/>
  <c r="AN349" i="90"/>
  <c r="AN344" i="90"/>
  <c r="T829" i="90"/>
  <c r="U815" i="90"/>
  <c r="AL481" i="90"/>
  <c r="AM487" i="90"/>
  <c r="AM481" i="90"/>
  <c r="AO787" i="90"/>
  <c r="AU251" i="90"/>
  <c r="AR727" i="90"/>
  <c r="AQ471" i="90"/>
  <c r="AQ783" i="90"/>
  <c r="AR762" i="90" s="1"/>
  <c r="AR776" i="90" s="1"/>
  <c r="AM371" i="90"/>
  <c r="AM609" i="90"/>
  <c r="AM610" i="90" s="1"/>
  <c r="AM518" i="90" s="1"/>
  <c r="U463" i="90"/>
  <c r="T478" i="90"/>
  <c r="AH212" i="88"/>
  <c r="AH213" i="88" s="1"/>
  <c r="AI420" i="90"/>
  <c r="AI428" i="90" s="1"/>
  <c r="AI423" i="90"/>
  <c r="AI261" i="90" s="1"/>
  <c r="AI262" i="90" s="1"/>
  <c r="AN608" i="90"/>
  <c r="AN609" i="90" s="1"/>
  <c r="AN610" i="90" s="1"/>
  <c r="AN518" i="90" s="1"/>
  <c r="AN484" i="90"/>
  <c r="AO366" i="90"/>
  <c r="AO460" i="90"/>
  <c r="AL367" i="90"/>
  <c r="AL371" i="90" s="1"/>
  <c r="AL376" i="90"/>
  <c r="AL422" i="90"/>
  <c r="AL290" i="90"/>
  <c r="AL308" i="90"/>
  <c r="AL309" i="90" s="1"/>
  <c r="AT710" i="90"/>
  <c r="AQ724" i="90"/>
  <c r="AP780" i="90"/>
  <c r="AQ759" i="90" s="1"/>
  <c r="AQ773" i="90" s="1"/>
  <c r="AM598" i="90"/>
  <c r="AS23" i="90"/>
  <c r="AK393" i="90"/>
  <c r="AJ310" i="90"/>
  <c r="AJ311" i="90" s="1"/>
  <c r="AJ295" i="90" s="1"/>
  <c r="AJ292" i="90" s="1"/>
  <c r="AO484" i="90"/>
  <c r="AO487" i="90" s="1"/>
  <c r="AO608" i="90"/>
  <c r="AT723" i="90"/>
  <c r="AU147" i="90"/>
  <c r="AU194" i="90"/>
  <c r="AU193" i="90" s="1"/>
  <c r="AU249" i="90" s="1"/>
  <c r="AO356" i="90"/>
  <c r="AO288" i="90" s="1"/>
  <c r="AO289" i="90" s="1"/>
  <c r="Z516" i="90"/>
  <c r="Z34" i="57"/>
  <c r="Z432" i="90"/>
  <c r="AU818" i="90"/>
  <c r="AU853" i="90" s="1"/>
  <c r="AU867" i="90" s="1"/>
  <c r="AQ315" i="90"/>
  <c r="AH543" i="88"/>
  <c r="AH578" i="88" s="1"/>
  <c r="AH592" i="88" s="1"/>
  <c r="AG546" i="88"/>
  <c r="AG287" i="88" s="1"/>
  <c r="Y499" i="90"/>
  <c r="Y446" i="90"/>
  <c r="AQ675" i="90"/>
  <c r="AP673" i="90"/>
  <c r="AP786" i="90" s="1"/>
  <c r="AP473" i="90" s="1"/>
  <c r="AL517" i="90"/>
  <c r="AL379" i="90"/>
  <c r="AA718" i="90"/>
  <c r="AT191" i="90"/>
  <c r="AT190" i="90"/>
  <c r="AT189" i="90"/>
  <c r="AP814" i="90"/>
  <c r="AP838" i="90" s="1"/>
  <c r="AP418" i="90"/>
  <c r="AP560" i="90"/>
  <c r="AS707" i="90"/>
  <c r="AT692" i="90" s="1"/>
  <c r="AT702" i="90" s="1"/>
  <c r="AT667" i="90"/>
  <c r="AN482" i="90"/>
  <c r="AN595" i="90"/>
  <c r="AH483" i="88"/>
  <c r="AH488" i="88" s="1"/>
  <c r="AG523" i="88"/>
  <c r="AG524" i="88" s="1"/>
  <c r="AG275" i="88"/>
  <c r="AR665" i="90"/>
  <c r="AQ663" i="90"/>
  <c r="AT726" i="90"/>
  <c r="AE699" i="90"/>
  <c r="AP771" i="90"/>
  <c r="AP778" i="90" s="1"/>
  <c r="AP287" i="90"/>
  <c r="AP316" i="90" s="1"/>
  <c r="AP317" i="90" s="1"/>
  <c r="AP315" i="90"/>
  <c r="AT853" i="90"/>
  <c r="AT867" i="90" s="1"/>
  <c r="AR725" i="90"/>
  <c r="Z781" i="90"/>
  <c r="Z770" i="90"/>
  <c r="Z788" i="90" s="1"/>
  <c r="Z475" i="90" s="1"/>
  <c r="AQ722" i="90"/>
  <c r="AP721" i="90"/>
  <c r="AP469" i="90" s="1"/>
  <c r="AU197" i="90"/>
  <c r="AU198" i="90" s="1"/>
  <c r="AU199" i="90"/>
  <c r="AU200" i="90" s="1"/>
  <c r="AU201" i="90"/>
  <c r="AT819" i="90"/>
  <c r="AT821" i="90" s="1"/>
  <c r="AT492" i="90" s="1"/>
  <c r="AS639" i="90"/>
  <c r="AU257" i="90"/>
  <c r="AU12" i="90"/>
  <c r="AU16" i="90" s="1"/>
  <c r="AU256" i="90"/>
  <c r="AU172" i="90"/>
  <c r="AU134" i="90"/>
  <c r="AU255" i="90"/>
  <c r="AU254" i="90"/>
  <c r="AR425" i="90"/>
  <c r="AR370" i="90"/>
  <c r="AR426" i="90"/>
  <c r="N282" i="56"/>
  <c r="N499" i="56"/>
  <c r="N506" i="56" s="1"/>
  <c r="N276" i="56"/>
  <c r="AQ560" i="90"/>
  <c r="AQ418" i="90"/>
  <c r="AR470" i="90"/>
  <c r="AS797" i="90"/>
  <c r="AT664" i="90"/>
  <c r="AT212" i="90"/>
  <c r="AT235" i="90"/>
  <c r="AR248" i="90"/>
  <c r="AR247" i="90"/>
  <c r="AR258" i="90" s="1"/>
  <c r="AR260" i="90" s="1"/>
  <c r="AR415" i="90"/>
  <c r="AR238" i="90"/>
  <c r="AN591" i="90"/>
  <c r="AO591" i="90" s="1"/>
  <c r="AS209" i="90"/>
  <c r="AS252" i="90" s="1"/>
  <c r="AP472" i="90"/>
  <c r="N548" i="56"/>
  <c r="N373" i="56"/>
  <c r="N378" i="56" s="1"/>
  <c r="N380" i="56" s="1"/>
  <c r="N383" i="56" s="1"/>
  <c r="N546" i="56"/>
  <c r="AN782" i="90"/>
  <c r="AO761" i="90" s="1"/>
  <c r="AO775" i="90" s="1"/>
  <c r="AR301" i="90"/>
  <c r="AR11" i="90"/>
  <c r="AR413" i="90"/>
  <c r="AQ266" i="90"/>
  <c r="AQ561" i="90"/>
  <c r="AQ416" i="90"/>
  <c r="AT17" i="90"/>
  <c r="AT20" i="90" s="1"/>
  <c r="AT21" i="90" s="1"/>
  <c r="AT22" i="90" s="1"/>
  <c r="AH444" i="90"/>
  <c r="AS239" i="90"/>
  <c r="AS259" i="90"/>
  <c r="AQ706" i="90"/>
  <c r="AR691" i="90" s="1"/>
  <c r="AR701" i="90" s="1"/>
  <c r="AR666" i="90"/>
  <c r="AP561" i="90"/>
  <c r="AP266" i="90"/>
  <c r="AP416" i="90"/>
  <c r="AC758" i="90"/>
  <c r="AS674" i="90"/>
  <c r="AT210" i="90"/>
  <c r="AT211" i="90" s="1"/>
  <c r="AT136" i="90"/>
  <c r="Y52" i="57"/>
  <c r="Y522" i="90"/>
  <c r="Y523" i="90" s="1"/>
  <c r="Y532" i="90" s="1"/>
  <c r="Y442" i="90"/>
  <c r="AN366" i="90"/>
  <c r="AN460" i="90"/>
  <c r="AS188" i="90"/>
  <c r="AS854" i="90"/>
  <c r="AS868" i="90" s="1"/>
  <c r="U432" i="92"/>
  <c r="AF284" i="88"/>
  <c r="AI268" i="88"/>
  <c r="AI267" i="88" s="1"/>
  <c r="AI447" i="88"/>
  <c r="AH449" i="88"/>
  <c r="AH451" i="88" s="1"/>
  <c r="AH452" i="88" s="1"/>
  <c r="AH319" i="88" s="1"/>
  <c r="AH281" i="88"/>
  <c r="AI448" i="88"/>
  <c r="AI431" i="88"/>
  <c r="AH460" i="88"/>
  <c r="AH461" i="88"/>
  <c r="AH282" i="88" s="1"/>
  <c r="AI241" i="88"/>
  <c r="AI322" i="88" s="1"/>
  <c r="AI195" i="88"/>
  <c r="AI190" i="88" s="1"/>
  <c r="AI212" i="88" s="1"/>
  <c r="AI213" i="88" s="1"/>
  <c r="AG280" i="88"/>
  <c r="AG462" i="88"/>
  <c r="AG463" i="88" s="1"/>
  <c r="AG464" i="88" s="1"/>
  <c r="AG320" i="88" s="1"/>
  <c r="AG321" i="88" s="1"/>
  <c r="AG283" i="88"/>
  <c r="AI539" i="88"/>
  <c r="AI563" i="88" s="1"/>
  <c r="AI430" i="88"/>
  <c r="AI228" i="88"/>
  <c r="AI230" i="88" s="1"/>
  <c r="AI235" i="88" s="1"/>
  <c r="AI239" i="88" s="1"/>
  <c r="AI317" i="88" s="1"/>
  <c r="N384" i="47"/>
  <c r="N386" i="47" s="1"/>
  <c r="N389" i="47" s="1"/>
  <c r="N252" i="64"/>
  <c r="N256" i="64" s="1"/>
  <c r="N260" i="64"/>
  <c r="N261" i="64" s="1"/>
  <c r="N327" i="47"/>
  <c r="O526" i="47"/>
  <c r="O550" i="47"/>
  <c r="O564" i="47" s="1"/>
  <c r="O565" i="47" s="1"/>
  <c r="O38" i="57"/>
  <c r="O280" i="64"/>
  <c r="O308" i="64"/>
  <c r="O475" i="64" s="1"/>
  <c r="N224" i="64"/>
  <c r="N231" i="64" s="1"/>
  <c r="N239" i="64" s="1"/>
  <c r="N501" i="64"/>
  <c r="O519" i="64" s="1"/>
  <c r="O539" i="64" s="1"/>
  <c r="O541" i="64" s="1"/>
  <c r="O175" i="64" s="1"/>
  <c r="O177" i="64" s="1"/>
  <c r="Q323" i="88" l="1"/>
  <c r="Q245" i="88"/>
  <c r="AL380" i="90"/>
  <c r="AL390" i="90" s="1"/>
  <c r="AL392" i="90" s="1"/>
  <c r="AL393" i="90" s="1"/>
  <c r="AD700" i="90"/>
  <c r="AD688" i="90"/>
  <c r="AN356" i="90"/>
  <c r="AN288" i="90" s="1"/>
  <c r="AN289" i="90" s="1"/>
  <c r="AN376" i="90" s="1"/>
  <c r="AU512" i="90"/>
  <c r="AU558" i="90" s="1"/>
  <c r="AT558" i="90"/>
  <c r="AT23" i="90"/>
  <c r="AT11" i="90" s="1"/>
  <c r="AN461" i="90"/>
  <c r="AN459" i="90" s="1"/>
  <c r="AR783" i="90"/>
  <c r="AS762" i="90" s="1"/>
  <c r="AS776" i="90" s="1"/>
  <c r="AS727" i="90"/>
  <c r="AR471" i="90"/>
  <c r="AT854" i="90"/>
  <c r="AT868" i="90" s="1"/>
  <c r="AT188" i="90"/>
  <c r="AT248" i="90" s="1"/>
  <c r="T504" i="90"/>
  <c r="U504" i="90" s="1"/>
  <c r="U478" i="90"/>
  <c r="AU196" i="90"/>
  <c r="AU250" i="90" s="1"/>
  <c r="U829" i="90"/>
  <c r="T836" i="90"/>
  <c r="U836" i="90" s="1"/>
  <c r="AO782" i="90"/>
  <c r="AP761" i="90" s="1"/>
  <c r="AP775" i="90" s="1"/>
  <c r="AR675" i="90"/>
  <c r="AQ673" i="90"/>
  <c r="AQ786" i="90" s="1"/>
  <c r="AQ473" i="90" s="1"/>
  <c r="AQ571" i="90"/>
  <c r="AQ594" i="90" s="1"/>
  <c r="AQ602" i="90"/>
  <c r="AQ607" i="90" s="1"/>
  <c r="AQ483" i="90" s="1"/>
  <c r="AQ569" i="90"/>
  <c r="AQ592" i="90" s="1"/>
  <c r="AQ570" i="90"/>
  <c r="AQ581" i="90" s="1"/>
  <c r="AQ583" i="90" s="1"/>
  <c r="AQ584" i="90" s="1"/>
  <c r="AQ590" i="90" s="1"/>
  <c r="AQ462" i="90" s="1"/>
  <c r="AB715" i="90"/>
  <c r="AJ423" i="90"/>
  <c r="AJ261" i="90" s="1"/>
  <c r="AJ262" i="90" s="1"/>
  <c r="AJ420" i="90"/>
  <c r="AJ428" i="90" s="1"/>
  <c r="AM517" i="90"/>
  <c r="AM379" i="90"/>
  <c r="AM380" i="90" s="1"/>
  <c r="AM390" i="90" s="1"/>
  <c r="AM392" i="90" s="1"/>
  <c r="Z515" i="90"/>
  <c r="Z519" i="90" s="1"/>
  <c r="Z445" i="90"/>
  <c r="AR266" i="90"/>
  <c r="AR561" i="90"/>
  <c r="AR416" i="90"/>
  <c r="AT674" i="90"/>
  <c r="AO461" i="90"/>
  <c r="AO459" i="90" s="1"/>
  <c r="AQ606" i="90"/>
  <c r="AQ589" i="90"/>
  <c r="AQ353" i="90"/>
  <c r="AQ354" i="90" s="1"/>
  <c r="AQ338" i="90"/>
  <c r="AQ339" i="90" s="1"/>
  <c r="AQ333" i="90"/>
  <c r="AQ334" i="90" s="1"/>
  <c r="AQ343" i="90"/>
  <c r="AQ344" i="90" s="1"/>
  <c r="AQ328" i="90"/>
  <c r="AQ329" i="90" s="1"/>
  <c r="AQ323" i="90"/>
  <c r="AQ324" i="90" s="1"/>
  <c r="AQ348" i="90"/>
  <c r="AQ349" i="90" s="1"/>
  <c r="AO609" i="90"/>
  <c r="AO610" i="90" s="1"/>
  <c r="AO518" i="90" s="1"/>
  <c r="AO593" i="90"/>
  <c r="AO597" i="90" s="1"/>
  <c r="AE704" i="90"/>
  <c r="N328" i="56"/>
  <c r="O498" i="56"/>
  <c r="AU819" i="90"/>
  <c r="AU821" i="90" s="1"/>
  <c r="AU492" i="90" s="1"/>
  <c r="AT639" i="90"/>
  <c r="AU723" i="90"/>
  <c r="AS725" i="90"/>
  <c r="AN487" i="90"/>
  <c r="AN481" i="90"/>
  <c r="AK310" i="90"/>
  <c r="AK311" i="90" s="1"/>
  <c r="AK295" i="90" s="1"/>
  <c r="AK292" i="90" s="1"/>
  <c r="Y810" i="90"/>
  <c r="Y815" i="90" s="1"/>
  <c r="Y829" i="90" s="1"/>
  <c r="Y534" i="90"/>
  <c r="AU17" i="90"/>
  <c r="AU20" i="90" s="1"/>
  <c r="AU21" i="90" s="1"/>
  <c r="AU22" i="90" s="1"/>
  <c r="AP787" i="90"/>
  <c r="AO481" i="90"/>
  <c r="AQ771" i="90"/>
  <c r="AQ778" i="90" s="1"/>
  <c r="AS301" i="90"/>
  <c r="AS413" i="90"/>
  <c r="AS11" i="90"/>
  <c r="Y169" i="57"/>
  <c r="AS425" i="90"/>
  <c r="AS370" i="90"/>
  <c r="AS426" i="90"/>
  <c r="AS665" i="90"/>
  <c r="AR663" i="90"/>
  <c r="AI543" i="88"/>
  <c r="AI546" i="88" s="1"/>
  <c r="AI287" i="88" s="1"/>
  <c r="AH546" i="88"/>
  <c r="AH287" i="88" s="1"/>
  <c r="AU191" i="90"/>
  <c r="AU189" i="90"/>
  <c r="AU190" i="90"/>
  <c r="AS248" i="90"/>
  <c r="AS238" i="90"/>
  <c r="AS247" i="90"/>
  <c r="AS258" i="90" s="1"/>
  <c r="AS260" i="90" s="1"/>
  <c r="AS415" i="90"/>
  <c r="AP267" i="90"/>
  <c r="AP377" i="90" s="1"/>
  <c r="AP268" i="90"/>
  <c r="AI444" i="90"/>
  <c r="N299" i="56"/>
  <c r="N306" i="56" s="1"/>
  <c r="N313" i="56" s="1"/>
  <c r="O382" i="56"/>
  <c r="N551" i="56"/>
  <c r="O569" i="56" s="1"/>
  <c r="O589" i="56" s="1"/>
  <c r="O591" i="56" s="1"/>
  <c r="O249" i="56" s="1"/>
  <c r="O355" i="56" s="1"/>
  <c r="AS470" i="90"/>
  <c r="AT797" i="90"/>
  <c r="AU212" i="90"/>
  <c r="AU235" i="90"/>
  <c r="AQ472" i="90"/>
  <c r="AP589" i="90"/>
  <c r="AP606" i="90"/>
  <c r="Z66" i="57"/>
  <c r="AA66" i="57" s="1"/>
  <c r="Z36" i="57"/>
  <c r="Z65" i="57" s="1"/>
  <c r="AA34" i="57"/>
  <c r="AA36" i="57" s="1"/>
  <c r="AA65" i="57" s="1"/>
  <c r="AC772" i="90"/>
  <c r="AP338" i="90"/>
  <c r="AP339" i="90" s="1"/>
  <c r="AP323" i="90"/>
  <c r="AP324" i="90" s="1"/>
  <c r="AP343" i="90"/>
  <c r="AP344" i="90" s="1"/>
  <c r="AP328" i="90"/>
  <c r="AP329" i="90" s="1"/>
  <c r="AP348" i="90"/>
  <c r="AP349" i="90" s="1"/>
  <c r="AP333" i="90"/>
  <c r="AP334" i="90" s="1"/>
  <c r="AP353" i="90"/>
  <c r="AP354" i="90" s="1"/>
  <c r="AI483" i="88"/>
  <c r="AI488" i="88" s="1"/>
  <c r="AH523" i="88"/>
  <c r="AH524" i="88" s="1"/>
  <c r="AH275" i="88"/>
  <c r="O568" i="56"/>
  <c r="O582" i="56" s="1"/>
  <c r="O583" i="56" s="1"/>
  <c r="O587" i="56" s="1"/>
  <c r="O248" i="56" s="1"/>
  <c r="O544" i="56"/>
  <c r="N322" i="56"/>
  <c r="N326" i="56" s="1"/>
  <c r="AU210" i="90"/>
  <c r="AU211" i="90" s="1"/>
  <c r="AU136" i="90"/>
  <c r="AA760" i="90"/>
  <c r="Z777" i="90"/>
  <c r="Z789" i="90" s="1"/>
  <c r="AP571" i="90"/>
  <c r="AP594" i="90" s="1"/>
  <c r="AP570" i="90"/>
  <c r="AP581" i="90" s="1"/>
  <c r="AP583" i="90" s="1"/>
  <c r="AP584" i="90" s="1"/>
  <c r="AP590" i="90" s="1"/>
  <c r="AP462" i="90" s="1"/>
  <c r="AP569" i="90"/>
  <c r="AP592" i="90" s="1"/>
  <c r="AP602" i="90"/>
  <c r="AP607" i="90" s="1"/>
  <c r="AP483" i="90" s="1"/>
  <c r="AR364" i="90"/>
  <c r="AR375" i="90"/>
  <c r="AR286" i="90"/>
  <c r="AR361" i="90"/>
  <c r="AR400" i="90" s="1"/>
  <c r="AR401" i="90" s="1"/>
  <c r="AR412" i="90"/>
  <c r="AT239" i="90"/>
  <c r="AT259" i="90"/>
  <c r="AS666" i="90"/>
  <c r="AR706" i="90"/>
  <c r="AS691" i="90" s="1"/>
  <c r="AS701" i="90" s="1"/>
  <c r="AU664" i="90"/>
  <c r="Y500" i="90"/>
  <c r="Z498" i="90"/>
  <c r="AU710" i="90"/>
  <c r="AN593" i="90"/>
  <c r="AN597" i="90" s="1"/>
  <c r="AN598" i="90" s="1"/>
  <c r="AR368" i="90"/>
  <c r="AR293" i="90"/>
  <c r="AR724" i="90"/>
  <c r="AQ780" i="90"/>
  <c r="AR759" i="90" s="1"/>
  <c r="AR773" i="90" s="1"/>
  <c r="AQ267" i="90"/>
  <c r="AQ377" i="90" s="1"/>
  <c r="AQ268" i="90"/>
  <c r="AT209" i="90"/>
  <c r="AT252" i="90" s="1"/>
  <c r="AT253" i="90"/>
  <c r="AQ721" i="90"/>
  <c r="AQ469" i="90" s="1"/>
  <c r="AR722" i="90"/>
  <c r="AU726" i="90"/>
  <c r="AU667" i="90"/>
  <c r="AT707" i="90"/>
  <c r="AU692" i="90" s="1"/>
  <c r="AU702" i="90" s="1"/>
  <c r="AO422" i="90"/>
  <c r="AO376" i="90"/>
  <c r="AO290" i="90"/>
  <c r="AO367" i="90"/>
  <c r="AO371" i="90" s="1"/>
  <c r="AO308" i="90"/>
  <c r="AO309" i="90" s="1"/>
  <c r="U260" i="92"/>
  <c r="U265" i="92" s="1"/>
  <c r="U267" i="92" s="1"/>
  <c r="U270" i="92" s="1"/>
  <c r="U433" i="92"/>
  <c r="U435" i="92"/>
  <c r="AH280" i="88"/>
  <c r="AH462" i="88"/>
  <c r="AH463" i="88" s="1"/>
  <c r="AH464" i="88" s="1"/>
  <c r="AH320" i="88" s="1"/>
  <c r="AH321" i="88" s="1"/>
  <c r="AH283" i="88"/>
  <c r="AI461" i="88"/>
  <c r="AI282" i="88" s="1"/>
  <c r="AI460" i="88"/>
  <c r="AI281" i="88"/>
  <c r="AI449" i="88"/>
  <c r="AI451" i="88" s="1"/>
  <c r="AI452" i="88" s="1"/>
  <c r="AI319" i="88" s="1"/>
  <c r="AG284" i="88"/>
  <c r="O281" i="64"/>
  <c r="O44" i="57"/>
  <c r="O76" i="57" s="1"/>
  <c r="N258" i="64"/>
  <c r="O179" i="64"/>
  <c r="O180" i="64" s="1"/>
  <c r="N331" i="47"/>
  <c r="N339" i="47" s="1"/>
  <c r="N343" i="47"/>
  <c r="N344" i="47" s="1"/>
  <c r="N533" i="47"/>
  <c r="O551" i="47" s="1"/>
  <c r="N302" i="47"/>
  <c r="N309" i="47" s="1"/>
  <c r="N318" i="47" s="1"/>
  <c r="O388" i="47"/>
  <c r="O506" i="47" s="1"/>
  <c r="O569" i="47"/>
  <c r="O251" i="47"/>
  <c r="O252" i="47" s="1"/>
  <c r="O277" i="47"/>
  <c r="O73" i="57"/>
  <c r="Q247" i="88" l="1"/>
  <c r="Q324" i="88" s="1"/>
  <c r="Q325" i="88" s="1"/>
  <c r="Q334" i="88" s="1"/>
  <c r="AN290" i="90"/>
  <c r="AN308" i="90"/>
  <c r="AN309" i="90" s="1"/>
  <c r="AN367" i="90"/>
  <c r="AN371" i="90" s="1"/>
  <c r="AT301" i="90"/>
  <c r="AT368" i="90" s="1"/>
  <c r="AN422" i="90"/>
  <c r="AD705" i="90"/>
  <c r="AD698" i="90"/>
  <c r="AT413" i="90"/>
  <c r="AT238" i="90"/>
  <c r="AT375" i="90" s="1"/>
  <c r="N330" i="56"/>
  <c r="N332" i="56" s="1"/>
  <c r="AP356" i="90"/>
  <c r="AP288" i="90" s="1"/>
  <c r="AP289" i="90" s="1"/>
  <c r="AP290" i="90" s="1"/>
  <c r="AO598" i="90"/>
  <c r="AO379" i="90" s="1"/>
  <c r="AO380" i="90" s="1"/>
  <c r="AO390" i="90" s="1"/>
  <c r="AO392" i="90" s="1"/>
  <c r="AT415" i="90"/>
  <c r="AU854" i="90"/>
  <c r="AU868" i="90" s="1"/>
  <c r="AT247" i="90"/>
  <c r="AT258" i="90" s="1"/>
  <c r="AT260" i="90" s="1"/>
  <c r="AP591" i="90"/>
  <c r="AQ591" i="90" s="1"/>
  <c r="AQ461" i="90" s="1"/>
  <c r="AS471" i="90"/>
  <c r="AS783" i="90"/>
  <c r="AT762" i="90" s="1"/>
  <c r="AT776" i="90" s="1"/>
  <c r="AT727" i="90"/>
  <c r="AQ595" i="90"/>
  <c r="AQ482" i="90"/>
  <c r="AU209" i="90"/>
  <c r="AU252" i="90" s="1"/>
  <c r="AU253" i="90"/>
  <c r="AU674" i="90"/>
  <c r="AU797" i="90"/>
  <c r="AU470" i="90" s="1"/>
  <c r="AT470" i="90"/>
  <c r="AA756" i="90"/>
  <c r="AA785" i="90" s="1"/>
  <c r="AA430" i="90" s="1"/>
  <c r="AA774" i="90"/>
  <c r="AQ366" i="90"/>
  <c r="AQ460" i="90"/>
  <c r="AP782" i="90"/>
  <c r="AQ761" i="90" s="1"/>
  <c r="AQ775" i="90" s="1"/>
  <c r="AS375" i="90"/>
  <c r="AS361" i="90"/>
  <c r="AS400" i="90" s="1"/>
  <c r="AS401" i="90" s="1"/>
  <c r="AS412" i="90"/>
  <c r="AS364" i="90"/>
  <c r="AS286" i="90"/>
  <c r="AN379" i="90"/>
  <c r="AN380" i="90" s="1"/>
  <c r="AN390" i="90" s="1"/>
  <c r="AN392" i="90" s="1"/>
  <c r="AN517" i="90"/>
  <c r="AU188" i="90"/>
  <c r="AR287" i="90"/>
  <c r="AR316" i="90" s="1"/>
  <c r="AR317" i="90" s="1"/>
  <c r="AR315" i="90"/>
  <c r="AF689" i="90"/>
  <c r="AU239" i="90"/>
  <c r="AU259" i="90"/>
  <c r="AQ484" i="90"/>
  <c r="AQ608" i="90"/>
  <c r="AU707" i="90"/>
  <c r="O525" i="56"/>
  <c r="AS293" i="90"/>
  <c r="AS368" i="90"/>
  <c r="AT364" i="90"/>
  <c r="AT361" i="90"/>
  <c r="AT400" i="90" s="1"/>
  <c r="AT401" i="90" s="1"/>
  <c r="AT412" i="90"/>
  <c r="AT286" i="90"/>
  <c r="AR569" i="90"/>
  <c r="AR592" i="90" s="1"/>
  <c r="AR602" i="90"/>
  <c r="AR607" i="90" s="1"/>
  <c r="AR483" i="90" s="1"/>
  <c r="AR570" i="90"/>
  <c r="AR581" i="90" s="1"/>
  <c r="AR583" i="90" s="1"/>
  <c r="AR584" i="90" s="1"/>
  <c r="AR590" i="90" s="1"/>
  <c r="AR462" i="90" s="1"/>
  <c r="AR571" i="90"/>
  <c r="AR594" i="90" s="1"/>
  <c r="AP595" i="90"/>
  <c r="AP482" i="90"/>
  <c r="AI523" i="88"/>
  <c r="AI524" i="88" s="1"/>
  <c r="AI275" i="88"/>
  <c r="AI578" i="88"/>
  <c r="AI592" i="88" s="1"/>
  <c r="AR721" i="90"/>
  <c r="AR469" i="90" s="1"/>
  <c r="AS722" i="90"/>
  <c r="AT370" i="90"/>
  <c r="AT426" i="90"/>
  <c r="AT425" i="90"/>
  <c r="AU639" i="90"/>
  <c r="AS706" i="90"/>
  <c r="AT691" i="90" s="1"/>
  <c r="AT701" i="90" s="1"/>
  <c r="AT666" i="90"/>
  <c r="AT725" i="90"/>
  <c r="AR560" i="90"/>
  <c r="AR418" i="90"/>
  <c r="AR814" i="90"/>
  <c r="AR838" i="90" s="1"/>
  <c r="AS266" i="90"/>
  <c r="AS561" i="90"/>
  <c r="AS416" i="90"/>
  <c r="AS675" i="90"/>
  <c r="AR673" i="90"/>
  <c r="AR786" i="90" s="1"/>
  <c r="AR473" i="90" s="1"/>
  <c r="AM393" i="90"/>
  <c r="AL310" i="90"/>
  <c r="AL311" i="90" s="1"/>
  <c r="AL295" i="90" s="1"/>
  <c r="AL292" i="90" s="1"/>
  <c r="AK423" i="90"/>
  <c r="AK261" i="90" s="1"/>
  <c r="AK262" i="90" s="1"/>
  <c r="AK420" i="90"/>
  <c r="AK428" i="90" s="1"/>
  <c r="AC779" i="90"/>
  <c r="AT665" i="90"/>
  <c r="AS663" i="90"/>
  <c r="N334" i="56"/>
  <c r="N335" i="56" s="1"/>
  <c r="Z72" i="57"/>
  <c r="AQ356" i="90"/>
  <c r="AQ288" i="90" s="1"/>
  <c r="AQ289" i="90" s="1"/>
  <c r="AU23" i="90"/>
  <c r="AR771" i="90"/>
  <c r="AR778" i="90" s="1"/>
  <c r="AJ444" i="90"/>
  <c r="AP366" i="90"/>
  <c r="AP460" i="90"/>
  <c r="AR780" i="90"/>
  <c r="AS759" i="90" s="1"/>
  <c r="AS773" i="90" s="1"/>
  <c r="AS724" i="90"/>
  <c r="AP484" i="90"/>
  <c r="AP608" i="90"/>
  <c r="AP609" i="90" s="1"/>
  <c r="AP610" i="90" s="1"/>
  <c r="AP518" i="90" s="1"/>
  <c r="AR267" i="90"/>
  <c r="AR377" i="90" s="1"/>
  <c r="AR268" i="90"/>
  <c r="Y833" i="90"/>
  <c r="O354" i="56"/>
  <c r="O358" i="56" s="1"/>
  <c r="O367" i="56" s="1"/>
  <c r="O251" i="56"/>
  <c r="AR472" i="90"/>
  <c r="AB717" i="90"/>
  <c r="AQ787" i="90"/>
  <c r="AA72" i="57"/>
  <c r="U186" i="92"/>
  <c r="U193" i="92" s="1"/>
  <c r="U200" i="92" s="1"/>
  <c r="U438" i="92"/>
  <c r="V456" i="92" s="1"/>
  <c r="V476" i="92" s="1"/>
  <c r="V478" i="92" s="1"/>
  <c r="V136" i="92" s="1"/>
  <c r="V242" i="92" s="1"/>
  <c r="V455" i="92"/>
  <c r="V469" i="92" s="1"/>
  <c r="V470" i="92" s="1"/>
  <c r="V474" i="92" s="1"/>
  <c r="V135" i="92" s="1"/>
  <c r="U209" i="92"/>
  <c r="V431" i="92"/>
  <c r="AH284" i="88"/>
  <c r="AI283" i="88"/>
  <c r="AI462" i="88"/>
  <c r="AI463" i="88" s="1"/>
  <c r="AI464" i="88" s="1"/>
  <c r="AI320" i="88" s="1"/>
  <c r="AI321" i="88" s="1"/>
  <c r="AI280" i="88"/>
  <c r="O364" i="47"/>
  <c r="O201" i="64"/>
  <c r="O207" i="64"/>
  <c r="O423" i="64"/>
  <c r="O430" i="64" s="1"/>
  <c r="O49" i="57"/>
  <c r="O77" i="57" s="1"/>
  <c r="O78" i="57" s="1"/>
  <c r="O282" i="64"/>
  <c r="O283" i="64" s="1"/>
  <c r="O571" i="47"/>
  <c r="O573" i="47" s="1"/>
  <c r="O278" i="47" s="1"/>
  <c r="O47" i="57"/>
  <c r="N341" i="47"/>
  <c r="Q248" i="88" l="1"/>
  <c r="Q294" i="88" s="1"/>
  <c r="R292" i="88" s="1"/>
  <c r="Q336" i="88"/>
  <c r="Q361" i="88"/>
  <c r="Q362" i="88" s="1"/>
  <c r="Q363" i="88" s="1"/>
  <c r="Q535" i="88"/>
  <c r="Q540" i="88" s="1"/>
  <c r="Q554" i="88" s="1"/>
  <c r="AT293" i="90"/>
  <c r="AT416" i="90"/>
  <c r="AD703" i="90"/>
  <c r="AE690" i="90"/>
  <c r="AT266" i="90"/>
  <c r="AT268" i="90" s="1"/>
  <c r="AT561" i="90"/>
  <c r="AT602" i="90" s="1"/>
  <c r="AT607" i="90" s="1"/>
  <c r="AT483" i="90" s="1"/>
  <c r="AP461" i="90"/>
  <c r="AP459" i="90" s="1"/>
  <c r="AQ593" i="90"/>
  <c r="AQ597" i="90" s="1"/>
  <c r="AP593" i="90"/>
  <c r="AP597" i="90" s="1"/>
  <c r="AP598" i="90" s="1"/>
  <c r="AP517" i="90" s="1"/>
  <c r="AP367" i="90"/>
  <c r="AP371" i="90" s="1"/>
  <c r="AP376" i="90"/>
  <c r="AO517" i="90"/>
  <c r="AP308" i="90"/>
  <c r="AP309" i="90" s="1"/>
  <c r="AP422" i="90"/>
  <c r="AU727" i="90"/>
  <c r="AT471" i="90"/>
  <c r="AT783" i="90"/>
  <c r="AU762" i="90" s="1"/>
  <c r="AU776" i="90" s="1"/>
  <c r="AK444" i="90"/>
  <c r="O255" i="56"/>
  <c r="O284" i="56"/>
  <c r="AT287" i="90"/>
  <c r="AT316" i="90" s="1"/>
  <c r="AT317" i="90" s="1"/>
  <c r="AT315" i="90"/>
  <c r="AB718" i="90"/>
  <c r="AS472" i="90"/>
  <c r="AS569" i="90"/>
  <c r="AS592" i="90" s="1"/>
  <c r="AS571" i="90"/>
  <c r="AS594" i="90" s="1"/>
  <c r="AS602" i="90"/>
  <c r="AS607" i="90" s="1"/>
  <c r="AS483" i="90" s="1"/>
  <c r="AS570" i="90"/>
  <c r="AS581" i="90" s="1"/>
  <c r="AS583" i="90" s="1"/>
  <c r="AS584" i="90" s="1"/>
  <c r="AS590" i="90" s="1"/>
  <c r="AS462" i="90" s="1"/>
  <c r="AT569" i="90"/>
  <c r="AT592" i="90" s="1"/>
  <c r="AR787" i="90"/>
  <c r="AU725" i="90"/>
  <c r="AR343" i="90"/>
  <c r="AR344" i="90" s="1"/>
  <c r="AR338" i="90"/>
  <c r="AR339" i="90" s="1"/>
  <c r="AR333" i="90"/>
  <c r="AR334" i="90" s="1"/>
  <c r="AR328" i="90"/>
  <c r="AR329" i="90" s="1"/>
  <c r="AR323" i="90"/>
  <c r="AR324" i="90" s="1"/>
  <c r="AR353" i="90"/>
  <c r="AR354" i="90" s="1"/>
  <c r="AR348" i="90"/>
  <c r="AR349" i="90" s="1"/>
  <c r="AR606" i="90"/>
  <c r="AR589" i="90"/>
  <c r="AQ487" i="90"/>
  <c r="AQ481" i="90"/>
  <c r="AS267" i="90"/>
  <c r="AS377" i="90" s="1"/>
  <c r="AS268" i="90"/>
  <c r="AS721" i="90"/>
  <c r="AS469" i="90" s="1"/>
  <c r="AT722" i="90"/>
  <c r="AF699" i="90"/>
  <c r="AU665" i="90"/>
  <c r="AT663" i="90"/>
  <c r="AU370" i="90"/>
  <c r="AU426" i="90"/>
  <c r="AU425" i="90"/>
  <c r="AT675" i="90"/>
  <c r="AS673" i="90"/>
  <c r="AS786" i="90" s="1"/>
  <c r="AS473" i="90" s="1"/>
  <c r="AR595" i="90"/>
  <c r="AR482" i="90"/>
  <c r="AS418" i="90"/>
  <c r="AS814" i="90"/>
  <c r="AS838" i="90" s="1"/>
  <c r="AS560" i="90"/>
  <c r="AR591" i="90"/>
  <c r="AR461" i="90" s="1"/>
  <c r="AQ609" i="90"/>
  <c r="AQ610" i="90" s="1"/>
  <c r="AQ518" i="90" s="1"/>
  <c r="AU413" i="90"/>
  <c r="AU11" i="90"/>
  <c r="AU301" i="90"/>
  <c r="AA781" i="90"/>
  <c r="AA770" i="90"/>
  <c r="AA788" i="90" s="1"/>
  <c r="AA475" i="90" s="1"/>
  <c r="AS771" i="90"/>
  <c r="AT706" i="90"/>
  <c r="AU691" i="90" s="1"/>
  <c r="AU701" i="90" s="1"/>
  <c r="AU666" i="90"/>
  <c r="Y834" i="90"/>
  <c r="Y538" i="90"/>
  <c r="Y540" i="90" s="1"/>
  <c r="Y542" i="90" s="1"/>
  <c r="Y545" i="90" s="1"/>
  <c r="O369" i="56"/>
  <c r="O521" i="56"/>
  <c r="O527" i="56" s="1"/>
  <c r="O541" i="56" s="1"/>
  <c r="O545" i="56" s="1"/>
  <c r="AT724" i="90"/>
  <c r="AS780" i="90"/>
  <c r="AT759" i="90" s="1"/>
  <c r="AT773" i="90" s="1"/>
  <c r="AQ376" i="90"/>
  <c r="AQ422" i="90"/>
  <c r="AQ290" i="90"/>
  <c r="AQ367" i="90"/>
  <c r="AQ371" i="90" s="1"/>
  <c r="AQ308" i="90"/>
  <c r="AQ309" i="90" s="1"/>
  <c r="AN393" i="90"/>
  <c r="AM310" i="90"/>
  <c r="AM311" i="90" s="1"/>
  <c r="AM295" i="90" s="1"/>
  <c r="AM292" i="90" s="1"/>
  <c r="AP487" i="90"/>
  <c r="AP481" i="90"/>
  <c r="AS315" i="90"/>
  <c r="AS287" i="90"/>
  <c r="AS316" i="90" s="1"/>
  <c r="AS317" i="90" s="1"/>
  <c r="Y836" i="90"/>
  <c r="AU248" i="90"/>
  <c r="AU238" i="90"/>
  <c r="AU247" i="90"/>
  <c r="AU258" i="90" s="1"/>
  <c r="AU260" i="90" s="1"/>
  <c r="AU415" i="90"/>
  <c r="AD758" i="90"/>
  <c r="AT418" i="90"/>
  <c r="AT560" i="90"/>
  <c r="AT814" i="90"/>
  <c r="AT838" i="90" s="1"/>
  <c r="AL423" i="90"/>
  <c r="AL261" i="90" s="1"/>
  <c r="AL262" i="90" s="1"/>
  <c r="AL420" i="90"/>
  <c r="AL428" i="90" s="1"/>
  <c r="AA516" i="90"/>
  <c r="AA432" i="90"/>
  <c r="AQ782" i="90"/>
  <c r="AR761" i="90" s="1"/>
  <c r="AR775" i="90" s="1"/>
  <c r="AQ459" i="90"/>
  <c r="V241" i="92"/>
  <c r="W39" i="57"/>
  <c r="V138" i="92"/>
  <c r="U213" i="92"/>
  <c r="U217" i="92" s="1"/>
  <c r="U219" i="92" s="1"/>
  <c r="U221" i="92"/>
  <c r="U222" i="92" s="1"/>
  <c r="AI284" i="88"/>
  <c r="O92" i="57"/>
  <c r="O93" i="57" s="1"/>
  <c r="O54" i="57"/>
  <c r="O138" i="57" s="1"/>
  <c r="O292" i="64"/>
  <c r="O365" i="47"/>
  <c r="O367" i="47" s="1"/>
  <c r="P422" i="64"/>
  <c r="O254" i="64"/>
  <c r="O281" i="47"/>
  <c r="Q558" i="88" l="1"/>
  <c r="Q561" i="88" s="1"/>
  <c r="AT570" i="90"/>
  <c r="AT581" i="90" s="1"/>
  <c r="AT583" i="90" s="1"/>
  <c r="AT584" i="90" s="1"/>
  <c r="AT590" i="90" s="1"/>
  <c r="AT462" i="90" s="1"/>
  <c r="AP379" i="90"/>
  <c r="AP380" i="90" s="1"/>
  <c r="AP390" i="90" s="1"/>
  <c r="AP392" i="90" s="1"/>
  <c r="AT571" i="90"/>
  <c r="AT594" i="90" s="1"/>
  <c r="AT595" i="90" s="1"/>
  <c r="AT267" i="90"/>
  <c r="AT377" i="90" s="1"/>
  <c r="AE688" i="90"/>
  <c r="AE700" i="90"/>
  <c r="AQ598" i="90"/>
  <c r="AQ379" i="90" s="1"/>
  <c r="AQ380" i="90" s="1"/>
  <c r="AQ390" i="90" s="1"/>
  <c r="AQ392" i="90" s="1"/>
  <c r="AS591" i="90"/>
  <c r="AT591" i="90" s="1"/>
  <c r="AT461" i="90" s="1"/>
  <c r="AU471" i="90"/>
  <c r="AU783" i="90"/>
  <c r="AR356" i="90"/>
  <c r="AR288" i="90" s="1"/>
  <c r="AR289" i="90" s="1"/>
  <c r="AR376" i="90" s="1"/>
  <c r="AS787" i="90"/>
  <c r="AS482" i="90"/>
  <c r="AS595" i="90"/>
  <c r="AO393" i="90"/>
  <c r="AN310" i="90"/>
  <c r="AN311" i="90" s="1"/>
  <c r="AN295" i="90" s="1"/>
  <c r="AN292" i="90" s="1"/>
  <c r="AM420" i="90"/>
  <c r="AM428" i="90" s="1"/>
  <c r="AM423" i="90"/>
  <c r="AM261" i="90" s="1"/>
  <c r="AM262" i="90" s="1"/>
  <c r="AS606" i="90"/>
  <c r="AS589" i="90"/>
  <c r="AR608" i="90"/>
  <c r="AR609" i="90" s="1"/>
  <c r="AR610" i="90" s="1"/>
  <c r="AR518" i="90" s="1"/>
  <c r="AR484" i="90"/>
  <c r="AR481" i="90" s="1"/>
  <c r="AA515" i="90"/>
  <c r="AA519" i="90" s="1"/>
  <c r="AA445" i="90"/>
  <c r="Z832" i="90"/>
  <c r="Y491" i="90"/>
  <c r="Y494" i="90" s="1"/>
  <c r="Y502" i="90" s="1"/>
  <c r="Z856" i="90"/>
  <c r="Z870" i="90" s="1"/>
  <c r="Z871" i="90" s="1"/>
  <c r="Z875" i="90" s="1"/>
  <c r="Z434" i="90" s="1"/>
  <c r="AF704" i="90"/>
  <c r="AR782" i="90"/>
  <c r="AS761" i="90" s="1"/>
  <c r="AS775" i="90" s="1"/>
  <c r="AU722" i="90"/>
  <c r="AT721" i="90"/>
  <c r="AT469" i="90" s="1"/>
  <c r="O499" i="56"/>
  <c r="O506" i="56" s="1"/>
  <c r="O282" i="56"/>
  <c r="O276" i="56"/>
  <c r="AR460" i="90"/>
  <c r="AR459" i="90" s="1"/>
  <c r="AR366" i="90"/>
  <c r="AR593" i="90"/>
  <c r="AR597" i="90" s="1"/>
  <c r="AR598" i="90" s="1"/>
  <c r="AS338" i="90"/>
  <c r="AS339" i="90" s="1"/>
  <c r="AS353" i="90"/>
  <c r="AS354" i="90" s="1"/>
  <c r="AS348" i="90"/>
  <c r="AS349" i="90" s="1"/>
  <c r="AS343" i="90"/>
  <c r="AS344" i="90" s="1"/>
  <c r="AS323" i="90"/>
  <c r="AS324" i="90" s="1"/>
  <c r="AS333" i="90"/>
  <c r="AS334" i="90" s="1"/>
  <c r="AS328" i="90"/>
  <c r="AS329" i="90" s="1"/>
  <c r="AU412" i="90"/>
  <c r="AU364" i="90"/>
  <c r="AU375" i="90"/>
  <c r="AU361" i="90"/>
  <c r="AU400" i="90" s="1"/>
  <c r="AU401" i="90" s="1"/>
  <c r="AU286" i="90"/>
  <c r="O548" i="56"/>
  <c r="O373" i="56"/>
  <c r="O378" i="56" s="1"/>
  <c r="O380" i="56" s="1"/>
  <c r="O546" i="56"/>
  <c r="AU663" i="90"/>
  <c r="AU724" i="90"/>
  <c r="AT780" i="90"/>
  <c r="AU759" i="90" s="1"/>
  <c r="AU773" i="90" s="1"/>
  <c r="AD772" i="90"/>
  <c r="AU675" i="90"/>
  <c r="AU673" i="90" s="1"/>
  <c r="AU786" i="90" s="1"/>
  <c r="AU473" i="90" s="1"/>
  <c r="AT673" i="90"/>
  <c r="AT786" i="90" s="1"/>
  <c r="AT473" i="90" s="1"/>
  <c r="AT606" i="90"/>
  <c r="AT589" i="90"/>
  <c r="AL444" i="90"/>
  <c r="AT323" i="90"/>
  <c r="AT324" i="90" s="1"/>
  <c r="AT353" i="90"/>
  <c r="AT354" i="90" s="1"/>
  <c r="AT348" i="90"/>
  <c r="AT349" i="90" s="1"/>
  <c r="AT328" i="90"/>
  <c r="AT329" i="90" s="1"/>
  <c r="AT333" i="90"/>
  <c r="AT334" i="90" s="1"/>
  <c r="AT338" i="90"/>
  <c r="AT339" i="90" s="1"/>
  <c r="AT343" i="90"/>
  <c r="AT344" i="90" s="1"/>
  <c r="Z544" i="90"/>
  <c r="Z812" i="90" s="1"/>
  <c r="Y839" i="90"/>
  <c r="Z857" i="90" s="1"/>
  <c r="Z877" i="90" s="1"/>
  <c r="Z879" i="90" s="1"/>
  <c r="Y458" i="90"/>
  <c r="Y463" i="90" s="1"/>
  <c r="Y478" i="90" s="1"/>
  <c r="X881" i="90"/>
  <c r="AC715" i="90"/>
  <c r="AU368" i="90"/>
  <c r="AU293" i="90"/>
  <c r="AT472" i="90"/>
  <c r="AU561" i="90"/>
  <c r="AU416" i="90"/>
  <c r="AU266" i="90"/>
  <c r="AB760" i="90"/>
  <c r="AA777" i="90"/>
  <c r="AA789" i="90" s="1"/>
  <c r="AT771" i="90"/>
  <c r="AT778" i="90" s="1"/>
  <c r="AU706" i="90"/>
  <c r="AS778" i="90"/>
  <c r="W74" i="57"/>
  <c r="V140" i="92"/>
  <c r="V142" i="92" s="1"/>
  <c r="O284" i="47"/>
  <c r="O286" i="47"/>
  <c r="O376" i="47"/>
  <c r="O471" i="64"/>
  <c r="O477" i="64" s="1"/>
  <c r="O491" i="64" s="1"/>
  <c r="O294" i="64"/>
  <c r="AT482" i="90" l="1"/>
  <c r="Q340" i="88"/>
  <c r="Q343" i="88" s="1"/>
  <c r="Q345" i="88" s="1"/>
  <c r="Q348" i="88" s="1"/>
  <c r="Q559" i="88"/>
  <c r="AQ517" i="90"/>
  <c r="AE705" i="90"/>
  <c r="AE698" i="90"/>
  <c r="AS461" i="90"/>
  <c r="AR308" i="90"/>
  <c r="AR309" i="90" s="1"/>
  <c r="AR367" i="90"/>
  <c r="AR371" i="90" s="1"/>
  <c r="AR290" i="90"/>
  <c r="AR422" i="90"/>
  <c r="AS356" i="90"/>
  <c r="AS288" i="90" s="1"/>
  <c r="AS289" i="90" s="1"/>
  <c r="AU569" i="90"/>
  <c r="AU592" i="90" s="1"/>
  <c r="AU602" i="90"/>
  <c r="AU607" i="90" s="1"/>
  <c r="AU483" i="90" s="1"/>
  <c r="AU571" i="90"/>
  <c r="AU594" i="90" s="1"/>
  <c r="AU570" i="90"/>
  <c r="AU581" i="90" s="1"/>
  <c r="AU583" i="90" s="1"/>
  <c r="AU584" i="90" s="1"/>
  <c r="AU590" i="90" s="1"/>
  <c r="AU462" i="90" s="1"/>
  <c r="AS484" i="90"/>
  <c r="AS481" i="90" s="1"/>
  <c r="AS608" i="90"/>
  <c r="AS609" i="90" s="1"/>
  <c r="AS610" i="90" s="1"/>
  <c r="AS518" i="90" s="1"/>
  <c r="AU267" i="90"/>
  <c r="AU268" i="90"/>
  <c r="AD779" i="90"/>
  <c r="AU472" i="90"/>
  <c r="AS460" i="90"/>
  <c r="AS366" i="90"/>
  <c r="AS593" i="90"/>
  <c r="AS597" i="90" s="1"/>
  <c r="AS598" i="90" s="1"/>
  <c r="AU771" i="90"/>
  <c r="AU778" i="90" s="1"/>
  <c r="AU814" i="90"/>
  <c r="AU838" i="90" s="1"/>
  <c r="AU560" i="90"/>
  <c r="AU418" i="90"/>
  <c r="Z40" i="57"/>
  <c r="Z520" i="90"/>
  <c r="Z437" i="90"/>
  <c r="AC717" i="90"/>
  <c r="AR379" i="90"/>
  <c r="AR380" i="90" s="1"/>
  <c r="AR390" i="90" s="1"/>
  <c r="AR392" i="90" s="1"/>
  <c r="AR517" i="90"/>
  <c r="AP393" i="90"/>
  <c r="AO310" i="90"/>
  <c r="AO311" i="90" s="1"/>
  <c r="AO295" i="90" s="1"/>
  <c r="AO292" i="90" s="1"/>
  <c r="AT484" i="90"/>
  <c r="AT608" i="90"/>
  <c r="AU315" i="90"/>
  <c r="AU287" i="90"/>
  <c r="AU316" i="90" s="1"/>
  <c r="AU317" i="90" s="1"/>
  <c r="AG689" i="90"/>
  <c r="AT366" i="90"/>
  <c r="AT460" i="90"/>
  <c r="AT459" i="90" s="1"/>
  <c r="AT593" i="90"/>
  <c r="AT597" i="90" s="1"/>
  <c r="AM444" i="90"/>
  <c r="P161" i="57"/>
  <c r="O383" i="56"/>
  <c r="P568" i="56"/>
  <c r="P582" i="56" s="1"/>
  <c r="P583" i="56" s="1"/>
  <c r="P587" i="56" s="1"/>
  <c r="P248" i="56" s="1"/>
  <c r="O322" i="56"/>
  <c r="O326" i="56" s="1"/>
  <c r="P544" i="56"/>
  <c r="AU780" i="90"/>
  <c r="AR487" i="90"/>
  <c r="AU721" i="90"/>
  <c r="AU469" i="90" s="1"/>
  <c r="AB756" i="90"/>
  <c r="AB785" i="90" s="1"/>
  <c r="AB430" i="90" s="1"/>
  <c r="AB774" i="90"/>
  <c r="O328" i="56"/>
  <c r="P498" i="56"/>
  <c r="AN423" i="90"/>
  <c r="AN261" i="90" s="1"/>
  <c r="AN262" i="90" s="1"/>
  <c r="AN420" i="90"/>
  <c r="AN428" i="90" s="1"/>
  <c r="AS782" i="90"/>
  <c r="AT761" i="90" s="1"/>
  <c r="AT775" i="90" s="1"/>
  <c r="Y504" i="90"/>
  <c r="AT787" i="90"/>
  <c r="AT356" i="90"/>
  <c r="AT288" i="90" s="1"/>
  <c r="AT289" i="90" s="1"/>
  <c r="V163" i="92"/>
  <c r="V386" i="92"/>
  <c r="V393" i="92" s="1"/>
  <c r="V169" i="92"/>
  <c r="V243" i="92"/>
  <c r="V245" i="92" s="1"/>
  <c r="W50" i="57"/>
  <c r="O335" i="47"/>
  <c r="P333" i="47" s="1"/>
  <c r="O450" i="47"/>
  <c r="O452" i="47" s="1"/>
  <c r="O378" i="47"/>
  <c r="O504" i="47"/>
  <c r="O509" i="47" s="1"/>
  <c r="O523" i="47" s="1"/>
  <c r="O495" i="64"/>
  <c r="O498" i="64" s="1"/>
  <c r="AT487" i="90" l="1"/>
  <c r="R557" i="88"/>
  <c r="Q286" i="88"/>
  <c r="Q290" i="88" s="1"/>
  <c r="Q298" i="88" s="1"/>
  <c r="R581" i="88"/>
  <c r="R595" i="88" s="1"/>
  <c r="R596" i="88" s="1"/>
  <c r="R600" i="88" s="1"/>
  <c r="Q266" i="88"/>
  <c r="Q273" i="88" s="1"/>
  <c r="Q277" i="88" s="1"/>
  <c r="R347" i="88"/>
  <c r="R537" i="88" s="1"/>
  <c r="Q564" i="88"/>
  <c r="R582" i="88" s="1"/>
  <c r="AS459" i="90"/>
  <c r="AF690" i="90"/>
  <c r="AE703" i="90"/>
  <c r="AU787" i="90"/>
  <c r="AS487" i="90"/>
  <c r="AT609" i="90"/>
  <c r="AT610" i="90" s="1"/>
  <c r="AT518" i="90" s="1"/>
  <c r="AT481" i="90"/>
  <c r="O330" i="56"/>
  <c r="AU482" i="90"/>
  <c r="AU595" i="90"/>
  <c r="AT782" i="90"/>
  <c r="AU761" i="90" s="1"/>
  <c r="AU775" i="90" s="1"/>
  <c r="AU782" i="90" s="1"/>
  <c r="AS367" i="90"/>
  <c r="AS371" i="90" s="1"/>
  <c r="AS422" i="90"/>
  <c r="AS376" i="90"/>
  <c r="AS290" i="90"/>
  <c r="AS308" i="90"/>
  <c r="AS309" i="90" s="1"/>
  <c r="O299" i="56"/>
  <c r="O306" i="56" s="1"/>
  <c r="O313" i="56" s="1"/>
  <c r="P382" i="56"/>
  <c r="O551" i="56"/>
  <c r="P569" i="56" s="1"/>
  <c r="P589" i="56" s="1"/>
  <c r="P591" i="56" s="1"/>
  <c r="P249" i="56" s="1"/>
  <c r="P355" i="56" s="1"/>
  <c r="AN444" i="90"/>
  <c r="AO423" i="90"/>
  <c r="AO261" i="90" s="1"/>
  <c r="AO262" i="90" s="1"/>
  <c r="AO420" i="90"/>
  <c r="AO428" i="90" s="1"/>
  <c r="AQ393" i="90"/>
  <c r="AP310" i="90"/>
  <c r="AP311" i="90" s="1"/>
  <c r="AP295" i="90" s="1"/>
  <c r="AP292" i="90" s="1"/>
  <c r="AU338" i="90"/>
  <c r="AU339" i="90" s="1"/>
  <c r="AU333" i="90"/>
  <c r="AU334" i="90" s="1"/>
  <c r="AU353" i="90"/>
  <c r="AU354" i="90" s="1"/>
  <c r="AU348" i="90"/>
  <c r="AU349" i="90" s="1"/>
  <c r="AU323" i="90"/>
  <c r="AU324" i="90" s="1"/>
  <c r="AU328" i="90"/>
  <c r="AU329" i="90" s="1"/>
  <c r="AU343" i="90"/>
  <c r="AU344" i="90" s="1"/>
  <c r="AS517" i="90"/>
  <c r="AS379" i="90"/>
  <c r="AT376" i="90"/>
  <c r="AT367" i="90"/>
  <c r="AT371" i="90" s="1"/>
  <c r="AT422" i="90"/>
  <c r="AT290" i="90"/>
  <c r="AT308" i="90"/>
  <c r="AT309" i="90" s="1"/>
  <c r="AU377" i="90"/>
  <c r="AU591" i="90"/>
  <c r="AV591" i="90" s="1"/>
  <c r="AG699" i="90"/>
  <c r="AU589" i="90"/>
  <c r="AU606" i="90"/>
  <c r="AA40" i="57"/>
  <c r="Z75" i="57"/>
  <c r="AE758" i="90"/>
  <c r="P354" i="56"/>
  <c r="AB781" i="90"/>
  <c r="AB770" i="90"/>
  <c r="AB788" i="90" s="1"/>
  <c r="AB475" i="90" s="1"/>
  <c r="AT598" i="90"/>
  <c r="Z439" i="90"/>
  <c r="Z440" i="90" s="1"/>
  <c r="O334" i="56"/>
  <c r="O335" i="56" s="1"/>
  <c r="AB516" i="90"/>
  <c r="AB432" i="90"/>
  <c r="AC718" i="90"/>
  <c r="V215" i="92"/>
  <c r="W385" i="92"/>
  <c r="V254" i="92"/>
  <c r="W170" i="57"/>
  <c r="O527" i="47"/>
  <c r="O298" i="64"/>
  <c r="O496" i="64"/>
  <c r="Q300" i="88" l="1"/>
  <c r="R602" i="88"/>
  <c r="R604" i="88" s="1"/>
  <c r="R243" i="88" s="1"/>
  <c r="AF700" i="90"/>
  <c r="AF688" i="90"/>
  <c r="AS380" i="90"/>
  <c r="AS390" i="90" s="1"/>
  <c r="AS392" i="90" s="1"/>
  <c r="O332" i="56"/>
  <c r="P251" i="56"/>
  <c r="P284" i="56" s="1"/>
  <c r="P358" i="56"/>
  <c r="P367" i="56" s="1"/>
  <c r="P521" i="56" s="1"/>
  <c r="AP423" i="90"/>
  <c r="AP261" i="90" s="1"/>
  <c r="AP262" i="90" s="1"/>
  <c r="AP420" i="90"/>
  <c r="AP428" i="90" s="1"/>
  <c r="AB445" i="90"/>
  <c r="AB515" i="90"/>
  <c r="AB519" i="90" s="1"/>
  <c r="AE772" i="90"/>
  <c r="AQ310" i="90"/>
  <c r="AQ311" i="90" s="1"/>
  <c r="AQ295" i="90" s="1"/>
  <c r="AQ292" i="90" s="1"/>
  <c r="AR393" i="90"/>
  <c r="Z446" i="90"/>
  <c r="Z499" i="90"/>
  <c r="P525" i="56"/>
  <c r="Z522" i="90"/>
  <c r="Z523" i="90" s="1"/>
  <c r="Z532" i="90" s="1"/>
  <c r="Z52" i="57"/>
  <c r="Z442" i="90"/>
  <c r="AG704" i="90"/>
  <c r="AU366" i="90"/>
  <c r="AU460" i="90"/>
  <c r="AU593" i="90"/>
  <c r="AU597" i="90" s="1"/>
  <c r="AU598" i="90" s="1"/>
  <c r="AU608" i="90"/>
  <c r="AU609" i="90" s="1"/>
  <c r="AU610" i="90" s="1"/>
  <c r="AU518" i="90" s="1"/>
  <c r="AU484" i="90"/>
  <c r="AU481" i="90" s="1"/>
  <c r="AU461" i="90"/>
  <c r="AD715" i="90"/>
  <c r="AC760" i="90"/>
  <c r="AB777" i="90"/>
  <c r="AB789" i="90" s="1"/>
  <c r="AT517" i="90"/>
  <c r="AT379" i="90"/>
  <c r="AT380" i="90" s="1"/>
  <c r="AT390" i="90" s="1"/>
  <c r="AT392" i="90" s="1"/>
  <c r="Z174" i="57"/>
  <c r="AA174" i="57" s="1"/>
  <c r="AA75" i="57"/>
  <c r="AO444" i="90"/>
  <c r="AU356" i="90"/>
  <c r="AU288" i="90" s="1"/>
  <c r="AU289" i="90" s="1"/>
  <c r="V408" i="92"/>
  <c r="V414" i="92" s="1"/>
  <c r="V428" i="92" s="1"/>
  <c r="V256" i="92"/>
  <c r="O304" i="64"/>
  <c r="O306" i="64" s="1"/>
  <c r="O309" i="64" s="1"/>
  <c r="O96" i="57"/>
  <c r="O109" i="57" s="1"/>
  <c r="O110" i="57" s="1"/>
  <c r="P518" i="64"/>
  <c r="P532" i="64" s="1"/>
  <c r="P533" i="64" s="1"/>
  <c r="P537" i="64" s="1"/>
  <c r="P174" i="64" s="1"/>
  <c r="P494" i="64"/>
  <c r="O248" i="64"/>
  <c r="O382" i="47"/>
  <c r="O528" i="47"/>
  <c r="O530" i="47"/>
  <c r="R245" i="88" l="1"/>
  <c r="R323" i="88"/>
  <c r="AF698" i="90"/>
  <c r="AF705" i="90"/>
  <c r="AU487" i="90"/>
  <c r="P255" i="56"/>
  <c r="P499" i="56" s="1"/>
  <c r="P506" i="56" s="1"/>
  <c r="P369" i="56"/>
  <c r="AQ420" i="90"/>
  <c r="AQ428" i="90" s="1"/>
  <c r="AQ423" i="90"/>
  <c r="AQ261" i="90" s="1"/>
  <c r="AQ262" i="90" s="1"/>
  <c r="AC756" i="90"/>
  <c r="AC785" i="90" s="1"/>
  <c r="AC430" i="90" s="1"/>
  <c r="AC774" i="90"/>
  <c r="AS393" i="90"/>
  <c r="AR310" i="90"/>
  <c r="AR311" i="90" s="1"/>
  <c r="AR295" i="90" s="1"/>
  <c r="AR292" i="90" s="1"/>
  <c r="AU517" i="90"/>
  <c r="AU379" i="90"/>
  <c r="AA52" i="57"/>
  <c r="Z169" i="57"/>
  <c r="AA169" i="57" s="1"/>
  <c r="AU422" i="90"/>
  <c r="AU367" i="90"/>
  <c r="AU371" i="90" s="1"/>
  <c r="AU376" i="90"/>
  <c r="AU290" i="90"/>
  <c r="AU308" i="90"/>
  <c r="AU309" i="90" s="1"/>
  <c r="P527" i="56"/>
  <c r="P541" i="56" s="1"/>
  <c r="P545" i="56" s="1"/>
  <c r="AP444" i="90"/>
  <c r="Z534" i="90"/>
  <c r="Z810" i="90"/>
  <c r="Z815" i="90" s="1"/>
  <c r="Z829" i="90" s="1"/>
  <c r="AE779" i="90"/>
  <c r="AU459" i="90"/>
  <c r="AH689" i="90"/>
  <c r="AD717" i="90"/>
  <c r="Z500" i="90"/>
  <c r="AA498" i="90"/>
  <c r="V432" i="92"/>
  <c r="V435" i="92" s="1"/>
  <c r="P280" i="64"/>
  <c r="P176" i="64"/>
  <c r="O224" i="64"/>
  <c r="O231" i="64" s="1"/>
  <c r="O239" i="64" s="1"/>
  <c r="P308" i="64"/>
  <c r="P475" i="64" s="1"/>
  <c r="O501" i="64"/>
  <c r="P519" i="64" s="1"/>
  <c r="P539" i="64" s="1"/>
  <c r="P541" i="64" s="1"/>
  <c r="P175" i="64" s="1"/>
  <c r="O252" i="64"/>
  <c r="O256" i="64" s="1"/>
  <c r="O260" i="64"/>
  <c r="O261" i="64" s="1"/>
  <c r="P550" i="47"/>
  <c r="P564" i="47" s="1"/>
  <c r="P565" i="47" s="1"/>
  <c r="P526" i="47"/>
  <c r="O327" i="47"/>
  <c r="O384" i="47"/>
  <c r="O386" i="47" s="1"/>
  <c r="R247" i="88" l="1"/>
  <c r="R324" i="88" s="1"/>
  <c r="R325" i="88" s="1"/>
  <c r="R334" i="88" s="1"/>
  <c r="AG690" i="90"/>
  <c r="AF703" i="90"/>
  <c r="AU380" i="90"/>
  <c r="AU390" i="90" s="1"/>
  <c r="AU392" i="90" s="1"/>
  <c r="P282" i="56"/>
  <c r="P276" i="56"/>
  <c r="AC516" i="90"/>
  <c r="AC432" i="90"/>
  <c r="AQ444" i="90"/>
  <c r="AR420" i="90"/>
  <c r="AR428" i="90" s="1"/>
  <c r="AR423" i="90"/>
  <c r="AR261" i="90" s="1"/>
  <c r="AR262" i="90" s="1"/>
  <c r="AC781" i="90"/>
  <c r="AC770" i="90"/>
  <c r="AC788" i="90" s="1"/>
  <c r="AC475" i="90" s="1"/>
  <c r="AT393" i="90"/>
  <c r="AS310" i="90"/>
  <c r="AS311" i="90" s="1"/>
  <c r="AS295" i="90" s="1"/>
  <c r="AS292" i="90" s="1"/>
  <c r="AH699" i="90"/>
  <c r="T498" i="56"/>
  <c r="P328" i="56"/>
  <c r="Q498" i="56"/>
  <c r="Z833" i="90"/>
  <c r="Z836" i="90" s="1"/>
  <c r="AF758" i="90"/>
  <c r="AD718" i="90"/>
  <c r="P548" i="56"/>
  <c r="P373" i="56"/>
  <c r="P378" i="56" s="1"/>
  <c r="P380" i="56" s="1"/>
  <c r="P546" i="56"/>
  <c r="V260" i="92"/>
  <c r="V265" i="92" s="1"/>
  <c r="V267" i="92" s="1"/>
  <c r="V270" i="92" s="1"/>
  <c r="V433" i="92"/>
  <c r="P281" i="64"/>
  <c r="P283" i="64" s="1"/>
  <c r="P44" i="57"/>
  <c r="P160" i="57"/>
  <c r="O389" i="47"/>
  <c r="O258" i="64"/>
  <c r="P277" i="47"/>
  <c r="P251" i="47"/>
  <c r="P252" i="47" s="1"/>
  <c r="P569" i="47"/>
  <c r="O331" i="47"/>
  <c r="O339" i="47" s="1"/>
  <c r="O343" i="47"/>
  <c r="O344" i="47" s="1"/>
  <c r="P177" i="64"/>
  <c r="R248" i="88" l="1"/>
  <c r="R294" i="88" s="1"/>
  <c r="S292" i="88" s="1"/>
  <c r="R535" i="88"/>
  <c r="R540" i="88" s="1"/>
  <c r="R554" i="88" s="1"/>
  <c r="R558" i="88" s="1"/>
  <c r="R336" i="88"/>
  <c r="R361" i="88"/>
  <c r="R362" i="88" s="1"/>
  <c r="R363" i="88" s="1"/>
  <c r="AG688" i="90"/>
  <c r="AG700" i="90"/>
  <c r="AC515" i="90"/>
  <c r="AC519" i="90" s="1"/>
  <c r="AC445" i="90"/>
  <c r="AE715" i="90"/>
  <c r="AS420" i="90"/>
  <c r="AS428" i="90" s="1"/>
  <c r="AS423" i="90"/>
  <c r="AS261" i="90" s="1"/>
  <c r="AS262" i="90" s="1"/>
  <c r="P322" i="56"/>
  <c r="P326" i="56" s="1"/>
  <c r="P330" i="56" s="1"/>
  <c r="Q544" i="56"/>
  <c r="Q568" i="56"/>
  <c r="Q582" i="56" s="1"/>
  <c r="Q583" i="56" s="1"/>
  <c r="Q587" i="56" s="1"/>
  <c r="Q248" i="56" s="1"/>
  <c r="AR444" i="90"/>
  <c r="AD760" i="90"/>
  <c r="AC777" i="90"/>
  <c r="AC789" i="90" s="1"/>
  <c r="Q161" i="57"/>
  <c r="P383" i="56"/>
  <c r="AH704" i="90"/>
  <c r="Z538" i="90"/>
  <c r="Z540" i="90" s="1"/>
  <c r="Z542" i="90" s="1"/>
  <c r="Z545" i="90" s="1"/>
  <c r="Z834" i="90"/>
  <c r="AF772" i="90"/>
  <c r="AU393" i="90"/>
  <c r="AU310" i="90" s="1"/>
  <c r="AU311" i="90" s="1"/>
  <c r="AU295" i="90" s="1"/>
  <c r="AU292" i="90" s="1"/>
  <c r="AT310" i="90"/>
  <c r="AT311" i="90" s="1"/>
  <c r="AT295" i="90" s="1"/>
  <c r="AT292" i="90" s="1"/>
  <c r="W455" i="92"/>
  <c r="W469" i="92" s="1"/>
  <c r="W470" i="92" s="1"/>
  <c r="W474" i="92" s="1"/>
  <c r="W135" i="92" s="1"/>
  <c r="W431" i="92"/>
  <c r="V209" i="92"/>
  <c r="V186" i="92"/>
  <c r="V193" i="92" s="1"/>
  <c r="V200" i="92" s="1"/>
  <c r="V438" i="92"/>
  <c r="W456" i="92" s="1"/>
  <c r="W476" i="92" s="1"/>
  <c r="W478" i="92" s="1"/>
  <c r="W136" i="92" s="1"/>
  <c r="W242" i="92" s="1"/>
  <c r="P292" i="64"/>
  <c r="P364" i="47"/>
  <c r="P76" i="57"/>
  <c r="P78" i="57" s="1"/>
  <c r="P47" i="57"/>
  <c r="P54" i="57" s="1"/>
  <c r="P57" i="57" s="1"/>
  <c r="P388" i="47"/>
  <c r="P506" i="47" s="1"/>
  <c r="O533" i="47"/>
  <c r="P551" i="47" s="1"/>
  <c r="O302" i="47"/>
  <c r="O309" i="47" s="1"/>
  <c r="O318" i="47" s="1"/>
  <c r="O341" i="47" s="1"/>
  <c r="P180" i="64"/>
  <c r="P209" i="64"/>
  <c r="R561" i="88" l="1"/>
  <c r="R340" i="88"/>
  <c r="R343" i="88" s="1"/>
  <c r="R345" i="88" s="1"/>
  <c r="R348" i="88" s="1"/>
  <c r="R559" i="88"/>
  <c r="AG705" i="90"/>
  <c r="AG698" i="90"/>
  <c r="P334" i="56"/>
  <c r="P335" i="56" s="1"/>
  <c r="AI689" i="90"/>
  <c r="AA544" i="90"/>
  <c r="AA812" i="90" s="1"/>
  <c r="Z881" i="90"/>
  <c r="Z839" i="90"/>
  <c r="AA857" i="90" s="1"/>
  <c r="AA877" i="90" s="1"/>
  <c r="AA879" i="90" s="1"/>
  <c r="Z458" i="90"/>
  <c r="Z463" i="90" s="1"/>
  <c r="Z478" i="90" s="1"/>
  <c r="Y881" i="90"/>
  <c r="Z491" i="90"/>
  <c r="Z494" i="90" s="1"/>
  <c r="Z502" i="90" s="1"/>
  <c r="AA856" i="90"/>
  <c r="AA870" i="90" s="1"/>
  <c r="AA871" i="90" s="1"/>
  <c r="AA875" i="90" s="1"/>
  <c r="AA434" i="90" s="1"/>
  <c r="AA832" i="90"/>
  <c r="Q354" i="56"/>
  <c r="AD756" i="90"/>
  <c r="AD785" i="90" s="1"/>
  <c r="AD430" i="90" s="1"/>
  <c r="AD774" i="90"/>
  <c r="T382" i="56"/>
  <c r="T525" i="56" s="1"/>
  <c r="Q382" i="56"/>
  <c r="Q525" i="56" s="1"/>
  <c r="P299" i="56"/>
  <c r="P306" i="56" s="1"/>
  <c r="P313" i="56" s="1"/>
  <c r="P332" i="56" s="1"/>
  <c r="P551" i="56"/>
  <c r="AE717" i="90"/>
  <c r="AS444" i="90"/>
  <c r="AF779" i="90"/>
  <c r="AU420" i="90"/>
  <c r="AU428" i="90" s="1"/>
  <c r="AU423" i="90"/>
  <c r="AU261" i="90" s="1"/>
  <c r="AU262" i="90" s="1"/>
  <c r="AT420" i="90"/>
  <c r="AT428" i="90" s="1"/>
  <c r="AT423" i="90"/>
  <c r="AT261" i="90" s="1"/>
  <c r="AT262" i="90" s="1"/>
  <c r="W241" i="92"/>
  <c r="X39" i="57"/>
  <c r="W138" i="92"/>
  <c r="V213" i="92"/>
  <c r="V217" i="92" s="1"/>
  <c r="V219" i="92" s="1"/>
  <c r="V221" i="92"/>
  <c r="V222" i="92" s="1"/>
  <c r="P294" i="64"/>
  <c r="P471" i="64"/>
  <c r="P477" i="64" s="1"/>
  <c r="P491" i="64" s="1"/>
  <c r="P92" i="57"/>
  <c r="P93" i="57" s="1"/>
  <c r="P571" i="47"/>
  <c r="P573" i="47" s="1"/>
  <c r="P278" i="47" s="1"/>
  <c r="P201" i="64"/>
  <c r="P423" i="64"/>
  <c r="P430" i="64" s="1"/>
  <c r="P207" i="64"/>
  <c r="S581" i="88" l="1"/>
  <c r="S595" i="88" s="1"/>
  <c r="S596" i="88" s="1"/>
  <c r="S600" i="88" s="1"/>
  <c r="S557" i="88"/>
  <c r="R286" i="88"/>
  <c r="R290" i="88" s="1"/>
  <c r="R298" i="88" s="1"/>
  <c r="R266" i="88"/>
  <c r="R273" i="88" s="1"/>
  <c r="R277" i="88" s="1"/>
  <c r="S347" i="88"/>
  <c r="S537" i="88" s="1"/>
  <c r="R564" i="88"/>
  <c r="S582" i="88" s="1"/>
  <c r="AH690" i="90"/>
  <c r="AG703" i="90"/>
  <c r="Z504" i="90"/>
  <c r="AI699" i="90"/>
  <c r="T569" i="56"/>
  <c r="T589" i="56" s="1"/>
  <c r="T591" i="56" s="1"/>
  <c r="T249" i="56" s="1"/>
  <c r="Q569" i="56"/>
  <c r="Q589" i="56" s="1"/>
  <c r="Q591" i="56" s="1"/>
  <c r="Q249" i="56" s="1"/>
  <c r="AA520" i="90"/>
  <c r="AA437" i="90"/>
  <c r="AG758" i="90"/>
  <c r="AU444" i="90"/>
  <c r="AD516" i="90"/>
  <c r="AD432" i="90"/>
  <c r="AD781" i="90"/>
  <c r="AD770" i="90"/>
  <c r="AD788" i="90" s="1"/>
  <c r="AD475" i="90" s="1"/>
  <c r="AE718" i="90"/>
  <c r="AT444" i="90"/>
  <c r="X74" i="57"/>
  <c r="W140" i="92"/>
  <c r="W142" i="92" s="1"/>
  <c r="P495" i="64"/>
  <c r="P498" i="64" s="1"/>
  <c r="P365" i="47"/>
  <c r="P367" i="47" s="1"/>
  <c r="P281" i="47"/>
  <c r="P254" i="64"/>
  <c r="Q422" i="64"/>
  <c r="R300" i="88" l="1"/>
  <c r="S602" i="88"/>
  <c r="S604" i="88" s="1"/>
  <c r="S243" i="88" s="1"/>
  <c r="AH700" i="90"/>
  <c r="AH688" i="90"/>
  <c r="AF715" i="90"/>
  <c r="T355" i="56"/>
  <c r="T251" i="56"/>
  <c r="R249" i="56"/>
  <c r="S249" i="56" s="1"/>
  <c r="AI704" i="90"/>
  <c r="AD445" i="90"/>
  <c r="AD515" i="90"/>
  <c r="AD519" i="90" s="1"/>
  <c r="AG772" i="90"/>
  <c r="Q355" i="56"/>
  <c r="Q251" i="56"/>
  <c r="AE760" i="90"/>
  <c r="AD777" i="90"/>
  <c r="AD789" i="90" s="1"/>
  <c r="AA439" i="90"/>
  <c r="AA440" i="90" s="1"/>
  <c r="W169" i="92"/>
  <c r="W386" i="92"/>
  <c r="W393" i="92" s="1"/>
  <c r="W163" i="92"/>
  <c r="X50" i="57"/>
  <c r="W243" i="92"/>
  <c r="W245" i="92" s="1"/>
  <c r="P298" i="64"/>
  <c r="P496" i="64"/>
  <c r="P376" i="47"/>
  <c r="P286" i="47"/>
  <c r="P284" i="47"/>
  <c r="S245" i="88" l="1"/>
  <c r="S323" i="88"/>
  <c r="AH705" i="90"/>
  <c r="AH698" i="90"/>
  <c r="AA499" i="90"/>
  <c r="AA446" i="90"/>
  <c r="AF717" i="90"/>
  <c r="R251" i="56"/>
  <c r="S251" i="56" s="1"/>
  <c r="T253" i="56"/>
  <c r="AG779" i="90"/>
  <c r="Q253" i="56"/>
  <c r="AE756" i="90"/>
  <c r="AE785" i="90" s="1"/>
  <c r="AE430" i="90" s="1"/>
  <c r="AE774" i="90"/>
  <c r="AA522" i="90"/>
  <c r="AA523" i="90" s="1"/>
  <c r="AA532" i="90" s="1"/>
  <c r="AA442" i="90"/>
  <c r="AJ689" i="90"/>
  <c r="X170" i="57"/>
  <c r="W254" i="92"/>
  <c r="X385" i="92"/>
  <c r="W215" i="92"/>
  <c r="P304" i="64"/>
  <c r="P306" i="64" s="1"/>
  <c r="P96" i="57"/>
  <c r="P109" i="57" s="1"/>
  <c r="P110" i="57" s="1"/>
  <c r="P114" i="57" s="1"/>
  <c r="Q518" i="64"/>
  <c r="Q532" i="64" s="1"/>
  <c r="Q533" i="64" s="1"/>
  <c r="Q537" i="64" s="1"/>
  <c r="Q174" i="64" s="1"/>
  <c r="P248" i="64"/>
  <c r="Q494" i="64"/>
  <c r="P504" i="47"/>
  <c r="P509" i="47" s="1"/>
  <c r="P523" i="47" s="1"/>
  <c r="P378" i="47"/>
  <c r="P450" i="47"/>
  <c r="P452" i="47" s="1"/>
  <c r="P335" i="47"/>
  <c r="S247" i="88" l="1"/>
  <c r="S324" i="88" s="1"/>
  <c r="S325" i="88" s="1"/>
  <c r="S334" i="88" s="1"/>
  <c r="AI690" i="90"/>
  <c r="AH703" i="90"/>
  <c r="AH758" i="90"/>
  <c r="AJ699" i="90"/>
  <c r="Q284" i="56"/>
  <c r="U284" i="56" s="1"/>
  <c r="V284" i="56" s="1"/>
  <c r="W284" i="56" s="1"/>
  <c r="X284" i="56" s="1"/>
  <c r="Y284" i="56" s="1"/>
  <c r="Q356" i="56"/>
  <c r="Q358" i="56" s="1"/>
  <c r="Q367" i="56" s="1"/>
  <c r="AB498" i="90"/>
  <c r="AA500" i="90"/>
  <c r="AF718" i="90"/>
  <c r="Q255" i="56"/>
  <c r="AE516" i="90"/>
  <c r="AE432" i="90"/>
  <c r="AE781" i="90"/>
  <c r="AE770" i="90"/>
  <c r="AE788" i="90" s="1"/>
  <c r="AE475" i="90" s="1"/>
  <c r="T255" i="56"/>
  <c r="T356" i="56"/>
  <c r="T358" i="56" s="1"/>
  <c r="T367" i="56" s="1"/>
  <c r="T284" i="56"/>
  <c r="R253" i="56"/>
  <c r="S253" i="56" s="1"/>
  <c r="AA534" i="90"/>
  <c r="AA810" i="90"/>
  <c r="AA815" i="90" s="1"/>
  <c r="AA829" i="90" s="1"/>
  <c r="AA833" i="90" s="1"/>
  <c r="W408" i="92"/>
  <c r="W414" i="92" s="1"/>
  <c r="W428" i="92" s="1"/>
  <c r="W256" i="92"/>
  <c r="Q176" i="64"/>
  <c r="Q282" i="64" s="1"/>
  <c r="Q280" i="64"/>
  <c r="P252" i="64"/>
  <c r="P256" i="64" s="1"/>
  <c r="P260" i="64"/>
  <c r="P261" i="64" s="1"/>
  <c r="P527" i="47"/>
  <c r="P530" i="47" s="1"/>
  <c r="Q333" i="47"/>
  <c r="R333" i="47"/>
  <c r="P309" i="64"/>
  <c r="P162" i="57"/>
  <c r="P172" i="57" s="1"/>
  <c r="P176" i="57" s="1"/>
  <c r="P177" i="57" s="1"/>
  <c r="S336" i="88" l="1"/>
  <c r="S361" i="88"/>
  <c r="S362" i="88" s="1"/>
  <c r="S363" i="88" s="1"/>
  <c r="S535" i="88"/>
  <c r="S540" i="88" s="1"/>
  <c r="S554" i="88" s="1"/>
  <c r="S558" i="88" s="1"/>
  <c r="S248" i="88"/>
  <c r="S294" i="88" s="1"/>
  <c r="T292" i="88" s="1"/>
  <c r="AI700" i="90"/>
  <c r="AI688" i="90"/>
  <c r="AH772" i="90"/>
  <c r="U161" i="57"/>
  <c r="T369" i="56"/>
  <c r="T521" i="56"/>
  <c r="T527" i="56" s="1"/>
  <c r="T541" i="56" s="1"/>
  <c r="AG715" i="90"/>
  <c r="AA836" i="90"/>
  <c r="AA538" i="90"/>
  <c r="AA540" i="90" s="1"/>
  <c r="AA542" i="90" s="1"/>
  <c r="AA545" i="90" s="1"/>
  <c r="AA834" i="90"/>
  <c r="AE445" i="90"/>
  <c r="AE515" i="90"/>
  <c r="AE519" i="90" s="1"/>
  <c r="AJ704" i="90"/>
  <c r="Q276" i="56"/>
  <c r="Q499" i="56"/>
  <c r="Q506" i="56" s="1"/>
  <c r="Q282" i="56"/>
  <c r="T499" i="56"/>
  <c r="T506" i="56" s="1"/>
  <c r="T328" i="56" s="1"/>
  <c r="T276" i="56"/>
  <c r="R255" i="56"/>
  <c r="S255" i="56" s="1"/>
  <c r="Q521" i="56"/>
  <c r="Q527" i="56" s="1"/>
  <c r="Q541" i="56" s="1"/>
  <c r="Q369" i="56"/>
  <c r="AF760" i="90"/>
  <c r="AE777" i="90"/>
  <c r="AE789" i="90" s="1"/>
  <c r="W432" i="92"/>
  <c r="W435" i="92" s="1"/>
  <c r="P501" i="64"/>
  <c r="Q519" i="64" s="1"/>
  <c r="Q539" i="64" s="1"/>
  <c r="Q541" i="64" s="1"/>
  <c r="Q175" i="64" s="1"/>
  <c r="P224" i="64"/>
  <c r="P231" i="64" s="1"/>
  <c r="P239" i="64" s="1"/>
  <c r="P258" i="64" s="1"/>
  <c r="Q308" i="64"/>
  <c r="Q475" i="64" s="1"/>
  <c r="P382" i="47"/>
  <c r="P528" i="47"/>
  <c r="S561" i="88" l="1"/>
  <c r="S340" i="88"/>
  <c r="S343" i="88" s="1"/>
  <c r="S345" i="88" s="1"/>
  <c r="S348" i="88" s="1"/>
  <c r="S559" i="88"/>
  <c r="AI698" i="90"/>
  <c r="AI705" i="90"/>
  <c r="AH779" i="90"/>
  <c r="T161" i="57"/>
  <c r="S161" i="57"/>
  <c r="T545" i="56"/>
  <c r="AG717" i="90"/>
  <c r="AA881" i="90"/>
  <c r="AA839" i="90"/>
  <c r="AB857" i="90" s="1"/>
  <c r="AB877" i="90" s="1"/>
  <c r="AB879" i="90" s="1"/>
  <c r="AB544" i="90"/>
  <c r="AB812" i="90" s="1"/>
  <c r="AA458" i="90"/>
  <c r="AA463" i="90" s="1"/>
  <c r="AA478" i="90" s="1"/>
  <c r="Q328" i="56"/>
  <c r="U498" i="56"/>
  <c r="AF756" i="90"/>
  <c r="AF785" i="90" s="1"/>
  <c r="AF430" i="90" s="1"/>
  <c r="AF774" i="90"/>
  <c r="AA491" i="90"/>
  <c r="AA494" i="90" s="1"/>
  <c r="AA502" i="90" s="1"/>
  <c r="AB856" i="90"/>
  <c r="AB870" i="90" s="1"/>
  <c r="AB871" i="90" s="1"/>
  <c r="AB875" i="90" s="1"/>
  <c r="AB434" i="90" s="1"/>
  <c r="AB832" i="90"/>
  <c r="AK689" i="90"/>
  <c r="Q545" i="56"/>
  <c r="W260" i="92"/>
  <c r="W265" i="92" s="1"/>
  <c r="W267" i="92" s="1"/>
  <c r="W270" i="92" s="1"/>
  <c r="W433" i="92"/>
  <c r="Q281" i="64"/>
  <c r="Q283" i="64" s="1"/>
  <c r="Q44" i="57"/>
  <c r="Q177" i="64"/>
  <c r="P384" i="47"/>
  <c r="P386" i="47" s="1"/>
  <c r="Q550" i="47"/>
  <c r="Q564" i="47" s="1"/>
  <c r="Q565" i="47" s="1"/>
  <c r="P327" i="47"/>
  <c r="Q526" i="47"/>
  <c r="T557" i="88" l="1"/>
  <c r="S286" i="88"/>
  <c r="S290" i="88" s="1"/>
  <c r="S298" i="88" s="1"/>
  <c r="T581" i="88"/>
  <c r="T595" i="88" s="1"/>
  <c r="T596" i="88" s="1"/>
  <c r="T600" i="88" s="1"/>
  <c r="T347" i="88"/>
  <c r="T537" i="88" s="1"/>
  <c r="S266" i="88"/>
  <c r="S273" i="88" s="1"/>
  <c r="S277" i="88" s="1"/>
  <c r="S564" i="88"/>
  <c r="T582" i="88" s="1"/>
  <c r="AI703" i="90"/>
  <c r="AJ690" i="90"/>
  <c r="AF781" i="90"/>
  <c r="AF770" i="90"/>
  <c r="AF788" i="90" s="1"/>
  <c r="AF475" i="90" s="1"/>
  <c r="AB520" i="90"/>
  <c r="AB437" i="90"/>
  <c r="AK699" i="90"/>
  <c r="AA504" i="90"/>
  <c r="AI758" i="90"/>
  <c r="T546" i="56"/>
  <c r="T322" i="56" s="1"/>
  <c r="T373" i="56"/>
  <c r="T378" i="56" s="1"/>
  <c r="T380" i="56" s="1"/>
  <c r="Q546" i="56"/>
  <c r="Q373" i="56"/>
  <c r="Q378" i="56" s="1"/>
  <c r="Q380" i="56" s="1"/>
  <c r="AG718" i="90"/>
  <c r="T548" i="56"/>
  <c r="Q548" i="56"/>
  <c r="AF516" i="90"/>
  <c r="AF432" i="90"/>
  <c r="X455" i="92"/>
  <c r="X469" i="92" s="1"/>
  <c r="X470" i="92" s="1"/>
  <c r="X474" i="92" s="1"/>
  <c r="X135" i="92" s="1"/>
  <c r="X431" i="92"/>
  <c r="W209" i="92"/>
  <c r="W438" i="92"/>
  <c r="X456" i="92" s="1"/>
  <c r="X476" i="92" s="1"/>
  <c r="X478" i="92" s="1"/>
  <c r="X136" i="92" s="1"/>
  <c r="X242" i="92" s="1"/>
  <c r="W186" i="92"/>
  <c r="W193" i="92" s="1"/>
  <c r="W200" i="92" s="1"/>
  <c r="Q76" i="57"/>
  <c r="Q78" i="57" s="1"/>
  <c r="Q47" i="57"/>
  <c r="Q54" i="57" s="1"/>
  <c r="Q292" i="64"/>
  <c r="Q209" i="64"/>
  <c r="R209" i="64" s="1"/>
  <c r="Q180" i="64"/>
  <c r="Q160" i="57"/>
  <c r="P389" i="47"/>
  <c r="Q569" i="47"/>
  <c r="Q251" i="47"/>
  <c r="Q252" i="47" s="1"/>
  <c r="Q277" i="47"/>
  <c r="P331" i="47"/>
  <c r="P339" i="47" s="1"/>
  <c r="P343" i="47"/>
  <c r="P344" i="47" s="1"/>
  <c r="S300" i="88" l="1"/>
  <c r="T602" i="88"/>
  <c r="T604" i="88" s="1"/>
  <c r="T243" i="88" s="1"/>
  <c r="AJ700" i="90"/>
  <c r="AJ688" i="90"/>
  <c r="AG760" i="90"/>
  <c r="AF777" i="90"/>
  <c r="AF789" i="90" s="1"/>
  <c r="AB439" i="90"/>
  <c r="AI772" i="90"/>
  <c r="T326" i="56"/>
  <c r="T330" i="56" s="1"/>
  <c r="T334" i="56"/>
  <c r="T335" i="56" s="1"/>
  <c r="T383" i="56"/>
  <c r="T597" i="56"/>
  <c r="T602" i="56" s="1"/>
  <c r="T605" i="56" s="1"/>
  <c r="T606" i="56" s="1"/>
  <c r="U544" i="56"/>
  <c r="Q322" i="56"/>
  <c r="U568" i="56"/>
  <c r="U582" i="56" s="1"/>
  <c r="U583" i="56" s="1"/>
  <c r="U587" i="56" s="1"/>
  <c r="U248" i="56" s="1"/>
  <c r="AH715" i="90"/>
  <c r="AK704" i="90"/>
  <c r="R161" i="57"/>
  <c r="Q383" i="56"/>
  <c r="Q597" i="56"/>
  <c r="AF445" i="90"/>
  <c r="AF515" i="90"/>
  <c r="AF519" i="90" s="1"/>
  <c r="W213" i="92"/>
  <c r="W217" i="92" s="1"/>
  <c r="W219" i="92" s="1"/>
  <c r="W221" i="92"/>
  <c r="W222" i="92" s="1"/>
  <c r="Y39" i="57"/>
  <c r="X241" i="92"/>
  <c r="X138" i="92"/>
  <c r="Q92" i="57"/>
  <c r="Q93" i="57" s="1"/>
  <c r="Q138" i="57"/>
  <c r="Q57" i="57"/>
  <c r="Q207" i="64"/>
  <c r="Q423" i="64"/>
  <c r="Q430" i="64" s="1"/>
  <c r="Q201" i="64"/>
  <c r="Q471" i="64"/>
  <c r="Q477" i="64" s="1"/>
  <c r="Q491" i="64" s="1"/>
  <c r="Q294" i="64"/>
  <c r="V209" i="64"/>
  <c r="W209" i="64" s="1"/>
  <c r="X209" i="64" s="1"/>
  <c r="Y209" i="64" s="1"/>
  <c r="Z209" i="64" s="1"/>
  <c r="U209" i="64"/>
  <c r="U179" i="64" s="1"/>
  <c r="P302" i="47"/>
  <c r="P309" i="47" s="1"/>
  <c r="P318" i="47" s="1"/>
  <c r="P341" i="47" s="1"/>
  <c r="Q388" i="47"/>
  <c r="Q506" i="47" s="1"/>
  <c r="R388" i="47"/>
  <c r="P533" i="47"/>
  <c r="Q551" i="47" s="1"/>
  <c r="Q364" i="47"/>
  <c r="R38" i="57"/>
  <c r="T323" i="88" l="1"/>
  <c r="T245" i="88"/>
  <c r="AJ698" i="90"/>
  <c r="AJ705" i="90"/>
  <c r="AG756" i="90"/>
  <c r="AG785" i="90" s="1"/>
  <c r="AG430" i="90" s="1"/>
  <c r="AG774" i="90"/>
  <c r="AI779" i="90"/>
  <c r="AB522" i="90"/>
  <c r="AB523" i="90" s="1"/>
  <c r="AB532" i="90" s="1"/>
  <c r="AB442" i="90"/>
  <c r="AL689" i="90"/>
  <c r="T299" i="56"/>
  <c r="T306" i="56" s="1"/>
  <c r="T313" i="56" s="1"/>
  <c r="T332" i="56" s="1"/>
  <c r="T551" i="56"/>
  <c r="U354" i="56"/>
  <c r="AB440" i="90"/>
  <c r="AB499" i="90" s="1"/>
  <c r="AH717" i="90"/>
  <c r="Q551" i="56"/>
  <c r="U569" i="56" s="1"/>
  <c r="U589" i="56" s="1"/>
  <c r="U591" i="56" s="1"/>
  <c r="U249" i="56" s="1"/>
  <c r="U355" i="56" s="1"/>
  <c r="U382" i="56"/>
  <c r="U525" i="56" s="1"/>
  <c r="Q299" i="56"/>
  <c r="Q306" i="56" s="1"/>
  <c r="Q313" i="56" s="1"/>
  <c r="Q326" i="56"/>
  <c r="Q330" i="56" s="1"/>
  <c r="Q334" i="56"/>
  <c r="Q335" i="56" s="1"/>
  <c r="X140" i="92"/>
  <c r="X142" i="92" s="1"/>
  <c r="Y74" i="57"/>
  <c r="R506" i="47"/>
  <c r="Q571" i="47"/>
  <c r="Q573" i="47" s="1"/>
  <c r="Q278" i="47" s="1"/>
  <c r="U282" i="64"/>
  <c r="U283" i="64" s="1"/>
  <c r="S179" i="64"/>
  <c r="U180" i="64"/>
  <c r="Q254" i="64"/>
  <c r="R422" i="64"/>
  <c r="U422" i="64"/>
  <c r="R73" i="57"/>
  <c r="Q495" i="64"/>
  <c r="Q498" i="64" s="1"/>
  <c r="T247" i="88" l="1"/>
  <c r="T324" i="88" s="1"/>
  <c r="T325" i="88" s="1"/>
  <c r="T334" i="88" s="1"/>
  <c r="AJ703" i="90"/>
  <c r="AK690" i="90"/>
  <c r="AB534" i="90"/>
  <c r="AB810" i="90"/>
  <c r="AB815" i="90" s="1"/>
  <c r="AB829" i="90" s="1"/>
  <c r="AB833" i="90" s="1"/>
  <c r="AH718" i="90"/>
  <c r="AG781" i="90"/>
  <c r="AG770" i="90"/>
  <c r="AG788" i="90" s="1"/>
  <c r="AG475" i="90" s="1"/>
  <c r="Q332" i="56"/>
  <c r="U251" i="56"/>
  <c r="AG516" i="90"/>
  <c r="AG432" i="90"/>
  <c r="AL699" i="90"/>
  <c r="AC498" i="90"/>
  <c r="AB500" i="90"/>
  <c r="AJ758" i="90"/>
  <c r="X386" i="92"/>
  <c r="X393" i="92" s="1"/>
  <c r="X163" i="92"/>
  <c r="X169" i="92"/>
  <c r="X243" i="92"/>
  <c r="X245" i="92" s="1"/>
  <c r="Y50" i="57"/>
  <c r="Q365" i="47"/>
  <c r="Q281" i="47"/>
  <c r="Q298" i="64"/>
  <c r="Q496" i="64"/>
  <c r="U292" i="64"/>
  <c r="T179" i="64"/>
  <c r="S49" i="57"/>
  <c r="S77" i="57" s="1"/>
  <c r="U201" i="64"/>
  <c r="U423" i="64"/>
  <c r="U430" i="64" s="1"/>
  <c r="U254" i="64" s="1"/>
  <c r="U207" i="64"/>
  <c r="S180" i="64"/>
  <c r="T180" i="64" s="1"/>
  <c r="T248" i="88" l="1"/>
  <c r="T294" i="88" s="1"/>
  <c r="U292" i="88" s="1"/>
  <c r="T361" i="88"/>
  <c r="T362" i="88" s="1"/>
  <c r="T363" i="88" s="1"/>
  <c r="T336" i="88"/>
  <c r="T535" i="88"/>
  <c r="T540" i="88" s="1"/>
  <c r="T554" i="88" s="1"/>
  <c r="T558" i="88" s="1"/>
  <c r="AK700" i="90"/>
  <c r="AK688" i="90"/>
  <c r="AJ772" i="90"/>
  <c r="AI715" i="90"/>
  <c r="U253" i="56"/>
  <c r="U356" i="56" s="1"/>
  <c r="U358" i="56" s="1"/>
  <c r="U367" i="56" s="1"/>
  <c r="AB836" i="90"/>
  <c r="AB834" i="90"/>
  <c r="AB538" i="90"/>
  <c r="AB540" i="90" s="1"/>
  <c r="AB542" i="90" s="1"/>
  <c r="AB545" i="90" s="1"/>
  <c r="AH760" i="90"/>
  <c r="AG777" i="90"/>
  <c r="AG789" i="90" s="1"/>
  <c r="AG445" i="90"/>
  <c r="AG515" i="90"/>
  <c r="AG519" i="90" s="1"/>
  <c r="AL704" i="90"/>
  <c r="Y170" i="57"/>
  <c r="X215" i="92"/>
  <c r="Y385" i="92"/>
  <c r="X254" i="92"/>
  <c r="Q283" i="47"/>
  <c r="Q304" i="64"/>
  <c r="Q306" i="64" s="1"/>
  <c r="Q96" i="57"/>
  <c r="Q248" i="64"/>
  <c r="R494" i="64"/>
  <c r="R518" i="64"/>
  <c r="R532" i="64" s="1"/>
  <c r="R533" i="64" s="1"/>
  <c r="R537" i="64" s="1"/>
  <c r="R174" i="64" s="1"/>
  <c r="U162" i="57"/>
  <c r="U471" i="64"/>
  <c r="U294" i="64"/>
  <c r="T561" i="88" l="1"/>
  <c r="T340" i="88"/>
  <c r="T343" i="88" s="1"/>
  <c r="T345" i="88" s="1"/>
  <c r="T348" i="88" s="1"/>
  <c r="T559" i="88"/>
  <c r="AK698" i="90"/>
  <c r="AK705" i="90"/>
  <c r="AJ779" i="90"/>
  <c r="AB881" i="90"/>
  <c r="AB458" i="90"/>
  <c r="AB463" i="90" s="1"/>
  <c r="AB478" i="90" s="1"/>
  <c r="AB839" i="90"/>
  <c r="AC857" i="90" s="1"/>
  <c r="AC877" i="90" s="1"/>
  <c r="AC879" i="90" s="1"/>
  <c r="AC544" i="90"/>
  <c r="AC812" i="90" s="1"/>
  <c r="AM689" i="90"/>
  <c r="AI717" i="90"/>
  <c r="V161" i="57"/>
  <c r="U521" i="56"/>
  <c r="U527" i="56" s="1"/>
  <c r="U541" i="56" s="1"/>
  <c r="U369" i="56"/>
  <c r="AC832" i="90"/>
  <c r="AB491" i="90"/>
  <c r="AB494" i="90" s="1"/>
  <c r="AB502" i="90" s="1"/>
  <c r="AC856" i="90"/>
  <c r="AC870" i="90" s="1"/>
  <c r="AC871" i="90" s="1"/>
  <c r="AC875" i="90" s="1"/>
  <c r="AC434" i="90" s="1"/>
  <c r="AH756" i="90"/>
  <c r="AH785" i="90" s="1"/>
  <c r="AH430" i="90" s="1"/>
  <c r="AH774" i="90"/>
  <c r="U255" i="56"/>
  <c r="X408" i="92"/>
  <c r="X414" i="92" s="1"/>
  <c r="X428" i="92" s="1"/>
  <c r="X256" i="92"/>
  <c r="T162" i="57"/>
  <c r="S162" i="57"/>
  <c r="R280" i="64"/>
  <c r="Q162" i="57"/>
  <c r="Q172" i="57" s="1"/>
  <c r="Q176" i="57" s="1"/>
  <c r="Q177" i="57" s="1"/>
  <c r="Q309" i="64"/>
  <c r="Q286" i="47"/>
  <c r="Q366" i="47"/>
  <c r="Q367" i="47" s="1"/>
  <c r="Q284" i="47"/>
  <c r="Q119" i="57"/>
  <c r="Q109" i="57"/>
  <c r="Q110" i="57" s="1"/>
  <c r="Q114" i="57" s="1"/>
  <c r="Q252" i="64"/>
  <c r="Q256" i="64" s="1"/>
  <c r="Q260" i="64"/>
  <c r="Q261" i="64" s="1"/>
  <c r="T286" i="88" l="1"/>
  <c r="T290" i="88" s="1"/>
  <c r="T298" i="88" s="1"/>
  <c r="U557" i="88"/>
  <c r="U581" i="88"/>
  <c r="U595" i="88" s="1"/>
  <c r="U596" i="88" s="1"/>
  <c r="U600" i="88" s="1"/>
  <c r="T266" i="88"/>
  <c r="T273" i="88" s="1"/>
  <c r="T277" i="88" s="1"/>
  <c r="T564" i="88"/>
  <c r="U582" i="88" s="1"/>
  <c r="U602" i="88" s="1"/>
  <c r="U604" i="88" s="1"/>
  <c r="U243" i="88" s="1"/>
  <c r="U347" i="88"/>
  <c r="U537" i="88" s="1"/>
  <c r="AK703" i="90"/>
  <c r="AL690" i="90"/>
  <c r="AB504" i="90"/>
  <c r="U545" i="56"/>
  <c r="AM699" i="90"/>
  <c r="AH516" i="90"/>
  <c r="AH432" i="90"/>
  <c r="AH781" i="90"/>
  <c r="AH770" i="90"/>
  <c r="AH788" i="90" s="1"/>
  <c r="AH475" i="90" s="1"/>
  <c r="U276" i="56"/>
  <c r="U499" i="56"/>
  <c r="U506" i="56" s="1"/>
  <c r="U282" i="56"/>
  <c r="AI718" i="90"/>
  <c r="AC520" i="90"/>
  <c r="AC437" i="90"/>
  <c r="AK758" i="90"/>
  <c r="X432" i="92"/>
  <c r="X435" i="92" s="1"/>
  <c r="R191" i="57"/>
  <c r="Q335" i="47"/>
  <c r="U333" i="47" s="1"/>
  <c r="Q450" i="47"/>
  <c r="Q137" i="57"/>
  <c r="U286" i="47"/>
  <c r="V286" i="47" s="1"/>
  <c r="W286" i="47" s="1"/>
  <c r="X286" i="47" s="1"/>
  <c r="Y286" i="47" s="1"/>
  <c r="Q179" i="57"/>
  <c r="AC5" i="57"/>
  <c r="AC6" i="57" s="1"/>
  <c r="AC4" i="57"/>
  <c r="AC1" i="57"/>
  <c r="Q224" i="64"/>
  <c r="Q231" i="64" s="1"/>
  <c r="Q239" i="64" s="1"/>
  <c r="Q258" i="64" s="1"/>
  <c r="U308" i="64"/>
  <c r="U475" i="64" s="1"/>
  <c r="U477" i="64" s="1"/>
  <c r="U491" i="64" s="1"/>
  <c r="R308" i="64"/>
  <c r="R475" i="64" s="1"/>
  <c r="Q501" i="64"/>
  <c r="R519" i="64" s="1"/>
  <c r="R539" i="64" s="1"/>
  <c r="R541" i="64" s="1"/>
  <c r="R175" i="64" s="1"/>
  <c r="Q376" i="47"/>
  <c r="U323" i="88" l="1"/>
  <c r="U245" i="88"/>
  <c r="T300" i="88"/>
  <c r="AL700" i="90"/>
  <c r="AL688" i="90"/>
  <c r="U373" i="56"/>
  <c r="U378" i="56" s="1"/>
  <c r="U380" i="56" s="1"/>
  <c r="U546" i="56"/>
  <c r="AK772" i="90"/>
  <c r="V498" i="56"/>
  <c r="U328" i="56"/>
  <c r="AC439" i="90"/>
  <c r="AM704" i="90"/>
  <c r="AH445" i="90"/>
  <c r="AH515" i="90"/>
  <c r="AH519" i="90" s="1"/>
  <c r="AI760" i="90"/>
  <c r="AH777" i="90"/>
  <c r="AH789" i="90" s="1"/>
  <c r="AJ715" i="90"/>
  <c r="U548" i="56"/>
  <c r="X260" i="92"/>
  <c r="X265" i="92" s="1"/>
  <c r="X267" i="92" s="1"/>
  <c r="X270" i="92" s="1"/>
  <c r="X433" i="92"/>
  <c r="R281" i="64"/>
  <c r="R44" i="57"/>
  <c r="R177" i="64"/>
  <c r="U495" i="64"/>
  <c r="U498" i="64" s="1"/>
  <c r="Q378" i="47"/>
  <c r="Q504" i="47"/>
  <c r="Q509" i="47" s="1"/>
  <c r="Q523" i="47" s="1"/>
  <c r="U247" i="88" l="1"/>
  <c r="U324" i="88" s="1"/>
  <c r="U325" i="88" s="1"/>
  <c r="U334" i="88" s="1"/>
  <c r="AL705" i="90"/>
  <c r="AL698" i="90"/>
  <c r="AC522" i="90"/>
  <c r="AC523" i="90" s="1"/>
  <c r="AC532" i="90" s="1"/>
  <c r="AC442" i="90"/>
  <c r="AN689" i="90"/>
  <c r="AI756" i="90"/>
  <c r="AI785" i="90" s="1"/>
  <c r="AI430" i="90" s="1"/>
  <c r="AI774" i="90"/>
  <c r="U597" i="56"/>
  <c r="U383" i="56"/>
  <c r="AK779" i="90"/>
  <c r="AC440" i="90"/>
  <c r="AC499" i="90" s="1"/>
  <c r="V544" i="56"/>
  <c r="U322" i="56"/>
  <c r="U326" i="56" s="1"/>
  <c r="U330" i="56" s="1"/>
  <c r="V568" i="56"/>
  <c r="V582" i="56" s="1"/>
  <c r="V583" i="56" s="1"/>
  <c r="V587" i="56" s="1"/>
  <c r="V248" i="56" s="1"/>
  <c r="AJ717" i="90"/>
  <c r="X438" i="92"/>
  <c r="Y456" i="92" s="1"/>
  <c r="Y476" i="92" s="1"/>
  <c r="Y478" i="92" s="1"/>
  <c r="Y136" i="92" s="1"/>
  <c r="Y242" i="92" s="1"/>
  <c r="X186" i="92"/>
  <c r="X193" i="92" s="1"/>
  <c r="X200" i="92" s="1"/>
  <c r="Y455" i="92"/>
  <c r="Y469" i="92" s="1"/>
  <c r="Y470" i="92" s="1"/>
  <c r="Y474" i="92" s="1"/>
  <c r="Y135" i="92" s="1"/>
  <c r="X209" i="92"/>
  <c r="Y431" i="92"/>
  <c r="R76" i="57"/>
  <c r="R47" i="57"/>
  <c r="U298" i="64"/>
  <c r="U304" i="64" s="1"/>
  <c r="U306" i="64" s="1"/>
  <c r="U496" i="64"/>
  <c r="U248" i="64" s="1"/>
  <c r="Q527" i="47"/>
  <c r="R179" i="64"/>
  <c r="R180" i="64" s="1"/>
  <c r="U248" i="88" l="1"/>
  <c r="U294" i="88" s="1"/>
  <c r="V292" i="88" s="1"/>
  <c r="U361" i="88"/>
  <c r="U362" i="88" s="1"/>
  <c r="U363" i="88" s="1"/>
  <c r="U336" i="88"/>
  <c r="U535" i="88"/>
  <c r="U540" i="88" s="1"/>
  <c r="U554" i="88" s="1"/>
  <c r="U558" i="88" s="1"/>
  <c r="AL703" i="90"/>
  <c r="AM690" i="90"/>
  <c r="U334" i="56"/>
  <c r="U335" i="56" s="1"/>
  <c r="AC810" i="90"/>
  <c r="AC815" i="90" s="1"/>
  <c r="AC829" i="90" s="1"/>
  <c r="AC833" i="90" s="1"/>
  <c r="AC534" i="90"/>
  <c r="AJ718" i="90"/>
  <c r="AN699" i="90"/>
  <c r="U551" i="56"/>
  <c r="V569" i="56" s="1"/>
  <c r="V589" i="56" s="1"/>
  <c r="V591" i="56" s="1"/>
  <c r="V249" i="56" s="1"/>
  <c r="V355" i="56" s="1"/>
  <c r="V382" i="56"/>
  <c r="V525" i="56" s="1"/>
  <c r="U299" i="56"/>
  <c r="U306" i="56" s="1"/>
  <c r="U313" i="56" s="1"/>
  <c r="U332" i="56" s="1"/>
  <c r="AL758" i="90"/>
  <c r="AC500" i="90"/>
  <c r="AD498" i="90"/>
  <c r="AI516" i="90"/>
  <c r="AI432" i="90"/>
  <c r="V354" i="56"/>
  <c r="AI781" i="90"/>
  <c r="AI770" i="90"/>
  <c r="AI788" i="90" s="1"/>
  <c r="AI475" i="90" s="1"/>
  <c r="X213" i="92"/>
  <c r="X217" i="92" s="1"/>
  <c r="X219" i="92" s="1"/>
  <c r="X221" i="92"/>
  <c r="X222" i="92" s="1"/>
  <c r="Y241" i="92"/>
  <c r="Z39" i="57"/>
  <c r="Y138" i="92"/>
  <c r="Q382" i="47"/>
  <c r="Q528" i="47"/>
  <c r="R423" i="64"/>
  <c r="R430" i="64" s="1"/>
  <c r="R207" i="64"/>
  <c r="R201" i="64"/>
  <c r="U548" i="64"/>
  <c r="U309" i="64"/>
  <c r="U252" i="64"/>
  <c r="U256" i="64" s="1"/>
  <c r="U260" i="64"/>
  <c r="U261" i="64" s="1"/>
  <c r="R282" i="64"/>
  <c r="R283" i="64" s="1"/>
  <c r="R49" i="57"/>
  <c r="R77" i="57" s="1"/>
  <c r="R78" i="57" s="1"/>
  <c r="Q530" i="47"/>
  <c r="U561" i="88" l="1"/>
  <c r="U340" i="88"/>
  <c r="U343" i="88" s="1"/>
  <c r="U345" i="88" s="1"/>
  <c r="U348" i="88" s="1"/>
  <c r="U559" i="88"/>
  <c r="AM700" i="90"/>
  <c r="AM688" i="90"/>
  <c r="V251" i="56"/>
  <c r="V253" i="56" s="1"/>
  <c r="V356" i="56" s="1"/>
  <c r="V358" i="56" s="1"/>
  <c r="V367" i="56" s="1"/>
  <c r="AN704" i="90"/>
  <c r="AL772" i="90"/>
  <c r="AJ760" i="90"/>
  <c r="AI777" i="90"/>
  <c r="AI789" i="90" s="1"/>
  <c r="AC836" i="90"/>
  <c r="AC538" i="90"/>
  <c r="AC540" i="90" s="1"/>
  <c r="AC542" i="90" s="1"/>
  <c r="AC545" i="90" s="1"/>
  <c r="AC834" i="90"/>
  <c r="AK715" i="90"/>
  <c r="AI515" i="90"/>
  <c r="AI519" i="90" s="1"/>
  <c r="AI445" i="90"/>
  <c r="Z74" i="57"/>
  <c r="AA74" i="57" s="1"/>
  <c r="AA39" i="57"/>
  <c r="Y140" i="92"/>
  <c r="R92" i="57"/>
  <c r="R93" i="57" s="1"/>
  <c r="U224" i="64"/>
  <c r="U231" i="64" s="1"/>
  <c r="U239" i="64" s="1"/>
  <c r="U258" i="64" s="1"/>
  <c r="U501" i="64"/>
  <c r="V422" i="64"/>
  <c r="R254" i="64"/>
  <c r="Q384" i="47"/>
  <c r="Q386" i="47" s="1"/>
  <c r="R54" i="57"/>
  <c r="R138" i="57" s="1"/>
  <c r="U550" i="47"/>
  <c r="U564" i="47" s="1"/>
  <c r="U565" i="47" s="1"/>
  <c r="Q327" i="47"/>
  <c r="U526" i="47"/>
  <c r="R526" i="47"/>
  <c r="R550" i="47"/>
  <c r="R564" i="47" s="1"/>
  <c r="R565" i="47" s="1"/>
  <c r="U553" i="64"/>
  <c r="U556" i="64" s="1"/>
  <c r="U557" i="64" s="1"/>
  <c r="R292" i="64"/>
  <c r="V347" i="88" l="1"/>
  <c r="V537" i="88" s="1"/>
  <c r="U266" i="88"/>
  <c r="U273" i="88" s="1"/>
  <c r="U277" i="88" s="1"/>
  <c r="U564" i="88"/>
  <c r="V582" i="88" s="1"/>
  <c r="V602" i="88" s="1"/>
  <c r="V604" i="88" s="1"/>
  <c r="V243" i="88" s="1"/>
  <c r="V581" i="88"/>
  <c r="V595" i="88" s="1"/>
  <c r="V596" i="88" s="1"/>
  <c r="V600" i="88" s="1"/>
  <c r="U286" i="88"/>
  <c r="U290" i="88" s="1"/>
  <c r="U298" i="88" s="1"/>
  <c r="V557" i="88"/>
  <c r="AM705" i="90"/>
  <c r="AM698" i="90"/>
  <c r="AC491" i="90"/>
  <c r="AC494" i="90" s="1"/>
  <c r="AC502" i="90" s="1"/>
  <c r="AD832" i="90"/>
  <c r="AD856" i="90"/>
  <c r="AD870" i="90" s="1"/>
  <c r="AD871" i="90" s="1"/>
  <c r="AD875" i="90" s="1"/>
  <c r="AD434" i="90" s="1"/>
  <c r="AO689" i="90"/>
  <c r="W161" i="57"/>
  <c r="V369" i="56"/>
  <c r="V521" i="56"/>
  <c r="V527" i="56" s="1"/>
  <c r="V541" i="56" s="1"/>
  <c r="V545" i="56" s="1"/>
  <c r="V548" i="56" s="1"/>
  <c r="AC458" i="90"/>
  <c r="AC463" i="90" s="1"/>
  <c r="AC478" i="90" s="1"/>
  <c r="AC881" i="90"/>
  <c r="AC839" i="90"/>
  <c r="AD857" i="90" s="1"/>
  <c r="AD877" i="90" s="1"/>
  <c r="AD879" i="90" s="1"/>
  <c r="AD544" i="90"/>
  <c r="AD812" i="90" s="1"/>
  <c r="AK717" i="90"/>
  <c r="V255" i="56"/>
  <c r="AL779" i="90"/>
  <c r="AJ756" i="90"/>
  <c r="AJ785" i="90" s="1"/>
  <c r="AJ430" i="90" s="1"/>
  <c r="AJ774" i="90"/>
  <c r="Y243" i="92"/>
  <c r="Y245" i="92" s="1"/>
  <c r="Z50" i="57"/>
  <c r="Y142" i="92"/>
  <c r="U569" i="47"/>
  <c r="U277" i="47"/>
  <c r="U251" i="47"/>
  <c r="U252" i="47" s="1"/>
  <c r="R251" i="47"/>
  <c r="R252" i="47" s="1"/>
  <c r="R569" i="47"/>
  <c r="R277" i="47"/>
  <c r="Q331" i="47"/>
  <c r="Q339" i="47" s="1"/>
  <c r="Q343" i="47"/>
  <c r="Q344" i="47" s="1"/>
  <c r="R294" i="64"/>
  <c r="R471" i="64"/>
  <c r="R477" i="64" s="1"/>
  <c r="R491" i="64" s="1"/>
  <c r="Q389" i="47"/>
  <c r="R160" i="57"/>
  <c r="Q580" i="47"/>
  <c r="U300" i="88" l="1"/>
  <c r="V323" i="88"/>
  <c r="V245" i="88"/>
  <c r="AN690" i="90"/>
  <c r="AM703" i="90"/>
  <c r="V373" i="56"/>
  <c r="V378" i="56" s="1"/>
  <c r="V380" i="56" s="1"/>
  <c r="V383" i="56" s="1"/>
  <c r="AM758" i="90"/>
  <c r="AC504" i="90"/>
  <c r="AD520" i="90"/>
  <c r="AD437" i="90"/>
  <c r="AD439" i="90" s="1"/>
  <c r="AD442" i="90" s="1"/>
  <c r="AO699" i="90"/>
  <c r="AJ516" i="90"/>
  <c r="AJ432" i="90"/>
  <c r="AK718" i="90"/>
  <c r="AJ781" i="90"/>
  <c r="AJ770" i="90"/>
  <c r="AJ788" i="90" s="1"/>
  <c r="AJ475" i="90" s="1"/>
  <c r="V276" i="56"/>
  <c r="V499" i="56"/>
  <c r="V506" i="56" s="1"/>
  <c r="V282" i="56"/>
  <c r="V546" i="56"/>
  <c r="V322" i="56" s="1"/>
  <c r="AA50" i="57"/>
  <c r="Z170" i="57"/>
  <c r="AA170" i="57" s="1"/>
  <c r="Y254" i="92"/>
  <c r="Y386" i="92"/>
  <c r="Y393" i="92" s="1"/>
  <c r="Y169" i="92"/>
  <c r="Y163" i="92"/>
  <c r="R495" i="64"/>
  <c r="R498" i="64" s="1"/>
  <c r="U364" i="47"/>
  <c r="V38" i="57"/>
  <c r="Q302" i="47"/>
  <c r="Q309" i="47" s="1"/>
  <c r="Q318" i="47" s="1"/>
  <c r="Q341" i="47" s="1"/>
  <c r="Q533" i="47"/>
  <c r="U388" i="47"/>
  <c r="U506" i="47" s="1"/>
  <c r="R364" i="47"/>
  <c r="S38" i="57"/>
  <c r="V247" i="88" l="1"/>
  <c r="V324" i="88" s="1"/>
  <c r="V325" i="88" s="1"/>
  <c r="V334" i="88" s="1"/>
  <c r="AN688" i="90"/>
  <c r="AN700" i="90"/>
  <c r="V597" i="56"/>
  <c r="AM772" i="90"/>
  <c r="AJ515" i="90"/>
  <c r="AJ519" i="90" s="1"/>
  <c r="AJ445" i="90"/>
  <c r="AK760" i="90"/>
  <c r="AJ777" i="90"/>
  <c r="AJ789" i="90" s="1"/>
  <c r="W568" i="56"/>
  <c r="W582" i="56" s="1"/>
  <c r="W583" i="56" s="1"/>
  <c r="W587" i="56" s="1"/>
  <c r="W248" i="56" s="1"/>
  <c r="W354" i="56" s="1"/>
  <c r="W544" i="56"/>
  <c r="AD440" i="90"/>
  <c r="AD499" i="90" s="1"/>
  <c r="AE498" i="90" s="1"/>
  <c r="W498" i="56"/>
  <c r="V328" i="56"/>
  <c r="V334" i="56" s="1"/>
  <c r="V335" i="56" s="1"/>
  <c r="AO704" i="90"/>
  <c r="AL715" i="90"/>
  <c r="AD522" i="90"/>
  <c r="AD523" i="90" s="1"/>
  <c r="AD532" i="90" s="1"/>
  <c r="Y408" i="92"/>
  <c r="Y414" i="92" s="1"/>
  <c r="Y428" i="92" s="1"/>
  <c r="Y256" i="92"/>
  <c r="Z385" i="92"/>
  <c r="Y215" i="92"/>
  <c r="S73" i="57"/>
  <c r="R298" i="64"/>
  <c r="R496" i="64"/>
  <c r="V551" i="56"/>
  <c r="W569" i="56" s="1"/>
  <c r="W589" i="56" s="1"/>
  <c r="W591" i="56" s="1"/>
  <c r="W249" i="56" s="1"/>
  <c r="W355" i="56" s="1"/>
  <c r="V299" i="56"/>
  <c r="V306" i="56" s="1"/>
  <c r="V313" i="56" s="1"/>
  <c r="W382" i="56"/>
  <c r="V73" i="57"/>
  <c r="U551" i="47"/>
  <c r="R551" i="47"/>
  <c r="V326" i="56"/>
  <c r="V248" i="88" l="1"/>
  <c r="V294" i="88" s="1"/>
  <c r="W292" i="88" s="1"/>
  <c r="V535" i="88"/>
  <c r="V540" i="88" s="1"/>
  <c r="V554" i="88" s="1"/>
  <c r="V361" i="88"/>
  <c r="V362" i="88" s="1"/>
  <c r="V363" i="88" s="1"/>
  <c r="V336" i="88"/>
  <c r="AN698" i="90"/>
  <c r="AN705" i="90"/>
  <c r="AD500" i="90"/>
  <c r="V330" i="56"/>
  <c r="V332" i="56" s="1"/>
  <c r="AM779" i="90"/>
  <c r="AP689" i="90"/>
  <c r="AK756" i="90"/>
  <c r="AK785" i="90" s="1"/>
  <c r="AK430" i="90" s="1"/>
  <c r="AK774" i="90"/>
  <c r="AL717" i="90"/>
  <c r="Y432" i="92"/>
  <c r="Y435" i="92" s="1"/>
  <c r="AD534" i="90"/>
  <c r="AD810" i="90"/>
  <c r="AD815" i="90" s="1"/>
  <c r="AD829" i="90" s="1"/>
  <c r="W251" i="56"/>
  <c r="W253" i="56" s="1"/>
  <c r="W356" i="56" s="1"/>
  <c r="W358" i="56" s="1"/>
  <c r="V494" i="64"/>
  <c r="R248" i="64"/>
  <c r="V518" i="64"/>
  <c r="V532" i="64" s="1"/>
  <c r="V533" i="64" s="1"/>
  <c r="V537" i="64" s="1"/>
  <c r="V174" i="64" s="1"/>
  <c r="U571" i="47"/>
  <c r="U573" i="47" s="1"/>
  <c r="U278" i="47" s="1"/>
  <c r="R571" i="47"/>
  <c r="R573" i="47" s="1"/>
  <c r="R278" i="47" s="1"/>
  <c r="R304" i="64"/>
  <c r="R306" i="64" s="1"/>
  <c r="R96" i="57"/>
  <c r="W525" i="56"/>
  <c r="V558" i="88" l="1"/>
  <c r="V561" i="88" s="1"/>
  <c r="AN703" i="90"/>
  <c r="AO690" i="90"/>
  <c r="AP699" i="90"/>
  <c r="AL718" i="90"/>
  <c r="AK781" i="90"/>
  <c r="AK770" i="90"/>
  <c r="AK788" i="90" s="1"/>
  <c r="AK475" i="90" s="1"/>
  <c r="AN758" i="90"/>
  <c r="AK516" i="90"/>
  <c r="AK432" i="90"/>
  <c r="AD833" i="90"/>
  <c r="Y260" i="92"/>
  <c r="Y265" i="92" s="1"/>
  <c r="Y267" i="92" s="1"/>
  <c r="Y270" i="92" s="1"/>
  <c r="Y433" i="92"/>
  <c r="W255" i="56"/>
  <c r="W276" i="56" s="1"/>
  <c r="V280" i="64"/>
  <c r="R252" i="64"/>
  <c r="R256" i="64" s="1"/>
  <c r="R260" i="64"/>
  <c r="R261" i="64" s="1"/>
  <c r="U365" i="47"/>
  <c r="U281" i="47"/>
  <c r="R548" i="64"/>
  <c r="R162" i="57"/>
  <c r="R172" i="57" s="1"/>
  <c r="R176" i="57" s="1"/>
  <c r="R177" i="57" s="1"/>
  <c r="R309" i="64"/>
  <c r="W367" i="56"/>
  <c r="R365" i="47"/>
  <c r="S44" i="57"/>
  <c r="R281" i="47"/>
  <c r="R109" i="57"/>
  <c r="R110" i="57" s="1"/>
  <c r="R114" i="57" s="1"/>
  <c r="R119" i="57"/>
  <c r="R137" i="57" s="1"/>
  <c r="V340" i="88" l="1"/>
  <c r="V343" i="88" s="1"/>
  <c r="V345" i="88" s="1"/>
  <c r="V348" i="88" s="1"/>
  <c r="V559" i="88"/>
  <c r="AO700" i="90"/>
  <c r="AO688" i="90"/>
  <c r="AK515" i="90"/>
  <c r="AK519" i="90" s="1"/>
  <c r="AK445" i="90"/>
  <c r="AN772" i="90"/>
  <c r="AP704" i="90"/>
  <c r="AM715" i="90"/>
  <c r="AL760" i="90"/>
  <c r="AK777" i="90"/>
  <c r="AK789" i="90" s="1"/>
  <c r="AD538" i="90"/>
  <c r="AD540" i="90" s="1"/>
  <c r="AD542" i="90" s="1"/>
  <c r="AD545" i="90" s="1"/>
  <c r="AD834" i="90"/>
  <c r="Y438" i="92"/>
  <c r="Z456" i="92" s="1"/>
  <c r="Z476" i="92" s="1"/>
  <c r="Z478" i="92" s="1"/>
  <c r="Z136" i="92" s="1"/>
  <c r="Z242" i="92" s="1"/>
  <c r="Y186" i="92"/>
  <c r="Y193" i="92" s="1"/>
  <c r="Y200" i="92" s="1"/>
  <c r="AD836" i="90"/>
  <c r="Y209" i="92"/>
  <c r="Z431" i="92"/>
  <c r="Z455" i="92"/>
  <c r="Z469" i="92" s="1"/>
  <c r="Z470" i="92" s="1"/>
  <c r="Z474" i="92" s="1"/>
  <c r="Z135" i="92" s="1"/>
  <c r="W282" i="56"/>
  <c r="W499" i="56"/>
  <c r="W506" i="56" s="1"/>
  <c r="X498" i="56" s="1"/>
  <c r="R284" i="47"/>
  <c r="R286" i="47"/>
  <c r="R179" i="57"/>
  <c r="AD5" i="57"/>
  <c r="U283" i="47"/>
  <c r="U284" i="47" s="1"/>
  <c r="S76" i="57"/>
  <c r="S78" i="57" s="1"/>
  <c r="S47" i="57"/>
  <c r="R367" i="47"/>
  <c r="R224" i="64"/>
  <c r="R231" i="64" s="1"/>
  <c r="R239" i="64" s="1"/>
  <c r="R258" i="64" s="1"/>
  <c r="V308" i="64"/>
  <c r="V475" i="64" s="1"/>
  <c r="R501" i="64"/>
  <c r="V519" i="64" s="1"/>
  <c r="V539" i="64" s="1"/>
  <c r="V541" i="64" s="1"/>
  <c r="V175" i="64" s="1"/>
  <c r="W521" i="56"/>
  <c r="W527" i="56" s="1"/>
  <c r="W541" i="56" s="1"/>
  <c r="W369" i="56"/>
  <c r="X161" i="57"/>
  <c r="V564" i="88" l="1"/>
  <c r="W582" i="88" s="1"/>
  <c r="W602" i="88" s="1"/>
  <c r="W604" i="88" s="1"/>
  <c r="W243" i="88" s="1"/>
  <c r="V266" i="88"/>
  <c r="V273" i="88" s="1"/>
  <c r="V277" i="88" s="1"/>
  <c r="W347" i="88"/>
  <c r="W537" i="88" s="1"/>
  <c r="V286" i="88"/>
  <c r="V290" i="88" s="1"/>
  <c r="V298" i="88" s="1"/>
  <c r="W581" i="88"/>
  <c r="W595" i="88" s="1"/>
  <c r="W596" i="88" s="1"/>
  <c r="W600" i="88" s="1"/>
  <c r="W557" i="88"/>
  <c r="AO698" i="90"/>
  <c r="AO705" i="90"/>
  <c r="AN779" i="90"/>
  <c r="AL756" i="90"/>
  <c r="AL785" i="90" s="1"/>
  <c r="AL430" i="90" s="1"/>
  <c r="AL774" i="90"/>
  <c r="AQ689" i="90"/>
  <c r="AM717" i="90"/>
  <c r="AD458" i="90"/>
  <c r="AD463" i="90" s="1"/>
  <c r="AD478" i="90" s="1"/>
  <c r="AD881" i="90"/>
  <c r="AD839" i="90"/>
  <c r="AE857" i="90" s="1"/>
  <c r="AE544" i="90"/>
  <c r="AE812" i="90" s="1"/>
  <c r="AE832" i="90"/>
  <c r="AE856" i="90"/>
  <c r="AE870" i="90" s="1"/>
  <c r="AE871" i="90" s="1"/>
  <c r="AE875" i="90" s="1"/>
  <c r="AE434" i="90" s="1"/>
  <c r="AD491" i="90"/>
  <c r="AD494" i="90" s="1"/>
  <c r="AD502" i="90" s="1"/>
  <c r="Y213" i="92"/>
  <c r="Y217" i="92" s="1"/>
  <c r="Y219" i="92" s="1"/>
  <c r="Y221" i="92"/>
  <c r="Y222" i="92" s="1"/>
  <c r="Z241" i="92"/>
  <c r="Z138" i="92"/>
  <c r="W328" i="56"/>
  <c r="U335" i="47"/>
  <c r="V333" i="47" s="1"/>
  <c r="U450" i="47"/>
  <c r="R335" i="47"/>
  <c r="S333" i="47" s="1"/>
  <c r="R450" i="47"/>
  <c r="S191" i="57"/>
  <c r="W545" i="56"/>
  <c r="S92" i="57"/>
  <c r="S93" i="57" s="1"/>
  <c r="R376" i="47"/>
  <c r="V281" i="64"/>
  <c r="V44" i="57"/>
  <c r="V177" i="64"/>
  <c r="U366" i="47"/>
  <c r="U367" i="47" s="1"/>
  <c r="S54" i="57"/>
  <c r="V300" i="88" l="1"/>
  <c r="W323" i="88"/>
  <c r="W245" i="88"/>
  <c r="W247" i="88" s="1"/>
  <c r="W324" i="88" s="1"/>
  <c r="AO703" i="90"/>
  <c r="AP690" i="90"/>
  <c r="AM718" i="90"/>
  <c r="AD504" i="90"/>
  <c r="AO758" i="90"/>
  <c r="AL781" i="90"/>
  <c r="AL770" i="90"/>
  <c r="AL788" i="90" s="1"/>
  <c r="AL475" i="90" s="1"/>
  <c r="AL516" i="90"/>
  <c r="AL432" i="90"/>
  <c r="AQ699" i="90"/>
  <c r="AE520" i="90"/>
  <c r="AE437" i="90"/>
  <c r="AE877" i="90"/>
  <c r="AE879" i="90" s="1"/>
  <c r="Z140" i="92"/>
  <c r="Z243" i="92" s="1"/>
  <c r="Z245" i="92" s="1"/>
  <c r="V179" i="64"/>
  <c r="V180" i="64" s="1"/>
  <c r="V76" i="57"/>
  <c r="V47" i="57"/>
  <c r="W373" i="56"/>
  <c r="W378" i="56" s="1"/>
  <c r="W380" i="56" s="1"/>
  <c r="W546" i="56"/>
  <c r="U376" i="47"/>
  <c r="S138" i="57"/>
  <c r="R504" i="47"/>
  <c r="R509" i="47" s="1"/>
  <c r="R523" i="47" s="1"/>
  <c r="R378" i="47"/>
  <c r="W548" i="56"/>
  <c r="W325" i="88" l="1"/>
  <c r="W334" i="88" s="1"/>
  <c r="W535" i="88" s="1"/>
  <c r="W540" i="88" s="1"/>
  <c r="W554" i="88" s="1"/>
  <c r="W248" i="88"/>
  <c r="W294" i="88" s="1"/>
  <c r="X292" i="88" s="1"/>
  <c r="AP700" i="90"/>
  <c r="AP688" i="90"/>
  <c r="AN715" i="90"/>
  <c r="AL515" i="90"/>
  <c r="AL519" i="90" s="1"/>
  <c r="AL445" i="90"/>
  <c r="AQ704" i="90"/>
  <c r="AO772" i="90"/>
  <c r="AM760" i="90"/>
  <c r="AL777" i="90"/>
  <c r="AL789" i="90" s="1"/>
  <c r="Z254" i="92"/>
  <c r="AE439" i="90"/>
  <c r="AE440" i="90" s="1"/>
  <c r="AE499" i="90" s="1"/>
  <c r="Z142" i="92"/>
  <c r="V207" i="64"/>
  <c r="V201" i="64"/>
  <c r="V423" i="64"/>
  <c r="V430" i="64" s="1"/>
  <c r="R527" i="47"/>
  <c r="V282" i="64"/>
  <c r="V283" i="64" s="1"/>
  <c r="V49" i="57"/>
  <c r="V77" i="57" s="1"/>
  <c r="V78" i="57" s="1"/>
  <c r="W597" i="56"/>
  <c r="W383" i="56"/>
  <c r="X568" i="56"/>
  <c r="X582" i="56" s="1"/>
  <c r="X583" i="56" s="1"/>
  <c r="X587" i="56" s="1"/>
  <c r="X248" i="56" s="1"/>
  <c r="X544" i="56"/>
  <c r="W322" i="56"/>
  <c r="U504" i="47"/>
  <c r="U509" i="47" s="1"/>
  <c r="U523" i="47" s="1"/>
  <c r="U378" i="47"/>
  <c r="W361" i="88" l="1"/>
  <c r="W362" i="88" s="1"/>
  <c r="W363" i="88" s="1"/>
  <c r="W336" i="88"/>
  <c r="AP705" i="90"/>
  <c r="AP698" i="90"/>
  <c r="AN717" i="90"/>
  <c r="AR689" i="90"/>
  <c r="AM756" i="90"/>
  <c r="AM785" i="90" s="1"/>
  <c r="AM430" i="90" s="1"/>
  <c r="AM774" i="90"/>
  <c r="AO779" i="90"/>
  <c r="AE500" i="90"/>
  <c r="AF498" i="90"/>
  <c r="Z386" i="92"/>
  <c r="Z393" i="92" s="1"/>
  <c r="Z163" i="92"/>
  <c r="Z169" i="92"/>
  <c r="AE522" i="90"/>
  <c r="AE523" i="90" s="1"/>
  <c r="AE442" i="90"/>
  <c r="Z408" i="92"/>
  <c r="Z414" i="92" s="1"/>
  <c r="Z428" i="92" s="1"/>
  <c r="Z256" i="92"/>
  <c r="V92" i="57"/>
  <c r="V93" i="57" s="1"/>
  <c r="U527" i="47"/>
  <c r="U530" i="47" s="1"/>
  <c r="V292" i="64"/>
  <c r="W299" i="56"/>
  <c r="W306" i="56" s="1"/>
  <c r="W313" i="56" s="1"/>
  <c r="X382" i="56"/>
  <c r="W551" i="56"/>
  <c r="X569" i="56" s="1"/>
  <c r="X589" i="56" s="1"/>
  <c r="X591" i="56" s="1"/>
  <c r="X249" i="56" s="1"/>
  <c r="X355" i="56" s="1"/>
  <c r="V54" i="57"/>
  <c r="V138" i="57" s="1"/>
  <c r="R382" i="47"/>
  <c r="R528" i="47"/>
  <c r="W422" i="64"/>
  <c r="V254" i="64"/>
  <c r="W558" i="88"/>
  <c r="X354" i="56"/>
  <c r="W326" i="56"/>
  <c r="W330" i="56" s="1"/>
  <c r="W334" i="56"/>
  <c r="W335" i="56" s="1"/>
  <c r="R530" i="47"/>
  <c r="AP703" i="90" l="1"/>
  <c r="AQ690" i="90"/>
  <c r="AN718" i="90"/>
  <c r="AM516" i="90"/>
  <c r="AM432" i="90"/>
  <c r="AP758" i="90"/>
  <c r="AM781" i="90"/>
  <c r="AM770" i="90"/>
  <c r="AM788" i="90" s="1"/>
  <c r="AM475" i="90" s="1"/>
  <c r="AR699" i="90"/>
  <c r="Z215" i="92"/>
  <c r="AA385" i="92"/>
  <c r="AE532" i="90"/>
  <c r="Z432" i="92"/>
  <c r="W340" i="88"/>
  <c r="W343" i="88" s="1"/>
  <c r="W345" i="88" s="1"/>
  <c r="W348" i="88" s="1"/>
  <c r="W559" i="88"/>
  <c r="V162" i="57"/>
  <c r="V294" i="64"/>
  <c r="V471" i="64"/>
  <c r="V477" i="64" s="1"/>
  <c r="V491" i="64" s="1"/>
  <c r="W561" i="88"/>
  <c r="X525" i="56"/>
  <c r="X251" i="56"/>
  <c r="S550" i="47"/>
  <c r="S564" i="47" s="1"/>
  <c r="S565" i="47" s="1"/>
  <c r="S526" i="47"/>
  <c r="R327" i="47"/>
  <c r="U382" i="47"/>
  <c r="U528" i="47"/>
  <c r="R384" i="47"/>
  <c r="W332" i="56"/>
  <c r="AQ688" i="90" l="1"/>
  <c r="AQ700" i="90"/>
  <c r="AP772" i="90"/>
  <c r="AN760" i="90"/>
  <c r="AM777" i="90"/>
  <c r="AM789" i="90" s="1"/>
  <c r="AR704" i="90"/>
  <c r="AO715" i="90"/>
  <c r="AM445" i="90"/>
  <c r="AM515" i="90"/>
  <c r="AM519" i="90" s="1"/>
  <c r="AE534" i="90"/>
  <c r="AE810" i="90"/>
  <c r="AE815" i="90" s="1"/>
  <c r="AE829" i="90" s="1"/>
  <c r="Z260" i="92"/>
  <c r="Z265" i="92" s="1"/>
  <c r="Z267" i="92" s="1"/>
  <c r="Z270" i="92" s="1"/>
  <c r="Z433" i="92"/>
  <c r="Z435" i="92"/>
  <c r="V550" i="47"/>
  <c r="V564" i="47" s="1"/>
  <c r="V565" i="47" s="1"/>
  <c r="V526" i="47"/>
  <c r="U327" i="47"/>
  <c r="W564" i="88"/>
  <c r="X582" i="88" s="1"/>
  <c r="W266" i="88"/>
  <c r="W273" i="88" s="1"/>
  <c r="W277" i="88" s="1"/>
  <c r="X347" i="88"/>
  <c r="X537" i="88" s="1"/>
  <c r="R386" i="47"/>
  <c r="X581" i="88"/>
  <c r="X595" i="88" s="1"/>
  <c r="X596" i="88" s="1"/>
  <c r="X600" i="88" s="1"/>
  <c r="W286" i="88"/>
  <c r="W290" i="88" s="1"/>
  <c r="W298" i="88" s="1"/>
  <c r="X557" i="88"/>
  <c r="V495" i="64"/>
  <c r="V498" i="64" s="1"/>
  <c r="X253" i="56"/>
  <c r="X356" i="56" s="1"/>
  <c r="X358" i="56" s="1"/>
  <c r="S569" i="47"/>
  <c r="S277" i="47"/>
  <c r="S251" i="47"/>
  <c r="S252" i="47" s="1"/>
  <c r="R331" i="47"/>
  <c r="R339" i="47" s="1"/>
  <c r="R343" i="47"/>
  <c r="R344" i="47" s="1"/>
  <c r="U384" i="47"/>
  <c r="U386" i="47" s="1"/>
  <c r="AQ705" i="90" l="1"/>
  <c r="AQ698" i="90"/>
  <c r="AO717" i="90"/>
  <c r="AS689" i="90"/>
  <c r="AP779" i="90"/>
  <c r="AN756" i="90"/>
  <c r="AN785" i="90" s="1"/>
  <c r="AN430" i="90" s="1"/>
  <c r="AN774" i="90"/>
  <c r="Z186" i="92"/>
  <c r="Z193" i="92" s="1"/>
  <c r="Z200" i="92" s="1"/>
  <c r="Z438" i="92"/>
  <c r="AA456" i="92" s="1"/>
  <c r="AA476" i="92" s="1"/>
  <c r="AA478" i="92" s="1"/>
  <c r="AA136" i="92" s="1"/>
  <c r="AA242" i="92" s="1"/>
  <c r="AA431" i="92"/>
  <c r="AA455" i="92"/>
  <c r="AA469" i="92" s="1"/>
  <c r="AA470" i="92" s="1"/>
  <c r="AA474" i="92" s="1"/>
  <c r="AA135" i="92" s="1"/>
  <c r="Z209" i="92"/>
  <c r="AE833" i="90"/>
  <c r="AE836" i="90" s="1"/>
  <c r="X255" i="56"/>
  <c r="X282" i="56" s="1"/>
  <c r="T38" i="57"/>
  <c r="S364" i="47"/>
  <c r="T277" i="47"/>
  <c r="U38" i="57" s="1"/>
  <c r="U389" i="47"/>
  <c r="U580" i="47"/>
  <c r="V160" i="57"/>
  <c r="V172" i="57" s="1"/>
  <c r="V569" i="47"/>
  <c r="V277" i="47"/>
  <c r="V251" i="47"/>
  <c r="V252" i="47" s="1"/>
  <c r="U331" i="47"/>
  <c r="U339" i="47" s="1"/>
  <c r="U343" i="47"/>
  <c r="U344" i="47" s="1"/>
  <c r="W300" i="88"/>
  <c r="X602" i="88"/>
  <c r="X604" i="88" s="1"/>
  <c r="X243" i="88" s="1"/>
  <c r="R389" i="47"/>
  <c r="R3" i="47"/>
  <c r="S160" i="57"/>
  <c r="S172" i="57" s="1"/>
  <c r="V298" i="64"/>
  <c r="V496" i="64"/>
  <c r="X367" i="56"/>
  <c r="AR690" i="90" l="1"/>
  <c r="AQ703" i="90"/>
  <c r="AQ758" i="90"/>
  <c r="AO718" i="90"/>
  <c r="AS699" i="90"/>
  <c r="AN516" i="90"/>
  <c r="AN432" i="90"/>
  <c r="AN781" i="90"/>
  <c r="AN770" i="90"/>
  <c r="AN788" i="90" s="1"/>
  <c r="AN475" i="90" s="1"/>
  <c r="AA241" i="92"/>
  <c r="AA138" i="92"/>
  <c r="Z213" i="92"/>
  <c r="Z217" i="92" s="1"/>
  <c r="Z219" i="92" s="1"/>
  <c r="Z221" i="92"/>
  <c r="Z222" i="92" s="1"/>
  <c r="AE538" i="90"/>
  <c r="AE540" i="90" s="1"/>
  <c r="AE542" i="90" s="1"/>
  <c r="AE545" i="90" s="1"/>
  <c r="AE834" i="90"/>
  <c r="X499" i="56"/>
  <c r="X506" i="56" s="1"/>
  <c r="Y498" i="56" s="1"/>
  <c r="X276" i="56"/>
  <c r="T73" i="57"/>
  <c r="T364" i="47"/>
  <c r="X323" i="88"/>
  <c r="X245" i="88"/>
  <c r="U73" i="57"/>
  <c r="R302" i="47"/>
  <c r="R309" i="47" s="1"/>
  <c r="R318" i="47" s="1"/>
  <c r="R341" i="47" s="1"/>
  <c r="S388" i="47"/>
  <c r="R533" i="47"/>
  <c r="S551" i="47" s="1"/>
  <c r="S571" i="47" s="1"/>
  <c r="S573" i="47" s="1"/>
  <c r="S278" i="47" s="1"/>
  <c r="V388" i="47"/>
  <c r="V506" i="47" s="1"/>
  <c r="U302" i="47"/>
  <c r="U309" i="47" s="1"/>
  <c r="U318" i="47" s="1"/>
  <c r="U341" i="47" s="1"/>
  <c r="U533" i="47"/>
  <c r="V551" i="47" s="1"/>
  <c r="V304" i="64"/>
  <c r="V306" i="64" s="1"/>
  <c r="V96" i="57"/>
  <c r="W494" i="64"/>
  <c r="W518" i="64"/>
  <c r="W532" i="64" s="1"/>
  <c r="W533" i="64" s="1"/>
  <c r="W537" i="64" s="1"/>
  <c r="W174" i="64" s="1"/>
  <c r="V248" i="64"/>
  <c r="V364" i="47"/>
  <c r="W38" i="57"/>
  <c r="X521" i="56"/>
  <c r="X527" i="56" s="1"/>
  <c r="X541" i="56" s="1"/>
  <c r="X369" i="56"/>
  <c r="AR700" i="90" l="1"/>
  <c r="AR688" i="90"/>
  <c r="AS704" i="90"/>
  <c r="AO760" i="90"/>
  <c r="AN777" i="90"/>
  <c r="AN789" i="90" s="1"/>
  <c r="AP715" i="90"/>
  <c r="AN445" i="90"/>
  <c r="AN515" i="90"/>
  <c r="AN519" i="90" s="1"/>
  <c r="AQ772" i="90"/>
  <c r="AA140" i="92"/>
  <c r="AA243" i="92" s="1"/>
  <c r="AA245" i="92" s="1"/>
  <c r="AE881" i="90"/>
  <c r="AF544" i="90"/>
  <c r="AF812" i="90" s="1"/>
  <c r="AE839" i="90"/>
  <c r="AF857" i="90" s="1"/>
  <c r="AE458" i="90"/>
  <c r="AE463" i="90" s="1"/>
  <c r="AE478" i="90" s="1"/>
  <c r="AF832" i="90"/>
  <c r="AE491" i="90"/>
  <c r="AE494" i="90" s="1"/>
  <c r="AE502" i="90" s="1"/>
  <c r="AF856" i="90"/>
  <c r="AF870" i="90" s="1"/>
  <c r="AF871" i="90" s="1"/>
  <c r="AF875" i="90" s="1"/>
  <c r="AF434" i="90" s="1"/>
  <c r="X328" i="56"/>
  <c r="V109" i="57"/>
  <c r="V110" i="57" s="1"/>
  <c r="V173" i="57"/>
  <c r="V176" i="57" s="1"/>
  <c r="V252" i="64"/>
  <c r="V256" i="64" s="1"/>
  <c r="V260" i="64"/>
  <c r="V261" i="64" s="1"/>
  <c r="W280" i="64"/>
  <c r="W73" i="57"/>
  <c r="X247" i="88"/>
  <c r="X324" i="88" s="1"/>
  <c r="X325" i="88" s="1"/>
  <c r="X545" i="56"/>
  <c r="X548" i="56" s="1"/>
  <c r="S506" i="47"/>
  <c r="T388" i="47"/>
  <c r="T44" i="57"/>
  <c r="S365" i="47"/>
  <c r="T278" i="47"/>
  <c r="S281" i="47"/>
  <c r="V571" i="47"/>
  <c r="V573" i="47" s="1"/>
  <c r="V278" i="47" s="1"/>
  <c r="V309" i="64"/>
  <c r="V548" i="64"/>
  <c r="AR705" i="90" l="1"/>
  <c r="AR698" i="90"/>
  <c r="AE504" i="90"/>
  <c r="AT689" i="90"/>
  <c r="AQ779" i="90"/>
  <c r="AO756" i="90"/>
  <c r="AO785" i="90" s="1"/>
  <c r="AO430" i="90" s="1"/>
  <c r="AO774" i="90"/>
  <c r="AP717" i="90"/>
  <c r="AA254" i="92"/>
  <c r="AA142" i="92"/>
  <c r="AF877" i="90"/>
  <c r="AF879" i="90" s="1"/>
  <c r="AF520" i="90"/>
  <c r="AF437" i="90"/>
  <c r="X248" i="88"/>
  <c r="X294" i="88" s="1"/>
  <c r="Y292" i="88" s="1"/>
  <c r="X373" i="56"/>
  <c r="X378" i="56" s="1"/>
  <c r="X380" i="56" s="1"/>
  <c r="X546" i="56"/>
  <c r="S283" i="47"/>
  <c r="S284" i="47" s="1"/>
  <c r="T281" i="47"/>
  <c r="T76" i="57"/>
  <c r="U44" i="57"/>
  <c r="T47" i="57"/>
  <c r="V365" i="47"/>
  <c r="V281" i="47"/>
  <c r="W308" i="64"/>
  <c r="W475" i="64" s="1"/>
  <c r="V501" i="64"/>
  <c r="W519" i="64" s="1"/>
  <c r="W539" i="64" s="1"/>
  <c r="W541" i="64" s="1"/>
  <c r="W175" i="64" s="1"/>
  <c r="W44" i="57" s="1"/>
  <c r="V224" i="64"/>
  <c r="V231" i="64" s="1"/>
  <c r="V239" i="64" s="1"/>
  <c r="V258" i="64" s="1"/>
  <c r="X334" i="88"/>
  <c r="T365" i="47"/>
  <c r="AS690" i="90" l="1"/>
  <c r="AR703" i="90"/>
  <c r="AR758" i="90"/>
  <c r="AO781" i="90"/>
  <c r="AO770" i="90"/>
  <c r="AO788" i="90" s="1"/>
  <c r="AO475" i="90" s="1"/>
  <c r="AO516" i="90"/>
  <c r="AO432" i="90"/>
  <c r="AP718" i="90"/>
  <c r="AT699" i="90"/>
  <c r="AA163" i="92"/>
  <c r="AA169" i="92"/>
  <c r="AA386" i="92"/>
  <c r="AA393" i="92" s="1"/>
  <c r="AA408" i="92"/>
  <c r="AA414" i="92" s="1"/>
  <c r="AA428" i="92" s="1"/>
  <c r="AA256" i="92"/>
  <c r="AF439" i="90"/>
  <c r="AF440" i="90" s="1"/>
  <c r="AF499" i="90" s="1"/>
  <c r="U76" i="57"/>
  <c r="X336" i="88"/>
  <c r="X535" i="88"/>
  <c r="X540" i="88" s="1"/>
  <c r="X554" i="88" s="1"/>
  <c r="X361" i="88"/>
  <c r="X362" i="88" s="1"/>
  <c r="T49" i="57"/>
  <c r="T77" i="57" s="1"/>
  <c r="T78" i="57" s="1"/>
  <c r="T283" i="47"/>
  <c r="U49" i="57" s="1"/>
  <c r="S366" i="47"/>
  <c r="S286" i="47"/>
  <c r="W76" i="57"/>
  <c r="W47" i="57"/>
  <c r="S335" i="47"/>
  <c r="T191" i="57"/>
  <c r="S450" i="47"/>
  <c r="T284" i="47"/>
  <c r="U47" i="57"/>
  <c r="W281" i="64"/>
  <c r="W177" i="64"/>
  <c r="X322" i="56"/>
  <c r="Y568" i="56"/>
  <c r="Y582" i="56" s="1"/>
  <c r="Y583" i="56" s="1"/>
  <c r="Y587" i="56" s="1"/>
  <c r="Y248" i="56" s="1"/>
  <c r="Y544" i="56"/>
  <c r="V283" i="47"/>
  <c r="V284" i="47" s="1"/>
  <c r="Y161" i="57"/>
  <c r="X597" i="56"/>
  <c r="X383" i="56"/>
  <c r="AS700" i="90" l="1"/>
  <c r="AS688" i="90"/>
  <c r="AR772" i="90"/>
  <c r="AT704" i="90"/>
  <c r="AQ715" i="90"/>
  <c r="AP760" i="90"/>
  <c r="AO777" i="90"/>
  <c r="AO789" i="90" s="1"/>
  <c r="AO445" i="90"/>
  <c r="AO515" i="90"/>
  <c r="AO519" i="90" s="1"/>
  <c r="AA432" i="92"/>
  <c r="AA435" i="92" s="1"/>
  <c r="AF522" i="90"/>
  <c r="AF523" i="90" s="1"/>
  <c r="AF442" i="90"/>
  <c r="AA215" i="92"/>
  <c r="AB385" i="92"/>
  <c r="AF500" i="90"/>
  <c r="AG498" i="90"/>
  <c r="T92" i="57"/>
  <c r="T93" i="57" s="1"/>
  <c r="W179" i="64"/>
  <c r="W282" i="64" s="1"/>
  <c r="W283" i="64" s="1"/>
  <c r="X558" i="88"/>
  <c r="X561" i="88" s="1"/>
  <c r="V335" i="47"/>
  <c r="W333" i="47" s="1"/>
  <c r="V450" i="47"/>
  <c r="X363" i="88"/>
  <c r="T366" i="47"/>
  <c r="S367" i="47"/>
  <c r="U77" i="57"/>
  <c r="U78" i="57" s="1"/>
  <c r="Q599" i="56"/>
  <c r="Q600" i="56" s="1"/>
  <c r="Q602" i="56" s="1"/>
  <c r="Q605" i="56" s="1"/>
  <c r="Q606" i="56" s="1"/>
  <c r="T598" i="56"/>
  <c r="Q598" i="56"/>
  <c r="X326" i="56"/>
  <c r="X330" i="56" s="1"/>
  <c r="X334" i="56"/>
  <c r="X335" i="56" s="1"/>
  <c r="T450" i="47"/>
  <c r="U191" i="57"/>
  <c r="V191" i="57" s="1"/>
  <c r="Y354" i="56"/>
  <c r="V366" i="47"/>
  <c r="V367" i="47" s="1"/>
  <c r="X551" i="56"/>
  <c r="Y569" i="56" s="1"/>
  <c r="Y589" i="56" s="1"/>
  <c r="Y591" i="56" s="1"/>
  <c r="Y249" i="56" s="1"/>
  <c r="Y355" i="56" s="1"/>
  <c r="X299" i="56"/>
  <c r="X306" i="56" s="1"/>
  <c r="X313" i="56" s="1"/>
  <c r="Y382" i="56"/>
  <c r="T54" i="57"/>
  <c r="AS705" i="90" l="1"/>
  <c r="AS698" i="90"/>
  <c r="AP756" i="90"/>
  <c r="AP785" i="90" s="1"/>
  <c r="AP430" i="90" s="1"/>
  <c r="AP774" i="90"/>
  <c r="AU689" i="90"/>
  <c r="AR779" i="90"/>
  <c r="AQ717" i="90"/>
  <c r="AA260" i="92"/>
  <c r="AA265" i="92" s="1"/>
  <c r="AA267" i="92" s="1"/>
  <c r="AA270" i="92" s="1"/>
  <c r="AA433" i="92"/>
  <c r="AF532" i="90"/>
  <c r="W180" i="64"/>
  <c r="W201" i="64" s="1"/>
  <c r="Y251" i="56"/>
  <c r="Y253" i="56" s="1"/>
  <c r="Y356" i="56" s="1"/>
  <c r="Y358" i="56" s="1"/>
  <c r="X332" i="56"/>
  <c r="W292" i="64"/>
  <c r="T138" i="57"/>
  <c r="U54" i="57"/>
  <c r="U138" i="57" s="1"/>
  <c r="U92" i="57"/>
  <c r="U93" i="57" s="1"/>
  <c r="X340" i="88"/>
  <c r="X343" i="88" s="1"/>
  <c r="X345" i="88" s="1"/>
  <c r="X348" i="88" s="1"/>
  <c r="X559" i="88"/>
  <c r="V376" i="47"/>
  <c r="S376" i="47"/>
  <c r="T367" i="47"/>
  <c r="Y525" i="56"/>
  <c r="W49" i="57"/>
  <c r="AT690" i="90" l="1"/>
  <c r="AS703" i="90"/>
  <c r="AP781" i="90"/>
  <c r="AP770" i="90"/>
  <c r="AP788" i="90" s="1"/>
  <c r="AP475" i="90" s="1"/>
  <c r="AP516" i="90"/>
  <c r="AP432" i="90"/>
  <c r="AU699" i="90"/>
  <c r="AS758" i="90"/>
  <c r="AQ718" i="90"/>
  <c r="AA209" i="92"/>
  <c r="AB431" i="92"/>
  <c r="AB455" i="92"/>
  <c r="AB469" i="92" s="1"/>
  <c r="AB470" i="92" s="1"/>
  <c r="AB474" i="92" s="1"/>
  <c r="AB135" i="92" s="1"/>
  <c r="AF534" i="90"/>
  <c r="AF810" i="90"/>
  <c r="AF815" i="90" s="1"/>
  <c r="AF829" i="90" s="1"/>
  <c r="AA186" i="92"/>
  <c r="AA193" i="92" s="1"/>
  <c r="AA200" i="92" s="1"/>
  <c r="AA438" i="92"/>
  <c r="AB456" i="92" s="1"/>
  <c r="AB476" i="92" s="1"/>
  <c r="AB478" i="92" s="1"/>
  <c r="AB136" i="92" s="1"/>
  <c r="AB242" i="92" s="1"/>
  <c r="W207" i="64"/>
  <c r="W423" i="64"/>
  <c r="W430" i="64" s="1"/>
  <c r="X422" i="64" s="1"/>
  <c r="Y255" i="56"/>
  <c r="Y499" i="56" s="1"/>
  <c r="Y506" i="56" s="1"/>
  <c r="Y328" i="56" s="1"/>
  <c r="V504" i="47"/>
  <c r="V509" i="47" s="1"/>
  <c r="V523" i="47" s="1"/>
  <c r="V378" i="47"/>
  <c r="Y367" i="56"/>
  <c r="W77" i="57"/>
  <c r="W54" i="57"/>
  <c r="W138" i="57" s="1"/>
  <c r="W471" i="64"/>
  <c r="W477" i="64" s="1"/>
  <c r="W491" i="64" s="1"/>
  <c r="W294" i="64"/>
  <c r="W162" i="57"/>
  <c r="X286" i="88"/>
  <c r="X290" i="88" s="1"/>
  <c r="X298" i="88" s="1"/>
  <c r="Y581" i="88"/>
  <c r="Y595" i="88" s="1"/>
  <c r="Y596" i="88" s="1"/>
  <c r="Y600" i="88" s="1"/>
  <c r="Y557" i="88"/>
  <c r="S504" i="47"/>
  <c r="S509" i="47" s="1"/>
  <c r="S523" i="47" s="1"/>
  <c r="S378" i="47"/>
  <c r="T376" i="47"/>
  <c r="Y347" i="88"/>
  <c r="Y537" i="88" s="1"/>
  <c r="X564" i="88"/>
  <c r="Y582" i="88" s="1"/>
  <c r="X266" i="88"/>
  <c r="X273" i="88" s="1"/>
  <c r="X277" i="88" s="1"/>
  <c r="AT688" i="90" l="1"/>
  <c r="AT700" i="90"/>
  <c r="AQ760" i="90"/>
  <c r="AP777" i="90"/>
  <c r="AP789" i="90" s="1"/>
  <c r="AR715" i="90"/>
  <c r="AP515" i="90"/>
  <c r="AP519" i="90" s="1"/>
  <c r="AP445" i="90"/>
  <c r="AS772" i="90"/>
  <c r="AU704" i="90"/>
  <c r="AB241" i="92"/>
  <c r="AB138" i="92"/>
  <c r="AF833" i="90"/>
  <c r="AF836" i="90" s="1"/>
  <c r="AA213" i="92"/>
  <c r="AA217" i="92" s="1"/>
  <c r="AA219" i="92" s="1"/>
  <c r="AA221" i="92"/>
  <c r="AA222" i="92" s="1"/>
  <c r="W254" i="64"/>
  <c r="Y276" i="56"/>
  <c r="Y282" i="56"/>
  <c r="W78" i="57"/>
  <c r="Y369" i="56"/>
  <c r="Y521" i="56"/>
  <c r="Y527" i="56" s="1"/>
  <c r="Y541" i="56" s="1"/>
  <c r="Y602" i="88"/>
  <c r="Y604" i="88" s="1"/>
  <c r="Y243" i="88" s="1"/>
  <c r="V527" i="47"/>
  <c r="W495" i="64"/>
  <c r="W498" i="64" s="1"/>
  <c r="S527" i="47"/>
  <c r="S530" i="47" s="1"/>
  <c r="X300" i="88"/>
  <c r="AT698" i="90" l="1"/>
  <c r="AT705" i="90"/>
  <c r="AQ756" i="90"/>
  <c r="AQ785" i="90" s="1"/>
  <c r="AQ430" i="90" s="1"/>
  <c r="AQ774" i="90"/>
  <c r="AR717" i="90"/>
  <c r="AS779" i="90"/>
  <c r="AB140" i="92"/>
  <c r="AB243" i="92" s="1"/>
  <c r="AB245" i="92" s="1"/>
  <c r="AF538" i="90"/>
  <c r="AF540" i="90" s="1"/>
  <c r="AF542" i="90" s="1"/>
  <c r="AF545" i="90" s="1"/>
  <c r="AF834" i="90"/>
  <c r="Y545" i="56"/>
  <c r="Y548" i="56" s="1"/>
  <c r="W92" i="57"/>
  <c r="W93" i="57" s="1"/>
  <c r="Y323" i="88"/>
  <c r="Y245" i="88"/>
  <c r="V382" i="47"/>
  <c r="V528" i="47"/>
  <c r="W298" i="64"/>
  <c r="W304" i="64" s="1"/>
  <c r="W306" i="64" s="1"/>
  <c r="W496" i="64"/>
  <c r="S382" i="47"/>
  <c r="S528" i="47"/>
  <c r="S327" i="47" s="1"/>
  <c r="V530" i="47"/>
  <c r="AU690" i="90" l="1"/>
  <c r="AT703" i="90"/>
  <c r="AR718" i="90"/>
  <c r="AQ516" i="90"/>
  <c r="AQ432" i="90"/>
  <c r="AQ781" i="90"/>
  <c r="AQ770" i="90"/>
  <c r="AQ788" i="90" s="1"/>
  <c r="AQ475" i="90" s="1"/>
  <c r="AT758" i="90"/>
  <c r="AB254" i="92"/>
  <c r="AG544" i="90"/>
  <c r="AG812" i="90" s="1"/>
  <c r="AF458" i="90"/>
  <c r="AF463" i="90" s="1"/>
  <c r="AF478" i="90" s="1"/>
  <c r="AF881" i="90"/>
  <c r="AF839" i="90"/>
  <c r="AG857" i="90" s="1"/>
  <c r="AF491" i="90"/>
  <c r="AF494" i="90" s="1"/>
  <c r="AF502" i="90" s="1"/>
  <c r="AG856" i="90"/>
  <c r="AG870" i="90" s="1"/>
  <c r="AG871" i="90" s="1"/>
  <c r="AG875" i="90" s="1"/>
  <c r="AG434" i="90" s="1"/>
  <c r="AG832" i="90"/>
  <c r="AB142" i="92"/>
  <c r="Y247" i="88"/>
  <c r="Y324" i="88" s="1"/>
  <c r="Y325" i="88" s="1"/>
  <c r="W550" i="47"/>
  <c r="W564" i="47" s="1"/>
  <c r="W565" i="47" s="1"/>
  <c r="W526" i="47"/>
  <c r="V327" i="47"/>
  <c r="V384" i="47"/>
  <c r="V386" i="47" s="1"/>
  <c r="W96" i="57"/>
  <c r="X494" i="64"/>
  <c r="X518" i="64"/>
  <c r="X532" i="64" s="1"/>
  <c r="X533" i="64" s="1"/>
  <c r="X537" i="64" s="1"/>
  <c r="X174" i="64" s="1"/>
  <c r="W248" i="64"/>
  <c r="Y373" i="56"/>
  <c r="Y378" i="56" s="1"/>
  <c r="Y380" i="56" s="1"/>
  <c r="Y546" i="56"/>
  <c r="Y322" i="56" s="1"/>
  <c r="W309" i="64"/>
  <c r="W548" i="64"/>
  <c r="S384" i="47"/>
  <c r="T382" i="47"/>
  <c r="U96" i="57" s="1"/>
  <c r="S331" i="47"/>
  <c r="S339" i="47" s="1"/>
  <c r="S343" i="47"/>
  <c r="S344" i="47" s="1"/>
  <c r="AU700" i="90" l="1"/>
  <c r="AU688" i="90"/>
  <c r="AF504" i="90"/>
  <c r="AQ445" i="90"/>
  <c r="AQ515" i="90"/>
  <c r="AQ519" i="90" s="1"/>
  <c r="AT772" i="90"/>
  <c r="AS715" i="90"/>
  <c r="AR760" i="90"/>
  <c r="AQ777" i="90"/>
  <c r="AQ789" i="90" s="1"/>
  <c r="AB256" i="92"/>
  <c r="AB408" i="92"/>
  <c r="AB414" i="92" s="1"/>
  <c r="AB428" i="92" s="1"/>
  <c r="AG520" i="90"/>
  <c r="AG437" i="90"/>
  <c r="AB169" i="92"/>
  <c r="AB386" i="92"/>
  <c r="AB393" i="92" s="1"/>
  <c r="AB163" i="92"/>
  <c r="AG877" i="90"/>
  <c r="AG879" i="90" s="1"/>
  <c r="Y334" i="88"/>
  <c r="U109" i="57"/>
  <c r="U110" i="57" s="1"/>
  <c r="U114" i="57" s="1"/>
  <c r="S96" i="57"/>
  <c r="U173" i="57"/>
  <c r="T96" i="57"/>
  <c r="U119" i="57"/>
  <c r="V389" i="47"/>
  <c r="V580" i="47"/>
  <c r="W160" i="57"/>
  <c r="W172" i="57" s="1"/>
  <c r="Y248" i="88"/>
  <c r="Y294" i="88" s="1"/>
  <c r="Z292" i="88" s="1"/>
  <c r="X280" i="64"/>
  <c r="W569" i="47"/>
  <c r="W277" i="47"/>
  <c r="W251" i="47"/>
  <c r="W252" i="47" s="1"/>
  <c r="V331" i="47"/>
  <c r="V339" i="47" s="1"/>
  <c r="V343" i="47"/>
  <c r="V344" i="47" s="1"/>
  <c r="W252" i="64"/>
  <c r="W256" i="64" s="1"/>
  <c r="W260" i="64"/>
  <c r="W261" i="64" s="1"/>
  <c r="Z161" i="57"/>
  <c r="AA161" i="57" s="1"/>
  <c r="Y383" i="56"/>
  <c r="W173" i="57"/>
  <c r="W109" i="57"/>
  <c r="W110" i="57" s="1"/>
  <c r="Y326" i="56"/>
  <c r="Y330" i="56" s="1"/>
  <c r="Y334" i="56"/>
  <c r="Y335" i="56" s="1"/>
  <c r="X308" i="64"/>
  <c r="X475" i="64" s="1"/>
  <c r="W224" i="64"/>
  <c r="W231" i="64" s="1"/>
  <c r="W239" i="64" s="1"/>
  <c r="W501" i="64"/>
  <c r="X519" i="64" s="1"/>
  <c r="X539" i="64" s="1"/>
  <c r="X541" i="64" s="1"/>
  <c r="X175" i="64" s="1"/>
  <c r="X281" i="64" s="1"/>
  <c r="T384" i="47"/>
  <c r="S386" i="47"/>
  <c r="AU705" i="90" l="1"/>
  <c r="AU703" i="90" s="1"/>
  <c r="AU698" i="90"/>
  <c r="AS717" i="90"/>
  <c r="AT779" i="90"/>
  <c r="AR756" i="90"/>
  <c r="AR785" i="90" s="1"/>
  <c r="AR430" i="90" s="1"/>
  <c r="AR774" i="90"/>
  <c r="AB432" i="92"/>
  <c r="AB435" i="92" s="1"/>
  <c r="AB215" i="92"/>
  <c r="AC385" i="92"/>
  <c r="AG439" i="90"/>
  <c r="AG440" i="90" s="1"/>
  <c r="AG499" i="90" s="1"/>
  <c r="W176" i="57"/>
  <c r="S173" i="57"/>
  <c r="S176" i="57" s="1"/>
  <c r="S177" i="57" s="1"/>
  <c r="T158" i="57" s="1"/>
  <c r="S109" i="57"/>
  <c r="S110" i="57" s="1"/>
  <c r="S114" i="57" s="1"/>
  <c r="S119" i="57"/>
  <c r="Y299" i="56"/>
  <c r="Y306" i="56" s="1"/>
  <c r="Y313" i="56" s="1"/>
  <c r="Y332" i="56" s="1"/>
  <c r="Y551" i="56"/>
  <c r="T173" i="57"/>
  <c r="T109" i="57"/>
  <c r="T110" i="57" s="1"/>
  <c r="V112" i="57"/>
  <c r="V114" i="57" s="1"/>
  <c r="V119" i="57"/>
  <c r="U137" i="57"/>
  <c r="T160" i="57"/>
  <c r="T172" i="57" s="1"/>
  <c r="S389" i="47"/>
  <c r="T386" i="47"/>
  <c r="U160" i="57" s="1"/>
  <c r="W258" i="64"/>
  <c r="X177" i="64"/>
  <c r="V533" i="47"/>
  <c r="W551" i="47" s="1"/>
  <c r="V302" i="47"/>
  <c r="V309" i="47" s="1"/>
  <c r="V318" i="47" s="1"/>
  <c r="V341" i="47" s="1"/>
  <c r="W388" i="47"/>
  <c r="W506" i="47" s="1"/>
  <c r="Y361" i="88"/>
  <c r="Y362" i="88" s="1"/>
  <c r="Y535" i="88"/>
  <c r="Y540" i="88" s="1"/>
  <c r="Y554" i="88" s="1"/>
  <c r="Y336" i="88"/>
  <c r="W364" i="47"/>
  <c r="X38" i="57"/>
  <c r="AS718" i="90" l="1"/>
  <c r="AR516" i="90"/>
  <c r="AR432" i="90"/>
  <c r="AR781" i="90"/>
  <c r="AR770" i="90"/>
  <c r="AR788" i="90" s="1"/>
  <c r="AR475" i="90" s="1"/>
  <c r="AU758" i="90"/>
  <c r="AB260" i="92"/>
  <c r="AB265" i="92" s="1"/>
  <c r="AB267" i="92" s="1"/>
  <c r="AB270" i="92" s="1"/>
  <c r="AB433" i="92"/>
  <c r="AH498" i="90"/>
  <c r="AG500" i="90"/>
  <c r="AG522" i="90"/>
  <c r="AG523" i="90" s="1"/>
  <c r="AG442" i="90"/>
  <c r="W571" i="47"/>
  <c r="W573" i="47" s="1"/>
  <c r="W278" i="47" s="1"/>
  <c r="X179" i="64"/>
  <c r="X282" i="64" s="1"/>
  <c r="X283" i="64" s="1"/>
  <c r="Y363" i="88"/>
  <c r="Y558" i="88"/>
  <c r="Y561" i="88" s="1"/>
  <c r="S179" i="57"/>
  <c r="T112" i="57"/>
  <c r="T114" i="57" s="1"/>
  <c r="V137" i="57"/>
  <c r="W119" i="57"/>
  <c r="T176" i="57"/>
  <c r="T177" i="57" s="1"/>
  <c r="T119" i="57"/>
  <c r="T137" i="57" s="1"/>
  <c r="S137" i="57"/>
  <c r="W112" i="57"/>
  <c r="W114" i="57" s="1"/>
  <c r="AE5" i="57"/>
  <c r="S302" i="47"/>
  <c r="S309" i="47" s="1"/>
  <c r="S318" i="47" s="1"/>
  <c r="S341" i="47" s="1"/>
  <c r="S533" i="47"/>
  <c r="T389" i="47"/>
  <c r="X73" i="57"/>
  <c r="U172" i="57"/>
  <c r="AT715" i="90" l="1"/>
  <c r="AU772" i="90"/>
  <c r="AS760" i="90"/>
  <c r="AR777" i="90"/>
  <c r="AR789" i="90" s="1"/>
  <c r="AR445" i="90"/>
  <c r="AR515" i="90"/>
  <c r="AR519" i="90" s="1"/>
  <c r="AC455" i="92"/>
  <c r="AC469" i="92" s="1"/>
  <c r="AC470" i="92" s="1"/>
  <c r="AC474" i="92" s="1"/>
  <c r="AC135" i="92" s="1"/>
  <c r="AC431" i="92"/>
  <c r="AB209" i="92"/>
  <c r="AG532" i="90"/>
  <c r="AB186" i="92"/>
  <c r="AB193" i="92" s="1"/>
  <c r="AB200" i="92" s="1"/>
  <c r="AB438" i="92"/>
  <c r="AC456" i="92" s="1"/>
  <c r="AC476" i="92" s="1"/>
  <c r="AC478" i="92" s="1"/>
  <c r="AC136" i="92" s="1"/>
  <c r="AC242" i="92" s="1"/>
  <c r="T179" i="57"/>
  <c r="AF5" i="57"/>
  <c r="X112" i="57"/>
  <c r="X292" i="64"/>
  <c r="W365" i="47"/>
  <c r="X44" i="57"/>
  <c r="W281" i="47"/>
  <c r="Y340" i="88"/>
  <c r="Y343" i="88" s="1"/>
  <c r="Y345" i="88" s="1"/>
  <c r="Y348" i="88" s="1"/>
  <c r="Y559" i="88"/>
  <c r="U176" i="57"/>
  <c r="W137" i="57"/>
  <c r="X180" i="64"/>
  <c r="AT717" i="90" l="1"/>
  <c r="AS756" i="90"/>
  <c r="AS785" i="90" s="1"/>
  <c r="AS430" i="90" s="1"/>
  <c r="AS774" i="90"/>
  <c r="AU779" i="90"/>
  <c r="AG810" i="90"/>
  <c r="AG815" i="90" s="1"/>
  <c r="AG829" i="90" s="1"/>
  <c r="AG534" i="90"/>
  <c r="AC241" i="92"/>
  <c r="AC138" i="92"/>
  <c r="AB213" i="92"/>
  <c r="AB217" i="92" s="1"/>
  <c r="AB219" i="92" s="1"/>
  <c r="AB221" i="92"/>
  <c r="AB222" i="92" s="1"/>
  <c r="X423" i="64"/>
  <c r="X430" i="64" s="1"/>
  <c r="X207" i="64"/>
  <c r="X201" i="64"/>
  <c r="X162" i="57"/>
  <c r="X294" i="64"/>
  <c r="X471" i="64"/>
  <c r="X477" i="64" s="1"/>
  <c r="X491" i="64" s="1"/>
  <c r="W283" i="47"/>
  <c r="W284" i="47" s="1"/>
  <c r="X76" i="57"/>
  <c r="X47" i="57"/>
  <c r="Z581" i="88"/>
  <c r="Z595" i="88" s="1"/>
  <c r="Z596" i="88" s="1"/>
  <c r="Z600" i="88" s="1"/>
  <c r="Y286" i="88"/>
  <c r="Y290" i="88" s="1"/>
  <c r="Y298" i="88" s="1"/>
  <c r="Z557" i="88"/>
  <c r="Y266" i="88"/>
  <c r="Y273" i="88" s="1"/>
  <c r="Y277" i="88" s="1"/>
  <c r="Y564" i="88"/>
  <c r="Z582" i="88" s="1"/>
  <c r="Z347" i="88"/>
  <c r="Z537" i="88" s="1"/>
  <c r="U177" i="57"/>
  <c r="AT718" i="90" l="1"/>
  <c r="AS781" i="90"/>
  <c r="AS770" i="90"/>
  <c r="AS788" i="90" s="1"/>
  <c r="AS475" i="90" s="1"/>
  <c r="AS516" i="90"/>
  <c r="AS432" i="90"/>
  <c r="AG833" i="90"/>
  <c r="AC140" i="92"/>
  <c r="AC243" i="92" s="1"/>
  <c r="AC245" i="92" s="1"/>
  <c r="Y300" i="88"/>
  <c r="W335" i="47"/>
  <c r="X333" i="47" s="1"/>
  <c r="W450" i="47"/>
  <c r="Y422" i="64"/>
  <c r="X254" i="64"/>
  <c r="V158" i="57"/>
  <c r="V177" i="57" s="1"/>
  <c r="U179" i="57"/>
  <c r="Z602" i="88"/>
  <c r="Z604" i="88" s="1"/>
  <c r="Z243" i="88" s="1"/>
  <c r="X495" i="64"/>
  <c r="X49" i="57"/>
  <c r="W366" i="47"/>
  <c r="W367" i="47" s="1"/>
  <c r="AT760" i="90" l="1"/>
  <c r="AS777" i="90"/>
  <c r="AS789" i="90" s="1"/>
  <c r="AS515" i="90"/>
  <c r="AS519" i="90" s="1"/>
  <c r="AS445" i="90"/>
  <c r="AU715" i="90"/>
  <c r="AC142" i="92"/>
  <c r="AG538" i="90"/>
  <c r="AG540" i="90" s="1"/>
  <c r="AG542" i="90" s="1"/>
  <c r="AG545" i="90" s="1"/>
  <c r="AG834" i="90"/>
  <c r="AG836" i="90"/>
  <c r="AC254" i="92"/>
  <c r="Z323" i="88"/>
  <c r="Z245" i="88"/>
  <c r="W158" i="57"/>
  <c r="W177" i="57" s="1"/>
  <c r="V179" i="57"/>
  <c r="X298" i="64"/>
  <c r="X304" i="64" s="1"/>
  <c r="X306" i="64" s="1"/>
  <c r="X496" i="64"/>
  <c r="X77" i="57"/>
  <c r="W376" i="47"/>
  <c r="X498" i="64"/>
  <c r="X54" i="57"/>
  <c r="X138" i="57" s="1"/>
  <c r="AT756" i="90" l="1"/>
  <c r="AT785" i="90" s="1"/>
  <c r="AT430" i="90" s="1"/>
  <c r="AT774" i="90"/>
  <c r="AU717" i="90"/>
  <c r="AH856" i="90"/>
  <c r="AH870" i="90" s="1"/>
  <c r="AH871" i="90" s="1"/>
  <c r="AH875" i="90" s="1"/>
  <c r="AH434" i="90" s="1"/>
  <c r="AH832" i="90"/>
  <c r="AG491" i="90"/>
  <c r="AG494" i="90" s="1"/>
  <c r="AG502" i="90" s="1"/>
  <c r="AG458" i="90"/>
  <c r="AG463" i="90" s="1"/>
  <c r="AG478" i="90" s="1"/>
  <c r="AG839" i="90"/>
  <c r="AH857" i="90" s="1"/>
  <c r="AH544" i="90"/>
  <c r="AH812" i="90" s="1"/>
  <c r="AG881" i="90"/>
  <c r="AC386" i="92"/>
  <c r="AC393" i="92" s="1"/>
  <c r="AC163" i="92"/>
  <c r="AC169" i="92"/>
  <c r="AC408" i="92"/>
  <c r="AC414" i="92" s="1"/>
  <c r="AC428" i="92" s="1"/>
  <c r="AC256" i="92"/>
  <c r="Z247" i="88"/>
  <c r="Z324" i="88" s="1"/>
  <c r="Z325" i="88" s="1"/>
  <c r="X248" i="64"/>
  <c r="Y494" i="64"/>
  <c r="Y518" i="64"/>
  <c r="Y532" i="64" s="1"/>
  <c r="Y533" i="64" s="1"/>
  <c r="Y537" i="64" s="1"/>
  <c r="Y174" i="64" s="1"/>
  <c r="X158" i="57"/>
  <c r="W179" i="57"/>
  <c r="X548" i="64"/>
  <c r="X309" i="64"/>
  <c r="X78" i="57"/>
  <c r="W504" i="47"/>
  <c r="W509" i="47" s="1"/>
  <c r="W523" i="47" s="1"/>
  <c r="W378" i="47"/>
  <c r="AT516" i="90" l="1"/>
  <c r="AT432" i="90"/>
  <c r="AU718" i="90"/>
  <c r="AT781" i="90"/>
  <c r="AT770" i="90"/>
  <c r="AT788" i="90" s="1"/>
  <c r="AT475" i="90" s="1"/>
  <c r="AG504" i="90"/>
  <c r="AH520" i="90"/>
  <c r="AH437" i="90"/>
  <c r="AH877" i="90"/>
  <c r="AH879" i="90" s="1"/>
  <c r="AC432" i="92"/>
  <c r="AC215" i="92"/>
  <c r="AD385" i="92"/>
  <c r="Z334" i="88"/>
  <c r="Y308" i="64"/>
  <c r="Y475" i="64" s="1"/>
  <c r="X501" i="64"/>
  <c r="Y519" i="64" s="1"/>
  <c r="Y539" i="64" s="1"/>
  <c r="Y541" i="64" s="1"/>
  <c r="Y175" i="64" s="1"/>
  <c r="Y281" i="64" s="1"/>
  <c r="X224" i="64"/>
  <c r="X231" i="64" s="1"/>
  <c r="X239" i="64" s="1"/>
  <c r="Z248" i="88"/>
  <c r="Z294" i="88" s="1"/>
  <c r="AA292" i="88" s="1"/>
  <c r="X252" i="64"/>
  <c r="X256" i="64" s="1"/>
  <c r="X260" i="64"/>
  <c r="X261" i="64" s="1"/>
  <c r="Y280" i="64"/>
  <c r="W527" i="47"/>
  <c r="W530" i="47" s="1"/>
  <c r="X92" i="57"/>
  <c r="X93" i="57" s="1"/>
  <c r="AU760" i="90" l="1"/>
  <c r="AT777" i="90"/>
  <c r="AT789" i="90" s="1"/>
  <c r="AT445" i="90"/>
  <c r="AT515" i="90"/>
  <c r="AT519" i="90" s="1"/>
  <c r="AC260" i="92"/>
  <c r="AC265" i="92" s="1"/>
  <c r="AC267" i="92" s="1"/>
  <c r="AC270" i="92" s="1"/>
  <c r="AC433" i="92"/>
  <c r="AH439" i="90"/>
  <c r="AC435" i="92"/>
  <c r="Z361" i="88"/>
  <c r="Z362" i="88" s="1"/>
  <c r="Z535" i="88"/>
  <c r="Z540" i="88" s="1"/>
  <c r="Z554" i="88" s="1"/>
  <c r="Z336" i="88"/>
  <c r="Y177" i="64"/>
  <c r="W382" i="47"/>
  <c r="W528" i="47"/>
  <c r="X258" i="64"/>
  <c r="AU756" i="90" l="1"/>
  <c r="AU785" i="90" s="1"/>
  <c r="AU430" i="90" s="1"/>
  <c r="AU774" i="90"/>
  <c r="AC186" i="92"/>
  <c r="AC193" i="92" s="1"/>
  <c r="AC200" i="92" s="1"/>
  <c r="AC438" i="92"/>
  <c r="AD456" i="92" s="1"/>
  <c r="AD476" i="92" s="1"/>
  <c r="AD478" i="92" s="1"/>
  <c r="AD136" i="92" s="1"/>
  <c r="AD242" i="92" s="1"/>
  <c r="AH522" i="90"/>
  <c r="AH523" i="90" s="1"/>
  <c r="AH442" i="90"/>
  <c r="AD455" i="92"/>
  <c r="AD469" i="92" s="1"/>
  <c r="AD470" i="92" s="1"/>
  <c r="AD474" i="92" s="1"/>
  <c r="AD135" i="92" s="1"/>
  <c r="AD431" i="92"/>
  <c r="AC209" i="92"/>
  <c r="AH440" i="90"/>
  <c r="AH499" i="90" s="1"/>
  <c r="Z558" i="88"/>
  <c r="Z363" i="88"/>
  <c r="W384" i="47"/>
  <c r="W386" i="47" s="1"/>
  <c r="X96" i="57"/>
  <c r="Y179" i="64"/>
  <c r="Y282" i="64" s="1"/>
  <c r="Y283" i="64" s="1"/>
  <c r="X550" i="47"/>
  <c r="X564" i="47" s="1"/>
  <c r="X565" i="47" s="1"/>
  <c r="W327" i="47"/>
  <c r="X526" i="47"/>
  <c r="AU516" i="90" l="1"/>
  <c r="AU432" i="90"/>
  <c r="AU781" i="90"/>
  <c r="AU777" i="90" s="1"/>
  <c r="AU789" i="90" s="1"/>
  <c r="AU770" i="90"/>
  <c r="AU788" i="90" s="1"/>
  <c r="AU475" i="90" s="1"/>
  <c r="AD241" i="92"/>
  <c r="AD138" i="92"/>
  <c r="AC213" i="92"/>
  <c r="AC217" i="92" s="1"/>
  <c r="AC219" i="92" s="1"/>
  <c r="AC221" i="92"/>
  <c r="AC222" i="92" s="1"/>
  <c r="AH532" i="90"/>
  <c r="AH500" i="90"/>
  <c r="AI498" i="90"/>
  <c r="Y180" i="64"/>
  <c r="Y207" i="64" s="1"/>
  <c r="Z340" i="88"/>
  <c r="Z343" i="88" s="1"/>
  <c r="Z345" i="88" s="1"/>
  <c r="Z348" i="88" s="1"/>
  <c r="Z559" i="88"/>
  <c r="W389" i="47"/>
  <c r="W580" i="47"/>
  <c r="X160" i="57"/>
  <c r="X251" i="47"/>
  <c r="X252" i="47" s="1"/>
  <c r="X277" i="47"/>
  <c r="X569" i="47"/>
  <c r="Z561" i="88"/>
  <c r="X109" i="57"/>
  <c r="X110" i="57" s="1"/>
  <c r="X114" i="57" s="1"/>
  <c r="X173" i="57"/>
  <c r="X119" i="57"/>
  <c r="Y292" i="64"/>
  <c r="W331" i="47"/>
  <c r="W339" i="47" s="1"/>
  <c r="W343" i="47"/>
  <c r="W344" i="47" s="1"/>
  <c r="AU515" i="90" l="1"/>
  <c r="AU519" i="90" s="1"/>
  <c r="AU445" i="90"/>
  <c r="AD140" i="92"/>
  <c r="AD243" i="92" s="1"/>
  <c r="AD245" i="92" s="1"/>
  <c r="AH534" i="90"/>
  <c r="AH810" i="90"/>
  <c r="AH815" i="90" s="1"/>
  <c r="AH829" i="90" s="1"/>
  <c r="Y201" i="64"/>
  <c r="Y423" i="64"/>
  <c r="Y430" i="64" s="1"/>
  <c r="Y254" i="64" s="1"/>
  <c r="Y471" i="64"/>
  <c r="Y477" i="64" s="1"/>
  <c r="Y491" i="64" s="1"/>
  <c r="Y294" i="64"/>
  <c r="Z286" i="88"/>
  <c r="Z290" i="88" s="1"/>
  <c r="Z298" i="88" s="1"/>
  <c r="AA581" i="88"/>
  <c r="AA595" i="88" s="1"/>
  <c r="AA596" i="88" s="1"/>
  <c r="AA600" i="88" s="1"/>
  <c r="AA557" i="88"/>
  <c r="Z564" i="88"/>
  <c r="AA582" i="88" s="1"/>
  <c r="Z266" i="88"/>
  <c r="Z273" i="88" s="1"/>
  <c r="Z277" i="88" s="1"/>
  <c r="AA347" i="88"/>
  <c r="AA537" i="88" s="1"/>
  <c r="W533" i="47"/>
  <c r="X551" i="47" s="1"/>
  <c r="X388" i="47"/>
  <c r="X506" i="47" s="1"/>
  <c r="W302" i="47"/>
  <c r="W309" i="47" s="1"/>
  <c r="W318" i="47" s="1"/>
  <c r="W341" i="47" s="1"/>
  <c r="X172" i="57"/>
  <c r="AG5" i="57"/>
  <c r="Y112" i="57"/>
  <c r="X364" i="47"/>
  <c r="Y38" i="57"/>
  <c r="X137" i="57"/>
  <c r="AD142" i="92" l="1"/>
  <c r="AD386" i="92" s="1"/>
  <c r="AD393" i="92" s="1"/>
  <c r="AH833" i="90"/>
  <c r="AH836" i="90" s="1"/>
  <c r="AD254" i="92"/>
  <c r="Z300" i="88"/>
  <c r="Z422" i="64"/>
  <c r="AA602" i="88"/>
  <c r="AA604" i="88" s="1"/>
  <c r="AA243" i="88" s="1"/>
  <c r="Y495" i="64"/>
  <c r="X571" i="47"/>
  <c r="X573" i="47" s="1"/>
  <c r="X278" i="47" s="1"/>
  <c r="X176" i="57"/>
  <c r="Y73" i="57"/>
  <c r="AD169" i="92" l="1"/>
  <c r="AD163" i="92"/>
  <c r="AH538" i="90"/>
  <c r="AH540" i="90" s="1"/>
  <c r="AH542" i="90" s="1"/>
  <c r="AH545" i="90" s="1"/>
  <c r="AH834" i="90"/>
  <c r="AE385" i="92"/>
  <c r="AD215" i="92"/>
  <c r="AD408" i="92"/>
  <c r="AD414" i="92" s="1"/>
  <c r="AD428" i="92" s="1"/>
  <c r="AD256" i="92"/>
  <c r="AA323" i="88"/>
  <c r="AA245" i="88"/>
  <c r="Y44" i="57"/>
  <c r="X365" i="47"/>
  <c r="X281" i="47"/>
  <c r="Y298" i="64"/>
  <c r="Y304" i="64" s="1"/>
  <c r="Y306" i="64" s="1"/>
  <c r="Y496" i="64"/>
  <c r="Y498" i="64"/>
  <c r="X177" i="57"/>
  <c r="AD432" i="92" l="1"/>
  <c r="AH881" i="90"/>
  <c r="AH458" i="90"/>
  <c r="AH463" i="90" s="1"/>
  <c r="AH478" i="90" s="1"/>
  <c r="AH839" i="90"/>
  <c r="AI857" i="90" s="1"/>
  <c r="AI544" i="90"/>
  <c r="AI812" i="90" s="1"/>
  <c r="AI856" i="90"/>
  <c r="AI870" i="90" s="1"/>
  <c r="AI871" i="90" s="1"/>
  <c r="AI875" i="90" s="1"/>
  <c r="AI434" i="90" s="1"/>
  <c r="AI832" i="90"/>
  <c r="AH491" i="90"/>
  <c r="AH494" i="90" s="1"/>
  <c r="AH502" i="90" s="1"/>
  <c r="AA247" i="88"/>
  <c r="AA324" i="88" s="1"/>
  <c r="AA325" i="88" s="1"/>
  <c r="Y76" i="57"/>
  <c r="Y47" i="57"/>
  <c r="Y162" i="57"/>
  <c r="Y309" i="64"/>
  <c r="Y548" i="64"/>
  <c r="Y248" i="64"/>
  <c r="Z494" i="64"/>
  <c r="Z518" i="64"/>
  <c r="Z532" i="64" s="1"/>
  <c r="Z533" i="64" s="1"/>
  <c r="Z537" i="64" s="1"/>
  <c r="Z174" i="64" s="1"/>
  <c r="X283" i="47"/>
  <c r="X284" i="47" s="1"/>
  <c r="Y158" i="57"/>
  <c r="X179" i="57"/>
  <c r="AH504" i="90" l="1"/>
  <c r="AI877" i="90"/>
  <c r="AI879" i="90" s="1"/>
  <c r="AD260" i="92"/>
  <c r="AD265" i="92" s="1"/>
  <c r="AD267" i="92" s="1"/>
  <c r="AD270" i="92" s="1"/>
  <c r="AD433" i="92"/>
  <c r="AI520" i="90"/>
  <c r="AI437" i="90"/>
  <c r="AD435" i="92"/>
  <c r="AA334" i="88"/>
  <c r="R550" i="64"/>
  <c r="R551" i="64" s="1"/>
  <c r="R553" i="64" s="1"/>
  <c r="R556" i="64" s="1"/>
  <c r="R557" i="64" s="1"/>
  <c r="U549" i="64"/>
  <c r="R549" i="64"/>
  <c r="Z308" i="64"/>
  <c r="Z475" i="64" s="1"/>
  <c r="Y501" i="64"/>
  <c r="Z519" i="64" s="1"/>
  <c r="Z539" i="64" s="1"/>
  <c r="Z541" i="64" s="1"/>
  <c r="Z175" i="64" s="1"/>
  <c r="Z281" i="64" s="1"/>
  <c r="Y224" i="64"/>
  <c r="Y231" i="64" s="1"/>
  <c r="Y239" i="64" s="1"/>
  <c r="Y252" i="64"/>
  <c r="Y256" i="64" s="1"/>
  <c r="Y260" i="64"/>
  <c r="Y261" i="64" s="1"/>
  <c r="X335" i="47"/>
  <c r="Y333" i="47" s="1"/>
  <c r="X450" i="47"/>
  <c r="Z280" i="64"/>
  <c r="Y49" i="57"/>
  <c r="X366" i="47"/>
  <c r="X367" i="47" s="1"/>
  <c r="AA248" i="88"/>
  <c r="AA294" i="88" s="1"/>
  <c r="AB292" i="88" s="1"/>
  <c r="AD438" i="92" l="1"/>
  <c r="AE456" i="92" s="1"/>
  <c r="AE476" i="92" s="1"/>
  <c r="AE478" i="92" s="1"/>
  <c r="AE136" i="92" s="1"/>
  <c r="AE242" i="92" s="1"/>
  <c r="AD186" i="92"/>
  <c r="AD193" i="92" s="1"/>
  <c r="AD200" i="92" s="1"/>
  <c r="AE455" i="92"/>
  <c r="AE469" i="92" s="1"/>
  <c r="AE470" i="92" s="1"/>
  <c r="AE474" i="92" s="1"/>
  <c r="AE135" i="92" s="1"/>
  <c r="AE431" i="92"/>
  <c r="AD209" i="92"/>
  <c r="AI439" i="90"/>
  <c r="Z177" i="64"/>
  <c r="AA535" i="88"/>
  <c r="AA540" i="88" s="1"/>
  <c r="AA554" i="88" s="1"/>
  <c r="AA336" i="88"/>
  <c r="AA361" i="88"/>
  <c r="AA362" i="88" s="1"/>
  <c r="X376" i="47"/>
  <c r="Y77" i="57"/>
  <c r="Y258" i="64"/>
  <c r="Y54" i="57"/>
  <c r="Y138" i="57" s="1"/>
  <c r="AI522" i="90" l="1"/>
  <c r="AI523" i="90" s="1"/>
  <c r="AI442" i="90"/>
  <c r="AI440" i="90"/>
  <c r="AI499" i="90" s="1"/>
  <c r="AE241" i="92"/>
  <c r="AE138" i="92"/>
  <c r="AD213" i="92"/>
  <c r="AD217" i="92" s="1"/>
  <c r="AD219" i="92" s="1"/>
  <c r="AD221" i="92"/>
  <c r="AD222" i="92" s="1"/>
  <c r="Z179" i="64"/>
  <c r="Z282" i="64" s="1"/>
  <c r="Z283" i="64" s="1"/>
  <c r="Z292" i="64" s="1"/>
  <c r="X378" i="47"/>
  <c r="X504" i="47"/>
  <c r="X509" i="47" s="1"/>
  <c r="X523" i="47" s="1"/>
  <c r="AA558" i="88"/>
  <c r="AA561" i="88" s="1"/>
  <c r="AA363" i="88"/>
  <c r="Y78" i="57"/>
  <c r="AI532" i="90" l="1"/>
  <c r="AE140" i="92"/>
  <c r="AE243" i="92" s="1"/>
  <c r="AE245" i="92" s="1"/>
  <c r="AI500" i="90"/>
  <c r="AJ498" i="90"/>
  <c r="Z180" i="64"/>
  <c r="Z423" i="64" s="1"/>
  <c r="Z430" i="64" s="1"/>
  <c r="Z254" i="64" s="1"/>
  <c r="Z471" i="64"/>
  <c r="Z477" i="64" s="1"/>
  <c r="Z491" i="64" s="1"/>
  <c r="Z294" i="64"/>
  <c r="X527" i="47"/>
  <c r="AA340" i="88"/>
  <c r="AA343" i="88" s="1"/>
  <c r="AA345" i="88" s="1"/>
  <c r="AA348" i="88" s="1"/>
  <c r="AA559" i="88"/>
  <c r="Y92" i="57"/>
  <c r="Y93" i="57" s="1"/>
  <c r="AE254" i="92" l="1"/>
  <c r="AI810" i="90"/>
  <c r="AI815" i="90" s="1"/>
  <c r="AI829" i="90" s="1"/>
  <c r="AI534" i="90"/>
  <c r="AE142" i="92"/>
  <c r="Z207" i="64"/>
  <c r="Z201" i="64"/>
  <c r="X382" i="47"/>
  <c r="X528" i="47"/>
  <c r="AB557" i="88"/>
  <c r="AB581" i="88"/>
  <c r="AB595" i="88" s="1"/>
  <c r="AB596" i="88" s="1"/>
  <c r="AB600" i="88" s="1"/>
  <c r="AA286" i="88"/>
  <c r="AA290" i="88" s="1"/>
  <c r="AA298" i="88" s="1"/>
  <c r="AA266" i="88"/>
  <c r="AA273" i="88" s="1"/>
  <c r="AA277" i="88" s="1"/>
  <c r="AA564" i="88"/>
  <c r="AB582" i="88" s="1"/>
  <c r="AB347" i="88"/>
  <c r="AB537" i="88" s="1"/>
  <c r="Z495" i="64"/>
  <c r="Z498" i="64" s="1"/>
  <c r="X530" i="47"/>
  <c r="AE408" i="92" l="1"/>
  <c r="AE414" i="92" s="1"/>
  <c r="AE428" i="92" s="1"/>
  <c r="AE256" i="92"/>
  <c r="AI833" i="90"/>
  <c r="AI836" i="90" s="1"/>
  <c r="AE169" i="92"/>
  <c r="AE386" i="92"/>
  <c r="AE393" i="92" s="1"/>
  <c r="AE163" i="92"/>
  <c r="Y550" i="47"/>
  <c r="Y564" i="47" s="1"/>
  <c r="Y565" i="47" s="1"/>
  <c r="Y526" i="47"/>
  <c r="X327" i="47"/>
  <c r="Y96" i="57"/>
  <c r="X384" i="47"/>
  <c r="X386" i="47" s="1"/>
  <c r="AB602" i="88"/>
  <c r="AB604" i="88" s="1"/>
  <c r="AB243" i="88" s="1"/>
  <c r="Z298" i="64"/>
  <c r="Z304" i="64" s="1"/>
  <c r="Z306" i="64" s="1"/>
  <c r="Z496" i="64"/>
  <c r="Z248" i="64" s="1"/>
  <c r="AA300" i="88"/>
  <c r="AE432" i="92" l="1"/>
  <c r="AE435" i="92" s="1"/>
  <c r="AE215" i="92"/>
  <c r="AF385" i="92"/>
  <c r="AI538" i="90"/>
  <c r="AI540" i="90" s="1"/>
  <c r="AI542" i="90" s="1"/>
  <c r="AI545" i="90" s="1"/>
  <c r="AI834" i="90"/>
  <c r="Y251" i="47"/>
  <c r="Y252" i="47" s="1"/>
  <c r="Y569" i="47"/>
  <c r="Y277" i="47"/>
  <c r="X331" i="47"/>
  <c r="X339" i="47" s="1"/>
  <c r="X343" i="47"/>
  <c r="X344" i="47" s="1"/>
  <c r="Y109" i="57"/>
  <c r="Y110" i="57" s="1"/>
  <c r="Y114" i="57" s="1"/>
  <c r="Y173" i="57"/>
  <c r="Y119" i="57"/>
  <c r="AB323" i="88"/>
  <c r="AB245" i="88"/>
  <c r="X580" i="47"/>
  <c r="X389" i="47"/>
  <c r="Y160" i="57"/>
  <c r="Z309" i="64"/>
  <c r="Z162" i="57"/>
  <c r="AA162" i="57" s="1"/>
  <c r="Z252" i="64"/>
  <c r="Z256" i="64" s="1"/>
  <c r="Z260" i="64"/>
  <c r="Z261" i="64" s="1"/>
  <c r="AI881" i="90" l="1"/>
  <c r="AJ544" i="90"/>
  <c r="AJ812" i="90" s="1"/>
  <c r="AI458" i="90"/>
  <c r="AI463" i="90" s="1"/>
  <c r="AI478" i="90" s="1"/>
  <c r="AI839" i="90"/>
  <c r="AJ857" i="90" s="1"/>
  <c r="AI491" i="90"/>
  <c r="AI494" i="90" s="1"/>
  <c r="AI502" i="90" s="1"/>
  <c r="AJ832" i="90"/>
  <c r="AJ856" i="90"/>
  <c r="AJ870" i="90" s="1"/>
  <c r="AJ871" i="90" s="1"/>
  <c r="AJ875" i="90" s="1"/>
  <c r="AJ434" i="90" s="1"/>
  <c r="AE260" i="92"/>
  <c r="AE265" i="92" s="1"/>
  <c r="AE267" i="92" s="1"/>
  <c r="AE270" i="92" s="1"/>
  <c r="AE433" i="92"/>
  <c r="Z38" i="57"/>
  <c r="Y364" i="47"/>
  <c r="Y137" i="57"/>
  <c r="Z112" i="57"/>
  <c r="AH5" i="57"/>
  <c r="AB247" i="88"/>
  <c r="AB324" i="88" s="1"/>
  <c r="AB325" i="88" s="1"/>
  <c r="X533" i="47"/>
  <c r="Y551" i="47" s="1"/>
  <c r="Y571" i="47" s="1"/>
  <c r="Y573" i="47" s="1"/>
  <c r="Y278" i="47" s="1"/>
  <c r="Y281" i="47" s="1"/>
  <c r="Y388" i="47"/>
  <c r="Y506" i="47" s="1"/>
  <c r="X302" i="47"/>
  <c r="X309" i="47" s="1"/>
  <c r="X318" i="47" s="1"/>
  <c r="X341" i="47" s="1"/>
  <c r="Z501" i="64"/>
  <c r="Z224" i="64"/>
  <c r="Z231" i="64" s="1"/>
  <c r="Z239" i="64" s="1"/>
  <c r="Z258" i="64" s="1"/>
  <c r="Q582" i="47"/>
  <c r="Q583" i="47" s="1"/>
  <c r="Q581" i="47"/>
  <c r="Y172" i="57"/>
  <c r="AI504" i="90" l="1"/>
  <c r="AJ877" i="90"/>
  <c r="AJ879" i="90" s="1"/>
  <c r="AJ520" i="90"/>
  <c r="AJ437" i="90"/>
  <c r="AE438" i="92"/>
  <c r="AF456" i="92" s="1"/>
  <c r="AF476" i="92" s="1"/>
  <c r="AF478" i="92" s="1"/>
  <c r="AF136" i="92" s="1"/>
  <c r="AF242" i="92" s="1"/>
  <c r="AE186" i="92"/>
  <c r="AE193" i="92" s="1"/>
  <c r="AE200" i="92" s="1"/>
  <c r="AF455" i="92"/>
  <c r="AF469" i="92" s="1"/>
  <c r="AF470" i="92" s="1"/>
  <c r="AF474" i="92" s="1"/>
  <c r="AF135" i="92" s="1"/>
  <c r="AE209" i="92"/>
  <c r="AF431" i="92"/>
  <c r="Q585" i="47"/>
  <c r="Q588" i="47" s="1"/>
  <c r="Q589" i="47" s="1"/>
  <c r="Z73" i="57"/>
  <c r="AA38" i="57"/>
  <c r="AB334" i="88"/>
  <c r="Y283" i="47"/>
  <c r="AB248" i="88"/>
  <c r="AB294" i="88" s="1"/>
  <c r="AC292" i="88" s="1"/>
  <c r="Y176" i="57"/>
  <c r="Y365" i="47"/>
  <c r="Z44" i="57"/>
  <c r="Z47" i="57" s="1"/>
  <c r="AJ439" i="90" l="1"/>
  <c r="AJ440" i="90" s="1"/>
  <c r="AJ499" i="90" s="1"/>
  <c r="AE213" i="92"/>
  <c r="AE217" i="92" s="1"/>
  <c r="AE219" i="92" s="1"/>
  <c r="AE221" i="92"/>
  <c r="AE222" i="92" s="1"/>
  <c r="AF241" i="92"/>
  <c r="AF138" i="92"/>
  <c r="Z49" i="57"/>
  <c r="Y366" i="47"/>
  <c r="Y367" i="47" s="1"/>
  <c r="AA73" i="57"/>
  <c r="AB336" i="88"/>
  <c r="AB361" i="88"/>
  <c r="AB362" i="88" s="1"/>
  <c r="AB535" i="88"/>
  <c r="AB540" i="88" s="1"/>
  <c r="AB554" i="88" s="1"/>
  <c r="Y177" i="57"/>
  <c r="Y284" i="47"/>
  <c r="Z76" i="57"/>
  <c r="AA76" i="57" s="1"/>
  <c r="AA44" i="57"/>
  <c r="AA47" i="57" s="1"/>
  <c r="AJ522" i="90" l="1"/>
  <c r="AJ523" i="90" s="1"/>
  <c r="AJ442" i="90"/>
  <c r="AJ500" i="90"/>
  <c r="AK498" i="90"/>
  <c r="AF140" i="92"/>
  <c r="AF243" i="92" s="1"/>
  <c r="AF245" i="92" s="1"/>
  <c r="Z77" i="57"/>
  <c r="AA49" i="57"/>
  <c r="AA54" i="57" s="1"/>
  <c r="AA138" i="57" s="1"/>
  <c r="AB558" i="88"/>
  <c r="AB561" i="88" s="1"/>
  <c r="Z54" i="57"/>
  <c r="Z138" i="57" s="1"/>
  <c r="Y376" i="47"/>
  <c r="Z158" i="57"/>
  <c r="Y179" i="57"/>
  <c r="AB363" i="88"/>
  <c r="Y335" i="47"/>
  <c r="Y450" i="47"/>
  <c r="AF254" i="92" l="1"/>
  <c r="AJ532" i="90"/>
  <c r="AF142" i="92"/>
  <c r="AA77" i="57"/>
  <c r="Z78" i="57"/>
  <c r="Y504" i="47"/>
  <c r="Y509" i="47" s="1"/>
  <c r="Y523" i="47" s="1"/>
  <c r="Y378" i="47"/>
  <c r="AB340" i="88"/>
  <c r="AB343" i="88" s="1"/>
  <c r="AB345" i="88" s="1"/>
  <c r="AB348" i="88" s="1"/>
  <c r="AB559" i="88"/>
  <c r="AJ810" i="90" l="1"/>
  <c r="AJ815" i="90" s="1"/>
  <c r="AJ829" i="90" s="1"/>
  <c r="AJ534" i="90"/>
  <c r="AF408" i="92"/>
  <c r="AF414" i="92" s="1"/>
  <c r="AF428" i="92" s="1"/>
  <c r="AF256" i="92"/>
  <c r="AF163" i="92"/>
  <c r="AF386" i="92"/>
  <c r="AF393" i="92" s="1"/>
  <c r="AF169" i="92"/>
  <c r="Y527" i="47"/>
  <c r="Y530" i="47" s="1"/>
  <c r="AB564" i="88"/>
  <c r="AC582" i="88" s="1"/>
  <c r="AC347" i="88"/>
  <c r="AC537" i="88" s="1"/>
  <c r="AB266" i="88"/>
  <c r="AB273" i="88" s="1"/>
  <c r="AB277" i="88" s="1"/>
  <c r="Z92" i="57"/>
  <c r="Z93" i="57" s="1"/>
  <c r="AA78" i="57"/>
  <c r="AC581" i="88"/>
  <c r="AC595" i="88" s="1"/>
  <c r="AC596" i="88" s="1"/>
  <c r="AC600" i="88" s="1"/>
  <c r="AB286" i="88"/>
  <c r="AB290" i="88" s="1"/>
  <c r="AB298" i="88" s="1"/>
  <c r="AC557" i="88"/>
  <c r="AF215" i="92" l="1"/>
  <c r="AG385" i="92"/>
  <c r="AF432" i="92"/>
  <c r="AJ833" i="90"/>
  <c r="AJ836" i="90" s="1"/>
  <c r="AC602" i="88"/>
  <c r="AC604" i="88" s="1"/>
  <c r="AC243" i="88" s="1"/>
  <c r="AA92" i="57"/>
  <c r="AA93" i="57" s="1"/>
  <c r="Y382" i="47"/>
  <c r="Y528" i="47"/>
  <c r="Y327" i="47" s="1"/>
  <c r="AB300" i="88"/>
  <c r="AF260" i="92" l="1"/>
  <c r="AF265" i="92" s="1"/>
  <c r="AF267" i="92" s="1"/>
  <c r="AF270" i="92" s="1"/>
  <c r="AF433" i="92"/>
  <c r="AJ538" i="90"/>
  <c r="AJ540" i="90" s="1"/>
  <c r="AJ542" i="90" s="1"/>
  <c r="AJ545" i="90" s="1"/>
  <c r="AJ834" i="90"/>
  <c r="AF435" i="92"/>
  <c r="AC323" i="88"/>
  <c r="AC245" i="88"/>
  <c r="Z96" i="57"/>
  <c r="Y384" i="47"/>
  <c r="Y386" i="47" s="1"/>
  <c r="Y331" i="47"/>
  <c r="Y339" i="47" s="1"/>
  <c r="Y343" i="47"/>
  <c r="Y344" i="47" s="1"/>
  <c r="AF438" i="92" l="1"/>
  <c r="AG456" i="92" s="1"/>
  <c r="AG476" i="92" s="1"/>
  <c r="AG478" i="92" s="1"/>
  <c r="AG136" i="92" s="1"/>
  <c r="AG242" i="92" s="1"/>
  <c r="AF186" i="92"/>
  <c r="AF193" i="92" s="1"/>
  <c r="AF200" i="92" s="1"/>
  <c r="AK544" i="90"/>
  <c r="AK812" i="90" s="1"/>
  <c r="AJ458" i="90"/>
  <c r="AJ463" i="90" s="1"/>
  <c r="AJ478" i="90" s="1"/>
  <c r="AJ839" i="90"/>
  <c r="AK857" i="90" s="1"/>
  <c r="AJ881" i="90"/>
  <c r="AG455" i="92"/>
  <c r="AG469" i="92" s="1"/>
  <c r="AG470" i="92" s="1"/>
  <c r="AG474" i="92" s="1"/>
  <c r="AG135" i="92" s="1"/>
  <c r="AG431" i="92"/>
  <c r="AF209" i="92"/>
  <c r="AK856" i="90"/>
  <c r="AK870" i="90" s="1"/>
  <c r="AK871" i="90" s="1"/>
  <c r="AK875" i="90" s="1"/>
  <c r="AK434" i="90" s="1"/>
  <c r="AJ491" i="90"/>
  <c r="AJ494" i="90" s="1"/>
  <c r="AJ502" i="90" s="1"/>
  <c r="AK832" i="90"/>
  <c r="Z173" i="57"/>
  <c r="AA173" i="57" s="1"/>
  <c r="Z109" i="57"/>
  <c r="Z110" i="57" s="1"/>
  <c r="Z114" i="57" s="1"/>
  <c r="AA96" i="57"/>
  <c r="AA109" i="57" s="1"/>
  <c r="AA110" i="57" s="1"/>
  <c r="AA114" i="57" s="1"/>
  <c r="Z119" i="57"/>
  <c r="AC247" i="88"/>
  <c r="AC324" i="88" s="1"/>
  <c r="AC325" i="88" s="1"/>
  <c r="Y389" i="47"/>
  <c r="Z160" i="57"/>
  <c r="AJ504" i="90" l="1"/>
  <c r="AG241" i="92"/>
  <c r="AG138" i="92"/>
  <c r="AK520" i="90"/>
  <c r="AK437" i="90"/>
  <c r="AK877" i="90"/>
  <c r="AK879" i="90" s="1"/>
  <c r="AF213" i="92"/>
  <c r="AF217" i="92" s="1"/>
  <c r="AF219" i="92" s="1"/>
  <c r="AF221" i="92"/>
  <c r="AF222" i="92" s="1"/>
  <c r="AI5" i="57"/>
  <c r="AC334" i="88"/>
  <c r="AA119" i="57"/>
  <c r="AA137" i="57" s="1"/>
  <c r="Z137" i="57"/>
  <c r="Y533" i="47"/>
  <c r="Y302" i="47"/>
  <c r="Y309" i="47" s="1"/>
  <c r="Y318" i="47" s="1"/>
  <c r="Y341" i="47" s="1"/>
  <c r="Z172" i="57"/>
  <c r="AA160" i="57"/>
  <c r="AC248" i="88"/>
  <c r="AC294" i="88" s="1"/>
  <c r="AD292" i="88" s="1"/>
  <c r="AK439" i="90" l="1"/>
  <c r="AK440" i="90" s="1"/>
  <c r="AK499" i="90" s="1"/>
  <c r="AG140" i="92"/>
  <c r="AG243" i="92" s="1"/>
  <c r="AG245" i="92" s="1"/>
  <c r="AC535" i="88"/>
  <c r="AC540" i="88" s="1"/>
  <c r="AC554" i="88" s="1"/>
  <c r="AC361" i="88"/>
  <c r="AC362" i="88" s="1"/>
  <c r="AC336" i="88"/>
  <c r="Z176" i="57"/>
  <c r="AA172" i="57"/>
  <c r="AK442" i="90" l="1"/>
  <c r="AK522" i="90"/>
  <c r="AK523" i="90" s="1"/>
  <c r="AL498" i="90"/>
  <c r="AK500" i="90"/>
  <c r="AG254" i="92"/>
  <c r="AG142" i="92"/>
  <c r="AC558" i="88"/>
  <c r="AC561" i="88" s="1"/>
  <c r="AC363" i="88"/>
  <c r="AA176" i="57"/>
  <c r="AA177" i="57" s="1"/>
  <c r="Z177" i="57"/>
  <c r="Z179" i="57" s="1"/>
  <c r="AK532" i="90" l="1"/>
  <c r="AG163" i="92"/>
  <c r="AG169" i="92"/>
  <c r="AG386" i="92"/>
  <c r="AG393" i="92" s="1"/>
  <c r="AG215" i="92" s="1"/>
  <c r="AG408" i="92"/>
  <c r="AG414" i="92" s="1"/>
  <c r="AG428" i="92" s="1"/>
  <c r="AG256" i="92"/>
  <c r="AC340" i="88"/>
  <c r="AC343" i="88" s="1"/>
  <c r="AC345" i="88" s="1"/>
  <c r="AC348" i="88" s="1"/>
  <c r="AC559" i="88"/>
  <c r="AK534" i="90" l="1"/>
  <c r="AK810" i="90"/>
  <c r="AK815" i="90" s="1"/>
  <c r="AK829" i="90" s="1"/>
  <c r="AG432" i="92"/>
  <c r="AC266" i="88"/>
  <c r="AC273" i="88" s="1"/>
  <c r="AC277" i="88" s="1"/>
  <c r="AC564" i="88"/>
  <c r="AD582" i="88" s="1"/>
  <c r="AD347" i="88"/>
  <c r="AD537" i="88" s="1"/>
  <c r="AD581" i="88"/>
  <c r="AD595" i="88" s="1"/>
  <c r="AD596" i="88" s="1"/>
  <c r="AD600" i="88" s="1"/>
  <c r="AC286" i="88"/>
  <c r="AC290" i="88" s="1"/>
  <c r="AC298" i="88" s="1"/>
  <c r="AD557" i="88"/>
  <c r="AG260" i="92" l="1"/>
  <c r="AG265" i="92" s="1"/>
  <c r="AG267" i="92" s="1"/>
  <c r="AG270" i="92" s="1"/>
  <c r="AG433" i="92"/>
  <c r="AG209" i="92" s="1"/>
  <c r="AG435" i="92"/>
  <c r="AK833" i="90"/>
  <c r="AK836" i="90" s="1"/>
  <c r="AD602" i="88"/>
  <c r="AD604" i="88" s="1"/>
  <c r="AD243" i="88" s="1"/>
  <c r="AC300" i="88"/>
  <c r="AG213" i="92" l="1"/>
  <c r="AG217" i="92" s="1"/>
  <c r="AG221" i="92"/>
  <c r="AG222" i="92" s="1"/>
  <c r="AK538" i="90"/>
  <c r="AK540" i="90" s="1"/>
  <c r="AK542" i="90" s="1"/>
  <c r="AK545" i="90" s="1"/>
  <c r="AK834" i="90"/>
  <c r="AG186" i="92"/>
  <c r="AG193" i="92" s="1"/>
  <c r="AG200" i="92" s="1"/>
  <c r="AG438" i="92"/>
  <c r="AD323" i="88"/>
  <c r="AD245" i="88"/>
  <c r="AG219" i="92" l="1"/>
  <c r="AL544" i="90"/>
  <c r="AL812" i="90" s="1"/>
  <c r="AK458" i="90"/>
  <c r="AK463" i="90" s="1"/>
  <c r="AK478" i="90" s="1"/>
  <c r="AK839" i="90"/>
  <c r="AL857" i="90" s="1"/>
  <c r="AK881" i="90"/>
  <c r="AL856" i="90"/>
  <c r="AL870" i="90" s="1"/>
  <c r="AL871" i="90" s="1"/>
  <c r="AL875" i="90" s="1"/>
  <c r="AL434" i="90" s="1"/>
  <c r="AK491" i="90"/>
  <c r="AK494" i="90" s="1"/>
  <c r="AK502" i="90" s="1"/>
  <c r="AL832" i="90"/>
  <c r="AD247" i="88"/>
  <c r="AD324" i="88" s="1"/>
  <c r="AD325" i="88" s="1"/>
  <c r="AK504" i="90" l="1"/>
  <c r="AL877" i="90"/>
  <c r="AL879" i="90" s="1"/>
  <c r="AL520" i="90"/>
  <c r="AL437" i="90"/>
  <c r="AD334" i="88"/>
  <c r="AD248" i="88"/>
  <c r="AD294" i="88" s="1"/>
  <c r="AE292" i="88" s="1"/>
  <c r="AL439" i="90" l="1"/>
  <c r="AL440" i="90" s="1"/>
  <c r="AL499" i="90" s="1"/>
  <c r="AD535" i="88"/>
  <c r="AD540" i="88" s="1"/>
  <c r="AD554" i="88" s="1"/>
  <c r="AD361" i="88"/>
  <c r="AD362" i="88" s="1"/>
  <c r="AD336" i="88"/>
  <c r="AM498" i="90" l="1"/>
  <c r="AL500" i="90"/>
  <c r="AL522" i="90"/>
  <c r="AL523" i="90" s="1"/>
  <c r="AL442" i="90"/>
  <c r="AD558" i="88"/>
  <c r="AD561" i="88" s="1"/>
  <c r="AD363" i="88"/>
  <c r="AL532" i="90" l="1"/>
  <c r="AD340" i="88"/>
  <c r="AD343" i="88" s="1"/>
  <c r="AD345" i="88" s="1"/>
  <c r="AD348" i="88" s="1"/>
  <c r="AD559" i="88"/>
  <c r="AL534" i="90" l="1"/>
  <c r="AL810" i="90"/>
  <c r="AL815" i="90" s="1"/>
  <c r="AL829" i="90" s="1"/>
  <c r="AE347" i="88"/>
  <c r="AE537" i="88" s="1"/>
  <c r="AD266" i="88"/>
  <c r="AD273" i="88" s="1"/>
  <c r="AD277" i="88" s="1"/>
  <c r="AD564" i="88"/>
  <c r="AE582" i="88" s="1"/>
  <c r="AD286" i="88"/>
  <c r="AD290" i="88" s="1"/>
  <c r="AD298" i="88" s="1"/>
  <c r="AE557" i="88"/>
  <c r="AE581" i="88"/>
  <c r="AE595" i="88" s="1"/>
  <c r="AE596" i="88" s="1"/>
  <c r="AE600" i="88" s="1"/>
  <c r="AL833" i="90" l="1"/>
  <c r="AL836" i="90" s="1"/>
  <c r="AE602" i="88"/>
  <c r="AE604" i="88" s="1"/>
  <c r="AE243" i="88" s="1"/>
  <c r="AD300" i="88"/>
  <c r="AL538" i="90" l="1"/>
  <c r="AL540" i="90" s="1"/>
  <c r="AL542" i="90" s="1"/>
  <c r="AL545" i="90" s="1"/>
  <c r="AL834" i="90"/>
  <c r="AE323" i="88"/>
  <c r="AE245" i="88"/>
  <c r="AM856" i="90" l="1"/>
  <c r="AM870" i="90" s="1"/>
  <c r="AM871" i="90" s="1"/>
  <c r="AM875" i="90" s="1"/>
  <c r="AM434" i="90" s="1"/>
  <c r="AM832" i="90"/>
  <c r="AL491" i="90"/>
  <c r="AL494" i="90" s="1"/>
  <c r="AL502" i="90" s="1"/>
  <c r="AL881" i="90"/>
  <c r="AL458" i="90"/>
  <c r="AL463" i="90" s="1"/>
  <c r="AL478" i="90" s="1"/>
  <c r="AL839" i="90"/>
  <c r="AM857" i="90" s="1"/>
  <c r="AM544" i="90"/>
  <c r="AM812" i="90" s="1"/>
  <c r="AE247" i="88"/>
  <c r="AE324" i="88" s="1"/>
  <c r="AE325" i="88" s="1"/>
  <c r="AL504" i="90" l="1"/>
  <c r="AM520" i="90"/>
  <c r="AM437" i="90"/>
  <c r="AM877" i="90"/>
  <c r="AM879" i="90" s="1"/>
  <c r="AE334" i="88"/>
  <c r="AE248" i="88"/>
  <c r="AE294" i="88" s="1"/>
  <c r="AF292" i="88" s="1"/>
  <c r="AM439" i="90" l="1"/>
  <c r="AE535" i="88"/>
  <c r="AE540" i="88" s="1"/>
  <c r="AE554" i="88" s="1"/>
  <c r="AE361" i="88"/>
  <c r="AE362" i="88" s="1"/>
  <c r="AE336" i="88"/>
  <c r="AM522" i="90" l="1"/>
  <c r="AM523" i="90" s="1"/>
  <c r="AM442" i="90"/>
  <c r="AM440" i="90"/>
  <c r="AM499" i="90" s="1"/>
  <c r="AE558" i="88"/>
  <c r="AE363" i="88"/>
  <c r="AM532" i="90" l="1"/>
  <c r="AM500" i="90"/>
  <c r="AN498" i="90"/>
  <c r="AE340" i="88"/>
  <c r="AE343" i="88" s="1"/>
  <c r="AE345" i="88" s="1"/>
  <c r="AE348" i="88" s="1"/>
  <c r="AE559" i="88"/>
  <c r="AE561" i="88"/>
  <c r="AM810" i="90" l="1"/>
  <c r="AM815" i="90" s="1"/>
  <c r="AM829" i="90" s="1"/>
  <c r="AM534" i="90"/>
  <c r="AE266" i="88"/>
  <c r="AE273" i="88" s="1"/>
  <c r="AE277" i="88" s="1"/>
  <c r="AE564" i="88"/>
  <c r="AF582" i="88" s="1"/>
  <c r="AF347" i="88"/>
  <c r="AF537" i="88" s="1"/>
  <c r="AF581" i="88"/>
  <c r="AF595" i="88" s="1"/>
  <c r="AF596" i="88" s="1"/>
  <c r="AF600" i="88" s="1"/>
  <c r="AE286" i="88"/>
  <c r="AE290" i="88" s="1"/>
  <c r="AE298" i="88" s="1"/>
  <c r="AF557" i="88"/>
  <c r="AM833" i="90" l="1"/>
  <c r="AM836" i="90" s="1"/>
  <c r="AF602" i="88"/>
  <c r="AF604" i="88" s="1"/>
  <c r="AF243" i="88" s="1"/>
  <c r="AE300" i="88"/>
  <c r="AM538" i="90" l="1"/>
  <c r="AM540" i="90" s="1"/>
  <c r="AM542" i="90" s="1"/>
  <c r="AM545" i="90" s="1"/>
  <c r="AM834" i="90"/>
  <c r="AF323" i="88"/>
  <c r="AF245" i="88"/>
  <c r="AM491" i="90" l="1"/>
  <c r="AM494" i="90" s="1"/>
  <c r="AM502" i="90" s="1"/>
  <c r="AN856" i="90"/>
  <c r="AN870" i="90" s="1"/>
  <c r="AN871" i="90" s="1"/>
  <c r="AN875" i="90" s="1"/>
  <c r="AN434" i="90" s="1"/>
  <c r="AN832" i="90"/>
  <c r="AN544" i="90"/>
  <c r="AN812" i="90" s="1"/>
  <c r="AM458" i="90"/>
  <c r="AM463" i="90" s="1"/>
  <c r="AM478" i="90" s="1"/>
  <c r="AM839" i="90"/>
  <c r="AN857" i="90" s="1"/>
  <c r="AM881" i="90"/>
  <c r="AF247" i="88"/>
  <c r="AF324" i="88" s="1"/>
  <c r="AF325" i="88" s="1"/>
  <c r="AN520" i="90" l="1"/>
  <c r="AN437" i="90"/>
  <c r="AN877" i="90"/>
  <c r="AN879" i="90" s="1"/>
  <c r="AM504" i="90"/>
  <c r="AF334" i="88"/>
  <c r="AF248" i="88"/>
  <c r="AF294" i="88" s="1"/>
  <c r="AG292" i="88" s="1"/>
  <c r="AN439" i="90" l="1"/>
  <c r="AN440" i="90" s="1"/>
  <c r="AN499" i="90" s="1"/>
  <c r="AF361" i="88"/>
  <c r="AF362" i="88" s="1"/>
  <c r="AF336" i="88"/>
  <c r="AF535" i="88"/>
  <c r="AF540" i="88" s="1"/>
  <c r="AF554" i="88" s="1"/>
  <c r="AN442" i="90" l="1"/>
  <c r="AN522" i="90"/>
  <c r="AN523" i="90" s="1"/>
  <c r="AO498" i="90"/>
  <c r="AN500" i="90"/>
  <c r="AF363" i="88"/>
  <c r="AF558" i="88"/>
  <c r="AN532" i="90" l="1"/>
  <c r="AF340" i="88"/>
  <c r="AF343" i="88" s="1"/>
  <c r="AF345" i="88" s="1"/>
  <c r="AF348" i="88" s="1"/>
  <c r="AF559" i="88"/>
  <c r="AF561" i="88"/>
  <c r="AN810" i="90" l="1"/>
  <c r="AN815" i="90" s="1"/>
  <c r="AN829" i="90" s="1"/>
  <c r="AN534" i="90"/>
  <c r="AF266" i="88"/>
  <c r="AF273" i="88" s="1"/>
  <c r="AF277" i="88" s="1"/>
  <c r="AF564" i="88"/>
  <c r="AG582" i="88" s="1"/>
  <c r="AG347" i="88"/>
  <c r="AG537" i="88" s="1"/>
  <c r="AF286" i="88"/>
  <c r="AF290" i="88" s="1"/>
  <c r="AF298" i="88" s="1"/>
  <c r="AG581" i="88"/>
  <c r="AG595" i="88" s="1"/>
  <c r="AG596" i="88" s="1"/>
  <c r="AG600" i="88" s="1"/>
  <c r="AG557" i="88"/>
  <c r="AN833" i="90" l="1"/>
  <c r="AN836" i="90" s="1"/>
  <c r="AG602" i="88"/>
  <c r="AG604" i="88" s="1"/>
  <c r="AG243" i="88" s="1"/>
  <c r="AF300" i="88"/>
  <c r="AN538" i="90" l="1"/>
  <c r="AN540" i="90" s="1"/>
  <c r="AN542" i="90" s="1"/>
  <c r="AN545" i="90" s="1"/>
  <c r="AN834" i="90"/>
  <c r="AG323" i="88"/>
  <c r="AG245" i="88"/>
  <c r="AN491" i="90" l="1"/>
  <c r="AN494" i="90" s="1"/>
  <c r="AN502" i="90" s="1"/>
  <c r="AO856" i="90"/>
  <c r="AO870" i="90" s="1"/>
  <c r="AO871" i="90" s="1"/>
  <c r="AO875" i="90" s="1"/>
  <c r="AO434" i="90" s="1"/>
  <c r="AO832" i="90"/>
  <c r="AN458" i="90"/>
  <c r="AN463" i="90" s="1"/>
  <c r="AN478" i="90" s="1"/>
  <c r="AO544" i="90"/>
  <c r="AO812" i="90" s="1"/>
  <c r="AN881" i="90"/>
  <c r="AN839" i="90"/>
  <c r="AO857" i="90" s="1"/>
  <c r="AG247" i="88"/>
  <c r="AG324" i="88" s="1"/>
  <c r="AG325" i="88" s="1"/>
  <c r="AN504" i="90" l="1"/>
  <c r="AO520" i="90"/>
  <c r="AO437" i="90"/>
  <c r="AO877" i="90"/>
  <c r="AO879" i="90" s="1"/>
  <c r="AG334" i="88"/>
  <c r="AG248" i="88"/>
  <c r="AG294" i="88" s="1"/>
  <c r="AH292" i="88" s="1"/>
  <c r="AO439" i="90" l="1"/>
  <c r="AG535" i="88"/>
  <c r="AG540" i="88" s="1"/>
  <c r="AG554" i="88" s="1"/>
  <c r="AG361" i="88"/>
  <c r="AG362" i="88" s="1"/>
  <c r="AG336" i="88"/>
  <c r="AO522" i="90" l="1"/>
  <c r="AO523" i="90" s="1"/>
  <c r="AO442" i="90"/>
  <c r="AO440" i="90"/>
  <c r="AO499" i="90" s="1"/>
  <c r="AG363" i="88"/>
  <c r="AG558" i="88"/>
  <c r="AG561" i="88" s="1"/>
  <c r="AO532" i="90" l="1"/>
  <c r="AP498" i="90"/>
  <c r="AO500" i="90"/>
  <c r="AG340" i="88"/>
  <c r="AG343" i="88" s="1"/>
  <c r="AG345" i="88" s="1"/>
  <c r="AG348" i="88" s="1"/>
  <c r="AG559" i="88"/>
  <c r="AO810" i="90" l="1"/>
  <c r="AO815" i="90" s="1"/>
  <c r="AO829" i="90" s="1"/>
  <c r="AO534" i="90"/>
  <c r="AH347" i="88"/>
  <c r="AH537" i="88" s="1"/>
  <c r="AG266" i="88"/>
  <c r="AG273" i="88" s="1"/>
  <c r="AG277" i="88" s="1"/>
  <c r="AG564" i="88"/>
  <c r="AH582" i="88" s="1"/>
  <c r="AH581" i="88"/>
  <c r="AH595" i="88" s="1"/>
  <c r="AH596" i="88" s="1"/>
  <c r="AH600" i="88" s="1"/>
  <c r="AH557" i="88"/>
  <c r="AG286" i="88"/>
  <c r="AG290" i="88" s="1"/>
  <c r="AG298" i="88" s="1"/>
  <c r="AO833" i="90" l="1"/>
  <c r="AH602" i="88"/>
  <c r="AH604" i="88" s="1"/>
  <c r="AH243" i="88" s="1"/>
  <c r="AG300" i="88"/>
  <c r="AO538" i="90" l="1"/>
  <c r="AO540" i="90" s="1"/>
  <c r="AO542" i="90" s="1"/>
  <c r="AO545" i="90" s="1"/>
  <c r="AO834" i="90"/>
  <c r="AO836" i="90"/>
  <c r="AH323" i="88"/>
  <c r="AH245" i="88"/>
  <c r="AO458" i="90" l="1"/>
  <c r="AO463" i="90" s="1"/>
  <c r="AO478" i="90" s="1"/>
  <c r="AO881" i="90"/>
  <c r="AO839" i="90"/>
  <c r="AP857" i="90" s="1"/>
  <c r="AP544" i="90"/>
  <c r="AP812" i="90" s="1"/>
  <c r="AP832" i="90"/>
  <c r="AP856" i="90"/>
  <c r="AP870" i="90" s="1"/>
  <c r="AP871" i="90" s="1"/>
  <c r="AP875" i="90" s="1"/>
  <c r="AP434" i="90" s="1"/>
  <c r="AO491" i="90"/>
  <c r="AO494" i="90" s="1"/>
  <c r="AO502" i="90" s="1"/>
  <c r="AH247" i="88"/>
  <c r="AH324" i="88" s="1"/>
  <c r="AH325" i="88" s="1"/>
  <c r="AO504" i="90" l="1"/>
  <c r="AP877" i="90"/>
  <c r="AP879" i="90" s="1"/>
  <c r="AP520" i="90"/>
  <c r="AP437" i="90"/>
  <c r="AH334" i="88"/>
  <c r="AH248" i="88"/>
  <c r="AH294" i="88" s="1"/>
  <c r="AI292" i="88" s="1"/>
  <c r="AP439" i="90" l="1"/>
  <c r="AP440" i="90" s="1"/>
  <c r="AP499" i="90" s="1"/>
  <c r="AH535" i="88"/>
  <c r="AH540" i="88" s="1"/>
  <c r="AH554" i="88" s="1"/>
  <c r="AH361" i="88"/>
  <c r="AH362" i="88" s="1"/>
  <c r="AH336" i="88"/>
  <c r="AQ498" i="90" l="1"/>
  <c r="AP500" i="90"/>
  <c r="AP522" i="90"/>
  <c r="AP523" i="90" s="1"/>
  <c r="AP442" i="90"/>
  <c r="AH558" i="88"/>
  <c r="AH363" i="88"/>
  <c r="AP532" i="90" l="1"/>
  <c r="AH340" i="88"/>
  <c r="AH343" i="88" s="1"/>
  <c r="AH345" i="88" s="1"/>
  <c r="AH348" i="88" s="1"/>
  <c r="AH559" i="88"/>
  <c r="AH561" i="88"/>
  <c r="AP534" i="90" l="1"/>
  <c r="AP810" i="90"/>
  <c r="AP815" i="90" s="1"/>
  <c r="AP829" i="90" s="1"/>
  <c r="AH266" i="88"/>
  <c r="AH273" i="88" s="1"/>
  <c r="AH277" i="88" s="1"/>
  <c r="AH564" i="88"/>
  <c r="AI582" i="88" s="1"/>
  <c r="AI602" i="88" s="1"/>
  <c r="AI604" i="88" s="1"/>
  <c r="AI243" i="88" s="1"/>
  <c r="AI347" i="88"/>
  <c r="AI537" i="88" s="1"/>
  <c r="AI557" i="88"/>
  <c r="AH286" i="88"/>
  <c r="AH290" i="88" s="1"/>
  <c r="AH298" i="88" s="1"/>
  <c r="AI581" i="88"/>
  <c r="AI595" i="88" s="1"/>
  <c r="AI596" i="88" s="1"/>
  <c r="AI600" i="88" s="1"/>
  <c r="AP833" i="90" l="1"/>
  <c r="AP836" i="90" s="1"/>
  <c r="AI323" i="88"/>
  <c r="AI245" i="88"/>
  <c r="AH300" i="88"/>
  <c r="AP538" i="90" l="1"/>
  <c r="AP540" i="90" s="1"/>
  <c r="AP542" i="90" s="1"/>
  <c r="AP545" i="90" s="1"/>
  <c r="AP834" i="90"/>
  <c r="AI247" i="88"/>
  <c r="AI324" i="88" s="1"/>
  <c r="AI325" i="88" s="1"/>
  <c r="AQ544" i="90" l="1"/>
  <c r="AQ812" i="90" s="1"/>
  <c r="AP881" i="90"/>
  <c r="AP839" i="90"/>
  <c r="AQ857" i="90" s="1"/>
  <c r="AP458" i="90"/>
  <c r="AP463" i="90" s="1"/>
  <c r="AP478" i="90" s="1"/>
  <c r="AP491" i="90"/>
  <c r="AP494" i="90" s="1"/>
  <c r="AP502" i="90" s="1"/>
  <c r="AQ832" i="90"/>
  <c r="AQ856" i="90"/>
  <c r="AQ870" i="90" s="1"/>
  <c r="AQ871" i="90" s="1"/>
  <c r="AQ875" i="90" s="1"/>
  <c r="AQ434" i="90" s="1"/>
  <c r="AI334" i="88"/>
  <c r="AI248" i="88"/>
  <c r="AI294" i="88" s="1"/>
  <c r="AP504" i="90" l="1"/>
  <c r="AQ877" i="90"/>
  <c r="AQ879" i="90" s="1"/>
  <c r="AQ520" i="90"/>
  <c r="AQ437" i="90"/>
  <c r="AI361" i="88"/>
  <c r="AI336" i="88"/>
  <c r="AI535" i="88"/>
  <c r="AI540" i="88" s="1"/>
  <c r="AI554" i="88" s="1"/>
  <c r="AQ439" i="90" l="1"/>
  <c r="AQ440" i="90" s="1"/>
  <c r="AQ499" i="90" s="1"/>
  <c r="F365" i="88"/>
  <c r="G380" i="88" s="1"/>
  <c r="F366" i="88"/>
  <c r="AI362" i="88"/>
  <c r="AI363" i="88" s="1"/>
  <c r="F363" i="88" s="1"/>
  <c r="AI558" i="88"/>
  <c r="AQ500" i="90" l="1"/>
  <c r="AR498" i="90"/>
  <c r="AQ522" i="90"/>
  <c r="AQ523" i="90" s="1"/>
  <c r="AQ442" i="90"/>
  <c r="G391" i="88"/>
  <c r="F364" i="88"/>
  <c r="G413" i="88"/>
  <c r="G375" i="88"/>
  <c r="G402" i="88"/>
  <c r="G397" i="88"/>
  <c r="G386" i="88"/>
  <c r="G408" i="88"/>
  <c r="G370" i="88"/>
  <c r="AI340" i="88"/>
  <c r="AI343" i="88" s="1"/>
  <c r="AI345" i="88" s="1"/>
  <c r="AI348" i="88" s="1"/>
  <c r="AI559" i="88"/>
  <c r="AI286" i="88" s="1"/>
  <c r="AI290" i="88" s="1"/>
  <c r="AI298" i="88" s="1"/>
  <c r="AI561" i="88"/>
  <c r="AQ532" i="90" l="1"/>
  <c r="AI564" i="88"/>
  <c r="AI266" i="88"/>
  <c r="AI273" i="88" s="1"/>
  <c r="AI277" i="88" s="1"/>
  <c r="AI300" i="88" s="1"/>
  <c r="AQ810" i="90" l="1"/>
  <c r="AQ815" i="90" s="1"/>
  <c r="AQ829" i="90" s="1"/>
  <c r="AQ534" i="90"/>
  <c r="AQ833" i="90" l="1"/>
  <c r="AQ836" i="90" s="1"/>
  <c r="AQ538" i="90" l="1"/>
  <c r="AQ540" i="90" s="1"/>
  <c r="AQ542" i="90" s="1"/>
  <c r="AQ545" i="90" s="1"/>
  <c r="AQ834" i="90"/>
  <c r="AQ458" i="90" l="1"/>
  <c r="AQ463" i="90" s="1"/>
  <c r="AQ478" i="90" s="1"/>
  <c r="AQ839" i="90"/>
  <c r="AR857" i="90" s="1"/>
  <c r="AR544" i="90"/>
  <c r="AR812" i="90" s="1"/>
  <c r="AQ881" i="90"/>
  <c r="AR832" i="90"/>
  <c r="AQ491" i="90"/>
  <c r="AQ494" i="90" s="1"/>
  <c r="AQ502" i="90" s="1"/>
  <c r="AR856" i="90"/>
  <c r="AR870" i="90" s="1"/>
  <c r="AR871" i="90" s="1"/>
  <c r="AR875" i="90" s="1"/>
  <c r="AR434" i="90" s="1"/>
  <c r="AQ504" i="90" l="1"/>
  <c r="AR877" i="90"/>
  <c r="AR879" i="90" s="1"/>
  <c r="AR520" i="90"/>
  <c r="AR437" i="90"/>
  <c r="AR439" i="90" l="1"/>
  <c r="AR522" i="90" l="1"/>
  <c r="AR523" i="90" s="1"/>
  <c r="AR442" i="90"/>
  <c r="AR440" i="90"/>
  <c r="AR499" i="90" s="1"/>
  <c r="AR532" i="90" l="1"/>
  <c r="AS498" i="90"/>
  <c r="AR500" i="90"/>
  <c r="AR810" i="90" l="1"/>
  <c r="AR815" i="90" s="1"/>
  <c r="AR829" i="90" s="1"/>
  <c r="AR534" i="90"/>
  <c r="AR833" i="90" l="1"/>
  <c r="AR836" i="90" s="1"/>
  <c r="AR538" i="90" l="1"/>
  <c r="AR540" i="90" s="1"/>
  <c r="AR542" i="90" s="1"/>
  <c r="AR545" i="90" s="1"/>
  <c r="AR834" i="90"/>
  <c r="AR458" i="90" l="1"/>
  <c r="AR463" i="90" s="1"/>
  <c r="AR478" i="90" s="1"/>
  <c r="AS544" i="90"/>
  <c r="AS812" i="90" s="1"/>
  <c r="AR881" i="90"/>
  <c r="AR839" i="90"/>
  <c r="AS857" i="90" s="1"/>
  <c r="AS856" i="90"/>
  <c r="AS870" i="90" s="1"/>
  <c r="AS871" i="90" s="1"/>
  <c r="AS875" i="90" s="1"/>
  <c r="AS434" i="90" s="1"/>
  <c r="AR491" i="90"/>
  <c r="AR494" i="90" s="1"/>
  <c r="AR502" i="90" s="1"/>
  <c r="AS832" i="90"/>
  <c r="AR504" i="90" l="1"/>
  <c r="AS877" i="90"/>
  <c r="AS879" i="90" s="1"/>
  <c r="AS520" i="90"/>
  <c r="AS437" i="90"/>
  <c r="AS439" i="90" l="1"/>
  <c r="AS522" i="90" l="1"/>
  <c r="AS523" i="90" s="1"/>
  <c r="AS442" i="90"/>
  <c r="AS440" i="90"/>
  <c r="AS499" i="90" s="1"/>
  <c r="AS532" i="90" l="1"/>
  <c r="AT498" i="90"/>
  <c r="AS500" i="90"/>
  <c r="AS810" i="90" l="1"/>
  <c r="AS815" i="90" s="1"/>
  <c r="AS829" i="90" s="1"/>
  <c r="AS534" i="90"/>
  <c r="AS833" i="90" l="1"/>
  <c r="AS538" i="90" l="1"/>
  <c r="AS540" i="90" s="1"/>
  <c r="AS542" i="90" s="1"/>
  <c r="AS545" i="90" s="1"/>
  <c r="AS834" i="90"/>
  <c r="AS836" i="90"/>
  <c r="AS839" i="90" l="1"/>
  <c r="AT857" i="90" s="1"/>
  <c r="AT544" i="90"/>
  <c r="AT812" i="90" s="1"/>
  <c r="AS881" i="90"/>
  <c r="AS458" i="90"/>
  <c r="AS463" i="90" s="1"/>
  <c r="AS478" i="90" s="1"/>
  <c r="AT832" i="90"/>
  <c r="AT856" i="90"/>
  <c r="AT870" i="90" s="1"/>
  <c r="AT871" i="90" s="1"/>
  <c r="AT875" i="90" s="1"/>
  <c r="AT434" i="90" s="1"/>
  <c r="AS491" i="90"/>
  <c r="AS494" i="90" s="1"/>
  <c r="AS502" i="90" s="1"/>
  <c r="AS504" i="90" l="1"/>
  <c r="AT877" i="90"/>
  <c r="AT879" i="90" s="1"/>
  <c r="AT520" i="90"/>
  <c r="AT437" i="90"/>
  <c r="AT439" i="90" l="1"/>
  <c r="AT442" i="90" l="1"/>
  <c r="AT522" i="90"/>
  <c r="AT523" i="90" s="1"/>
  <c r="AT440" i="90"/>
  <c r="AT499" i="90" s="1"/>
  <c r="AT532" i="90" l="1"/>
  <c r="AU498" i="90"/>
  <c r="AT500" i="90"/>
  <c r="AT534" i="90" l="1"/>
  <c r="AT810" i="90"/>
  <c r="AT815" i="90" s="1"/>
  <c r="AT829" i="90" s="1"/>
  <c r="AT833" i="90" l="1"/>
  <c r="AT836" i="90" s="1"/>
  <c r="AT538" i="90" l="1"/>
  <c r="AT540" i="90" s="1"/>
  <c r="AT542" i="90" s="1"/>
  <c r="AT545" i="90" s="1"/>
  <c r="AT834" i="90"/>
  <c r="AT839" i="90" l="1"/>
  <c r="AU857" i="90" s="1"/>
  <c r="AU877" i="90" s="1"/>
  <c r="AU879" i="90" s="1"/>
  <c r="AT458" i="90"/>
  <c r="AT463" i="90" s="1"/>
  <c r="AT478" i="90" s="1"/>
  <c r="AU544" i="90"/>
  <c r="AU812" i="90" s="1"/>
  <c r="AT881" i="90"/>
  <c r="AT491" i="90"/>
  <c r="AT494" i="90" s="1"/>
  <c r="AT502" i="90" s="1"/>
  <c r="AU832" i="90"/>
  <c r="AU856" i="90"/>
  <c r="AU870" i="90" s="1"/>
  <c r="AU871" i="90" s="1"/>
  <c r="AU875" i="90" s="1"/>
  <c r="AU434" i="90" s="1"/>
  <c r="AT504" i="90" l="1"/>
  <c r="AU520" i="90"/>
  <c r="AU437" i="90"/>
  <c r="AU439" i="90" l="1"/>
  <c r="AU522" i="90" l="1"/>
  <c r="AU523" i="90" s="1"/>
  <c r="AU442" i="90"/>
  <c r="AU440" i="90"/>
  <c r="AU499" i="90" s="1"/>
  <c r="AU500" i="90" s="1"/>
  <c r="AU532" i="90" l="1"/>
  <c r="AU534" i="90" l="1"/>
  <c r="AU810" i="90"/>
  <c r="AU815" i="90" s="1"/>
  <c r="AU829" i="90" s="1"/>
  <c r="D886" i="90"/>
  <c r="D887" i="90"/>
  <c r="D890" i="90"/>
  <c r="D889" i="90"/>
  <c r="D884" i="90"/>
  <c r="D885" i="90"/>
  <c r="D888" i="90"/>
  <c r="AU833" i="90" l="1"/>
  <c r="AU836" i="90" s="1"/>
  <c r="AU538" i="90" l="1"/>
  <c r="AU540" i="90" s="1"/>
  <c r="AU542" i="90" s="1"/>
  <c r="AU545" i="90" s="1"/>
  <c r="AU834" i="90"/>
  <c r="AU491" i="90" s="1"/>
  <c r="AU494" i="90" s="1"/>
  <c r="AU502" i="90" s="1"/>
  <c r="AU458" i="90" l="1"/>
  <c r="AU463" i="90" s="1"/>
  <c r="AU478" i="90" s="1"/>
  <c r="AU504" i="90" s="1"/>
  <c r="AU881" i="90"/>
  <c r="D891" i="90" s="1"/>
  <c r="AU839" i="90"/>
</calcChain>
</file>

<file path=xl/comments1.xml><?xml version="1.0" encoding="utf-8"?>
<comments xmlns="http://schemas.openxmlformats.org/spreadsheetml/2006/main">
  <authors>
    <author>Автор</author>
  </authors>
  <commentList>
    <comment ref="Q46" authorId="0">
      <text>
        <r>
          <rPr>
            <sz val="8"/>
            <color indexed="81"/>
            <rFont val="Tahoma"/>
            <family val="2"/>
            <charset val="204"/>
          </rPr>
          <t>gain(losses) from change in fair value, future derivatives transactions, equity investments
gain(losses) from non-core and finance segments and activities that are not covered by the model</t>
        </r>
      </text>
    </comment>
    <comment ref="U81" authorId="0">
      <text>
        <r>
          <rPr>
            <b/>
            <sz val="8"/>
            <color indexed="81"/>
            <rFont val="Tahoma"/>
            <family val="2"/>
            <charset val="204"/>
          </rPr>
          <t xml:space="preserve">non-core assets sale
</t>
        </r>
      </text>
    </comment>
    <comment ref="U100" authorId="0">
      <text>
        <r>
          <rPr>
            <sz val="8"/>
            <color indexed="81"/>
            <rFont val="Tahoma"/>
            <family val="2"/>
            <charset val="204"/>
          </rPr>
          <t>Term - 12 months, grace period - 3 months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R145" authorId="0">
      <text>
        <r>
          <rPr>
            <b/>
            <sz val="8"/>
            <color indexed="81"/>
            <rFont val="Tahoma"/>
            <family val="2"/>
            <charset val="204"/>
          </rPr>
          <t>based on average ore cost per dmt from FS 1h2013</t>
        </r>
      </text>
    </comment>
    <comment ref="R178" authorId="0">
      <text>
        <r>
          <rPr>
            <b/>
            <sz val="8"/>
            <color indexed="81"/>
            <rFont val="Tahoma"/>
            <family val="2"/>
            <charset val="204"/>
          </rPr>
          <t>RTP smelting</t>
        </r>
      </text>
    </comment>
    <comment ref="C190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адм+гсм</t>
        </r>
      </text>
    </comment>
    <comment ref="R190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from SIG consol</t>
        </r>
      </text>
    </comment>
    <comment ref="R239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2292 - gas consuption for 1h2013
10921 - other fuel and lubricants for 1h2013</t>
        </r>
      </text>
    </comment>
    <comment ref="L273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12,3 - амортизация МСФО</t>
        </r>
      </text>
    </comment>
    <comment ref="M273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7,3 - амортизация МСФО</t>
        </r>
      </text>
    </comment>
    <comment ref="I277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$1,257 - Romtrade</t>
        </r>
      </text>
    </comment>
    <comment ref="I302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+$5,152 - sequrities</t>
        </r>
      </text>
    </comment>
    <comment ref="I305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$1,008 - claims + 653 - tax refundable</t>
        </r>
      </text>
    </comment>
    <comment ref="I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$1,162 - FA reclassification</t>
        </r>
      </text>
    </comment>
    <comment ref="J31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DA</t>
        </r>
      </text>
    </comment>
    <comment ref="I322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$373 - accruals</t>
        </r>
      </text>
    </comment>
    <comment ref="I323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$102 - advances received</t>
        </r>
      </text>
    </comment>
    <comment ref="I324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$1,182 - BD allowance +387 - wages&amp;salaries</t>
        </r>
      </text>
    </comment>
    <comment ref="I328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Principal + Accrued interest</t>
        </r>
      </text>
    </comment>
    <comment ref="I329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Deffered Tax</t>
        </r>
      </text>
    </comment>
    <comment ref="L408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ДЗ = 2 месячный объем продаж</t>
        </r>
      </text>
    </comment>
    <comment ref="L411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период проверки - 3 мес + 1 мес - на возмещение</t>
        </r>
      </text>
    </comment>
    <comment ref="L417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предоплата по электричестсву и газу с НДС</t>
        </r>
      </text>
    </comment>
    <comment ref="L420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НЗП + 3 сухогруза на ПФК + готовая продукция за 1/2 месяца
</t>
        </r>
      </text>
    </comment>
    <comment ref="K451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Факт из отчета инвестиций за 2007 без ремонтов печей и титула</t>
        </r>
      </text>
    </comment>
    <comment ref="L451" authorId="0">
      <text>
        <r>
          <rPr>
            <b/>
            <sz val="8"/>
            <color indexed="81"/>
            <rFont val="Tahoma"/>
            <family val="2"/>
            <charset val="204"/>
          </rPr>
          <t>факт из отчета по инвестиции (вт.ч.кислородная станция) за 2008г без ремонта печей и титула</t>
        </r>
      </text>
    </comment>
    <comment ref="L463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FCTR</t>
        </r>
      </text>
    </comment>
    <comment ref="H472" authorId="0">
      <text>
        <r>
          <rPr>
            <b/>
            <sz val="8"/>
            <color indexed="81"/>
            <rFont val="Tahoma"/>
            <family val="2"/>
            <charset val="204"/>
          </rPr>
          <t xml:space="preserve">Автор:
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T171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start in Oct 2013</t>
        </r>
      </text>
    </comment>
    <comment ref="C28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Total Revenue as Gross sales revenue realized</t>
        </r>
      </text>
    </comment>
    <comment ref="R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T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V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W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X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Y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Z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A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B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C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D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E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F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G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H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I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J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K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L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M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N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O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P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Q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R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S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T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AU306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Условием возникновения коммерческой эксплуатации по соглашению с Вале является непрерывная работа завода в течение 3-х месяцев на уровне не менее 65% от плановой мощности завода, предумотренной БФС. По БФС плановая мощность завода составляет 1,440,000 смт руды в год. 65% от 1,440,000 составляет 936,000 по году или 78,000 смт/месяц. Мы не подпадаем под это условие ни в августе, ни в декабре следующего года, а лишь когда запустим вторую очередь. А до тех пор Production Interest &amp; NSR не платятся.
</t>
        </r>
      </text>
    </comment>
    <comment ref="C307" authorId="0">
      <text>
        <r>
          <rPr>
            <b/>
            <sz val="10"/>
            <color indexed="81"/>
            <rFont val="Tahoma"/>
            <family val="2"/>
            <charset val="204"/>
          </rPr>
          <t>Автор:</t>
        </r>
        <r>
          <rPr>
            <sz val="10"/>
            <color indexed="81"/>
            <rFont val="Tahoma"/>
            <family val="2"/>
            <charset val="204"/>
          </rPr>
          <t xml:space="preserve">
Skye pays a %  on Net Sales Revenue at the Plant Gate (net invoice value), for 70% of product FeNi sold to 3rd parties which is not refined further </t>
        </r>
      </text>
    </comment>
    <comment ref="C309" author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расчет на основе квартальных данных</t>
        </r>
      </text>
    </comment>
    <comment ref="C420" authorId="0">
      <text>
        <r>
          <rPr>
            <sz val="9"/>
            <color indexed="81"/>
            <rFont val="Tahoma"/>
            <family val="2"/>
            <charset val="204"/>
          </rPr>
          <t>including royalty payments</t>
        </r>
      </text>
    </comment>
    <comment ref="M461" authorId="0">
      <text>
        <r>
          <rPr>
            <sz val="8"/>
            <color indexed="81"/>
            <rFont val="Tahoma"/>
            <family val="2"/>
            <charset val="204"/>
          </rPr>
          <t>consolidated balance sheet</t>
        </r>
      </text>
    </comment>
    <comment ref="C475" authorId="0">
      <text>
        <r>
          <rPr>
            <sz val="9"/>
            <color indexed="81"/>
            <rFont val="Tahoma"/>
            <family val="2"/>
            <charset val="204"/>
          </rPr>
          <t>plus depletion of ore deposit</t>
        </r>
      </text>
    </comment>
    <comment ref="C573" authorId="0">
      <text>
        <r>
          <rPr>
            <sz val="8"/>
            <color indexed="81"/>
            <rFont val="Tahoma"/>
            <family val="2"/>
            <charset val="204"/>
          </rPr>
          <t>(all inventories valued at cost to production point)</t>
        </r>
      </text>
    </comment>
    <comment ref="C581" authorId="0">
      <text>
        <r>
          <rPr>
            <sz val="8"/>
            <color indexed="81"/>
            <rFont val="Tahoma"/>
            <family val="2"/>
            <charset val="204"/>
          </rPr>
          <t>Calcine value includes 30 % of labour overheads applied</t>
        </r>
      </text>
    </comment>
    <comment ref="C582" authorId="0">
      <text>
        <r>
          <rPr>
            <sz val="8"/>
            <color indexed="81"/>
            <rFont val="Tahoma"/>
            <family val="2"/>
            <charset val="204"/>
          </rPr>
          <t>Crude FeNi value includes 50 % of labour overheads applied</t>
        </r>
      </text>
    </comment>
    <comment ref="C641" authorId="0">
      <text>
        <r>
          <rPr>
            <sz val="9"/>
            <color indexed="81"/>
            <rFont val="Tahoma"/>
            <family val="2"/>
            <charset val="204"/>
          </rPr>
          <t>based on SGA stand alone</t>
        </r>
      </text>
    </comment>
    <comment ref="C655" authorId="0">
      <text>
        <r>
          <rPr>
            <b/>
            <sz val="9"/>
            <color indexed="81"/>
            <rFont val="Tahoma"/>
            <family val="2"/>
            <charset val="204"/>
          </rPr>
          <t>ekart:</t>
        </r>
        <r>
          <rPr>
            <sz val="9"/>
            <color indexed="81"/>
            <rFont val="Tahoma"/>
            <family val="2"/>
            <charset val="204"/>
          </rPr>
          <t xml:space="preserve">
Assumption</t>
        </r>
      </text>
    </comment>
    <comment ref="P672" authorId="0">
      <text>
        <r>
          <rPr>
            <b/>
            <sz val="9"/>
            <color indexed="81"/>
            <rFont val="Tahoma"/>
            <family val="2"/>
            <charset val="204"/>
          </rPr>
          <t>ekart:</t>
        </r>
        <r>
          <rPr>
            <sz val="9"/>
            <color indexed="81"/>
            <rFont val="Tahoma"/>
            <family val="2"/>
            <charset val="204"/>
          </rPr>
          <t xml:space="preserve">
списание на расходы</t>
        </r>
      </text>
    </comment>
    <comment ref="D884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Discounted to Y-2 with production changed to begin in Y1Q2 and shift ramp-up. 
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S259" authorId="0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maybe 8,3 m??</t>
        </r>
      </text>
    </comment>
  </commentList>
</comments>
</file>

<file path=xl/comments5.xml><?xml version="1.0" encoding="utf-8"?>
<comments xmlns="http://schemas.openxmlformats.org/spreadsheetml/2006/main">
  <authors>
    <author>Автор</author>
  </authors>
  <commentList>
    <comment ref="P18" authorId="0">
      <text>
        <r>
          <rPr>
            <b/>
            <sz val="8"/>
            <color indexed="81"/>
            <rFont val="Tahoma"/>
            <family val="2"/>
            <charset val="204"/>
          </rPr>
          <t>ekart:</t>
        </r>
        <r>
          <rPr>
            <sz val="8"/>
            <color indexed="81"/>
            <rFont val="Tahoma"/>
            <family val="2"/>
            <charset val="204"/>
          </rPr>
          <t xml:space="preserve">
Net of Revenue and G&amp;A</t>
        </r>
      </text>
    </comment>
  </commentList>
</comments>
</file>

<file path=xl/sharedStrings.xml><?xml version="1.0" encoding="utf-8"?>
<sst xmlns="http://schemas.openxmlformats.org/spreadsheetml/2006/main" count="6332" uniqueCount="2125">
  <si>
    <t>Прямые условно-переменные производственные затраты</t>
  </si>
  <si>
    <t>Экспедирование в портах Европы и доставка FeNi покупателю (траккинг)</t>
  </si>
  <si>
    <t>Технологические материалы (беза газа)+ АС, этап подготовки шихты и обжига на ТВП, $</t>
  </si>
  <si>
    <t>Технологические материалы, этап электроплавка огарка на РТП, $</t>
  </si>
  <si>
    <t>Технологические материалы, этап электроплавка огарка на РКЗ, $</t>
  </si>
  <si>
    <t>Технологические материалы, этап рафинирования и разливки FeNi, $</t>
  </si>
  <si>
    <t>Страхование фрахта, руды, готовой продукции, $</t>
  </si>
  <si>
    <t>Страхование имущества ПФК и защита от аварий, $</t>
  </si>
  <si>
    <t>Электроэнергия технологическая, $</t>
  </si>
  <si>
    <t>Электроэнергия силовая, осветительная, разогрев, $</t>
  </si>
  <si>
    <t>Амортизация основных средств, $</t>
  </si>
  <si>
    <t>Заработная плата с начислениями, $</t>
  </si>
  <si>
    <t>Ремонты по титульному списку, $</t>
  </si>
  <si>
    <t>Расчет объемов переработки и потребностей в рудном сырье</t>
  </si>
  <si>
    <t>РАСЧЕТ ОБЪЕМОВ ПОТРЕБНОСТИ В РУДЕ</t>
  </si>
  <si>
    <t>SG&amp;A</t>
  </si>
  <si>
    <t>Привозная никелевая руда, подаваемая на ТВП, смт</t>
  </si>
  <si>
    <r>
      <t xml:space="preserve">Капитальный ремонт РТП, </t>
    </r>
    <r>
      <rPr>
        <u/>
        <sz val="9"/>
        <rFont val="Tahoma"/>
        <family val="2"/>
        <charset val="204"/>
      </rPr>
      <t>$</t>
    </r>
  </si>
  <si>
    <t>Горячий ремонт РТП, $</t>
  </si>
  <si>
    <t>Капитальный ремонт РКЗ, $</t>
  </si>
  <si>
    <t>Горячий ремонт РКЗ, $</t>
  </si>
  <si>
    <t>Период возмещения НДС, в % от облагаемых НДС затрат ПФК</t>
  </si>
  <si>
    <t>Запасы в % от стоимости мат. затрат в месяц + 3 сухогруза</t>
  </si>
  <si>
    <t>Торговая дебиторская задолженность</t>
  </si>
  <si>
    <t xml:space="preserve">Кредиторская задолженность (Счета к оплате) в % от мат. затрат </t>
  </si>
  <si>
    <t>Индекс роста затрат на выполнение ремонтов, %%</t>
  </si>
  <si>
    <t>Стоимость ремонтов (без НДС):</t>
  </si>
  <si>
    <t>Горячие ремонты РТП, РКЗ</t>
  </si>
  <si>
    <t>Основные средства ПФК</t>
  </si>
  <si>
    <t>Основные средства ЗГБ</t>
  </si>
  <si>
    <t>Существующие Основные средства ЗГБ</t>
  </si>
  <si>
    <t>Конечная стоимость ОС (ПФК + ЗГБ)</t>
  </si>
  <si>
    <t>Незавершенное строительство в % от Объема Кап. Инвестиций</t>
  </si>
  <si>
    <t>Существующие Основные средства (Здания) ПФК</t>
  </si>
  <si>
    <t>Существующие Основные средства (Оборудование) ПФК</t>
  </si>
  <si>
    <t>Расчет себестоимости (основные предположения)</t>
  </si>
  <si>
    <t>Цена ГСМ, $/литр</t>
  </si>
  <si>
    <t>Земельный участок/ Недра</t>
  </si>
  <si>
    <t>Atlas Copco - due xx/xx/xx @ LIBOR +x%</t>
  </si>
  <si>
    <t>Триполифосфат (РФ)</t>
  </si>
  <si>
    <t>Портландцемент (РФ)</t>
  </si>
  <si>
    <t>Триполифосфат (экспорт)</t>
  </si>
  <si>
    <t>Сульфат калия (РФ)</t>
  </si>
  <si>
    <t>Сульфат калия (экспорт)</t>
  </si>
  <si>
    <t>Отпускные цены (экспорт/РФ)</t>
  </si>
  <si>
    <t>Триполифосфат (РФ), тонн</t>
  </si>
  <si>
    <t>Триполифосфат (экспорт), тонн</t>
  </si>
  <si>
    <t>Сульфат калия (РФ), тонн</t>
  </si>
  <si>
    <t>Сульфат калия (экспорт), тонн</t>
  </si>
  <si>
    <t>Поташ 100% (РФ), тонн</t>
  </si>
  <si>
    <t>Поташ 100% (экспорт), тонн</t>
  </si>
  <si>
    <t>Поташ очищенный (РФ), тонн</t>
  </si>
  <si>
    <t>Сульфат алюминия (РФ), тонн</t>
  </si>
  <si>
    <t>Высокоглиноземистый цемент (РФ), тонн</t>
  </si>
  <si>
    <t xml:space="preserve">Поташ 100% (РФ) </t>
  </si>
  <si>
    <t xml:space="preserve">Поташ 100% (экспорт) </t>
  </si>
  <si>
    <t xml:space="preserve">Поташ очищенный (РФ) </t>
  </si>
  <si>
    <t xml:space="preserve">Сульфат алюминия (РФ) </t>
  </si>
  <si>
    <t xml:space="preserve">Высокоглиноземистый цемент (РФ) </t>
  </si>
  <si>
    <t>Индекс роста отпускных цен на цемент, %</t>
  </si>
  <si>
    <t>Индекс роста отпускных цен на ТПФ, %</t>
  </si>
  <si>
    <t>Индекс роста отпускных цен на сульфат калия, %</t>
  </si>
  <si>
    <t xml:space="preserve">Серная кислота (РФ) </t>
  </si>
  <si>
    <t>Серная кислота (РФ), тонн</t>
  </si>
  <si>
    <t>Индекс роста отпускных цен на поташ, %</t>
  </si>
  <si>
    <t>Индекс роста отпускных цен на соду кальцинированную, %</t>
  </si>
  <si>
    <t>Индекс роста отпускных цен на прочую продукцию, %</t>
  </si>
  <si>
    <t xml:space="preserve">Портландцемент (РФ) </t>
  </si>
  <si>
    <t xml:space="preserve">Триполифосфат (РФ) </t>
  </si>
  <si>
    <t xml:space="preserve">Триполифосфат (экспорт) </t>
  </si>
  <si>
    <t xml:space="preserve">Сульфат калия (РФ) </t>
  </si>
  <si>
    <t xml:space="preserve">Сульфат калия (экспорт) </t>
  </si>
  <si>
    <t>Индекс роста затрат на транспорт, страхование, складирование и т.д., %</t>
  </si>
  <si>
    <t xml:space="preserve">Портландцемент   </t>
  </si>
  <si>
    <t xml:space="preserve">Триполифосфат   </t>
  </si>
  <si>
    <t xml:space="preserve">Сульфат калия   </t>
  </si>
  <si>
    <t xml:space="preserve">Поташ 100%   </t>
  </si>
  <si>
    <t xml:space="preserve">Поташ очищенный   </t>
  </si>
  <si>
    <t xml:space="preserve">Сода кальцинированная   </t>
  </si>
  <si>
    <t xml:space="preserve">Сульфат алюминия   </t>
  </si>
  <si>
    <t xml:space="preserve">Высокоглиноземистый цемент   </t>
  </si>
  <si>
    <t xml:space="preserve">Серная кислота   </t>
  </si>
  <si>
    <t>Норматив расхода сырья, $/t</t>
  </si>
  <si>
    <t>Норматив расхода вспомогательных материалов, $/t</t>
  </si>
  <si>
    <t>Норматив затрат на труд (с отчислениями), $/t</t>
  </si>
  <si>
    <t>Норматив расхода прочих энергетических затрат (вода, сжатый воздух), $/t</t>
  </si>
  <si>
    <t>Норма расхода электроэнергии, $/t</t>
  </si>
  <si>
    <t>Норма расхода природного газа, $/t</t>
  </si>
  <si>
    <t>Цеховые расходы, $/t</t>
  </si>
  <si>
    <t>норматив потребления электроэнергии, тыс.КВт/т</t>
  </si>
  <si>
    <t>цена электроэнергии для промышленных предприятий С-З региона, $/тысКВт</t>
  </si>
  <si>
    <t>норматив потребления природного газа, тыс.куб.м/т</t>
  </si>
  <si>
    <t>цена пр. газа для промышленных предприятий С-З региона, $/тыс. куб.м</t>
  </si>
  <si>
    <t>прогноз роста тарифов на электроэнергию, %</t>
  </si>
  <si>
    <t>прогноз роста тарифов на природный газ, %</t>
  </si>
  <si>
    <t>Норма расхода апатита, $/t</t>
  </si>
  <si>
    <t>норматив потребления апатита, т/т</t>
  </si>
  <si>
    <t>цена апатитового сырья, $/т</t>
  </si>
  <si>
    <t>прогноз роста цен на апатит, %</t>
  </si>
  <si>
    <t>Норматив расхода прочего сырья, $/t</t>
  </si>
  <si>
    <t>Норма расхода серной кислоты, $/t</t>
  </si>
  <si>
    <t>норматив потребления серной кислоты, т/т</t>
  </si>
  <si>
    <t>Норма расхода карбонатных щелоков, $/t</t>
  </si>
  <si>
    <t>норматив потребления карбонатных щелоков, т/т</t>
  </si>
  <si>
    <t>цена карбонатных щелоков, $/т</t>
  </si>
  <si>
    <t>прогноз роста цен на карбонатные щелока, %</t>
  </si>
  <si>
    <t>Норматив получения отходов и возвратов, $/t</t>
  </si>
  <si>
    <t>Расчет прогнозной маржинальной прибыли по продукции</t>
  </si>
  <si>
    <t>ПРОГНОЗ МАРЖИНАЛЬНЫХ ПРИБЫЛЕЙ И УБЫТКОВ</t>
  </si>
  <si>
    <t>Выручка от реализации, $</t>
  </si>
  <si>
    <t>Производственная себестоимость, $</t>
  </si>
  <si>
    <t>Прямые расходы на сбыт, $</t>
  </si>
  <si>
    <t>Cu price, USD/ton</t>
  </si>
  <si>
    <t>Au price, USD/oz</t>
  </si>
  <si>
    <t>Cu concentrate price, USD/dmt</t>
  </si>
  <si>
    <t>Tracking, insurance etc</t>
  </si>
  <si>
    <t>Store of ore,ton</t>
  </si>
  <si>
    <t>Extraction of ore, dmt</t>
  </si>
  <si>
    <t>Total ore + waste, ton</t>
  </si>
  <si>
    <t>Extraction of wet ore, ton</t>
  </si>
  <si>
    <t>Total concentrate production, dmt</t>
  </si>
  <si>
    <t>Total concentrate production, wmt</t>
  </si>
  <si>
    <t>Total Cu production, ton</t>
  </si>
  <si>
    <t>Production and Sales forecast, Cooper &amp; Gold Mine</t>
  </si>
  <si>
    <t>Profit and loss forecast,Cooper &amp; Gold Mine</t>
  </si>
  <si>
    <t>Net sales, $</t>
  </si>
  <si>
    <t>Labour costs</t>
  </si>
  <si>
    <t>Servicing</t>
  </si>
  <si>
    <t>Repairs of primary equipment</t>
  </si>
  <si>
    <t>Concession</t>
  </si>
  <si>
    <t>Guarding</t>
  </si>
  <si>
    <t>Cash Flow statement, Cooper &amp; Gold Mine</t>
  </si>
  <si>
    <t>Capex</t>
  </si>
  <si>
    <t>Capital Investments and Depreciation, Cooper &amp; Gold Mine</t>
  </si>
  <si>
    <t>Loans repayment schedule, Cooper &amp; Gold Mine</t>
  </si>
  <si>
    <t>Financing activity</t>
  </si>
  <si>
    <t>Ferroalloys (PFK)</t>
  </si>
  <si>
    <t>Cooper and Gold (Bucim)</t>
  </si>
  <si>
    <t>Lead, zinc, gold (SASA)</t>
  </si>
  <si>
    <t>Chemical&amp; Cement (Metachim)</t>
  </si>
  <si>
    <t>Rental Income (Real Estate)</t>
  </si>
  <si>
    <t>Profit and loss forecast, Total Industrial &amp; Real Estate</t>
  </si>
  <si>
    <t>Cash Flow Statement Forecast, Total Industrial &amp; Real Estate</t>
  </si>
  <si>
    <t>Net Change in Cash for the period</t>
  </si>
  <si>
    <t>Маржинальная прибыль, $</t>
  </si>
  <si>
    <t>Коэффициент маржинальной прибыли, %</t>
  </si>
  <si>
    <t xml:space="preserve">Сульфат алюминия, маржинальная прибыль   </t>
  </si>
  <si>
    <t>Высокоглиноземистый цемент, маржинальная прибыль</t>
  </si>
  <si>
    <t>Существующие Основные средства (Здания)</t>
  </si>
  <si>
    <t>Существующие Основные средства (Оборудование)</t>
  </si>
  <si>
    <t>Основные средства (земля и здания)</t>
  </si>
  <si>
    <t>Машины и оборудование</t>
  </si>
  <si>
    <t>Доход от переоценки</t>
  </si>
  <si>
    <t>Доход от продажи</t>
  </si>
  <si>
    <t xml:space="preserve">Покупка </t>
  </si>
  <si>
    <t>Покупка</t>
  </si>
  <si>
    <t>Цена, $/га.</t>
  </si>
  <si>
    <t>Итого недвижимость</t>
  </si>
  <si>
    <t>Рыночная стоимость объектов</t>
  </si>
  <si>
    <t>Real Estate Investments (Moscow, Ural)</t>
  </si>
  <si>
    <t xml:space="preserve">FAIR MARKET VALUE FORECAST AND LEASE REVENUE ESTIMATE </t>
  </si>
  <si>
    <t>Total Real Estate area forecast, square meters</t>
  </si>
  <si>
    <t>Total plots of land ares, hectars</t>
  </si>
  <si>
    <t>Total Lease Revenue</t>
  </si>
  <si>
    <t>FMV Revaluation income</t>
  </si>
  <si>
    <t>Retail space</t>
  </si>
  <si>
    <t>Rental Income, % of FMV</t>
  </si>
  <si>
    <t>Total Rental Income, $</t>
  </si>
  <si>
    <t>Sales forecast</t>
  </si>
  <si>
    <t>Production and Sales forecast, FerroNickel Alloys</t>
  </si>
  <si>
    <t>Sales, $</t>
  </si>
  <si>
    <t>Opening balance Mashinery and Equipment</t>
  </si>
  <si>
    <t>Closing balance Mashinery and Equipment</t>
  </si>
  <si>
    <t>Total production Ni, ton</t>
  </si>
  <si>
    <t>Rate of production growth, %</t>
  </si>
  <si>
    <t>Ni content in FeNi, %</t>
  </si>
  <si>
    <t>Total sales of Ni, ton</t>
  </si>
  <si>
    <t>Total sales of FeNi, ton</t>
  </si>
  <si>
    <t>Ni price, $/ton</t>
  </si>
  <si>
    <t>Fe content in FeNi, ton</t>
  </si>
  <si>
    <t>Extra premium for Fe, $</t>
  </si>
  <si>
    <t>Profit and loss forecast</t>
  </si>
  <si>
    <t>Profit and loss forecast, FerroNickel Alloys</t>
  </si>
  <si>
    <t>Sales</t>
  </si>
  <si>
    <t>Production Cost</t>
  </si>
  <si>
    <t>Gross profit</t>
  </si>
  <si>
    <t>Depreciation</t>
  </si>
  <si>
    <t>Interest received</t>
  </si>
  <si>
    <t>Profit before tax</t>
  </si>
  <si>
    <t>Income tax</t>
  </si>
  <si>
    <t>Net profit</t>
  </si>
  <si>
    <t>Direct Production Cost</t>
  </si>
  <si>
    <t>Other operational costs</t>
  </si>
  <si>
    <t>Depreciation and Amortization</t>
  </si>
  <si>
    <t>Interests paid</t>
  </si>
  <si>
    <t xml:space="preserve"> +/- Other/ extraordinary gains and losses</t>
  </si>
  <si>
    <t>Cash Flow statement</t>
  </si>
  <si>
    <t>Cash Flow statement, FerroNickel Alloys</t>
  </si>
  <si>
    <t>Operating activity</t>
  </si>
  <si>
    <t>Fixed assets depreciation</t>
  </si>
  <si>
    <t>(+) / (-) Working capital</t>
  </si>
  <si>
    <t>(+) /(-) Others assets and liabilities</t>
  </si>
  <si>
    <t>Cash flow from operating activities</t>
  </si>
  <si>
    <t>Interest paid</t>
  </si>
  <si>
    <t>Income tax paid</t>
  </si>
  <si>
    <t>Net cash flow from operating activities</t>
  </si>
  <si>
    <t>Investment activity</t>
  </si>
  <si>
    <t>Capex (modernization, relining, sustaining)</t>
  </si>
  <si>
    <t>Proceeds from fixed assets disposal</t>
  </si>
  <si>
    <t>Income from investments</t>
  </si>
  <si>
    <t>Investments</t>
  </si>
  <si>
    <t>Cash flow from investment activity</t>
  </si>
  <si>
    <t>Cash flow before Financial activity</t>
  </si>
  <si>
    <t>Financial Activity</t>
  </si>
  <si>
    <t>(+) / (-) Long-term loans</t>
  </si>
  <si>
    <t>(+) / (-) Short-term loans</t>
  </si>
  <si>
    <t>Others</t>
  </si>
  <si>
    <t>Cash Flow fom Financial Activity</t>
  </si>
  <si>
    <t>Changes in net cash flow</t>
  </si>
  <si>
    <t>Net change in Cash</t>
  </si>
  <si>
    <t>Net Profit</t>
  </si>
  <si>
    <t>Capital Investments (with out furnace renewal and maintenance)</t>
  </si>
  <si>
    <t>Capital Investments, % from Net Profit of a previous year</t>
  </si>
  <si>
    <t>Total Capital Investments (with out lining)</t>
  </si>
  <si>
    <t>Beginning balance of fixed assets - PFK</t>
  </si>
  <si>
    <t>Capital Investments - PFK</t>
  </si>
  <si>
    <t>Depreciation of fixed assets - PFK</t>
  </si>
  <si>
    <t>(Fixed assets dispousal and writing off)</t>
  </si>
  <si>
    <t>Lining Depreciation</t>
  </si>
  <si>
    <t>Ending balance of fixed assets - PFK</t>
  </si>
  <si>
    <t>Beginning balance of fixed assets - ZGB</t>
  </si>
  <si>
    <t>Fixed assets Depreciation - ZGB</t>
  </si>
  <si>
    <t>Ending balance of fixed assets - ZGB</t>
  </si>
  <si>
    <t>Relining</t>
  </si>
  <si>
    <t>Total Capital Investments (incl relining)</t>
  </si>
  <si>
    <t>Capital repairs  - Furnace №1 ( 60% - without lining)</t>
  </si>
  <si>
    <t>Capital repairs  - Furnace №2 ( 60% - without lining)</t>
  </si>
  <si>
    <t>Capital repairs  - Furnace №3 ( 60% - without lining)</t>
  </si>
  <si>
    <t>Capital Investments and Depreciation, FerroNickel Alloys</t>
  </si>
  <si>
    <t>Production and Sales forecast, Zinc &amp; Lead Mine</t>
  </si>
  <si>
    <t>Zn concentrate, $/ton</t>
  </si>
  <si>
    <t>Zn LME spot price, $/ton</t>
  </si>
  <si>
    <t>Pb concentrate, $/ton</t>
  </si>
  <si>
    <t>Pb LME spot price, $/ton</t>
  </si>
  <si>
    <t>Prices, $/ton</t>
  </si>
  <si>
    <t>Production, ton</t>
  </si>
  <si>
    <t>Pb content in lead concentarte, ton</t>
  </si>
  <si>
    <t>Ag content in lead concentarte, ton</t>
  </si>
  <si>
    <t>Zn content in zinc concentarte, ton</t>
  </si>
  <si>
    <t>Sales of Zn and Pb concentrate, ton</t>
  </si>
  <si>
    <t>Sales of Zn concentrate, ton</t>
  </si>
  <si>
    <t>Sales of Pb concentrate, ton</t>
  </si>
  <si>
    <t>Sales Zn and Pb concentrate, $</t>
  </si>
  <si>
    <t>Zn concentrate sales, $</t>
  </si>
  <si>
    <t>Pb concentrate sales, $</t>
  </si>
  <si>
    <t>Processing of ore, ton</t>
  </si>
  <si>
    <t>Profit and loss forecast, Zinc &amp; Lead Mine</t>
  </si>
  <si>
    <t>Sales commission charges</t>
  </si>
  <si>
    <t>Mining</t>
  </si>
  <si>
    <t>Ore Processing</t>
  </si>
  <si>
    <t>Costs of sale (transport, analysis, insurance)</t>
  </si>
  <si>
    <t>Other income</t>
  </si>
  <si>
    <t>Government Royalty, $</t>
  </si>
  <si>
    <t>Operating expenses (SG&amp;A)</t>
  </si>
  <si>
    <t>General and administration costs</t>
  </si>
  <si>
    <t>Staff costs</t>
  </si>
  <si>
    <t>Cash Flow statement, Zinc &amp; Lead Mine</t>
  </si>
  <si>
    <t>Capital Investments and Depreciation, Zinc &amp; Lead Mine</t>
  </si>
  <si>
    <t>Depreciation of fixed assets</t>
  </si>
  <si>
    <t>Beginning balance of "Buildings"</t>
  </si>
  <si>
    <t>Sales Revenue</t>
  </si>
  <si>
    <t>Capital expenditures</t>
  </si>
  <si>
    <t>CAPEX, as % of Net Sales</t>
  </si>
  <si>
    <t>Opening balance of fixed assets</t>
  </si>
  <si>
    <t>(Fixed assets disposal and writing off)</t>
  </si>
  <si>
    <t>Closing balance of fixed assets</t>
  </si>
  <si>
    <t>Opening balance of resources</t>
  </si>
  <si>
    <t>Building up of reserves and resources</t>
  </si>
  <si>
    <t>Depletion</t>
  </si>
  <si>
    <t>Closing balance of resources</t>
  </si>
  <si>
    <t>(Disposal and writing off)</t>
  </si>
  <si>
    <t>Construction</t>
  </si>
  <si>
    <t>Closing balance of "Buildings"</t>
  </si>
  <si>
    <t>Loans and interest repayment schedule</t>
  </si>
  <si>
    <t>Loans repayment schedule, Zinc &amp; Lead Mine</t>
  </si>
  <si>
    <t>(+) Cash</t>
  </si>
  <si>
    <t>(-) Minimal Cash Balance</t>
  </si>
  <si>
    <t>Cash flow before Loans repayment</t>
  </si>
  <si>
    <t>Long-tearm Loan</t>
  </si>
  <si>
    <t>Total Long-term Loans</t>
  </si>
  <si>
    <t>(-) / (+)  Long-terms loans</t>
  </si>
  <si>
    <t>Cash-flow before Short-tearm loans</t>
  </si>
  <si>
    <t>Shot-tearm loans</t>
  </si>
  <si>
    <t>Beginning balance</t>
  </si>
  <si>
    <t>(+)/(-)</t>
  </si>
  <si>
    <t>Ending balance</t>
  </si>
  <si>
    <t>Cash available after Debt servicing</t>
  </si>
  <si>
    <t>Production and Sales forecast, Chemical&amp; Cement</t>
  </si>
  <si>
    <t>Total Chemical &amp;Cement Sales, $</t>
  </si>
  <si>
    <t>Agents Sales Commissions</t>
  </si>
  <si>
    <t>Profit and loss forecast, Chemical&amp; Cement</t>
  </si>
  <si>
    <t>Commercial expenses</t>
  </si>
  <si>
    <t>Repairs of Mashinery&amp;Equioment</t>
  </si>
  <si>
    <t>Management and other expenses</t>
  </si>
  <si>
    <t>Property&amp;Life Insurance</t>
  </si>
  <si>
    <t>Othe costs</t>
  </si>
  <si>
    <t>Income tax pid</t>
  </si>
  <si>
    <t>Income tax accrued</t>
  </si>
  <si>
    <t>Deffered Tax Asset</t>
  </si>
  <si>
    <t>Cash Flow statement, Chemical&amp; Cement</t>
  </si>
  <si>
    <t>FI: financing requirement</t>
  </si>
  <si>
    <t>Dividends</t>
  </si>
  <si>
    <t>Capex (cement expantion &amp; sustaining)</t>
  </si>
  <si>
    <t>Capital Investments and Depreciation, Chemical&amp; Cement</t>
  </si>
  <si>
    <t>CAPEX as % of Total Sales</t>
  </si>
  <si>
    <t xml:space="preserve">CAPEX </t>
  </si>
  <si>
    <t>Depreciation of Mashinery and Equipment</t>
  </si>
  <si>
    <t>(-) Dividents</t>
  </si>
  <si>
    <t>(+) Minimal Cash Balance</t>
  </si>
  <si>
    <t>Ending Cash balance</t>
  </si>
  <si>
    <t>Opening balance</t>
  </si>
  <si>
    <t>Closing balance</t>
  </si>
  <si>
    <t>Loans repayment schedule, Chemical&amp; Cement</t>
  </si>
  <si>
    <t>Revenue from Sale</t>
  </si>
  <si>
    <t>Office premises</t>
  </si>
  <si>
    <t xml:space="preserve">    Total Real Estate area forecast, square meters</t>
  </si>
  <si>
    <t>Industrial Warehouses</t>
  </si>
  <si>
    <t>Warehouses area forecast, square meters</t>
  </si>
  <si>
    <t>Plots of Land</t>
  </si>
  <si>
    <t>Total area, hectars</t>
  </si>
  <si>
    <t xml:space="preserve">Market Value of Investments, $ </t>
  </si>
  <si>
    <t>Freight, tracking, insurance etc</t>
  </si>
  <si>
    <t>Net Sales Revenue</t>
  </si>
  <si>
    <t>Production Forecast, tones</t>
  </si>
  <si>
    <t>Tripoliphosphate</t>
  </si>
  <si>
    <t>Sulfate Potassium</t>
  </si>
  <si>
    <t>Cement</t>
  </si>
  <si>
    <t>CAPEX (cement sector expantion&amp; sustaining)</t>
  </si>
  <si>
    <t>Дивиденды уплаченные</t>
  </si>
  <si>
    <t>Оборачиваемость запасов (от COGS)</t>
  </si>
  <si>
    <t>Запасы в % от COGS</t>
  </si>
  <si>
    <t>Дебиторская задолженность (Счета к получению) в % от Продаж</t>
  </si>
  <si>
    <t>Кредиторская задолженность (Счета к оплате) в % от Продаж</t>
  </si>
  <si>
    <t>Незавершенное строительство в % от Продаж</t>
  </si>
  <si>
    <t>Дебиторская задолженность по НДС</t>
  </si>
  <si>
    <t>Дебиторская задолженность по НДС в % от Продаж</t>
  </si>
  <si>
    <t>Прибыль на акцию (в годовом исчислении)</t>
  </si>
  <si>
    <t>EBITDA</t>
  </si>
  <si>
    <t xml:space="preserve">Control List </t>
  </si>
  <si>
    <t>Title</t>
  </si>
  <si>
    <t>Company name</t>
  </si>
  <si>
    <t>Currency</t>
  </si>
  <si>
    <t>Denomination</t>
  </si>
  <si>
    <t>Scenario</t>
  </si>
  <si>
    <t>Author</t>
  </si>
  <si>
    <t>Date written</t>
  </si>
  <si>
    <t>Checker</t>
  </si>
  <si>
    <t>Date checked</t>
  </si>
  <si>
    <t>File name</t>
  </si>
  <si>
    <t>File name display</t>
  </si>
  <si>
    <t>Draft text</t>
  </si>
  <si>
    <t>Draft</t>
  </si>
  <si>
    <t>Current version</t>
  </si>
  <si>
    <t>EBIT</t>
  </si>
  <si>
    <t>CONTROL LIST FOR PROJECTED PROFIT &amp; LOSS STATEMENT</t>
  </si>
  <si>
    <t>Check</t>
  </si>
  <si>
    <t>Чистая прибыль</t>
  </si>
  <si>
    <t>Дивиденды</t>
  </si>
  <si>
    <t>Прочее</t>
  </si>
  <si>
    <t>$</t>
  </si>
  <si>
    <t>Бухгалтерский баланс</t>
  </si>
  <si>
    <t>Инвестиции</t>
  </si>
  <si>
    <t>Денежный поток, доступный для финансовой деятельности</t>
  </si>
  <si>
    <t>Выкуп собственных акций</t>
  </si>
  <si>
    <t>Эмиссия акций для опционной программы</t>
  </si>
  <si>
    <t>Курсовые разницы</t>
  </si>
  <si>
    <t>Денежные средства на начало года</t>
  </si>
  <si>
    <t>Денежные средства на конец года</t>
  </si>
  <si>
    <t>АКТИВ</t>
  </si>
  <si>
    <t>Деньги</t>
  </si>
  <si>
    <t>Краткосрочная дебиторская задолженность</t>
  </si>
  <si>
    <t>Счета к получению</t>
  </si>
  <si>
    <t>Прочая дебиторская задолженность</t>
  </si>
  <si>
    <t>Запасы</t>
  </si>
  <si>
    <t>ВСЕГО ТЕКУЩИХ АКТИВОВ</t>
  </si>
  <si>
    <t>ВСЕГО АКТИВОВ</t>
  </si>
  <si>
    <t>ПАССИВ</t>
  </si>
  <si>
    <t>Кредиторская задолженность</t>
  </si>
  <si>
    <t>Задолженность перед поставщиками и заказчиками</t>
  </si>
  <si>
    <t>Прочая кредиторская задолженность</t>
  </si>
  <si>
    <t>Прочие текущие обязательства</t>
  </si>
  <si>
    <t>ВСЕГО ТЕКУЩИХ ОБЯЗАТЕЛЬСТВ</t>
  </si>
  <si>
    <t>Револьверный кредит</t>
  </si>
  <si>
    <t>ВСЕГО ОБЯЗАТЕЛЬСТВ</t>
  </si>
  <si>
    <t>ВСЕГО СОБСТВЕННЫЙ КАПИТАЛ</t>
  </si>
  <si>
    <t>ВСЕГО ОБЯЗАТЕЛЬСТВА И СОБСТВЕННЫЙ КАПИТАЛ</t>
  </si>
  <si>
    <t>Соотношения и предположения</t>
  </si>
  <si>
    <t>Прочая дебиторская задолженность в % от Продаж</t>
  </si>
  <si>
    <t>Баланс Оборотного капитала</t>
  </si>
  <si>
    <t>Всего неденежных Текущих активов</t>
  </si>
  <si>
    <t>Счета к оплате</t>
  </si>
  <si>
    <t>ЧИСТЫЙ ОБОРОТНЫЙ КАПИТАЛ / (НЕДОСТАТОК)</t>
  </si>
  <si>
    <t>Увеличение/(Уменьшение) Оборотного капитала</t>
  </si>
  <si>
    <t>Прочая кредиторская задолженность в % от Продаж</t>
  </si>
  <si>
    <t>Всего Прочих активов:</t>
  </si>
  <si>
    <t>Увеличение/(Уменьшение) Прочих активов</t>
  </si>
  <si>
    <t>Прочие Текущие Обязательства</t>
  </si>
  <si>
    <t>Всего Прочих обязательств:</t>
  </si>
  <si>
    <t>Увеличение/(Уменьшение) Прочих обязательств</t>
  </si>
  <si>
    <t>Увеличение/(Уменьшение) Прочих активов, нетто</t>
  </si>
  <si>
    <t>Начальный Собственный капитал</t>
  </si>
  <si>
    <t>Доход от продажи акций</t>
  </si>
  <si>
    <t>Доход от Опционной программы</t>
  </si>
  <si>
    <t>Конечный Собственный капитал</t>
  </si>
  <si>
    <t>Начальный Баланс</t>
  </si>
  <si>
    <t>Конечный Баланс</t>
  </si>
  <si>
    <t>ОТЧЕТ О ДВИЖЕНИИ КАПИТАЛА</t>
  </si>
  <si>
    <t>БАЛАНС ОБОРОТНОГО КАПИТАЛА</t>
  </si>
  <si>
    <t>БАЛАНС</t>
  </si>
  <si>
    <t>Плюс: Начальные Деньги</t>
  </si>
  <si>
    <t>Минус: Минимальные Деньги</t>
  </si>
  <si>
    <t>Деньги, доступные для выплаты Долга</t>
  </si>
  <si>
    <t>Деньги, доступные для Револьверного кредита</t>
  </si>
  <si>
    <t>(Уменьшение)/Увеличение</t>
  </si>
  <si>
    <t>Деньги, доступные после Всех Долговых Выплат</t>
  </si>
  <si>
    <t>Плюс: Минимальные Деньги</t>
  </si>
  <si>
    <t>Конечный Баланс Денег</t>
  </si>
  <si>
    <t>СТОИМОСТЬ ОБСЛУЖИВАНИЯ ДОЛГА</t>
  </si>
  <si>
    <t>Процентные ставки</t>
  </si>
  <si>
    <t>Всего Выплаты процентов</t>
  </si>
  <si>
    <t>Процентный доход</t>
  </si>
  <si>
    <t>Отчет о движении капитала</t>
  </si>
  <si>
    <t>Стоимость обслуживания долга</t>
  </si>
  <si>
    <t>ОСНОВНЫЕ СООТНОШЕНИЯ</t>
  </si>
  <si>
    <t>Соотношения</t>
  </si>
  <si>
    <t>Валовая маржа (до амортизации)</t>
  </si>
  <si>
    <t>Маржа EBITDA</t>
  </si>
  <si>
    <t>Маржа EBIT</t>
  </si>
  <si>
    <t>Маржа Чистой прибыли</t>
  </si>
  <si>
    <t>Анализ темпов роста</t>
  </si>
  <si>
    <t>Рост Объема продаж</t>
  </si>
  <si>
    <t>Рост EBITDA</t>
  </si>
  <si>
    <t>Рост EBIT</t>
  </si>
  <si>
    <t>Рост Чистой прибыли</t>
  </si>
  <si>
    <t>Эффективная ставка налога на прибыль</t>
  </si>
  <si>
    <t>Оборотный капитал</t>
  </si>
  <si>
    <t>Всего текущих обязательств:</t>
  </si>
  <si>
    <t>Equity</t>
  </si>
  <si>
    <t>Debt</t>
  </si>
  <si>
    <t>лет</t>
  </si>
  <si>
    <t>Себестоимость</t>
  </si>
  <si>
    <t>Выпуск собственного капитала</t>
  </si>
  <si>
    <t>Плюс: Выпуск собственного капитала (Инв. кап)</t>
  </si>
  <si>
    <t>СПРАВОЧНО: ПОТРЕБНОСТЬ В ФИНАНСИРОВАНИИ</t>
  </si>
  <si>
    <t>Минимальные деньги в % от Продаж</t>
  </si>
  <si>
    <t>ГРАФИК ДОЛГА И ПРОЦЕНТНЫЕ ВЫПЛАТЫ</t>
  </si>
  <si>
    <t>Дебиторская задолженность</t>
  </si>
  <si>
    <t>Количество дней в периоде</t>
  </si>
  <si>
    <t>ПРОДАЖИ</t>
  </si>
  <si>
    <t>Оборачиваемость дебиторской задолж. (от COGS)</t>
  </si>
  <si>
    <t xml:space="preserve">Оборачиваемость кредиторской задолж. </t>
  </si>
  <si>
    <t>SG&amp;A в % от Продаж</t>
  </si>
  <si>
    <t>Срок полезного использования</t>
  </si>
  <si>
    <t>Всего Износ</t>
  </si>
  <si>
    <t>Задолженность перед миноритарными акционерами</t>
  </si>
  <si>
    <t>Расходы на выплаты Миноритариям</t>
  </si>
  <si>
    <t>Уменьшение и увеличение через приобретение компаний</t>
  </si>
  <si>
    <t>Предложения Обратного выкупа акций</t>
  </si>
  <si>
    <t>Предполагаемый коэффициент  P/E</t>
  </si>
  <si>
    <t>Прогнозная цена акции</t>
  </si>
  <si>
    <t>Количество выкупленных акций, тыс.</t>
  </si>
  <si>
    <t>Затраты на выкуп</t>
  </si>
  <si>
    <t>Эмиссия акций для Опционной программы</t>
  </si>
  <si>
    <t>Выпуск акций для Опционов, тыс.</t>
  </si>
  <si>
    <t>Средняя цена исполнения</t>
  </si>
  <si>
    <t>Доход от реализации</t>
  </si>
  <si>
    <t>Акции в обращении (среднее)</t>
  </si>
  <si>
    <t>Начальный Баланс (среднее)</t>
  </si>
  <si>
    <t>Выпущенные акции для Опционов</t>
  </si>
  <si>
    <t>Выкупленные акции</t>
  </si>
  <si>
    <t>Конечный Баланс (среднее)</t>
  </si>
  <si>
    <t>Годовой дивиденд на акцию</t>
  </si>
  <si>
    <t>Всего Дивидендов</t>
  </si>
  <si>
    <t>Коэф. Выплаты Дивидендов</t>
  </si>
  <si>
    <t>Баланс Долгосрочного Долга</t>
  </si>
  <si>
    <t>Всего Долгосрочный Долг</t>
  </si>
  <si>
    <t>(Выплаты) / Увеличение Долгосрочного Долга</t>
  </si>
  <si>
    <t>LT Debt A - due xx/xx/xx @ LIBOR +x%</t>
  </si>
  <si>
    <t>LT Debt B - due xx/xx/xx @ LIBOR +x%</t>
  </si>
  <si>
    <t>LT Debt C - due xx/xx/xx @ LIBOR +x%</t>
  </si>
  <si>
    <t>Средние Балансы</t>
  </si>
  <si>
    <t>Расходы на выплаты процентов</t>
  </si>
  <si>
    <t>Подитог</t>
  </si>
  <si>
    <t>Прочие выплаты процентов</t>
  </si>
  <si>
    <t>Прочие Процентные доходы</t>
  </si>
  <si>
    <t>Всего Процентный доход</t>
  </si>
  <si>
    <t>Долгосрочный кредит</t>
  </si>
  <si>
    <t>Незавершенное строительство</t>
  </si>
  <si>
    <t>Прочие текущие обязательства в % от Продаж</t>
  </si>
  <si>
    <t>($)</t>
  </si>
  <si>
    <t>Основные соотношения</t>
  </si>
  <si>
    <t>РАСЧЕТ ОБЪЕМОВ ПРОДАЖ</t>
  </si>
  <si>
    <t>Расчет себестоимости</t>
  </si>
  <si>
    <t xml:space="preserve">Структура себестоимости </t>
  </si>
  <si>
    <t>Количество персонала, чел</t>
  </si>
  <si>
    <t>Средняя заработная плата с отчислениями</t>
  </si>
  <si>
    <t>Индонезия</t>
  </si>
  <si>
    <t>Содержание Ni в руде</t>
  </si>
  <si>
    <t>Извлечение Ni от фактического содержания</t>
  </si>
  <si>
    <t>Потребление руды Индонезия для производства 1 тонны Ni, сухая тонна</t>
  </si>
  <si>
    <t>Содержание влаги</t>
  </si>
  <si>
    <t>Потребление руды Индонезия для производства 1 тонны Ni, влажная тонна</t>
  </si>
  <si>
    <t>Стоимость сухой руды, % от LME spot price за содержащийся Ni</t>
  </si>
  <si>
    <t>Доставка влажной руды от порта Украины до завода, $/т</t>
  </si>
  <si>
    <t>Постоянные расходы</t>
  </si>
  <si>
    <t>Себестоимость руды</t>
  </si>
  <si>
    <t>Транспортировка руды</t>
  </si>
  <si>
    <t>Экспедирование влажной руды в портах Украины</t>
  </si>
  <si>
    <t>Экспедирование ферроникеля в портах Украины</t>
  </si>
  <si>
    <t>Доставка FeNi до порта Украины</t>
  </si>
  <si>
    <t>Фрахт ферроникеля в портах Украины</t>
  </si>
  <si>
    <t>Ежегодно</t>
  </si>
  <si>
    <t xml:space="preserve"> +</t>
  </si>
  <si>
    <t>-</t>
  </si>
  <si>
    <t>=</t>
  </si>
  <si>
    <t>+</t>
  </si>
  <si>
    <t>Износ как % от капвложений в технику</t>
  </si>
  <si>
    <t>Общая площадь объектов, м. кв</t>
  </si>
  <si>
    <t>Существующие Основные средства</t>
  </si>
  <si>
    <t>Прирост, %</t>
  </si>
  <si>
    <t>Цена, $/м кв.</t>
  </si>
  <si>
    <t>Объекты недвижимости</t>
  </si>
  <si>
    <t>Рост Валовой маржи</t>
  </si>
  <si>
    <t>Рост SG&amp;A в % от Продаж</t>
  </si>
  <si>
    <t>Прочие долгосрочные обязательства</t>
  </si>
  <si>
    <t>Прочие долгосрочные активы</t>
  </si>
  <si>
    <t>Прочие текущие активы</t>
  </si>
  <si>
    <t>Доход от сдачи в аренду</t>
  </si>
  <si>
    <t>Прочие Текущие активы в % от Продаж</t>
  </si>
  <si>
    <t>Прочие текущие активы в % от Продаж</t>
  </si>
  <si>
    <t>Цена (UST/MT)               Ni, Zn, Cu, Pb</t>
  </si>
  <si>
    <t>Nickel, mt</t>
  </si>
  <si>
    <t>Copper, mt</t>
  </si>
  <si>
    <t>Zn, mt</t>
  </si>
  <si>
    <t>Lead, mt</t>
  </si>
  <si>
    <t>Расчетный график работы РТП, РКЗ</t>
  </si>
  <si>
    <t>Fundamental assumptions:</t>
  </si>
  <si>
    <r>
      <t>No Ni-Ore supply failures</t>
    </r>
    <r>
      <rPr>
        <i/>
        <sz val="9"/>
        <color indexed="12"/>
        <rFont val="Tahoma"/>
        <family val="2"/>
      </rPr>
      <t>; output prices are indicated in sheet "Commodities prices"</t>
    </r>
  </si>
  <si>
    <t>Здания и сооружения</t>
  </si>
  <si>
    <t>Нематериальные активы</t>
  </si>
  <si>
    <t>Авансы выданные</t>
  </si>
  <si>
    <t>РЕЗЕРВ ПЕРЕОЦЕНКИ</t>
  </si>
  <si>
    <t>НЕРАСПРЕДЕЛЕННАЯ ПРИБЫЛЬ</t>
  </si>
  <si>
    <t>MINORITY INTEREST</t>
  </si>
  <si>
    <t>FCTR</t>
  </si>
  <si>
    <t>График выполнения ремонтов на РТП1 (по видам ремонтов)</t>
  </si>
  <si>
    <t>Капитальный ремонт</t>
  </si>
  <si>
    <t>Горячий ремонт</t>
  </si>
  <si>
    <t>График выполнения ремонтов на РТП2 (по видам ремонтов)</t>
  </si>
  <si>
    <t>График выполнения ремонтов на РКЗ (по видам ремонтов)</t>
  </si>
  <si>
    <t>РТП 2</t>
  </si>
  <si>
    <t>РТП 1</t>
  </si>
  <si>
    <t>РКЗ</t>
  </si>
  <si>
    <t>РТП</t>
  </si>
  <si>
    <t>"К" использования печей под нагрузкой</t>
  </si>
  <si>
    <t>РТП1</t>
  </si>
  <si>
    <t>РТП2</t>
  </si>
  <si>
    <t>Длительность выполнения ремонтов РТП (дней):</t>
  </si>
  <si>
    <t>Длительность выполнения ремонтов РКЗ (дней):</t>
  </si>
  <si>
    <t>Длительность разогрева печей РТП (дней):</t>
  </si>
  <si>
    <t>Длительность разогрева печей РКЗ (дней):</t>
  </si>
  <si>
    <t>ИТОГО:</t>
  </si>
  <si>
    <t>Удельный расход электричества на 1т. огарка РТП, Кв/т</t>
  </si>
  <si>
    <t>Удельный расход электричества на 1т. огарка РКЗ, Кв/т</t>
  </si>
  <si>
    <t>"К" перевода огарка в поданную руду, %</t>
  </si>
  <si>
    <t>"К" содержания РМФ в рудной смеси, %</t>
  </si>
  <si>
    <t>"К" выхода шламов с огарком, %</t>
  </si>
  <si>
    <t>Содержание РМФ в рудной смеси, смт</t>
  </si>
  <si>
    <t>Содержание шламов в рудной смеси, смт</t>
  </si>
  <si>
    <t>Полученный огарок никелесодержащей руды, смт</t>
  </si>
  <si>
    <t>Потери (естественная убыль в пределах 1,5%) руды при транспортировке</t>
  </si>
  <si>
    <t>Руда Индонезия, доля в поставках (в общем объеме смт)</t>
  </si>
  <si>
    <t>Сухая руда Индонезия, смт</t>
  </si>
  <si>
    <t>Влажная руда Индонезия, вмт</t>
  </si>
  <si>
    <t>Расчет основных статей затрат</t>
  </si>
  <si>
    <t xml:space="preserve">Стоимость фрахта влажной руды, $/вмт </t>
  </si>
  <si>
    <t>Прогноз роста тарифов на электроэнергию, %%</t>
  </si>
  <si>
    <t>Цена газа, $/1000куб.м</t>
  </si>
  <si>
    <t>Проноз роста цена на газ, %%</t>
  </si>
  <si>
    <t>Объем потребляемой электронергии, МВт/ч</t>
  </si>
  <si>
    <t>USD 1mnth LIBOR</t>
  </si>
  <si>
    <t>Себестоимость переработки ПФК в расчете на 1 т. Ni, $/т</t>
  </si>
  <si>
    <t>Фонд оплаты труда с начислениями</t>
  </si>
  <si>
    <t>Индекс роста оплаты труда</t>
  </si>
  <si>
    <t>Стоимость переработки руды на ПФК</t>
  </si>
  <si>
    <t>Инфляция по технологическим материалам</t>
  </si>
  <si>
    <t>Расчет себестоимости производства 1 т товарного Ni</t>
  </si>
  <si>
    <t>Стоимость покупной руды, за содержащийся Ni</t>
  </si>
  <si>
    <t>Доставка и сбыт готовой продукции</t>
  </si>
  <si>
    <t>Расходы по финансированию переработки, руды, реализованной продукции</t>
  </si>
  <si>
    <t>Силовая + осветительная</t>
  </si>
  <si>
    <t>Прочие расходы ПФК</t>
  </si>
  <si>
    <t>Стоимость обслуживания долгосрочного долга</t>
  </si>
  <si>
    <t>График долгосрочного долга</t>
  </si>
  <si>
    <t>Ремонты по титульному списку</t>
  </si>
  <si>
    <t>Расчет себестоимости на 1 т. руды</t>
  </si>
  <si>
    <t>Конечная стоимость основных средств</t>
  </si>
  <si>
    <t>Мощность печей, МВт/ч</t>
  </si>
  <si>
    <t>Количество МВт/ч в день на разогрев РТП</t>
  </si>
  <si>
    <t>Время работы печей под ПРОИЗВОДСТВЕННОЙ нагрузкой, (часы)</t>
  </si>
  <si>
    <t>РТП1 - на электроплавку</t>
  </si>
  <si>
    <t>РТП1 - на разогрев</t>
  </si>
  <si>
    <t>РТП2 - на электроплавку</t>
  </si>
  <si>
    <t>РТП2 - на разогрев</t>
  </si>
  <si>
    <t>Количество МВт/ч в день на разогрев РКЗ</t>
  </si>
  <si>
    <t>РКЗ - на электроплавку</t>
  </si>
  <si>
    <t>РКЗ - на разогрев</t>
  </si>
  <si>
    <t>Потребность в привозной руде, вмт</t>
  </si>
  <si>
    <t>Транспорные расходы</t>
  </si>
  <si>
    <t>Фрахт влажной руды на годовой объем производства, $</t>
  </si>
  <si>
    <r>
      <t xml:space="preserve">Затраты на экспедирование влажной руды в портах Украины, </t>
    </r>
    <r>
      <rPr>
        <u/>
        <sz val="9"/>
        <rFont val="Tahoma"/>
        <family val="2"/>
        <charset val="204"/>
      </rPr>
      <t>$</t>
    </r>
  </si>
  <si>
    <t>Стоимость доставки влажной руды от порта Украины до завода, $/вмт</t>
  </si>
  <si>
    <t>Затраты на доставку влажной руды от порта Украины до завода, $</t>
  </si>
  <si>
    <t>Стоимость доставки FeNi от завода до порта Украины, $/т</t>
  </si>
  <si>
    <t>Затраты на доставку FeNi от завода до порта Украины, $</t>
  </si>
  <si>
    <t>Затраты на экспедирование FeNi в портах Украины, $</t>
  </si>
  <si>
    <t>Стоимость фрахта FeNi, $/т</t>
  </si>
  <si>
    <t>Затраты на фрахт FeNi, $</t>
  </si>
  <si>
    <t>Затраты на доставку/траккинг FeNi до склада покупателя, $</t>
  </si>
  <si>
    <r>
      <t xml:space="preserve">Стоимость доставки/траккинга FeNi на склад покупателя, </t>
    </r>
    <r>
      <rPr>
        <sz val="9"/>
        <rFont val="Arial Cyr"/>
        <charset val="204"/>
      </rPr>
      <t>€</t>
    </r>
    <r>
      <rPr>
        <sz val="9"/>
        <rFont val="Tahoma"/>
        <family val="2"/>
      </rPr>
      <t>/т</t>
    </r>
  </si>
  <si>
    <t>Стоимость электроэнергии с доставкой, $МВт/ч</t>
  </si>
  <si>
    <t>Затраты на электроэнергию, $</t>
  </si>
  <si>
    <t>Расход газа на 1 тонну заданного сырья, 1000 куб.м/тонна</t>
  </si>
  <si>
    <t>Затраты на газ, $</t>
  </si>
  <si>
    <t>Затраты на подготовку шихты для обжига, $</t>
  </si>
  <si>
    <t>Технологические материалы, этап электроплавка огарка на РТП, $/т огарка</t>
  </si>
  <si>
    <t>Технологические материалы, этап электроплавка огарка на РКЗ, $/т огарка</t>
  </si>
  <si>
    <t>Затраты на технологические материалы, этап электроплавка огарка на РТП, $</t>
  </si>
  <si>
    <t>Затраты на технологические материалы, этап электроплавка огарка на РКЗ, $</t>
  </si>
  <si>
    <t>Технологические материалы, этап рафинирования и разливки FeNi, $/т FeNi</t>
  </si>
  <si>
    <t>Затраты на технологические материалы, этап рафинирования и разливки FeNi, $</t>
  </si>
  <si>
    <t>Затраты на приобретение руды, $</t>
  </si>
  <si>
    <t>Расходы по финансированию переработки, руды, реализации продукции, $</t>
  </si>
  <si>
    <t>Страхование руды, товарного металла, $</t>
  </si>
  <si>
    <t>Общехозяйственные расходы ПФК в себестоимости, $</t>
  </si>
  <si>
    <t>Текущие ремонты оборудования ПФК в себестоимости, $</t>
  </si>
  <si>
    <t>Себестоимость переработки ПФК в расчете на выпуск Ni, $</t>
  </si>
  <si>
    <t>Себестоимость переработки ПФК в расчете на 1 т. Ni руды, $/смт</t>
  </si>
  <si>
    <t>Прямые условно-переменные непроизводственные затраты</t>
  </si>
  <si>
    <t>Фрахт покупной руды</t>
  </si>
  <si>
    <t>Коммерческие расходы</t>
  </si>
  <si>
    <t>exch rate eur/usd</t>
  </si>
  <si>
    <t>LT Debt B - due xx/xx/xx @ LIBOR +3,5%</t>
  </si>
  <si>
    <t>LT Debt A - due xx/xx/xx @ 10,75%</t>
  </si>
  <si>
    <t>Содосульфатная смесь</t>
  </si>
  <si>
    <t>Содосульфатная смесь (РФ)</t>
  </si>
  <si>
    <t>Стоимость экспедирования FeNi в портах Украины/Европы, $/т</t>
  </si>
  <si>
    <t>Рост цен на сырье и материалы</t>
  </si>
  <si>
    <t>Rub/USD FK rate</t>
  </si>
  <si>
    <t>Технологические материалы (беза газа)+ АС, этап подготовки шихты и обжига на ТВП, $/смт поданного сырья</t>
  </si>
  <si>
    <t>Индекс роста управленческих затрат, %</t>
  </si>
  <si>
    <t>Total Real Estate Segment Forecast</t>
  </si>
  <si>
    <t>Gold, oz</t>
  </si>
  <si>
    <t>Silver, oz</t>
  </si>
  <si>
    <r>
      <t xml:space="preserve">Fe price, </t>
    </r>
    <r>
      <rPr>
        <sz val="9"/>
        <rFont val="Arial Cyr"/>
        <charset val="204"/>
      </rPr>
      <t>€</t>
    </r>
    <r>
      <rPr>
        <sz val="9"/>
        <rFont val="Tahoma"/>
        <family val="2"/>
        <charset val="204"/>
      </rPr>
      <t>/ton</t>
    </r>
  </si>
  <si>
    <t>Норматив получения отходов и возвратов,  $/т</t>
  </si>
  <si>
    <t>Total</t>
  </si>
  <si>
    <t>Production of Zn concentrate, ton</t>
  </si>
  <si>
    <t>Production of Pb concentrate, ton</t>
  </si>
  <si>
    <t>Агентское вознаграждение за сбыт 0,7%, 1,5%</t>
  </si>
  <si>
    <t>Затраты на сбыт (ж/д, тара)</t>
  </si>
  <si>
    <t>Sales commission charges+ commercial cost</t>
  </si>
  <si>
    <t xml:space="preserve">Soda ash </t>
  </si>
  <si>
    <t>Income and dividend tax</t>
  </si>
  <si>
    <t xml:space="preserve"> +/- Other income/expenses</t>
  </si>
  <si>
    <t>Actual LME prices</t>
  </si>
  <si>
    <t>EUR 6mnth LIBOR</t>
  </si>
  <si>
    <t>Цена экспедирования влажной руды в портах Украины, $/вмт</t>
  </si>
  <si>
    <t>Other income/expenses</t>
  </si>
  <si>
    <t>For Ukraine UAH/USD FX rate</t>
  </si>
  <si>
    <t>For Macedoniya EUR/USD FX rate</t>
  </si>
  <si>
    <t>Поташ очищенный</t>
  </si>
  <si>
    <t>ифрс</t>
  </si>
  <si>
    <t>Consultancy fees</t>
  </si>
  <si>
    <t>Поташ очищенный '(экспорт), тонн</t>
  </si>
  <si>
    <t>Прочая реализация</t>
  </si>
  <si>
    <t>Morgan Stanly Nickel, mt</t>
  </si>
  <si>
    <t>Минэкономразвития, Nickel, mt</t>
  </si>
  <si>
    <t>Energing Markets Monitor</t>
  </si>
  <si>
    <t>Deutsche Bank</t>
  </si>
  <si>
    <t>Nickel</t>
  </si>
  <si>
    <t>Goldman Sachs</t>
  </si>
  <si>
    <t>Barclays Capital</t>
  </si>
  <si>
    <t>Standard Bank</t>
  </si>
  <si>
    <t>1 Year</t>
  </si>
  <si>
    <t>2 Year</t>
  </si>
  <si>
    <t>3 Year</t>
  </si>
  <si>
    <t>4 Year</t>
  </si>
  <si>
    <t>5 Year</t>
  </si>
  <si>
    <t>6 Year</t>
  </si>
  <si>
    <t>7 Year</t>
  </si>
  <si>
    <t>Серная кислота</t>
  </si>
  <si>
    <t>TIMELINE</t>
  </si>
  <si>
    <t>Infrastructure cost</t>
  </si>
  <si>
    <t>Striping ratio</t>
  </si>
  <si>
    <t xml:space="preserve">Overburden </t>
  </si>
  <si>
    <t>Recovery</t>
  </si>
  <si>
    <t>Moisture</t>
  </si>
  <si>
    <t>Price for 1.8% Ni</t>
  </si>
  <si>
    <t>Price for 2.2% Ni</t>
  </si>
  <si>
    <t>Price for 2.0% Ni</t>
  </si>
  <si>
    <t>Capex PBK (2nd furnace modernisation)</t>
  </si>
  <si>
    <t xml:space="preserve">Aquila Nickel exploration and prefeasibility study </t>
  </si>
  <si>
    <t xml:space="preserve">Aquila Nickel feasibility study </t>
  </si>
  <si>
    <t>Aquila Nickel purchase and development of new plots</t>
  </si>
  <si>
    <t>Aquila Nickel Project</t>
  </si>
  <si>
    <t>Total, $</t>
  </si>
  <si>
    <t>Total Apartments sale net income</t>
  </si>
  <si>
    <t>NOTE: Financing required</t>
  </si>
  <si>
    <t>Coal project net income</t>
  </si>
  <si>
    <t>Cash balance at the beginning of the year</t>
  </si>
  <si>
    <t>Cash balance at the year-end</t>
  </si>
  <si>
    <t>Cash equivalents at the beginning of the year</t>
  </si>
  <si>
    <t>Cash equivalents at the year-end</t>
  </si>
  <si>
    <t>Interest paid on borrowings</t>
  </si>
  <si>
    <t>Direct Capital Costs for Construction</t>
  </si>
  <si>
    <t>Indirect Capital Costs</t>
  </si>
  <si>
    <t>Owner's Capital Costs + Taxes (Capital Project)</t>
  </si>
  <si>
    <t>Contingency</t>
  </si>
  <si>
    <t>CND$ / US$</t>
  </si>
  <si>
    <t>Canada</t>
  </si>
  <si>
    <t>Guatemala Quetzal</t>
  </si>
  <si>
    <t>GTQ / US$</t>
  </si>
  <si>
    <t>South Africa</t>
  </si>
  <si>
    <t>Rand / US$</t>
  </si>
  <si>
    <t>Community Support</t>
  </si>
  <si>
    <t>Staff / Technical / Engineering Manpower</t>
  </si>
  <si>
    <t>Distribution expenses</t>
  </si>
  <si>
    <t>Direct Production Cost Fenix</t>
  </si>
  <si>
    <t>Distribution expenses Fenix</t>
  </si>
  <si>
    <t>SG&amp;A Fenix</t>
  </si>
  <si>
    <t>Fenix project acquisition</t>
  </si>
  <si>
    <t>Fenix project capex</t>
  </si>
  <si>
    <t>Income tax Fenix</t>
  </si>
  <si>
    <t>Income tax Ore sales project</t>
  </si>
  <si>
    <t>Depreciation and Amortization Fenix</t>
  </si>
  <si>
    <t>Indonesia ore sales project</t>
  </si>
  <si>
    <t>Coal project development</t>
  </si>
  <si>
    <t xml:space="preserve">Indonesia Acquila project, PFS, FS </t>
  </si>
  <si>
    <t>(+) / (-) Working capital Fenix</t>
  </si>
  <si>
    <t>Note: Total Group Debt at the year-end</t>
  </si>
  <si>
    <t>Rate of growth</t>
  </si>
  <si>
    <t>Ni recovery rate, %</t>
  </si>
  <si>
    <r>
      <t xml:space="preserve">Fe price, </t>
    </r>
    <r>
      <rPr>
        <sz val="9"/>
        <rFont val="Arial Cyr"/>
      </rPr>
      <t>€</t>
    </r>
    <r>
      <rPr>
        <sz val="9"/>
        <rFont val="Tahoma"/>
        <family val="2"/>
      </rPr>
      <t>/ton</t>
    </r>
  </si>
  <si>
    <t xml:space="preserve">Расчетный график работы EF </t>
  </si>
  <si>
    <t>График выполнения ремонтов на EF 1 (по видам ремонтов)</t>
  </si>
  <si>
    <t>EF 1</t>
  </si>
  <si>
    <t>График выполнения ремонтов на EF 2 (по видам ремонтов)</t>
  </si>
  <si>
    <t>EF 2</t>
  </si>
  <si>
    <t>Капитальный ремонт EF , $</t>
  </si>
  <si>
    <t>Горячий ремонт EF , $</t>
  </si>
  <si>
    <t>Длительность выполнения ремонтов EF  (дней):</t>
  </si>
  <si>
    <t>Длительность разогрева печей EF  (дней):</t>
  </si>
  <si>
    <t>% работы от плановой прозводительности печей, %</t>
  </si>
  <si>
    <t xml:space="preserve">Количество МВт/ч в день на разогрев EF </t>
  </si>
  <si>
    <t>EF 1 - на электроплавку</t>
  </si>
  <si>
    <t>EF 1 - на разогрев</t>
  </si>
  <si>
    <t>EF 2 - на электроплавку</t>
  </si>
  <si>
    <t>EF 2 - на разогрев</t>
  </si>
  <si>
    <t>Расчет объемов добычи и переработки руды</t>
  </si>
  <si>
    <t>Удельный расход электричества на 1т. огарка EF , Кв/т</t>
  </si>
  <si>
    <t>Никелевая руда, подаваемая на ТВП, смт</t>
  </si>
  <si>
    <t>Key Operating Costs Estimates</t>
  </si>
  <si>
    <t xml:space="preserve">OPEX Factor </t>
  </si>
  <si>
    <t>Contract Mining Costs ($/dmt of material moved)</t>
  </si>
  <si>
    <t>Total Contract Mining Costs, $</t>
  </si>
  <si>
    <t>Стоимость экспедирования FeNi в порту, $/т</t>
  </si>
  <si>
    <t>Затраты на экспедирование FeNi в порту, $</t>
  </si>
  <si>
    <t>Стоимость доставки/траккинга FeNi на склад покупателя, $/т</t>
  </si>
  <si>
    <t>Стоимость переработки руды</t>
  </si>
  <si>
    <t>Цена угля, $/вмт</t>
  </si>
  <si>
    <t>Проноз роста цена на уголь, %%</t>
  </si>
  <si>
    <t>Расход угля на 1 тонну заданного сырья, вмт/т</t>
  </si>
  <si>
    <t>Затраты на уголь, $</t>
  </si>
  <si>
    <t>Технологические материалы (без угля)+ АС, этап подготовки шихты и обжига на ТВП $/смт поданного сырья</t>
  </si>
  <si>
    <t>Технологические материалы, этап электроплавка огарка на EF , $/т огарка</t>
  </si>
  <si>
    <t>Затраты на технологические материалы, этап электроплавка огарка на EF , $</t>
  </si>
  <si>
    <t>General &amp; Administration Costs</t>
  </si>
  <si>
    <t>Safety Equipment</t>
  </si>
  <si>
    <t>Telecommunications</t>
  </si>
  <si>
    <t>Medical Costs</t>
  </si>
  <si>
    <t>Safety Training</t>
  </si>
  <si>
    <t>Environmental costs</t>
  </si>
  <si>
    <t>Community Relations</t>
  </si>
  <si>
    <t>HR Costs</t>
  </si>
  <si>
    <t>Cars Operating Costs</t>
  </si>
  <si>
    <t>Business Travel</t>
  </si>
  <si>
    <t>G&amp;A Labor</t>
  </si>
  <si>
    <t>HSEQ Labor</t>
  </si>
  <si>
    <t>Техническое обслуживание и содержание технологического оборудования/ материалы</t>
  </si>
  <si>
    <t>Сервисные услуги по ТО оборудования/ по контракту</t>
  </si>
  <si>
    <t>Production Labor Costs (Mine, Smelter, Engineering&amp;Maintenance)</t>
  </si>
  <si>
    <t>Горячие ремонты EF</t>
  </si>
  <si>
    <t>Экспедирование ферроникеля в порту</t>
  </si>
  <si>
    <t>Фрахт ферроникеля в порту</t>
  </si>
  <si>
    <t>Экспедирование в портах Китая и доставка FeNi покупателю (траккинг)</t>
  </si>
  <si>
    <t>Технологические материалы (без угля)+ АС, этап подготовки шихты и обжига на ТВП, $</t>
  </si>
  <si>
    <t>Технологические материалы, этап электроплавка огарка на EF , $</t>
  </si>
  <si>
    <t>Условно-постоянные производственные затраты</t>
  </si>
  <si>
    <t>Общехозйственные и общезаводские расходы, $</t>
  </si>
  <si>
    <t>Страхование имущества и защита от аварий, $</t>
  </si>
  <si>
    <t>Заработная плата с начислениями SG&amp;A, $</t>
  </si>
  <si>
    <t>Заработная плата с начислениями Production, $</t>
  </si>
  <si>
    <t>Полная cash-себестоимость производства 1 тонны товарного Ni</t>
  </si>
  <si>
    <t>Полная cash-себестоимость производства 1 фунта товарного Ni</t>
  </si>
  <si>
    <t>Mining Royalty</t>
  </si>
  <si>
    <t>(+) / (-) Equity Contributions/ Dividends</t>
  </si>
  <si>
    <t>Investment Analysis</t>
  </si>
  <si>
    <t>АНАЛИЗ ИНВЕСТИЦИОННЫХ ПОКАЗАТЕЛЕЙ</t>
  </si>
  <si>
    <t>CAPEX Escalation Factor</t>
  </si>
  <si>
    <t>FCFF</t>
  </si>
  <si>
    <t>FCFF cumulative</t>
  </si>
  <si>
    <t>Payback Period, (years since start of production)</t>
  </si>
  <si>
    <t>Payback Period, (years since start of construction)</t>
  </si>
  <si>
    <t>IRR, %</t>
  </si>
  <si>
    <t>NPV (12,5 %), $ mln</t>
  </si>
  <si>
    <t>NPV (12%) Sensitivity to Ni price</t>
  </si>
  <si>
    <t>Payback Period Sensitivity to Ni price</t>
  </si>
  <si>
    <t>IRR Sensitivity to Ni price</t>
  </si>
  <si>
    <t>NPV (12%) Sensitivity to CAPEX</t>
  </si>
  <si>
    <t>Payback Period Sensitivity to CAPEX</t>
  </si>
  <si>
    <t>NPV (12%) Sensitivity to OPEX</t>
  </si>
  <si>
    <t>Payback Period Sensitivity to OPEX</t>
  </si>
  <si>
    <t>NPV (12%) Sensitivity to the Grade</t>
  </si>
  <si>
    <t>Payback Period Sensitivity to the Grade</t>
  </si>
  <si>
    <t>Working Capital</t>
  </si>
  <si>
    <t>Предоплата по углю и электричеству, мес</t>
  </si>
  <si>
    <t>Предоплата по углю и электричеству</t>
  </si>
  <si>
    <t>НДС к возмещению из бюджета</t>
  </si>
  <si>
    <t>Total Capital Investments (without lining)</t>
  </si>
  <si>
    <t>Equity Contributions</t>
  </si>
  <si>
    <t>IGV (VAT)</t>
  </si>
  <si>
    <t>Limonite</t>
  </si>
  <si>
    <t xml:space="preserve">    % Ni</t>
  </si>
  <si>
    <t>Saprolite</t>
  </si>
  <si>
    <t>Total Ore</t>
  </si>
  <si>
    <t>Total Waste</t>
  </si>
  <si>
    <t>Strip Ratio</t>
  </si>
  <si>
    <t>Total Material Moved</t>
  </si>
  <si>
    <t>Ore Stockpiled (OB), dmt</t>
  </si>
  <si>
    <t>Ore mined, dmt</t>
  </si>
  <si>
    <t>Ore processed, dmt</t>
  </si>
  <si>
    <t>Ore Stockpiled (CB), dmt</t>
  </si>
  <si>
    <t>Ore Stockpiled (OB) Ni grade, %</t>
  </si>
  <si>
    <t>Ore processed Ni grade, %</t>
  </si>
  <si>
    <t>Ore Stockpiled (CB) Ni grade, %</t>
  </si>
  <si>
    <t>Optimised Mining Plan, dmt</t>
  </si>
  <si>
    <t>Number of employees</t>
  </si>
  <si>
    <t>Average salary</t>
  </si>
  <si>
    <t>Конечная стоимость ОС</t>
  </si>
  <si>
    <t>Acquila revenue</t>
  </si>
  <si>
    <t>Direct Production Cost Acquila</t>
  </si>
  <si>
    <t>SG&amp;A Acquila</t>
  </si>
  <si>
    <t>Depreciation and Amortization Acquila</t>
  </si>
  <si>
    <t>Income tax Acquila</t>
  </si>
  <si>
    <t>Group borrowings Acquila</t>
  </si>
  <si>
    <t>(+) / (-) Working capital Acquila</t>
  </si>
  <si>
    <t>Direct Production Cost Ore sales project</t>
  </si>
  <si>
    <t>Nickel sales, tn</t>
  </si>
  <si>
    <t>Grade, 1,8%</t>
  </si>
  <si>
    <t>Grade, 2%</t>
  </si>
  <si>
    <t>Ownership share</t>
  </si>
  <si>
    <t>Hauling from pit to port, km</t>
  </si>
  <si>
    <t>NI LME price, USD/ton</t>
  </si>
  <si>
    <t>Operational costs, USD/wmt</t>
  </si>
  <si>
    <t>Government Royalty for 1,8%Ni</t>
  </si>
  <si>
    <t>Government Royalty for 2%Ni</t>
  </si>
  <si>
    <t>Total costs for 1,8%Ni, USD/wmt</t>
  </si>
  <si>
    <t>Total costs for 2%Ni, USD/wmt</t>
  </si>
  <si>
    <t>Cost of production, 1,8%Ni</t>
  </si>
  <si>
    <t>Cost of production, 2%Ni</t>
  </si>
  <si>
    <t>Income tax rate</t>
  </si>
  <si>
    <t>Ni content</t>
  </si>
  <si>
    <t>Ore, 1,8%Ni</t>
  </si>
  <si>
    <t>Ore, 2%Ni</t>
  </si>
  <si>
    <t>Ore, 2,2%Ni</t>
  </si>
  <si>
    <t>Government Royalty for 2,2%Ni</t>
  </si>
  <si>
    <t>Cost of production, 2,2%Ni</t>
  </si>
  <si>
    <t>Cost of Sales, $</t>
  </si>
  <si>
    <t>Profit and loss forecast, TOTAL ORE SALES PROJECTS</t>
  </si>
  <si>
    <t>Breakdown by Projects</t>
  </si>
  <si>
    <t>Indonesian Ore Sales Projects</t>
  </si>
  <si>
    <t>Cash Flow statement, TOTAL ORE SALES</t>
  </si>
  <si>
    <t>Balance Sheet, TOTAL ORE SALES</t>
  </si>
  <si>
    <t>ASSETS</t>
  </si>
  <si>
    <t>EQUITY AND LIABILITIES</t>
  </si>
  <si>
    <t>Cash</t>
  </si>
  <si>
    <t>Other assets</t>
  </si>
  <si>
    <t>TOTAL CURRENT ASSETS</t>
  </si>
  <si>
    <t>Fixed assets</t>
  </si>
  <si>
    <t>TOTAL ASSETS</t>
  </si>
  <si>
    <t>TOTAL EQUITY AND LIABILITIES</t>
  </si>
  <si>
    <t>Cash in the begiining of year</t>
  </si>
  <si>
    <t>Cash in the end of year</t>
  </si>
  <si>
    <t>NOTE: Financing requirement</t>
  </si>
  <si>
    <t>Production and Sales forecast, Fenix</t>
  </si>
  <si>
    <t>Fe content in FeNi, %</t>
  </si>
  <si>
    <t>Fe price, $/ton</t>
  </si>
  <si>
    <t>Consumable Unit Costs</t>
  </si>
  <si>
    <t>Inflation Forecast, %</t>
  </si>
  <si>
    <t>Coal, US$/tonne</t>
  </si>
  <si>
    <t>Petcoke, US$/tonne</t>
  </si>
  <si>
    <t>Other</t>
  </si>
  <si>
    <t>Consumption Rates</t>
  </si>
  <si>
    <t>Consumables, $/tonne dry ore</t>
  </si>
  <si>
    <t>Limeston Quarry Cost (Includs Fuel, Salary, Consumables), $/tonne dry ore</t>
  </si>
  <si>
    <t>Fuel, $/tonne dry ore</t>
  </si>
  <si>
    <t>Process Plant Consumables, $</t>
  </si>
  <si>
    <t>Drying</t>
  </si>
  <si>
    <t>Coal</t>
  </si>
  <si>
    <t>Smelting</t>
  </si>
  <si>
    <t>Refining</t>
  </si>
  <si>
    <t>Power Cost Sub-total , US$</t>
  </si>
  <si>
    <t>Mine and Plant Production</t>
  </si>
  <si>
    <t>ROM Ore, tonnes</t>
  </si>
  <si>
    <t>Ramp-up factor</t>
  </si>
  <si>
    <t>Calcine to Furnace, tonnes</t>
  </si>
  <si>
    <t>Calcine - Annual Design Capacity</t>
  </si>
  <si>
    <t>Calcine (incl. Ramp-up Factor)</t>
  </si>
  <si>
    <t>Refined Metal</t>
  </si>
  <si>
    <t>Dry Ore per a Unit of Ni</t>
  </si>
  <si>
    <t>Wet Ore per a Unit of Ni</t>
  </si>
  <si>
    <t>Nickel Content in Ore Processed</t>
  </si>
  <si>
    <t>Ni Recovery</t>
  </si>
  <si>
    <t>Fe Content in Ore Processed</t>
  </si>
  <si>
    <t>Fe Recovery</t>
  </si>
  <si>
    <t>Moisture Contained</t>
  </si>
  <si>
    <t>Ore Processed (Including Ramp-Up Factor)</t>
  </si>
  <si>
    <t>Dry Ore, tonnes</t>
  </si>
  <si>
    <t>Wet Ore, tonnes</t>
  </si>
  <si>
    <t>Operating Expenses</t>
  </si>
  <si>
    <t>Consumables</t>
  </si>
  <si>
    <t>Limeston Quarry Cost (Includs Fuel, Salary, Consumables)</t>
  </si>
  <si>
    <t xml:space="preserve">Fuel </t>
  </si>
  <si>
    <t>Ore Processing Sub-total, US$</t>
  </si>
  <si>
    <t>Drying Sub-total, US$</t>
  </si>
  <si>
    <t>Smelting Sub-total, US$</t>
  </si>
  <si>
    <t>Refining Sub-total, US$</t>
  </si>
  <si>
    <t>VAT Recoverable</t>
  </si>
  <si>
    <t>Tax Rate, %</t>
  </si>
  <si>
    <t>Consumables Cost, US$</t>
  </si>
  <si>
    <t>Value Added Tax (IVA) Recoverable</t>
  </si>
  <si>
    <t>Mine Manpower</t>
  </si>
  <si>
    <t>Process Plant Manpower</t>
  </si>
  <si>
    <t>General and Administration Manpower</t>
  </si>
  <si>
    <t>Other General Fixed Costs Sub-total, $</t>
  </si>
  <si>
    <t>Insurance</t>
  </si>
  <si>
    <t>Travel Expenses</t>
  </si>
  <si>
    <t>Royalties and Other Payments</t>
  </si>
  <si>
    <t>Royalties Rates &amp; Other Payments Assumptions</t>
  </si>
  <si>
    <t xml:space="preserve">Total Gross Sales Revenue </t>
  </si>
  <si>
    <t>Cumulative Revenue, US$</t>
  </si>
  <si>
    <t>INCO Payments, US$</t>
  </si>
  <si>
    <t>Inco Marketing Fee</t>
  </si>
  <si>
    <t>Inco Production Interest (on 70% of Ore)</t>
  </si>
  <si>
    <t>Inco NSR (on 70% of Ore)</t>
  </si>
  <si>
    <t>INCO Payments Calculation</t>
  </si>
  <si>
    <t>Inco Marketing Fee, %</t>
  </si>
  <si>
    <t>Inco Marketing Fee, US$</t>
  </si>
  <si>
    <t>Nickel Price, US$/lb</t>
  </si>
  <si>
    <t>Сухая руда, смт</t>
  </si>
  <si>
    <t>Ore % for Inco Production Interest</t>
  </si>
  <si>
    <t>Inco Production Interest, US$</t>
  </si>
  <si>
    <t>Inco NSR Expense  -  Before / during payback</t>
  </si>
  <si>
    <t>Inco NSR Expense  - After payback</t>
  </si>
  <si>
    <t>Total Inco NSR Expense (70% of Ore )</t>
  </si>
  <si>
    <t>Additional Government Royalty Calculation</t>
  </si>
  <si>
    <t>Payback, US$</t>
  </si>
  <si>
    <t>Gross FeNi Sales Revenue, US$</t>
  </si>
  <si>
    <t>Payback Achieved?</t>
  </si>
  <si>
    <t>Nickel Price, $/lb</t>
  </si>
  <si>
    <t>Royalty Rate</t>
  </si>
  <si>
    <t>Ni &gt; $7/lb?</t>
  </si>
  <si>
    <t>Pre Payback Royalty Applicable?</t>
  </si>
  <si>
    <t>Pre Payback Royalty</t>
  </si>
  <si>
    <t>$7/lb &lt;= Ni Price &lt; $10/lb?</t>
  </si>
  <si>
    <t>$7/lb &lt;= Ni Price &lt; $10/lb Post Payback Royalty Applicable?</t>
  </si>
  <si>
    <t>Post Payback Royalty - Ni &gt;= $7/lb</t>
  </si>
  <si>
    <t>$10/lb &lt;= Ni Price &lt; $13/lb?</t>
  </si>
  <si>
    <t>$10/lb &lt;= Ni Price &lt; $13/lb Post Payback Royalty Applicable?</t>
  </si>
  <si>
    <t>Post Payback Royalty - Ni &gt;= $10/lb</t>
  </si>
  <si>
    <t>$13/lb &lt;= Ni Price &lt; $16/lb?</t>
  </si>
  <si>
    <t>$13/lb &lt;= Ni Price &lt; $16/lb Post Payback Royalty Applicable?</t>
  </si>
  <si>
    <t>Post Payback Royalty - Ni &gt;= $13/lb</t>
  </si>
  <si>
    <t>$16/lb &lt;= Ni Price &lt; $19/lb?</t>
  </si>
  <si>
    <t>$16/lb &lt;= Ni Price &lt; $19/lb Post Payback Royalty Applicable?</t>
  </si>
  <si>
    <t>Post Payback Royalty - Ni &gt;= $16/lb</t>
  </si>
  <si>
    <t>$19/lb &lt;= Ni Price &lt; $22/lb?</t>
  </si>
  <si>
    <t>$19/lb &lt;= Ni Price &lt; $22/lb Post Payback Royalty Applicable?</t>
  </si>
  <si>
    <t>Post Payback Royalty - Ni &gt;= $19/lb</t>
  </si>
  <si>
    <t>Ni Price &gt; $22/lb?</t>
  </si>
  <si>
    <t>Ni Price &gt;= $22/lb Post Payback Royalty Applicable?</t>
  </si>
  <si>
    <t>Post Payback Royalty - Ni &gt;= $22/lb</t>
  </si>
  <si>
    <t>Total Additional Government Royalty Payable, US$</t>
  </si>
  <si>
    <t>Additions</t>
  </si>
  <si>
    <t>Closing Balance</t>
  </si>
  <si>
    <t>Profit and Loss Forecast</t>
  </si>
  <si>
    <t>Income tax effective rate</t>
  </si>
  <si>
    <t>Balance Sheet</t>
  </si>
  <si>
    <t>CASH AND CASH EQUIVALENTS</t>
  </si>
  <si>
    <t>CURRENT RECEIVABLES</t>
  </si>
  <si>
    <t>ACCOUNTS RECEIVABLE</t>
  </si>
  <si>
    <t>OTHER RECEIVABLES</t>
  </si>
  <si>
    <t>INVENTORIES</t>
  </si>
  <si>
    <t>INVESTMENTS</t>
  </si>
  <si>
    <t>INTERCOMPANY RECEIVABLES</t>
  </si>
  <si>
    <t>RESTRICTED BANK DEPOSITS</t>
  </si>
  <si>
    <t>P P &amp; E - Current Assets</t>
  </si>
  <si>
    <t>MINERAL PROPERTY</t>
  </si>
  <si>
    <t>PROJECTS</t>
  </si>
  <si>
    <t>FENIX PROJECT ASSETS</t>
  </si>
  <si>
    <t>CONSTRUCTION IN PROGRESS</t>
  </si>
  <si>
    <t>INTANGIBLES</t>
  </si>
  <si>
    <t>ACCUMULATED DEPRECIATION</t>
  </si>
  <si>
    <t>OTHER LONG-TERM ASSETS</t>
  </si>
  <si>
    <t>EQUITY &amp; LIABILITIES</t>
  </si>
  <si>
    <t>PAYABLES - CURRENT</t>
  </si>
  <si>
    <t>ACCOUNTS PAYABLE</t>
  </si>
  <si>
    <t>OTHER EMPLOYEE BENEFITS PAYABLE</t>
  </si>
  <si>
    <t>OTHER PAYABLES</t>
  </si>
  <si>
    <t>CURRENT ARO</t>
  </si>
  <si>
    <t>OTHER CURRENT LIABILITIES</t>
  </si>
  <si>
    <t>TOTAL CURRENT LIABILITIES</t>
  </si>
  <si>
    <t>INTERCOMPANY PAYABLE</t>
  </si>
  <si>
    <t>ARO - LIABILITY</t>
  </si>
  <si>
    <t>REVOLVING CREDIT</t>
  </si>
  <si>
    <t>LONG-TERM DEBT</t>
  </si>
  <si>
    <t>TOTAL LIABILITIES</t>
  </si>
  <si>
    <t>SHARE CAPITAL</t>
  </si>
  <si>
    <t>AOCI</t>
  </si>
  <si>
    <t>RETAINED EARNINGS OPEN BAL</t>
  </si>
  <si>
    <t>DEFICIT</t>
  </si>
  <si>
    <t>TOTAL SHAREHOLDERS' EQUITY</t>
  </si>
  <si>
    <t>TOTAL EQUITY &amp; LIABILITIES</t>
  </si>
  <si>
    <t>For Reference: Cash Requirement</t>
  </si>
  <si>
    <t>Cash - Closing Balance</t>
  </si>
  <si>
    <t>Net Sales Revenue at Plant (NSR), US$</t>
  </si>
  <si>
    <t>Crude FeNi Production Cost, US$</t>
  </si>
  <si>
    <t>Assumptions</t>
  </si>
  <si>
    <t>Accounts Receivable, %Sales</t>
  </si>
  <si>
    <t>Inventories</t>
  </si>
  <si>
    <t>Value (valued at cost of production), US$</t>
  </si>
  <si>
    <t>Process Plant Lock Up</t>
  </si>
  <si>
    <t xml:space="preserve">Crude FeNi </t>
  </si>
  <si>
    <t xml:space="preserve">Process Plant Lock Up Value </t>
  </si>
  <si>
    <t>Total Process Plant Lock Up Value</t>
  </si>
  <si>
    <t>Petcoke</t>
  </si>
  <si>
    <t>Total Other Inventories</t>
  </si>
  <si>
    <t>Working Capital Balance</t>
  </si>
  <si>
    <t>Accounts Receivable</t>
  </si>
  <si>
    <t>Total Non-cash Current Assets</t>
  </si>
  <si>
    <t>Accounts Payable</t>
  </si>
  <si>
    <t>Total Current Liabilities</t>
  </si>
  <si>
    <t>NET WORKING CAPITAL / (DEFICIT)</t>
  </si>
  <si>
    <t>Increase/(Decrease) in Working Capital</t>
  </si>
  <si>
    <t>Other Current Assets, % of Sales</t>
  </si>
  <si>
    <t>Other Current Liabilities, % of Sales</t>
  </si>
  <si>
    <t>Total Other Assets</t>
  </si>
  <si>
    <t>Other Assets Increase/(Decrease)</t>
  </si>
  <si>
    <t>Other Current Liabilities</t>
  </si>
  <si>
    <t>Other Payables</t>
  </si>
  <si>
    <t>Total Other Liabilities</t>
  </si>
  <si>
    <t>Other Liabilities Increase/(Decrease)</t>
  </si>
  <si>
    <t>Total Net Oher Assets Increase/(Decrease)</t>
  </si>
  <si>
    <t>Construction Capital Costs</t>
  </si>
  <si>
    <t>Group 1</t>
  </si>
  <si>
    <t>Group 2</t>
  </si>
  <si>
    <t>Group 3</t>
  </si>
  <si>
    <t>Group 4</t>
  </si>
  <si>
    <t>Depreciation Rates</t>
  </si>
  <si>
    <t>Total Construction Capital Costs</t>
  </si>
  <si>
    <t>Maintenance Expenses</t>
  </si>
  <si>
    <t>Maintenance Expenses Normative Useful Life</t>
  </si>
  <si>
    <t>Current Assets</t>
  </si>
  <si>
    <t>Opening Balance, US$</t>
  </si>
  <si>
    <t>Opening Balance</t>
  </si>
  <si>
    <t>Distribution</t>
  </si>
  <si>
    <t>Land</t>
  </si>
  <si>
    <t>Concessions</t>
  </si>
  <si>
    <t>Buildings</t>
  </si>
  <si>
    <t>Machinery and Equipment</t>
  </si>
  <si>
    <t>Furniture &amp; Fixtures</t>
  </si>
  <si>
    <t>Computer Equipment</t>
  </si>
  <si>
    <t>Construction in Progress</t>
  </si>
  <si>
    <t>Projects</t>
  </si>
  <si>
    <t>Depreciation Rates, %</t>
  </si>
  <si>
    <t>PP&amp;E Opening Balance, US$</t>
  </si>
  <si>
    <t>P P &amp; E - PPA</t>
  </si>
  <si>
    <t xml:space="preserve">P P &amp; E - FENIX PROJECT EQUIPMENT </t>
  </si>
  <si>
    <t>P P &amp; E - FEASIBILITY STUDY</t>
  </si>
  <si>
    <t>PP&amp;E Closing Balance, US$</t>
  </si>
  <si>
    <t>Capital Expenditures</t>
  </si>
  <si>
    <t>Disposals</t>
  </si>
  <si>
    <t>Depreciation Disposals</t>
  </si>
  <si>
    <t>Accumulated Depreciation</t>
  </si>
  <si>
    <t>Depletion of Ore Deposit</t>
  </si>
  <si>
    <t>Annual ROM Ore Tonnage (dry basis), tonnes</t>
  </si>
  <si>
    <t>Total Mineable Reserves, ktonnes</t>
  </si>
  <si>
    <t>Depletion Rate</t>
  </si>
  <si>
    <t>Depletable Value (sunk value into ore deposits), US$</t>
  </si>
  <si>
    <t>Depletion Value Claim, US$</t>
  </si>
  <si>
    <t>Mineral Property, Closing Balance</t>
  </si>
  <si>
    <t>Long-Term Debt Schedule</t>
  </si>
  <si>
    <t>Debt Schedule and Interest Payments</t>
  </si>
  <si>
    <t>Cash Flow Available for Financing Activities</t>
  </si>
  <si>
    <t>Plus: Initial Cash</t>
  </si>
  <si>
    <t>Minimum Cash, % Sales</t>
  </si>
  <si>
    <t>Minus: Minimum Cash</t>
  </si>
  <si>
    <t>Cash Available for Financing Activities</t>
  </si>
  <si>
    <t>Long-Term Debt Balance</t>
  </si>
  <si>
    <t>Total Long-Term Debt</t>
  </si>
  <si>
    <t>(Payments) / Increase in Long-Term Debt</t>
  </si>
  <si>
    <t>Cash Available for Revolving Credit</t>
  </si>
  <si>
    <t>Revolving Credit</t>
  </si>
  <si>
    <t>(Decrease)/Increase</t>
  </si>
  <si>
    <t>Cash Available after All Debt Payments</t>
  </si>
  <si>
    <t>Plus: Minimum Cash</t>
  </si>
  <si>
    <t>Closing Cash Balance</t>
  </si>
  <si>
    <t>Long-Term Debt Cost</t>
  </si>
  <si>
    <t>Average Balance</t>
  </si>
  <si>
    <t>Interest Rates</t>
  </si>
  <si>
    <t>Interest Payments</t>
  </si>
  <si>
    <t>Other Interest Payments</t>
  </si>
  <si>
    <t>Total Interest Payments</t>
  </si>
  <si>
    <t>Interest Income</t>
  </si>
  <si>
    <t>Other Interest Income</t>
  </si>
  <si>
    <t>Total Interest Income</t>
  </si>
  <si>
    <t>Transportation expenses</t>
  </si>
  <si>
    <t>Group borrowings Fenix</t>
  </si>
  <si>
    <t>Interest paid on Borrowings Fenix</t>
  </si>
  <si>
    <t>Interest paid on Borrowings Acquila OPS</t>
  </si>
  <si>
    <t>Net Present Value</t>
  </si>
  <si>
    <t>kUS$</t>
  </si>
  <si>
    <t>%</t>
  </si>
  <si>
    <t>Return on Investment  ( IRR )</t>
  </si>
  <si>
    <t xml:space="preserve">Project Simple Payback </t>
  </si>
  <si>
    <t>Production Year</t>
  </si>
  <si>
    <t>Payback Year calculator</t>
  </si>
  <si>
    <t>Inco NSR Calculation</t>
  </si>
  <si>
    <t>Ore % for NSR</t>
  </si>
  <si>
    <t>Net Sales Revenue at Plant (NSR)</t>
  </si>
  <si>
    <t>Inco Net Smelter Return</t>
  </si>
  <si>
    <t>Other Income        (is not subject to the Inco NSR royalty)</t>
  </si>
  <si>
    <t>Change in Accounts Receivable</t>
  </si>
  <si>
    <t>Government NSR (on sales $)</t>
  </si>
  <si>
    <t>Inco Marketing fee (on invoices)</t>
  </si>
  <si>
    <t>Marketing Costs (excluding Inco's)</t>
  </si>
  <si>
    <t>Transportation</t>
  </si>
  <si>
    <t>Inco - Payback Calculation for NSR</t>
  </si>
  <si>
    <t>INCO  -  "Operating Cash Flow "</t>
  </si>
  <si>
    <t>Sales less Production Cash Cost</t>
  </si>
  <si>
    <t>NSR's and Inco Fees</t>
  </si>
  <si>
    <t>Income tax and IETAAP</t>
  </si>
  <si>
    <t>Change in Receivables and Payables</t>
  </si>
  <si>
    <t xml:space="preserve">Inco - "Allowable Costs" </t>
  </si>
  <si>
    <t>Costs prior to Construction</t>
  </si>
  <si>
    <t>Capital Expenditure</t>
  </si>
  <si>
    <t>Reclamation and closure costs</t>
  </si>
  <si>
    <t>Environmental reserves / bonds</t>
  </si>
  <si>
    <t>8% overhead allowance</t>
  </si>
  <si>
    <t xml:space="preserve">Total Inco - "Allowable Costs" </t>
  </si>
  <si>
    <t>Point of Payback before Loan</t>
  </si>
  <si>
    <t xml:space="preserve">INCO  -  "Allowable Costs" </t>
  </si>
  <si>
    <t>Net Cash Flow - quarterly / annual</t>
  </si>
  <si>
    <t>Net Cash Flow - cumulative</t>
  </si>
  <si>
    <t>Payback</t>
  </si>
  <si>
    <t>Before Payback Year</t>
  </si>
  <si>
    <t>After Payback Year</t>
  </si>
  <si>
    <t>If NSR Expense Is Before Payback</t>
  </si>
  <si>
    <t>Inco NSR</t>
  </si>
  <si>
    <t>Revenue, US$ Mil</t>
  </si>
  <si>
    <t>Note</t>
  </si>
  <si>
    <t>EBITDA margin, % (peers - 20-56%)</t>
  </si>
  <si>
    <t>Debt/ EBITDA (peers - 1,5-2,5x)</t>
  </si>
  <si>
    <t>Dividends/ Net income (peers - 15-30%)</t>
  </si>
  <si>
    <t>Other gains/(losses)</t>
  </si>
  <si>
    <t>Source №1: JP Morgan</t>
  </si>
  <si>
    <t>Source №2: Goldman Sachs</t>
  </si>
  <si>
    <t>Source №3: Merill Lynch</t>
  </si>
  <si>
    <t>Source №4: Raymond James</t>
  </si>
  <si>
    <t>Агентское вознаграждение за сбыт</t>
  </si>
  <si>
    <t>Processing of oxide-bearing ore, dmt</t>
  </si>
  <si>
    <t>Total oxide-bearing ore + waste, ton</t>
  </si>
  <si>
    <t>Processing of oxide-bearing wet ore, ton</t>
  </si>
  <si>
    <t>Sales of cathode Cu, dmt</t>
  </si>
  <si>
    <t>Sales of Cu concentrate, dmt</t>
  </si>
  <si>
    <t>Cu concentrate</t>
  </si>
  <si>
    <t>Cu cathode</t>
  </si>
  <si>
    <t>(-) Dividends</t>
  </si>
  <si>
    <t>Interest rate, pa</t>
  </si>
  <si>
    <t>Ni</t>
  </si>
  <si>
    <t>Real estate</t>
  </si>
  <si>
    <t>Indonesia Ni income</t>
  </si>
  <si>
    <t>Guatemala CAPEX</t>
  </si>
  <si>
    <t>assets sale</t>
  </si>
  <si>
    <t>financing</t>
  </si>
  <si>
    <t>Total annual</t>
  </si>
  <si>
    <t>Cash Flow before Financing</t>
  </si>
  <si>
    <t>Other projects capex</t>
  </si>
  <si>
    <t>check</t>
  </si>
  <si>
    <t>mln US$</t>
  </si>
  <si>
    <t>Cash Flow Forecast by segments&amp;projects</t>
  </si>
  <si>
    <t>Indonesia plant building *</t>
  </si>
  <si>
    <t>Indonesia Ni CAPEX *</t>
  </si>
  <si>
    <t>Factor</t>
  </si>
  <si>
    <t xml:space="preserve">Non-taxable profit </t>
  </si>
  <si>
    <t>Profit of PT BIS</t>
  </si>
  <si>
    <t>Grade, 2,0%</t>
  </si>
  <si>
    <t>Total costs for 2,0%Ni, USD/wmt</t>
  </si>
  <si>
    <t>Ore, 2,0%Ni</t>
  </si>
  <si>
    <t>+EBIT</t>
  </si>
  <si>
    <t>1Sales, $</t>
  </si>
  <si>
    <t>Содержание влаги, % (La teneur en humidité)</t>
  </si>
  <si>
    <t>Содержание меди, сухая руда, % (The copper content, dry ore)</t>
  </si>
  <si>
    <t>Содержание золота, сухая руда, гр/т (The gold content, dry ore)</t>
  </si>
  <si>
    <t>Содержание серебра, сухая руда, гр/т (the silver content, dry ore)</t>
  </si>
  <si>
    <t>Доля извлечения меди, % (Proportion of copper extraction, %)</t>
  </si>
  <si>
    <t>Доля извлечения золота, % (Proportion of gold extraction, %)</t>
  </si>
  <si>
    <t>Доля извлечения серебра, % (Proportion of silver extraction, %)</t>
  </si>
  <si>
    <t>Влажность, % (humidité)</t>
  </si>
  <si>
    <t>Содержание меди в концентрате, % (The content of copper in concentrate, %)</t>
  </si>
  <si>
    <t>Содержание золота в концентрате, кг (The content of gold in concentrate,kg)</t>
  </si>
  <si>
    <t>Содержание золота в концентрате, г/т (The gold content in the concentrate, gr/tonne)</t>
  </si>
  <si>
    <t>Ag content in lead concentarte, g/ton</t>
  </si>
  <si>
    <t>Содержание влаги, % (la teneur d'humidité)</t>
  </si>
  <si>
    <t>Содержание меди, сухая руда, % (the content of copper, dry ore, %)</t>
  </si>
  <si>
    <t>Содержание золота, сухая руда, гр/т (the content of gold, dry ore, gr/tonne)</t>
  </si>
  <si>
    <t>Содержание серебра, сухая руда, гр/т (the content of silver, dry ore, gr/tonne)</t>
  </si>
  <si>
    <t>Доля извлечения меди, % (proportion of copper extraction, %)</t>
  </si>
  <si>
    <t>Доля извлечения золота, % (proportion of gold extraction, %)</t>
  </si>
  <si>
    <t>Доля извлечения серебра, % (proportion of silver extraction, %)</t>
  </si>
  <si>
    <t>Содержание меди в концентрате, % (the content of copper in concentrate, %)</t>
  </si>
  <si>
    <t>key assumptions for cash cost</t>
  </si>
  <si>
    <t>(structure of cash cost)</t>
  </si>
  <si>
    <t>НОРМИРУЕМЫЕ МАТЕРИАЛЫ ПРОИЗВОДСТВО КОНЦЕНТРАТА (materials for concentrate production)</t>
  </si>
  <si>
    <t>Прогнозируемый темп роста цен (без элекричества и ГСМ) (price forecast)</t>
  </si>
  <si>
    <t>Добыча руды (mining)</t>
  </si>
  <si>
    <t>Бурильные работы без электр., USD/т породы (drilling)</t>
  </si>
  <si>
    <t>Норма по электроэнергии, КВт/ч /т породы  (The consumption rate of electricity)</t>
  </si>
  <si>
    <t>Взрывные работы, USD/т породы (blasting)</t>
  </si>
  <si>
    <t>Погрузочные работы без электр., USD/т породы (loading operations)</t>
  </si>
  <si>
    <t>Норма по электроэнергии, КВт/ч /т породы (The consumption rate of electricity)</t>
  </si>
  <si>
    <t>Норма расхода топлива, литр/т породы (The consumption rate of fuel)</t>
  </si>
  <si>
    <t>Темп роста цены на топливо, %  (forecast of fuel price)</t>
  </si>
  <si>
    <t>Прочие расходы на транспортировку, USD/т (other transportation costs)</t>
  </si>
  <si>
    <t>Крупное дробление без электр., USD/ вмт (crashing, vmt)</t>
  </si>
  <si>
    <t>Норма по электроэнергии, КВт/ч / вмт  (the consumption rate of electricity , vmt)</t>
  </si>
  <si>
    <t>Дополнительная транспортировка руды, USD/т породы  (Additional transportation of ore, USD/tonne)</t>
  </si>
  <si>
    <r>
      <t>Цена электроэнергии,</t>
    </r>
    <r>
      <rPr>
        <sz val="10"/>
        <rFont val="Tahoma"/>
        <family val="2"/>
      </rPr>
      <t xml:space="preserve"> USD/КВт (electricity price)</t>
    </r>
  </si>
  <si>
    <t>Темп роста цены электроэнергии, %  (electricity price growth rate %)</t>
  </si>
  <si>
    <t>Переработка руды processing</t>
  </si>
  <si>
    <t>Основное дробление (без электроэн.), USD/вмт руды (crashing)</t>
  </si>
  <si>
    <t>Флотация и обогащение руды (без электроэнергии), USD/вмт (Flotation and ore processing)</t>
  </si>
  <si>
    <t>Норма по электроэнергии, КВт/ч /т руды  (the consumption rate of electricity)</t>
  </si>
  <si>
    <t>Норма по запасным частям, USD/т руды (spare parts assumptions, Usd/tonne of ore)</t>
  </si>
  <si>
    <t>Прочие расходы (other expenses)</t>
  </si>
  <si>
    <t>Транспортировка концентрата, USD/т (transport of concentrate)</t>
  </si>
  <si>
    <t>Затраты на страхование, USD/т insurance</t>
  </si>
  <si>
    <t>Затраты на арбитраж, USD/т (arbitrage expenses)</t>
  </si>
  <si>
    <t>Прочие расходы на сбыт, USD/т (other distribution cost)</t>
  </si>
  <si>
    <t>НОРМИРУЕМЫЕ МАТЕРИАЛЫ ВЫЩЕЛАЧИВАНИЕ (materials for leaching)</t>
  </si>
  <si>
    <t>Добыча и дробление руды (mining and crashing)</t>
  </si>
  <si>
    <t>Транспортные расходы, USD/т Cu (transportation cost, USD/tonne, Cu)</t>
  </si>
  <si>
    <t>Дробление без электр., USD/ т Cu (crashing, USD/tonne Cu)</t>
  </si>
  <si>
    <t>Норма по электроэнергии, КВт/ч /т Cu  (the consumption rate of electricity)</t>
  </si>
  <si>
    <t>Темп роста цены электроэнергии, % (electricity price growth rate %)</t>
  </si>
  <si>
    <t>Транспортировка Cu cathode, USD/т (transport, Cu cathode, USD/т)</t>
  </si>
  <si>
    <t>Затраты на страхование, USD/т (insurance)</t>
  </si>
  <si>
    <t>Затраты на арбитраж, USD/т (arbitrage)</t>
  </si>
  <si>
    <t>Прочие расходы на сбыт, USD/т (other distribution cost, USD/tonne)</t>
  </si>
  <si>
    <t>Total Cash cost</t>
  </si>
  <si>
    <t>Бурильные работы без электр., USD (drilling without electricity expenses)</t>
  </si>
  <si>
    <t>Расход электроэнергии, USD (electricity expenses, USD)</t>
  </si>
  <si>
    <t>Взрывные работы без электр., USD (blasting without electricity expenses)</t>
  </si>
  <si>
    <t>Расход топлива, USD (fuel consumption)</t>
  </si>
  <si>
    <t>Прочие расходы на транспортировку, USD (other transport expenses, USD)</t>
  </si>
  <si>
    <t>Крупное дробление (без электроэнергии), USD (crashing without electricity expenses)</t>
  </si>
  <si>
    <t>Заработная плата (salaries)</t>
  </si>
  <si>
    <t>Темп роста заработной платы, % (salary growth)</t>
  </si>
  <si>
    <t>Отчисления на ФОТ (payroll)</t>
  </si>
  <si>
    <t>Вскрышные работы., USD stripping</t>
  </si>
  <si>
    <t>Основное дробление (без электроэн.), USD/вмт руды crashing</t>
  </si>
  <si>
    <t>Запасные части, USD (replacement parts)</t>
  </si>
  <si>
    <t>Транспортировка концентрата, USD (tronsportation of concentrate)</t>
  </si>
  <si>
    <t>Затраты на страхование, USD (insurance)</t>
  </si>
  <si>
    <t>Затраты на арбитраж, USD (arbitrage)</t>
  </si>
  <si>
    <t>Прочие расходы на сбыт, USDn (other distribution expenses)</t>
  </si>
  <si>
    <t>Постоянные операционные расходы (Constant operating expenses)</t>
  </si>
  <si>
    <t>Концессионные расходы (concession costs)</t>
  </si>
  <si>
    <t>Затраты на охрану (security)</t>
  </si>
  <si>
    <t>Питание работников (food expenses)</t>
  </si>
  <si>
    <t>Общепроизводственные расходы по комбинату (other production costs)</t>
  </si>
  <si>
    <t>Текущие и средние ремонты (repairs)</t>
  </si>
  <si>
    <t>Услуги технической поддержки (Technical Support Services)</t>
  </si>
  <si>
    <t>Затраты на сбыт продукции (Бучим) (distribution expenses, Buchim)</t>
  </si>
  <si>
    <t>Бурильные работы без электр., USD (drilling)</t>
  </si>
  <si>
    <t>Взрывные работы, USD (blasting)</t>
  </si>
  <si>
    <t>Транспортные расходы, USD (transport expenses)</t>
  </si>
  <si>
    <t>Дробление без электр., USD (crashing without electricity expenses)</t>
  </si>
  <si>
    <t>Расход электроэнергия, USD (electricity expenses)</t>
  </si>
  <si>
    <t>Транспортировка Cu cathode, USD (transportation of Cu cathode, USD)</t>
  </si>
  <si>
    <t>Затраты на страхование, USD insurance</t>
  </si>
  <si>
    <t>Затраты на арбитраж, USD arbitrage</t>
  </si>
  <si>
    <t>Прочие расходы на сбыт, USD (other distribution expenses)</t>
  </si>
  <si>
    <t>Концессионные расходы (concession cost)</t>
  </si>
  <si>
    <t>Заработная плата (salary)</t>
  </si>
  <si>
    <t>Общепроизводственные расходы по комбинату (other production expenses)</t>
  </si>
  <si>
    <t>(KEY PROPORTION)</t>
  </si>
  <si>
    <t>Соотношения  ratios</t>
  </si>
  <si>
    <t>Себестоимость в % от Продаж (Cash cost % of sales)</t>
  </si>
  <si>
    <t>Валовая маржа (до амортизации) (gross margin)</t>
  </si>
  <si>
    <t>SG&amp;A в % от Продаж (SG&amp;A % of sales)</t>
  </si>
  <si>
    <t>Маржа EBITDA (EBITDA margin)</t>
  </si>
  <si>
    <t>Маржа EBIT (EBIT Margin)</t>
  </si>
  <si>
    <t>Маржа Чистой прибыли (Net profit margin)</t>
  </si>
  <si>
    <t>Анализ темпов роста (growth rate analysis)</t>
  </si>
  <si>
    <t>Рост Объема продаж (growth in sales)</t>
  </si>
  <si>
    <t>Рост EBITDA (EBITDA evolution)</t>
  </si>
  <si>
    <t>Рост EBIT (EBIT evolution)</t>
  </si>
  <si>
    <t>Рост Чистой прибыли (Net income evolution)</t>
  </si>
  <si>
    <t>Эффективная ставка налога на прибыль (The effective income tax rate)</t>
  </si>
  <si>
    <t>Минимальные деньги в % от Продаж (the minimum amount of sales)</t>
  </si>
  <si>
    <t>Balance sheet</t>
  </si>
  <si>
    <t>АКТИВ (assets)</t>
  </si>
  <si>
    <t>Деньги (Cash)</t>
  </si>
  <si>
    <t>Краткосрочная дебиторская задолженность  (Current receivables)</t>
  </si>
  <si>
    <t>Счета к получению (Accounts payable)</t>
  </si>
  <si>
    <t>Прочая дебиторская задолженность (other receivables)</t>
  </si>
  <si>
    <t>Запасы (inventories)</t>
  </si>
  <si>
    <t>Дебиторская задолженность по НДС (VAT receivable)</t>
  </si>
  <si>
    <t>Прочие текущие активы (other current assets)</t>
  </si>
  <si>
    <t>ВСЕГО ТЕКУЩИХ АКТИВОВ (Total current assets)</t>
  </si>
  <si>
    <t>Основные средства (Non current assets)</t>
  </si>
  <si>
    <t>Земельный участок/ Недра (terrains)</t>
  </si>
  <si>
    <t>Незавершенное строительство (construction in progress)</t>
  </si>
  <si>
    <t>Прочие долгосрочные активы (other non current assets)</t>
  </si>
  <si>
    <t>ВСЕГО АКТИВОВ (total assets)</t>
  </si>
  <si>
    <t>ПАССИВ (liabilities)</t>
  </si>
  <si>
    <t>Кредиторская задолженность  (accounts payable)</t>
  </si>
  <si>
    <t>Задолженность перед поставщиками и заказчиками  (Amounts owed to suppliers and customers)</t>
  </si>
  <si>
    <t>Прочая кредиторская задолженность  (other account payables)</t>
  </si>
  <si>
    <t>Прочие текущие обязательства (other current liabilities)</t>
  </si>
  <si>
    <t>ВСЕГО ТЕКУЩИХ ОБЯЗАТЕЛЬСТВ (total current liabilities)</t>
  </si>
  <si>
    <t>Револьверный кредит (Revolving)</t>
  </si>
  <si>
    <t>Долгосрочный кредит (LT liabilities)</t>
  </si>
  <si>
    <t>Прочие долгосрочные обязательства (other LT liabilities)</t>
  </si>
  <si>
    <t>ВСЕГО ОБЯЗАТЕЛЬСТВ (Total liabilities)</t>
  </si>
  <si>
    <t>ВСЕГО СОБСТВЕННЫЙ КАПИТАЛ (TOTAL SHAREHOLDERS 'EQUITY)</t>
  </si>
  <si>
    <t>ВСЕГО ОБЯЗАТЕЛЬСТВА И СОБСТВЕННЫЙ КАПИТАЛ (total liabilities and equities)</t>
  </si>
  <si>
    <t>СПРАВОЧНО: ПОТРЕБНОСТЬ В ФИНАНСИРОВАНИИ (NEED FINANCING)</t>
  </si>
  <si>
    <t>Выпуск собственного капитала (Issue of equity)</t>
  </si>
  <si>
    <t>Дивиденды уплаченные (dividends paid)</t>
  </si>
  <si>
    <t>Выкуп собственных акций (bay back)</t>
  </si>
  <si>
    <t>Эмиссия акций для опционной программы (Issue of shares for stock option program)</t>
  </si>
  <si>
    <t>Денежные средства на начало года (Cash balance at the beginning of the year)</t>
  </si>
  <si>
    <t>Денежные средства на конец года (Cash balance at the year-end)</t>
  </si>
  <si>
    <t>working capital (WC)</t>
  </si>
  <si>
    <t>balance of working capital</t>
  </si>
  <si>
    <t>ПРОДАЖИ (Sales)</t>
  </si>
  <si>
    <t>Себестоимость (Cash cost)</t>
  </si>
  <si>
    <t>Соотношения и предположения (ratios)</t>
  </si>
  <si>
    <t xml:space="preserve">Дебиторская задолженность (Счета к получению) в % от Продаж (receivables to Sales)
</t>
  </si>
  <si>
    <t>Прочая дебиторская задолженность в % от Продаж (other receivables to Sales in %)</t>
  </si>
  <si>
    <t>Запасы в % от прямых нормируемых затрат (карьер и флотация) (Inventories to direct expenses (mine and floatation) in %)</t>
  </si>
  <si>
    <t>Кредиторская задолженность (Счета к оплате) в % от с/с производства (account payables to cash cost in %)</t>
  </si>
  <si>
    <t>Количество дней в периоде (days in period)</t>
  </si>
  <si>
    <t>Оборачиваемость дебиторской задолж. (от COGS) (turnover of receivables to COGS)</t>
  </si>
  <si>
    <t>Оборачиваемость кредиторской задолж. (Turnover of account payables)</t>
  </si>
  <si>
    <t>Оборачиваемость запасов (от COGS), (turnover of inventories to COGS)</t>
  </si>
  <si>
    <t>Баланс Оборотного капитала (balance of WC)</t>
  </si>
  <si>
    <t>Дебиторская задолженность (receivables)</t>
  </si>
  <si>
    <t>Всего неденежных Текущих активов (total non cash current assets)</t>
  </si>
  <si>
    <t>Счета к оплате (accounts payable)</t>
  </si>
  <si>
    <t>Всего текущих обязательств: (total current liabilities)</t>
  </si>
  <si>
    <t>ЧИСТЫЙ ОБОРОТНЫЙ КАПИТАЛ / (НЕДОСТАТОК) (Net WC /(deficit))</t>
  </si>
  <si>
    <t>Увеличение/(Уменьшение) Оборотного капитала (increase /decrease of WC)</t>
  </si>
  <si>
    <t>Прочие текущие активы в % от Продаж (other current assets to Sales in %)</t>
  </si>
  <si>
    <t>Незавершенное строительство в % от Продаж (construction in progress to Sales in %)</t>
  </si>
  <si>
    <t>Прочие текущие обязательства в % от Продаж (Other current liabilities to Sales in %)</t>
  </si>
  <si>
    <t>Прочая кредиторская задолженность в % от Продаж (Other accounts payable to Sales in %)</t>
  </si>
  <si>
    <t>Дебиторская задолженность по НДС (VAT payable)</t>
  </si>
  <si>
    <t>Всего Прочих активов: (Total other assets)</t>
  </si>
  <si>
    <t>Увеличение/(Уменьшение) Прочих активов (+/- of other assets)</t>
  </si>
  <si>
    <t>Прочие Текущие Обязательства (Other Current Liabilities)</t>
  </si>
  <si>
    <t>Прочая кредиторская задолженность (Other account payable)</t>
  </si>
  <si>
    <t>Всего Прочих обязательств: (Total other liabilities)</t>
  </si>
  <si>
    <t>Увеличение/(Уменьшение) Прочих обязательств (+/- of other liabilities)</t>
  </si>
  <si>
    <t>Увеличение/(Уменьшение) Прочих активов, нетто (+/- of net other assets)</t>
  </si>
  <si>
    <t>Переоценка (revaluation)</t>
  </si>
  <si>
    <t>Всего Износ (Total depreciation)</t>
  </si>
  <si>
    <t>Change in Equity</t>
  </si>
  <si>
    <t>Начальный Собственный капитал (Equity at the beginning of the period)</t>
  </si>
  <si>
    <t>Чистая прибыль Net profit</t>
  </si>
  <si>
    <t>Доход от продажи акций (revenue from sale of shares)</t>
  </si>
  <si>
    <t>Дивиденды (dividends)</t>
  </si>
  <si>
    <t xml:space="preserve">Выкуп собственных акций (buy back) </t>
  </si>
  <si>
    <t>Прочее (переоценка фондов) Other (revaluation of stocks)</t>
  </si>
  <si>
    <t>Доход от Опционной программы (Income from stock option program)</t>
  </si>
  <si>
    <t>Курсовые разницы (FCTR)  (Exchange rate differences)</t>
  </si>
  <si>
    <t>Конечный Собственный капитал (Equity at the end of the period)</t>
  </si>
  <si>
    <t>Плюс: Выпуск собственного капитала (Инв. кап) (Plus: issue of stocks)</t>
  </si>
  <si>
    <t>Минус: Выплаченные дивиденды (minus: dividends paid)</t>
  </si>
  <si>
    <t>Курсовые разницы  (Exchange rate differences)</t>
  </si>
  <si>
    <t>Плюс: Минимальные Деньги (Plus: minimum amount)</t>
  </si>
  <si>
    <t>Конечный Баланс Денег (cash balance at the end of the year)</t>
  </si>
  <si>
    <t>debt services payment</t>
  </si>
  <si>
    <t>Средние Балансы (MT Liabilities)</t>
  </si>
  <si>
    <t>Револьверный кредит (revolving)</t>
  </si>
  <si>
    <t xml:space="preserve"> Cash</t>
  </si>
  <si>
    <t>Процентные ставки (interest rate)</t>
  </si>
  <si>
    <t>Расходы на выплаты процентов ( interest payment)</t>
  </si>
  <si>
    <t>Подитог Subtotal</t>
  </si>
  <si>
    <t>Прочие выплаты процентов (other interest payment)</t>
  </si>
  <si>
    <t>Всего Выплаты процентов (total interest payment)</t>
  </si>
  <si>
    <t>Процентный доход (Interest income)</t>
  </si>
  <si>
    <t>Прочие Процентные доходы (Other Interest income)</t>
  </si>
  <si>
    <t>Всего Процентный доход (Total Interest income)</t>
  </si>
  <si>
    <t>(Скидки)/надбавки за качество концентрата (Discount) / premium for the quality of the concentrate)</t>
  </si>
  <si>
    <t>Содержание Pb в концентрате, % (% The content of Pb in concentrate)</t>
  </si>
  <si>
    <t>Оплачиваемый вес цинка, % (% Paid-weight zinc)</t>
  </si>
  <si>
    <t>Плата/(вычет) за переработку, $/dmt (Fee / (deduct) for processing)</t>
  </si>
  <si>
    <t>Штрафы за качество концентрата, $/%Pb above 1,5% (Penalties for the quality of the concentrate)</t>
  </si>
  <si>
    <t>Оплачиваемый вес свинца, % (% Paid-weight of lead)</t>
  </si>
  <si>
    <t>Цена серебра, $/oz silver price</t>
  </si>
  <si>
    <t>Неоплачиваемый вес серебра, г/т (Unpaid weight of silver, gr/tonne)</t>
  </si>
  <si>
    <t>Плата за переработку, $/dmt (The payment for processing)</t>
  </si>
  <si>
    <t>Плата за извлечение серебра, $/kg (Payment for the the extraction of silver)</t>
  </si>
  <si>
    <t>Содержание Zn в руде, % (% The content of Zn in the ore)</t>
  </si>
  <si>
    <t>Содержание Pb в руде, % (% The content of Pb in the ore)</t>
  </si>
  <si>
    <t>Содержание Ag в руде, г/т ( The content of Ag in the ore, gr/tonne)</t>
  </si>
  <si>
    <t>Содержание Zn в руде, тонн (tonne The content of Zn in the ore)</t>
  </si>
  <si>
    <t>Содержание Ag в руде, тонн (The content of Ag in the ore, tonne)</t>
  </si>
  <si>
    <t>Извлечение Zn при производстве свинцового концетрата, % (% Extraction of Zn in the production of lead concentrate)</t>
  </si>
  <si>
    <t>Извлечение Pb при производстве свинцового концетрата, % (% Extraction of Pb in the production of lead concentrate)</t>
  </si>
  <si>
    <t>Извлечение Ag при производстве свинцового концетрата, % (% Extraction of Ag in the production of lead concentrate)</t>
  </si>
  <si>
    <t>Извлечение Zn при производстве цинкового концентрата, % (% Extraction of Zn in the production of zinc concentrate)</t>
  </si>
  <si>
    <t>Извлечение Pb при производстве цинкового концетрата, % (% Extraction of Pb in the production of zinc concentrate)</t>
  </si>
  <si>
    <t>Cash cost structure</t>
  </si>
  <si>
    <t>Прогнозные темпы инфляции ГСМ (Forecast of inflation growth of fuel)</t>
  </si>
  <si>
    <t>Прогнозные темпы инфляции материалы и услуги (без ГСМ и э/э) (forecast of inflation of materialsans of services)</t>
  </si>
  <si>
    <t>Прогнозные темпы инфляции электроэнергия (Projected inflation Electricity)</t>
  </si>
  <si>
    <t>Добыча руды (Рудник) (ore mining, Roudnik)</t>
  </si>
  <si>
    <t>Электроэнергия, $/т (electricity, $/tonne)</t>
  </si>
  <si>
    <t>Топливо, $/т (fuel oil , $/tonne)</t>
  </si>
  <si>
    <t>Нормативные материалы, $/т (materials, $/tonne)</t>
  </si>
  <si>
    <t>Прочие материалы (спецодежда, инвентарь и тд.), $/тother materials (clothing, equipment)</t>
  </si>
  <si>
    <t>Техническое обслуживание, $/т руды  (maintenance, $/tonne ore)</t>
  </si>
  <si>
    <t>Прочие затраты (перевозка рабочих, питание, услуги), $/т (other expenses: transportation workers, food service)</t>
  </si>
  <si>
    <t>Флотация и доставка концентрата (flotation and delivery of concentrate)</t>
  </si>
  <si>
    <t>Электроэнергия, $/т (electricity)</t>
  </si>
  <si>
    <t>Нормативные материалы, $/т (materials)</t>
  </si>
  <si>
    <t>Прочие материалы (спецодежда, инвентарь и тд.), $/т (other materials (clothing, equipment))</t>
  </si>
  <si>
    <t>Техническое обслуживание, $/т руды  maintenance</t>
  </si>
  <si>
    <t>Роялти за концессию, $ (royalties)</t>
  </si>
  <si>
    <t>Затраты на транспортировку, арбитраж, страхование (Transportation costs, arbitration, insurance)</t>
  </si>
  <si>
    <t>Транспорт, $/wmt conc (transport)</t>
  </si>
  <si>
    <t>Арбитраж и страхование, $/wmt conc (arbitrage and insurance)</t>
  </si>
  <si>
    <t>Общепроизводственные и административные расходы,$ (SG&amp;A expenses)</t>
  </si>
  <si>
    <t>Электроэнергия, ГСМ, расходные материалы, $ (electricity, fuel, suppliers)</t>
  </si>
  <si>
    <t>Провоз, питание работников, командировки  (travel and other)</t>
  </si>
  <si>
    <t>Услуги прочих организация и пр. расходы, $  (other external services)</t>
  </si>
  <si>
    <t>Прочие расходы, $ (other expenses)</t>
  </si>
  <si>
    <t>Налог на дивиденды (dividend tax)</t>
  </si>
  <si>
    <t>Фонд оплаты труда (payroll)</t>
  </si>
  <si>
    <t>Темп роста заработной платы, %  (% salary growth)</t>
  </si>
  <si>
    <t>Затраты на персонал/рудник (staff costs)</t>
  </si>
  <si>
    <t>В пересчете на 1 т. руды, $/т (In terms of 1 tonne of ore)</t>
  </si>
  <si>
    <t>Затраты на персонал/флотация&amp;ЕМО (staff cost/ flotation department)</t>
  </si>
  <si>
    <t>Затраты на административный персонал (wages)</t>
  </si>
  <si>
    <t>structure of cash cost</t>
  </si>
  <si>
    <t>Cash cost for 1 ton ore</t>
  </si>
  <si>
    <t>Электроэнергия, $ (electricity, $)</t>
  </si>
  <si>
    <t>Топливо, $ (fuel oil, $)</t>
  </si>
  <si>
    <t>Нормативные материалы, $ (materials, $)</t>
  </si>
  <si>
    <t>Прочие материалы, $ (other materials, $)</t>
  </si>
  <si>
    <t>Техническое обслуживание, $ maintenance</t>
  </si>
  <si>
    <t>Прочие затраты (перевозка рабочих, питание), $ (other expenses)</t>
  </si>
  <si>
    <t>Стоимость переработки (флотация) processing (floatation)</t>
  </si>
  <si>
    <t>Техническое обслуживание, $, maintenace</t>
  </si>
  <si>
    <t>Прочие затраты (перевозка рабочих, питание, услуги), $ other</t>
  </si>
  <si>
    <t>Роялти, $ royalties</t>
  </si>
  <si>
    <t>Заработная плата с отчислениями, $ (salaries)</t>
  </si>
  <si>
    <t>Общие и административные расходы,$ (SG&amp;A)</t>
  </si>
  <si>
    <t>Консультационные расходы (expenses for consulting)</t>
  </si>
  <si>
    <t>Затраты на транспортировку, арбитраж, страхование (expenses for transport, arbitrage and insurance)</t>
  </si>
  <si>
    <t>Транспорт, $ (transport)</t>
  </si>
  <si>
    <t>Арбитраж и страхование, $ (arbitrage and insurance)</t>
  </si>
  <si>
    <t>Ежегодно (every year)</t>
  </si>
  <si>
    <t>key  ratio</t>
  </si>
  <si>
    <t>Соотношения ratios</t>
  </si>
  <si>
    <t>Себестоимость в % от Продаж (cash cost of sales)</t>
  </si>
  <si>
    <t>Валовая маржа (до амортизации) gross margin</t>
  </si>
  <si>
    <t>SG&amp;A в % от Продаж (%  SG&amp;A of sales)</t>
  </si>
  <si>
    <t>Маржа EBITDA ( EBITDA margin)</t>
  </si>
  <si>
    <t>Маржа EBIT (EBIT margin)</t>
  </si>
  <si>
    <t>Маржа Чистой прибыли (Net Income margin)</t>
  </si>
  <si>
    <t>Анализ темпов роста (Growth rate analysis)</t>
  </si>
  <si>
    <t>Рост Объема продаж (sales evolution)</t>
  </si>
  <si>
    <t>Рост Чистой прибыли (Net Income evolution)</t>
  </si>
  <si>
    <t>Минимальные деньги в % от Продаж (The effective income tax rate)</t>
  </si>
  <si>
    <t>Налог на дивиденды (dividende tax)</t>
  </si>
  <si>
    <t>Краткосрочная дебиторская задолженность (Current receivables)</t>
  </si>
  <si>
    <t>Счета к получению (Accounts payables)</t>
  </si>
  <si>
    <t>Прочая дебиторская задолженность (Other account receivables)</t>
  </si>
  <si>
    <t>Прочие текущие активы (Other current assets)</t>
  </si>
  <si>
    <t>ВСЕГО ТЕКУЩИХ АКТИВОВ (total current assets)</t>
  </si>
  <si>
    <t>Основные средства  (Non current assets)</t>
  </si>
  <si>
    <t>Здания и сооружения (Fixed assets)</t>
  </si>
  <si>
    <t>Земельный участок (terrains)</t>
  </si>
  <si>
    <t>Прочие долгосрочные активы (other LT assets)</t>
  </si>
  <si>
    <t>ВСЕГО АКТИВОВ Total assets</t>
  </si>
  <si>
    <t>ПАССИВ (Liabilities)</t>
  </si>
  <si>
    <t>Кредиторская задолженность (accounts payable)</t>
  </si>
  <si>
    <t>Задолженность перед поставщиками и заказчиками (Amounts owed to suppliers and customers)</t>
  </si>
  <si>
    <t>Прочая кредиторская задолженность (other account payables)</t>
  </si>
  <si>
    <t>ВСЕГО ТЕКУЩИХ ОБЯЗАТЕЛЬСТВ (Total current liabilities)</t>
  </si>
  <si>
    <t>Долгосрочный кредит (LT loans)</t>
  </si>
  <si>
    <t>ВСЕГО ОБЯЗАТЕЛЬСТВ Total liabilities</t>
  </si>
  <si>
    <t>ВСЕГО СОБСТВЕННЫЙ КАПИТАЛ  (TOTAL SHAREHOLDERS 'EQUITY)</t>
  </si>
  <si>
    <t>(working capital)</t>
  </si>
  <si>
    <t>(balance working capital)</t>
  </si>
  <si>
    <t>ПРОДАЖИ Sales</t>
  </si>
  <si>
    <t>Себестоимость Cash cost</t>
  </si>
  <si>
    <t>Соотношения и предположения ratios</t>
  </si>
  <si>
    <t>Прочая дебиторская задолженность в % от COGS  (% Other Accounts payables of sales)</t>
  </si>
  <si>
    <t>Запасы в % от COGS  (% stocks on COGS)</t>
  </si>
  <si>
    <t>Кредиторская задолженность (Счета к оплате) в % от COGS (% Accounts Payable of COGS)</t>
  </si>
  <si>
    <t>Количество дней в периоде (Number of days in the period)</t>
  </si>
  <si>
    <t>Оборачиваемость дебиторской задолж. (от Sales) (Turnover of receivables/Sales)</t>
  </si>
  <si>
    <t>Баланс Оборотного капитала (Balance of Working Capital)</t>
  </si>
  <si>
    <t>Дебиторская задолженность (debts receivable)</t>
  </si>
  <si>
    <t>Прочая дебиторская задолженность (other debts receivable)</t>
  </si>
  <si>
    <t>Всего неденежных Текущих активов (Total non cash current assets)</t>
  </si>
  <si>
    <t>Счета к оплате (payables)</t>
  </si>
  <si>
    <t>ЧИСТЫЙ ОБОРОТНЫЙ КАПИТАЛ / (НЕДОСТАТОК) (Net working capital / (deficiency))</t>
  </si>
  <si>
    <t>Увеличение/(Уменьшение) Оборотного капитала (+/-) of working capital</t>
  </si>
  <si>
    <t>Прочие текущие активы в % от COGS (% other current assets of COGS)</t>
  </si>
  <si>
    <t>Незавершенное строительство в % от Продаж (% construction in progress of sales)</t>
  </si>
  <si>
    <t>Прочие текущие обязательства в % от COGS (% other current liabilities of COGS)</t>
  </si>
  <si>
    <t>Задолженность перед персоналом в % от ФОТ (debt to staff in % of Payroll)</t>
  </si>
  <si>
    <t>Дебиторская задолженность по НДС (VAT Payables)</t>
  </si>
  <si>
    <t>Всего Прочих активов: total other assets</t>
  </si>
  <si>
    <t>Увеличение/(Уменьшение) Прочих активов (+/-) other assets</t>
  </si>
  <si>
    <t>Прочие Текущие Обязательства (other current liabilities)</t>
  </si>
  <si>
    <t>Задолженность перед персоналом (debt to staff)</t>
  </si>
  <si>
    <t>Всего Прочих обязательств: total other liabilities</t>
  </si>
  <si>
    <t>Увеличение/(Уменьшение) Прочих обязательств  (+/-) other liabilities</t>
  </si>
  <si>
    <t>Увеличение/(Уменьшение) Прочих активов, нетто (+/-) net other assets</t>
  </si>
  <si>
    <t>Всего Износ (Total write-offs on the extraction)</t>
  </si>
  <si>
    <t>Отчет о движении капитала (Statement of Changes in Equity)</t>
  </si>
  <si>
    <t>Начальный Собственный капитал (Equity at the beginning of the year)</t>
  </si>
  <si>
    <t>Чистая прибыль (net income)</t>
  </si>
  <si>
    <t>Дивиденды (dividendes)</t>
  </si>
  <si>
    <t>Прочее (other)</t>
  </si>
  <si>
    <t>Курсовые разницы (Exchange rate differences)</t>
  </si>
  <si>
    <t>Конечный Собственный капитал (equity  at the year-end)</t>
  </si>
  <si>
    <t>Задолженность перед миноритарными акционерами (Amounts due to minority shareholders)</t>
  </si>
  <si>
    <t>Начальный Баланс (balance at the beginning of the year)</t>
  </si>
  <si>
    <t>Расходы на выплаты Миноритариям  (minority interest)</t>
  </si>
  <si>
    <t>Уменьшение и увеличение через приобретение компаний (Decrease and increase in acquisitions)</t>
  </si>
  <si>
    <t>Конечный Баланс balance at the end of the year</t>
  </si>
  <si>
    <t>Предложения Обратного выкупа акций (offers of bay back)</t>
  </si>
  <si>
    <t>Прибыль на акцию (в годовом исчислении)(Earnings per share (annualized))</t>
  </si>
  <si>
    <t>Прогнозная цена акции forecast of share price</t>
  </si>
  <si>
    <t xml:space="preserve">Количество выкупленных акций, тыс. Number of shares to buy </t>
  </si>
  <si>
    <t>Эмиссия акций для Опционной программы (Issue of shares for stock option program)</t>
  </si>
  <si>
    <t>Выпуск акций для Опционов, тыс. number of shares</t>
  </si>
  <si>
    <t>Средняя цена исполнения  average price</t>
  </si>
  <si>
    <t>Акции в обращении (среднее)  (Shares Outstanding (average))</t>
  </si>
  <si>
    <t>Начальный Баланс (среднее) balance at the beginning of the year</t>
  </si>
  <si>
    <t>Конечный Баланс (среднее) balance at the en of the year</t>
  </si>
  <si>
    <t>Годовой дивиденд на акцию annual dividend by share</t>
  </si>
  <si>
    <t>Всего Дивидендов total dividendes</t>
  </si>
  <si>
    <t>Коэф. Выплаты Дивидендов (Coefficient. payments of Dividends)</t>
  </si>
  <si>
    <t>Плюс: Выпуск собственного капитала (Инв. кап) plus issue of shares</t>
  </si>
  <si>
    <t>Минус: Выплаченные дивиденды minus: dividendes paid</t>
  </si>
  <si>
    <t>Курсовые разницы exchange rate differences</t>
  </si>
  <si>
    <t>Плюс: Минимальные Деньги plus minimum amount</t>
  </si>
  <si>
    <t>Конечный Баланс Денег cash balance at the end of the year</t>
  </si>
  <si>
    <t>Револьверный кредит revolving</t>
  </si>
  <si>
    <t>Деньги Cash</t>
  </si>
  <si>
    <t>Процентные ставки  interest rate</t>
  </si>
  <si>
    <t>Револьверный кредит Revolving</t>
  </si>
  <si>
    <t>Расходы на выплаты процентов interest payment</t>
  </si>
  <si>
    <t>Подитог Sub total</t>
  </si>
  <si>
    <t>Прочие выплаты процентов Other interest payment</t>
  </si>
  <si>
    <t>Всего Выплаты процентов Total interest payment</t>
  </si>
  <si>
    <t>Процентный доход Interest income</t>
  </si>
  <si>
    <t>Прочие Процентные доходы Other interest income</t>
  </si>
  <si>
    <t>Всего Процентный доход Total interest income</t>
  </si>
  <si>
    <t>Estimated working schedule PFK, ZBG</t>
  </si>
  <si>
    <t>Calulation of sales volumes</t>
  </si>
  <si>
    <t>Repairment schedule RTP1 (by type of repairs)</t>
  </si>
  <si>
    <t>Overhaul</t>
  </si>
  <si>
    <t>Hot repairment</t>
  </si>
  <si>
    <t>Repairment schedule for RTP2 (by type of repairs)</t>
  </si>
  <si>
    <t>Repairment schedule for RKZ (by type of repairs)</t>
  </si>
  <si>
    <t>Repairment cost (excl. VAT):</t>
  </si>
  <si>
    <t>Overhaul RTP, $</t>
  </si>
  <si>
    <t>Hot repairment RTP, $</t>
  </si>
  <si>
    <t>Overhaul RKZ, $</t>
  </si>
  <si>
    <t>Hot repairment RKZ, $</t>
  </si>
  <si>
    <t>Repairment cost growth, %%</t>
  </si>
  <si>
    <t>Duration of repairs RTP (days):</t>
  </si>
  <si>
    <t>Duration of repairs RKZ (days):</t>
  </si>
  <si>
    <t>Furnace heating length RTP (days):</t>
  </si>
  <si>
    <t>Furnace warming up length RKZ (days):</t>
  </si>
  <si>
    <t>Furnace capacity utilization index</t>
  </si>
  <si>
    <t>RTP1</t>
  </si>
  <si>
    <t>RTP2</t>
  </si>
  <si>
    <t>RKZ</t>
  </si>
  <si>
    <t>Furnace work hours under full capacity utilisation, (hours)</t>
  </si>
  <si>
    <t>Furnace capacity consumption, MW/h</t>
  </si>
  <si>
    <t>MW/h consumption per day to warm-up RTP</t>
  </si>
  <si>
    <t>MW/h consumption per day to warm-up RKZ</t>
  </si>
  <si>
    <t>Electricity consumption, MW/h</t>
  </si>
  <si>
    <t>RTP1 - electrosmelting</t>
  </si>
  <si>
    <t>RTP1 - warming up</t>
  </si>
  <si>
    <t>RTP2 - electrosmelting</t>
  </si>
  <si>
    <t>RTP2 - warming up</t>
  </si>
  <si>
    <t>RKZ - electrosmelting</t>
  </si>
  <si>
    <t>RKZ - warming up</t>
  </si>
  <si>
    <t>Power + lighting</t>
  </si>
  <si>
    <t>TOTAL:</t>
  </si>
  <si>
    <t>Processing volumes and ore needs</t>
  </si>
  <si>
    <t>Volumes of ore needs</t>
  </si>
  <si>
    <t>Obtained residue of nickel-bearing ore, dmt (dry metric ton)</t>
  </si>
  <si>
    <t>Electricity consumption per ton of residue RTP, KW/t</t>
  </si>
  <si>
    <t>Electricity consumption per ton of residue RKZ, KW/t</t>
  </si>
  <si>
    <t>Residue conversion to feed ore, %</t>
  </si>
  <si>
    <t>Imported nickel ore feeded to pipe furnace, dmt</t>
  </si>
  <si>
    <t>Ore-bearing magmatic formations (OMF) content in ore mixture, %</t>
  </si>
  <si>
    <t>Slime output with residue, %</t>
  </si>
  <si>
    <t>OMF in ore mixture, dmt</t>
  </si>
  <si>
    <t>Slime in ore mixture, dmt</t>
  </si>
  <si>
    <t>Imported ore needs, wmt (wet metric ton)</t>
  </si>
  <si>
    <t>Indonesian ore consumption to produce 1 ton of Ni, dmt</t>
  </si>
  <si>
    <t>Indonesian ore consumption to produce 1 ton of Ni, wmt</t>
  </si>
  <si>
    <t>Ni content in ore</t>
  </si>
  <si>
    <t>Ni extraction out of the actual content</t>
  </si>
  <si>
    <t>Ore losses during transportation (natural waste within 1,5%)</t>
  </si>
  <si>
    <t>Moisture contents</t>
  </si>
  <si>
    <t>Indonesian ore, share in deliveries (in total volume, dmt)</t>
  </si>
  <si>
    <t>Dry ore Indonesia, dmt</t>
  </si>
  <si>
    <t>Wet ore Indonesia, wmt</t>
  </si>
  <si>
    <t>Main cost items</t>
  </si>
  <si>
    <t>Ore price</t>
  </si>
  <si>
    <t>Indonesia</t>
  </si>
  <si>
    <t>Dry ore price, % of LME spot price for comprised Ni</t>
  </si>
  <si>
    <t xml:space="preserve">Wet ore freight cost, $/wmt </t>
  </si>
  <si>
    <t>Ore acquisition costs, $</t>
  </si>
  <si>
    <t>Wet ore freight cost per annual ouput, $</t>
  </si>
  <si>
    <t>Wet ore delivery price from Ukrainian port to the plant, $/wmt</t>
  </si>
  <si>
    <t>Wet ore delivery expenses from Ukrainian port to the plant, $</t>
  </si>
  <si>
    <t>FeNi delivery expenses from the plant to Ukrainian port, $</t>
  </si>
  <si>
    <t>FeNi freight forwarding price in Ukrainian/European ports, $/t</t>
  </si>
  <si>
    <t>FeNi freight forwarding expenses in Ukrainian ports, $</t>
  </si>
  <si>
    <t>FeNi freight cost, $/t</t>
  </si>
  <si>
    <t>FeNi delivery price to customer warehouse, €/t</t>
  </si>
  <si>
    <t>FeNi delivery expenses to customer warehouse, $</t>
  </si>
  <si>
    <t>Ore processing expenses - PFK</t>
  </si>
  <si>
    <t>Electricity price with delivery, $MW/h</t>
  </si>
  <si>
    <t>Electricity price growth, %%</t>
  </si>
  <si>
    <t>Electricity expenses, $</t>
  </si>
  <si>
    <t>Gas price, $/1000m3</t>
  </si>
  <si>
    <t>Gas price growth, %%</t>
  </si>
  <si>
    <t>Gas consumption per ton of raw materials, 1000m3/ton</t>
  </si>
  <si>
    <t>Gas expenses, $</t>
  </si>
  <si>
    <t>Technological materials (without gas)+ АС,  preparation of charge and pipe furnace roasting, $/dmt of feeded raw material</t>
  </si>
  <si>
    <t>Preparation of charge for roasting - expenses, $</t>
  </si>
  <si>
    <t>Technological materials, electrosmelting of residue in pipe furnace, PFK, $/t of residue</t>
  </si>
  <si>
    <t>Expenses for technological materials, electrosmelting of residue in pipe furnace, PFK, $</t>
  </si>
  <si>
    <t>Technological materials, electrosmelting of residue in pipe furnace, ZBG, $/t of residue</t>
  </si>
  <si>
    <t>Expenses for technological materials, electrosmelting of residue in pipe furnace, ZBG, $</t>
  </si>
  <si>
    <t>Technological materials, refining and metal casting of FeNi, $/t FeNi</t>
  </si>
  <si>
    <t>Expenses for technological materials, refining and metal casting of FeNi, $</t>
  </si>
  <si>
    <t>Price growth of technological materials</t>
  </si>
  <si>
    <t>Ore processing - financing and selling costs, $</t>
  </si>
  <si>
    <t>Fixed costs</t>
  </si>
  <si>
    <t>Ore and metal products insurance, $</t>
  </si>
  <si>
    <t>PFK property insurance and protection from accidents, $</t>
  </si>
  <si>
    <t>General costs PFK, $</t>
  </si>
  <si>
    <t>Equipment maintenance PFK, $</t>
  </si>
  <si>
    <t>Other expenses PFK</t>
  </si>
  <si>
    <t>Labor expenses (incl taxes and social contributions)</t>
  </si>
  <si>
    <t>Number of staff, pers</t>
  </si>
  <si>
    <t>Average compensation (incl. taxes and social contributions)</t>
  </si>
  <si>
    <t>Compensation growth index</t>
  </si>
  <si>
    <t>Repairs according to the title list</t>
  </si>
  <si>
    <t>Hot repairments RTP, RKZ</t>
  </si>
  <si>
    <t>Depreciation, $</t>
  </si>
  <si>
    <t>Processing costs PFK based on output of Ni, $</t>
  </si>
  <si>
    <t>Processing costs PFK per ton of Ni, $/t</t>
  </si>
  <si>
    <t>Processing costs PFK per ton of Ni ore, $/dmt</t>
  </si>
  <si>
    <t>Share of raw materials proceeses by fuel oil</t>
  </si>
  <si>
    <t>Cash cost per ton of Ni</t>
  </si>
  <si>
    <t>Cost accounting</t>
  </si>
  <si>
    <t>Direct semi-variable non-manufacturing costs</t>
  </si>
  <si>
    <t>Ore acquisition costs</t>
  </si>
  <si>
    <t>Ore transportation</t>
  </si>
  <si>
    <t>Ore freight</t>
  </si>
  <si>
    <t>Wet ore delivery from Ukrainian port to the plant, $/t</t>
  </si>
  <si>
    <t>Distribution and selling of products</t>
  </si>
  <si>
    <t>Agent commission for selling 0,7%, 1,5%</t>
  </si>
  <si>
    <t>FeNi delivery to Ukrainian port</t>
  </si>
  <si>
    <t>FeNi freight forwarding in Ukrainian ports</t>
  </si>
  <si>
    <t>FeNi freight forwarding in European ports and delivery to customer</t>
  </si>
  <si>
    <t>Ore processing - financing and selling costs</t>
  </si>
  <si>
    <t>Direct semi-variable manufacturing costs</t>
  </si>
  <si>
    <t>Electricity expenses (technological needs), $</t>
  </si>
  <si>
    <t>Technological materials (without gas)+ АС,  preparation of charge and pipe furnace roasting, $</t>
  </si>
  <si>
    <t>Technological materials, electrosmelting of residue in pipe furnace, RTP, $</t>
  </si>
  <si>
    <t>Technological materials, electrosmelting of residue in pipe furnace, RKZ, $</t>
  </si>
  <si>
    <t>Freight, ore and metal products insurance, $</t>
  </si>
  <si>
    <t>Repairs according to the title list, $</t>
  </si>
  <si>
    <t>Manufacturing costs</t>
  </si>
  <si>
    <t>Total Depreciation</t>
  </si>
  <si>
    <t>Residual value (PFK + ZBG)</t>
  </si>
  <si>
    <t>Depreciation as % of capital expenditures</t>
  </si>
  <si>
    <t>Working capital (WC)</t>
  </si>
  <si>
    <t>Предоплата по газу и электричеству, мес (advanced payment for gas and electricity, month)</t>
  </si>
  <si>
    <t>Период возмещения НДС, в % от облагаемых НДС затрат ПФК (Period of VAT reimbursement)</t>
  </si>
  <si>
    <t>Запасы в % от стоимости мат.затрат в месяц (Inventories to direct expenses)</t>
  </si>
  <si>
    <t>Кредиторская задолженность (Счета к оплате) в % от мат затрат (account payables to cash cost in %)</t>
  </si>
  <si>
    <t>НДС к возмещению из бюджета Украины (VAT receivable)</t>
  </si>
  <si>
    <t>Запасы (Inventories)</t>
  </si>
  <si>
    <t>Незавершенное строительство (construction in progress )</t>
  </si>
  <si>
    <t>Minimal Cash Balance as % of Sales</t>
  </si>
  <si>
    <t>Всего Списания на добычу (total write off)</t>
  </si>
  <si>
    <t>Авансы выданные (Advance payments)</t>
  </si>
  <si>
    <t>Основные средства ZGB (Non current assets ZGB)</t>
  </si>
  <si>
    <t>Основные средства ПФК (Non current assets PBK)</t>
  </si>
  <si>
    <t>Нематериальные активы (intabgible assets)</t>
  </si>
  <si>
    <t>Прочие долгосрочные активы (other fixed assets)</t>
  </si>
  <si>
    <t>НЕРАСПРЕДЕЛЕННАЯ ПРИБЫЛЬ (Retained earnings)</t>
  </si>
  <si>
    <t>Reserves for revaluation</t>
  </si>
  <si>
    <t>Disposals and FCTR of fixed assets</t>
  </si>
  <si>
    <t>Премия за переработку (за превышение LME цены над базой), $/$ (Premium for processing (for exceeding LME prices over the base)</t>
  </si>
  <si>
    <t xml:space="preserve">Agent commission </t>
  </si>
  <si>
    <t>Расходы по финансированию переработки, руды, реализации продукции, страхование $</t>
  </si>
  <si>
    <t>Chemical</t>
  </si>
  <si>
    <t xml:space="preserve"> -   </t>
  </si>
  <si>
    <t>Guatemala ops cash</t>
  </si>
  <si>
    <t>Fenix revenue</t>
  </si>
  <si>
    <t>Nickel for DSO, mt</t>
  </si>
  <si>
    <t>Ag price, USD/oz</t>
  </si>
  <si>
    <t>Total Store of ore,ton</t>
  </si>
  <si>
    <t>Store of ore Kupol,ton</t>
  </si>
  <si>
    <t>Store of ore Aina,ton</t>
  </si>
  <si>
    <t>Extraction of ore Kupol, dmt</t>
  </si>
  <si>
    <t>Extraction of ore Aina, dmt</t>
  </si>
  <si>
    <t>Waste Kupol, dmt</t>
  </si>
  <si>
    <t>Waste Aina, dmt</t>
  </si>
  <si>
    <t>Stripping ratio</t>
  </si>
  <si>
    <t>Содержание золота на Купол, сухая руда, гр/т (The gold content Kupol, dry ore, g/tn)</t>
  </si>
  <si>
    <t>Содержание золота на Aina, сухая руда, гр/т (The gold content Aina, dry ore, g/tn)</t>
  </si>
  <si>
    <t>Доля извлечения золота на Купол, % (Proportion of Au extraction on Kupol, %)</t>
  </si>
  <si>
    <t>Доля извлечения золота на Айна, % (Proportion of Au extraction on Aina, %)</t>
  </si>
  <si>
    <t>Доля извлечения золота средняя, % (Proportion of Au extraction avegare, %)</t>
  </si>
  <si>
    <t>Норма по электроэнергии для бурения, КВт/ч /т породы  (The consumption rate of electricity for drilling)</t>
  </si>
  <si>
    <t>Норма по электроэнергии для экскаваторов, КВт/ч /т породы (The consumption rate of electricity for excavators)</t>
  </si>
  <si>
    <t>Итого норма по электроэнергии, USD/т (Total consumption rate of electricity)</t>
  </si>
  <si>
    <t>Норма по ремонтам, USD/т руды (maintenance, Usd/tonne of ore)</t>
  </si>
  <si>
    <t>Ore processing excl electicity, USD/ton</t>
  </si>
  <si>
    <t>Ore mining and transportation excl electricity, USD/ore+waste ton</t>
  </si>
  <si>
    <t>Price for cyanide, USD/ton</t>
  </si>
  <si>
    <t>Норма по ремонтам, USD/т породы (maintenance, Usd/ore+waste ton)</t>
  </si>
  <si>
    <t>SG&amp;A, current maintenance, USD/ore ton</t>
  </si>
  <si>
    <t>Ore mining and transportation excl electricity, USD</t>
  </si>
  <si>
    <t>Ремонты рудник (repairs), USD</t>
  </si>
  <si>
    <t>Ore processing excl electicity, USD</t>
  </si>
  <si>
    <t>Ремонты фабрика, USD (repairs)</t>
  </si>
  <si>
    <t>Переработка руды (processing)</t>
  </si>
  <si>
    <t>SG&amp;A, current maintenance, USD</t>
  </si>
  <si>
    <t>Other expenses, USD</t>
  </si>
  <si>
    <t>Au production Kupol, gr</t>
  </si>
  <si>
    <t>Au production Aina, gr</t>
  </si>
  <si>
    <t>Total Au production, gr</t>
  </si>
  <si>
    <t>Ag production, gr</t>
  </si>
  <si>
    <t>Доля извлечения, % (Proportion of extraction, %)</t>
  </si>
  <si>
    <t>Sales of Au, $</t>
  </si>
  <si>
    <t>Sales of Ag, $</t>
  </si>
  <si>
    <t>Production data</t>
  </si>
  <si>
    <t>Silver for Kurilgeo, oz</t>
  </si>
  <si>
    <t>Итого производственные расходы (Total expenses), USD</t>
  </si>
  <si>
    <t>Итого производственные расходы на 1oz Au (Total expenses), USD/1oz Au</t>
  </si>
  <si>
    <t>Affinage, USD</t>
  </si>
  <si>
    <t>Tax for mining, USD</t>
  </si>
  <si>
    <t>Ecology expenses, USD</t>
  </si>
  <si>
    <t>Depreciation, USD</t>
  </si>
  <si>
    <t>Tax for Au mining, % on revenue</t>
  </si>
  <si>
    <t>Affinage, % on revenue</t>
  </si>
  <si>
    <t>Tax for Ag mining, % on revenue</t>
  </si>
  <si>
    <t>Rate for ecology expenses, %</t>
  </si>
  <si>
    <t>PromsvyazBank @ 13%</t>
  </si>
  <si>
    <t>Gold for Kurilgeo, oz</t>
  </si>
  <si>
    <t>Cash cumulative</t>
  </si>
  <si>
    <t>Kurilgeo</t>
  </si>
  <si>
    <t>Kurilgeo revenue</t>
  </si>
  <si>
    <t>Direct Production Cost Kurilgeo</t>
  </si>
  <si>
    <t>SG&amp;A Kurilgeo</t>
  </si>
  <si>
    <t>Depreciation and Amortization Kurilgeo</t>
  </si>
  <si>
    <t>Interest paid Kurilgeo</t>
  </si>
  <si>
    <t>Income tax Kurilgeo</t>
  </si>
  <si>
    <t>(+) / (-) Working capital Kurilgeo</t>
  </si>
  <si>
    <t>Kurilgeo project capex</t>
  </si>
  <si>
    <t>(+) / (-) Project finance Kurilgeo</t>
  </si>
  <si>
    <t>Indonesia DSO</t>
  </si>
  <si>
    <t>Note for balance sheet calculation</t>
  </si>
  <si>
    <t>Group borrowings PXF</t>
  </si>
  <si>
    <t>Sale/(purchase) of financial investments</t>
  </si>
  <si>
    <t>Price for 2% Ni</t>
  </si>
  <si>
    <t>Apartments sale project (Real estate)</t>
  </si>
  <si>
    <t>Apartments sale project Net Income (Real estate)</t>
  </si>
  <si>
    <t>Euro/USD FX rate*</t>
  </si>
  <si>
    <t>Cathode Cu production from wastes, dmt</t>
  </si>
  <si>
    <t xml:space="preserve">Погрузочные работы, USD/т породы </t>
  </si>
  <si>
    <t>Погрузочные работы, USD</t>
  </si>
  <si>
    <t>Нормативные материалы, USD (materials, USD)</t>
  </si>
  <si>
    <t>Cu concs price calculation</t>
  </si>
  <si>
    <t>Cu in Cu conc, $/t conc</t>
  </si>
  <si>
    <t>Au in Cu conc, $/t conc</t>
  </si>
  <si>
    <t>Treatment charge, $/t conc</t>
  </si>
  <si>
    <t>Payable Cu, $/pd</t>
  </si>
  <si>
    <t>Ref Charge Cu Difference</t>
  </si>
  <si>
    <t>Refining charge for Cu, $/pd Cu</t>
  </si>
  <si>
    <t>Refining charge $/t conc</t>
  </si>
  <si>
    <t>Refining charge Au, $/t conc</t>
  </si>
  <si>
    <t>Cathode Cu production, dmt</t>
  </si>
  <si>
    <t>Прогнозируемый темп роста цен (без электричества и ГСМ) (price forecast)</t>
  </si>
  <si>
    <t>Итого затрат на производство Cu concs, USD</t>
  </si>
  <si>
    <t>Итого затрат на 1т Cu в Cu concs, USD</t>
  </si>
  <si>
    <t>Итого затрат на 1т Cu concs, USD</t>
  </si>
  <si>
    <t>Итого затрат на производство Cu cathode, USD</t>
  </si>
  <si>
    <t>Итого затрат на 1т Cu cathode, USD</t>
  </si>
  <si>
    <t>Ставка дисконтирования</t>
  </si>
  <si>
    <t>Терминальные темпы роста</t>
  </si>
  <si>
    <t>Период дисконтирования</t>
  </si>
  <si>
    <t>Фактор дисконтирования</t>
  </si>
  <si>
    <t>Дисконтированные  денежные потоки</t>
  </si>
  <si>
    <t>Сумма дисконтированных  денежных потоков</t>
  </si>
  <si>
    <t>Терминальная стоимость</t>
  </si>
  <si>
    <t>Текущая стоимость терминальной стоимости</t>
  </si>
  <si>
    <t>Стоимость бизнеса</t>
  </si>
  <si>
    <t>Чистый оборотный капитал на дату оценки</t>
  </si>
  <si>
    <t>Балансовая стоимость нематериальных активов</t>
  </si>
  <si>
    <t>Ценность в использовании операционных основных средств</t>
  </si>
  <si>
    <t>Округленно</t>
  </si>
  <si>
    <t>Production and Sales forecast, Copper &amp; Gold Mine</t>
  </si>
  <si>
    <t>Проноз роста цена на ПУТ, %%</t>
  </si>
  <si>
    <t>Цена ПУТ, $/т</t>
  </si>
  <si>
    <t>Расход ПУТ на 1 тонну заданного сырья, т/тонна</t>
  </si>
  <si>
    <t>Затраты на ПУТ, $</t>
  </si>
  <si>
    <t>Cash cost</t>
  </si>
  <si>
    <t>Производственные затраты без амортизации</t>
  </si>
  <si>
    <t xml:space="preserve">%% </t>
  </si>
  <si>
    <t>Содержание Pb в руде, тонн (The content of Pb in the ore, tonne)</t>
  </si>
  <si>
    <t>Copper</t>
  </si>
  <si>
    <t>Zinc</t>
  </si>
  <si>
    <t>Lead</t>
  </si>
  <si>
    <t>Natixis</t>
  </si>
  <si>
    <t>BNPP</t>
  </si>
  <si>
    <t>Grade, 1,6%</t>
  </si>
  <si>
    <t>Royalty to partners, USD/wmt</t>
  </si>
  <si>
    <t>Cost of production, 1,6%Ni</t>
  </si>
  <si>
    <t>Total costs for 1,6%Ni, USD/wmt</t>
  </si>
  <si>
    <t>Government Royalty for 1,6%Ni</t>
  </si>
  <si>
    <t>Exploration</t>
  </si>
  <si>
    <t>SG&amp;A Cost Ore sales project</t>
  </si>
  <si>
    <t>UBS</t>
  </si>
  <si>
    <t>Доля сырья, переработанного на мазуте/ПУТ</t>
  </si>
  <si>
    <t>Refined Ni, tn</t>
  </si>
  <si>
    <t>Refined FeNi, tn</t>
  </si>
  <si>
    <t>Ore to calcine, tonnes</t>
  </si>
  <si>
    <t>Stripping ratio Fenix</t>
  </si>
  <si>
    <t>Stripping ratio Montufar</t>
  </si>
  <si>
    <t>Wet ROM Ore</t>
  </si>
  <si>
    <t>Mine Operating Supplies Fenix</t>
  </si>
  <si>
    <t>Mine Operating Supplies Montufar</t>
  </si>
  <si>
    <t>Total Consumption, tonnes/tonne dry ore</t>
  </si>
  <si>
    <t>Consumables, $/tonne wet ore</t>
  </si>
  <si>
    <t>Consumables, US$/tonne dry ore</t>
  </si>
  <si>
    <t>Consumables, US$/tonne calcine</t>
  </si>
  <si>
    <t>Consumables, US$/FeNi tonne</t>
  </si>
  <si>
    <t>UPK</t>
  </si>
  <si>
    <t>Protection</t>
  </si>
  <si>
    <t>Other G&amp;A expenses</t>
  </si>
  <si>
    <t>Marketing expenses</t>
  </si>
  <si>
    <t>Taxes&amp;Royalti</t>
  </si>
  <si>
    <t>Staff Education</t>
  </si>
  <si>
    <t>Environmental expenses</t>
  </si>
  <si>
    <t>Mine Operating Supplies Sub-total, $</t>
  </si>
  <si>
    <t>Power Total Consumption, MWh</t>
  </si>
  <si>
    <t>Power Cost, US$</t>
  </si>
  <si>
    <t>General Power Total Consumption, MWh</t>
  </si>
  <si>
    <t>Coal Total Consumption, tonnes</t>
  </si>
  <si>
    <t>Coal Cost, US$</t>
  </si>
  <si>
    <t>Petcoke Total Consumption, tonnes</t>
  </si>
  <si>
    <t>Petcoke Cost, US$</t>
  </si>
  <si>
    <t>General and Administrative Sub-total, US$</t>
  </si>
  <si>
    <t>Labour Sub-total, $</t>
  </si>
  <si>
    <t>Fixed costs, US$</t>
  </si>
  <si>
    <t>Variable expenses, US$</t>
  </si>
  <si>
    <t>Cost of production per 1 tn of Ni, $</t>
  </si>
  <si>
    <t>Total operating expenses for Nickel, US$</t>
  </si>
  <si>
    <t>Ore Sales, tonnes</t>
  </si>
  <si>
    <t>Total operating expenses for Ore Sales, US$</t>
  </si>
  <si>
    <t>Ore price, $/ton</t>
  </si>
  <si>
    <t>FeNi Sales, $</t>
  </si>
  <si>
    <t>Ore Sales, $</t>
  </si>
  <si>
    <t>Payable Fe per tn of Ni, $</t>
  </si>
  <si>
    <t>Total sales of Ore, ton</t>
  </si>
  <si>
    <t>S&amp;M Costs</t>
  </si>
  <si>
    <t>S&amp;M of Feni, US$/tonne of FeNi</t>
  </si>
  <si>
    <t>S&amp;M of Ore, US$/tonne of Ore</t>
  </si>
  <si>
    <t>S&amp;M Costs, US$</t>
  </si>
  <si>
    <t>S&amp;M of Ore Fenix, US$/tonne of Ore</t>
  </si>
  <si>
    <t>S&amp;M of Ore Montufar, US$/tonne of Ore</t>
  </si>
  <si>
    <t>Total S&amp;M for Nickel, US$</t>
  </si>
  <si>
    <t>Total S&amp;M for Ore Sales, US$</t>
  </si>
  <si>
    <t>Cost of extraction of Ore for Sales, $/tonne</t>
  </si>
  <si>
    <t>Total cost of Ore, $/tonne</t>
  </si>
  <si>
    <t>S&amp;M Costs Ore for Sales, $/tonne</t>
  </si>
  <si>
    <t>Nickel:</t>
  </si>
  <si>
    <t>S&amp;M, $</t>
  </si>
  <si>
    <t>Total cost of 1tn Ni, $</t>
  </si>
  <si>
    <t>Ore Sales Fenix, tonnes</t>
  </si>
  <si>
    <t>Ore Sales Montufar, tonnes</t>
  </si>
  <si>
    <t>ROM for Ore Sales Fenix, tonnes</t>
  </si>
  <si>
    <t>ROM for Ore Sales Montufar, tonnes</t>
  </si>
  <si>
    <t>El Estor 1 + 0,16</t>
  </si>
  <si>
    <t>Other regions governments 4*0,16</t>
  </si>
  <si>
    <t>Ministry of mines 0,1</t>
  </si>
  <si>
    <t>Ecology 0,16</t>
  </si>
  <si>
    <t>Payments to Government, US$</t>
  </si>
  <si>
    <t>Base for calculation</t>
  </si>
  <si>
    <t>Inco NSR Expense  -  Before / during payback 2%</t>
  </si>
  <si>
    <t>Inco NSR Expense  - After payback 6%</t>
  </si>
  <si>
    <t>Total Inco NSR Expense (70% of base for calculation)</t>
  </si>
  <si>
    <t>Additional Government Royalti</t>
  </si>
  <si>
    <t>Government Royalti 2%, including</t>
  </si>
  <si>
    <t>Plant Capacity BFS, dmt</t>
  </si>
  <si>
    <t>Value Added Tax (IVA) Payable</t>
  </si>
  <si>
    <t>VAT Payable</t>
  </si>
  <si>
    <t>FeNi sales</t>
  </si>
  <si>
    <t>Ore sales</t>
  </si>
  <si>
    <t>Labour</t>
  </si>
  <si>
    <t>Royalti</t>
  </si>
  <si>
    <t>Inco payments</t>
  </si>
  <si>
    <t>Other Current Assets</t>
  </si>
  <si>
    <t>VAT receivables</t>
  </si>
  <si>
    <t>Ore in pipeline prior to sale, days</t>
  </si>
  <si>
    <t>Cost of Sales FeNi, US$</t>
  </si>
  <si>
    <t>Cost of Sales Ore, US$</t>
  </si>
  <si>
    <t>Accounts Payable, %COS FeNi</t>
  </si>
  <si>
    <t>Ore Finished Product (stored at plant site and in transit)</t>
  </si>
  <si>
    <t>Prepaid expenses</t>
  </si>
  <si>
    <t>Prepaid Expenses, %COS FeNi</t>
  </si>
  <si>
    <t>Crude FeNi, tn</t>
  </si>
  <si>
    <t>Inventories, %COS FeNi</t>
  </si>
  <si>
    <t>Total Inventories</t>
  </si>
  <si>
    <t>Other Payables, % of COS</t>
  </si>
  <si>
    <t>Cash - Opening Balance</t>
  </si>
  <si>
    <t>Electrical Energy self-produced on petcoke, US$/MWh</t>
  </si>
  <si>
    <t>Electrical Energy self-produced on coal, US$/MWh</t>
  </si>
  <si>
    <t>Electrical Energy purchased, US$/MWh</t>
  </si>
  <si>
    <t>Electrical Energy Average Cost, US$/MWh</t>
  </si>
  <si>
    <t>Royalti, INCO, $</t>
  </si>
  <si>
    <t>Total cost of 1tn Ni without royalties and Inco, $</t>
  </si>
  <si>
    <t>Ore sales project revenue **</t>
  </si>
  <si>
    <t>Нормативные материалы, USD/т Cu (materials, USD/tonne Cu)</t>
  </si>
  <si>
    <t>Production costs per 1 ton of processed ore, $</t>
  </si>
  <si>
    <t>Sales Cu concs, $</t>
  </si>
  <si>
    <t>Sales Cu cath, $</t>
  </si>
  <si>
    <t>Income tax &amp; other gain/losses paid</t>
  </si>
  <si>
    <t>Loans from third parties (+)repayment/(-)granting</t>
  </si>
  <si>
    <t>Pulverised coal price, $/tn</t>
  </si>
  <si>
    <t>Pulverized coal price growth, %%</t>
  </si>
  <si>
    <t>Pulverised coal consumption per ton of raw materials, ton/ton</t>
  </si>
  <si>
    <t>Pulverised coal expenses, $</t>
  </si>
  <si>
    <t>Cu (without PXF)</t>
  </si>
  <si>
    <t>Zn/Pb (without PXF)</t>
  </si>
  <si>
    <t>Cu price for cathode, USD/ton</t>
  </si>
  <si>
    <t>1H</t>
  </si>
  <si>
    <t>2H</t>
  </si>
  <si>
    <t>Полная себестоимость без амортизации и %%</t>
  </si>
  <si>
    <t>Total cash cost (excl depriciation and interests)</t>
  </si>
  <si>
    <t>Other repairs, $</t>
  </si>
  <si>
    <t>For balance sheet calculation</t>
  </si>
  <si>
    <t>Initial Budget</t>
  </si>
  <si>
    <t>Ni segment</t>
  </si>
  <si>
    <t>Revised Budget</t>
  </si>
  <si>
    <t xml:space="preserve">EBITDA </t>
  </si>
  <si>
    <t>Total cash cost (excl depreciation and interests)</t>
  </si>
  <si>
    <t>Net income</t>
  </si>
  <si>
    <t>EBITDA analysis</t>
  </si>
  <si>
    <t>Cu, Zn, Pb segments</t>
  </si>
  <si>
    <t>RE segment</t>
  </si>
  <si>
    <t>Ore Sales Projects</t>
  </si>
  <si>
    <t>Fenix</t>
  </si>
  <si>
    <t>Deviation</t>
  </si>
  <si>
    <t xml:space="preserve">% of EBITDA </t>
  </si>
  <si>
    <t>Revised</t>
  </si>
  <si>
    <t>Group borrowings MTN/Eurobond</t>
  </si>
  <si>
    <t>FeNi segment analysis</t>
  </si>
  <si>
    <t>Distribution expenses (transport, analysis, insurance)</t>
  </si>
  <si>
    <t>G&amp;A</t>
  </si>
  <si>
    <t>Other sales</t>
  </si>
  <si>
    <t>Negative Goodwill</t>
  </si>
  <si>
    <t>Chemical bus sale</t>
  </si>
  <si>
    <t>IFRS Net Profit</t>
  </si>
  <si>
    <t>Grade, 1,9%</t>
  </si>
  <si>
    <t>Ore, 1,9%Ni</t>
  </si>
  <si>
    <t>Price for 1.9% Ni, $/wmt</t>
  </si>
  <si>
    <t>Price for 2% Ni, $/wmt</t>
  </si>
  <si>
    <t>interest</t>
  </si>
  <si>
    <t>Nickel average, mt</t>
  </si>
  <si>
    <t>Group borrowings repayment</t>
  </si>
  <si>
    <t>Change in FV of fin investments</t>
  </si>
  <si>
    <t>Commodities prices assumptions</t>
  </si>
  <si>
    <t>Disclaimer</t>
  </si>
  <si>
    <t>Commodities prices long-term projection</t>
  </si>
  <si>
    <t>Dates</t>
  </si>
  <si>
    <t>Month</t>
  </si>
  <si>
    <t>Loan Principal</t>
  </si>
  <si>
    <t>Loan Principal Outstanding</t>
  </si>
  <si>
    <t>Margin</t>
  </si>
  <si>
    <t>3 months grace period</t>
  </si>
  <si>
    <t>Tenor - 12 months</t>
  </si>
  <si>
    <t>1M USD Libor</t>
  </si>
  <si>
    <t>Interest paid on PXF</t>
  </si>
  <si>
    <t>Interest paid on MTN/Eurobond</t>
  </si>
  <si>
    <t>by segments/projects</t>
  </si>
  <si>
    <t>Acquila</t>
  </si>
  <si>
    <t>DSO (Ore sales project)</t>
  </si>
  <si>
    <t>EBITDA by segments/projects</t>
  </si>
  <si>
    <t>Furnace capacity consumption, MW</t>
  </si>
  <si>
    <t>Wet ore forwarding</t>
  </si>
  <si>
    <t>Wet ore forwarding, $/wmt</t>
  </si>
  <si>
    <t>Wet ore forwarding expenses, $</t>
  </si>
  <si>
    <t>FeNi delivery price from the plant to Ukrainian port, $/t FeNi</t>
  </si>
  <si>
    <t>FeNi trucking and forwarding expenses, $</t>
  </si>
  <si>
    <t>FeNi trucking and forwarding</t>
  </si>
  <si>
    <t>Gas consumption per ton of FeNi (non-pipe furnance gas use)</t>
  </si>
  <si>
    <t>Electricity loss</t>
  </si>
  <si>
    <t>Electricity - power, lighting, warming-up, gas, fuel, lubricants $</t>
  </si>
  <si>
    <t>1H 8y</t>
  </si>
  <si>
    <t>2H 8y</t>
  </si>
  <si>
    <t>Initial 8Y</t>
  </si>
  <si>
    <t xml:space="preserve">Финансовая модель группы компаний </t>
  </si>
  <si>
    <t>For Kuril EUR/USD FX rate</t>
  </si>
  <si>
    <t>6 Y</t>
  </si>
  <si>
    <t>7 Y</t>
  </si>
  <si>
    <t>8 Y</t>
  </si>
  <si>
    <t>9 Y</t>
  </si>
  <si>
    <t>10 Y</t>
  </si>
  <si>
    <t>11 Y</t>
  </si>
  <si>
    <t>12 Y</t>
  </si>
  <si>
    <t>13 Y</t>
  </si>
  <si>
    <t>14 Y</t>
  </si>
  <si>
    <t>15 Y</t>
  </si>
  <si>
    <t>16 Y</t>
  </si>
  <si>
    <t>17 Y</t>
  </si>
  <si>
    <t>18 Y</t>
  </si>
  <si>
    <t>19 Y</t>
  </si>
  <si>
    <t>20 Y</t>
  </si>
  <si>
    <t>21 Y</t>
  </si>
  <si>
    <t>22 Y</t>
  </si>
  <si>
    <t>23 Y</t>
  </si>
  <si>
    <t>1 Y</t>
  </si>
  <si>
    <t>2 Y</t>
  </si>
  <si>
    <t>3 Y</t>
  </si>
  <si>
    <t>4 Y</t>
  </si>
  <si>
    <t>5 Y</t>
  </si>
  <si>
    <t>1H 8 Y</t>
  </si>
  <si>
    <t>2H 8 Y</t>
  </si>
  <si>
    <t>Revised 8 Y</t>
  </si>
  <si>
    <t xml:space="preserve">Total
</t>
  </si>
  <si>
    <t>Kuril</t>
  </si>
  <si>
    <t>0 Y</t>
  </si>
  <si>
    <t>Production and Sales forecast,  Alloys</t>
  </si>
  <si>
    <t>Capital Investments and Depreciation, Alloys</t>
  </si>
  <si>
    <t>1H 3 Y</t>
  </si>
  <si>
    <t>2H 3 Y</t>
  </si>
  <si>
    <t>B NICKEL PROJECT</t>
  </si>
  <si>
    <t>BI NICKEL PROJECT</t>
  </si>
  <si>
    <t>Cash Flow statement, BI NICKEL PROJECT</t>
  </si>
  <si>
    <t>S NICKEL PROJECT</t>
  </si>
  <si>
    <t>Profit and loss forecast, B NICKEL PROJECT</t>
  </si>
  <si>
    <t>Profit and loss forecast, S NICKEL PROJECT</t>
  </si>
  <si>
    <t>Cash Flow statement, S NICKEL PROJECT</t>
  </si>
  <si>
    <t>A NICKEL PROJECT</t>
  </si>
  <si>
    <t>A</t>
  </si>
  <si>
    <t>Profit and loss forecast, A NICKEL PROJECT</t>
  </si>
  <si>
    <t>Cash Flow statement, A NICKEL PROJECT</t>
  </si>
  <si>
    <t>L</t>
  </si>
  <si>
    <t>L NICKEL PROJECT</t>
  </si>
  <si>
    <t>Profit and loss forecast, L NICKEL PROJECT</t>
  </si>
  <si>
    <t>Cash Flow statement,L NICKEL PROJECT</t>
  </si>
  <si>
    <t>LP</t>
  </si>
  <si>
    <t>LP NICKEL PROJECT</t>
  </si>
  <si>
    <t>Profit and loss forecast, LP NICKEL PROJECT</t>
  </si>
  <si>
    <t>Cash Flow statement, LP NICKEL PROJECT</t>
  </si>
  <si>
    <t>1h 8 Y</t>
  </si>
  <si>
    <t>2h 8 Y</t>
  </si>
  <si>
    <t>(to input here 8 Y - 13 Y to see the results change)</t>
  </si>
  <si>
    <t>Natixis - due June/10 Y  @ 1m LIBOR +5%</t>
  </si>
  <si>
    <t>Kommerzialna Bank - due July /9 Y @ Euro LIBOR + 2%</t>
  </si>
  <si>
    <t>Kommerzialna Bank - due July /8 Y @ 1mEuro LIBOR + 5%</t>
  </si>
  <si>
    <t>Kommerzialna Bank - due July /9 Y @ 6m Euro LIBOR + 2%</t>
  </si>
  <si>
    <t>Kommerzialna Bank - due July /8 Y @ Euro LIBOR + 2%</t>
  </si>
  <si>
    <t>Natixis - due June/11 Y @ 1m LIBOR +5%</t>
  </si>
  <si>
    <t>Atlas Copco - due xx/xx/6 Y @ 7,5%</t>
  </si>
  <si>
    <t>Costs incurred prev. to 5 Y</t>
  </si>
  <si>
    <t>Kommercialny bank - due 30/07/5 Y @ LIBOR +3,5%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</si>
</sst>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7">
    <numFmt numFmtId="43" formatCode="_-* #,##0.00_р_._-;\-* #,##0.00_р_._-;_-* &quot;-&quot;??_р_._-;_-@_-"/>
    <numFmt numFmtId="164" formatCode="_ * #,##0_ ;_ * \-#,##0_ ;_ * &quot;-&quot;_ ;_ @_ "/>
    <numFmt numFmtId="165" formatCode="_ * #,##0.00_ ;_ * \-#,##0.00_ ;_ * &quot;-&quot;??_ ;_ @_ "/>
    <numFmt numFmtId="166" formatCode="_(* #,##0.00_);_(* \(#,##0.00\);_(* &quot;-&quot;??_);_(@_)"/>
    <numFmt numFmtId="167" formatCode="_-* #,##0.00_-;\-* #,##0.00_-;_-* &quot;-&quot;??_-;_-@_-"/>
    <numFmt numFmtId="168" formatCode="0.0%"/>
    <numFmt numFmtId="169" formatCode="0.0"/>
    <numFmt numFmtId="170" formatCode="#,##0.0;\(#,##0.0\);0.0"/>
    <numFmt numFmtId="171" formatCode="#,##0;\(#,##0\);0"/>
    <numFmt numFmtId="172" formatCode="#,##0.00;\(#,##0.00\);0.00"/>
    <numFmt numFmtId="173" formatCode="#,##0.000;\(#,##0.000\);0.000"/>
    <numFmt numFmtId="174" formatCode="#,##0.0_);\(#,##0.0\)"/>
    <numFmt numFmtId="175" formatCode="0\A"/>
    <numFmt numFmtId="176" formatCode="0&quot;E&quot;"/>
    <numFmt numFmtId="177" formatCode="#,##0.00;\(#,##0.00\);\-"/>
    <numFmt numFmtId="178" formatCode="_-* #,##0_-;\-* #,##0_-;_-* &quot;-&quot;??_-;_-@_-"/>
    <numFmt numFmtId="179" formatCode="###0&quot;E&quot;"/>
    <numFmt numFmtId="180" formatCode="&quot;$&quot;#,##0.0_);\(&quot;$&quot;#,##0.0\)"/>
    <numFmt numFmtId="181" formatCode="_(* #,##0.0_);_(* \(#,##0.0\);_(* &quot;-&quot;??_);_(@_)"/>
    <numFmt numFmtId="182" formatCode="#,##0.00000_);\(#,##0.00000\)"/>
    <numFmt numFmtId="183" formatCode="&quot;Apr&quot;\ 0"/>
    <numFmt numFmtId="184" formatCode="&quot;Apr&quot;\ 0&quot;F&quot;"/>
    <numFmt numFmtId="185" formatCode="#"/>
    <numFmt numFmtId="186" formatCode="#,##0.0;\-#,##0.0"/>
    <numFmt numFmtId="187" formatCode="#,##0;\(#,##0\)"/>
    <numFmt numFmtId="188" formatCode="0.0%_)"/>
    <numFmt numFmtId="189" formatCode="0\ &quot;год&quot;"/>
    <numFmt numFmtId="190" formatCode="[$-409]mmm\-yy;@"/>
    <numFmt numFmtId="191" formatCode="#,##0.0&quot; x&quot;;\(#,##0.0\)&quot; x&quot;;0.0&quot; x&quot;"/>
    <numFmt numFmtId="192" formatCode="_(* #,##0_);_(* \(#,##0\);_(* &quot;-&quot;??_);_(@_)"/>
    <numFmt numFmtId="193" formatCode="yyyy"/>
    <numFmt numFmtId="194" formatCode="0&quot;-й год&quot;"/>
    <numFmt numFmtId="195" formatCode="0.0000%"/>
    <numFmt numFmtId="196" formatCode="0.000000%"/>
    <numFmt numFmtId="197" formatCode="#,##0______;;&quot;------------      &quot;"/>
    <numFmt numFmtId="198" formatCode="_-* #,##0\ &quot;Pts&quot;_-;\-* #,##0\ &quot;Pts&quot;_-;_-* &quot;-&quot;\ &quot;Pts&quot;_-;_-@_-"/>
    <numFmt numFmtId="199" formatCode="_-* #,##0\ _P_t_s_-;\-* #,##0\ _P_t_s_-;_-* &quot;-&quot;\ _P_t_s_-;_-@_-"/>
    <numFmt numFmtId="200" formatCode="_-* #,##0.00\ &quot;Pts&quot;_-;\-* #,##0.00\ &quot;Pts&quot;_-;_-* &quot;-&quot;??\ &quot;Pts&quot;_-;_-@_-"/>
    <numFmt numFmtId="201" formatCode="_-* #,##0.00\ _P_t_s_-;\-* #,##0.00\ _P_t_s_-;_-* &quot;-&quot;??\ _P_t_s_-;_-@_-"/>
    <numFmt numFmtId="202" formatCode="0.00000%"/>
    <numFmt numFmtId="203" formatCode="_-* #,##0.000_-;\-* #,##0.000_-;_-* &quot;-&quot;??_-;_-@_-"/>
    <numFmt numFmtId="204" formatCode="_-* #,##0.0_-;\-* #,##0.0_-;_-* &quot;-&quot;??_-;_-@_-"/>
    <numFmt numFmtId="205" formatCode="0.000%"/>
    <numFmt numFmtId="206" formatCode="[$$-409]#,##0.00"/>
    <numFmt numFmtId="207" formatCode="#,##0.0000;\(#,##0.0000\);0.0000"/>
    <numFmt numFmtId="208" formatCode="#,##0.00000;\(#,##0.00000\);0.00000"/>
    <numFmt numFmtId="209" formatCode="_(* #,##0_);_(* \(#,##0\);_(* &quot;-&quot;_);_(@_)"/>
    <numFmt numFmtId="210" formatCode="_-* #,##0.0000_-;\-* #,##0.0000_-;_-* &quot;-&quot;??_-;_-@_-"/>
    <numFmt numFmtId="211" formatCode="0\ &quot;Year&quot;"/>
    <numFmt numFmtId="212" formatCode="#,##0_ ;\-#,##0\ "/>
    <numFmt numFmtId="213" formatCode="#,##0.00;\(##,#00\);0."/>
    <numFmt numFmtId="214" formatCode="#,##0.00_ ;\-#,##0.00\ "/>
    <numFmt numFmtId="215" formatCode="#,##0.000"/>
    <numFmt numFmtId="216" formatCode="_(&quot;$&quot;* #,##0.00_);_(&quot;$&quot;* \(#,##0.00\);_(&quot;$&quot;* &quot;-&quot;??_);_(@_)"/>
    <numFmt numFmtId="217" formatCode="0\ &quot;Y&quot;"/>
    <numFmt numFmtId="218" formatCode="0.000"/>
    <numFmt numFmtId="219" formatCode="#,##0.00;\(#,##0.00\)"/>
    <numFmt numFmtId="220" formatCode="\ 0%"/>
    <numFmt numFmtId="221" formatCode="&quot;+&quot;\ 0%"/>
    <numFmt numFmtId="222" formatCode="#,##0.000000"/>
    <numFmt numFmtId="223" formatCode="#,##0.000000;\(#,##0.000000\)"/>
    <numFmt numFmtId="224" formatCode="_(* #,##0.0_);_(* \(#,##0.0\);_(* &quot;-&quot;_);_(@_)"/>
    <numFmt numFmtId="225" formatCode="#,##0.0_ ;\-#,##0.0\ "/>
    <numFmt numFmtId="226" formatCode="0.0000"/>
    <numFmt numFmtId="227" formatCode="#,##0.0000"/>
    <numFmt numFmtId="228" formatCode="#,##0.000;\(#,##0.000\)"/>
    <numFmt numFmtId="229" formatCode="#,##0.0"/>
  </numFmts>
  <fonts count="173">
    <font>
      <sz val="10"/>
      <name val="Arial"/>
    </font>
    <font>
      <sz val="10"/>
      <name val="Arial"/>
      <family val="2"/>
      <charset val="204"/>
    </font>
    <font>
      <sz val="10"/>
      <name val="Tahoma"/>
      <family val="2"/>
    </font>
    <font>
      <b/>
      <sz val="10"/>
      <name val="Tahoma"/>
      <family val="2"/>
    </font>
    <font>
      <b/>
      <sz val="9"/>
      <name val="Tahoma"/>
      <family val="2"/>
    </font>
    <font>
      <sz val="9"/>
      <color indexed="12"/>
      <name val="Tahoma"/>
      <family val="2"/>
    </font>
    <font>
      <sz val="9"/>
      <name val="Tahoma"/>
      <family val="2"/>
    </font>
    <font>
      <sz val="10"/>
      <name val="Arial"/>
      <family val="2"/>
      <charset val="204"/>
    </font>
    <font>
      <sz val="10"/>
      <name val="Arial"/>
      <family val="2"/>
    </font>
    <font>
      <sz val="9"/>
      <name val="Futura UBS Bk"/>
      <family val="2"/>
    </font>
    <font>
      <sz val="6"/>
      <name val="Tahoma"/>
      <family val="2"/>
    </font>
    <font>
      <sz val="22"/>
      <name val="Tahoma"/>
      <family val="2"/>
    </font>
    <font>
      <b/>
      <sz val="9"/>
      <color indexed="56"/>
      <name val="Tahoma"/>
      <family val="2"/>
    </font>
    <font>
      <sz val="9"/>
      <color indexed="56"/>
      <name val="Tahoma"/>
      <family val="2"/>
    </font>
    <font>
      <i/>
      <sz val="9"/>
      <color indexed="56"/>
      <name val="Tahoma"/>
      <family val="2"/>
    </font>
    <font>
      <sz val="9"/>
      <color indexed="8"/>
      <name val="Tahoma"/>
      <family val="2"/>
    </font>
    <font>
      <sz val="12"/>
      <name val="Tahoma"/>
      <family val="2"/>
    </font>
    <font>
      <b/>
      <sz val="7"/>
      <name val="Tahoma"/>
      <family val="2"/>
    </font>
    <font>
      <i/>
      <sz val="9"/>
      <name val="Tahoma"/>
      <family val="2"/>
    </font>
    <font>
      <b/>
      <sz val="9"/>
      <color indexed="16"/>
      <name val="Tahoma"/>
      <family val="2"/>
    </font>
    <font>
      <i/>
      <sz val="9"/>
      <color indexed="21"/>
      <name val="Tahoma"/>
      <family val="2"/>
    </font>
    <font>
      <i/>
      <sz val="10"/>
      <color indexed="43"/>
      <name val="Tahoma"/>
      <family val="2"/>
    </font>
    <font>
      <sz val="10"/>
      <color indexed="43"/>
      <name val="Tahoma"/>
      <family val="2"/>
    </font>
    <font>
      <i/>
      <sz val="9"/>
      <color indexed="43"/>
      <name val="Tahoma"/>
      <family val="2"/>
    </font>
    <font>
      <sz val="9"/>
      <color indexed="21"/>
      <name val="Tahoma"/>
      <family val="2"/>
    </font>
    <font>
      <sz val="8"/>
      <name val="Tahoma"/>
      <family val="2"/>
    </font>
    <font>
      <b/>
      <i/>
      <sz val="9"/>
      <color indexed="56"/>
      <name val="Tahoma"/>
      <family val="2"/>
    </font>
    <font>
      <sz val="9"/>
      <color indexed="14"/>
      <name val="Tahoma"/>
      <family val="2"/>
    </font>
    <font>
      <sz val="10"/>
      <color indexed="56"/>
      <name val="Tahoma"/>
      <family val="2"/>
    </font>
    <font>
      <i/>
      <sz val="8"/>
      <color indexed="21"/>
      <name val="Tahoma"/>
      <family val="2"/>
    </font>
    <font>
      <i/>
      <sz val="9"/>
      <color indexed="12"/>
      <name val="Tahoma"/>
      <family val="2"/>
    </font>
    <font>
      <sz val="9"/>
      <name val="Tahoma"/>
      <family val="2"/>
      <charset val="204"/>
    </font>
    <font>
      <b/>
      <sz val="10"/>
      <name val="Tahoma"/>
      <family val="2"/>
      <charset val="204"/>
    </font>
    <font>
      <b/>
      <sz val="9"/>
      <name val="Tahoma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8"/>
      <color indexed="10"/>
      <name val="Tahoma"/>
      <family val="2"/>
    </font>
    <font>
      <b/>
      <sz val="8"/>
      <color indexed="12"/>
      <name val="Tahoma"/>
      <family val="2"/>
    </font>
    <font>
      <sz val="10"/>
      <name val="Helv"/>
    </font>
    <font>
      <sz val="9"/>
      <color indexed="23"/>
      <name val="Tahoma"/>
      <family val="2"/>
    </font>
    <font>
      <sz val="10"/>
      <color indexed="23"/>
      <name val="Tahoma"/>
      <family val="2"/>
    </font>
    <font>
      <b/>
      <sz val="12"/>
      <name val="Tahoma"/>
      <family val="2"/>
    </font>
    <font>
      <sz val="12"/>
      <name val="Tms Rmn"/>
    </font>
    <font>
      <i/>
      <sz val="12"/>
      <name val="Tms Rmn"/>
      <charset val="204"/>
    </font>
    <font>
      <sz val="10"/>
      <name val="Arial Cyr"/>
      <charset val="204"/>
    </font>
    <font>
      <sz val="10"/>
      <name val="Tahoma"/>
      <family val="2"/>
      <charset val="204"/>
    </font>
    <font>
      <i/>
      <sz val="10"/>
      <name val="Tahoma"/>
      <family val="2"/>
      <charset val="204"/>
    </font>
    <font>
      <i/>
      <sz val="9"/>
      <name val="Tahoma"/>
      <family val="2"/>
      <charset val="204"/>
    </font>
    <font>
      <b/>
      <sz val="12"/>
      <name val="Tahoma"/>
      <family val="2"/>
      <charset val="204"/>
    </font>
    <font>
      <b/>
      <i/>
      <sz val="9"/>
      <color indexed="12"/>
      <name val="Tahoma"/>
      <family val="2"/>
      <charset val="204"/>
    </font>
    <font>
      <sz val="9"/>
      <name val="Arial Cyr"/>
      <charset val="204"/>
    </font>
    <font>
      <u/>
      <sz val="9"/>
      <name val="Tahoma"/>
      <family val="2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2"/>
      <name val="Arial"/>
      <family val="2"/>
      <charset val="204"/>
    </font>
    <font>
      <b/>
      <sz val="8"/>
      <name val="Tahoma"/>
      <family val="2"/>
      <charset val="204"/>
    </font>
    <font>
      <sz val="10"/>
      <name val="Times New Roman"/>
      <family val="1"/>
      <charset val="204"/>
    </font>
    <font>
      <sz val="8"/>
      <name val="Arial"/>
      <family val="2"/>
      <charset val="204"/>
    </font>
    <font>
      <sz val="10"/>
      <name val="PragmaticaCTT"/>
      <charset val="204"/>
    </font>
    <font>
      <i/>
      <sz val="10"/>
      <name val="Tahoma"/>
      <family val="2"/>
    </font>
    <font>
      <b/>
      <i/>
      <sz val="9"/>
      <name val="Tahoma"/>
      <family val="2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u/>
      <sz val="9"/>
      <name val="Tahoma"/>
      <family val="2"/>
    </font>
    <font>
      <b/>
      <u/>
      <sz val="9"/>
      <name val="Tahoma"/>
      <family val="2"/>
      <charset val="204"/>
    </font>
    <font>
      <b/>
      <sz val="8"/>
      <name val="Tahoma"/>
      <family val="2"/>
    </font>
    <font>
      <i/>
      <sz val="8"/>
      <name val="Tahoma"/>
      <family val="2"/>
    </font>
    <font>
      <sz val="11"/>
      <name val="Arial"/>
      <family val="2"/>
    </font>
    <font>
      <b/>
      <sz val="10"/>
      <color indexed="81"/>
      <name val="Tahoma"/>
      <family val="2"/>
      <charset val="204"/>
    </font>
    <font>
      <sz val="10"/>
      <color indexed="81"/>
      <name val="Tahoma"/>
      <family val="2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58"/>
      <name val="Calibri"/>
      <family val="2"/>
    </font>
    <font>
      <b/>
      <sz val="15"/>
      <color indexed="57"/>
      <name val="Calibri"/>
      <family val="2"/>
    </font>
    <font>
      <b/>
      <sz val="13"/>
      <color indexed="57"/>
      <name val="Calibri"/>
      <family val="2"/>
    </font>
    <font>
      <b/>
      <sz val="11"/>
      <color indexed="57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10"/>
      <color indexed="8"/>
      <name val="Calibri"/>
      <family val="2"/>
    </font>
    <font>
      <b/>
      <sz val="11"/>
      <color indexed="63"/>
      <name val="Calibri"/>
      <family val="2"/>
    </font>
    <font>
      <b/>
      <sz val="18"/>
      <color indexed="57"/>
      <name val="Cambria"/>
      <family val="2"/>
    </font>
    <font>
      <b/>
      <sz val="11"/>
      <color indexed="8"/>
      <name val="Calibri"/>
      <family val="2"/>
    </font>
    <font>
      <sz val="10"/>
      <name val="Arial"/>
      <family val="2"/>
      <charset val="204"/>
    </font>
    <font>
      <sz val="9"/>
      <name val="Arial Cyr"/>
    </font>
    <font>
      <sz val="8"/>
      <name val="Tahoma"/>
      <family val="2"/>
      <charset val="204"/>
    </font>
    <font>
      <sz val="12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1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20"/>
      <name val="Tahoma"/>
      <family val="2"/>
      <charset val="204"/>
    </font>
    <font>
      <sz val="18"/>
      <name val="Tahoma"/>
      <family val="2"/>
      <charset val="204"/>
    </font>
    <font>
      <b/>
      <sz val="22"/>
      <name val="Tahoma"/>
      <family val="2"/>
    </font>
    <font>
      <b/>
      <sz val="10"/>
      <name val="Arial"/>
      <family val="2"/>
      <charset val="204"/>
    </font>
    <font>
      <sz val="12"/>
      <name val="Arial"/>
      <family val="2"/>
    </font>
    <font>
      <sz val="10"/>
      <name val="Times New Roman Cyr"/>
      <charset val="204"/>
    </font>
    <font>
      <sz val="9"/>
      <name val="Arial"/>
      <family val="2"/>
      <charset val="204"/>
    </font>
    <font>
      <b/>
      <sz val="9"/>
      <name val="Arial"/>
      <family val="2"/>
    </font>
    <font>
      <sz val="10"/>
      <name val="Arial"/>
      <family val="2"/>
      <charset val="204"/>
    </font>
    <font>
      <i/>
      <sz val="8"/>
      <name val="Tahoma"/>
      <family val="2"/>
      <charset val="204"/>
    </font>
    <font>
      <sz val="8"/>
      <name val="Arial Cyr"/>
      <charset val="204"/>
    </font>
    <font>
      <sz val="8"/>
      <color indexed="12"/>
      <name val="Arial Cyr"/>
      <charset val="204"/>
    </font>
    <font>
      <sz val="11"/>
      <color theme="1"/>
      <name val="Calibri"/>
      <family val="2"/>
      <charset val="204"/>
      <scheme val="minor"/>
    </font>
    <font>
      <sz val="10"/>
      <color theme="3" tint="0.39997558519241921"/>
      <name val="Tahoma"/>
      <family val="2"/>
    </font>
    <font>
      <sz val="10"/>
      <color rgb="FF0000FF"/>
      <name val="Tahoma"/>
      <family val="2"/>
    </font>
    <font>
      <sz val="9"/>
      <color rgb="FF0000FF"/>
      <name val="Tahoma"/>
      <family val="2"/>
    </font>
    <font>
      <sz val="10"/>
      <color rgb="FFFF0000"/>
      <name val="Times New Roman"/>
      <family val="1"/>
    </font>
    <font>
      <i/>
      <sz val="10"/>
      <color theme="3" tint="0.59999389629810485"/>
      <name val="Tahoma"/>
      <family val="2"/>
      <charset val="204"/>
    </font>
    <font>
      <i/>
      <sz val="8"/>
      <color theme="3" tint="0.59999389629810485"/>
      <name val="Tahoma"/>
      <family val="2"/>
      <charset val="204"/>
    </font>
    <font>
      <i/>
      <sz val="9"/>
      <color rgb="FF0000FF"/>
      <name val="Tahoma"/>
      <family val="2"/>
      <charset val="204"/>
    </font>
    <font>
      <i/>
      <sz val="10"/>
      <color rgb="FF0000FF"/>
      <name val="Tahoma"/>
      <family val="2"/>
      <charset val="204"/>
    </font>
    <font>
      <sz val="8"/>
      <color theme="0" tint="-0.14999847407452621"/>
      <name val="Tahoma"/>
      <family val="2"/>
      <charset val="204"/>
    </font>
    <font>
      <sz val="9"/>
      <color theme="0"/>
      <name val="Tahoma"/>
      <family val="2"/>
    </font>
    <font>
      <sz val="10"/>
      <color theme="0"/>
      <name val="Tahoma"/>
      <family val="2"/>
    </font>
    <font>
      <sz val="9"/>
      <name val="Cambria"/>
      <family val="1"/>
      <scheme val="major"/>
    </font>
    <font>
      <sz val="11"/>
      <color rgb="FF1F497D"/>
      <name val="Calibri"/>
      <family val="2"/>
      <charset val="204"/>
    </font>
    <font>
      <b/>
      <sz val="10"/>
      <color rgb="FF0000FF"/>
      <name val="Tahoma"/>
      <family val="2"/>
      <charset val="204"/>
    </font>
    <font>
      <b/>
      <sz val="9"/>
      <color rgb="FF0000FF"/>
      <name val="Tahoma"/>
      <family val="2"/>
      <charset val="204"/>
    </font>
    <font>
      <b/>
      <sz val="8"/>
      <color rgb="FF0000FF"/>
      <name val="Tahoma"/>
      <family val="2"/>
      <charset val="204"/>
    </font>
    <font>
      <sz val="10"/>
      <color rgb="FF00B0F0"/>
      <name val="Tahoma"/>
      <family val="2"/>
      <charset val="204"/>
    </font>
    <font>
      <i/>
      <sz val="10"/>
      <color rgb="FF00B0F0"/>
      <name val="Tahoma"/>
      <family val="2"/>
      <charset val="204"/>
    </font>
    <font>
      <b/>
      <sz val="9"/>
      <color rgb="FFFF0000"/>
      <name val="Tahoma"/>
      <family val="2"/>
      <charset val="204"/>
    </font>
    <font>
      <sz val="9"/>
      <color rgb="FFFF0000"/>
      <name val="Tahoma"/>
      <family val="2"/>
      <charset val="204"/>
    </font>
    <font>
      <i/>
      <sz val="9"/>
      <color rgb="FFFF0000"/>
      <name val="Tahoma"/>
      <family val="2"/>
      <charset val="204"/>
    </font>
    <font>
      <i/>
      <sz val="10"/>
      <color rgb="FFFF0000"/>
      <name val="Tahoma"/>
      <family val="2"/>
      <charset val="204"/>
    </font>
    <font>
      <sz val="9"/>
      <color rgb="FFFF0000"/>
      <name val="Tahoma"/>
      <family val="2"/>
    </font>
    <font>
      <b/>
      <sz val="10"/>
      <color rgb="FFFF0000"/>
      <name val="Times New Roman"/>
      <family val="1"/>
    </font>
    <font>
      <sz val="10"/>
      <color rgb="FF0000FF"/>
      <name val="Tahoma"/>
      <family val="2"/>
      <charset val="204"/>
    </font>
    <font>
      <sz val="8"/>
      <color rgb="FF0000FF"/>
      <name val="Tahoma"/>
      <family val="2"/>
      <charset val="204"/>
    </font>
    <font>
      <b/>
      <sz val="8"/>
      <color rgb="FFFF0000"/>
      <name val="Tahoma"/>
      <family val="2"/>
      <charset val="204"/>
    </font>
    <font>
      <b/>
      <sz val="12"/>
      <color rgb="FF0000FF"/>
      <name val="Tahoma"/>
      <family val="2"/>
    </font>
    <font>
      <sz val="12"/>
      <color rgb="FF0000FF"/>
      <name val="Tahoma"/>
      <family val="2"/>
    </font>
    <font>
      <b/>
      <sz val="9"/>
      <color rgb="FF3333FF"/>
      <name val="Tahoma"/>
      <family val="2"/>
      <charset val="204"/>
    </font>
    <font>
      <sz val="9"/>
      <color rgb="FF0066FF"/>
      <name val="Tahoma"/>
      <family val="2"/>
    </font>
    <font>
      <b/>
      <sz val="9"/>
      <color rgb="FF0066FF"/>
      <name val="Tahoma"/>
      <family val="2"/>
    </font>
    <font>
      <sz val="8"/>
      <color rgb="FF0000FF"/>
      <name val="Arial Cyr"/>
      <charset val="204"/>
    </font>
    <font>
      <i/>
      <sz val="10"/>
      <color theme="3" tint="0.39997558519241921"/>
      <name val="Tahoma"/>
      <family val="2"/>
      <charset val="204"/>
    </font>
    <font>
      <sz val="9"/>
      <color theme="3" tint="0.39997558519241921"/>
      <name val="Tahoma"/>
      <family val="2"/>
    </font>
    <font>
      <sz val="6"/>
      <color theme="3" tint="0.39997558519241921"/>
      <name val="Tahoma"/>
      <family val="2"/>
    </font>
    <font>
      <sz val="22"/>
      <color theme="3" tint="0.39997558519241921"/>
      <name val="Tahoma"/>
      <family val="2"/>
    </font>
    <font>
      <b/>
      <u/>
      <sz val="9"/>
      <color theme="3" tint="0.39997558519241921"/>
      <name val="Tahoma"/>
      <family val="2"/>
    </font>
    <font>
      <i/>
      <sz val="9"/>
      <color theme="3" tint="0.39997558519241921"/>
      <name val="Tahoma"/>
      <family val="2"/>
    </font>
    <font>
      <b/>
      <sz val="10"/>
      <color theme="3" tint="0.39997558519241921"/>
      <name val="Tahoma"/>
      <family val="2"/>
    </font>
    <font>
      <b/>
      <sz val="9"/>
      <color theme="3" tint="0.39997558519241921"/>
      <name val="Tahoma"/>
      <family val="2"/>
    </font>
    <font>
      <sz val="12"/>
      <color theme="3" tint="0.39997558519241921"/>
      <name val="Tahoma"/>
      <family val="2"/>
    </font>
    <font>
      <i/>
      <sz val="10"/>
      <color theme="3" tint="0.39997558519241921"/>
      <name val="Tahoma"/>
      <family val="2"/>
    </font>
    <font>
      <b/>
      <sz val="8"/>
      <color theme="3" tint="0.39997558519241921"/>
      <name val="Tahoma"/>
      <family val="2"/>
    </font>
    <font>
      <b/>
      <sz val="9"/>
      <color rgb="FF7030A0"/>
      <name val="Tahoma"/>
      <family val="2"/>
    </font>
    <font>
      <sz val="9"/>
      <color rgb="FF7030A0"/>
      <name val="Tahoma"/>
      <family val="2"/>
    </font>
    <font>
      <sz val="9"/>
      <color rgb="FF7030A0"/>
      <name val="Tahoma"/>
      <family val="2"/>
      <charset val="204"/>
    </font>
    <font>
      <b/>
      <sz val="9"/>
      <color rgb="FF7030A0"/>
      <name val="Tahoma"/>
      <family val="2"/>
      <charset val="204"/>
    </font>
  </fonts>
  <fills count="32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4"/>
      </patternFill>
    </fill>
    <fill>
      <patternFill patternType="solid">
        <fgColor indexed="10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2"/>
        <bgColor indexed="64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7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33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33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33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54">
    <xf numFmtId="0" fontId="0" fillId="0" borderId="0"/>
    <xf numFmtId="0" fontId="38" fillId="0" borderId="0"/>
    <xf numFmtId="0" fontId="38" fillId="0" borderId="0"/>
    <xf numFmtId="0" fontId="7" fillId="0" borderId="0"/>
    <xf numFmtId="0" fontId="7" fillId="0" borderId="0"/>
    <xf numFmtId="0" fontId="7" fillId="0" borderId="0"/>
    <xf numFmtId="0" fontId="86" fillId="2" borderId="0" applyNumberFormat="0" applyBorder="0" applyAlignment="0" applyProtection="0"/>
    <xf numFmtId="0" fontId="86" fillId="3" borderId="0" applyNumberFormat="0" applyBorder="0" applyAlignment="0" applyProtection="0"/>
    <xf numFmtId="0" fontId="86" fillId="4" borderId="0" applyNumberFormat="0" applyBorder="0" applyAlignment="0" applyProtection="0"/>
    <xf numFmtId="0" fontId="86" fillId="5" borderId="0" applyNumberFormat="0" applyBorder="0" applyAlignment="0" applyProtection="0"/>
    <xf numFmtId="0" fontId="86" fillId="6" borderId="0" applyNumberFormat="0" applyBorder="0" applyAlignment="0" applyProtection="0"/>
    <xf numFmtId="0" fontId="86" fillId="4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6" borderId="0" applyNumberFormat="0" applyBorder="0" applyAlignment="0" applyProtection="0"/>
    <xf numFmtId="0" fontId="52" fillId="5" borderId="0" applyNumberFormat="0" applyBorder="0" applyAlignment="0" applyProtection="0"/>
    <xf numFmtId="0" fontId="86" fillId="6" borderId="0" applyNumberFormat="0" applyBorder="0" applyAlignment="0" applyProtection="0"/>
    <xf numFmtId="0" fontId="86" fillId="3" borderId="0" applyNumberFormat="0" applyBorder="0" applyAlignment="0" applyProtection="0"/>
    <xf numFmtId="0" fontId="86" fillId="4" borderId="0" applyNumberFormat="0" applyBorder="0" applyAlignment="0" applyProtection="0"/>
    <xf numFmtId="0" fontId="86" fillId="11" borderId="0" applyNumberFormat="0" applyBorder="0" applyAlignment="0" applyProtection="0"/>
    <xf numFmtId="0" fontId="86" fillId="6" borderId="0" applyNumberFormat="0" applyBorder="0" applyAlignment="0" applyProtection="0"/>
    <xf numFmtId="0" fontId="86" fillId="4" borderId="0" applyNumberFormat="0" applyBorder="0" applyAlignment="0" applyProtection="0"/>
    <xf numFmtId="0" fontId="52" fillId="2" borderId="0" applyNumberFormat="0" applyBorder="0" applyAlignment="0" applyProtection="0"/>
    <xf numFmtId="0" fontId="52" fillId="3" borderId="0" applyNumberFormat="0" applyBorder="0" applyAlignment="0" applyProtection="0"/>
    <xf numFmtId="0" fontId="52" fillId="12" borderId="0" applyNumberFormat="0" applyBorder="0" applyAlignment="0" applyProtection="0"/>
    <xf numFmtId="0" fontId="52" fillId="10" borderId="0" applyNumberFormat="0" applyBorder="0" applyAlignment="0" applyProtection="0"/>
    <xf numFmtId="0" fontId="52" fillId="2" borderId="0" applyNumberFormat="0" applyBorder="0" applyAlignment="0" applyProtection="0"/>
    <xf numFmtId="0" fontId="52" fillId="13" borderId="0" applyNumberFormat="0" applyBorder="0" applyAlignment="0" applyProtection="0"/>
    <xf numFmtId="0" fontId="87" fillId="6" borderId="0" applyNumberFormat="0" applyBorder="0" applyAlignment="0" applyProtection="0"/>
    <xf numFmtId="0" fontId="87" fillId="3" borderId="0" applyNumberFormat="0" applyBorder="0" applyAlignment="0" applyProtection="0"/>
    <xf numFmtId="0" fontId="87" fillId="13" borderId="0" applyNumberFormat="0" applyBorder="0" applyAlignment="0" applyProtection="0"/>
    <xf numFmtId="0" fontId="87" fillId="11" borderId="0" applyNumberFormat="0" applyBorder="0" applyAlignment="0" applyProtection="0"/>
    <xf numFmtId="0" fontId="87" fillId="6" borderId="0" applyNumberFormat="0" applyBorder="0" applyAlignment="0" applyProtection="0"/>
    <xf numFmtId="0" fontId="87" fillId="3" borderId="0" applyNumberFormat="0" applyBorder="0" applyAlignment="0" applyProtection="0"/>
    <xf numFmtId="0" fontId="53" fillId="14" borderId="0" applyNumberFormat="0" applyBorder="0" applyAlignment="0" applyProtection="0"/>
    <xf numFmtId="0" fontId="53" fillId="3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87" fillId="16" borderId="0" applyNumberFormat="0" applyBorder="0" applyAlignment="0" applyProtection="0"/>
    <xf numFmtId="0" fontId="87" fillId="17" borderId="0" applyNumberFormat="0" applyBorder="0" applyAlignment="0" applyProtection="0"/>
    <xf numFmtId="0" fontId="87" fillId="13" borderId="0" applyNumberFormat="0" applyBorder="0" applyAlignment="0" applyProtection="0"/>
    <xf numFmtId="0" fontId="87" fillId="18" borderId="0" applyNumberFormat="0" applyBorder="0" applyAlignment="0" applyProtection="0"/>
    <xf numFmtId="0" fontId="87" fillId="16" borderId="0" applyNumberFormat="0" applyBorder="0" applyAlignment="0" applyProtection="0"/>
    <xf numFmtId="0" fontId="87" fillId="19" borderId="0" applyNumberFormat="0" applyBorder="0" applyAlignment="0" applyProtection="0"/>
    <xf numFmtId="0" fontId="88" fillId="8" borderId="0" applyNumberFormat="0" applyBorder="0" applyAlignment="0" applyProtection="0"/>
    <xf numFmtId="0" fontId="89" fillId="20" borderId="2" applyNumberFormat="0" applyAlignment="0" applyProtection="0"/>
    <xf numFmtId="0" fontId="90" fillId="21" borderId="3" applyNumberFormat="0" applyAlignment="0" applyProtection="0"/>
    <xf numFmtId="209" fontId="117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216" fontId="83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6" borderId="0" applyNumberFormat="0" applyBorder="0" applyAlignment="0" applyProtection="0"/>
    <xf numFmtId="168" fontId="8" fillId="22" borderId="4" applyNumberFormat="0" applyFont="0" applyBorder="0" applyAlignment="0" applyProtection="0"/>
    <xf numFmtId="174" fontId="9" fillId="22" borderId="0" applyNumberFormat="0" applyFont="0" applyAlignment="0"/>
    <xf numFmtId="0" fontId="93" fillId="0" borderId="5" applyNumberFormat="0" applyFill="0" applyAlignment="0" applyProtection="0"/>
    <xf numFmtId="0" fontId="94" fillId="0" borderId="6" applyNumberFormat="0" applyFill="0" applyAlignment="0" applyProtection="0"/>
    <xf numFmtId="0" fontId="95" fillId="0" borderId="7" applyNumberFormat="0" applyFill="0" applyAlignment="0" applyProtection="0"/>
    <xf numFmtId="0" fontId="95" fillId="0" borderId="0" applyNumberFormat="0" applyFill="0" applyBorder="0" applyAlignment="0" applyProtection="0"/>
    <xf numFmtId="0" fontId="96" fillId="3" borderId="2" applyNumberFormat="0" applyAlignment="0" applyProtection="0"/>
    <xf numFmtId="0" fontId="1" fillId="0" borderId="8" applyFont="0" applyFill="0" applyBorder="0" applyAlignment="0" applyProtection="0"/>
    <xf numFmtId="0" fontId="7" fillId="0" borderId="8" applyFont="0" applyFill="0" applyBorder="0" applyAlignment="0" applyProtection="0"/>
    <xf numFmtId="0" fontId="97" fillId="0" borderId="9" applyNumberFormat="0" applyFill="0" applyAlignment="0" applyProtection="0"/>
    <xf numFmtId="199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0" fontId="98" fillId="23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99" fillId="0" borderId="0"/>
    <xf numFmtId="0" fontId="83" fillId="0" borderId="0"/>
    <xf numFmtId="0" fontId="103" fillId="0" borderId="0">
      <alignment wrapText="1"/>
    </xf>
    <xf numFmtId="0" fontId="44" fillId="0" borderId="0"/>
    <xf numFmtId="0" fontId="38" fillId="0" borderId="0"/>
    <xf numFmtId="0" fontId="7" fillId="0" borderId="0"/>
    <xf numFmtId="0" fontId="7" fillId="4" borderId="10" applyNumberFormat="0" applyFont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100" fillId="20" borderId="11" applyNumberFormat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03" fillId="0" borderId="0" applyFont="0" applyFill="0" applyBorder="0" applyAlignment="0" applyProtection="0"/>
    <xf numFmtId="197" fontId="43" fillId="0" borderId="12" applyBorder="0">
      <alignment horizontal="right"/>
      <protection locked="0"/>
    </xf>
    <xf numFmtId="9" fontId="44" fillId="0" borderId="0" applyFont="0" applyFill="0" applyBorder="0" applyAlignment="0" applyProtection="0"/>
    <xf numFmtId="38" fontId="44" fillId="0" borderId="0"/>
    <xf numFmtId="0" fontId="101" fillId="0" borderId="0" applyNumberFormat="0" applyFill="0" applyBorder="0" applyAlignment="0" applyProtection="0"/>
    <xf numFmtId="0" fontId="102" fillId="0" borderId="13" applyNumberFormat="0" applyFill="0" applyAlignment="0" applyProtection="0"/>
    <xf numFmtId="38" fontId="44" fillId="0" borderId="0" applyFont="0" applyFill="0" applyBorder="0" applyAlignment="0" applyProtection="0"/>
    <xf numFmtId="40" fontId="44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53" fillId="24" borderId="0" applyNumberFormat="0" applyBorder="0" applyAlignment="0" applyProtection="0"/>
    <xf numFmtId="0" fontId="53" fillId="19" borderId="0" applyNumberFormat="0" applyBorder="0" applyAlignment="0" applyProtection="0"/>
    <xf numFmtId="0" fontId="53" fillId="25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6" borderId="0" applyNumberFormat="0" applyBorder="0" applyAlignment="0" applyProtection="0"/>
    <xf numFmtId="0" fontId="54" fillId="5" borderId="2" applyNumberFormat="0" applyAlignment="0" applyProtection="0"/>
    <xf numFmtId="0" fontId="55" fillId="11" borderId="11" applyNumberFormat="0" applyAlignment="0" applyProtection="0"/>
    <xf numFmtId="0" fontId="56" fillId="11" borderId="2" applyNumberFormat="0" applyAlignment="0" applyProtection="0"/>
    <xf numFmtId="0" fontId="57" fillId="0" borderId="14" applyNumberFormat="0" applyFill="0" applyAlignment="0" applyProtection="0"/>
    <xf numFmtId="0" fontId="58" fillId="0" borderId="15" applyNumberFormat="0" applyFill="0" applyAlignment="0" applyProtection="0"/>
    <xf numFmtId="0" fontId="59" fillId="0" borderId="16" applyNumberFormat="0" applyFill="0" applyAlignment="0" applyProtection="0"/>
    <xf numFmtId="0" fontId="59" fillId="0" borderId="0" applyNumberFormat="0" applyFill="0" applyBorder="0" applyAlignment="0" applyProtection="0"/>
    <xf numFmtId="0" fontId="60" fillId="0" borderId="17" applyNumberFormat="0" applyFill="0" applyAlignment="0" applyProtection="0"/>
    <xf numFmtId="0" fontId="61" fillId="21" borderId="3" applyNumberFormat="0" applyAlignment="0" applyProtection="0"/>
    <xf numFmtId="0" fontId="62" fillId="0" borderId="0" applyNumberFormat="0" applyFill="0" applyBorder="0" applyAlignment="0" applyProtection="0"/>
    <xf numFmtId="0" fontId="63" fillId="23" borderId="0" applyNumberFormat="0" applyBorder="0" applyAlignment="0" applyProtection="0"/>
    <xf numFmtId="0" fontId="7" fillId="0" borderId="0"/>
    <xf numFmtId="0" fontId="7" fillId="0" borderId="0"/>
    <xf numFmtId="0" fontId="72" fillId="0" borderId="0">
      <alignment horizontal="left"/>
    </xf>
    <xf numFmtId="0" fontId="7" fillId="0" borderId="0"/>
    <xf numFmtId="0" fontId="7" fillId="0" borderId="0"/>
    <xf numFmtId="0" fontId="1" fillId="0" borderId="0"/>
    <xf numFmtId="0" fontId="7" fillId="0" borderId="0"/>
    <xf numFmtId="0" fontId="31" fillId="0" borderId="0"/>
    <xf numFmtId="0" fontId="7" fillId="0" borderId="0"/>
    <xf numFmtId="0" fontId="103" fillId="0" borderId="0"/>
    <xf numFmtId="0" fontId="44" fillId="0" borderId="0"/>
    <xf numFmtId="0" fontId="38" fillId="0" borderId="0"/>
    <xf numFmtId="0" fontId="64" fillId="8" borderId="0" applyNumberFormat="0" applyBorder="0" applyAlignment="0" applyProtection="0"/>
    <xf numFmtId="0" fontId="65" fillId="0" borderId="0" applyNumberFormat="0" applyFill="0" applyBorder="0" applyAlignment="0" applyProtection="0"/>
    <xf numFmtId="0" fontId="44" fillId="4" borderId="10" applyNumberFormat="0" applyFont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24" fillId="0" borderId="0" applyFont="0" applyFill="0" applyBorder="0" applyAlignment="0" applyProtection="0"/>
    <xf numFmtId="0" fontId="66" fillId="0" borderId="18" applyNumberFormat="0" applyFill="0" applyAlignment="0" applyProtection="0"/>
    <xf numFmtId="0" fontId="73" fillId="0" borderId="0"/>
    <xf numFmtId="0" fontId="67" fillId="0" borderId="0" applyNumberFormat="0" applyFill="0" applyBorder="0" applyAlignment="0" applyProtection="0"/>
    <xf numFmtId="16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166" fontId="8" fillId="0" borderId="0" applyFont="0" applyFill="0" applyBorder="0" applyAlignment="0" applyProtection="0"/>
    <xf numFmtId="209" fontId="7" fillId="0" borderId="0" applyFont="0" applyFill="0" applyBorder="0" applyAlignment="0" applyProtection="0"/>
    <xf numFmtId="20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7" fontId="103" fillId="0" borderId="0" applyFont="0" applyFill="0" applyBorder="0" applyAlignment="0" applyProtection="0"/>
    <xf numFmtId="0" fontId="68" fillId="9" borderId="0" applyNumberFormat="0" applyBorder="0" applyAlignment="0" applyProtection="0"/>
  </cellStyleXfs>
  <cellXfs count="1992">
    <xf numFmtId="0" fontId="0" fillId="0" borderId="0" xfId="0"/>
    <xf numFmtId="0" fontId="2" fillId="0" borderId="0" xfId="0" applyFont="1" applyFill="1"/>
    <xf numFmtId="0" fontId="2" fillId="0" borderId="0" xfId="0" applyFont="1" applyFill="1" applyBorder="1"/>
    <xf numFmtId="0" fontId="2" fillId="0" borderId="0" xfId="0" applyFont="1" applyFill="1" applyAlignment="1"/>
    <xf numFmtId="0" fontId="11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right"/>
    </xf>
    <xf numFmtId="178" fontId="2" fillId="0" borderId="0" xfId="144" applyNumberFormat="1" applyFont="1" applyFill="1" applyAlignment="1"/>
    <xf numFmtId="0" fontId="2" fillId="0" borderId="19" xfId="0" applyFont="1" applyFill="1" applyBorder="1" applyAlignment="1"/>
    <xf numFmtId="0" fontId="4" fillId="0" borderId="20" xfId="0" applyFont="1" applyFill="1" applyBorder="1" applyAlignment="1">
      <alignment horizontal="right"/>
    </xf>
    <xf numFmtId="0" fontId="6" fillId="0" borderId="0" xfId="0" applyFont="1" applyFill="1" applyAlignment="1">
      <alignment horizontal="center"/>
    </xf>
    <xf numFmtId="0" fontId="6" fillId="0" borderId="0" xfId="0" applyFont="1" applyFill="1" applyBorder="1" applyAlignment="1"/>
    <xf numFmtId="0" fontId="6" fillId="0" borderId="0" xfId="0" applyFont="1" applyFill="1" applyBorder="1"/>
    <xf numFmtId="37" fontId="4" fillId="0" borderId="0" xfId="0" applyNumberFormat="1" applyFont="1" applyFill="1" applyBorder="1" applyAlignment="1">
      <alignment horizontal="right"/>
    </xf>
    <xf numFmtId="0" fontId="6" fillId="0" borderId="20" xfId="0" applyFont="1" applyFill="1" applyBorder="1" applyAlignment="1"/>
    <xf numFmtId="0" fontId="6" fillId="0" borderId="0" xfId="0" applyFont="1" applyFill="1"/>
    <xf numFmtId="168" fontId="6" fillId="0" borderId="0" xfId="133" applyNumberFormat="1" applyFont="1" applyFill="1" applyBorder="1" applyAlignment="1">
      <alignment horizontal="right"/>
    </xf>
    <xf numFmtId="168" fontId="6" fillId="0" borderId="0" xfId="133" applyNumberFormat="1" applyFont="1" applyFill="1" applyBorder="1" applyAlignment="1"/>
    <xf numFmtId="170" fontId="2" fillId="0" borderId="0" xfId="0" applyNumberFormat="1" applyFont="1" applyFill="1" applyBorder="1"/>
    <xf numFmtId="0" fontId="6" fillId="0" borderId="0" xfId="0" applyFont="1" applyFill="1" applyBorder="1" applyAlignment="1">
      <alignment horizontal="right"/>
    </xf>
    <xf numFmtId="171" fontId="6" fillId="0" borderId="0" xfId="0" applyNumberFormat="1" applyFont="1" applyFill="1" applyBorder="1"/>
    <xf numFmtId="0" fontId="3" fillId="0" borderId="0" xfId="0" applyFont="1" applyFill="1"/>
    <xf numFmtId="0" fontId="6" fillId="0" borderId="0" xfId="0" applyFont="1" applyFill="1" applyBorder="1" applyAlignment="1">
      <alignment horizontal="center"/>
    </xf>
    <xf numFmtId="0" fontId="11" fillId="0" borderId="21" xfId="0" applyFont="1" applyFill="1" applyBorder="1" applyAlignment="1"/>
    <xf numFmtId="0" fontId="11" fillId="0" borderId="21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left"/>
    </xf>
    <xf numFmtId="168" fontId="6" fillId="0" borderId="0" xfId="0" applyNumberFormat="1" applyFont="1" applyFill="1" applyBorder="1" applyAlignment="1">
      <alignment horizontal="right"/>
    </xf>
    <xf numFmtId="171" fontId="6" fillId="0" borderId="0" xfId="126" applyNumberFormat="1" applyFont="1" applyFill="1" applyAlignment="1"/>
    <xf numFmtId="0" fontId="2" fillId="0" borderId="20" xfId="0" applyFont="1" applyFill="1" applyBorder="1"/>
    <xf numFmtId="171" fontId="6" fillId="0" borderId="0" xfId="126" applyNumberFormat="1" applyFont="1" applyFill="1" applyBorder="1" applyAlignment="1"/>
    <xf numFmtId="187" fontId="6" fillId="0" borderId="0" xfId="0" applyNumberFormat="1" applyFont="1" applyFill="1" applyBorder="1" applyAlignment="1">
      <alignment horizontal="right"/>
    </xf>
    <xf numFmtId="0" fontId="6" fillId="0" borderId="20" xfId="0" applyFont="1" applyFill="1" applyBorder="1" applyAlignment="1">
      <alignment horizontal="right"/>
    </xf>
    <xf numFmtId="0" fontId="3" fillId="0" borderId="20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 indent="2"/>
    </xf>
    <xf numFmtId="187" fontId="6" fillId="0" borderId="0" xfId="0" applyNumberFormat="1" applyFont="1" applyFill="1" applyBorder="1"/>
    <xf numFmtId="190" fontId="2" fillId="0" borderId="0" xfId="0" applyNumberFormat="1" applyFont="1" applyFill="1" applyBorder="1" applyAlignment="1"/>
    <xf numFmtId="187" fontId="6" fillId="0" borderId="0" xfId="0" applyNumberFormat="1" applyFont="1" applyFill="1" applyBorder="1" applyAlignment="1">
      <alignment horizontal="left"/>
    </xf>
    <xf numFmtId="0" fontId="4" fillId="0" borderId="20" xfId="0" applyFont="1" applyFill="1" applyBorder="1" applyAlignment="1">
      <alignment horizontal="left"/>
    </xf>
    <xf numFmtId="0" fontId="2" fillId="0" borderId="0" xfId="126" applyFont="1" applyFill="1" applyAlignment="1"/>
    <xf numFmtId="189" fontId="4" fillId="0" borderId="19" xfId="0" applyNumberFormat="1" applyFont="1" applyFill="1" applyBorder="1" applyAlignment="1">
      <alignment horizontal="right"/>
    </xf>
    <xf numFmtId="193" fontId="4" fillId="0" borderId="0" xfId="0" applyNumberFormat="1" applyFont="1" applyFill="1" applyBorder="1" applyAlignment="1">
      <alignment horizontal="right"/>
    </xf>
    <xf numFmtId="0" fontId="6" fillId="0" borderId="0" xfId="125" applyFont="1" applyFill="1" applyBorder="1"/>
    <xf numFmtId="0" fontId="4" fillId="0" borderId="0" xfId="125" applyFont="1" applyFill="1" applyBorder="1"/>
    <xf numFmtId="0" fontId="6" fillId="0" borderId="0" xfId="125" applyFont="1" applyFill="1"/>
    <xf numFmtId="0" fontId="6" fillId="0" borderId="0" xfId="126" applyFont="1" applyFill="1" applyAlignment="1"/>
    <xf numFmtId="9" fontId="6" fillId="0" borderId="0" xfId="133" applyFont="1" applyFill="1" applyBorder="1"/>
    <xf numFmtId="0" fontId="10" fillId="0" borderId="0" xfId="0" applyFont="1" applyFill="1" applyBorder="1" applyAlignment="1">
      <alignment horizontal="left"/>
    </xf>
    <xf numFmtId="0" fontId="2" fillId="0" borderId="0" xfId="0" applyFont="1" applyFill="1" applyAlignment="1">
      <alignment horizontal="left"/>
    </xf>
    <xf numFmtId="171" fontId="6" fillId="0" borderId="0" xfId="0" applyNumberFormat="1" applyFont="1" applyFill="1"/>
    <xf numFmtId="171" fontId="2" fillId="0" borderId="0" xfId="0" applyNumberFormat="1" applyFont="1" applyFill="1"/>
    <xf numFmtId="0" fontId="6" fillId="0" borderId="0" xfId="125" applyFont="1" applyFill="1" applyBorder="1" applyAlignment="1">
      <alignment horizontal="left"/>
    </xf>
    <xf numFmtId="0" fontId="4" fillId="0" borderId="0" xfId="0" applyFont="1" applyFill="1" applyBorder="1" applyAlignment="1">
      <alignment horizontal="center"/>
    </xf>
    <xf numFmtId="187" fontId="39" fillId="0" borderId="0" xfId="0" applyNumberFormat="1" applyFont="1" applyFill="1" applyBorder="1" applyAlignment="1">
      <alignment horizontal="right"/>
    </xf>
    <xf numFmtId="0" fontId="39" fillId="0" borderId="0" xfId="0" applyFont="1" applyFill="1" applyBorder="1"/>
    <xf numFmtId="171" fontId="6" fillId="0" borderId="0" xfId="0" applyNumberFormat="1" applyFont="1" applyFill="1" applyAlignment="1">
      <alignment horizontal="center"/>
    </xf>
    <xf numFmtId="0" fontId="4" fillId="0" borderId="0" xfId="0" applyFont="1" applyFill="1"/>
    <xf numFmtId="187" fontId="4" fillId="0" borderId="0" xfId="0" applyNumberFormat="1" applyFont="1" applyFill="1" applyBorder="1" applyAlignment="1">
      <alignment horizontal="right"/>
    </xf>
    <xf numFmtId="0" fontId="6" fillId="0" borderId="0" xfId="125" applyFont="1" applyFill="1" applyBorder="1" applyAlignment="1">
      <alignment horizontal="left" indent="4"/>
    </xf>
    <xf numFmtId="0" fontId="4" fillId="0" borderId="0" xfId="125" applyFont="1" applyFill="1" applyBorder="1" applyAlignment="1">
      <alignment horizontal="left"/>
    </xf>
    <xf numFmtId="9" fontId="4" fillId="0" borderId="0" xfId="133" applyFont="1" applyFill="1" applyBorder="1"/>
    <xf numFmtId="9" fontId="6" fillId="0" borderId="0" xfId="133" applyFont="1" applyFill="1" applyBorder="1" applyAlignment="1">
      <alignment horizontal="right"/>
    </xf>
    <xf numFmtId="0" fontId="40" fillId="0" borderId="0" xfId="0" applyFont="1" applyFill="1" applyBorder="1"/>
    <xf numFmtId="168" fontId="6" fillId="0" borderId="0" xfId="126" applyNumberFormat="1" applyFont="1" applyFill="1" applyAlignment="1"/>
    <xf numFmtId="168" fontId="2" fillId="0" borderId="0" xfId="0" applyNumberFormat="1" applyFont="1" applyFill="1" applyAlignment="1">
      <alignment horizontal="left"/>
    </xf>
    <xf numFmtId="168" fontId="6" fillId="0" borderId="0" xfId="125" applyNumberFormat="1" applyFont="1" applyFill="1" applyBorder="1" applyAlignment="1">
      <alignment horizontal="left"/>
    </xf>
    <xf numFmtId="168" fontId="6" fillId="0" borderId="0" xfId="0" applyNumberFormat="1" applyFont="1" applyFill="1" applyBorder="1"/>
    <xf numFmtId="168" fontId="2" fillId="0" borderId="0" xfId="0" applyNumberFormat="1" applyFont="1" applyFill="1" applyBorder="1"/>
    <xf numFmtId="1" fontId="6" fillId="0" borderId="0" xfId="133" applyNumberFormat="1" applyFont="1" applyFill="1" applyBorder="1" applyAlignment="1">
      <alignment horizontal="right"/>
    </xf>
    <xf numFmtId="3" fontId="6" fillId="0" borderId="0" xfId="133" applyNumberFormat="1" applyFont="1" applyFill="1" applyBorder="1" applyAlignment="1">
      <alignment horizontal="right"/>
    </xf>
    <xf numFmtId="3" fontId="6" fillId="0" borderId="0" xfId="0" applyNumberFormat="1" applyFont="1" applyFill="1" applyBorder="1"/>
    <xf numFmtId="3" fontId="2" fillId="0" borderId="0" xfId="0" applyNumberFormat="1" applyFont="1" applyFill="1" applyBorder="1"/>
    <xf numFmtId="3" fontId="6" fillId="0" borderId="0" xfId="0" applyNumberFormat="1" applyFont="1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211" fontId="4" fillId="0" borderId="19" xfId="0" applyNumberFormat="1" applyFont="1" applyFill="1" applyBorder="1" applyAlignment="1">
      <alignment horizontal="right"/>
    </xf>
    <xf numFmtId="171" fontId="6" fillId="27" borderId="0" xfId="0" applyNumberFormat="1" applyFont="1" applyFill="1"/>
    <xf numFmtId="0" fontId="2" fillId="27" borderId="0" xfId="0" applyFont="1" applyFill="1"/>
    <xf numFmtId="0" fontId="6" fillId="27" borderId="0" xfId="0" applyFont="1" applyFill="1"/>
    <xf numFmtId="9" fontId="6" fillId="27" borderId="0" xfId="133" applyFont="1" applyFill="1" applyBorder="1" applyAlignment="1">
      <alignment horizontal="right"/>
    </xf>
    <xf numFmtId="171" fontId="6" fillId="27" borderId="0" xfId="133" applyNumberFormat="1" applyFont="1" applyFill="1" applyBorder="1" applyAlignment="1"/>
    <xf numFmtId="187" fontId="6" fillId="27" borderId="0" xfId="133" applyNumberFormat="1" applyFont="1" applyFill="1" applyBorder="1" applyAlignment="1">
      <alignment horizontal="right"/>
    </xf>
    <xf numFmtId="171" fontId="6" fillId="27" borderId="0" xfId="0" applyNumberFormat="1" applyFont="1" applyFill="1" applyBorder="1" applyAlignment="1"/>
    <xf numFmtId="0" fontId="2" fillId="27" borderId="0" xfId="0" applyFont="1" applyFill="1" applyBorder="1"/>
    <xf numFmtId="171" fontId="6" fillId="27" borderId="0" xfId="0" applyNumberFormat="1" applyFont="1" applyFill="1" applyBorder="1" applyAlignment="1">
      <alignment horizontal="right"/>
    </xf>
    <xf numFmtId="168" fontId="6" fillId="27" borderId="0" xfId="133" applyNumberFormat="1" applyFont="1" applyFill="1" applyBorder="1" applyAlignment="1"/>
    <xf numFmtId="168" fontId="6" fillId="27" borderId="0" xfId="0" applyNumberFormat="1" applyFont="1" applyFill="1" applyBorder="1" applyAlignment="1"/>
    <xf numFmtId="171" fontId="18" fillId="27" borderId="0" xfId="133" applyNumberFormat="1" applyFont="1" applyFill="1" applyBorder="1" applyAlignment="1"/>
    <xf numFmtId="10" fontId="6" fillId="27" borderId="0" xfId="133" applyNumberFormat="1" applyFont="1" applyFill="1" applyBorder="1" applyAlignment="1"/>
    <xf numFmtId="171" fontId="6" fillId="27" borderId="0" xfId="0" applyNumberFormat="1" applyFont="1" applyFill="1" applyBorder="1"/>
    <xf numFmtId="0" fontId="6" fillId="27" borderId="0" xfId="0" applyFont="1" applyFill="1" applyBorder="1" applyAlignment="1">
      <alignment horizontal="center"/>
    </xf>
    <xf numFmtId="0" fontId="2" fillId="27" borderId="21" xfId="0" applyFont="1" applyFill="1" applyBorder="1"/>
    <xf numFmtId="187" fontId="6" fillId="27" borderId="0" xfId="0" applyNumberFormat="1" applyFont="1" applyFill="1" applyBorder="1"/>
    <xf numFmtId="187" fontId="6" fillId="27" borderId="0" xfId="0" applyNumberFormat="1" applyFont="1" applyFill="1" applyBorder="1" applyAlignment="1">
      <alignment horizontal="right"/>
    </xf>
    <xf numFmtId="189" fontId="4" fillId="27" borderId="19" xfId="0" applyNumberFormat="1" applyFont="1" applyFill="1" applyBorder="1" applyAlignment="1">
      <alignment horizontal="right"/>
    </xf>
    <xf numFmtId="193" fontId="4" fillId="27" borderId="0" xfId="0" applyNumberFormat="1" applyFont="1" applyFill="1" applyBorder="1" applyAlignment="1">
      <alignment horizontal="right"/>
    </xf>
    <xf numFmtId="37" fontId="4" fillId="27" borderId="20" xfId="0" applyNumberFormat="1" applyFont="1" applyFill="1" applyBorder="1" applyAlignment="1">
      <alignment horizontal="right"/>
    </xf>
    <xf numFmtId="0" fontId="4" fillId="27" borderId="0" xfId="0" applyFont="1" applyFill="1" applyBorder="1" applyAlignment="1">
      <alignment horizontal="left"/>
    </xf>
    <xf numFmtId="37" fontId="4" fillId="27" borderId="0" xfId="0" applyNumberFormat="1" applyFont="1" applyFill="1" applyBorder="1" applyAlignment="1">
      <alignment horizontal="right"/>
    </xf>
    <xf numFmtId="171" fontId="2" fillId="27" borderId="0" xfId="0" applyNumberFormat="1" applyFont="1" applyFill="1"/>
    <xf numFmtId="37" fontId="2" fillId="27" borderId="21" xfId="0" applyNumberFormat="1" applyFont="1" applyFill="1" applyBorder="1"/>
    <xf numFmtId="189" fontId="4" fillId="27" borderId="20" xfId="0" applyNumberFormat="1" applyFont="1" applyFill="1" applyBorder="1" applyAlignment="1">
      <alignment horizontal="right"/>
    </xf>
    <xf numFmtId="0" fontId="6" fillId="27" borderId="0" xfId="0" applyFont="1" applyFill="1" applyBorder="1"/>
    <xf numFmtId="172" fontId="6" fillId="27" borderId="0" xfId="0" applyNumberFormat="1" applyFont="1" applyFill="1"/>
    <xf numFmtId="0" fontId="2" fillId="27" borderId="0" xfId="0" applyFont="1" applyFill="1" applyAlignment="1"/>
    <xf numFmtId="170" fontId="2" fillId="27" borderId="0" xfId="0" applyNumberFormat="1" applyFont="1" applyFill="1"/>
    <xf numFmtId="0" fontId="11" fillId="27" borderId="21" xfId="0" applyFont="1" applyFill="1" applyBorder="1" applyAlignment="1"/>
    <xf numFmtId="170" fontId="2" fillId="27" borderId="20" xfId="0" applyNumberFormat="1" applyFont="1" applyFill="1" applyBorder="1"/>
    <xf numFmtId="0" fontId="2" fillId="27" borderId="19" xfId="0" applyFont="1" applyFill="1" applyBorder="1" applyAlignment="1"/>
    <xf numFmtId="0" fontId="6" fillId="27" borderId="19" xfId="0" applyFont="1" applyFill="1" applyBorder="1" applyAlignment="1"/>
    <xf numFmtId="187" fontId="6" fillId="27" borderId="0" xfId="0" applyNumberFormat="1" applyFont="1" applyFill="1" applyBorder="1" applyAlignment="1"/>
    <xf numFmtId="187" fontId="6" fillId="27" borderId="0" xfId="133" applyNumberFormat="1" applyFont="1" applyFill="1" applyBorder="1" applyAlignment="1"/>
    <xf numFmtId="0" fontId="6" fillId="27" borderId="0" xfId="0" applyFont="1" applyFill="1" applyBorder="1" applyAlignment="1"/>
    <xf numFmtId="0" fontId="6" fillId="27" borderId="0" xfId="0" applyFont="1" applyFill="1" applyAlignment="1"/>
    <xf numFmtId="0" fontId="4" fillId="27" borderId="20" xfId="0" applyFont="1" applyFill="1" applyBorder="1" applyAlignment="1">
      <alignment horizontal="right"/>
    </xf>
    <xf numFmtId="171" fontId="6" fillId="27" borderId="19" xfId="0" applyNumberFormat="1" applyFont="1" applyFill="1" applyBorder="1" applyAlignment="1"/>
    <xf numFmtId="0" fontId="6" fillId="27" borderId="0" xfId="0" applyFont="1" applyFill="1" applyBorder="1" applyAlignment="1">
      <alignment horizontal="right"/>
    </xf>
    <xf numFmtId="171" fontId="6" fillId="27" borderId="20" xfId="0" applyNumberFormat="1" applyFont="1" applyFill="1" applyBorder="1" applyAlignment="1"/>
    <xf numFmtId="2" fontId="6" fillId="27" borderId="0" xfId="0" applyNumberFormat="1" applyFont="1" applyFill="1" applyAlignment="1"/>
    <xf numFmtId="0" fontId="2" fillId="27" borderId="0" xfId="0" applyFont="1" applyFill="1" applyBorder="1" applyAlignment="1"/>
    <xf numFmtId="0" fontId="2" fillId="27" borderId="0" xfId="0" applyFont="1" applyFill="1" applyBorder="1" applyAlignment="1">
      <alignment horizontal="right"/>
    </xf>
    <xf numFmtId="168" fontId="6" fillId="27" borderId="19" xfId="133" applyNumberFormat="1" applyFont="1" applyFill="1" applyBorder="1" applyAlignment="1"/>
    <xf numFmtId="187" fontId="6" fillId="27" borderId="20" xfId="0" applyNumberFormat="1" applyFont="1" applyFill="1" applyBorder="1" applyAlignment="1"/>
    <xf numFmtId="0" fontId="2" fillId="27" borderId="0" xfId="0" applyFont="1" applyFill="1" applyAlignment="1">
      <alignment horizontal="right"/>
    </xf>
    <xf numFmtId="185" fontId="4" fillId="27" borderId="0" xfId="0" applyNumberFormat="1" applyFont="1" applyFill="1" applyBorder="1" applyAlignment="1">
      <alignment horizontal="right"/>
    </xf>
    <xf numFmtId="168" fontId="6" fillId="27" borderId="0" xfId="0" applyNumberFormat="1" applyFont="1" applyFill="1" applyBorder="1" applyAlignment="1">
      <alignment horizontal="right"/>
    </xf>
    <xf numFmtId="37" fontId="6" fillId="27" borderId="19" xfId="0" applyNumberFormat="1" applyFont="1" applyFill="1" applyBorder="1" applyAlignment="1"/>
    <xf numFmtId="9" fontId="6" fillId="27" borderId="0" xfId="133" applyFont="1" applyFill="1" applyBorder="1" applyAlignment="1"/>
    <xf numFmtId="171" fontId="6" fillId="27" borderId="0" xfId="0" applyNumberFormat="1" applyFont="1" applyFill="1" applyAlignment="1"/>
    <xf numFmtId="168" fontId="6" fillId="27" borderId="0" xfId="133" applyNumberFormat="1" applyFont="1" applyFill="1" applyAlignment="1"/>
    <xf numFmtId="0" fontId="6" fillId="27" borderId="0" xfId="0" applyFont="1" applyFill="1" applyAlignment="1">
      <alignment horizontal="right"/>
    </xf>
    <xf numFmtId="192" fontId="6" fillId="27" borderId="0" xfId="144" applyNumberFormat="1" applyFont="1" applyFill="1" applyBorder="1" applyAlignment="1"/>
    <xf numFmtId="37" fontId="6" fillId="27" borderId="0" xfId="144" applyNumberFormat="1" applyFont="1" applyFill="1" applyBorder="1" applyAlignment="1"/>
    <xf numFmtId="37" fontId="6" fillId="27" borderId="0" xfId="0" applyNumberFormat="1" applyFont="1" applyFill="1" applyBorder="1" applyAlignment="1"/>
    <xf numFmtId="37" fontId="6" fillId="27" borderId="0" xfId="0" applyNumberFormat="1" applyFont="1" applyFill="1" applyAlignment="1"/>
    <xf numFmtId="168" fontId="6" fillId="27" borderId="0" xfId="133" applyNumberFormat="1" applyFont="1" applyFill="1" applyBorder="1" applyAlignment="1">
      <alignment horizontal="right"/>
    </xf>
    <xf numFmtId="10" fontId="6" fillId="27" borderId="0" xfId="0" applyNumberFormat="1" applyFont="1" applyFill="1" applyBorder="1" applyAlignment="1">
      <alignment horizontal="right"/>
    </xf>
    <xf numFmtId="187" fontId="6" fillId="27" borderId="0" xfId="0" applyNumberFormat="1" applyFont="1" applyFill="1" applyBorder="1" applyAlignment="1">
      <alignment horizontal="left"/>
    </xf>
    <xf numFmtId="211" fontId="4" fillId="27" borderId="19" xfId="0" applyNumberFormat="1" applyFont="1" applyFill="1" applyBorder="1" applyAlignment="1">
      <alignment horizontal="right"/>
    </xf>
    <xf numFmtId="170" fontId="2" fillId="27" borderId="0" xfId="0" applyNumberFormat="1" applyFont="1" applyFill="1" applyAlignment="1">
      <alignment horizontal="right"/>
    </xf>
    <xf numFmtId="170" fontId="2" fillId="27" borderId="20" xfId="0" applyNumberFormat="1" applyFont="1" applyFill="1" applyBorder="1" applyAlignment="1">
      <alignment horizontal="right"/>
    </xf>
    <xf numFmtId="171" fontId="25" fillId="27" borderId="0" xfId="0" applyNumberFormat="1" applyFont="1" applyFill="1"/>
    <xf numFmtId="0" fontId="2" fillId="27" borderId="19" xfId="0" applyFont="1" applyFill="1" applyBorder="1" applyAlignment="1">
      <alignment horizontal="right"/>
    </xf>
    <xf numFmtId="171" fontId="4" fillId="27" borderId="0" xfId="0" applyNumberFormat="1" applyFont="1" applyFill="1" applyBorder="1" applyAlignment="1">
      <alignment horizontal="right"/>
    </xf>
    <xf numFmtId="167" fontId="6" fillId="27" borderId="0" xfId="144" applyNumberFormat="1" applyFont="1" applyFill="1" applyBorder="1" applyAlignment="1">
      <alignment horizontal="right"/>
    </xf>
    <xf numFmtId="9" fontId="6" fillId="27" borderId="0" xfId="133" applyFont="1" applyFill="1"/>
    <xf numFmtId="189" fontId="4" fillId="27" borderId="0" xfId="0" applyNumberFormat="1" applyFont="1" applyFill="1" applyBorder="1" applyAlignment="1">
      <alignment horizontal="right"/>
    </xf>
    <xf numFmtId="172" fontId="6" fillId="27" borderId="0" xfId="0" applyNumberFormat="1" applyFont="1" applyFill="1" applyBorder="1"/>
    <xf numFmtId="172" fontId="6" fillId="27" borderId="0" xfId="0" applyNumberFormat="1" applyFont="1" applyFill="1" applyBorder="1" applyAlignment="1">
      <alignment horizontal="right"/>
    </xf>
    <xf numFmtId="9" fontId="6" fillId="27" borderId="0" xfId="0" applyNumberFormat="1" applyFont="1" applyFill="1"/>
    <xf numFmtId="189" fontId="6" fillId="27" borderId="0" xfId="0" applyNumberFormat="1" applyFont="1" applyFill="1" applyBorder="1" applyAlignment="1">
      <alignment horizontal="right"/>
    </xf>
    <xf numFmtId="187" fontId="4" fillId="27" borderId="0" xfId="133" applyNumberFormat="1" applyFont="1" applyFill="1" applyBorder="1" applyAlignment="1">
      <alignment horizontal="right"/>
    </xf>
    <xf numFmtId="187" fontId="6" fillId="27" borderId="20" xfId="133" applyNumberFormat="1" applyFont="1" applyFill="1" applyBorder="1" applyAlignment="1">
      <alignment horizontal="right"/>
    </xf>
    <xf numFmtId="171" fontId="2" fillId="27" borderId="0" xfId="0" applyNumberFormat="1" applyFont="1" applyFill="1" applyAlignment="1"/>
    <xf numFmtId="0" fontId="25" fillId="27" borderId="0" xfId="0" applyFont="1" applyFill="1"/>
    <xf numFmtId="187" fontId="4" fillId="27" borderId="0" xfId="0" applyNumberFormat="1" applyFont="1" applyFill="1" applyBorder="1" applyAlignment="1"/>
    <xf numFmtId="1" fontId="6" fillId="27" borderId="0" xfId="0" applyNumberFormat="1" applyFont="1" applyFill="1" applyBorder="1" applyAlignment="1"/>
    <xf numFmtId="0" fontId="4" fillId="27" borderId="0" xfId="0" applyFont="1" applyFill="1"/>
    <xf numFmtId="0" fontId="4" fillId="27" borderId="0" xfId="0" applyFont="1" applyFill="1" applyBorder="1"/>
    <xf numFmtId="0" fontId="3" fillId="27" borderId="0" xfId="0" applyFont="1" applyFill="1"/>
    <xf numFmtId="0" fontId="46" fillId="27" borderId="0" xfId="0" applyFont="1" applyFill="1"/>
    <xf numFmtId="0" fontId="16" fillId="27" borderId="0" xfId="0" applyFont="1" applyFill="1"/>
    <xf numFmtId="171" fontId="33" fillId="27" borderId="0" xfId="0" applyNumberFormat="1" applyFont="1" applyFill="1" applyAlignment="1">
      <alignment horizontal="right"/>
    </xf>
    <xf numFmtId="0" fontId="41" fillId="27" borderId="0" xfId="0" applyFont="1" applyFill="1"/>
    <xf numFmtId="0" fontId="4" fillId="27" borderId="0" xfId="0" applyFont="1" applyFill="1" applyAlignment="1">
      <alignment horizontal="left"/>
    </xf>
    <xf numFmtId="0" fontId="4" fillId="27" borderId="0" xfId="0" applyFont="1" applyFill="1" applyBorder="1" applyAlignment="1"/>
    <xf numFmtId="0" fontId="6" fillId="27" borderId="0" xfId="0" applyFont="1" applyFill="1" applyAlignment="1">
      <alignment horizontal="left" indent="2"/>
    </xf>
    <xf numFmtId="187" fontId="33" fillId="27" borderId="0" xfId="0" applyNumberFormat="1" applyFont="1" applyFill="1" applyBorder="1" applyAlignment="1"/>
    <xf numFmtId="187" fontId="33" fillId="27" borderId="0" xfId="133" applyNumberFormat="1" applyFont="1" applyFill="1" applyBorder="1" applyAlignment="1">
      <alignment horizontal="right"/>
    </xf>
    <xf numFmtId="0" fontId="6" fillId="27" borderId="0" xfId="121" applyFont="1" applyFill="1" applyBorder="1" applyAlignment="1">
      <alignment horizontal="center"/>
    </xf>
    <xf numFmtId="0" fontId="2" fillId="27" borderId="0" xfId="121" applyFont="1" applyFill="1" applyBorder="1"/>
    <xf numFmtId="0" fontId="2" fillId="27" borderId="0" xfId="121" applyFont="1" applyFill="1"/>
    <xf numFmtId="0" fontId="2" fillId="27" borderId="21" xfId="121" applyFont="1" applyFill="1" applyBorder="1"/>
    <xf numFmtId="187" fontId="6" fillId="27" borderId="0" xfId="121" applyNumberFormat="1" applyFont="1" applyFill="1" applyBorder="1"/>
    <xf numFmtId="187" fontId="6" fillId="27" borderId="0" xfId="121" applyNumberFormat="1" applyFont="1" applyFill="1" applyBorder="1" applyAlignment="1">
      <alignment horizontal="right"/>
    </xf>
    <xf numFmtId="187" fontId="6" fillId="27" borderId="0" xfId="121" applyNumberFormat="1" applyFont="1" applyFill="1" applyBorder="1" applyAlignment="1">
      <alignment horizontal="left"/>
    </xf>
    <xf numFmtId="189" fontId="4" fillId="27" borderId="19" xfId="121" applyNumberFormat="1" applyFont="1" applyFill="1" applyBorder="1" applyAlignment="1">
      <alignment horizontal="right"/>
    </xf>
    <xf numFmtId="211" fontId="4" fillId="27" borderId="19" xfId="121" applyNumberFormat="1" applyFont="1" applyFill="1" applyBorder="1" applyAlignment="1">
      <alignment horizontal="right"/>
    </xf>
    <xf numFmtId="193" fontId="4" fillId="27" borderId="0" xfId="121" applyNumberFormat="1" applyFont="1" applyFill="1" applyBorder="1" applyAlignment="1">
      <alignment horizontal="right"/>
    </xf>
    <xf numFmtId="0" fontId="4" fillId="27" borderId="20" xfId="121" applyFont="1" applyFill="1" applyBorder="1" applyAlignment="1">
      <alignment horizontal="left"/>
    </xf>
    <xf numFmtId="37" fontId="4" fillId="27" borderId="20" xfId="121" applyNumberFormat="1" applyFont="1" applyFill="1" applyBorder="1" applyAlignment="1">
      <alignment horizontal="right"/>
    </xf>
    <xf numFmtId="0" fontId="31" fillId="27" borderId="0" xfId="121" applyFont="1" applyFill="1"/>
    <xf numFmtId="171" fontId="31" fillId="27" borderId="0" xfId="121" applyNumberFormat="1" applyFont="1" applyFill="1" applyAlignment="1">
      <alignment horizontal="right"/>
    </xf>
    <xf numFmtId="171" fontId="31" fillId="27" borderId="0" xfId="121" applyNumberFormat="1" applyFont="1" applyFill="1"/>
    <xf numFmtId="9" fontId="31" fillId="27" borderId="0" xfId="138" applyFont="1" applyFill="1" applyBorder="1" applyAlignment="1">
      <alignment horizontal="right"/>
    </xf>
    <xf numFmtId="9" fontId="31" fillId="27" borderId="0" xfId="138" applyFont="1" applyFill="1" applyAlignment="1">
      <alignment horizontal="right"/>
    </xf>
    <xf numFmtId="171" fontId="31" fillId="27" borderId="0" xfId="121" applyNumberFormat="1" applyFont="1" applyFill="1" applyAlignment="1">
      <alignment horizontal="left" indent="2"/>
    </xf>
    <xf numFmtId="0" fontId="31" fillId="27" borderId="0" xfId="121" applyFont="1" applyFill="1" applyBorder="1"/>
    <xf numFmtId="0" fontId="4" fillId="27" borderId="0" xfId="121" applyFont="1" applyFill="1" applyBorder="1" applyAlignment="1">
      <alignment horizontal="left"/>
    </xf>
    <xf numFmtId="37" fontId="4" fillId="27" borderId="0" xfId="121" applyNumberFormat="1" applyFont="1" applyFill="1" applyBorder="1" applyAlignment="1">
      <alignment horizontal="right"/>
    </xf>
    <xf numFmtId="0" fontId="2" fillId="27" borderId="22" xfId="121" applyFont="1" applyFill="1" applyBorder="1"/>
    <xf numFmtId="187" fontId="6" fillId="27" borderId="22" xfId="121" applyNumberFormat="1" applyFont="1" applyFill="1" applyBorder="1" applyAlignment="1">
      <alignment horizontal="right"/>
    </xf>
    <xf numFmtId="0" fontId="33" fillId="27" borderId="23" xfId="121" applyFont="1" applyFill="1" applyBorder="1"/>
    <xf numFmtId="0" fontId="31" fillId="27" borderId="23" xfId="121" applyFont="1" applyFill="1" applyBorder="1"/>
    <xf numFmtId="0" fontId="31" fillId="27" borderId="22" xfId="121" applyFont="1" applyFill="1" applyBorder="1"/>
    <xf numFmtId="170" fontId="31" fillId="27" borderId="0" xfId="121" applyNumberFormat="1" applyFont="1" applyFill="1" applyBorder="1"/>
    <xf numFmtId="0" fontId="33" fillId="27" borderId="0" xfId="121" applyFont="1" applyFill="1" applyBorder="1"/>
    <xf numFmtId="0" fontId="33" fillId="27" borderId="24" xfId="121" applyFont="1" applyFill="1" applyBorder="1"/>
    <xf numFmtId="170" fontId="31" fillId="27" borderId="22" xfId="121" applyNumberFormat="1" applyFont="1" applyFill="1" applyBorder="1"/>
    <xf numFmtId="171" fontId="33" fillId="27" borderId="23" xfId="121" applyNumberFormat="1" applyFont="1" applyFill="1" applyBorder="1" applyAlignment="1">
      <alignment horizontal="right"/>
    </xf>
    <xf numFmtId="168" fontId="31" fillId="27" borderId="0" xfId="138" applyNumberFormat="1" applyFont="1" applyFill="1" applyBorder="1"/>
    <xf numFmtId="171" fontId="33" fillId="27" borderId="0" xfId="121" applyNumberFormat="1" applyFont="1" applyFill="1" applyBorder="1" applyAlignment="1">
      <alignment horizontal="right"/>
    </xf>
    <xf numFmtId="0" fontId="33" fillId="27" borderId="0" xfId="121" applyFont="1" applyFill="1" applyBorder="1" applyAlignment="1"/>
    <xf numFmtId="178" fontId="33" fillId="27" borderId="23" xfId="150" applyNumberFormat="1" applyFont="1" applyFill="1" applyBorder="1"/>
    <xf numFmtId="9" fontId="31" fillId="27" borderId="0" xfId="138" applyFont="1" applyFill="1" applyBorder="1"/>
    <xf numFmtId="0" fontId="31" fillId="27" borderId="24" xfId="121" applyFont="1" applyFill="1" applyBorder="1"/>
    <xf numFmtId="169" fontId="31" fillId="27" borderId="24" xfId="121" applyNumberFormat="1" applyFont="1" applyFill="1" applyBorder="1"/>
    <xf numFmtId="187" fontId="31" fillId="27" borderId="0" xfId="121" applyNumberFormat="1" applyFont="1" applyFill="1" applyBorder="1" applyAlignment="1">
      <alignment horizontal="right"/>
    </xf>
    <xf numFmtId="170" fontId="31" fillId="27" borderId="0" xfId="121" applyNumberFormat="1" applyFont="1" applyFill="1"/>
    <xf numFmtId="171" fontId="33" fillId="27" borderId="0" xfId="121" applyNumberFormat="1" applyFont="1" applyFill="1"/>
    <xf numFmtId="168" fontId="31" fillId="27" borderId="0" xfId="138" applyNumberFormat="1" applyFont="1" applyFill="1"/>
    <xf numFmtId="205" fontId="31" fillId="27" borderId="0" xfId="138" applyNumberFormat="1" applyFont="1" applyFill="1"/>
    <xf numFmtId="169" fontId="31" fillId="27" borderId="0" xfId="121" applyNumberFormat="1" applyFont="1" applyFill="1"/>
    <xf numFmtId="171" fontId="2" fillId="27" borderId="0" xfId="121" applyNumberFormat="1" applyFont="1" applyFill="1"/>
    <xf numFmtId="37" fontId="2" fillId="27" borderId="21" xfId="121" applyNumberFormat="1" applyFont="1" applyFill="1" applyBorder="1"/>
    <xf numFmtId="189" fontId="4" fillId="27" borderId="20" xfId="121" applyNumberFormat="1" applyFont="1" applyFill="1" applyBorder="1" applyAlignment="1">
      <alignment horizontal="right"/>
    </xf>
    <xf numFmtId="0" fontId="6" fillId="27" borderId="0" xfId="121" applyFont="1" applyFill="1"/>
    <xf numFmtId="0" fontId="6" fillId="27" borderId="0" xfId="121" applyFont="1" applyFill="1" applyBorder="1"/>
    <xf numFmtId="171" fontId="6" fillId="27" borderId="0" xfId="121" applyNumberFormat="1" applyFont="1" applyFill="1"/>
    <xf numFmtId="171" fontId="6" fillId="27" borderId="0" xfId="121" applyNumberFormat="1" applyFont="1" applyFill="1" applyAlignment="1">
      <alignment horizontal="left" indent="4"/>
    </xf>
    <xf numFmtId="170" fontId="6" fillId="27" borderId="0" xfId="121" applyNumberFormat="1" applyFont="1" applyFill="1"/>
    <xf numFmtId="0" fontId="16" fillId="27" borderId="0" xfId="121" applyFont="1" applyFill="1"/>
    <xf numFmtId="172" fontId="6" fillId="27" borderId="0" xfId="121" applyNumberFormat="1" applyFont="1" applyFill="1"/>
    <xf numFmtId="171" fontId="6" fillId="27" borderId="0" xfId="121" applyNumberFormat="1" applyFont="1" applyFill="1" applyAlignment="1"/>
    <xf numFmtId="171" fontId="6" fillId="27" borderId="0" xfId="121" applyNumberFormat="1" applyFont="1" applyFill="1" applyBorder="1"/>
    <xf numFmtId="171" fontId="32" fillId="27" borderId="0" xfId="121" applyNumberFormat="1" applyFont="1" applyFill="1"/>
    <xf numFmtId="1" fontId="6" fillId="27" borderId="0" xfId="121" applyNumberFormat="1" applyFont="1" applyFill="1" applyBorder="1"/>
    <xf numFmtId="0" fontId="33" fillId="27" borderId="0" xfId="121" applyFont="1" applyFill="1"/>
    <xf numFmtId="170" fontId="2" fillId="27" borderId="0" xfId="121" applyNumberFormat="1" applyFont="1" applyFill="1"/>
    <xf numFmtId="0" fontId="2" fillId="27" borderId="0" xfId="121" applyFont="1" applyFill="1" applyAlignment="1"/>
    <xf numFmtId="170" fontId="2" fillId="27" borderId="0" xfId="121" applyNumberFormat="1" applyFont="1" applyFill="1" applyAlignment="1">
      <alignment horizontal="right"/>
    </xf>
    <xf numFmtId="0" fontId="11" fillId="27" borderId="21" xfId="121" applyFont="1" applyFill="1" applyBorder="1" applyAlignment="1"/>
    <xf numFmtId="0" fontId="2" fillId="27" borderId="20" xfId="121" applyFont="1" applyFill="1" applyBorder="1" applyAlignment="1"/>
    <xf numFmtId="170" fontId="2" fillId="27" borderId="20" xfId="121" applyNumberFormat="1" applyFont="1" applyFill="1" applyBorder="1"/>
    <xf numFmtId="170" fontId="2" fillId="27" borderId="20" xfId="121" applyNumberFormat="1" applyFont="1" applyFill="1" applyBorder="1" applyAlignment="1">
      <alignment horizontal="right"/>
    </xf>
    <xf numFmtId="0" fontId="2" fillId="27" borderId="19" xfId="121" applyFont="1" applyFill="1" applyBorder="1" applyAlignment="1"/>
    <xf numFmtId="190" fontId="2" fillId="27" borderId="0" xfId="121" applyNumberFormat="1" applyFont="1" applyFill="1" applyBorder="1" applyAlignment="1"/>
    <xf numFmtId="0" fontId="6" fillId="27" borderId="20" xfId="121" applyFont="1" applyFill="1" applyBorder="1" applyAlignment="1">
      <alignment horizontal="right"/>
    </xf>
    <xf numFmtId="0" fontId="6" fillId="27" borderId="19" xfId="121" applyFont="1" applyFill="1" applyBorder="1"/>
    <xf numFmtId="0" fontId="6" fillId="27" borderId="19" xfId="121" applyFont="1" applyFill="1" applyBorder="1" applyAlignment="1"/>
    <xf numFmtId="170" fontId="6" fillId="27" borderId="19" xfId="121" applyNumberFormat="1" applyFont="1" applyFill="1" applyBorder="1"/>
    <xf numFmtId="187" fontId="6" fillId="27" borderId="0" xfId="138" applyNumberFormat="1" applyFont="1" applyFill="1" applyBorder="1" applyAlignment="1">
      <alignment horizontal="right"/>
    </xf>
    <xf numFmtId="187" fontId="6" fillId="27" borderId="0" xfId="121" applyNumberFormat="1" applyFont="1" applyFill="1" applyBorder="1" applyAlignment="1"/>
    <xf numFmtId="187" fontId="6" fillId="27" borderId="0" xfId="138" applyNumberFormat="1" applyFont="1" applyFill="1" applyBorder="1" applyAlignment="1"/>
    <xf numFmtId="0" fontId="6" fillId="27" borderId="0" xfId="121" applyFont="1" applyFill="1" applyBorder="1" applyAlignment="1"/>
    <xf numFmtId="168" fontId="6" fillId="27" borderId="0" xfId="138" applyNumberFormat="1" applyFont="1" applyFill="1" applyBorder="1" applyAlignment="1"/>
    <xf numFmtId="0" fontId="6" fillId="27" borderId="0" xfId="121" applyFont="1" applyFill="1" applyAlignment="1"/>
    <xf numFmtId="0" fontId="4" fillId="27" borderId="20" xfId="121" applyFont="1" applyFill="1" applyBorder="1" applyAlignment="1">
      <alignment horizontal="right"/>
    </xf>
    <xf numFmtId="171" fontId="6" fillId="27" borderId="0" xfId="121" applyNumberFormat="1" applyFont="1" applyFill="1" applyBorder="1" applyAlignment="1"/>
    <xf numFmtId="171" fontId="6" fillId="27" borderId="19" xfId="121" applyNumberFormat="1" applyFont="1" applyFill="1" applyBorder="1" applyAlignment="1"/>
    <xf numFmtId="175" fontId="6" fillId="27" borderId="0" xfId="121" applyNumberFormat="1" applyFont="1" applyFill="1" applyBorder="1"/>
    <xf numFmtId="0" fontId="6" fillId="27" borderId="0" xfId="121" applyFont="1" applyFill="1" applyBorder="1" applyAlignment="1">
      <alignment horizontal="right"/>
    </xf>
    <xf numFmtId="171" fontId="6" fillId="27" borderId="20" xfId="121" applyNumberFormat="1" applyFont="1" applyFill="1" applyBorder="1" applyAlignment="1"/>
    <xf numFmtId="0" fontId="47" fillId="27" borderId="0" xfId="121" applyFont="1" applyFill="1" applyBorder="1" applyAlignment="1">
      <alignment horizontal="center"/>
    </xf>
    <xf numFmtId="0" fontId="2" fillId="27" borderId="0" xfId="121" applyFont="1" applyFill="1" applyAlignment="1">
      <alignment horizontal="right"/>
    </xf>
    <xf numFmtId="2" fontId="6" fillId="27" borderId="0" xfId="121" applyNumberFormat="1" applyFont="1" applyFill="1" applyAlignment="1"/>
    <xf numFmtId="0" fontId="2" fillId="27" borderId="0" xfId="121" applyFont="1" applyFill="1" applyBorder="1" applyAlignment="1"/>
    <xf numFmtId="0" fontId="2" fillId="27" borderId="0" xfId="121" applyFont="1" applyFill="1" applyBorder="1" applyAlignment="1">
      <alignment horizontal="right"/>
    </xf>
    <xf numFmtId="171" fontId="25" fillId="27" borderId="0" xfId="121" applyNumberFormat="1" applyFont="1" applyFill="1"/>
    <xf numFmtId="168" fontId="6" fillId="27" borderId="19" xfId="138" applyNumberFormat="1" applyFont="1" applyFill="1" applyBorder="1" applyAlignment="1"/>
    <xf numFmtId="171" fontId="4" fillId="27" borderId="0" xfId="121" applyNumberFormat="1" applyFont="1" applyFill="1" applyBorder="1" applyAlignment="1"/>
    <xf numFmtId="187" fontId="6" fillId="27" borderId="4" xfId="121" applyNumberFormat="1" applyFont="1" applyFill="1" applyBorder="1" applyAlignment="1"/>
    <xf numFmtId="0" fontId="6" fillId="27" borderId="20" xfId="121" applyFont="1" applyFill="1" applyBorder="1" applyAlignment="1"/>
    <xf numFmtId="187" fontId="6" fillId="27" borderId="20" xfId="121" applyNumberFormat="1" applyFont="1" applyFill="1" applyBorder="1" applyAlignment="1"/>
    <xf numFmtId="0" fontId="4" fillId="27" borderId="0" xfId="121" applyFont="1" applyFill="1" applyBorder="1" applyAlignment="1">
      <alignment horizontal="right"/>
    </xf>
    <xf numFmtId="185" fontId="4" fillId="27" borderId="0" xfId="121" applyNumberFormat="1" applyFont="1" applyFill="1" applyBorder="1" applyAlignment="1">
      <alignment horizontal="right"/>
    </xf>
    <xf numFmtId="168" fontId="4" fillId="27" borderId="0" xfId="138" applyNumberFormat="1" applyFont="1" applyFill="1" applyBorder="1" applyAlignment="1">
      <alignment horizontal="right"/>
    </xf>
    <xf numFmtId="168" fontId="6" fillId="27" borderId="0" xfId="121" applyNumberFormat="1" applyFont="1" applyFill="1" applyBorder="1" applyAlignment="1">
      <alignment horizontal="right"/>
    </xf>
    <xf numFmtId="178" fontId="6" fillId="27" borderId="0" xfId="150" applyNumberFormat="1" applyFont="1" applyFill="1" applyBorder="1" applyAlignment="1">
      <alignment horizontal="right"/>
    </xf>
    <xf numFmtId="168" fontId="6" fillId="27" borderId="0" xfId="121" applyNumberFormat="1" applyFont="1" applyFill="1" applyBorder="1" applyAlignment="1"/>
    <xf numFmtId="171" fontId="18" fillId="27" borderId="0" xfId="138" applyNumberFormat="1" applyFont="1" applyFill="1" applyBorder="1" applyAlignment="1"/>
    <xf numFmtId="171" fontId="6" fillId="27" borderId="0" xfId="138" applyNumberFormat="1" applyFont="1" applyFill="1" applyBorder="1" applyAlignment="1"/>
    <xf numFmtId="175" fontId="6" fillId="27" borderId="0" xfId="121" applyNumberFormat="1" applyFont="1" applyFill="1" applyBorder="1" applyAlignment="1">
      <alignment horizontal="right"/>
    </xf>
    <xf numFmtId="174" fontId="6" fillId="27" borderId="0" xfId="121" applyNumberFormat="1" applyFont="1" applyFill="1" applyBorder="1" applyAlignment="1">
      <alignment horizontal="right"/>
    </xf>
    <xf numFmtId="171" fontId="6" fillId="27" borderId="0" xfId="121" applyNumberFormat="1" applyFont="1" applyFill="1" applyBorder="1" applyAlignment="1">
      <alignment horizontal="right"/>
    </xf>
    <xf numFmtId="37" fontId="6" fillId="27" borderId="19" xfId="121" applyNumberFormat="1" applyFont="1" applyFill="1" applyBorder="1" applyAlignment="1"/>
    <xf numFmtId="9" fontId="6" fillId="27" borderId="0" xfId="138" applyFont="1" applyFill="1" applyBorder="1" applyAlignment="1"/>
    <xf numFmtId="10" fontId="6" fillId="27" borderId="0" xfId="138" applyNumberFormat="1" applyFont="1" applyFill="1" applyBorder="1" applyAlignment="1"/>
    <xf numFmtId="170" fontId="6" fillId="27" borderId="0" xfId="121" applyNumberFormat="1" applyFont="1" applyFill="1" applyBorder="1" applyAlignment="1"/>
    <xf numFmtId="170" fontId="6" fillId="27" borderId="0" xfId="121" applyNumberFormat="1" applyFont="1" applyFill="1" applyAlignment="1"/>
    <xf numFmtId="168" fontId="6" fillId="27" borderId="0" xfId="138" applyNumberFormat="1" applyFont="1" applyFill="1" applyAlignment="1"/>
    <xf numFmtId="0" fontId="6" fillId="27" borderId="0" xfId="121" applyFont="1" applyFill="1" applyAlignment="1">
      <alignment horizontal="right"/>
    </xf>
    <xf numFmtId="171" fontId="31" fillId="27" borderId="0" xfId="121" applyNumberFormat="1" applyFont="1" applyFill="1" applyBorder="1" applyAlignment="1"/>
    <xf numFmtId="168" fontId="31" fillId="27" borderId="0" xfId="138" applyNumberFormat="1" applyFont="1" applyFill="1" applyBorder="1" applyAlignment="1"/>
    <xf numFmtId="192" fontId="6" fillId="27" borderId="0" xfId="150" applyNumberFormat="1" applyFont="1" applyFill="1" applyBorder="1" applyAlignment="1"/>
    <xf numFmtId="171" fontId="31" fillId="27" borderId="0" xfId="121" applyNumberFormat="1" applyFont="1" applyFill="1" applyBorder="1" applyAlignment="1">
      <alignment horizontal="right"/>
    </xf>
    <xf numFmtId="171" fontId="31" fillId="27" borderId="4" xfId="121" applyNumberFormat="1" applyFont="1" applyFill="1" applyBorder="1" applyAlignment="1"/>
    <xf numFmtId="37" fontId="6" fillId="27" borderId="0" xfId="150" applyNumberFormat="1" applyFont="1" applyFill="1" applyBorder="1" applyAlignment="1"/>
    <xf numFmtId="171" fontId="33" fillId="27" borderId="0" xfId="121" applyNumberFormat="1" applyFont="1" applyFill="1" applyBorder="1" applyAlignment="1"/>
    <xf numFmtId="37" fontId="31" fillId="27" borderId="0" xfId="121" applyNumberFormat="1" applyFont="1" applyFill="1" applyBorder="1" applyAlignment="1"/>
    <xf numFmtId="37" fontId="6" fillId="27" borderId="0" xfId="121" applyNumberFormat="1" applyFont="1" applyFill="1" applyBorder="1" applyAlignment="1"/>
    <xf numFmtId="37" fontId="31" fillId="27" borderId="0" xfId="150" applyNumberFormat="1" applyFont="1" applyFill="1" applyBorder="1" applyAlignment="1"/>
    <xf numFmtId="37" fontId="6" fillId="27" borderId="0" xfId="121" applyNumberFormat="1" applyFont="1" applyFill="1" applyAlignment="1"/>
    <xf numFmtId="171" fontId="31" fillId="27" borderId="0" xfId="121" applyNumberFormat="1" applyFont="1" applyFill="1" applyAlignment="1"/>
    <xf numFmtId="0" fontId="2" fillId="27" borderId="19" xfId="121" applyFont="1" applyFill="1" applyBorder="1" applyAlignment="1">
      <alignment horizontal="right"/>
    </xf>
    <xf numFmtId="168" fontId="6" fillId="27" borderId="0" xfId="138" applyNumberFormat="1" applyFont="1" applyFill="1" applyBorder="1" applyAlignment="1">
      <alignment horizontal="right"/>
    </xf>
    <xf numFmtId="10" fontId="6" fillId="27" borderId="0" xfId="121" applyNumberFormat="1" applyFont="1" applyFill="1" applyBorder="1" applyAlignment="1">
      <alignment horizontal="right"/>
    </xf>
    <xf numFmtId="0" fontId="2" fillId="27" borderId="0" xfId="121" applyFont="1" applyFill="1" applyAlignment="1">
      <alignment horizontal="left"/>
    </xf>
    <xf numFmtId="0" fontId="10" fillId="27" borderId="0" xfId="121" applyFont="1" applyFill="1" applyBorder="1" applyAlignment="1">
      <alignment horizontal="left"/>
    </xf>
    <xf numFmtId="0" fontId="11" fillId="27" borderId="0" xfId="121" applyFont="1" applyFill="1" applyAlignment="1">
      <alignment horizontal="left"/>
    </xf>
    <xf numFmtId="0" fontId="6" fillId="27" borderId="0" xfId="121" applyFont="1" applyFill="1" applyAlignment="1">
      <alignment horizontal="center"/>
    </xf>
    <xf numFmtId="0" fontId="11" fillId="27" borderId="21" xfId="121" applyFont="1" applyFill="1" applyBorder="1" applyAlignment="1">
      <alignment horizontal="left"/>
    </xf>
    <xf numFmtId="0" fontId="6" fillId="27" borderId="21" xfId="121" applyFont="1" applyFill="1" applyBorder="1" applyAlignment="1">
      <alignment horizontal="center"/>
    </xf>
    <xf numFmtId="187" fontId="6" fillId="27" borderId="0" xfId="121" applyNumberFormat="1" applyFont="1" applyFill="1" applyBorder="1" applyAlignment="1">
      <alignment horizontal="center"/>
    </xf>
    <xf numFmtId="0" fontId="3" fillId="27" borderId="20" xfId="121" applyFont="1" applyFill="1" applyBorder="1" applyAlignment="1">
      <alignment horizontal="left"/>
    </xf>
    <xf numFmtId="0" fontId="2" fillId="27" borderId="20" xfId="121" applyFont="1" applyFill="1" applyBorder="1"/>
    <xf numFmtId="187" fontId="4" fillId="27" borderId="0" xfId="121" applyNumberFormat="1" applyFont="1" applyFill="1" applyBorder="1" applyAlignment="1">
      <alignment horizontal="left"/>
    </xf>
    <xf numFmtId="0" fontId="4" fillId="27" borderId="0" xfId="121" applyFont="1" applyFill="1" applyBorder="1" applyAlignment="1">
      <alignment horizontal="center"/>
    </xf>
    <xf numFmtId="0" fontId="4" fillId="27" borderId="0" xfId="121" applyFont="1" applyFill="1" applyAlignment="1">
      <alignment horizontal="left"/>
    </xf>
    <xf numFmtId="171" fontId="4" fillId="27" borderId="0" xfId="121" applyNumberFormat="1" applyFont="1" applyFill="1"/>
    <xf numFmtId="0" fontId="3" fillId="27" borderId="0" xfId="121" applyFont="1" applyFill="1"/>
    <xf numFmtId="171" fontId="4" fillId="27" borderId="0" xfId="121" applyNumberFormat="1" applyFont="1" applyFill="1" applyBorder="1" applyAlignment="1">
      <alignment horizontal="right"/>
    </xf>
    <xf numFmtId="0" fontId="6" fillId="27" borderId="0" xfId="121" applyFont="1" applyFill="1" applyBorder="1" applyAlignment="1">
      <alignment horizontal="left" indent="4"/>
    </xf>
    <xf numFmtId="9" fontId="6" fillId="27" borderId="0" xfId="138" applyFont="1" applyFill="1" applyBorder="1" applyAlignment="1">
      <alignment horizontal="right"/>
    </xf>
    <xf numFmtId="171" fontId="4" fillId="27" borderId="0" xfId="121" applyNumberFormat="1" applyFont="1" applyFill="1" applyBorder="1"/>
    <xf numFmtId="0" fontId="3" fillId="27" borderId="0" xfId="121" applyFont="1" applyFill="1" applyBorder="1"/>
    <xf numFmtId="171" fontId="6" fillId="27" borderId="0" xfId="121" applyNumberFormat="1" applyFont="1" applyFill="1" applyBorder="1" applyAlignment="1">
      <alignment horizontal="left" indent="2"/>
    </xf>
    <xf numFmtId="178" fontId="2" fillId="27" borderId="0" xfId="150" applyNumberFormat="1" applyFont="1" applyFill="1" applyBorder="1"/>
    <xf numFmtId="178" fontId="6" fillId="27" borderId="0" xfId="138" applyNumberFormat="1" applyFont="1" applyFill="1" applyBorder="1" applyAlignment="1">
      <alignment horizontal="right"/>
    </xf>
    <xf numFmtId="167" fontId="6" fillId="27" borderId="0" xfId="150" applyNumberFormat="1" applyFont="1" applyFill="1" applyBorder="1" applyAlignment="1">
      <alignment horizontal="right"/>
    </xf>
    <xf numFmtId="10" fontId="6" fillId="27" borderId="0" xfId="138" applyNumberFormat="1" applyFont="1" applyFill="1" applyBorder="1" applyAlignment="1">
      <alignment horizontal="right"/>
    </xf>
    <xf numFmtId="195" fontId="6" fillId="27" borderId="0" xfId="138" applyNumberFormat="1" applyFont="1" applyFill="1" applyBorder="1" applyAlignment="1">
      <alignment horizontal="right"/>
    </xf>
    <xf numFmtId="2" fontId="2" fillId="27" borderId="0" xfId="121" applyNumberFormat="1" applyFont="1" applyFill="1" applyBorder="1"/>
    <xf numFmtId="187" fontId="2" fillId="27" borderId="0" xfId="121" applyNumberFormat="1" applyFont="1" applyFill="1" applyBorder="1"/>
    <xf numFmtId="187" fontId="31" fillId="27" borderId="0" xfId="138" applyNumberFormat="1" applyFont="1" applyFill="1" applyBorder="1" applyAlignment="1">
      <alignment horizontal="right"/>
    </xf>
    <xf numFmtId="171" fontId="2" fillId="27" borderId="0" xfId="121" applyNumberFormat="1" applyFont="1" applyFill="1" applyBorder="1"/>
    <xf numFmtId="37" fontId="6" fillId="27" borderId="21" xfId="121" applyNumberFormat="1" applyFont="1" applyFill="1" applyBorder="1" applyAlignment="1">
      <alignment horizontal="center"/>
    </xf>
    <xf numFmtId="193" fontId="4" fillId="27" borderId="0" xfId="121" applyNumberFormat="1" applyFont="1" applyFill="1" applyBorder="1" applyAlignment="1">
      <alignment horizontal="center" wrapText="1"/>
    </xf>
    <xf numFmtId="193" fontId="4" fillId="27" borderId="20" xfId="121" applyNumberFormat="1" applyFont="1" applyFill="1" applyBorder="1" applyAlignment="1">
      <alignment horizontal="center" wrapText="1"/>
    </xf>
    <xf numFmtId="189" fontId="4" fillId="27" borderId="0" xfId="121" applyNumberFormat="1" applyFont="1" applyFill="1" applyBorder="1" applyAlignment="1">
      <alignment horizontal="right"/>
    </xf>
    <xf numFmtId="171" fontId="33" fillId="27" borderId="0" xfId="121" applyNumberFormat="1" applyFont="1" applyFill="1" applyBorder="1" applyAlignment="1">
      <alignment horizontal="left" indent="2"/>
    </xf>
    <xf numFmtId="0" fontId="33" fillId="27" borderId="0" xfId="121" applyFont="1" applyFill="1" applyBorder="1" applyAlignment="1">
      <alignment horizontal="left"/>
    </xf>
    <xf numFmtId="0" fontId="32" fillId="27" borderId="0" xfId="121" applyFont="1" applyFill="1"/>
    <xf numFmtId="0" fontId="6" fillId="27" borderId="0" xfId="121" applyFont="1" applyFill="1" applyAlignment="1">
      <alignment horizontal="left" indent="2"/>
    </xf>
    <xf numFmtId="172" fontId="6" fillId="27" borderId="0" xfId="121" applyNumberFormat="1" applyFont="1" applyFill="1" applyBorder="1" applyAlignment="1">
      <alignment horizontal="right"/>
    </xf>
    <xf numFmtId="210" fontId="6" fillId="27" borderId="0" xfId="150" applyNumberFormat="1" applyFont="1" applyFill="1" applyBorder="1" applyAlignment="1">
      <alignment horizontal="right"/>
    </xf>
    <xf numFmtId="173" fontId="6" fillId="27" borderId="0" xfId="121" applyNumberFormat="1" applyFont="1" applyFill="1" applyBorder="1" applyAlignment="1">
      <alignment horizontal="right"/>
    </xf>
    <xf numFmtId="9" fontId="6" fillId="27" borderId="0" xfId="121" applyNumberFormat="1" applyFont="1" applyFill="1" applyBorder="1" applyAlignment="1">
      <alignment horizontal="right"/>
    </xf>
    <xf numFmtId="9" fontId="6" fillId="27" borderId="0" xfId="121" applyNumberFormat="1" applyFont="1" applyFill="1"/>
    <xf numFmtId="4" fontId="6" fillId="27" borderId="0" xfId="121" applyNumberFormat="1" applyFont="1" applyFill="1"/>
    <xf numFmtId="0" fontId="6" fillId="27" borderId="19" xfId="121" applyFont="1" applyFill="1" applyBorder="1" applyAlignment="1">
      <alignment horizontal="center"/>
    </xf>
    <xf numFmtId="190" fontId="2" fillId="27" borderId="20" xfId="121" applyNumberFormat="1" applyFont="1" applyFill="1" applyBorder="1" applyAlignment="1"/>
    <xf numFmtId="193" fontId="4" fillId="27" borderId="20" xfId="121" applyNumberFormat="1" applyFont="1" applyFill="1" applyBorder="1" applyAlignment="1">
      <alignment horizontal="right"/>
    </xf>
    <xf numFmtId="0" fontId="31" fillId="27" borderId="0" xfId="121" applyFont="1" applyFill="1" applyBorder="1" applyAlignment="1">
      <alignment horizontal="center"/>
    </xf>
    <xf numFmtId="0" fontId="31" fillId="27" borderId="0" xfId="121" applyFont="1" applyFill="1" applyBorder="1" applyAlignment="1">
      <alignment horizontal="right"/>
    </xf>
    <xf numFmtId="0" fontId="45" fillId="27" borderId="0" xfId="121" applyFont="1" applyFill="1"/>
    <xf numFmtId="187" fontId="31" fillId="27" borderId="0" xfId="121" applyNumberFormat="1" applyFont="1" applyFill="1" applyBorder="1" applyAlignment="1"/>
    <xf numFmtId="9" fontId="31" fillId="27" borderId="0" xfId="121" applyNumberFormat="1" applyFont="1" applyFill="1"/>
    <xf numFmtId="189" fontId="6" fillId="27" borderId="0" xfId="121" applyNumberFormat="1" applyFont="1" applyFill="1" applyBorder="1" applyAlignment="1">
      <alignment horizontal="right"/>
    </xf>
    <xf numFmtId="178" fontId="2" fillId="27" borderId="0" xfId="121" applyNumberFormat="1" applyFont="1" applyFill="1" applyBorder="1"/>
    <xf numFmtId="0" fontId="4" fillId="27" borderId="19" xfId="121" applyFont="1" applyFill="1" applyBorder="1" applyAlignment="1"/>
    <xf numFmtId="190" fontId="4" fillId="27" borderId="0" xfId="121" applyNumberFormat="1" applyFont="1" applyFill="1" applyBorder="1" applyAlignment="1"/>
    <xf numFmtId="190" fontId="4" fillId="27" borderId="20" xfId="121" applyNumberFormat="1" applyFont="1" applyFill="1" applyBorder="1" applyAlignment="1"/>
    <xf numFmtId="0" fontId="31" fillId="27" borderId="0" xfId="121" applyFont="1" applyFill="1" applyBorder="1" applyAlignment="1"/>
    <xf numFmtId="0" fontId="6" fillId="27" borderId="0" xfId="121" applyFont="1" applyFill="1" applyBorder="1" applyAlignment="1">
      <alignment horizontal="left" indent="3"/>
    </xf>
    <xf numFmtId="0" fontId="6" fillId="27" borderId="0" xfId="121" applyFont="1" applyFill="1" applyBorder="1" applyAlignment="1">
      <alignment horizontal="left" indent="2"/>
    </xf>
    <xf numFmtId="0" fontId="125" fillId="27" borderId="0" xfId="121" applyFont="1" applyFill="1"/>
    <xf numFmtId="187" fontId="4" fillId="27" borderId="0" xfId="138" applyNumberFormat="1" applyFont="1" applyFill="1" applyBorder="1" applyAlignment="1">
      <alignment horizontal="right"/>
    </xf>
    <xf numFmtId="0" fontId="6" fillId="27" borderId="0" xfId="121" applyFont="1" applyFill="1" applyBorder="1" applyAlignment="1">
      <alignment horizontal="left"/>
    </xf>
    <xf numFmtId="0" fontId="6" fillId="27" borderId="20" xfId="121" applyFont="1" applyFill="1" applyBorder="1"/>
    <xf numFmtId="187" fontId="6" fillId="27" borderId="20" xfId="138" applyNumberFormat="1" applyFont="1" applyFill="1" applyBorder="1" applyAlignment="1">
      <alignment horizontal="right"/>
    </xf>
    <xf numFmtId="0" fontId="4" fillId="27" borderId="20" xfId="121" applyFont="1" applyFill="1" applyBorder="1" applyAlignment="1"/>
    <xf numFmtId="175" fontId="6" fillId="27" borderId="0" xfId="121" applyNumberFormat="1" applyFont="1" applyFill="1" applyBorder="1" applyAlignment="1">
      <alignment horizontal="center"/>
    </xf>
    <xf numFmtId="3" fontId="6" fillId="27" borderId="0" xfId="121" applyNumberFormat="1" applyFont="1" applyFill="1" applyBorder="1" applyAlignment="1"/>
    <xf numFmtId="9" fontId="6" fillId="27" borderId="0" xfId="121" applyNumberFormat="1" applyFont="1" applyFill="1" applyBorder="1" applyAlignment="1">
      <alignment horizontal="center"/>
    </xf>
    <xf numFmtId="170" fontId="6" fillId="27" borderId="0" xfId="121" applyNumberFormat="1" applyFont="1" applyFill="1" applyBorder="1" applyAlignment="1">
      <alignment horizontal="right"/>
    </xf>
    <xf numFmtId="168" fontId="6" fillId="27" borderId="0" xfId="138" applyNumberFormat="1" applyFont="1" applyFill="1" applyBorder="1"/>
    <xf numFmtId="171" fontId="6" fillId="27" borderId="0" xfId="121" applyNumberFormat="1" applyFont="1" applyFill="1" applyBorder="1" applyAlignment="1">
      <alignment horizontal="center"/>
    </xf>
    <xf numFmtId="0" fontId="11" fillId="27" borderId="0" xfId="121" applyFont="1" applyFill="1" applyBorder="1" applyAlignment="1"/>
    <xf numFmtId="170" fontId="2" fillId="27" borderId="0" xfId="121" applyNumberFormat="1" applyFont="1" applyFill="1" applyBorder="1"/>
    <xf numFmtId="170" fontId="2" fillId="27" borderId="0" xfId="121" applyNumberFormat="1" applyFont="1" applyFill="1" applyBorder="1" applyAlignment="1">
      <alignment horizontal="right"/>
    </xf>
    <xf numFmtId="0" fontId="4" fillId="27" borderId="0" xfId="126" applyFont="1" applyFill="1" applyBorder="1" applyAlignment="1"/>
    <xf numFmtId="171" fontId="18" fillId="27" borderId="0" xfId="121" applyNumberFormat="1" applyFont="1" applyFill="1" applyBorder="1" applyAlignment="1">
      <alignment horizontal="right"/>
    </xf>
    <xf numFmtId="0" fontId="6" fillId="27" borderId="0" xfId="121" applyFont="1" applyFill="1" applyBorder="1" applyAlignment="1">
      <alignment horizontal="left" indent="1"/>
    </xf>
    <xf numFmtId="0" fontId="6" fillId="27" borderId="0" xfId="126" applyFont="1" applyFill="1" applyBorder="1" applyAlignment="1"/>
    <xf numFmtId="170" fontId="6" fillId="27" borderId="20" xfId="121" applyNumberFormat="1" applyFont="1" applyFill="1" applyBorder="1" applyAlignment="1"/>
    <xf numFmtId="0" fontId="2" fillId="27" borderId="0" xfId="126" applyFont="1" applyFill="1" applyAlignment="1"/>
    <xf numFmtId="0" fontId="47" fillId="27" borderId="0" xfId="121" applyFont="1" applyFill="1" applyBorder="1" applyAlignment="1"/>
    <xf numFmtId="171" fontId="18" fillId="27" borderId="0" xfId="121" applyNumberFormat="1" applyFont="1" applyFill="1" applyBorder="1" applyAlignment="1"/>
    <xf numFmtId="0" fontId="46" fillId="27" borderId="0" xfId="121" applyFont="1" applyFill="1"/>
    <xf numFmtId="2" fontId="6" fillId="27" borderId="0" xfId="121" applyNumberFormat="1" applyFont="1" applyFill="1" applyBorder="1" applyAlignment="1"/>
    <xf numFmtId="171" fontId="31" fillId="27" borderId="0" xfId="121" applyNumberFormat="1" applyFont="1" applyFill="1" applyBorder="1"/>
    <xf numFmtId="0" fontId="4" fillId="27" borderId="0" xfId="121" applyFont="1" applyFill="1" applyBorder="1" applyAlignment="1"/>
    <xf numFmtId="170" fontId="4" fillId="27" borderId="0" xfId="121" applyNumberFormat="1" applyFont="1" applyFill="1" applyBorder="1" applyAlignment="1"/>
    <xf numFmtId="187" fontId="33" fillId="27" borderId="0" xfId="121" applyNumberFormat="1" applyFont="1" applyFill="1" applyBorder="1" applyAlignment="1"/>
    <xf numFmtId="187" fontId="4" fillId="27" borderId="0" xfId="121" applyNumberFormat="1" applyFont="1" applyFill="1" applyBorder="1" applyAlignment="1"/>
    <xf numFmtId="168" fontId="33" fillId="27" borderId="0" xfId="138" applyNumberFormat="1" applyFont="1" applyFill="1" applyBorder="1" applyAlignment="1"/>
    <xf numFmtId="168" fontId="6" fillId="27" borderId="0" xfId="138" applyNumberFormat="1" applyFont="1" applyFill="1" applyBorder="1" applyAlignment="1">
      <alignment horizontal="center"/>
    </xf>
    <xf numFmtId="0" fontId="6" fillId="27" borderId="20" xfId="121" applyFont="1" applyFill="1" applyBorder="1" applyAlignment="1">
      <alignment horizontal="left"/>
    </xf>
    <xf numFmtId="0" fontId="6" fillId="27" borderId="0" xfId="126" applyFont="1" applyFill="1" applyBorder="1"/>
    <xf numFmtId="174" fontId="4" fillId="27" borderId="0" xfId="121" applyNumberFormat="1" applyFont="1" applyFill="1" applyBorder="1" applyAlignment="1">
      <alignment horizontal="right"/>
    </xf>
    <xf numFmtId="1" fontId="6" fillId="27" borderId="0" xfId="121" applyNumberFormat="1" applyFont="1" applyFill="1" applyBorder="1" applyAlignment="1"/>
    <xf numFmtId="0" fontId="18" fillId="27" borderId="0" xfId="121" applyFont="1" applyFill="1" applyBorder="1" applyAlignment="1"/>
    <xf numFmtId="174" fontId="6" fillId="27" borderId="0" xfId="121" applyNumberFormat="1" applyFont="1" applyFill="1" applyBorder="1" applyAlignment="1">
      <alignment horizontal="left"/>
    </xf>
    <xf numFmtId="174" fontId="6" fillId="27" borderId="0" xfId="121" applyNumberFormat="1" applyFont="1" applyFill="1" applyBorder="1" applyAlignment="1">
      <alignment horizontal="center"/>
    </xf>
    <xf numFmtId="3" fontId="18" fillId="27" borderId="0" xfId="121" applyNumberFormat="1" applyFont="1" applyFill="1" applyBorder="1" applyAlignment="1"/>
    <xf numFmtId="9" fontId="6" fillId="27" borderId="0" xfId="138" applyNumberFormat="1" applyFont="1" applyFill="1" applyBorder="1" applyAlignment="1"/>
    <xf numFmtId="171" fontId="6" fillId="27" borderId="0" xfId="121" applyNumberFormat="1" applyFont="1" applyFill="1" applyAlignment="1">
      <alignment horizontal="right"/>
    </xf>
    <xf numFmtId="194" fontId="31" fillId="27" borderId="0" xfId="121" applyNumberFormat="1" applyFont="1" applyFill="1" applyBorder="1" applyAlignment="1">
      <alignment horizontal="right"/>
    </xf>
    <xf numFmtId="176" fontId="6" fillId="27" borderId="0" xfId="121" applyNumberFormat="1" applyFont="1" applyFill="1" applyBorder="1" applyAlignment="1"/>
    <xf numFmtId="171" fontId="6" fillId="27" borderId="0" xfId="126" applyNumberFormat="1" applyFont="1" applyFill="1" applyAlignment="1"/>
    <xf numFmtId="0" fontId="3" fillId="27" borderId="20" xfId="121" applyFont="1" applyFill="1" applyBorder="1"/>
    <xf numFmtId="0" fontId="6" fillId="27" borderId="20" xfId="121" applyFont="1" applyFill="1" applyBorder="1" applyAlignment="1">
      <alignment horizontal="center"/>
    </xf>
    <xf numFmtId="171" fontId="6" fillId="27" borderId="4" xfId="121" applyNumberFormat="1" applyFont="1" applyFill="1" applyBorder="1" applyAlignment="1"/>
    <xf numFmtId="191" fontId="6" fillId="27" borderId="0" xfId="121" applyNumberFormat="1" applyFont="1" applyFill="1" applyBorder="1" applyAlignment="1"/>
    <xf numFmtId="171" fontId="6" fillId="27" borderId="0" xfId="150" applyNumberFormat="1" applyFont="1" applyFill="1" applyBorder="1" applyAlignment="1"/>
    <xf numFmtId="0" fontId="31" fillId="27" borderId="0" xfId="121" applyFont="1" applyFill="1" applyAlignment="1">
      <alignment horizontal="left" indent="2"/>
    </xf>
    <xf numFmtId="171" fontId="4" fillId="27" borderId="0" xfId="121" applyNumberFormat="1" applyFont="1" applyFill="1" applyBorder="1" applyAlignment="1">
      <alignment horizontal="center"/>
    </xf>
    <xf numFmtId="0" fontId="31" fillId="27" borderId="0" xfId="121" applyFont="1" applyFill="1" applyAlignment="1">
      <alignment horizontal="left"/>
    </xf>
    <xf numFmtId="9" fontId="6" fillId="27" borderId="0" xfId="138" applyFont="1" applyFill="1"/>
    <xf numFmtId="169" fontId="6" fillId="27" borderId="0" xfId="121" applyNumberFormat="1" applyFont="1" applyFill="1" applyBorder="1"/>
    <xf numFmtId="0" fontId="126" fillId="0" borderId="0" xfId="0" applyFont="1" applyFill="1" applyAlignment="1">
      <alignment horizontal="left"/>
    </xf>
    <xf numFmtId="187" fontId="127" fillId="0" borderId="0" xfId="0" applyNumberFormat="1" applyFont="1" applyFill="1" applyBorder="1" applyAlignment="1">
      <alignment horizontal="right"/>
    </xf>
    <xf numFmtId="0" fontId="127" fillId="0" borderId="0" xfId="0" applyFont="1" applyFill="1" applyBorder="1"/>
    <xf numFmtId="0" fontId="126" fillId="0" borderId="0" xfId="0" applyFont="1" applyFill="1" applyBorder="1"/>
    <xf numFmtId="171" fontId="6" fillId="27" borderId="0" xfId="126" applyNumberFormat="1" applyFont="1" applyFill="1" applyBorder="1" applyAlignment="1"/>
    <xf numFmtId="9" fontId="31" fillId="27" borderId="0" xfId="138" applyFont="1" applyFill="1"/>
    <xf numFmtId="37" fontId="6" fillId="0" borderId="0" xfId="0" applyNumberFormat="1" applyFont="1" applyFill="1" applyBorder="1"/>
    <xf numFmtId="0" fontId="4" fillId="0" borderId="19" xfId="0" applyFont="1" applyFill="1" applyBorder="1" applyAlignment="1">
      <alignment horizontal="left"/>
    </xf>
    <xf numFmtId="190" fontId="4" fillId="0" borderId="0" xfId="0" applyNumberFormat="1" applyFont="1" applyFill="1" applyBorder="1" applyAlignment="1">
      <alignment horizontal="left"/>
    </xf>
    <xf numFmtId="0" fontId="6" fillId="0" borderId="0" xfId="125" applyFont="1" applyFill="1" applyBorder="1" applyAlignment="1">
      <alignment horizontal="left" indent="2"/>
    </xf>
    <xf numFmtId="0" fontId="2" fillId="27" borderId="0" xfId="126" applyFont="1" applyFill="1" applyBorder="1"/>
    <xf numFmtId="0" fontId="11" fillId="27" borderId="21" xfId="0" applyFont="1" applyFill="1" applyBorder="1" applyAlignment="1">
      <alignment horizontal="right"/>
    </xf>
    <xf numFmtId="187" fontId="4" fillId="27" borderId="0" xfId="0" applyNumberFormat="1" applyFont="1" applyFill="1" applyBorder="1" applyAlignment="1">
      <alignment horizontal="left"/>
    </xf>
    <xf numFmtId="171" fontId="6" fillId="27" borderId="19" xfId="126" applyNumberFormat="1" applyFont="1" applyFill="1" applyBorder="1" applyAlignment="1"/>
    <xf numFmtId="0" fontId="2" fillId="27" borderId="0" xfId="126" applyFont="1" applyFill="1" applyBorder="1" applyAlignment="1"/>
    <xf numFmtId="187" fontId="31" fillId="27" borderId="0" xfId="0" applyNumberFormat="1" applyFont="1" applyFill="1" applyBorder="1" applyAlignment="1"/>
    <xf numFmtId="10" fontId="2" fillId="27" borderId="0" xfId="126" applyNumberFormat="1" applyFont="1" applyFill="1" applyAlignment="1"/>
    <xf numFmtId="37" fontId="4" fillId="27" borderId="0" xfId="0" applyNumberFormat="1" applyFont="1" applyFill="1" applyBorder="1" applyAlignment="1">
      <alignment horizontal="center" wrapText="1"/>
    </xf>
    <xf numFmtId="0" fontId="2" fillId="27" borderId="25" xfId="121" applyFont="1" applyFill="1" applyBorder="1"/>
    <xf numFmtId="187" fontId="31" fillId="27" borderId="0" xfId="121" applyNumberFormat="1" applyFont="1" applyFill="1" applyBorder="1"/>
    <xf numFmtId="9" fontId="25" fillId="27" borderId="0" xfId="0" applyNumberFormat="1" applyFont="1" applyFill="1" applyBorder="1"/>
    <xf numFmtId="171" fontId="2" fillId="27" borderId="0" xfId="0" applyNumberFormat="1" applyFont="1" applyFill="1" applyBorder="1"/>
    <xf numFmtId="202" fontId="6" fillId="27" borderId="0" xfId="133" applyNumberFormat="1" applyFont="1" applyFill="1" applyBorder="1"/>
    <xf numFmtId="0" fontId="6" fillId="27" borderId="0" xfId="0" applyNumberFormat="1" applyFont="1" applyFill="1" applyBorder="1"/>
    <xf numFmtId="169" fontId="6" fillId="27" borderId="0" xfId="0" applyNumberFormat="1" applyFont="1" applyFill="1" applyBorder="1" applyAlignment="1">
      <alignment horizontal="right"/>
    </xf>
    <xf numFmtId="9" fontId="6" fillId="27" borderId="0" xfId="0" applyNumberFormat="1" applyFont="1" applyFill="1" applyBorder="1"/>
    <xf numFmtId="170" fontId="2" fillId="27" borderId="0" xfId="0" applyNumberFormat="1" applyFont="1" applyFill="1" applyBorder="1" applyAlignment="1">
      <alignment horizontal="right"/>
    </xf>
    <xf numFmtId="10" fontId="6" fillId="27" borderId="0" xfId="0" applyNumberFormat="1" applyFont="1" applyFill="1" applyBorder="1"/>
    <xf numFmtId="171" fontId="2" fillId="27" borderId="0" xfId="0" applyNumberFormat="1" applyFont="1" applyFill="1" applyBorder="1" applyAlignment="1"/>
    <xf numFmtId="2" fontId="6" fillId="27" borderId="0" xfId="0" applyNumberFormat="1" applyFont="1" applyFill="1" applyBorder="1" applyAlignment="1"/>
    <xf numFmtId="0" fontId="25" fillId="27" borderId="0" xfId="0" applyFont="1" applyFill="1" applyBorder="1"/>
    <xf numFmtId="10" fontId="6" fillId="27" borderId="19" xfId="0" applyNumberFormat="1" applyFont="1" applyFill="1" applyBorder="1" applyAlignment="1"/>
    <xf numFmtId="168" fontId="6" fillId="27" borderId="0" xfId="0" applyNumberFormat="1" applyFont="1" applyFill="1" applyBorder="1"/>
    <xf numFmtId="0" fontId="77" fillId="0" borderId="0" xfId="75" applyFont="1"/>
    <xf numFmtId="0" fontId="128" fillId="0" borderId="0" xfId="75" applyFont="1" applyAlignment="1">
      <alignment horizontal="center" vertical="center"/>
    </xf>
    <xf numFmtId="171" fontId="4" fillId="27" borderId="0" xfId="0" applyNumberFormat="1" applyFont="1" applyFill="1" applyAlignment="1">
      <alignment horizontal="right"/>
    </xf>
    <xf numFmtId="168" fontId="6" fillId="27" borderId="0" xfId="133" applyNumberFormat="1" applyFont="1" applyFill="1" applyAlignment="1">
      <alignment horizontal="right"/>
    </xf>
    <xf numFmtId="171" fontId="31" fillId="27" borderId="0" xfId="0" applyNumberFormat="1" applyFont="1" applyFill="1" applyAlignment="1">
      <alignment horizontal="left" indent="4"/>
    </xf>
    <xf numFmtId="0" fontId="31" fillId="27" borderId="0" xfId="0" applyFont="1" applyFill="1"/>
    <xf numFmtId="171" fontId="31" fillId="27" borderId="0" xfId="0" applyNumberFormat="1" applyFont="1" applyFill="1" applyAlignment="1">
      <alignment horizontal="right"/>
    </xf>
    <xf numFmtId="168" fontId="31" fillId="27" borderId="0" xfId="133" applyNumberFormat="1" applyFont="1" applyFill="1" applyAlignment="1">
      <alignment horizontal="right"/>
    </xf>
    <xf numFmtId="173" fontId="31" fillId="27" borderId="0" xfId="0" applyNumberFormat="1" applyFont="1" applyFill="1" applyAlignment="1">
      <alignment horizontal="right"/>
    </xf>
    <xf numFmtId="187" fontId="31" fillId="27" borderId="0" xfId="133" applyNumberFormat="1" applyFont="1" applyFill="1" applyBorder="1" applyAlignment="1">
      <alignment horizontal="right"/>
    </xf>
    <xf numFmtId="171" fontId="31" fillId="27" borderId="0" xfId="0" applyNumberFormat="1" applyFont="1" applyFill="1" applyBorder="1" applyAlignment="1">
      <alignment horizontal="right"/>
    </xf>
    <xf numFmtId="171" fontId="31" fillId="27" borderId="0" xfId="0" applyNumberFormat="1" applyFont="1" applyFill="1" applyBorder="1" applyAlignment="1"/>
    <xf numFmtId="0" fontId="128" fillId="27" borderId="0" xfId="75" applyFont="1" applyFill="1" applyAlignment="1">
      <alignment horizontal="center" vertical="center"/>
    </xf>
    <xf numFmtId="0" fontId="77" fillId="27" borderId="0" xfId="75" applyFont="1" applyFill="1"/>
    <xf numFmtId="192" fontId="128" fillId="27" borderId="0" xfId="52" applyNumberFormat="1" applyFont="1" applyFill="1" applyAlignment="1">
      <alignment horizontal="center" vertical="center"/>
    </xf>
    <xf numFmtId="192" fontId="77" fillId="27" borderId="0" xfId="52" applyNumberFormat="1" applyFont="1" applyFill="1"/>
    <xf numFmtId="0" fontId="78" fillId="0" borderId="4" xfId="76" applyFont="1" applyBorder="1" applyAlignment="1">
      <alignment horizontal="center"/>
    </xf>
    <xf numFmtId="0" fontId="78" fillId="0" borderId="4" xfId="75" applyFont="1" applyBorder="1" applyAlignment="1">
      <alignment horizontal="left"/>
    </xf>
    <xf numFmtId="0" fontId="2" fillId="27" borderId="0" xfId="0" applyFont="1" applyFill="1" applyAlignment="1">
      <alignment horizontal="left"/>
    </xf>
    <xf numFmtId="0" fontId="10" fillId="27" borderId="0" xfId="0" applyFont="1" applyFill="1" applyBorder="1" applyAlignment="1">
      <alignment horizontal="left"/>
    </xf>
    <xf numFmtId="0" fontId="11" fillId="27" borderId="0" xfId="0" applyFont="1" applyFill="1" applyAlignment="1">
      <alignment horizontal="left"/>
    </xf>
    <xf numFmtId="0" fontId="6" fillId="27" borderId="0" xfId="0" applyFont="1" applyFill="1" applyAlignment="1">
      <alignment horizontal="center"/>
    </xf>
    <xf numFmtId="0" fontId="11" fillId="27" borderId="21" xfId="0" applyFont="1" applyFill="1" applyBorder="1" applyAlignment="1">
      <alignment horizontal="left"/>
    </xf>
    <xf numFmtId="0" fontId="6" fillId="27" borderId="21" xfId="0" applyFont="1" applyFill="1" applyBorder="1" applyAlignment="1">
      <alignment horizontal="center"/>
    </xf>
    <xf numFmtId="187" fontId="6" fillId="27" borderId="0" xfId="0" applyNumberFormat="1" applyFont="1" applyFill="1" applyBorder="1" applyAlignment="1">
      <alignment horizontal="center"/>
    </xf>
    <xf numFmtId="0" fontId="3" fillId="27" borderId="20" xfId="0" applyFont="1" applyFill="1" applyBorder="1" applyAlignment="1">
      <alignment horizontal="left"/>
    </xf>
    <xf numFmtId="0" fontId="2" fillId="27" borderId="20" xfId="0" applyFont="1" applyFill="1" applyBorder="1"/>
    <xf numFmtId="190" fontId="2" fillId="27" borderId="0" xfId="0" applyNumberFormat="1" applyFont="1" applyFill="1" applyBorder="1" applyAlignment="1"/>
    <xf numFmtId="193" fontId="4" fillId="27" borderId="0" xfId="0" applyNumberFormat="1" applyFont="1" applyFill="1" applyBorder="1" applyAlignment="1">
      <alignment horizontal="center" wrapText="1"/>
    </xf>
    <xf numFmtId="0" fontId="4" fillId="27" borderId="20" xfId="0" applyFont="1" applyFill="1" applyBorder="1" applyAlignment="1">
      <alignment horizontal="left"/>
    </xf>
    <xf numFmtId="0" fontId="6" fillId="27" borderId="20" xfId="0" applyFont="1" applyFill="1" applyBorder="1" applyAlignment="1"/>
    <xf numFmtId="193" fontId="4" fillId="27" borderId="20" xfId="0" applyNumberFormat="1" applyFont="1" applyFill="1" applyBorder="1" applyAlignment="1">
      <alignment horizontal="center" wrapText="1"/>
    </xf>
    <xf numFmtId="187" fontId="4" fillId="27" borderId="0" xfId="0" applyNumberFormat="1" applyFont="1" applyFill="1" applyBorder="1" applyAlignment="1">
      <alignment horizontal="right"/>
    </xf>
    <xf numFmtId="171" fontId="4" fillId="27" borderId="0" xfId="0" applyNumberFormat="1" applyFont="1" applyFill="1"/>
    <xf numFmtId="0" fontId="4" fillId="27" borderId="0" xfId="0" applyFont="1" applyFill="1" applyAlignment="1">
      <alignment horizontal="center"/>
    </xf>
    <xf numFmtId="0" fontId="6" fillId="27" borderId="0" xfId="0" applyFont="1" applyFill="1" applyAlignment="1">
      <alignment horizontal="left" indent="1"/>
    </xf>
    <xf numFmtId="0" fontId="6" fillId="27" borderId="0" xfId="0" applyFont="1" applyFill="1" applyBorder="1" applyAlignment="1">
      <alignment horizontal="left" indent="4"/>
    </xf>
    <xf numFmtId="171" fontId="4" fillId="27" borderId="0" xfId="0" applyNumberFormat="1" applyFont="1" applyFill="1" applyBorder="1"/>
    <xf numFmtId="0" fontId="3" fillId="27" borderId="0" xfId="0" applyFont="1" applyFill="1" applyBorder="1"/>
    <xf numFmtId="171" fontId="6" fillId="27" borderId="0" xfId="0" applyNumberFormat="1" applyFont="1" applyFill="1" applyBorder="1" applyAlignment="1">
      <alignment horizontal="left"/>
    </xf>
    <xf numFmtId="0" fontId="6" fillId="27" borderId="0" xfId="0" applyFont="1" applyFill="1" applyBorder="1" applyAlignment="1">
      <alignment horizontal="left" indent="2"/>
    </xf>
    <xf numFmtId="0" fontId="6" fillId="27" borderId="0" xfId="0" applyFont="1" applyFill="1" applyBorder="1" applyAlignment="1">
      <alignment horizontal="left"/>
    </xf>
    <xf numFmtId="195" fontId="6" fillId="27" borderId="0" xfId="133" applyNumberFormat="1" applyFont="1" applyFill="1" applyBorder="1" applyAlignment="1">
      <alignment horizontal="right"/>
    </xf>
    <xf numFmtId="9" fontId="6" fillId="27" borderId="0" xfId="133" applyFont="1" applyFill="1" applyAlignment="1">
      <alignment horizontal="center"/>
    </xf>
    <xf numFmtId="9" fontId="6" fillId="27" borderId="0" xfId="133" applyFont="1" applyFill="1" applyBorder="1"/>
    <xf numFmtId="171" fontId="6" fillId="27" borderId="0" xfId="0" applyNumberFormat="1" applyFont="1" applyFill="1" applyAlignment="1">
      <alignment horizontal="center"/>
    </xf>
    <xf numFmtId="37" fontId="6" fillId="27" borderId="21" xfId="0" applyNumberFormat="1" applyFont="1" applyFill="1" applyBorder="1" applyAlignment="1">
      <alignment horizontal="center"/>
    </xf>
    <xf numFmtId="9" fontId="4" fillId="27" borderId="0" xfId="133" applyFont="1" applyFill="1" applyBorder="1" applyAlignment="1">
      <alignment horizontal="center" wrapText="1"/>
    </xf>
    <xf numFmtId="9" fontId="4" fillId="27" borderId="20" xfId="133" applyFont="1" applyFill="1" applyBorder="1" applyAlignment="1">
      <alignment horizontal="center" wrapText="1"/>
    </xf>
    <xf numFmtId="9" fontId="4" fillId="27" borderId="0" xfId="133" applyFont="1" applyFill="1" applyBorder="1" applyAlignment="1">
      <alignment horizontal="center"/>
    </xf>
    <xf numFmtId="9" fontId="6" fillId="27" borderId="0" xfId="133" applyFont="1" applyFill="1" applyBorder="1" applyAlignment="1">
      <alignment horizontal="center"/>
    </xf>
    <xf numFmtId="0" fontId="6" fillId="27" borderId="0" xfId="0" applyFont="1" applyFill="1" applyAlignment="1">
      <alignment horizontal="left" indent="3"/>
    </xf>
    <xf numFmtId="0" fontId="6" fillId="27" borderId="0" xfId="0" applyFont="1" applyFill="1" applyAlignment="1">
      <alignment horizontal="left" indent="4"/>
    </xf>
    <xf numFmtId="170" fontId="6" fillId="27" borderId="0" xfId="0" applyNumberFormat="1" applyFont="1" applyFill="1" applyBorder="1"/>
    <xf numFmtId="10" fontId="6" fillId="27" borderId="0" xfId="133" applyNumberFormat="1" applyFont="1" applyFill="1" applyBorder="1" applyAlignment="1">
      <alignment horizontal="center"/>
    </xf>
    <xf numFmtId="0" fontId="6" fillId="27" borderId="20" xfId="0" applyFont="1" applyFill="1" applyBorder="1"/>
    <xf numFmtId="0" fontId="6" fillId="27" borderId="20" xfId="0" applyFont="1" applyFill="1" applyBorder="1" applyAlignment="1">
      <alignment horizontal="center"/>
    </xf>
    <xf numFmtId="0" fontId="11" fillId="27" borderId="0" xfId="0" applyFont="1" applyFill="1" applyBorder="1" applyAlignment="1"/>
    <xf numFmtId="0" fontId="2" fillId="27" borderId="20" xfId="0" applyFont="1" applyFill="1" applyBorder="1" applyAlignment="1"/>
    <xf numFmtId="0" fontId="4" fillId="27" borderId="19" xfId="0" applyFont="1" applyFill="1" applyBorder="1" applyAlignment="1"/>
    <xf numFmtId="0" fontId="6" fillId="27" borderId="19" xfId="0" applyFont="1" applyFill="1" applyBorder="1" applyAlignment="1">
      <alignment horizontal="center"/>
    </xf>
    <xf numFmtId="190" fontId="6" fillId="27" borderId="0" xfId="0" applyNumberFormat="1" applyFont="1" applyFill="1"/>
    <xf numFmtId="190" fontId="4" fillId="27" borderId="0" xfId="0" applyNumberFormat="1" applyFont="1" applyFill="1" applyBorder="1" applyAlignment="1"/>
    <xf numFmtId="0" fontId="4" fillId="27" borderId="20" xfId="0" applyFont="1" applyFill="1" applyBorder="1" applyAlignment="1"/>
    <xf numFmtId="0" fontId="6" fillId="27" borderId="20" xfId="0" applyFont="1" applyFill="1" applyBorder="1" applyAlignment="1">
      <alignment horizontal="right"/>
    </xf>
    <xf numFmtId="175" fontId="6" fillId="27" borderId="0" xfId="0" applyNumberFormat="1" applyFont="1" applyFill="1" applyBorder="1" applyAlignment="1">
      <alignment horizontal="right"/>
    </xf>
    <xf numFmtId="175" fontId="6" fillId="27" borderId="0" xfId="0" applyNumberFormat="1" applyFont="1" applyFill="1" applyBorder="1"/>
    <xf numFmtId="175" fontId="6" fillId="27" borderId="0" xfId="0" applyNumberFormat="1" applyFont="1" applyFill="1" applyBorder="1" applyAlignment="1">
      <alignment horizontal="center"/>
    </xf>
    <xf numFmtId="3" fontId="6" fillId="27" borderId="0" xfId="0" applyNumberFormat="1" applyFont="1" applyFill="1" applyBorder="1" applyAlignment="1"/>
    <xf numFmtId="9" fontId="6" fillId="27" borderId="0" xfId="0" applyNumberFormat="1" applyFont="1" applyFill="1" applyBorder="1" applyAlignment="1">
      <alignment horizontal="right"/>
    </xf>
    <xf numFmtId="9" fontId="6" fillId="27" borderId="0" xfId="0" applyNumberFormat="1" applyFont="1" applyFill="1" applyBorder="1" applyAlignment="1">
      <alignment horizontal="center"/>
    </xf>
    <xf numFmtId="170" fontId="6" fillId="27" borderId="0" xfId="0" applyNumberFormat="1" applyFont="1" applyFill="1" applyBorder="1" applyAlignment="1">
      <alignment horizontal="right"/>
    </xf>
    <xf numFmtId="171" fontId="6" fillId="27" borderId="0" xfId="0" applyNumberFormat="1" applyFont="1" applyFill="1" applyBorder="1" applyAlignment="1">
      <alignment horizontal="center"/>
    </xf>
    <xf numFmtId="170" fontId="6" fillId="27" borderId="0" xfId="0" applyNumberFormat="1" applyFont="1" applyFill="1" applyBorder="1" applyAlignment="1"/>
    <xf numFmtId="0" fontId="6" fillId="27" borderId="0" xfId="0" applyFont="1" applyFill="1" applyBorder="1" applyAlignment="1">
      <alignment horizontal="left" indent="1"/>
    </xf>
    <xf numFmtId="170" fontId="6" fillId="27" borderId="20" xfId="0" applyNumberFormat="1" applyFont="1" applyFill="1" applyBorder="1" applyAlignment="1"/>
    <xf numFmtId="0" fontId="47" fillId="27" borderId="0" xfId="0" applyFont="1" applyFill="1"/>
    <xf numFmtId="0" fontId="47" fillId="27" borderId="0" xfId="0" applyFont="1" applyFill="1" applyBorder="1" applyAlignment="1"/>
    <xf numFmtId="0" fontId="47" fillId="27" borderId="0" xfId="0" applyFont="1" applyFill="1" applyBorder="1" applyAlignment="1">
      <alignment horizontal="center"/>
    </xf>
    <xf numFmtId="0" fontId="25" fillId="27" borderId="0" xfId="0" applyFont="1" applyFill="1" applyBorder="1" applyAlignment="1">
      <alignment horizontal="left" indent="1"/>
    </xf>
    <xf numFmtId="0" fontId="25" fillId="27" borderId="0" xfId="0" applyFont="1" applyFill="1" applyBorder="1" applyAlignment="1">
      <alignment horizontal="center"/>
    </xf>
    <xf numFmtId="0" fontId="33" fillId="27" borderId="0" xfId="0" applyFont="1" applyFill="1" applyBorder="1" applyAlignment="1">
      <alignment horizontal="left"/>
    </xf>
    <xf numFmtId="170" fontId="4" fillId="27" borderId="0" xfId="0" applyNumberFormat="1" applyFont="1" applyFill="1" applyBorder="1" applyAlignment="1"/>
    <xf numFmtId="171" fontId="4" fillId="27" borderId="0" xfId="0" applyNumberFormat="1" applyFont="1" applyFill="1" applyBorder="1" applyAlignment="1"/>
    <xf numFmtId="168" fontId="4" fillId="27" borderId="0" xfId="133" applyNumberFormat="1" applyFont="1" applyFill="1" applyBorder="1" applyAlignment="1"/>
    <xf numFmtId="168" fontId="6" fillId="27" borderId="0" xfId="133" applyNumberFormat="1" applyFont="1" applyFill="1" applyBorder="1" applyAlignment="1">
      <alignment horizontal="center"/>
    </xf>
    <xf numFmtId="174" fontId="6" fillId="27" borderId="0" xfId="0" applyNumberFormat="1" applyFont="1" applyFill="1" applyBorder="1" applyAlignment="1">
      <alignment horizontal="right"/>
    </xf>
    <xf numFmtId="0" fontId="6" fillId="27" borderId="20" xfId="0" applyFont="1" applyFill="1" applyBorder="1" applyAlignment="1">
      <alignment horizontal="left"/>
    </xf>
    <xf numFmtId="0" fontId="4" fillId="27" borderId="0" xfId="0" applyFont="1" applyFill="1" applyBorder="1" applyAlignment="1">
      <alignment horizontal="right"/>
    </xf>
    <xf numFmtId="174" fontId="4" fillId="27" borderId="0" xfId="0" applyNumberFormat="1" applyFont="1" applyFill="1" applyBorder="1" applyAlignment="1">
      <alignment horizontal="right"/>
    </xf>
    <xf numFmtId="168" fontId="4" fillId="27" borderId="0" xfId="133" applyNumberFormat="1" applyFont="1" applyFill="1" applyBorder="1" applyAlignment="1">
      <alignment horizontal="right"/>
    </xf>
    <xf numFmtId="0" fontId="18" fillId="27" borderId="0" xfId="0" applyFont="1" applyFill="1" applyBorder="1" applyAlignment="1"/>
    <xf numFmtId="174" fontId="6" fillId="27" borderId="0" xfId="0" applyNumberFormat="1" applyFont="1" applyFill="1" applyBorder="1" applyAlignment="1">
      <alignment horizontal="left"/>
    </xf>
    <xf numFmtId="174" fontId="6" fillId="27" borderId="0" xfId="0" applyNumberFormat="1" applyFont="1" applyFill="1" applyBorder="1" applyAlignment="1">
      <alignment horizontal="center"/>
    </xf>
    <xf numFmtId="170" fontId="6" fillId="27" borderId="19" xfId="0" applyNumberFormat="1" applyFont="1" applyFill="1" applyBorder="1" applyAlignment="1"/>
    <xf numFmtId="170" fontId="6" fillId="27" borderId="0" xfId="0" applyNumberFormat="1" applyFont="1" applyFill="1" applyAlignment="1"/>
    <xf numFmtId="171" fontId="6" fillId="27" borderId="0" xfId="0" applyNumberFormat="1" applyFont="1" applyFill="1" applyAlignment="1">
      <alignment horizontal="right"/>
    </xf>
    <xf numFmtId="194" fontId="6" fillId="27" borderId="0" xfId="0" applyNumberFormat="1" applyFont="1" applyFill="1" applyBorder="1" applyAlignment="1">
      <alignment horizontal="right"/>
    </xf>
    <xf numFmtId="167" fontId="6" fillId="27" borderId="0" xfId="144" applyFont="1" applyFill="1" applyAlignment="1"/>
    <xf numFmtId="178" fontId="6" fillId="27" borderId="0" xfId="144" applyNumberFormat="1" applyFont="1" applyFill="1" applyAlignment="1"/>
    <xf numFmtId="171" fontId="4" fillId="27" borderId="0" xfId="0" applyNumberFormat="1" applyFont="1" applyFill="1" applyBorder="1" applyAlignment="1">
      <alignment horizontal="center"/>
    </xf>
    <xf numFmtId="37" fontId="6" fillId="27" borderId="4" xfId="0" applyNumberFormat="1" applyFont="1" applyFill="1" applyBorder="1" applyAlignment="1"/>
    <xf numFmtId="0" fontId="6" fillId="27" borderId="0" xfId="0" applyFont="1" applyFill="1" applyAlignment="1">
      <alignment horizontal="left"/>
    </xf>
    <xf numFmtId="0" fontId="2" fillId="27" borderId="0" xfId="0" applyFont="1" applyFill="1" applyBorder="1" applyAlignment="1">
      <alignment horizontal="left"/>
    </xf>
    <xf numFmtId="0" fontId="4" fillId="27" borderId="19" xfId="0" applyFont="1" applyFill="1" applyBorder="1" applyAlignment="1">
      <alignment horizontal="left"/>
    </xf>
    <xf numFmtId="0" fontId="4" fillId="27" borderId="19" xfId="0" applyFont="1" applyFill="1" applyBorder="1" applyAlignment="1">
      <alignment horizontal="center"/>
    </xf>
    <xf numFmtId="190" fontId="4" fillId="27" borderId="0" xfId="0" applyNumberFormat="1" applyFont="1" applyFill="1" applyBorder="1" applyAlignment="1">
      <alignment horizontal="left"/>
    </xf>
    <xf numFmtId="167" fontId="6" fillId="27" borderId="0" xfId="144" applyFont="1" applyFill="1" applyBorder="1" applyAlignment="1">
      <alignment horizontal="right"/>
    </xf>
    <xf numFmtId="205" fontId="6" fillId="27" borderId="0" xfId="133" applyNumberFormat="1" applyFont="1" applyFill="1" applyBorder="1" applyAlignment="1">
      <alignment horizontal="right"/>
    </xf>
    <xf numFmtId="10" fontId="6" fillId="27" borderId="0" xfId="133" applyNumberFormat="1" applyFont="1" applyFill="1" applyBorder="1"/>
    <xf numFmtId="195" fontId="6" fillId="27" borderId="0" xfId="133" applyNumberFormat="1" applyFont="1" applyFill="1" applyBorder="1"/>
    <xf numFmtId="196" fontId="6" fillId="27" borderId="0" xfId="133" applyNumberFormat="1" applyFont="1" applyFill="1" applyBorder="1" applyAlignment="1">
      <alignment horizontal="right"/>
    </xf>
    <xf numFmtId="203" fontId="6" fillId="27" borderId="0" xfId="144" applyNumberFormat="1" applyFont="1" applyFill="1" applyBorder="1" applyAlignment="1">
      <alignment horizontal="right"/>
    </xf>
    <xf numFmtId="2" fontId="6" fillId="27" borderId="0" xfId="133" applyNumberFormat="1" applyFont="1" applyFill="1" applyBorder="1"/>
    <xf numFmtId="10" fontId="6" fillId="27" borderId="0" xfId="133" applyNumberFormat="1" applyFont="1" applyFill="1" applyBorder="1" applyAlignment="1">
      <alignment horizontal="right"/>
    </xf>
    <xf numFmtId="9" fontId="4" fillId="27" borderId="19" xfId="133" applyFont="1" applyFill="1" applyBorder="1" applyAlignment="1">
      <alignment horizontal="center"/>
    </xf>
    <xf numFmtId="9" fontId="4" fillId="27" borderId="0" xfId="133" applyFont="1" applyFill="1" applyBorder="1" applyAlignment="1">
      <alignment horizontal="right"/>
    </xf>
    <xf numFmtId="168" fontId="31" fillId="27" borderId="0" xfId="133" applyNumberFormat="1" applyFont="1" applyFill="1" applyBorder="1" applyAlignment="1">
      <alignment horizontal="center"/>
    </xf>
    <xf numFmtId="206" fontId="6" fillId="27" borderId="0" xfId="0" applyNumberFormat="1" applyFont="1" applyFill="1" applyBorder="1" applyAlignment="1">
      <alignment horizontal="right"/>
    </xf>
    <xf numFmtId="173" fontId="6" fillId="27" borderId="0" xfId="0" applyNumberFormat="1" applyFont="1" applyFill="1" applyBorder="1" applyAlignment="1">
      <alignment horizontal="right"/>
    </xf>
    <xf numFmtId="9" fontId="31" fillId="27" borderId="0" xfId="133" applyFont="1" applyFill="1" applyBorder="1" applyAlignment="1">
      <alignment horizontal="center"/>
    </xf>
    <xf numFmtId="168" fontId="6" fillId="27" borderId="0" xfId="133" applyNumberFormat="1" applyFont="1" applyFill="1" applyBorder="1"/>
    <xf numFmtId="171" fontId="18" fillId="27" borderId="0" xfId="0" applyNumberFormat="1" applyFont="1" applyFill="1" applyBorder="1" applyAlignment="1">
      <alignment horizontal="right"/>
    </xf>
    <xf numFmtId="0" fontId="74" fillId="27" borderId="0" xfId="0" applyFont="1" applyFill="1" applyAlignment="1">
      <alignment horizontal="left"/>
    </xf>
    <xf numFmtId="0" fontId="47" fillId="27" borderId="0" xfId="0" applyFont="1" applyFill="1" applyAlignment="1"/>
    <xf numFmtId="171" fontId="47" fillId="27" borderId="0" xfId="0" applyNumberFormat="1" applyFont="1" applyFill="1" applyBorder="1" applyAlignment="1"/>
    <xf numFmtId="0" fontId="25" fillId="27" borderId="0" xfId="0" applyFont="1" applyFill="1" applyAlignment="1">
      <alignment horizontal="left"/>
    </xf>
    <xf numFmtId="168" fontId="31" fillId="27" borderId="0" xfId="133" applyNumberFormat="1" applyFont="1" applyFill="1" applyBorder="1" applyAlignment="1"/>
    <xf numFmtId="1" fontId="31" fillId="27" borderId="0" xfId="0" applyNumberFormat="1" applyFont="1" applyFill="1" applyBorder="1" applyAlignment="1"/>
    <xf numFmtId="3" fontId="18" fillId="27" borderId="0" xfId="0" applyNumberFormat="1" applyFont="1" applyFill="1" applyBorder="1" applyAlignment="1"/>
    <xf numFmtId="0" fontId="81" fillId="27" borderId="0" xfId="0" applyFont="1" applyFill="1" applyBorder="1" applyAlignment="1">
      <alignment horizontal="right"/>
    </xf>
    <xf numFmtId="0" fontId="31" fillId="27" borderId="0" xfId="0" applyFont="1" applyFill="1" applyBorder="1"/>
    <xf numFmtId="171" fontId="31" fillId="27" borderId="0" xfId="0" applyNumberFormat="1" applyFont="1" applyFill="1" applyBorder="1" applyAlignment="1">
      <alignment horizontal="center"/>
    </xf>
    <xf numFmtId="0" fontId="31" fillId="27" borderId="0" xfId="0" applyFont="1" applyFill="1" applyBorder="1" applyAlignment="1">
      <alignment horizontal="center"/>
    </xf>
    <xf numFmtId="10" fontId="6" fillId="27" borderId="0" xfId="0" applyNumberFormat="1" applyFont="1" applyFill="1" applyBorder="1" applyAlignment="1"/>
    <xf numFmtId="0" fontId="25" fillId="27" borderId="0" xfId="121" applyFont="1" applyFill="1"/>
    <xf numFmtId="171" fontId="31" fillId="27" borderId="0" xfId="121" applyNumberFormat="1" applyFont="1" applyFill="1" applyAlignment="1">
      <alignment horizontal="left" indent="4"/>
    </xf>
    <xf numFmtId="187" fontId="6" fillId="27" borderId="26" xfId="121" applyNumberFormat="1" applyFont="1" applyFill="1" applyBorder="1" applyAlignment="1">
      <alignment horizontal="left"/>
    </xf>
    <xf numFmtId="0" fontId="33" fillId="27" borderId="27" xfId="121" applyFont="1" applyFill="1" applyBorder="1" applyAlignment="1">
      <alignment horizontal="left"/>
    </xf>
    <xf numFmtId="171" fontId="31" fillId="27" borderId="27" xfId="121" applyNumberFormat="1" applyFont="1" applyFill="1" applyBorder="1" applyAlignment="1">
      <alignment horizontal="left" indent="2"/>
    </xf>
    <xf numFmtId="171" fontId="31" fillId="27" borderId="27" xfId="121" applyNumberFormat="1" applyFont="1" applyFill="1" applyBorder="1" applyAlignment="1">
      <alignment horizontal="left" indent="4"/>
    </xf>
    <xf numFmtId="171" fontId="31" fillId="27" borderId="26" xfId="121" applyNumberFormat="1" applyFont="1" applyFill="1" applyBorder="1" applyAlignment="1">
      <alignment horizontal="left" indent="2"/>
    </xf>
    <xf numFmtId="171" fontId="31" fillId="27" borderId="22" xfId="121" applyNumberFormat="1" applyFont="1" applyFill="1" applyBorder="1"/>
    <xf numFmtId="171" fontId="31" fillId="27" borderId="27" xfId="121" applyNumberFormat="1" applyFont="1" applyFill="1" applyBorder="1"/>
    <xf numFmtId="171" fontId="31" fillId="27" borderId="28" xfId="121" applyNumberFormat="1" applyFont="1" applyFill="1" applyBorder="1" applyAlignment="1">
      <alignment horizontal="left" indent="2"/>
    </xf>
    <xf numFmtId="171" fontId="31" fillId="27" borderId="24" xfId="121" applyNumberFormat="1" applyFont="1" applyFill="1" applyBorder="1"/>
    <xf numFmtId="171" fontId="31" fillId="27" borderId="26" xfId="121" applyNumberFormat="1" applyFont="1" applyFill="1" applyBorder="1"/>
    <xf numFmtId="0" fontId="31" fillId="27" borderId="27" xfId="121" applyFont="1" applyFill="1" applyBorder="1" applyAlignment="1">
      <alignment horizontal="left" indent="2"/>
    </xf>
    <xf numFmtId="187" fontId="31" fillId="27" borderId="0" xfId="121" applyNumberFormat="1" applyFont="1" applyFill="1" applyBorder="1" applyAlignment="1">
      <alignment horizontal="left"/>
    </xf>
    <xf numFmtId="215" fontId="31" fillId="27" borderId="0" xfId="121" applyNumberFormat="1" applyFont="1" applyFill="1"/>
    <xf numFmtId="0" fontId="25" fillId="27" borderId="0" xfId="121" applyFont="1" applyFill="1" applyBorder="1"/>
    <xf numFmtId="0" fontId="6" fillId="27" borderId="0" xfId="121" applyFont="1" applyFill="1" applyAlignment="1">
      <alignment horizontal="left"/>
    </xf>
    <xf numFmtId="171" fontId="6" fillId="27" borderId="0" xfId="121" applyNumberFormat="1" applyFont="1" applyFill="1" applyAlignment="1">
      <alignment horizontal="left" indent="2"/>
    </xf>
    <xf numFmtId="171" fontId="6" fillId="27" borderId="0" xfId="121" applyNumberFormat="1" applyFont="1" applyFill="1" applyAlignment="1">
      <alignment horizontal="left"/>
    </xf>
    <xf numFmtId="0" fontId="48" fillId="27" borderId="0" xfId="121" applyFont="1" applyFill="1"/>
    <xf numFmtId="0" fontId="32" fillId="27" borderId="0" xfId="121" applyFont="1" applyFill="1" applyAlignment="1">
      <alignment horizontal="left"/>
    </xf>
    <xf numFmtId="0" fontId="70" fillId="27" borderId="0" xfId="121" applyFont="1" applyFill="1"/>
    <xf numFmtId="0" fontId="33" fillId="27" borderId="0" xfId="121" applyFont="1" applyFill="1" applyAlignment="1">
      <alignment horizontal="left"/>
    </xf>
    <xf numFmtId="168" fontId="2" fillId="27" borderId="0" xfId="121" applyNumberFormat="1" applyFont="1" applyFill="1" applyAlignment="1">
      <alignment horizontal="right"/>
    </xf>
    <xf numFmtId="0" fontId="2" fillId="27" borderId="0" xfId="121" applyFont="1" applyFill="1" applyBorder="1" applyAlignment="1">
      <alignment horizontal="left"/>
    </xf>
    <xf numFmtId="171" fontId="80" fillId="27" borderId="0" xfId="119" applyNumberFormat="1" applyFont="1" applyFill="1" applyBorder="1" applyAlignment="1"/>
    <xf numFmtId="0" fontId="4" fillId="27" borderId="19" xfId="121" applyFont="1" applyFill="1" applyBorder="1" applyAlignment="1">
      <alignment horizontal="left"/>
    </xf>
    <xf numFmtId="190" fontId="4" fillId="27" borderId="0" xfId="121" applyNumberFormat="1" applyFont="1" applyFill="1" applyBorder="1" applyAlignment="1">
      <alignment horizontal="left"/>
    </xf>
    <xf numFmtId="186" fontId="6" fillId="27" borderId="0" xfId="121" applyNumberFormat="1" applyFont="1" applyFill="1" applyBorder="1" applyAlignment="1">
      <alignment horizontal="right"/>
    </xf>
    <xf numFmtId="171" fontId="33" fillId="27" borderId="24" xfId="121" applyNumberFormat="1" applyFont="1" applyFill="1" applyBorder="1" applyAlignment="1">
      <alignment horizontal="right"/>
    </xf>
    <xf numFmtId="9" fontId="33" fillId="27" borderId="23" xfId="138" applyFont="1" applyFill="1" applyBorder="1"/>
    <xf numFmtId="204" fontId="33" fillId="27" borderId="23" xfId="150" applyNumberFormat="1" applyFont="1" applyFill="1" applyBorder="1"/>
    <xf numFmtId="204" fontId="33" fillId="27" borderId="0" xfId="150" applyNumberFormat="1" applyFont="1" applyFill="1" applyBorder="1"/>
    <xf numFmtId="170" fontId="31" fillId="27" borderId="0" xfId="121" applyNumberFormat="1" applyFont="1" applyFill="1" applyAlignment="1">
      <alignment horizontal="right"/>
    </xf>
    <xf numFmtId="10" fontId="31" fillId="27" borderId="0" xfId="138" applyNumberFormat="1" applyFont="1" applyFill="1" applyAlignment="1">
      <alignment horizontal="right"/>
    </xf>
    <xf numFmtId="205" fontId="31" fillId="27" borderId="0" xfId="138" applyNumberFormat="1" applyFont="1" applyFill="1" applyAlignment="1">
      <alignment horizontal="right"/>
    </xf>
    <xf numFmtId="205" fontId="50" fillId="27" borderId="0" xfId="121" applyNumberFormat="1" applyFont="1" applyFill="1" applyAlignment="1">
      <alignment horizontal="right"/>
    </xf>
    <xf numFmtId="205" fontId="31" fillId="27" borderId="0" xfId="138" applyNumberFormat="1" applyFont="1" applyFill="1" applyBorder="1"/>
    <xf numFmtId="10" fontId="31" fillId="27" borderId="0" xfId="138" applyNumberFormat="1" applyFont="1" applyFill="1"/>
    <xf numFmtId="10" fontId="31" fillId="27" borderId="0" xfId="138" applyNumberFormat="1" applyFont="1" applyFill="1" applyBorder="1"/>
    <xf numFmtId="9" fontId="31" fillId="27" borderId="0" xfId="138" applyNumberFormat="1" applyFont="1" applyFill="1" applyAlignment="1">
      <alignment horizontal="right"/>
    </xf>
    <xf numFmtId="173" fontId="6" fillId="27" borderId="0" xfId="121" applyNumberFormat="1" applyFont="1" applyFill="1"/>
    <xf numFmtId="170" fontId="6" fillId="27" borderId="0" xfId="121" applyNumberFormat="1" applyFont="1" applyFill="1" applyBorder="1"/>
    <xf numFmtId="168" fontId="6" fillId="27" borderId="0" xfId="138" applyNumberFormat="1" applyFont="1" applyFill="1"/>
    <xf numFmtId="170" fontId="33" fillId="27" borderId="0" xfId="121" applyNumberFormat="1" applyFont="1" applyFill="1"/>
    <xf numFmtId="0" fontId="74" fillId="27" borderId="0" xfId="121" applyFont="1" applyFill="1" applyAlignment="1">
      <alignment horizontal="left"/>
    </xf>
    <xf numFmtId="0" fontId="47" fillId="27" borderId="0" xfId="121" applyFont="1" applyFill="1" applyAlignment="1"/>
    <xf numFmtId="171" fontId="47" fillId="27" borderId="0" xfId="121" applyNumberFormat="1" applyFont="1" applyFill="1" applyBorder="1" applyAlignment="1"/>
    <xf numFmtId="170" fontId="82" fillId="27" borderId="0" xfId="121" applyNumberFormat="1" applyFont="1" applyFill="1" applyBorder="1" applyAlignment="1"/>
    <xf numFmtId="171" fontId="82" fillId="27" borderId="0" xfId="121" applyNumberFormat="1" applyFont="1" applyFill="1" applyBorder="1" applyAlignment="1"/>
    <xf numFmtId="170" fontId="6" fillId="27" borderId="19" xfId="121" applyNumberFormat="1" applyFont="1" applyFill="1" applyBorder="1" applyAlignment="1"/>
    <xf numFmtId="170" fontId="31" fillId="27" borderId="0" xfId="121" applyNumberFormat="1" applyFont="1" applyFill="1" applyBorder="1" applyAlignment="1">
      <alignment horizontal="right"/>
    </xf>
    <xf numFmtId="10" fontId="31" fillId="27" borderId="0" xfId="138" applyNumberFormat="1" applyFont="1" applyFill="1" applyBorder="1" applyAlignment="1">
      <alignment horizontal="right"/>
    </xf>
    <xf numFmtId="205" fontId="50" fillId="27" borderId="0" xfId="121" applyNumberFormat="1" applyFont="1" applyFill="1" applyBorder="1" applyAlignment="1">
      <alignment horizontal="right"/>
    </xf>
    <xf numFmtId="205" fontId="31" fillId="27" borderId="0" xfId="138" applyNumberFormat="1" applyFont="1" applyFill="1" applyBorder="1" applyAlignment="1">
      <alignment horizontal="right"/>
    </xf>
    <xf numFmtId="171" fontId="33" fillId="27" borderId="0" xfId="121" applyNumberFormat="1" applyFont="1" applyFill="1" applyBorder="1"/>
    <xf numFmtId="9" fontId="31" fillId="27" borderId="0" xfId="138" applyNumberFormat="1" applyFont="1" applyFill="1" applyBorder="1" applyAlignment="1">
      <alignment horizontal="right"/>
    </xf>
    <xf numFmtId="9" fontId="6" fillId="27" borderId="0" xfId="138" applyFont="1" applyFill="1" applyBorder="1"/>
    <xf numFmtId="173" fontId="6" fillId="27" borderId="0" xfId="121" applyNumberFormat="1" applyFont="1" applyFill="1" applyBorder="1"/>
    <xf numFmtId="172" fontId="6" fillId="27" borderId="0" xfId="121" applyNumberFormat="1" applyFont="1" applyFill="1" applyBorder="1"/>
    <xf numFmtId="9" fontId="6" fillId="27" borderId="0" xfId="121" applyNumberFormat="1" applyFont="1" applyFill="1" applyBorder="1"/>
    <xf numFmtId="4" fontId="6" fillId="27" borderId="0" xfId="121" applyNumberFormat="1" applyFont="1" applyFill="1" applyBorder="1"/>
    <xf numFmtId="171" fontId="25" fillId="27" borderId="0" xfId="121" applyNumberFormat="1" applyFont="1" applyFill="1" applyBorder="1"/>
    <xf numFmtId="3" fontId="31" fillId="27" borderId="0" xfId="121" applyNumberFormat="1" applyFont="1" applyFill="1" applyBorder="1"/>
    <xf numFmtId="0" fontId="4" fillId="27" borderId="0" xfId="0" applyNumberFormat="1" applyFont="1" applyFill="1" applyBorder="1"/>
    <xf numFmtId="2" fontId="6" fillId="27" borderId="0" xfId="0" applyNumberFormat="1" applyFont="1" applyFill="1" applyBorder="1" applyAlignment="1">
      <alignment horizontal="right"/>
    </xf>
    <xf numFmtId="3" fontId="2" fillId="27" borderId="0" xfId="0" applyNumberFormat="1" applyFont="1" applyFill="1" applyBorder="1" applyAlignment="1">
      <alignment horizontal="right"/>
    </xf>
    <xf numFmtId="10" fontId="2" fillId="27" borderId="0" xfId="0" applyNumberFormat="1" applyFont="1" applyFill="1" applyBorder="1" applyAlignment="1">
      <alignment horizontal="right"/>
    </xf>
    <xf numFmtId="186" fontId="6" fillId="27" borderId="0" xfId="0" applyNumberFormat="1" applyFont="1" applyFill="1" applyBorder="1" applyAlignment="1">
      <alignment horizontal="right"/>
    </xf>
    <xf numFmtId="171" fontId="31" fillId="27" borderId="0" xfId="0" applyNumberFormat="1" applyFont="1" applyFill="1"/>
    <xf numFmtId="171" fontId="33" fillId="27" borderId="0" xfId="0" applyNumberFormat="1" applyFont="1" applyFill="1" applyAlignment="1">
      <alignment horizontal="left" indent="1"/>
    </xf>
    <xf numFmtId="0" fontId="33" fillId="27" borderId="0" xfId="0" applyFont="1" applyFill="1"/>
    <xf numFmtId="171" fontId="33" fillId="27" borderId="0" xfId="0" applyNumberFormat="1" applyFont="1" applyFill="1" applyAlignment="1">
      <alignment horizontal="left" indent="2"/>
    </xf>
    <xf numFmtId="171" fontId="33" fillId="27" borderId="0" xfId="0" applyNumberFormat="1" applyFont="1" applyFill="1" applyBorder="1" applyAlignment="1">
      <alignment horizontal="right"/>
    </xf>
    <xf numFmtId="171" fontId="31" fillId="27" borderId="0" xfId="0" applyNumberFormat="1" applyFont="1" applyFill="1" applyAlignment="1">
      <alignment horizontal="left" indent="2"/>
    </xf>
    <xf numFmtId="9" fontId="31" fillId="27" borderId="0" xfId="133" applyFont="1" applyFill="1" applyAlignment="1">
      <alignment horizontal="right"/>
    </xf>
    <xf numFmtId="9" fontId="31" fillId="27" borderId="0" xfId="133" applyFont="1" applyFill="1" applyBorder="1" applyAlignment="1">
      <alignment horizontal="right"/>
    </xf>
    <xf numFmtId="10" fontId="31" fillId="27" borderId="0" xfId="133" applyNumberFormat="1" applyFont="1" applyFill="1" applyAlignment="1">
      <alignment horizontal="right"/>
    </xf>
    <xf numFmtId="10" fontId="31" fillId="27" borderId="0" xfId="133" applyNumberFormat="1" applyFont="1" applyFill="1" applyBorder="1" applyAlignment="1">
      <alignment horizontal="right"/>
    </xf>
    <xf numFmtId="167" fontId="31" fillId="27" borderId="0" xfId="144" applyFont="1" applyFill="1" applyAlignment="1">
      <alignment horizontal="right"/>
    </xf>
    <xf numFmtId="167" fontId="31" fillId="27" borderId="0" xfId="144" applyFont="1" applyFill="1" applyBorder="1" applyAlignment="1">
      <alignment horizontal="right"/>
    </xf>
    <xf numFmtId="172" fontId="31" fillId="27" borderId="0" xfId="0" applyNumberFormat="1" applyFont="1" applyFill="1" applyAlignment="1">
      <alignment horizontal="right"/>
    </xf>
    <xf numFmtId="172" fontId="31" fillId="27" borderId="0" xfId="0" applyNumberFormat="1" applyFont="1" applyFill="1" applyBorder="1" applyAlignment="1">
      <alignment horizontal="right"/>
    </xf>
    <xf numFmtId="170" fontId="33" fillId="27" borderId="0" xfId="0" applyNumberFormat="1" applyFont="1" applyFill="1" applyAlignment="1">
      <alignment horizontal="right"/>
    </xf>
    <xf numFmtId="9" fontId="6" fillId="27" borderId="0" xfId="133" applyFont="1" applyFill="1" applyAlignment="1">
      <alignment horizontal="right"/>
    </xf>
    <xf numFmtId="170" fontId="31" fillId="27" borderId="0" xfId="0" applyNumberFormat="1" applyFont="1" applyFill="1" applyAlignment="1">
      <alignment horizontal="right"/>
    </xf>
    <xf numFmtId="208" fontId="31" fillId="27" borderId="0" xfId="0" applyNumberFormat="1" applyFont="1" applyFill="1" applyAlignment="1">
      <alignment horizontal="right"/>
    </xf>
    <xf numFmtId="208" fontId="6" fillId="27" borderId="0" xfId="0" applyNumberFormat="1" applyFont="1" applyFill="1" applyAlignment="1">
      <alignment horizontal="right"/>
    </xf>
    <xf numFmtId="10" fontId="6" fillId="27" borderId="0" xfId="133" applyNumberFormat="1" applyFont="1" applyFill="1" applyAlignment="1">
      <alignment horizontal="right"/>
    </xf>
    <xf numFmtId="173" fontId="6" fillId="27" borderId="0" xfId="0" applyNumberFormat="1" applyFont="1" applyFill="1" applyAlignment="1">
      <alignment horizontal="right"/>
    </xf>
    <xf numFmtId="171" fontId="33" fillId="27" borderId="0" xfId="0" applyNumberFormat="1" applyFont="1" applyFill="1"/>
    <xf numFmtId="205" fontId="31" fillId="27" borderId="0" xfId="133" applyNumberFormat="1" applyFont="1" applyFill="1" applyAlignment="1">
      <alignment horizontal="right"/>
    </xf>
    <xf numFmtId="9" fontId="31" fillId="27" borderId="0" xfId="0" applyNumberFormat="1" applyFont="1" applyFill="1"/>
    <xf numFmtId="170" fontId="31" fillId="27" borderId="0" xfId="0" applyNumberFormat="1" applyFont="1" applyFill="1"/>
    <xf numFmtId="170" fontId="6" fillId="27" borderId="0" xfId="0" applyNumberFormat="1" applyFont="1" applyFill="1"/>
    <xf numFmtId="0" fontId="31" fillId="27" borderId="0" xfId="0" applyFont="1" applyFill="1" applyAlignment="1">
      <alignment horizontal="right"/>
    </xf>
    <xf numFmtId="172" fontId="31" fillId="27" borderId="0" xfId="0" applyNumberFormat="1" applyFont="1" applyFill="1"/>
    <xf numFmtId="0" fontId="31" fillId="27" borderId="0" xfId="0" applyFont="1" applyFill="1" applyAlignment="1">
      <alignment horizontal="left" indent="2"/>
    </xf>
    <xf numFmtId="170" fontId="6" fillId="27" borderId="0" xfId="0" applyNumberFormat="1" applyFont="1" applyFill="1" applyAlignment="1">
      <alignment horizontal="right"/>
    </xf>
    <xf numFmtId="171" fontId="31" fillId="27" borderId="0" xfId="0" applyNumberFormat="1" applyFont="1" applyFill="1" applyAlignment="1">
      <alignment horizontal="left"/>
    </xf>
    <xf numFmtId="172" fontId="6" fillId="27" borderId="0" xfId="0" applyNumberFormat="1" applyFont="1" applyFill="1" applyAlignment="1">
      <alignment horizontal="right"/>
    </xf>
    <xf numFmtId="171" fontId="6" fillId="27" borderId="0" xfId="0" applyNumberFormat="1" applyFont="1" applyFill="1" applyAlignment="1">
      <alignment horizontal="left" indent="2"/>
    </xf>
    <xf numFmtId="170" fontId="31" fillId="27" borderId="0" xfId="0" applyNumberFormat="1" applyFont="1" applyFill="1" applyAlignment="1">
      <alignment horizontal="left"/>
    </xf>
    <xf numFmtId="170" fontId="31" fillId="27" borderId="0" xfId="0" applyNumberFormat="1" applyFont="1" applyFill="1" applyAlignment="1">
      <alignment horizontal="left" indent="2"/>
    </xf>
    <xf numFmtId="2" fontId="31" fillId="27" borderId="0" xfId="0" applyNumberFormat="1" applyFont="1" applyFill="1" applyAlignment="1">
      <alignment horizontal="left" indent="2"/>
    </xf>
    <xf numFmtId="209" fontId="69" fillId="27" borderId="29" xfId="0" applyNumberFormat="1" applyFont="1" applyFill="1" applyBorder="1"/>
    <xf numFmtId="0" fontId="16" fillId="27" borderId="0" xfId="0" applyFont="1" applyFill="1" applyAlignment="1"/>
    <xf numFmtId="171" fontId="31" fillId="27" borderId="0" xfId="0" applyNumberFormat="1" applyFont="1" applyFill="1" applyAlignment="1"/>
    <xf numFmtId="0" fontId="31" fillId="27" borderId="0" xfId="0" applyFont="1" applyFill="1" applyAlignment="1"/>
    <xf numFmtId="171" fontId="31" fillId="27" borderId="0" xfId="133" applyNumberFormat="1" applyFont="1" applyFill="1"/>
    <xf numFmtId="171" fontId="6" fillId="27" borderId="0" xfId="133" applyNumberFormat="1" applyFont="1" applyFill="1"/>
    <xf numFmtId="0" fontId="31" fillId="27" borderId="0" xfId="0" applyFont="1" applyFill="1" applyAlignment="1">
      <alignment horizontal="left" indent="4"/>
    </xf>
    <xf numFmtId="0" fontId="6" fillId="27" borderId="19" xfId="0" applyFont="1" applyFill="1" applyBorder="1"/>
    <xf numFmtId="170" fontId="6" fillId="27" borderId="19" xfId="0" applyNumberFormat="1" applyFont="1" applyFill="1" applyBorder="1"/>
    <xf numFmtId="187" fontId="6" fillId="27" borderId="0" xfId="0" applyNumberFormat="1" applyFont="1" applyFill="1" applyAlignment="1"/>
    <xf numFmtId="0" fontId="31" fillId="27" borderId="0" xfId="0" applyFont="1" applyFill="1" applyBorder="1" applyAlignment="1">
      <alignment horizontal="right"/>
    </xf>
    <xf numFmtId="171" fontId="18" fillId="27" borderId="0" xfId="0" applyNumberFormat="1" applyFont="1" applyFill="1" applyBorder="1" applyAlignment="1"/>
    <xf numFmtId="171" fontId="2" fillId="27" borderId="0" xfId="0" applyNumberFormat="1" applyFont="1" applyFill="1" applyAlignment="1">
      <alignment horizontal="right"/>
    </xf>
    <xf numFmtId="0" fontId="31" fillId="27" borderId="0" xfId="0" applyFont="1" applyFill="1" applyBorder="1" applyAlignment="1"/>
    <xf numFmtId="194" fontId="31" fillId="27" borderId="0" xfId="0" applyNumberFormat="1" applyFont="1" applyFill="1" applyBorder="1" applyAlignment="1">
      <alignment horizontal="right"/>
    </xf>
    <xf numFmtId="191" fontId="6" fillId="27" borderId="0" xfId="0" applyNumberFormat="1" applyFont="1" applyFill="1" applyAlignment="1"/>
    <xf numFmtId="191" fontId="6" fillId="27" borderId="0" xfId="0" applyNumberFormat="1" applyFont="1" applyFill="1" applyBorder="1" applyAlignment="1"/>
    <xf numFmtId="171" fontId="6" fillId="27" borderId="4" xfId="0" applyNumberFormat="1" applyFont="1" applyFill="1" applyBorder="1" applyAlignment="1"/>
    <xf numFmtId="171" fontId="6" fillId="27" borderId="0" xfId="144" applyNumberFormat="1" applyFont="1" applyFill="1" applyBorder="1" applyAlignment="1"/>
    <xf numFmtId="171" fontId="33" fillId="27" borderId="0" xfId="0" applyNumberFormat="1" applyFont="1" applyFill="1" applyBorder="1" applyAlignment="1"/>
    <xf numFmtId="171" fontId="31" fillId="27" borderId="0" xfId="0" applyNumberFormat="1" applyFont="1" applyFill="1" applyBorder="1"/>
    <xf numFmtId="0" fontId="31" fillId="27" borderId="0" xfId="0" applyFont="1" applyFill="1" applyAlignment="1">
      <alignment horizontal="left"/>
    </xf>
    <xf numFmtId="171" fontId="79" fillId="27" borderId="0" xfId="119" applyNumberFormat="1" applyFont="1" applyFill="1" applyBorder="1" applyAlignment="1"/>
    <xf numFmtId="9" fontId="31" fillId="27" borderId="0" xfId="0" applyNumberFormat="1" applyFont="1" applyFill="1" applyBorder="1" applyAlignment="1">
      <alignment horizontal="right"/>
    </xf>
    <xf numFmtId="208" fontId="31" fillId="27" borderId="0" xfId="0" applyNumberFormat="1" applyFont="1" applyFill="1" applyBorder="1" applyAlignment="1">
      <alignment horizontal="right"/>
    </xf>
    <xf numFmtId="173" fontId="31" fillId="27" borderId="0" xfId="0" applyNumberFormat="1" applyFont="1" applyFill="1" applyBorder="1" applyAlignment="1">
      <alignment horizontal="right"/>
    </xf>
    <xf numFmtId="168" fontId="31" fillId="27" borderId="0" xfId="133" applyNumberFormat="1" applyFont="1" applyFill="1" applyBorder="1" applyAlignment="1">
      <alignment horizontal="right"/>
    </xf>
    <xf numFmtId="9" fontId="31" fillId="27" borderId="0" xfId="0" applyNumberFormat="1" applyFont="1" applyFill="1" applyBorder="1"/>
    <xf numFmtId="170" fontId="31" fillId="27" borderId="0" xfId="0" applyNumberFormat="1" applyFont="1" applyFill="1" applyBorder="1"/>
    <xf numFmtId="172" fontId="31" fillId="27" borderId="0" xfId="0" applyNumberFormat="1" applyFont="1" applyFill="1" applyBorder="1"/>
    <xf numFmtId="170" fontId="31" fillId="27" borderId="0" xfId="0" applyNumberFormat="1" applyFont="1" applyFill="1" applyBorder="1" applyAlignment="1">
      <alignment horizontal="right"/>
    </xf>
    <xf numFmtId="213" fontId="31" fillId="27" borderId="0" xfId="0" applyNumberFormat="1" applyFont="1" applyFill="1" applyBorder="1"/>
    <xf numFmtId="171" fontId="31" fillId="27" borderId="0" xfId="133" applyNumberFormat="1" applyFont="1" applyFill="1" applyBorder="1"/>
    <xf numFmtId="187" fontId="2" fillId="27" borderId="0" xfId="0" applyNumberFormat="1" applyFont="1" applyFill="1" applyBorder="1"/>
    <xf numFmtId="171" fontId="2" fillId="27" borderId="0" xfId="0" applyNumberFormat="1" applyFont="1" applyFill="1" applyBorder="1" applyAlignment="1">
      <alignment horizontal="right"/>
    </xf>
    <xf numFmtId="178" fontId="6" fillId="27" borderId="0" xfId="150" applyNumberFormat="1" applyFont="1" applyFill="1" applyBorder="1"/>
    <xf numFmtId="10" fontId="6" fillId="27" borderId="0" xfId="138" applyNumberFormat="1" applyFont="1" applyFill="1" applyBorder="1"/>
    <xf numFmtId="196" fontId="6" fillId="27" borderId="0" xfId="138" applyNumberFormat="1" applyFont="1" applyFill="1" applyBorder="1" applyAlignment="1">
      <alignment horizontal="right"/>
    </xf>
    <xf numFmtId="205" fontId="6" fillId="27" borderId="0" xfId="138" applyNumberFormat="1" applyFont="1" applyFill="1" applyBorder="1" applyAlignment="1">
      <alignment horizontal="right"/>
    </xf>
    <xf numFmtId="0" fontId="4" fillId="27" borderId="19" xfId="121" applyFont="1" applyFill="1" applyBorder="1" applyAlignment="1">
      <alignment horizontal="center"/>
    </xf>
    <xf numFmtId="0" fontId="3" fillId="27" borderId="0" xfId="121" applyFont="1" applyFill="1" applyAlignment="1">
      <alignment horizontal="left"/>
    </xf>
    <xf numFmtId="207" fontId="6" fillId="27" borderId="0" xfId="121" applyNumberFormat="1" applyFont="1" applyFill="1" applyBorder="1" applyAlignment="1">
      <alignment horizontal="right"/>
    </xf>
    <xf numFmtId="170" fontId="4" fillId="27" borderId="0" xfId="121" applyNumberFormat="1" applyFont="1" applyFill="1" applyBorder="1" applyAlignment="1">
      <alignment horizontal="right"/>
    </xf>
    <xf numFmtId="9" fontId="6" fillId="27" borderId="0" xfId="138" applyFont="1" applyFill="1" applyBorder="1" applyAlignment="1">
      <alignment horizontal="center"/>
    </xf>
    <xf numFmtId="10" fontId="6" fillId="27" borderId="0" xfId="121" applyNumberFormat="1" applyFont="1" applyFill="1" applyBorder="1" applyAlignment="1"/>
    <xf numFmtId="171" fontId="18" fillId="27" borderId="0" xfId="119" applyNumberFormat="1" applyFont="1" applyFill="1" applyBorder="1" applyAlignment="1"/>
    <xf numFmtId="171" fontId="4" fillId="27" borderId="0" xfId="121" applyNumberFormat="1" applyFont="1" applyFill="1" applyBorder="1" applyAlignment="1">
      <alignment horizontal="left" indent="2"/>
    </xf>
    <xf numFmtId="172" fontId="4" fillId="27" borderId="0" xfId="121" applyNumberFormat="1" applyFont="1" applyFill="1" applyBorder="1" applyAlignment="1">
      <alignment horizontal="right"/>
    </xf>
    <xf numFmtId="0" fontId="74" fillId="27" borderId="0" xfId="121" applyFont="1" applyFill="1"/>
    <xf numFmtId="168" fontId="4" fillId="27" borderId="0" xfId="138" applyNumberFormat="1" applyFont="1" applyFill="1" applyBorder="1" applyAlignment="1"/>
    <xf numFmtId="194" fontId="6" fillId="27" borderId="0" xfId="121" applyNumberFormat="1" applyFont="1" applyFill="1" applyBorder="1" applyAlignment="1">
      <alignment horizontal="right"/>
    </xf>
    <xf numFmtId="0" fontId="11" fillId="27" borderId="0" xfId="121" applyFont="1" applyFill="1" applyBorder="1" applyAlignment="1">
      <alignment horizontal="left"/>
    </xf>
    <xf numFmtId="43" fontId="2" fillId="27" borderId="0" xfId="121" applyNumberFormat="1" applyFont="1" applyFill="1" applyBorder="1"/>
    <xf numFmtId="43" fontId="6" fillId="27" borderId="0" xfId="121" applyNumberFormat="1" applyFont="1" applyFill="1" applyBorder="1"/>
    <xf numFmtId="0" fontId="4" fillId="27" borderId="0" xfId="121" applyFont="1" applyFill="1" applyBorder="1" applyAlignment="1">
      <alignment horizontal="left" indent="2"/>
    </xf>
    <xf numFmtId="10" fontId="6" fillId="27" borderId="0" xfId="121" applyNumberFormat="1" applyFont="1" applyFill="1" applyBorder="1"/>
    <xf numFmtId="0" fontId="16" fillId="27" borderId="0" xfId="121" applyFont="1" applyFill="1" applyBorder="1"/>
    <xf numFmtId="190" fontId="6" fillId="27" borderId="0" xfId="121" applyNumberFormat="1" applyFont="1" applyFill="1" applyBorder="1"/>
    <xf numFmtId="0" fontId="18" fillId="27" borderId="0" xfId="121" applyFont="1" applyFill="1" applyBorder="1"/>
    <xf numFmtId="0" fontId="74" fillId="27" borderId="0" xfId="121" applyFont="1" applyFill="1" applyBorder="1"/>
    <xf numFmtId="0" fontId="81" fillId="27" borderId="0" xfId="121" applyFont="1" applyFill="1" applyBorder="1" applyAlignment="1">
      <alignment horizontal="right"/>
    </xf>
    <xf numFmtId="0" fontId="4" fillId="27" borderId="0" xfId="121" applyFont="1" applyFill="1" applyBorder="1"/>
    <xf numFmtId="187" fontId="6" fillId="27" borderId="1" xfId="121" applyNumberFormat="1" applyFont="1" applyFill="1" applyBorder="1" applyAlignment="1"/>
    <xf numFmtId="167" fontId="6" fillId="27" borderId="0" xfId="150" applyNumberFormat="1" applyFont="1" applyFill="1" applyBorder="1" applyAlignment="1"/>
    <xf numFmtId="178" fontId="6" fillId="27" borderId="0" xfId="150" applyNumberFormat="1" applyFont="1" applyFill="1" applyBorder="1" applyAlignment="1"/>
    <xf numFmtId="171" fontId="6" fillId="27" borderId="1" xfId="121" applyNumberFormat="1" applyFont="1" applyFill="1" applyBorder="1" applyAlignment="1"/>
    <xf numFmtId="37" fontId="6" fillId="27" borderId="0" xfId="121" applyNumberFormat="1" applyFont="1" applyFill="1" applyBorder="1"/>
    <xf numFmtId="178" fontId="6" fillId="27" borderId="0" xfId="121" applyNumberFormat="1" applyFont="1" applyFill="1" applyBorder="1"/>
    <xf numFmtId="0" fontId="78" fillId="27" borderId="30" xfId="75" applyFont="1" applyFill="1" applyBorder="1" applyAlignment="1">
      <alignment horizontal="left"/>
    </xf>
    <xf numFmtId="0" fontId="78" fillId="27" borderId="4" xfId="75" applyFont="1" applyFill="1" applyBorder="1" applyAlignment="1">
      <alignment horizontal="left"/>
    </xf>
    <xf numFmtId="192" fontId="78" fillId="27" borderId="4" xfId="53" applyNumberFormat="1" applyFont="1" applyFill="1" applyBorder="1"/>
    <xf numFmtId="0" fontId="78" fillId="0" borderId="25" xfId="75" applyFont="1" applyBorder="1" applyAlignment="1">
      <alignment horizontal="left"/>
    </xf>
    <xf numFmtId="0" fontId="78" fillId="0" borderId="25" xfId="75" applyFont="1" applyBorder="1"/>
    <xf numFmtId="192" fontId="78" fillId="27" borderId="4" xfId="75" applyNumberFormat="1" applyFont="1" applyFill="1" applyBorder="1"/>
    <xf numFmtId="192" fontId="71" fillId="27" borderId="4" xfId="53" applyNumberFormat="1" applyFont="1" applyFill="1" applyBorder="1"/>
    <xf numFmtId="0" fontId="31" fillId="0" borderId="0" xfId="125" applyFont="1" applyFill="1" applyBorder="1" applyAlignment="1">
      <alignment horizontal="left"/>
    </xf>
    <xf numFmtId="1" fontId="4" fillId="27" borderId="0" xfId="121" applyNumberFormat="1" applyFont="1" applyFill="1" applyBorder="1" applyAlignment="1">
      <alignment horizontal="right"/>
    </xf>
    <xf numFmtId="0" fontId="33" fillId="27" borderId="0" xfId="0" applyFont="1" applyFill="1" applyBorder="1" applyAlignment="1">
      <alignment horizontal="center"/>
    </xf>
    <xf numFmtId="0" fontId="33" fillId="27" borderId="0" xfId="0" applyFont="1" applyFill="1" applyBorder="1" applyAlignment="1"/>
    <xf numFmtId="0" fontId="33" fillId="27" borderId="0" xfId="0" applyFont="1" applyFill="1" applyBorder="1"/>
    <xf numFmtId="0" fontId="32" fillId="27" borderId="0" xfId="0" applyFont="1" applyFill="1"/>
    <xf numFmtId="170" fontId="33" fillId="27" borderId="0" xfId="0" applyNumberFormat="1" applyFont="1" applyFill="1" applyBorder="1" applyAlignment="1"/>
    <xf numFmtId="0" fontId="33" fillId="27" borderId="0" xfId="0" applyFont="1" applyFill="1" applyAlignment="1"/>
    <xf numFmtId="187" fontId="33" fillId="27" borderId="4" xfId="0" applyNumberFormat="1" applyFont="1" applyFill="1" applyBorder="1" applyAlignment="1"/>
    <xf numFmtId="187" fontId="33" fillId="27" borderId="0" xfId="0" applyNumberFormat="1" applyFont="1" applyFill="1"/>
    <xf numFmtId="0" fontId="46" fillId="27" borderId="0" xfId="0" applyFont="1" applyFill="1" applyAlignment="1"/>
    <xf numFmtId="217" fontId="4" fillId="27" borderId="19" xfId="0" applyNumberFormat="1" applyFont="1" applyFill="1" applyBorder="1" applyAlignment="1">
      <alignment horizontal="right"/>
    </xf>
    <xf numFmtId="217" fontId="4" fillId="27" borderId="0" xfId="0" applyNumberFormat="1" applyFont="1" applyFill="1" applyBorder="1" applyAlignment="1">
      <alignment horizontal="right"/>
    </xf>
    <xf numFmtId="9" fontId="6" fillId="27" borderId="0" xfId="139" applyFont="1" applyFill="1" applyAlignment="1">
      <alignment horizontal="right"/>
    </xf>
    <xf numFmtId="9" fontId="6" fillId="27" borderId="0" xfId="139" applyFont="1" applyFill="1"/>
    <xf numFmtId="187" fontId="6" fillId="27" borderId="26" xfId="0" applyNumberFormat="1" applyFont="1" applyFill="1" applyBorder="1" applyAlignment="1">
      <alignment horizontal="left"/>
    </xf>
    <xf numFmtId="187" fontId="6" fillId="27" borderId="22" xfId="0" applyNumberFormat="1" applyFont="1" applyFill="1" applyBorder="1" applyAlignment="1">
      <alignment horizontal="right"/>
    </xf>
    <xf numFmtId="0" fontId="2" fillId="27" borderId="22" xfId="0" applyFont="1" applyFill="1" applyBorder="1"/>
    <xf numFmtId="0" fontId="4" fillId="27" borderId="27" xfId="0" applyFont="1" applyFill="1" applyBorder="1" applyAlignment="1">
      <alignment horizontal="left"/>
    </xf>
    <xf numFmtId="171" fontId="6" fillId="27" borderId="27" xfId="0" applyNumberFormat="1" applyFont="1" applyFill="1" applyBorder="1" applyAlignment="1">
      <alignment horizontal="left" indent="2"/>
    </xf>
    <xf numFmtId="0" fontId="4" fillId="27" borderId="23" xfId="0" applyFont="1" applyFill="1" applyBorder="1"/>
    <xf numFmtId="0" fontId="6" fillId="27" borderId="23" xfId="0" applyFont="1" applyFill="1" applyBorder="1"/>
    <xf numFmtId="171" fontId="6" fillId="27" borderId="27" xfId="0" applyNumberFormat="1" applyFont="1" applyFill="1" applyBorder="1" applyAlignment="1">
      <alignment horizontal="left" indent="4"/>
    </xf>
    <xf numFmtId="9" fontId="6" fillId="27" borderId="0" xfId="139" applyFont="1" applyFill="1" applyBorder="1" applyAlignment="1">
      <alignment horizontal="right"/>
    </xf>
    <xf numFmtId="171" fontId="6" fillId="27" borderId="26" xfId="0" applyNumberFormat="1" applyFont="1" applyFill="1" applyBorder="1" applyAlignment="1">
      <alignment horizontal="left" indent="2"/>
    </xf>
    <xf numFmtId="171" fontId="6" fillId="27" borderId="22" xfId="0" applyNumberFormat="1" applyFont="1" applyFill="1" applyBorder="1"/>
    <xf numFmtId="0" fontId="6" fillId="27" borderId="22" xfId="0" applyFont="1" applyFill="1" applyBorder="1"/>
    <xf numFmtId="171" fontId="6" fillId="27" borderId="27" xfId="0" applyNumberFormat="1" applyFont="1" applyFill="1" applyBorder="1"/>
    <xf numFmtId="171" fontId="6" fillId="27" borderId="26" xfId="0" applyNumberFormat="1" applyFont="1" applyFill="1" applyBorder="1"/>
    <xf numFmtId="170" fontId="6" fillId="27" borderId="22" xfId="0" applyNumberFormat="1" applyFont="1" applyFill="1" applyBorder="1"/>
    <xf numFmtId="0" fontId="6" fillId="27" borderId="27" xfId="0" applyFont="1" applyFill="1" applyBorder="1" applyAlignment="1">
      <alignment horizontal="left" indent="2"/>
    </xf>
    <xf numFmtId="168" fontId="6" fillId="27" borderId="0" xfId="139" applyNumberFormat="1" applyFont="1" applyFill="1" applyBorder="1"/>
    <xf numFmtId="171" fontId="4" fillId="27" borderId="23" xfId="0" applyNumberFormat="1" applyFont="1" applyFill="1" applyBorder="1" applyAlignment="1">
      <alignment horizontal="right"/>
    </xf>
    <xf numFmtId="9" fontId="4" fillId="27" borderId="23" xfId="139" applyFont="1" applyFill="1" applyBorder="1"/>
    <xf numFmtId="178" fontId="4" fillId="27" borderId="23" xfId="152" applyNumberFormat="1" applyFont="1" applyFill="1" applyBorder="1"/>
    <xf numFmtId="171" fontId="6" fillId="27" borderId="28" xfId="0" applyNumberFormat="1" applyFont="1" applyFill="1" applyBorder="1" applyAlignment="1">
      <alignment horizontal="left" indent="2"/>
    </xf>
    <xf numFmtId="171" fontId="6" fillId="27" borderId="24" xfId="0" applyNumberFormat="1" applyFont="1" applyFill="1" applyBorder="1"/>
    <xf numFmtId="0" fontId="6" fillId="27" borderId="24" xfId="0" applyFont="1" applyFill="1" applyBorder="1"/>
    <xf numFmtId="169" fontId="6" fillId="27" borderId="24" xfId="0" applyNumberFormat="1" applyFont="1" applyFill="1" applyBorder="1"/>
    <xf numFmtId="10" fontId="6" fillId="27" borderId="0" xfId="139" applyNumberFormat="1" applyFont="1" applyFill="1" applyBorder="1" applyAlignment="1">
      <alignment horizontal="right"/>
    </xf>
    <xf numFmtId="218" fontId="6" fillId="27" borderId="0" xfId="0" applyNumberFormat="1" applyFont="1" applyFill="1"/>
    <xf numFmtId="10" fontId="6" fillId="27" borderId="0" xfId="139" applyNumberFormat="1" applyFont="1" applyFill="1"/>
    <xf numFmtId="3" fontId="6" fillId="27" borderId="0" xfId="0" applyNumberFormat="1" applyFont="1" applyFill="1"/>
    <xf numFmtId="171" fontId="6" fillId="27" borderId="0" xfId="0" applyNumberFormat="1" applyFont="1" applyFill="1" applyAlignment="1">
      <alignment horizontal="left"/>
    </xf>
    <xf numFmtId="1" fontId="6" fillId="27" borderId="0" xfId="0" applyNumberFormat="1" applyFont="1" applyFill="1" applyBorder="1"/>
    <xf numFmtId="171" fontId="6" fillId="27" borderId="0" xfId="0" applyNumberFormat="1" applyFont="1" applyFill="1" applyBorder="1" applyAlignment="1">
      <alignment horizontal="left" indent="2"/>
    </xf>
    <xf numFmtId="172" fontId="4" fillId="27" borderId="0" xfId="0" applyNumberFormat="1" applyFont="1" applyFill="1"/>
    <xf numFmtId="187" fontId="6" fillId="27" borderId="0" xfId="139" applyNumberFormat="1" applyFont="1" applyFill="1" applyBorder="1" applyAlignment="1">
      <alignment horizontal="right"/>
    </xf>
    <xf numFmtId="187" fontId="6" fillId="27" borderId="0" xfId="139" applyNumberFormat="1" applyFont="1" applyFill="1" applyBorder="1" applyAlignment="1"/>
    <xf numFmtId="168" fontId="6" fillId="27" borderId="0" xfId="139" applyNumberFormat="1" applyFont="1" applyFill="1" applyBorder="1" applyAlignment="1"/>
    <xf numFmtId="0" fontId="4" fillId="27" borderId="0" xfId="127" applyFont="1" applyFill="1" applyBorder="1" applyAlignment="1"/>
    <xf numFmtId="0" fontId="6" fillId="27" borderId="0" xfId="127" applyFont="1" applyFill="1" applyBorder="1" applyAlignment="1"/>
    <xf numFmtId="0" fontId="2" fillId="27" borderId="0" xfId="127" applyFont="1" applyFill="1" applyAlignment="1"/>
    <xf numFmtId="0" fontId="18" fillId="27" borderId="0" xfId="0" applyFont="1" applyFill="1"/>
    <xf numFmtId="0" fontId="74" fillId="27" borderId="0" xfId="0" applyFont="1" applyFill="1"/>
    <xf numFmtId="168" fontId="6" fillId="27" borderId="19" xfId="139" applyNumberFormat="1" applyFont="1" applyFill="1" applyBorder="1" applyAlignment="1"/>
    <xf numFmtId="219" fontId="6" fillId="27" borderId="0" xfId="0" applyNumberFormat="1" applyFont="1" applyFill="1" applyBorder="1" applyAlignment="1"/>
    <xf numFmtId="178" fontId="2" fillId="27" borderId="27" xfId="152" applyNumberFormat="1" applyFont="1" applyFill="1" applyBorder="1" applyAlignment="1"/>
    <xf numFmtId="178" fontId="2" fillId="27" borderId="0" xfId="0" applyNumberFormat="1" applyFont="1" applyFill="1" applyBorder="1" applyAlignment="1"/>
    <xf numFmtId="178" fontId="2" fillId="27" borderId="31" xfId="0" applyNumberFormat="1" applyFont="1" applyFill="1" applyBorder="1" applyAlignment="1"/>
    <xf numFmtId="178" fontId="3" fillId="27" borderId="27" xfId="152" applyNumberFormat="1" applyFont="1" applyFill="1" applyBorder="1" applyAlignment="1"/>
    <xf numFmtId="178" fontId="3" fillId="27" borderId="0" xfId="152" applyNumberFormat="1" applyFont="1" applyFill="1" applyBorder="1" applyAlignment="1"/>
    <xf numFmtId="178" fontId="3" fillId="27" borderId="0" xfId="152" applyNumberFormat="1" applyFont="1" applyFill="1" applyBorder="1" applyAlignment="1">
      <alignment horizontal="right"/>
    </xf>
    <xf numFmtId="178" fontId="3" fillId="27" borderId="31" xfId="152" applyNumberFormat="1" applyFont="1" applyFill="1" applyBorder="1" applyAlignment="1">
      <alignment horizontal="right"/>
    </xf>
    <xf numFmtId="0" fontId="2" fillId="27" borderId="27" xfId="0" applyFont="1" applyFill="1" applyBorder="1" applyAlignment="1"/>
    <xf numFmtId="0" fontId="2" fillId="27" borderId="31" xfId="0" applyFont="1" applyFill="1" applyBorder="1" applyAlignment="1">
      <alignment horizontal="right"/>
    </xf>
    <xf numFmtId="167" fontId="3" fillId="27" borderId="27" xfId="152" applyNumberFormat="1" applyFont="1" applyFill="1" applyBorder="1" applyAlignment="1"/>
    <xf numFmtId="167" fontId="3" fillId="27" borderId="0" xfId="152" applyNumberFormat="1" applyFont="1" applyFill="1" applyBorder="1" applyAlignment="1"/>
    <xf numFmtId="167" fontId="3" fillId="27" borderId="0" xfId="152" applyNumberFormat="1" applyFont="1" applyFill="1" applyBorder="1" applyAlignment="1">
      <alignment horizontal="right"/>
    </xf>
    <xf numFmtId="167" fontId="3" fillId="27" borderId="31" xfId="152" applyNumberFormat="1" applyFont="1" applyFill="1" applyBorder="1" applyAlignment="1">
      <alignment horizontal="right"/>
    </xf>
    <xf numFmtId="9" fontId="3" fillId="27" borderId="27" xfId="139" applyFont="1" applyFill="1" applyBorder="1" applyAlignment="1"/>
    <xf numFmtId="9" fontId="3" fillId="27" borderId="0" xfId="139" applyFont="1" applyFill="1" applyBorder="1" applyAlignment="1"/>
    <xf numFmtId="9" fontId="3" fillId="27" borderId="0" xfId="139" applyFont="1" applyFill="1" applyBorder="1" applyAlignment="1">
      <alignment horizontal="right"/>
    </xf>
    <xf numFmtId="9" fontId="3" fillId="27" borderId="31" xfId="139" applyFont="1" applyFill="1" applyBorder="1" applyAlignment="1">
      <alignment horizontal="right"/>
    </xf>
    <xf numFmtId="0" fontId="6" fillId="27" borderId="0" xfId="127" applyFont="1" applyFill="1" applyBorder="1"/>
    <xf numFmtId="168" fontId="4" fillId="27" borderId="0" xfId="139" applyNumberFormat="1" applyFont="1" applyFill="1" applyBorder="1" applyAlignment="1">
      <alignment horizontal="right"/>
    </xf>
    <xf numFmtId="171" fontId="6" fillId="27" borderId="0" xfId="139" applyNumberFormat="1" applyFont="1" applyFill="1" applyBorder="1" applyAlignment="1"/>
    <xf numFmtId="168" fontId="6" fillId="27" borderId="0" xfId="139" applyNumberFormat="1" applyFont="1" applyFill="1" applyBorder="1" applyAlignment="1">
      <alignment horizontal="right"/>
    </xf>
    <xf numFmtId="37" fontId="6" fillId="27" borderId="0" xfId="0" applyNumberFormat="1" applyFont="1" applyFill="1" applyBorder="1" applyAlignment="1">
      <alignment horizontal="right"/>
    </xf>
    <xf numFmtId="10" fontId="6" fillId="27" borderId="0" xfId="139" applyNumberFormat="1" applyFont="1" applyFill="1" applyBorder="1" applyAlignment="1"/>
    <xf numFmtId="192" fontId="6" fillId="27" borderId="0" xfId="152" applyNumberFormat="1" applyFont="1" applyFill="1" applyBorder="1" applyAlignment="1"/>
    <xf numFmtId="37" fontId="6" fillId="27" borderId="0" xfId="152" applyNumberFormat="1" applyFont="1" applyFill="1" applyBorder="1" applyAlignment="1"/>
    <xf numFmtId="10" fontId="6" fillId="27" borderId="0" xfId="139" applyNumberFormat="1" applyFont="1" applyFill="1" applyAlignment="1">
      <alignment horizontal="right"/>
    </xf>
    <xf numFmtId="10" fontId="2" fillId="27" borderId="0" xfId="0" applyNumberFormat="1" applyFont="1" applyFill="1" applyBorder="1"/>
    <xf numFmtId="171" fontId="6" fillId="27" borderId="0" xfId="0" applyNumberFormat="1" applyFont="1" applyFill="1" applyAlignment="1">
      <alignment horizontal="left" indent="4"/>
    </xf>
    <xf numFmtId="9" fontId="6" fillId="27" borderId="0" xfId="0" applyNumberFormat="1" applyFont="1" applyFill="1" applyAlignment="1"/>
    <xf numFmtId="0" fontId="45" fillId="27" borderId="0" xfId="0" applyFont="1" applyFill="1"/>
    <xf numFmtId="0" fontId="31" fillId="27" borderId="0" xfId="0" applyFont="1" applyFill="1" applyBorder="1" applyAlignment="1">
      <alignment horizontal="left"/>
    </xf>
    <xf numFmtId="0" fontId="45" fillId="27" borderId="0" xfId="0" applyFont="1" applyFill="1" applyAlignment="1"/>
    <xf numFmtId="0" fontId="45" fillId="27" borderId="0" xfId="0" applyFont="1" applyFill="1" applyAlignment="1">
      <alignment horizontal="left"/>
    </xf>
    <xf numFmtId="192" fontId="71" fillId="27" borderId="4" xfId="52" applyNumberFormat="1" applyFont="1" applyFill="1" applyBorder="1" applyAlignment="1">
      <alignment horizontal="center" vertical="center"/>
    </xf>
    <xf numFmtId="0" fontId="32" fillId="27" borderId="0" xfId="0" applyFont="1" applyFill="1" applyAlignment="1">
      <alignment horizontal="left"/>
    </xf>
    <xf numFmtId="0" fontId="48" fillId="27" borderId="0" xfId="0" applyFont="1" applyFill="1"/>
    <xf numFmtId="0" fontId="33" fillId="27" borderId="0" xfId="0" applyFont="1" applyFill="1" applyAlignment="1">
      <alignment horizontal="left"/>
    </xf>
    <xf numFmtId="187" fontId="6" fillId="27" borderId="20" xfId="121" applyNumberFormat="1" applyFont="1" applyFill="1" applyBorder="1" applyAlignment="1">
      <alignment horizontal="right"/>
    </xf>
    <xf numFmtId="4" fontId="25" fillId="27" borderId="0" xfId="121" applyNumberFormat="1" applyFont="1" applyFill="1"/>
    <xf numFmtId="3" fontId="25" fillId="27" borderId="0" xfId="121" applyNumberFormat="1" applyFont="1" applyFill="1"/>
    <xf numFmtId="0" fontId="105" fillId="27" borderId="0" xfId="121" applyFont="1" applyFill="1"/>
    <xf numFmtId="0" fontId="81" fillId="27" borderId="0" xfId="121" applyFont="1" applyFill="1"/>
    <xf numFmtId="3" fontId="81" fillId="27" borderId="0" xfId="121" applyNumberFormat="1" applyFont="1" applyFill="1"/>
    <xf numFmtId="37" fontId="105" fillId="27" borderId="0" xfId="121" applyNumberFormat="1" applyFont="1" applyFill="1" applyBorder="1" applyAlignment="1">
      <alignment horizontal="right"/>
    </xf>
    <xf numFmtId="3" fontId="70" fillId="27" borderId="0" xfId="121" applyNumberFormat="1" applyFont="1" applyFill="1"/>
    <xf numFmtId="171" fontId="25" fillId="27" borderId="0" xfId="121" applyNumberFormat="1" applyFont="1" applyFill="1" applyBorder="1" applyAlignment="1">
      <alignment horizontal="left" indent="2"/>
    </xf>
    <xf numFmtId="171" fontId="105" fillId="27" borderId="0" xfId="121" applyNumberFormat="1" applyFont="1" applyFill="1" applyBorder="1" applyAlignment="1">
      <alignment horizontal="left" indent="2"/>
    </xf>
    <xf numFmtId="169" fontId="33" fillId="27" borderId="0" xfId="121" applyNumberFormat="1" applyFont="1" applyFill="1" applyBorder="1"/>
    <xf numFmtId="0" fontId="25" fillId="27" borderId="0" xfId="121" applyFont="1" applyFill="1" applyBorder="1" applyAlignment="1"/>
    <xf numFmtId="169" fontId="81" fillId="27" borderId="0" xfId="121" applyNumberFormat="1" applyFont="1" applyFill="1" applyBorder="1"/>
    <xf numFmtId="171" fontId="81" fillId="27" borderId="0" xfId="121" applyNumberFormat="1" applyFont="1" applyFill="1" applyBorder="1" applyAlignment="1">
      <alignment horizontal="left" indent="1"/>
    </xf>
    <xf numFmtId="171" fontId="33" fillId="27" borderId="0" xfId="121" applyNumberFormat="1" applyFont="1" applyFill="1" applyBorder="1" applyAlignment="1">
      <alignment horizontal="left" indent="1"/>
    </xf>
    <xf numFmtId="3" fontId="105" fillId="27" borderId="0" xfId="121" applyNumberFormat="1" applyFont="1" applyFill="1"/>
    <xf numFmtId="0" fontId="106" fillId="27" borderId="0" xfId="121" applyFont="1" applyFill="1"/>
    <xf numFmtId="171" fontId="31" fillId="27" borderId="0" xfId="121" applyNumberFormat="1" applyFont="1" applyFill="1" applyBorder="1" applyAlignment="1">
      <alignment horizontal="left" indent="1"/>
    </xf>
    <xf numFmtId="172" fontId="31" fillId="27" borderId="0" xfId="121" applyNumberFormat="1" applyFont="1" applyFill="1"/>
    <xf numFmtId="0" fontId="25" fillId="27" borderId="0" xfId="121" applyFont="1" applyFill="1" applyAlignment="1"/>
    <xf numFmtId="187" fontId="25" fillId="27" borderId="0" xfId="121" applyNumberFormat="1" applyFont="1" applyFill="1"/>
    <xf numFmtId="0" fontId="4" fillId="27" borderId="0" xfId="121" applyNumberFormat="1" applyFont="1" applyFill="1" applyBorder="1" applyAlignment="1">
      <alignment horizontal="right"/>
    </xf>
    <xf numFmtId="3" fontId="6" fillId="27" borderId="0" xfId="121" applyNumberFormat="1" applyFont="1" applyFill="1"/>
    <xf numFmtId="3" fontId="6" fillId="27" borderId="0" xfId="121" applyNumberFormat="1" applyFont="1" applyFill="1" applyBorder="1" applyAlignment="1">
      <alignment horizontal="left" indent="2"/>
    </xf>
    <xf numFmtId="3" fontId="4" fillId="27" borderId="0" xfId="121" applyNumberFormat="1" applyFont="1" applyFill="1" applyBorder="1" applyAlignment="1">
      <alignment horizontal="right"/>
    </xf>
    <xf numFmtId="3" fontId="33" fillId="27" borderId="0" xfId="121" applyNumberFormat="1" applyFont="1" applyFill="1"/>
    <xf numFmtId="3" fontId="6" fillId="27" borderId="0" xfId="121" applyNumberFormat="1" applyFont="1" applyFill="1" applyBorder="1" applyAlignment="1">
      <alignment horizontal="left" indent="1"/>
    </xf>
    <xf numFmtId="3" fontId="4" fillId="27" borderId="0" xfId="121" applyNumberFormat="1" applyFont="1" applyFill="1" applyBorder="1" applyAlignment="1"/>
    <xf numFmtId="9" fontId="25" fillId="27" borderId="0" xfId="121" applyNumberFormat="1" applyFont="1" applyFill="1"/>
    <xf numFmtId="1" fontId="33" fillId="27" borderId="0" xfId="0" applyNumberFormat="1" applyFont="1" applyFill="1" applyBorder="1" applyAlignment="1"/>
    <xf numFmtId="0" fontId="4" fillId="27" borderId="0" xfId="125" applyFont="1" applyFill="1" applyBorder="1"/>
    <xf numFmtId="0" fontId="6" fillId="27" borderId="0" xfId="125" applyFont="1" applyFill="1"/>
    <xf numFmtId="0" fontId="6" fillId="27" borderId="0" xfId="126" applyFont="1" applyFill="1" applyAlignment="1"/>
    <xf numFmtId="0" fontId="31" fillId="27" borderId="0" xfId="0" applyFont="1" applyFill="1" applyBorder="1" applyAlignment="1">
      <alignment horizontal="left" indent="2"/>
    </xf>
    <xf numFmtId="9" fontId="105" fillId="27" borderId="0" xfId="0" applyNumberFormat="1" applyFont="1" applyFill="1"/>
    <xf numFmtId="0" fontId="6" fillId="27" borderId="20" xfId="126" applyFont="1" applyFill="1" applyBorder="1" applyAlignment="1"/>
    <xf numFmtId="171" fontId="6" fillId="27" borderId="20" xfId="126" applyNumberFormat="1" applyFont="1" applyFill="1" applyBorder="1" applyAlignment="1"/>
    <xf numFmtId="0" fontId="2" fillId="27" borderId="20" xfId="126" applyFont="1" applyFill="1" applyBorder="1" applyAlignment="1"/>
    <xf numFmtId="0" fontId="6" fillId="27" borderId="0" xfId="125" applyFont="1" applyFill="1" applyBorder="1"/>
    <xf numFmtId="0" fontId="112" fillId="27" borderId="0" xfId="0" applyFont="1" applyFill="1" applyBorder="1" applyAlignment="1"/>
    <xf numFmtId="170" fontId="45" fillId="27" borderId="0" xfId="0" applyNumberFormat="1" applyFont="1" applyFill="1"/>
    <xf numFmtId="170" fontId="45" fillId="27" borderId="0" xfId="0" applyNumberFormat="1" applyFont="1" applyFill="1" applyAlignment="1">
      <alignment horizontal="right"/>
    </xf>
    <xf numFmtId="170" fontId="105" fillId="27" borderId="0" xfId="0" applyNumberFormat="1" applyFont="1" applyFill="1"/>
    <xf numFmtId="0" fontId="113" fillId="27" borderId="0" xfId="0" applyFont="1" applyFill="1" applyBorder="1" applyAlignment="1"/>
    <xf numFmtId="0" fontId="45" fillId="27" borderId="20" xfId="0" applyFont="1" applyFill="1" applyBorder="1" applyAlignment="1"/>
    <xf numFmtId="170" fontId="45" fillId="27" borderId="20" xfId="0" applyNumberFormat="1" applyFont="1" applyFill="1" applyBorder="1"/>
    <xf numFmtId="170" fontId="45" fillId="27" borderId="20" xfId="0" applyNumberFormat="1" applyFont="1" applyFill="1" applyBorder="1" applyAlignment="1">
      <alignment horizontal="right"/>
    </xf>
    <xf numFmtId="0" fontId="105" fillId="27" borderId="0" xfId="0" applyFont="1" applyFill="1"/>
    <xf numFmtId="0" fontId="33" fillId="27" borderId="19" xfId="0" applyFont="1" applyFill="1" applyBorder="1" applyAlignment="1"/>
    <xf numFmtId="0" fontId="45" fillId="27" borderId="19" xfId="0" applyFont="1" applyFill="1" applyBorder="1" applyAlignment="1"/>
    <xf numFmtId="189" fontId="33" fillId="27" borderId="19" xfId="0" applyNumberFormat="1" applyFont="1" applyFill="1" applyBorder="1" applyAlignment="1">
      <alignment horizontal="right"/>
    </xf>
    <xf numFmtId="211" fontId="33" fillId="27" borderId="19" xfId="0" applyNumberFormat="1" applyFont="1" applyFill="1" applyBorder="1" applyAlignment="1">
      <alignment horizontal="right"/>
    </xf>
    <xf numFmtId="190" fontId="33" fillId="27" borderId="0" xfId="0" applyNumberFormat="1" applyFont="1" applyFill="1" applyBorder="1" applyAlignment="1"/>
    <xf numFmtId="190" fontId="45" fillId="27" borderId="0" xfId="0" applyNumberFormat="1" applyFont="1" applyFill="1" applyBorder="1" applyAlignment="1"/>
    <xf numFmtId="193" fontId="33" fillId="27" borderId="0" xfId="0" applyNumberFormat="1" applyFont="1" applyFill="1" applyBorder="1" applyAlignment="1">
      <alignment horizontal="right"/>
    </xf>
    <xf numFmtId="0" fontId="33" fillId="27" borderId="20" xfId="0" applyFont="1" applyFill="1" applyBorder="1" applyAlignment="1"/>
    <xf numFmtId="0" fontId="31" fillId="27" borderId="20" xfId="0" applyFont="1" applyFill="1" applyBorder="1" applyAlignment="1">
      <alignment horizontal="right"/>
    </xf>
    <xf numFmtId="189" fontId="33" fillId="27" borderId="20" xfId="0" applyNumberFormat="1" applyFont="1" applyFill="1" applyBorder="1" applyAlignment="1">
      <alignment horizontal="right"/>
    </xf>
    <xf numFmtId="0" fontId="45" fillId="27" borderId="0" xfId="0" applyFont="1" applyFill="1" applyAlignment="1">
      <alignment vertical="center"/>
    </xf>
    <xf numFmtId="0" fontId="31" fillId="27" borderId="0" xfId="0" quotePrefix="1" applyFont="1" applyFill="1" applyBorder="1" applyAlignment="1">
      <alignment horizontal="center"/>
    </xf>
    <xf numFmtId="187" fontId="31" fillId="27" borderId="0" xfId="0" applyNumberFormat="1" applyFont="1" applyFill="1" applyBorder="1"/>
    <xf numFmtId="187" fontId="31" fillId="27" borderId="0" xfId="133" applyNumberFormat="1" applyFont="1" applyFill="1" applyBorder="1" applyAlignment="1"/>
    <xf numFmtId="187" fontId="31" fillId="27" borderId="0" xfId="0" applyNumberFormat="1" applyFont="1" applyFill="1" applyBorder="1" applyAlignment="1">
      <alignment horizontal="right"/>
    </xf>
    <xf numFmtId="0" fontId="31" fillId="27" borderId="20" xfId="0" applyFont="1" applyFill="1" applyBorder="1" applyAlignment="1"/>
    <xf numFmtId="0" fontId="31" fillId="27" borderId="19" xfId="0" applyFont="1" applyFill="1" applyBorder="1" applyAlignment="1"/>
    <xf numFmtId="168" fontId="31" fillId="27" borderId="19" xfId="133" applyNumberFormat="1" applyFont="1" applyFill="1" applyBorder="1" applyAlignment="1"/>
    <xf numFmtId="0" fontId="31" fillId="27" borderId="0" xfId="0" applyFont="1" applyFill="1" applyBorder="1" applyAlignment="1">
      <alignment horizontal="left" indent="1"/>
    </xf>
    <xf numFmtId="170" fontId="31" fillId="27" borderId="0" xfId="0" applyNumberFormat="1" applyFont="1" applyFill="1" applyBorder="1" applyAlignment="1"/>
    <xf numFmtId="0" fontId="31" fillId="27" borderId="0" xfId="121" applyFont="1" applyFill="1" applyBorder="1" applyAlignment="1">
      <alignment horizontal="left" indent="1"/>
    </xf>
    <xf numFmtId="0" fontId="31" fillId="27" borderId="0" xfId="121" applyFont="1" applyFill="1" applyBorder="1" applyAlignment="1">
      <alignment horizontal="left" wrapText="1" indent="1"/>
    </xf>
    <xf numFmtId="174" fontId="31" fillId="27" borderId="0" xfId="0" applyNumberFormat="1" applyFont="1" applyFill="1" applyBorder="1" applyAlignment="1">
      <alignment horizontal="right"/>
    </xf>
    <xf numFmtId="187" fontId="31" fillId="27" borderId="20" xfId="0" applyNumberFormat="1" applyFont="1" applyFill="1" applyBorder="1" applyAlignment="1"/>
    <xf numFmtId="187" fontId="31" fillId="27" borderId="0" xfId="0" applyNumberFormat="1" applyFont="1" applyFill="1"/>
    <xf numFmtId="0" fontId="31" fillId="27" borderId="20" xfId="0" applyFont="1" applyFill="1" applyBorder="1" applyAlignment="1">
      <alignment horizontal="left"/>
    </xf>
    <xf numFmtId="187" fontId="46" fillId="27" borderId="0" xfId="0" applyNumberFormat="1" applyFont="1" applyFill="1" applyAlignment="1"/>
    <xf numFmtId="0" fontId="45" fillId="27" borderId="0" xfId="0" applyFont="1" applyFill="1" applyBorder="1"/>
    <xf numFmtId="187" fontId="45" fillId="27" borderId="0" xfId="0" applyNumberFormat="1" applyFont="1" applyFill="1"/>
    <xf numFmtId="187" fontId="105" fillId="27" borderId="0" xfId="0" applyNumberFormat="1" applyFont="1" applyFill="1"/>
    <xf numFmtId="169" fontId="105" fillId="27" borderId="0" xfId="0" applyNumberFormat="1" applyFont="1" applyFill="1"/>
    <xf numFmtId="0" fontId="2" fillId="27" borderId="26" xfId="0" applyFont="1" applyFill="1" applyBorder="1" applyAlignment="1"/>
    <xf numFmtId="0" fontId="2" fillId="27" borderId="22" xfId="0" applyFont="1" applyFill="1" applyBorder="1" applyAlignment="1"/>
    <xf numFmtId="219" fontId="3" fillId="27" borderId="32" xfId="0" applyNumberFormat="1" applyFont="1" applyFill="1" applyBorder="1" applyAlignment="1"/>
    <xf numFmtId="219" fontId="3" fillId="27" borderId="31" xfId="0" applyNumberFormat="1" applyFont="1" applyFill="1" applyBorder="1" applyAlignment="1"/>
    <xf numFmtId="9" fontId="3" fillId="27" borderId="31" xfId="0" applyNumberFormat="1" applyFont="1" applyFill="1" applyBorder="1" applyAlignment="1"/>
    <xf numFmtId="0" fontId="2" fillId="27" borderId="28" xfId="0" applyFont="1" applyFill="1" applyBorder="1" applyAlignment="1"/>
    <xf numFmtId="0" fontId="2" fillId="27" borderId="24" xfId="0" applyFont="1" applyFill="1" applyBorder="1" applyAlignment="1"/>
    <xf numFmtId="187" fontId="3" fillId="27" borderId="33" xfId="0" applyNumberFormat="1" applyFont="1" applyFill="1" applyBorder="1" applyAlignment="1"/>
    <xf numFmtId="167" fontId="3" fillId="27" borderId="24" xfId="152" applyNumberFormat="1" applyFont="1" applyFill="1" applyBorder="1" applyAlignment="1"/>
    <xf numFmtId="9" fontId="4" fillId="27" borderId="19" xfId="0" applyNumberFormat="1" applyFont="1" applyFill="1" applyBorder="1" applyAlignment="1">
      <alignment horizontal="left"/>
    </xf>
    <xf numFmtId="9" fontId="6" fillId="27" borderId="0" xfId="139" applyFont="1" applyFill="1" applyBorder="1"/>
    <xf numFmtId="204" fontId="4" fillId="27" borderId="0" xfId="152" applyNumberFormat="1" applyFont="1" applyFill="1" applyBorder="1"/>
    <xf numFmtId="205" fontId="104" fillId="27" borderId="0" xfId="0" applyNumberFormat="1" applyFont="1" applyFill="1" applyAlignment="1">
      <alignment horizontal="right"/>
    </xf>
    <xf numFmtId="205" fontId="6" fillId="27" borderId="0" xfId="139" applyNumberFormat="1" applyFont="1" applyFill="1" applyAlignment="1">
      <alignment horizontal="right"/>
    </xf>
    <xf numFmtId="9" fontId="2" fillId="27" borderId="0" xfId="139" applyFont="1" applyFill="1" applyBorder="1" applyAlignment="1"/>
    <xf numFmtId="173" fontId="6" fillId="27" borderId="0" xfId="0" applyNumberFormat="1" applyFont="1" applyFill="1"/>
    <xf numFmtId="0" fontId="18" fillId="27" borderId="0" xfId="0" applyFont="1" applyFill="1" applyAlignment="1"/>
    <xf numFmtId="170" fontId="82" fillId="27" borderId="0" xfId="0" applyNumberFormat="1" applyFont="1" applyFill="1" applyBorder="1" applyAlignment="1"/>
    <xf numFmtId="171" fontId="82" fillId="27" borderId="0" xfId="0" applyNumberFormat="1" applyFont="1" applyFill="1" applyBorder="1" applyAlignment="1"/>
    <xf numFmtId="0" fontId="4" fillId="27" borderId="19" xfId="0" applyFont="1" applyFill="1" applyBorder="1" applyAlignment="1">
      <alignment horizontal="right"/>
    </xf>
    <xf numFmtId="9" fontId="2" fillId="27" borderId="0" xfId="0" applyNumberFormat="1" applyFont="1" applyFill="1" applyAlignment="1"/>
    <xf numFmtId="187" fontId="2" fillId="27" borderId="0" xfId="0" applyNumberFormat="1" applyFont="1" applyFill="1" applyAlignment="1"/>
    <xf numFmtId="220" fontId="2" fillId="27" borderId="27" xfId="139" applyNumberFormat="1" applyFont="1" applyFill="1" applyBorder="1" applyAlignment="1"/>
    <xf numFmtId="220" fontId="2" fillId="27" borderId="0" xfId="139" applyNumberFormat="1" applyFont="1" applyFill="1" applyBorder="1" applyAlignment="1"/>
    <xf numFmtId="221" fontId="2" fillId="27" borderId="0" xfId="139" applyNumberFormat="1" applyFont="1" applyFill="1" applyBorder="1" applyAlignment="1"/>
    <xf numFmtId="221" fontId="2" fillId="27" borderId="31" xfId="139" applyNumberFormat="1" applyFont="1" applyFill="1" applyBorder="1" applyAlignment="1"/>
    <xf numFmtId="221" fontId="2" fillId="27" borderId="27" xfId="139" applyNumberFormat="1" applyFont="1" applyFill="1" applyBorder="1" applyAlignment="1"/>
    <xf numFmtId="220" fontId="2" fillId="27" borderId="31" xfId="139" applyNumberFormat="1" applyFont="1" applyFill="1" applyBorder="1" applyAlignment="1"/>
    <xf numFmtId="220" fontId="2" fillId="27" borderId="28" xfId="139" applyNumberFormat="1" applyFont="1" applyFill="1" applyBorder="1" applyAlignment="1"/>
    <xf numFmtId="220" fontId="2" fillId="27" borderId="24" xfId="139" applyNumberFormat="1" applyFont="1" applyFill="1" applyBorder="1" applyAlignment="1"/>
    <xf numFmtId="221" fontId="2" fillId="27" borderId="24" xfId="139" applyNumberFormat="1" applyFont="1" applyFill="1" applyBorder="1" applyAlignment="1"/>
    <xf numFmtId="221" fontId="2" fillId="27" borderId="33" xfId="139" applyNumberFormat="1" applyFont="1" applyFill="1" applyBorder="1" applyAlignment="1"/>
    <xf numFmtId="219" fontId="2" fillId="27" borderId="0" xfId="0" applyNumberFormat="1" applyFont="1" applyFill="1" applyAlignment="1"/>
    <xf numFmtId="220" fontId="2" fillId="27" borderId="33" xfId="139" applyNumberFormat="1" applyFont="1" applyFill="1" applyBorder="1" applyAlignment="1"/>
    <xf numFmtId="178" fontId="6" fillId="27" borderId="0" xfId="152" applyNumberFormat="1" applyFont="1" applyFill="1" applyBorder="1" applyAlignment="1">
      <alignment horizontal="right"/>
    </xf>
    <xf numFmtId="0" fontId="2" fillId="27" borderId="0" xfId="126" applyFont="1" applyFill="1"/>
    <xf numFmtId="0" fontId="10" fillId="27" borderId="0" xfId="126" applyFont="1" applyFill="1" applyBorder="1" applyAlignment="1"/>
    <xf numFmtId="178" fontId="2" fillId="27" borderId="0" xfId="144" applyNumberFormat="1" applyFont="1" applyFill="1" applyAlignment="1"/>
    <xf numFmtId="0" fontId="6" fillId="27" borderId="0" xfId="126" applyFont="1" applyFill="1"/>
    <xf numFmtId="3" fontId="2" fillId="27" borderId="0" xfId="126" applyNumberFormat="1" applyFont="1" applyFill="1" applyAlignment="1"/>
    <xf numFmtId="0" fontId="3" fillId="27" borderId="0" xfId="126" applyFont="1" applyFill="1" applyAlignment="1"/>
    <xf numFmtId="37" fontId="6" fillId="27" borderId="0" xfId="0" applyNumberFormat="1" applyFont="1" applyFill="1" applyBorder="1"/>
    <xf numFmtId="0" fontId="3" fillId="27" borderId="0" xfId="0" applyFont="1" applyFill="1" applyAlignment="1"/>
    <xf numFmtId="0" fontId="114" fillId="27" borderId="21" xfId="0" applyFont="1" applyFill="1" applyBorder="1" applyAlignment="1"/>
    <xf numFmtId="193" fontId="4" fillId="27" borderId="0" xfId="0" applyNumberFormat="1" applyFont="1" applyFill="1" applyBorder="1" applyAlignment="1">
      <alignment horizontal="left"/>
    </xf>
    <xf numFmtId="188" fontId="18" fillId="27" borderId="19" xfId="125" applyNumberFormat="1" applyFont="1" applyFill="1" applyBorder="1"/>
    <xf numFmtId="0" fontId="41" fillId="27" borderId="20" xfId="125" applyFont="1" applyFill="1" applyBorder="1"/>
    <xf numFmtId="171" fontId="6" fillId="27" borderId="0" xfId="126" applyNumberFormat="1" applyFont="1" applyFill="1" applyBorder="1" applyAlignment="1">
      <alignment horizontal="center"/>
    </xf>
    <xf numFmtId="4" fontId="6" fillId="27" borderId="0" xfId="0" applyNumberFormat="1" applyFont="1" applyFill="1" applyBorder="1" applyAlignment="1"/>
    <xf numFmtId="0" fontId="41" fillId="27" borderId="0" xfId="125" applyFont="1" applyFill="1" applyBorder="1"/>
    <xf numFmtId="9" fontId="33" fillId="27" borderId="0" xfId="0" applyNumberFormat="1" applyFont="1" applyFill="1" applyBorder="1"/>
    <xf numFmtId="9" fontId="33" fillId="27" borderId="0" xfId="0" applyNumberFormat="1" applyFont="1" applyFill="1"/>
    <xf numFmtId="172" fontId="33" fillId="27" borderId="0" xfId="0" applyNumberFormat="1" applyFont="1" applyFill="1" applyBorder="1"/>
    <xf numFmtId="0" fontId="33" fillId="27" borderId="0" xfId="0" applyFont="1" applyFill="1" applyBorder="1" applyAlignment="1">
      <alignment horizontal="right"/>
    </xf>
    <xf numFmtId="171" fontId="6" fillId="28" borderId="0" xfId="139" applyNumberFormat="1" applyFont="1" applyFill="1" applyBorder="1" applyAlignment="1"/>
    <xf numFmtId="3" fontId="31" fillId="27" borderId="0" xfId="0" applyNumberFormat="1" applyFont="1" applyFill="1"/>
    <xf numFmtId="0" fontId="45" fillId="27" borderId="34" xfId="0" applyFont="1" applyFill="1" applyBorder="1" applyAlignment="1">
      <alignment vertical="center"/>
    </xf>
    <xf numFmtId="0" fontId="105" fillId="27" borderId="34" xfId="0" applyFont="1" applyFill="1" applyBorder="1" applyAlignment="1">
      <alignment vertical="center"/>
    </xf>
    <xf numFmtId="187" fontId="31" fillId="27" borderId="34" xfId="0" applyNumberFormat="1" applyFont="1" applyFill="1" applyBorder="1" applyAlignment="1">
      <alignment vertical="center"/>
    </xf>
    <xf numFmtId="0" fontId="129" fillId="27" borderId="0" xfId="0" applyFont="1" applyFill="1" applyAlignment="1">
      <alignment horizontal="left"/>
    </xf>
    <xf numFmtId="0" fontId="129" fillId="27" borderId="0" xfId="0" applyFont="1" applyFill="1"/>
    <xf numFmtId="0" fontId="129" fillId="27" borderId="0" xfId="0" applyFont="1" applyFill="1" applyBorder="1"/>
    <xf numFmtId="0" fontId="130" fillId="27" borderId="0" xfId="0" applyFont="1" applyFill="1"/>
    <xf numFmtId="187" fontId="130" fillId="27" borderId="0" xfId="0" applyNumberFormat="1" applyFont="1" applyFill="1"/>
    <xf numFmtId="0" fontId="32" fillId="27" borderId="34" xfId="0" applyFont="1" applyFill="1" applyBorder="1"/>
    <xf numFmtId="0" fontId="70" fillId="27" borderId="34" xfId="0" applyFont="1" applyFill="1" applyBorder="1"/>
    <xf numFmtId="187" fontId="33" fillId="27" borderId="34" xfId="0" applyNumberFormat="1" applyFont="1" applyFill="1" applyBorder="1"/>
    <xf numFmtId="0" fontId="32" fillId="27" borderId="0" xfId="0" applyFont="1" applyFill="1" applyBorder="1"/>
    <xf numFmtId="0" fontId="70" fillId="27" borderId="0" xfId="0" applyFont="1" applyFill="1"/>
    <xf numFmtId="0" fontId="131" fillId="27" borderId="0" xfId="0" applyFont="1" applyFill="1" applyBorder="1"/>
    <xf numFmtId="0" fontId="132" fillId="27" borderId="0" xfId="0" applyFont="1" applyFill="1" applyBorder="1"/>
    <xf numFmtId="3" fontId="33" fillId="27" borderId="23" xfId="121" applyNumberFormat="1" applyFont="1" applyFill="1" applyBorder="1" applyAlignment="1">
      <alignment horizontal="right"/>
    </xf>
    <xf numFmtId="171" fontId="6" fillId="27" borderId="0" xfId="136" applyNumberFormat="1" applyFont="1" applyFill="1" applyBorder="1" applyAlignment="1"/>
    <xf numFmtId="178" fontId="25" fillId="27" borderId="0" xfId="121" applyNumberFormat="1" applyFont="1" applyFill="1"/>
    <xf numFmtId="0" fontId="116" fillId="27" borderId="0" xfId="0" applyFont="1" applyFill="1"/>
    <xf numFmtId="3" fontId="31" fillId="27" borderId="0" xfId="121" applyNumberFormat="1" applyFont="1" applyFill="1" applyAlignment="1">
      <alignment horizontal="right"/>
    </xf>
    <xf numFmtId="193" fontId="33" fillId="27" borderId="0" xfId="0" applyNumberFormat="1" applyFont="1" applyFill="1" applyBorder="1" applyAlignment="1">
      <alignment horizontal="right" wrapText="1"/>
    </xf>
    <xf numFmtId="0" fontId="133" fillId="27" borderId="0" xfId="0" applyFont="1" applyFill="1"/>
    <xf numFmtId="0" fontId="133" fillId="27" borderId="0" xfId="0" applyFont="1" applyFill="1" applyAlignment="1"/>
    <xf numFmtId="187" fontId="133" fillId="27" borderId="0" xfId="133" applyNumberFormat="1" applyFont="1" applyFill="1" applyBorder="1" applyAlignment="1">
      <alignment horizontal="right"/>
    </xf>
    <xf numFmtId="0" fontId="133" fillId="27" borderId="0" xfId="0" applyFont="1" applyFill="1" applyBorder="1" applyAlignment="1"/>
    <xf numFmtId="0" fontId="4" fillId="27" borderId="0" xfId="0" applyFont="1" applyFill="1" applyBorder="1" applyAlignment="1">
      <alignment horizontal="center"/>
    </xf>
    <xf numFmtId="0" fontId="4" fillId="27" borderId="0" xfId="0" applyFont="1" applyFill="1" applyBorder="1" applyAlignment="1">
      <alignment horizontal="center"/>
    </xf>
    <xf numFmtId="4" fontId="6" fillId="27" borderId="0" xfId="0" applyNumberFormat="1" applyFont="1" applyFill="1" applyBorder="1" applyAlignment="1">
      <alignment horizontal="right"/>
    </xf>
    <xf numFmtId="1" fontId="6" fillId="27" borderId="0" xfId="133" applyNumberFormat="1" applyFont="1" applyFill="1" applyBorder="1" applyAlignment="1">
      <alignment horizontal="right"/>
    </xf>
    <xf numFmtId="3" fontId="6" fillId="27" borderId="0" xfId="0" applyNumberFormat="1" applyFont="1" applyFill="1" applyBorder="1" applyAlignment="1">
      <alignment horizontal="right"/>
    </xf>
    <xf numFmtId="0" fontId="33" fillId="27" borderId="0" xfId="0" applyFont="1" applyFill="1" applyBorder="1" applyAlignment="1">
      <alignment horizontal="left" indent="1"/>
    </xf>
    <xf numFmtId="0" fontId="2" fillId="28" borderId="19" xfId="126" applyFont="1" applyFill="1" applyBorder="1"/>
    <xf numFmtId="0" fontId="2" fillId="28" borderId="35" xfId="126" applyFont="1" applyFill="1" applyBorder="1"/>
    <xf numFmtId="0" fontId="41" fillId="28" borderId="36" xfId="125" applyFont="1" applyFill="1" applyBorder="1"/>
    <xf numFmtId="0" fontId="6" fillId="28" borderId="0" xfId="126" applyFont="1" applyFill="1" applyBorder="1" applyAlignment="1"/>
    <xf numFmtId="171" fontId="6" fillId="28" borderId="0" xfId="126" applyNumberFormat="1" applyFont="1" applyFill="1" applyBorder="1" applyAlignment="1"/>
    <xf numFmtId="0" fontId="2" fillId="28" borderId="0" xfId="126" applyFont="1" applyFill="1" applyBorder="1" applyAlignment="1"/>
    <xf numFmtId="189" fontId="4" fillId="28" borderId="0" xfId="0" applyNumberFormat="1" applyFont="1" applyFill="1" applyBorder="1" applyAlignment="1">
      <alignment horizontal="right"/>
    </xf>
    <xf numFmtId="189" fontId="4" fillId="28" borderId="37" xfId="0" applyNumberFormat="1" applyFont="1" applyFill="1" applyBorder="1" applyAlignment="1">
      <alignment horizontal="right"/>
    </xf>
    <xf numFmtId="0" fontId="4" fillId="28" borderId="36" xfId="125" applyFont="1" applyFill="1" applyBorder="1"/>
    <xf numFmtId="193" fontId="4" fillId="28" borderId="0" xfId="0" applyNumberFormat="1" applyFont="1" applyFill="1" applyBorder="1" applyAlignment="1">
      <alignment horizontal="right"/>
    </xf>
    <xf numFmtId="193" fontId="4" fillId="28" borderId="37" xfId="0" applyNumberFormat="1" applyFont="1" applyFill="1" applyBorder="1" applyAlignment="1">
      <alignment horizontal="right"/>
    </xf>
    <xf numFmtId="0" fontId="41" fillId="28" borderId="38" xfId="125" applyFont="1" applyFill="1" applyBorder="1"/>
    <xf numFmtId="0" fontId="6" fillId="28" borderId="20" xfId="126" applyFont="1" applyFill="1" applyBorder="1" applyAlignment="1"/>
    <xf numFmtId="171" fontId="6" fillId="28" borderId="20" xfId="126" applyNumberFormat="1" applyFont="1" applyFill="1" applyBorder="1" applyAlignment="1"/>
    <xf numFmtId="0" fontId="2" fillId="28" borderId="20" xfId="126" applyFont="1" applyFill="1" applyBorder="1" applyAlignment="1"/>
    <xf numFmtId="37" fontId="4" fillId="28" borderId="20" xfId="0" applyNumberFormat="1" applyFont="1" applyFill="1" applyBorder="1" applyAlignment="1">
      <alignment horizontal="right"/>
    </xf>
    <xf numFmtId="37" fontId="4" fillId="28" borderId="39" xfId="0" applyNumberFormat="1" applyFont="1" applyFill="1" applyBorder="1" applyAlignment="1">
      <alignment horizontal="right"/>
    </xf>
    <xf numFmtId="0" fontId="6" fillId="28" borderId="36" xfId="125" applyFont="1" applyFill="1" applyBorder="1"/>
    <xf numFmtId="0" fontId="6" fillId="28" borderId="0" xfId="125" applyFont="1" applyFill="1" applyBorder="1"/>
    <xf numFmtId="188" fontId="18" fillId="28" borderId="19" xfId="125" applyNumberFormat="1" applyFont="1" applyFill="1" applyBorder="1"/>
    <xf numFmtId="171" fontId="6" fillId="28" borderId="19" xfId="126" applyNumberFormat="1" applyFont="1" applyFill="1" applyBorder="1" applyAlignment="1"/>
    <xf numFmtId="0" fontId="6" fillId="28" borderId="0" xfId="0" applyFont="1" applyFill="1" applyBorder="1"/>
    <xf numFmtId="0" fontId="6" fillId="28" borderId="35" xfId="0" applyFont="1" applyFill="1" applyBorder="1"/>
    <xf numFmtId="187" fontId="6" fillId="28" borderId="0" xfId="0" applyNumberFormat="1" applyFont="1" applyFill="1" applyBorder="1" applyAlignment="1"/>
    <xf numFmtId="0" fontId="2" fillId="28" borderId="37" xfId="126" applyFont="1" applyFill="1" applyBorder="1" applyAlignment="1"/>
    <xf numFmtId="0" fontId="4" fillId="28" borderId="38" xfId="125" applyFont="1" applyFill="1" applyBorder="1"/>
    <xf numFmtId="9" fontId="2" fillId="28" borderId="20" xfId="126" applyNumberFormat="1" applyFont="1" applyFill="1" applyBorder="1" applyAlignment="1"/>
    <xf numFmtId="9" fontId="2" fillId="28" borderId="39" xfId="126" applyNumberFormat="1" applyFont="1" applyFill="1" applyBorder="1" applyAlignment="1"/>
    <xf numFmtId="0" fontId="115" fillId="27" borderId="0" xfId="0" applyFont="1" applyFill="1"/>
    <xf numFmtId="0" fontId="7" fillId="27" borderId="0" xfId="0" applyFont="1" applyFill="1"/>
    <xf numFmtId="0" fontId="0" fillId="27" borderId="0" xfId="0" applyFill="1"/>
    <xf numFmtId="0" fontId="7" fillId="27" borderId="34" xfId="0" applyFont="1" applyFill="1" applyBorder="1" applyAlignment="1">
      <alignment vertical="center"/>
    </xf>
    <xf numFmtId="0" fontId="115" fillId="27" borderId="34" xfId="0" applyFont="1" applyFill="1" applyBorder="1"/>
    <xf numFmtId="0" fontId="10" fillId="27" borderId="0" xfId="0" applyFont="1" applyFill="1" applyBorder="1" applyAlignment="1"/>
    <xf numFmtId="0" fontId="10" fillId="27" borderId="0" xfId="0" applyFont="1" applyFill="1" applyAlignment="1">
      <alignment horizontal="right"/>
    </xf>
    <xf numFmtId="183" fontId="4" fillId="27" borderId="0" xfId="0" applyNumberFormat="1" applyFont="1" applyFill="1" applyBorder="1" applyAlignment="1"/>
    <xf numFmtId="176" fontId="4" fillId="27" borderId="0" xfId="0" applyNumberFormat="1" applyFont="1" applyFill="1" applyBorder="1"/>
    <xf numFmtId="0" fontId="30" fillId="27" borderId="0" xfId="0" applyFont="1" applyFill="1" applyBorder="1" applyAlignment="1">
      <alignment horizontal="left"/>
    </xf>
    <xf numFmtId="0" fontId="28" fillId="27" borderId="0" xfId="0" applyFont="1" applyFill="1" applyBorder="1" applyAlignment="1"/>
    <xf numFmtId="0" fontId="28" fillId="27" borderId="0" xfId="0" applyFont="1" applyFill="1" applyBorder="1" applyAlignment="1">
      <alignment horizontal="right"/>
    </xf>
    <xf numFmtId="0" fontId="30" fillId="27" borderId="0" xfId="0" applyFont="1" applyFill="1" applyBorder="1"/>
    <xf numFmtId="0" fontId="13" fillId="27" borderId="0" xfId="0" applyFont="1" applyFill="1" applyBorder="1" applyAlignment="1"/>
    <xf numFmtId="0" fontId="13" fillId="27" borderId="0" xfId="0" applyFont="1" applyFill="1" applyBorder="1" applyAlignment="1">
      <alignment horizontal="right"/>
    </xf>
    <xf numFmtId="3" fontId="13" fillId="27" borderId="0" xfId="0" applyNumberFormat="1" applyFont="1" applyFill="1" applyBorder="1" applyAlignment="1"/>
    <xf numFmtId="0" fontId="49" fillId="27" borderId="0" xfId="0" applyFont="1" applyFill="1" applyBorder="1"/>
    <xf numFmtId="0" fontId="134" fillId="27" borderId="0" xfId="0" applyFont="1" applyFill="1" applyAlignment="1"/>
    <xf numFmtId="0" fontId="134" fillId="27" borderId="0" xfId="0" applyFont="1" applyFill="1" applyBorder="1"/>
    <xf numFmtId="0" fontId="134" fillId="27" borderId="0" xfId="0" applyFont="1" applyFill="1" applyBorder="1" applyAlignment="1"/>
    <xf numFmtId="0" fontId="75" fillId="27" borderId="0" xfId="0" applyFont="1" applyFill="1" applyBorder="1"/>
    <xf numFmtId="0" fontId="135" fillId="27" borderId="0" xfId="0" applyFont="1" applyFill="1" applyAlignment="1"/>
    <xf numFmtId="10" fontId="75" fillId="27" borderId="0" xfId="0" applyNumberFormat="1" applyFont="1" applyFill="1" applyBorder="1"/>
    <xf numFmtId="10" fontId="75" fillId="27" borderId="0" xfId="0" applyNumberFormat="1" applyFont="1" applyFill="1" applyBorder="1" applyAlignment="1">
      <alignment horizontal="left"/>
    </xf>
    <xf numFmtId="167" fontId="75" fillId="27" borderId="0" xfId="144" applyFont="1" applyFill="1" applyBorder="1" applyAlignment="1">
      <alignment horizontal="left"/>
    </xf>
    <xf numFmtId="167" fontId="75" fillId="27" borderId="0" xfId="144" applyFont="1" applyFill="1" applyBorder="1" applyAlignment="1">
      <alignment horizontal="center"/>
    </xf>
    <xf numFmtId="214" fontId="75" fillId="27" borderId="0" xfId="144" applyNumberFormat="1" applyFont="1" applyFill="1" applyBorder="1" applyAlignment="1">
      <alignment horizontal="right"/>
    </xf>
    <xf numFmtId="212" fontId="75" fillId="27" borderId="0" xfId="144" applyNumberFormat="1" applyFont="1" applyFill="1" applyBorder="1" applyAlignment="1">
      <alignment horizontal="right"/>
    </xf>
    <xf numFmtId="14" fontId="30" fillId="27" borderId="0" xfId="0" applyNumberFormat="1" applyFont="1" applyFill="1" applyBorder="1" applyAlignment="1">
      <alignment horizontal="left"/>
    </xf>
    <xf numFmtId="0" fontId="14" fillId="27" borderId="0" xfId="0" applyFont="1" applyFill="1" applyBorder="1"/>
    <xf numFmtId="14" fontId="14" fillId="27" borderId="0" xfId="0" applyNumberFormat="1" applyFont="1" applyFill="1" applyBorder="1" applyAlignment="1">
      <alignment horizontal="left"/>
    </xf>
    <xf numFmtId="168" fontId="13" fillId="27" borderId="0" xfId="133" applyNumberFormat="1" applyFont="1" applyFill="1" applyBorder="1" applyAlignment="1"/>
    <xf numFmtId="14" fontId="15" fillId="27" borderId="0" xfId="0" applyNumberFormat="1" applyFont="1" applyFill="1" applyBorder="1" applyAlignment="1">
      <alignment horizontal="left"/>
    </xf>
    <xf numFmtId="0" fontId="3" fillId="27" borderId="0" xfId="0" applyFont="1" applyFill="1" applyBorder="1" applyAlignment="1"/>
    <xf numFmtId="0" fontId="12" fillId="27" borderId="0" xfId="0" applyFont="1" applyFill="1" applyBorder="1" applyAlignment="1"/>
    <xf numFmtId="0" fontId="2" fillId="27" borderId="0" xfId="0" applyFont="1" applyFill="1" applyAlignment="1">
      <alignment horizontal="center"/>
    </xf>
    <xf numFmtId="171" fontId="15" fillId="27" borderId="0" xfId="0" applyNumberFormat="1" applyFont="1" applyFill="1" applyBorder="1" applyAlignment="1"/>
    <xf numFmtId="3" fontId="6" fillId="27" borderId="0" xfId="0" applyNumberFormat="1" applyFont="1" applyFill="1" applyAlignment="1"/>
    <xf numFmtId="171" fontId="13" fillId="27" borderId="0" xfId="0" applyNumberFormat="1" applyFont="1" applyFill="1" applyBorder="1" applyAlignment="1"/>
    <xf numFmtId="170" fontId="2" fillId="27" borderId="0" xfId="0" applyNumberFormat="1" applyFont="1" applyFill="1" applyBorder="1"/>
    <xf numFmtId="0" fontId="25" fillId="27" borderId="0" xfId="0" applyFont="1" applyFill="1" applyAlignment="1"/>
    <xf numFmtId="170" fontId="25" fillId="27" borderId="0" xfId="0" applyNumberFormat="1" applyFont="1" applyFill="1" applyAlignment="1">
      <alignment horizontal="right"/>
    </xf>
    <xf numFmtId="170" fontId="25" fillId="27" borderId="0" xfId="0" applyNumberFormat="1" applyFont="1" applyFill="1"/>
    <xf numFmtId="0" fontId="36" fillId="27" borderId="0" xfId="0" applyFont="1" applyFill="1" applyAlignment="1">
      <alignment horizontal="right"/>
    </xf>
    <xf numFmtId="0" fontId="37" fillId="27" borderId="0" xfId="0" applyFont="1" applyFill="1" applyBorder="1" applyAlignment="1">
      <alignment horizontal="right"/>
    </xf>
    <xf numFmtId="171" fontId="25" fillId="27" borderId="0" xfId="0" applyNumberFormat="1" applyFont="1" applyFill="1" applyAlignment="1"/>
    <xf numFmtId="0" fontId="25" fillId="27" borderId="0" xfId="0" applyFont="1" applyFill="1" applyBorder="1" applyAlignment="1"/>
    <xf numFmtId="0" fontId="11" fillId="27" borderId="0" xfId="0" applyFont="1" applyFill="1" applyBorder="1" applyAlignment="1">
      <alignment horizontal="right"/>
    </xf>
    <xf numFmtId="184" fontId="4" fillId="27" borderId="0" xfId="0" applyNumberFormat="1" applyFont="1" applyFill="1" applyBorder="1" applyAlignment="1">
      <alignment horizontal="right"/>
    </xf>
    <xf numFmtId="176" fontId="4" fillId="27" borderId="0" xfId="0" applyNumberFormat="1" applyFont="1" applyFill="1" applyBorder="1" applyAlignment="1">
      <alignment horizontal="right"/>
    </xf>
    <xf numFmtId="183" fontId="4" fillId="27" borderId="0" xfId="0" applyNumberFormat="1" applyFont="1" applyFill="1" applyBorder="1" applyAlignment="1">
      <alignment horizontal="right"/>
    </xf>
    <xf numFmtId="0" fontId="12" fillId="27" borderId="0" xfId="0" applyFont="1" applyFill="1" applyBorder="1" applyAlignment="1">
      <alignment horizontal="right"/>
    </xf>
    <xf numFmtId="168" fontId="15" fillId="27" borderId="0" xfId="133" applyNumberFormat="1" applyFont="1" applyFill="1" applyBorder="1" applyAlignment="1">
      <alignment horizontal="right"/>
    </xf>
    <xf numFmtId="168" fontId="13" fillId="27" borderId="0" xfId="133" applyNumberFormat="1" applyFont="1" applyFill="1" applyBorder="1" applyAlignment="1">
      <alignment horizontal="right"/>
    </xf>
    <xf numFmtId="171" fontId="13" fillId="27" borderId="0" xfId="0" applyNumberFormat="1" applyFont="1" applyFill="1" applyBorder="1" applyAlignment="1">
      <alignment horizontal="right"/>
    </xf>
    <xf numFmtId="171" fontId="29" fillId="27" borderId="0" xfId="0" applyNumberFormat="1" applyFont="1" applyFill="1" applyBorder="1" applyAlignment="1">
      <alignment horizontal="right"/>
    </xf>
    <xf numFmtId="171" fontId="29" fillId="27" borderId="0" xfId="0" applyNumberFormat="1" applyFont="1" applyFill="1" applyBorder="1" applyAlignment="1"/>
    <xf numFmtId="0" fontId="29" fillId="27" borderId="0" xfId="0" applyFont="1" applyFill="1" applyBorder="1" applyAlignment="1"/>
    <xf numFmtId="170" fontId="29" fillId="27" borderId="0" xfId="0" applyNumberFormat="1" applyFont="1" applyFill="1" applyBorder="1" applyAlignment="1"/>
    <xf numFmtId="0" fontId="16" fillId="27" borderId="0" xfId="0" applyFont="1" applyFill="1" applyBorder="1"/>
    <xf numFmtId="0" fontId="17" fillId="27" borderId="0" xfId="0" applyFont="1" applyFill="1" applyBorder="1" applyAlignment="1">
      <alignment horizontal="right"/>
    </xf>
    <xf numFmtId="0" fontId="10" fillId="27" borderId="0" xfId="0" applyFont="1" applyFill="1" applyBorder="1" applyAlignment="1">
      <alignment horizontal="right"/>
    </xf>
    <xf numFmtId="175" fontId="4" fillId="27" borderId="0" xfId="0" applyNumberFormat="1" applyFont="1" applyFill="1" applyBorder="1" applyAlignment="1">
      <alignment horizontal="right"/>
    </xf>
    <xf numFmtId="177" fontId="6" fillId="27" borderId="0" xfId="133" applyNumberFormat="1" applyFont="1" applyFill="1" applyBorder="1" applyAlignment="1"/>
    <xf numFmtId="169" fontId="6" fillId="27" borderId="0" xfId="133" applyNumberFormat="1" applyFont="1" applyFill="1" applyBorder="1" applyAlignment="1"/>
    <xf numFmtId="2" fontId="6" fillId="27" borderId="0" xfId="133" applyNumberFormat="1" applyFont="1" applyFill="1" applyBorder="1" applyAlignment="1"/>
    <xf numFmtId="176" fontId="6" fillId="27" borderId="0" xfId="0" applyNumberFormat="1" applyFont="1" applyFill="1" applyBorder="1"/>
    <xf numFmtId="174" fontId="18" fillId="27" borderId="0" xfId="0" applyNumberFormat="1" applyFont="1" applyFill="1" applyBorder="1" applyAlignment="1">
      <alignment horizontal="right"/>
    </xf>
    <xf numFmtId="174" fontId="4" fillId="27" borderId="0" xfId="0" applyNumberFormat="1" applyFont="1" applyFill="1" applyBorder="1" applyAlignment="1">
      <alignment horizontal="left"/>
    </xf>
    <xf numFmtId="170" fontId="6" fillId="27" borderId="0" xfId="133" applyNumberFormat="1" applyFont="1" applyFill="1" applyBorder="1" applyAlignment="1"/>
    <xf numFmtId="0" fontId="3" fillId="27" borderId="0" xfId="0" applyFont="1" applyFill="1" applyBorder="1" applyAlignment="1">
      <alignment horizontal="left"/>
    </xf>
    <xf numFmtId="171" fontId="4" fillId="27" borderId="0" xfId="133" applyNumberFormat="1" applyFont="1" applyFill="1" applyBorder="1" applyAlignment="1">
      <alignment horizontal="right"/>
    </xf>
    <xf numFmtId="171" fontId="13" fillId="27" borderId="0" xfId="133" applyNumberFormat="1" applyFont="1" applyFill="1" applyBorder="1" applyAlignment="1"/>
    <xf numFmtId="175" fontId="15" fillId="27" borderId="0" xfId="0" applyNumberFormat="1" applyFont="1" applyFill="1" applyBorder="1"/>
    <xf numFmtId="171" fontId="6" fillId="27" borderId="0" xfId="133" applyNumberFormat="1" applyFont="1" applyFill="1" applyBorder="1" applyAlignment="1">
      <alignment horizontal="right"/>
    </xf>
    <xf numFmtId="171" fontId="27" fillId="27" borderId="0" xfId="0" applyNumberFormat="1" applyFont="1" applyFill="1" applyBorder="1" applyAlignment="1">
      <alignment horizontal="right"/>
    </xf>
    <xf numFmtId="174" fontId="6" fillId="27" borderId="0" xfId="0" applyNumberFormat="1" applyFont="1" applyFill="1" applyBorder="1" applyAlignment="1"/>
    <xf numFmtId="170" fontId="13" fillId="27" borderId="0" xfId="0" applyNumberFormat="1" applyFont="1" applyFill="1" applyBorder="1" applyAlignment="1"/>
    <xf numFmtId="171" fontId="19" fillId="27" borderId="0" xfId="0" applyNumberFormat="1" applyFont="1" applyFill="1" applyBorder="1" applyAlignment="1">
      <alignment horizontal="right"/>
    </xf>
    <xf numFmtId="171" fontId="20" fillId="27" borderId="0" xfId="0" applyNumberFormat="1" applyFont="1" applyFill="1" applyBorder="1" applyAlignment="1">
      <alignment horizontal="right"/>
    </xf>
    <xf numFmtId="0" fontId="20" fillId="27" borderId="0" xfId="0" applyFont="1" applyFill="1" applyBorder="1" applyAlignment="1"/>
    <xf numFmtId="170" fontId="20" fillId="27" borderId="0" xfId="0" applyNumberFormat="1" applyFont="1" applyFill="1" applyBorder="1" applyAlignment="1">
      <alignment horizontal="right"/>
    </xf>
    <xf numFmtId="175" fontId="4" fillId="27" borderId="0" xfId="0" applyNumberFormat="1" applyFont="1" applyFill="1" applyBorder="1"/>
    <xf numFmtId="171" fontId="21" fillId="27" borderId="0" xfId="0" applyNumberFormat="1" applyFont="1" applyFill="1" applyBorder="1"/>
    <xf numFmtId="171" fontId="23" fillId="27" borderId="0" xfId="0" applyNumberFormat="1" applyFont="1" applyFill="1" applyBorder="1" applyAlignment="1"/>
    <xf numFmtId="0" fontId="21" fillId="27" borderId="0" xfId="0" applyFont="1" applyFill="1" applyBorder="1"/>
    <xf numFmtId="171" fontId="21" fillId="27" borderId="0" xfId="0" applyNumberFormat="1" applyFont="1" applyFill="1" applyBorder="1" applyAlignment="1">
      <alignment horizontal="right"/>
    </xf>
    <xf numFmtId="171" fontId="22" fillId="27" borderId="0" xfId="0" applyNumberFormat="1" applyFont="1" applyFill="1" applyBorder="1"/>
    <xf numFmtId="0" fontId="24" fillId="27" borderId="0" xfId="0" applyFont="1" applyFill="1" applyBorder="1" applyAlignment="1"/>
    <xf numFmtId="0" fontId="25" fillId="27" borderId="0" xfId="0" applyFont="1" applyFill="1" applyBorder="1" applyAlignment="1">
      <alignment horizontal="right"/>
    </xf>
    <xf numFmtId="170" fontId="15" fillId="27" borderId="0" xfId="0" applyNumberFormat="1" applyFont="1" applyFill="1" applyBorder="1" applyAlignment="1"/>
    <xf numFmtId="171" fontId="15" fillId="27" borderId="0" xfId="0" applyNumberFormat="1" applyFont="1" applyFill="1" applyBorder="1" applyAlignment="1">
      <alignment horizontal="right"/>
    </xf>
    <xf numFmtId="168" fontId="12" fillId="27" borderId="0" xfId="133" applyNumberFormat="1" applyFont="1" applyFill="1" applyBorder="1" applyAlignment="1"/>
    <xf numFmtId="178" fontId="6" fillId="27" borderId="0" xfId="144" applyNumberFormat="1" applyFont="1" applyFill="1" applyBorder="1" applyAlignment="1"/>
    <xf numFmtId="168" fontId="26" fillId="27" borderId="0" xfId="133" applyNumberFormat="1" applyFont="1" applyFill="1" applyBorder="1" applyAlignment="1"/>
    <xf numFmtId="0" fontId="3" fillId="27" borderId="0" xfId="0" applyFont="1" applyFill="1" applyBorder="1" applyAlignment="1">
      <alignment horizontal="right"/>
    </xf>
    <xf numFmtId="171" fontId="12" fillId="27" borderId="0" xfId="0" applyNumberFormat="1" applyFont="1" applyFill="1" applyBorder="1" applyAlignment="1"/>
    <xf numFmtId="10" fontId="13" fillId="27" borderId="0" xfId="133" applyNumberFormat="1" applyFont="1" applyFill="1" applyBorder="1" applyAlignment="1"/>
    <xf numFmtId="171" fontId="5" fillId="27" borderId="0" xfId="0" applyNumberFormat="1" applyFont="1" applyFill="1" applyBorder="1" applyAlignment="1"/>
    <xf numFmtId="179" fontId="6" fillId="27" borderId="0" xfId="0" applyNumberFormat="1" applyFont="1" applyFill="1" applyBorder="1" applyAlignment="1"/>
    <xf numFmtId="180" fontId="6" fillId="27" borderId="0" xfId="0" applyNumberFormat="1" applyFont="1" applyFill="1" applyBorder="1" applyAlignment="1"/>
    <xf numFmtId="180" fontId="5" fillId="27" borderId="0" xfId="0" applyNumberFormat="1" applyFont="1" applyFill="1" applyBorder="1" applyAlignment="1"/>
    <xf numFmtId="3" fontId="5" fillId="27" borderId="0" xfId="0" applyNumberFormat="1" applyFont="1" applyFill="1" applyBorder="1" applyAlignment="1"/>
    <xf numFmtId="169" fontId="6" fillId="27" borderId="0" xfId="0" applyNumberFormat="1" applyFont="1" applyFill="1" applyBorder="1" applyAlignment="1"/>
    <xf numFmtId="1" fontId="12" fillId="27" borderId="0" xfId="0" applyNumberFormat="1" applyFont="1" applyFill="1" applyBorder="1" applyAlignment="1"/>
    <xf numFmtId="176" fontId="6" fillId="27" borderId="0" xfId="0" applyNumberFormat="1" applyFont="1" applyFill="1" applyBorder="1" applyAlignment="1">
      <alignment horizontal="right"/>
    </xf>
    <xf numFmtId="176" fontId="6" fillId="27" borderId="0" xfId="0" applyNumberFormat="1" applyFont="1" applyFill="1" applyBorder="1" applyAlignment="1"/>
    <xf numFmtId="3" fontId="5" fillId="27" borderId="0" xfId="0" applyNumberFormat="1" applyFont="1" applyFill="1" applyBorder="1" applyAlignment="1">
      <alignment horizontal="right"/>
    </xf>
    <xf numFmtId="171" fontId="14" fillId="27" borderId="0" xfId="0" applyNumberFormat="1" applyFont="1" applyFill="1" applyBorder="1" applyAlignment="1"/>
    <xf numFmtId="171" fontId="14" fillId="27" borderId="0" xfId="0" applyNumberFormat="1" applyFont="1" applyFill="1" applyBorder="1" applyAlignment="1">
      <alignment horizontal="right"/>
    </xf>
    <xf numFmtId="170" fontId="6" fillId="27" borderId="0" xfId="144" applyNumberFormat="1" applyFont="1" applyFill="1" applyBorder="1" applyAlignment="1"/>
    <xf numFmtId="171" fontId="13" fillId="27" borderId="0" xfId="144" applyNumberFormat="1" applyFont="1" applyFill="1" applyBorder="1" applyAlignment="1"/>
    <xf numFmtId="171" fontId="13" fillId="27" borderId="0" xfId="144" applyNumberFormat="1" applyFont="1" applyFill="1" applyBorder="1" applyAlignment="1">
      <alignment horizontal="right"/>
    </xf>
    <xf numFmtId="10" fontId="13" fillId="27" borderId="0" xfId="133" applyNumberFormat="1" applyFont="1" applyFill="1" applyBorder="1" applyAlignment="1">
      <alignment horizontal="right"/>
    </xf>
    <xf numFmtId="174" fontId="13" fillId="27" borderId="0" xfId="0" applyNumberFormat="1" applyFont="1" applyFill="1" applyBorder="1" applyAlignment="1"/>
    <xf numFmtId="37" fontId="13" fillId="27" borderId="0" xfId="0" applyNumberFormat="1" applyFont="1" applyFill="1" applyBorder="1" applyAlignment="1"/>
    <xf numFmtId="181" fontId="6" fillId="27" borderId="0" xfId="144" applyNumberFormat="1" applyFont="1" applyFill="1" applyBorder="1" applyAlignment="1"/>
    <xf numFmtId="171" fontId="6" fillId="27" borderId="0" xfId="144" applyNumberFormat="1" applyFont="1" applyFill="1" applyBorder="1" applyAlignment="1">
      <alignment horizontal="right"/>
    </xf>
    <xf numFmtId="171" fontId="4" fillId="27" borderId="0" xfId="144" applyNumberFormat="1" applyFont="1" applyFill="1" applyBorder="1" applyAlignment="1"/>
    <xf numFmtId="171" fontId="19" fillId="27" borderId="0" xfId="144" applyNumberFormat="1" applyFont="1" applyFill="1" applyBorder="1" applyAlignment="1">
      <alignment horizontal="right"/>
    </xf>
    <xf numFmtId="1" fontId="4" fillId="27" borderId="0" xfId="0" applyNumberFormat="1" applyFont="1" applyFill="1" applyBorder="1" applyAlignment="1">
      <alignment horizontal="right"/>
    </xf>
    <xf numFmtId="0" fontId="6" fillId="27" borderId="0" xfId="0" quotePrefix="1" applyFont="1" applyFill="1" applyBorder="1" applyAlignment="1"/>
    <xf numFmtId="37" fontId="13" fillId="27" borderId="0" xfId="0" applyNumberFormat="1" applyFont="1" applyFill="1" applyBorder="1" applyAlignment="1">
      <alignment horizontal="right"/>
    </xf>
    <xf numFmtId="182" fontId="6" fillId="27" borderId="0" xfId="0" applyNumberFormat="1" applyFont="1" applyFill="1" applyBorder="1" applyAlignment="1"/>
    <xf numFmtId="10" fontId="13" fillId="27" borderId="0" xfId="0" applyNumberFormat="1" applyFont="1" applyFill="1" applyBorder="1" applyAlignment="1"/>
    <xf numFmtId="10" fontId="12" fillId="27" borderId="0" xfId="0" applyNumberFormat="1" applyFont="1" applyFill="1" applyBorder="1" applyAlignment="1"/>
    <xf numFmtId="10" fontId="12" fillId="27" borderId="0" xfId="0" applyNumberFormat="1" applyFont="1" applyFill="1" applyBorder="1" applyAlignment="1">
      <alignment horizontal="right"/>
    </xf>
    <xf numFmtId="10" fontId="12" fillId="27" borderId="0" xfId="133" applyNumberFormat="1" applyFont="1" applyFill="1" applyBorder="1" applyAlignment="1"/>
    <xf numFmtId="166" fontId="6" fillId="27" borderId="0" xfId="0" applyNumberFormat="1" applyFont="1" applyFill="1" applyBorder="1" applyAlignment="1"/>
    <xf numFmtId="37" fontId="6" fillId="27" borderId="0" xfId="144" applyNumberFormat="1" applyFont="1" applyFill="1" applyBorder="1" applyAlignment="1">
      <alignment horizontal="right"/>
    </xf>
    <xf numFmtId="4" fontId="33" fillId="27" borderId="0" xfId="0" applyNumberFormat="1" applyFont="1" applyFill="1" applyBorder="1" applyAlignment="1">
      <alignment horizontal="right"/>
    </xf>
    <xf numFmtId="210" fontId="71" fillId="27" borderId="0" xfId="144" applyNumberFormat="1" applyFont="1" applyFill="1" applyBorder="1" applyAlignment="1">
      <alignment horizontal="right"/>
    </xf>
    <xf numFmtId="171" fontId="6" fillId="27" borderId="0" xfId="119" applyNumberFormat="1" applyFont="1" applyFill="1" applyBorder="1" applyAlignment="1"/>
    <xf numFmtId="226" fontId="71" fillId="27" borderId="0" xfId="129" applyNumberFormat="1" applyFont="1" applyFill="1" applyBorder="1" applyAlignment="1">
      <alignment horizontal="right"/>
    </xf>
    <xf numFmtId="9" fontId="25" fillId="27" borderId="0" xfId="121" applyNumberFormat="1" applyFont="1" applyFill="1" applyBorder="1"/>
    <xf numFmtId="178" fontId="2" fillId="27" borderId="0" xfId="0" applyNumberFormat="1" applyFont="1" applyFill="1" applyBorder="1"/>
    <xf numFmtId="0" fontId="2" fillId="27" borderId="0" xfId="118" applyFont="1" applyFill="1" applyBorder="1"/>
    <xf numFmtId="178" fontId="2" fillId="27" borderId="0" xfId="144" applyNumberFormat="1" applyFont="1" applyFill="1" applyBorder="1"/>
    <xf numFmtId="178" fontId="2" fillId="27" borderId="0" xfId="118" applyNumberFormat="1" applyFont="1" applyFill="1" applyBorder="1"/>
    <xf numFmtId="171" fontId="2" fillId="27" borderId="0" xfId="118" applyNumberFormat="1" applyFont="1" applyFill="1" applyBorder="1"/>
    <xf numFmtId="14" fontId="77" fillId="0" borderId="25" xfId="52" applyNumberFormat="1" applyFont="1" applyBorder="1" applyAlignment="1">
      <alignment horizontal="center"/>
    </xf>
    <xf numFmtId="0" fontId="2" fillId="27" borderId="0" xfId="126" applyFont="1" applyFill="1" applyAlignment="1">
      <alignment vertical="top"/>
    </xf>
    <xf numFmtId="0" fontId="3" fillId="27" borderId="0" xfId="126" applyFont="1" applyFill="1" applyAlignment="1">
      <alignment vertical="top"/>
    </xf>
    <xf numFmtId="0" fontId="4" fillId="27" borderId="0" xfId="0" applyNumberFormat="1" applyFont="1" applyFill="1" applyBorder="1" applyAlignment="1">
      <alignment horizontal="right"/>
    </xf>
    <xf numFmtId="0" fontId="76" fillId="0" borderId="0" xfId="75" applyFont="1" applyBorder="1" applyAlignment="1">
      <alignment horizontal="center" vertical="center"/>
    </xf>
    <xf numFmtId="187" fontId="2" fillId="27" borderId="0" xfId="126" applyNumberFormat="1" applyFont="1" applyFill="1" applyAlignment="1"/>
    <xf numFmtId="37" fontId="6" fillId="27" borderId="0" xfId="121" applyNumberFormat="1" applyFont="1" applyFill="1" applyBorder="1" applyAlignment="1">
      <alignment horizontal="right"/>
    </xf>
    <xf numFmtId="171" fontId="31" fillId="27" borderId="0" xfId="121" applyNumberFormat="1" applyFont="1" applyFill="1" applyBorder="1" applyAlignment="1">
      <alignment horizontal="left" indent="2"/>
    </xf>
    <xf numFmtId="171" fontId="31" fillId="27" borderId="22" xfId="121" applyNumberFormat="1" applyFont="1" applyFill="1" applyBorder="1" applyAlignment="1">
      <alignment horizontal="left" indent="2"/>
    </xf>
    <xf numFmtId="171" fontId="31" fillId="27" borderId="24" xfId="121" applyNumberFormat="1" applyFont="1" applyFill="1" applyBorder="1" applyAlignment="1">
      <alignment horizontal="left" indent="2"/>
    </xf>
    <xf numFmtId="207" fontId="6" fillId="27" borderId="0" xfId="121" applyNumberFormat="1" applyFont="1" applyFill="1" applyBorder="1"/>
    <xf numFmtId="3" fontId="6" fillId="27" borderId="0" xfId="121" applyNumberFormat="1" applyFont="1" applyFill="1" applyBorder="1"/>
    <xf numFmtId="205" fontId="6" fillId="27" borderId="0" xfId="138" applyNumberFormat="1" applyFont="1" applyFill="1"/>
    <xf numFmtId="10" fontId="6" fillId="27" borderId="0" xfId="138" applyNumberFormat="1" applyFont="1" applyFill="1"/>
    <xf numFmtId="9" fontId="6" fillId="27" borderId="0" xfId="138" applyNumberFormat="1" applyFont="1" applyFill="1" applyAlignment="1">
      <alignment horizontal="right"/>
    </xf>
    <xf numFmtId="9" fontId="6" fillId="27" borderId="0" xfId="138" applyNumberFormat="1" applyFont="1" applyFill="1" applyBorder="1" applyAlignment="1">
      <alignment horizontal="right"/>
    </xf>
    <xf numFmtId="10" fontId="33" fillId="27" borderId="0" xfId="138" applyNumberFormat="1" applyFont="1" applyFill="1"/>
    <xf numFmtId="10" fontId="6" fillId="27" borderId="0" xfId="140" applyNumberFormat="1" applyFont="1" applyFill="1" applyBorder="1"/>
    <xf numFmtId="3" fontId="31" fillId="27" borderId="0" xfId="121" applyNumberFormat="1" applyFont="1" applyFill="1"/>
    <xf numFmtId="4" fontId="33" fillId="27" borderId="0" xfId="121" applyNumberFormat="1" applyFont="1" applyFill="1"/>
    <xf numFmtId="202" fontId="6" fillId="27" borderId="0" xfId="140" applyNumberFormat="1" applyFont="1" applyFill="1"/>
    <xf numFmtId="9" fontId="6" fillId="27" borderId="0" xfId="138" applyFont="1" applyFill="1" applyAlignment="1">
      <alignment horizontal="right"/>
    </xf>
    <xf numFmtId="4" fontId="6" fillId="27" borderId="0" xfId="121" applyNumberFormat="1" applyFont="1" applyFill="1" applyAlignment="1">
      <alignment horizontal="right"/>
    </xf>
    <xf numFmtId="0" fontId="4" fillId="27" borderId="0" xfId="121" applyFont="1" applyFill="1"/>
    <xf numFmtId="187" fontId="33" fillId="27" borderId="0" xfId="121" applyNumberFormat="1" applyFont="1" applyFill="1" applyBorder="1" applyAlignment="1">
      <alignment horizontal="right"/>
    </xf>
    <xf numFmtId="3" fontId="4" fillId="27" borderId="0" xfId="121" applyNumberFormat="1" applyFont="1" applyFill="1"/>
    <xf numFmtId="0" fontId="6" fillId="27" borderId="0" xfId="121" applyFont="1" applyFill="1" applyAlignment="1">
      <alignment horizontal="left" indent="1"/>
    </xf>
    <xf numFmtId="0" fontId="118" fillId="27" borderId="0" xfId="0" applyFont="1" applyFill="1" applyBorder="1" applyAlignment="1">
      <alignment horizontal="left" indent="3"/>
    </xf>
    <xf numFmtId="0" fontId="31" fillId="27" borderId="0" xfId="121" applyFont="1" applyFill="1" applyAlignment="1">
      <alignment horizontal="left" indent="1"/>
    </xf>
    <xf numFmtId="171" fontId="33" fillId="27" borderId="0" xfId="121" applyNumberFormat="1" applyFont="1" applyFill="1" applyAlignment="1">
      <alignment horizontal="left" indent="1"/>
    </xf>
    <xf numFmtId="222" fontId="6" fillId="27" borderId="0" xfId="121" applyNumberFormat="1" applyFont="1" applyFill="1"/>
    <xf numFmtId="171" fontId="31" fillId="27" borderId="0" xfId="121" applyNumberFormat="1" applyFont="1" applyFill="1" applyAlignment="1">
      <alignment horizontal="left" indent="3"/>
    </xf>
    <xf numFmtId="169" fontId="6" fillId="27" borderId="0" xfId="121" applyNumberFormat="1" applyFont="1" applyFill="1"/>
    <xf numFmtId="169" fontId="33" fillId="27" borderId="0" xfId="121" applyNumberFormat="1" applyFont="1" applyFill="1"/>
    <xf numFmtId="168" fontId="33" fillId="27" borderId="0" xfId="138" applyNumberFormat="1" applyFont="1" applyFill="1"/>
    <xf numFmtId="187" fontId="33" fillId="27" borderId="0" xfId="121" applyNumberFormat="1" applyFont="1" applyFill="1" applyBorder="1" applyAlignment="1">
      <alignment horizontal="left"/>
    </xf>
    <xf numFmtId="171" fontId="33" fillId="27" borderId="0" xfId="121" applyNumberFormat="1" applyFont="1" applyFill="1" applyAlignment="1">
      <alignment horizontal="left" indent="2"/>
    </xf>
    <xf numFmtId="171" fontId="6" fillId="27" borderId="0" xfId="121" applyNumberFormat="1" applyFont="1" applyFill="1" applyBorder="1" applyAlignment="1">
      <alignment horizontal="left" indent="1"/>
    </xf>
    <xf numFmtId="0" fontId="31" fillId="27" borderId="0" xfId="121" applyFont="1" applyFill="1" applyBorder="1" applyAlignment="1">
      <alignment horizontal="left" indent="2"/>
    </xf>
    <xf numFmtId="0" fontId="33" fillId="27" borderId="0" xfId="121" applyFont="1" applyFill="1" applyBorder="1" applyAlignment="1">
      <alignment horizontal="left" indent="2"/>
    </xf>
    <xf numFmtId="0" fontId="119" fillId="27" borderId="0" xfId="0" applyFont="1" applyFill="1" applyBorder="1" applyAlignment="1">
      <alignment horizontal="left" indent="1"/>
    </xf>
    <xf numFmtId="171" fontId="6" fillId="27" borderId="0" xfId="121" applyNumberFormat="1" applyFont="1" applyFill="1" applyBorder="1" applyAlignment="1">
      <alignment horizontal="left"/>
    </xf>
    <xf numFmtId="171" fontId="4" fillId="27" borderId="0" xfId="121" applyNumberFormat="1" applyFont="1" applyFill="1" applyBorder="1" applyAlignment="1">
      <alignment horizontal="left"/>
    </xf>
    <xf numFmtId="169" fontId="4" fillId="27" borderId="0" xfId="121" applyNumberFormat="1" applyFont="1" applyFill="1" applyBorder="1"/>
    <xf numFmtId="168" fontId="6" fillId="27" borderId="0" xfId="121" applyNumberFormat="1" applyFont="1" applyFill="1"/>
    <xf numFmtId="171" fontId="4" fillId="27" borderId="0" xfId="121" applyNumberFormat="1" applyFont="1" applyFill="1" applyBorder="1" applyAlignment="1">
      <alignment horizontal="left" indent="1"/>
    </xf>
    <xf numFmtId="187" fontId="6" fillId="27" borderId="0" xfId="121" applyNumberFormat="1" applyFont="1" applyFill="1"/>
    <xf numFmtId="0" fontId="31" fillId="27" borderId="0" xfId="121" applyFont="1" applyFill="1" applyAlignment="1"/>
    <xf numFmtId="0" fontId="33" fillId="27" borderId="0" xfId="126" applyFont="1" applyFill="1" applyBorder="1" applyAlignment="1"/>
    <xf numFmtId="2" fontId="31" fillId="27" borderId="0" xfId="121" applyNumberFormat="1" applyFont="1" applyFill="1" applyAlignment="1"/>
    <xf numFmtId="3" fontId="31" fillId="27" borderId="0" xfId="121" applyNumberFormat="1" applyFont="1" applyFill="1" applyAlignment="1"/>
    <xf numFmtId="170" fontId="31" fillId="27" borderId="0" xfId="121" applyNumberFormat="1" applyFont="1" applyFill="1" applyBorder="1" applyAlignment="1"/>
    <xf numFmtId="0" fontId="33" fillId="27" borderId="0" xfId="121" applyFont="1" applyFill="1" applyAlignment="1"/>
    <xf numFmtId="2" fontId="33" fillId="27" borderId="0" xfId="121" applyNumberFormat="1" applyFont="1" applyFill="1" applyAlignment="1"/>
    <xf numFmtId="187" fontId="33" fillId="27" borderId="0" xfId="138" applyNumberFormat="1" applyFont="1" applyFill="1" applyBorder="1" applyAlignment="1">
      <alignment horizontal="right"/>
    </xf>
    <xf numFmtId="0" fontId="31" fillId="27" borderId="0" xfId="121" applyFont="1" applyFill="1" applyBorder="1" applyAlignment="1">
      <alignment horizontal="left"/>
    </xf>
    <xf numFmtId="223" fontId="6" fillId="27" borderId="0" xfId="121" applyNumberFormat="1" applyFont="1" applyFill="1"/>
    <xf numFmtId="168" fontId="6" fillId="27" borderId="0" xfId="140" applyNumberFormat="1" applyFont="1" applyFill="1"/>
    <xf numFmtId="3" fontId="6" fillId="27" borderId="0" xfId="140" applyNumberFormat="1" applyFont="1" applyFill="1"/>
    <xf numFmtId="171" fontId="4" fillId="27" borderId="0" xfId="138" applyNumberFormat="1" applyFont="1" applyFill="1" applyBorder="1" applyAlignment="1"/>
    <xf numFmtId="0" fontId="4" fillId="27" borderId="0" xfId="121" applyFont="1" applyFill="1" applyAlignment="1"/>
    <xf numFmtId="10" fontId="4" fillId="27" borderId="0" xfId="138" applyNumberFormat="1" applyFont="1" applyFill="1" applyBorder="1" applyAlignment="1"/>
    <xf numFmtId="0" fontId="4" fillId="27" borderId="0" xfId="121" applyFont="1" applyFill="1" applyBorder="1" applyAlignment="1">
      <alignment horizontal="left" indent="1"/>
    </xf>
    <xf numFmtId="3" fontId="4" fillId="27" borderId="0" xfId="121" applyNumberFormat="1" applyFont="1" applyFill="1" applyBorder="1"/>
    <xf numFmtId="172" fontId="6" fillId="27" borderId="0" xfId="121" applyNumberFormat="1" applyFont="1" applyFill="1" applyBorder="1" applyAlignment="1"/>
    <xf numFmtId="171" fontId="4" fillId="27" borderId="0" xfId="121" applyNumberFormat="1" applyFont="1" applyFill="1" applyAlignment="1"/>
    <xf numFmtId="4" fontId="4" fillId="27" borderId="0" xfId="121" applyNumberFormat="1" applyFont="1" applyFill="1"/>
    <xf numFmtId="171" fontId="4" fillId="27" borderId="0" xfId="121" applyNumberFormat="1" applyFont="1" applyFill="1" applyAlignment="1">
      <alignment horizontal="left" indent="1"/>
    </xf>
    <xf numFmtId="171" fontId="6" fillId="27" borderId="0" xfId="121" applyNumberFormat="1" applyFont="1" applyFill="1" applyAlignment="1">
      <alignment horizontal="left" indent="3"/>
    </xf>
    <xf numFmtId="171" fontId="6" fillId="27" borderId="0" xfId="121" applyNumberFormat="1" applyFont="1" applyFill="1" applyBorder="1" applyAlignment="1">
      <alignment horizontal="left" indent="3"/>
    </xf>
    <xf numFmtId="171" fontId="6" fillId="27" borderId="0" xfId="121" applyNumberFormat="1" applyFont="1" applyFill="1" applyBorder="1" applyAlignment="1">
      <alignment horizontal="left" indent="4"/>
    </xf>
    <xf numFmtId="171" fontId="4" fillId="27" borderId="0" xfId="121" applyNumberFormat="1" applyFont="1" applyFill="1" applyBorder="1" applyAlignment="1">
      <alignment horizontal="left" indent="4"/>
    </xf>
    <xf numFmtId="171" fontId="4" fillId="27" borderId="0" xfId="121" applyNumberFormat="1" applyFont="1" applyFill="1" applyBorder="1" applyAlignment="1">
      <alignment horizontal="left" indent="3"/>
    </xf>
    <xf numFmtId="3" fontId="4" fillId="27" borderId="0" xfId="121" applyNumberFormat="1" applyFont="1" applyFill="1" applyBorder="1" applyAlignment="1">
      <alignment horizontal="left" indent="1"/>
    </xf>
    <xf numFmtId="3" fontId="4" fillId="27" borderId="0" xfId="140" applyNumberFormat="1" applyFont="1" applyFill="1"/>
    <xf numFmtId="3" fontId="4" fillId="27" borderId="0" xfId="121" applyNumberFormat="1" applyFont="1" applyFill="1" applyBorder="1" applyAlignment="1">
      <alignment horizontal="left" indent="2"/>
    </xf>
    <xf numFmtId="0" fontId="18" fillId="27" borderId="0" xfId="121" applyFont="1" applyFill="1"/>
    <xf numFmtId="0" fontId="18" fillId="27" borderId="0" xfId="121" applyFont="1" applyFill="1" applyAlignment="1"/>
    <xf numFmtId="0" fontId="18" fillId="27" borderId="0" xfId="121" applyFont="1" applyFill="1" applyBorder="1" applyAlignment="1">
      <alignment horizontal="left"/>
    </xf>
    <xf numFmtId="174" fontId="18" fillId="27" borderId="0" xfId="121" applyNumberFormat="1" applyFont="1" applyFill="1" applyBorder="1" applyAlignment="1">
      <alignment horizontal="left"/>
    </xf>
    <xf numFmtId="224" fontId="8" fillId="27" borderId="4" xfId="144" applyNumberFormat="1" applyFont="1" applyFill="1" applyBorder="1" applyAlignment="1">
      <alignment horizontal="right"/>
    </xf>
    <xf numFmtId="224" fontId="8" fillId="27" borderId="0" xfId="144" applyNumberFormat="1" applyFont="1" applyFill="1" applyBorder="1" applyAlignment="1">
      <alignment horizontal="right"/>
    </xf>
    <xf numFmtId="215" fontId="6" fillId="27" borderId="0" xfId="121" applyNumberFormat="1" applyFont="1" applyFill="1"/>
    <xf numFmtId="3" fontId="136" fillId="27" borderId="0" xfId="78" applyNumberFormat="1" applyFont="1" applyFill="1" applyBorder="1" applyAlignment="1">
      <alignment horizontal="right"/>
    </xf>
    <xf numFmtId="187" fontId="31" fillId="27" borderId="0" xfId="138" applyNumberFormat="1" applyFont="1" applyFill="1" applyBorder="1" applyAlignment="1"/>
    <xf numFmtId="9" fontId="6" fillId="27" borderId="0" xfId="121" applyNumberFormat="1" applyFont="1" applyFill="1" applyBorder="1" applyAlignment="1"/>
    <xf numFmtId="9" fontId="4" fillId="27" borderId="0" xfId="121" applyNumberFormat="1" applyFont="1" applyFill="1" applyBorder="1" applyAlignment="1">
      <alignment horizontal="left"/>
    </xf>
    <xf numFmtId="9" fontId="4" fillId="27" borderId="0" xfId="121" applyNumberFormat="1" applyFont="1" applyFill="1" applyBorder="1" applyAlignment="1">
      <alignment horizontal="right"/>
    </xf>
    <xf numFmtId="9" fontId="33" fillId="27" borderId="23" xfId="121" applyNumberFormat="1" applyFont="1" applyFill="1" applyBorder="1" applyAlignment="1">
      <alignment horizontal="right"/>
    </xf>
    <xf numFmtId="0" fontId="33" fillId="27" borderId="0" xfId="121" applyFont="1" applyFill="1" applyBorder="1" applyAlignment="1">
      <alignment horizontal="center"/>
    </xf>
    <xf numFmtId="227" fontId="8" fillId="27" borderId="4" xfId="144" applyNumberFormat="1" applyFont="1" applyFill="1" applyBorder="1" applyAlignment="1">
      <alignment horizontal="right"/>
    </xf>
    <xf numFmtId="9" fontId="6" fillId="27" borderId="0" xfId="140" applyFont="1" applyFill="1" applyBorder="1" applyAlignment="1"/>
    <xf numFmtId="0" fontId="137" fillId="0" borderId="0" xfId="0" applyFont="1"/>
    <xf numFmtId="0" fontId="6" fillId="27" borderId="0" xfId="119" applyFont="1" applyFill="1" applyAlignment="1"/>
    <xf numFmtId="0" fontId="138" fillId="27" borderId="0" xfId="0" applyFont="1" applyFill="1"/>
    <xf numFmtId="0" fontId="139" fillId="27" borderId="0" xfId="0" applyFont="1" applyFill="1"/>
    <xf numFmtId="0" fontId="139" fillId="27" borderId="0" xfId="0" applyFont="1" applyFill="1" applyBorder="1" applyAlignment="1">
      <alignment horizontal="left" indent="2"/>
    </xf>
    <xf numFmtId="0" fontId="139" fillId="27" borderId="0" xfId="0" applyFont="1" applyFill="1" applyBorder="1" applyAlignment="1"/>
    <xf numFmtId="187" fontId="139" fillId="27" borderId="0" xfId="0" applyNumberFormat="1" applyFont="1" applyFill="1" applyBorder="1" applyAlignment="1"/>
    <xf numFmtId="0" fontId="8" fillId="27" borderId="37" xfId="0" applyFont="1" applyFill="1" applyBorder="1" applyAlignment="1">
      <alignment horizontal="left"/>
    </xf>
    <xf numFmtId="0" fontId="8" fillId="27" borderId="0" xfId="0" applyFont="1" applyFill="1" applyBorder="1" applyAlignment="1">
      <alignment horizontal="left"/>
    </xf>
    <xf numFmtId="0" fontId="109" fillId="27" borderId="40" xfId="0" applyFont="1" applyFill="1" applyBorder="1"/>
    <xf numFmtId="0" fontId="8" fillId="27" borderId="39" xfId="0" applyFont="1" applyFill="1" applyBorder="1"/>
    <xf numFmtId="0" fontId="110" fillId="27" borderId="41" xfId="0" applyFont="1" applyFill="1" applyBorder="1" applyAlignment="1">
      <alignment horizontal="center"/>
    </xf>
    <xf numFmtId="0" fontId="8" fillId="27" borderId="42" xfId="0" applyFont="1" applyFill="1" applyBorder="1"/>
    <xf numFmtId="3" fontId="8" fillId="27" borderId="43" xfId="144" applyNumberFormat="1" applyFont="1" applyFill="1" applyBorder="1" applyAlignment="1">
      <alignment horizontal="center"/>
    </xf>
    <xf numFmtId="0" fontId="8" fillId="27" borderId="40" xfId="0" applyFont="1" applyFill="1" applyBorder="1"/>
    <xf numFmtId="0" fontId="8" fillId="27" borderId="39" xfId="0" applyFont="1" applyFill="1" applyBorder="1" applyAlignment="1">
      <alignment horizontal="left"/>
    </xf>
    <xf numFmtId="0" fontId="109" fillId="27" borderId="44" xfId="0" applyFont="1" applyFill="1" applyBorder="1" applyAlignment="1">
      <alignment horizontal="left"/>
    </xf>
    <xf numFmtId="0" fontId="8" fillId="27" borderId="45" xfId="0" applyFont="1" applyFill="1" applyBorder="1" applyAlignment="1">
      <alignment horizontal="left"/>
    </xf>
    <xf numFmtId="168" fontId="110" fillId="27" borderId="46" xfId="0" applyNumberFormat="1" applyFont="1" applyFill="1" applyBorder="1" applyAlignment="1">
      <alignment horizontal="center"/>
    </xf>
    <xf numFmtId="0" fontId="109" fillId="27" borderId="47" xfId="0" applyFont="1" applyFill="1" applyBorder="1" applyAlignment="1">
      <alignment horizontal="left"/>
    </xf>
    <xf numFmtId="0" fontId="110" fillId="27" borderId="48" xfId="0" applyFont="1" applyFill="1" applyBorder="1" applyAlignment="1">
      <alignment horizontal="center"/>
    </xf>
    <xf numFmtId="227" fontId="110" fillId="27" borderId="49" xfId="144" applyNumberFormat="1" applyFont="1" applyFill="1" applyBorder="1" applyAlignment="1">
      <alignment horizontal="center"/>
    </xf>
    <xf numFmtId="166" fontId="111" fillId="27" borderId="0" xfId="144" applyNumberFormat="1" applyFont="1" applyFill="1" applyBorder="1" applyAlignment="1">
      <alignment horizontal="left"/>
    </xf>
    <xf numFmtId="14" fontId="4" fillId="27" borderId="19" xfId="121" applyNumberFormat="1" applyFont="1" applyFill="1" applyBorder="1" applyAlignment="1">
      <alignment horizontal="right"/>
    </xf>
    <xf numFmtId="205" fontId="6" fillId="27" borderId="0" xfId="138" applyNumberFormat="1" applyFont="1" applyFill="1" applyBorder="1"/>
    <xf numFmtId="10" fontId="33" fillId="27" borderId="0" xfId="138" applyNumberFormat="1" applyFont="1" applyFill="1" applyBorder="1"/>
    <xf numFmtId="9" fontId="6" fillId="27" borderId="0" xfId="140" applyFont="1" applyFill="1"/>
    <xf numFmtId="0" fontId="81" fillId="27" borderId="0" xfId="121" applyFont="1" applyFill="1" applyBorder="1"/>
    <xf numFmtId="0" fontId="105" fillId="27" borderId="0" xfId="121" applyFont="1" applyFill="1" applyBorder="1"/>
    <xf numFmtId="0" fontId="32" fillId="27" borderId="0" xfId="121" applyFont="1" applyFill="1" applyBorder="1"/>
    <xf numFmtId="4" fontId="31" fillId="27" borderId="0" xfId="121" applyNumberFormat="1" applyFont="1" applyFill="1"/>
    <xf numFmtId="4" fontId="31" fillId="27" borderId="0" xfId="121" applyNumberFormat="1" applyFont="1" applyFill="1" applyBorder="1"/>
    <xf numFmtId="169" fontId="31" fillId="27" borderId="0" xfId="121" applyNumberFormat="1" applyFont="1" applyFill="1" applyBorder="1"/>
    <xf numFmtId="2" fontId="31" fillId="27" borderId="0" xfId="121" applyNumberFormat="1" applyFont="1" applyFill="1" applyBorder="1" applyAlignment="1"/>
    <xf numFmtId="168" fontId="6" fillId="27" borderId="50" xfId="140" applyNumberFormat="1" applyFont="1" applyFill="1" applyBorder="1"/>
    <xf numFmtId="168" fontId="6" fillId="27" borderId="25" xfId="140" applyNumberFormat="1" applyFont="1" applyFill="1" applyBorder="1"/>
    <xf numFmtId="168" fontId="6" fillId="27" borderId="51" xfId="140" applyNumberFormat="1" applyFont="1" applyFill="1" applyBorder="1"/>
    <xf numFmtId="9" fontId="6" fillId="27" borderId="0" xfId="140" applyFont="1" applyFill="1" applyBorder="1"/>
    <xf numFmtId="168" fontId="6" fillId="27" borderId="4" xfId="140" applyNumberFormat="1" applyFont="1" applyFill="1" applyBorder="1"/>
    <xf numFmtId="0" fontId="25" fillId="27" borderId="0" xfId="121" applyFont="1" applyFill="1" applyAlignment="1">
      <alignment horizontal="right"/>
    </xf>
    <xf numFmtId="0" fontId="120" fillId="27" borderId="0" xfId="0" applyFont="1" applyFill="1" applyBorder="1"/>
    <xf numFmtId="0" fontId="120" fillId="27" borderId="0" xfId="0" applyFont="1" applyFill="1" applyBorder="1" applyAlignment="1"/>
    <xf numFmtId="178" fontId="33" fillId="27" borderId="0" xfId="144" applyNumberFormat="1" applyFont="1" applyFill="1" applyBorder="1" applyAlignment="1"/>
    <xf numFmtId="187" fontId="6" fillId="27" borderId="0" xfId="136" applyNumberFormat="1" applyFont="1" applyFill="1" applyBorder="1" applyAlignment="1">
      <alignment horizontal="right"/>
    </xf>
    <xf numFmtId="9" fontId="2" fillId="27" borderId="0" xfId="118" applyNumberFormat="1" applyFont="1" applyFill="1"/>
    <xf numFmtId="0" fontId="33" fillId="27" borderId="0" xfId="119" applyFont="1" applyFill="1" applyAlignment="1"/>
    <xf numFmtId="4" fontId="2" fillId="27" borderId="0" xfId="0" applyNumberFormat="1" applyFont="1" applyFill="1" applyBorder="1"/>
    <xf numFmtId="0" fontId="4" fillId="27" borderId="0" xfId="0" applyFont="1" applyFill="1" applyBorder="1" applyAlignment="1">
      <alignment horizontal="center"/>
    </xf>
    <xf numFmtId="0" fontId="140" fillId="27" borderId="0" xfId="0" applyFont="1" applyFill="1" applyAlignment="1">
      <alignment horizontal="left"/>
    </xf>
    <xf numFmtId="0" fontId="7" fillId="27" borderId="37" xfId="0" applyFont="1" applyFill="1" applyBorder="1" applyAlignment="1">
      <alignment horizontal="left" vertical="center"/>
    </xf>
    <xf numFmtId="9" fontId="32" fillId="27" borderId="0" xfId="118" applyNumberFormat="1" applyFont="1" applyFill="1" applyBorder="1"/>
    <xf numFmtId="14" fontId="25" fillId="27" borderId="0" xfId="121" applyNumberFormat="1" applyFont="1" applyFill="1"/>
    <xf numFmtId="171" fontId="4" fillId="27" borderId="23" xfId="121" applyNumberFormat="1" applyFont="1" applyFill="1" applyBorder="1" applyAlignment="1">
      <alignment horizontal="right"/>
    </xf>
    <xf numFmtId="0" fontId="6" fillId="27" borderId="22" xfId="121" applyFont="1" applyFill="1" applyBorder="1"/>
    <xf numFmtId="171" fontId="4" fillId="27" borderId="24" xfId="121" applyNumberFormat="1" applyFont="1" applyFill="1" applyBorder="1" applyAlignment="1">
      <alignment horizontal="right"/>
    </xf>
    <xf numFmtId="9" fontId="4" fillId="27" borderId="23" xfId="138" applyFont="1" applyFill="1" applyBorder="1"/>
    <xf numFmtId="178" fontId="4" fillId="27" borderId="23" xfId="150" applyNumberFormat="1" applyFont="1" applyFill="1" applyBorder="1"/>
    <xf numFmtId="204" fontId="4" fillId="27" borderId="23" xfId="150" applyNumberFormat="1" applyFont="1" applyFill="1" applyBorder="1"/>
    <xf numFmtId="169" fontId="6" fillId="27" borderId="24" xfId="121" applyNumberFormat="1" applyFont="1" applyFill="1" applyBorder="1"/>
    <xf numFmtId="170" fontId="6" fillId="27" borderId="0" xfId="121" applyNumberFormat="1" applyFont="1" applyFill="1" applyAlignment="1">
      <alignment horizontal="right"/>
    </xf>
    <xf numFmtId="10" fontId="6" fillId="27" borderId="0" xfId="138" applyNumberFormat="1" applyFont="1" applyFill="1" applyAlignment="1">
      <alignment horizontal="right"/>
    </xf>
    <xf numFmtId="205" fontId="6" fillId="27" borderId="0" xfId="138" applyNumberFormat="1" applyFont="1" applyFill="1" applyAlignment="1">
      <alignment horizontal="right"/>
    </xf>
    <xf numFmtId="0" fontId="82" fillId="27" borderId="0" xfId="121" applyFont="1" applyFill="1"/>
    <xf numFmtId="9" fontId="2" fillId="27" borderId="0" xfId="122" applyNumberFormat="1" applyFont="1" applyFill="1" applyBorder="1"/>
    <xf numFmtId="0" fontId="141" fillId="27" borderId="0" xfId="0" applyFont="1" applyFill="1"/>
    <xf numFmtId="0" fontId="142" fillId="27" borderId="0" xfId="0" applyFont="1" applyFill="1"/>
    <xf numFmtId="193" fontId="33" fillId="27" borderId="37" xfId="0" applyNumberFormat="1" applyFont="1" applyFill="1" applyBorder="1" applyAlignment="1">
      <alignment horizontal="right"/>
    </xf>
    <xf numFmtId="189" fontId="33" fillId="27" borderId="39" xfId="0" applyNumberFormat="1" applyFont="1" applyFill="1" applyBorder="1" applyAlignment="1">
      <alignment horizontal="right"/>
    </xf>
    <xf numFmtId="187" fontId="133" fillId="27" borderId="37" xfId="133" applyNumberFormat="1" applyFont="1" applyFill="1" applyBorder="1" applyAlignment="1">
      <alignment horizontal="right"/>
    </xf>
    <xf numFmtId="187" fontId="33" fillId="27" borderId="37" xfId="0" applyNumberFormat="1" applyFont="1" applyFill="1" applyBorder="1" applyAlignment="1"/>
    <xf numFmtId="187" fontId="31" fillId="27" borderId="37" xfId="133" applyNumberFormat="1" applyFont="1" applyFill="1" applyBorder="1" applyAlignment="1">
      <alignment horizontal="right"/>
    </xf>
    <xf numFmtId="187" fontId="31" fillId="27" borderId="37" xfId="0" applyNumberFormat="1" applyFont="1" applyFill="1" applyBorder="1" applyAlignment="1"/>
    <xf numFmtId="187" fontId="33" fillId="27" borderId="37" xfId="133" applyNumberFormat="1" applyFont="1" applyFill="1" applyBorder="1" applyAlignment="1">
      <alignment horizontal="right"/>
    </xf>
    <xf numFmtId="0" fontId="31" fillId="27" borderId="37" xfId="0" applyFont="1" applyFill="1" applyBorder="1"/>
    <xf numFmtId="0" fontId="105" fillId="27" borderId="37" xfId="0" applyFont="1" applyFill="1" applyBorder="1"/>
    <xf numFmtId="211" fontId="33" fillId="27" borderId="35" xfId="0" applyNumberFormat="1" applyFont="1" applyFill="1" applyBorder="1" applyAlignment="1">
      <alignment horizontal="right"/>
    </xf>
    <xf numFmtId="187" fontId="139" fillId="27" borderId="37" xfId="0" applyNumberFormat="1" applyFont="1" applyFill="1" applyBorder="1" applyAlignment="1"/>
    <xf numFmtId="187" fontId="33" fillId="27" borderId="37" xfId="0" applyNumberFormat="1" applyFont="1" applyFill="1" applyBorder="1"/>
    <xf numFmtId="187" fontId="31" fillId="27" borderId="37" xfId="0" applyNumberFormat="1" applyFont="1" applyFill="1" applyBorder="1"/>
    <xf numFmtId="187" fontId="31" fillId="27" borderId="39" xfId="0" applyNumberFormat="1" applyFont="1" applyFill="1" applyBorder="1" applyAlignment="1"/>
    <xf numFmtId="187" fontId="46" fillId="27" borderId="37" xfId="0" applyNumberFormat="1" applyFont="1" applyFill="1" applyBorder="1" applyAlignment="1"/>
    <xf numFmtId="187" fontId="105" fillId="27" borderId="37" xfId="0" applyNumberFormat="1" applyFont="1" applyFill="1" applyBorder="1"/>
    <xf numFmtId="9" fontId="105" fillId="27" borderId="37" xfId="0" applyNumberFormat="1" applyFont="1" applyFill="1" applyBorder="1"/>
    <xf numFmtId="169" fontId="105" fillId="27" borderId="37" xfId="0" applyNumberFormat="1" applyFont="1" applyFill="1" applyBorder="1"/>
    <xf numFmtId="3" fontId="31" fillId="27" borderId="37" xfId="0" applyNumberFormat="1" applyFont="1" applyFill="1" applyBorder="1"/>
    <xf numFmtId="187" fontId="31" fillId="27" borderId="52" xfId="0" applyNumberFormat="1" applyFont="1" applyFill="1" applyBorder="1" applyAlignment="1">
      <alignment vertical="center"/>
    </xf>
    <xf numFmtId="187" fontId="33" fillId="27" borderId="52" xfId="0" applyNumberFormat="1" applyFont="1" applyFill="1" applyBorder="1"/>
    <xf numFmtId="0" fontId="105" fillId="27" borderId="0" xfId="0" applyFont="1" applyFill="1" applyBorder="1"/>
    <xf numFmtId="187" fontId="105" fillId="27" borderId="0" xfId="0" applyNumberFormat="1" applyFont="1" applyFill="1" applyBorder="1"/>
    <xf numFmtId="193" fontId="33" fillId="27" borderId="0" xfId="0" quotePrefix="1" applyNumberFormat="1" applyFont="1" applyFill="1" applyBorder="1" applyAlignment="1">
      <alignment horizontal="right"/>
    </xf>
    <xf numFmtId="211" fontId="4" fillId="27" borderId="50" xfId="121" applyNumberFormat="1" applyFont="1" applyFill="1" applyBorder="1" applyAlignment="1">
      <alignment horizontal="right"/>
    </xf>
    <xf numFmtId="193" fontId="4" fillId="27" borderId="25" xfId="121" applyNumberFormat="1" applyFont="1" applyFill="1" applyBorder="1" applyAlignment="1">
      <alignment horizontal="right"/>
    </xf>
    <xf numFmtId="193" fontId="4" fillId="27" borderId="25" xfId="121" quotePrefix="1" applyNumberFormat="1" applyFont="1" applyFill="1" applyBorder="1" applyAlignment="1">
      <alignment horizontal="right"/>
    </xf>
    <xf numFmtId="37" fontId="4" fillId="27" borderId="51" xfId="121" applyNumberFormat="1" applyFont="1" applyFill="1" applyBorder="1" applyAlignment="1">
      <alignment horizontal="right"/>
    </xf>
    <xf numFmtId="0" fontId="25" fillId="27" borderId="25" xfId="121" applyFont="1" applyFill="1" applyBorder="1"/>
    <xf numFmtId="171" fontId="31" fillId="27" borderId="25" xfId="121" applyNumberFormat="1" applyFont="1" applyFill="1" applyBorder="1"/>
    <xf numFmtId="171" fontId="31" fillId="27" borderId="25" xfId="121" applyNumberFormat="1" applyFont="1" applyFill="1" applyBorder="1" applyAlignment="1">
      <alignment horizontal="right"/>
    </xf>
    <xf numFmtId="9" fontId="31" fillId="27" borderId="25" xfId="138" applyFont="1" applyFill="1" applyBorder="1" applyAlignment="1">
      <alignment horizontal="right"/>
    </xf>
    <xf numFmtId="9" fontId="31" fillId="27" borderId="25" xfId="138" applyFont="1" applyFill="1" applyBorder="1"/>
    <xf numFmtId="0" fontId="2" fillId="27" borderId="53" xfId="121" applyFont="1" applyFill="1" applyBorder="1"/>
    <xf numFmtId="187" fontId="6" fillId="27" borderId="25" xfId="121" applyNumberFormat="1" applyFont="1" applyFill="1" applyBorder="1" applyAlignment="1">
      <alignment horizontal="left"/>
    </xf>
    <xf numFmtId="189" fontId="4" fillId="27" borderId="50" xfId="121" applyNumberFormat="1" applyFont="1" applyFill="1" applyBorder="1" applyAlignment="1">
      <alignment horizontal="right"/>
    </xf>
    <xf numFmtId="37" fontId="4" fillId="27" borderId="25" xfId="121" applyNumberFormat="1" applyFont="1" applyFill="1" applyBorder="1" applyAlignment="1">
      <alignment horizontal="right"/>
    </xf>
    <xf numFmtId="187" fontId="6" fillId="27" borderId="54" xfId="121" applyNumberFormat="1" applyFont="1" applyFill="1" applyBorder="1" applyAlignment="1">
      <alignment horizontal="right"/>
    </xf>
    <xf numFmtId="171" fontId="33" fillId="27" borderId="55" xfId="121" applyNumberFormat="1" applyFont="1" applyFill="1" applyBorder="1" applyAlignment="1">
      <alignment horizontal="right"/>
    </xf>
    <xf numFmtId="0" fontId="31" fillId="27" borderId="54" xfId="121" applyFont="1" applyFill="1" applyBorder="1"/>
    <xf numFmtId="171" fontId="33" fillId="27" borderId="56" xfId="121" applyNumberFormat="1" applyFont="1" applyFill="1" applyBorder="1" applyAlignment="1">
      <alignment horizontal="right"/>
    </xf>
    <xf numFmtId="9" fontId="33" fillId="27" borderId="55" xfId="138" applyFont="1" applyFill="1" applyBorder="1"/>
    <xf numFmtId="178" fontId="33" fillId="27" borderId="55" xfId="150" applyNumberFormat="1" applyFont="1" applyFill="1" applyBorder="1"/>
    <xf numFmtId="204" fontId="33" fillId="27" borderId="55" xfId="150" applyNumberFormat="1" applyFont="1" applyFill="1" applyBorder="1"/>
    <xf numFmtId="169" fontId="31" fillId="27" borderId="56" xfId="121" applyNumberFormat="1" applyFont="1" applyFill="1" applyBorder="1"/>
    <xf numFmtId="187" fontId="6" fillId="27" borderId="25" xfId="121" applyNumberFormat="1" applyFont="1" applyFill="1" applyBorder="1"/>
    <xf numFmtId="170" fontId="31" fillId="27" borderId="25" xfId="121" applyNumberFormat="1" applyFont="1" applyFill="1" applyBorder="1" applyAlignment="1">
      <alignment horizontal="right"/>
    </xf>
    <xf numFmtId="10" fontId="31" fillId="27" borderId="25" xfId="138" applyNumberFormat="1" applyFont="1" applyFill="1" applyBorder="1" applyAlignment="1">
      <alignment horizontal="right"/>
    </xf>
    <xf numFmtId="205" fontId="31" fillId="27" borderId="25" xfId="138" applyNumberFormat="1" applyFont="1" applyFill="1" applyBorder="1" applyAlignment="1">
      <alignment horizontal="right"/>
    </xf>
    <xf numFmtId="171" fontId="33" fillId="27" borderId="25" xfId="121" applyNumberFormat="1" applyFont="1" applyFill="1" applyBorder="1"/>
    <xf numFmtId="170" fontId="31" fillId="27" borderId="25" xfId="121" applyNumberFormat="1" applyFont="1" applyFill="1" applyBorder="1"/>
    <xf numFmtId="10" fontId="31" fillId="27" borderId="25" xfId="138" applyNumberFormat="1" applyFont="1" applyFill="1" applyBorder="1"/>
    <xf numFmtId="168" fontId="31" fillId="27" borderId="25" xfId="138" applyNumberFormat="1" applyFont="1" applyFill="1" applyBorder="1"/>
    <xf numFmtId="9" fontId="31" fillId="27" borderId="25" xfId="138" applyNumberFormat="1" applyFont="1" applyFill="1" applyBorder="1" applyAlignment="1">
      <alignment horizontal="right"/>
    </xf>
    <xf numFmtId="0" fontId="31" fillId="27" borderId="25" xfId="121" applyFont="1" applyFill="1" applyBorder="1"/>
    <xf numFmtId="171" fontId="2" fillId="27" borderId="25" xfId="121" applyNumberFormat="1" applyFont="1" applyFill="1" applyBorder="1"/>
    <xf numFmtId="37" fontId="2" fillId="27" borderId="53" xfId="121" applyNumberFormat="1" applyFont="1" applyFill="1" applyBorder="1"/>
    <xf numFmtId="189" fontId="4" fillId="27" borderId="51" xfId="121" applyNumberFormat="1" applyFont="1" applyFill="1" applyBorder="1" applyAlignment="1">
      <alignment horizontal="right"/>
    </xf>
    <xf numFmtId="9" fontId="6" fillId="27" borderId="25" xfId="138" applyFont="1" applyFill="1" applyBorder="1"/>
    <xf numFmtId="172" fontId="6" fillId="27" borderId="25" xfId="121" applyNumberFormat="1" applyFont="1" applyFill="1" applyBorder="1"/>
    <xf numFmtId="171" fontId="6" fillId="27" borderId="25" xfId="121" applyNumberFormat="1" applyFont="1" applyFill="1" applyBorder="1"/>
    <xf numFmtId="170" fontId="6" fillId="27" borderId="25" xfId="121" applyNumberFormat="1" applyFont="1" applyFill="1" applyBorder="1"/>
    <xf numFmtId="9" fontId="6" fillId="27" borderId="25" xfId="121" applyNumberFormat="1" applyFont="1" applyFill="1" applyBorder="1"/>
    <xf numFmtId="169" fontId="6" fillId="27" borderId="25" xfId="121" applyNumberFormat="1" applyFont="1" applyFill="1" applyBorder="1"/>
    <xf numFmtId="171" fontId="25" fillId="27" borderId="25" xfId="121" applyNumberFormat="1" applyFont="1" applyFill="1" applyBorder="1"/>
    <xf numFmtId="0" fontId="70" fillId="27" borderId="25" xfId="121" applyFont="1" applyFill="1" applyBorder="1"/>
    <xf numFmtId="171" fontId="70" fillId="27" borderId="25" xfId="121" applyNumberFormat="1" applyFont="1" applyFill="1" applyBorder="1"/>
    <xf numFmtId="0" fontId="6" fillId="27" borderId="25" xfId="121" applyFont="1" applyFill="1" applyBorder="1"/>
    <xf numFmtId="1" fontId="6" fillId="27" borderId="25" xfId="121" applyNumberFormat="1" applyFont="1" applyFill="1" applyBorder="1"/>
    <xf numFmtId="170" fontId="2" fillId="27" borderId="25" xfId="121" applyNumberFormat="1" applyFont="1" applyFill="1" applyBorder="1" applyAlignment="1">
      <alignment horizontal="right"/>
    </xf>
    <xf numFmtId="0" fontId="11" fillId="27" borderId="53" xfId="121" applyFont="1" applyFill="1" applyBorder="1" applyAlignment="1"/>
    <xf numFmtId="168" fontId="2" fillId="27" borderId="25" xfId="121" applyNumberFormat="1" applyFont="1" applyFill="1" applyBorder="1" applyAlignment="1">
      <alignment horizontal="right"/>
    </xf>
    <xf numFmtId="170" fontId="2" fillId="27" borderId="51" xfId="121" applyNumberFormat="1" applyFont="1" applyFill="1" applyBorder="1" applyAlignment="1">
      <alignment horizontal="right"/>
    </xf>
    <xf numFmtId="170" fontId="6" fillId="27" borderId="50" xfId="121" applyNumberFormat="1" applyFont="1" applyFill="1" applyBorder="1"/>
    <xf numFmtId="187" fontId="6" fillId="27" borderId="25" xfId="138" applyNumberFormat="1" applyFont="1" applyFill="1" applyBorder="1" applyAlignment="1">
      <alignment horizontal="right"/>
    </xf>
    <xf numFmtId="187" fontId="6" fillId="27" borderId="25" xfId="138" applyNumberFormat="1" applyFont="1" applyFill="1" applyBorder="1" applyAlignment="1"/>
    <xf numFmtId="187" fontId="6" fillId="27" borderId="25" xfId="121" applyNumberFormat="1" applyFont="1" applyFill="1" applyBorder="1" applyAlignment="1">
      <alignment horizontal="right"/>
    </xf>
    <xf numFmtId="187" fontId="6" fillId="27" borderId="25" xfId="121" applyNumberFormat="1" applyFont="1" applyFill="1" applyBorder="1" applyAlignment="1"/>
    <xf numFmtId="10" fontId="6" fillId="27" borderId="25" xfId="138" applyNumberFormat="1" applyFont="1" applyFill="1" applyBorder="1" applyAlignment="1"/>
    <xf numFmtId="0" fontId="4" fillId="27" borderId="51" xfId="121" applyFont="1" applyFill="1" applyBorder="1" applyAlignment="1">
      <alignment horizontal="right"/>
    </xf>
    <xf numFmtId="171" fontId="6" fillId="27" borderId="25" xfId="121" applyNumberFormat="1" applyFont="1" applyFill="1" applyBorder="1" applyAlignment="1"/>
    <xf numFmtId="171" fontId="6" fillId="27" borderId="51" xfId="121" applyNumberFormat="1" applyFont="1" applyFill="1" applyBorder="1" applyAlignment="1"/>
    <xf numFmtId="171" fontId="47" fillId="27" borderId="25" xfId="121" applyNumberFormat="1" applyFont="1" applyFill="1" applyBorder="1" applyAlignment="1"/>
    <xf numFmtId="2" fontId="6" fillId="27" borderId="25" xfId="121" applyNumberFormat="1" applyFont="1" applyFill="1" applyBorder="1" applyAlignment="1"/>
    <xf numFmtId="187" fontId="33" fillId="27" borderId="25" xfId="121" applyNumberFormat="1" applyFont="1" applyFill="1" applyBorder="1" applyAlignment="1"/>
    <xf numFmtId="187" fontId="6" fillId="27" borderId="51" xfId="121" applyNumberFormat="1" applyFont="1" applyFill="1" applyBorder="1" applyAlignment="1"/>
    <xf numFmtId="168" fontId="6" fillId="27" borderId="50" xfId="138" applyNumberFormat="1" applyFont="1" applyFill="1" applyBorder="1" applyAlignment="1"/>
    <xf numFmtId="168" fontId="6" fillId="27" borderId="25" xfId="121" applyNumberFormat="1" applyFont="1" applyFill="1" applyBorder="1" applyAlignment="1">
      <alignment horizontal="right"/>
    </xf>
    <xf numFmtId="178" fontId="6" fillId="27" borderId="25" xfId="150" applyNumberFormat="1" applyFont="1" applyFill="1" applyBorder="1" applyAlignment="1">
      <alignment horizontal="right"/>
    </xf>
    <xf numFmtId="168" fontId="6" fillId="27" borderId="25" xfId="138" applyNumberFormat="1" applyFont="1" applyFill="1" applyBorder="1" applyAlignment="1"/>
    <xf numFmtId="171" fontId="6" fillId="27" borderId="25" xfId="138" applyNumberFormat="1" applyFont="1" applyFill="1" applyBorder="1" applyAlignment="1"/>
    <xf numFmtId="9" fontId="6" fillId="27" borderId="25" xfId="138" applyFont="1" applyFill="1" applyBorder="1" applyAlignment="1"/>
    <xf numFmtId="171" fontId="31" fillId="27" borderId="25" xfId="121" applyNumberFormat="1" applyFont="1" applyFill="1" applyBorder="1" applyAlignment="1"/>
    <xf numFmtId="192" fontId="6" fillId="27" borderId="25" xfId="150" applyNumberFormat="1" applyFont="1" applyFill="1" applyBorder="1" applyAlignment="1"/>
    <xf numFmtId="171" fontId="6" fillId="27" borderId="25" xfId="121" applyNumberFormat="1" applyFont="1" applyFill="1" applyBorder="1" applyAlignment="1">
      <alignment horizontal="right"/>
    </xf>
    <xf numFmtId="37" fontId="6" fillId="27" borderId="25" xfId="121" applyNumberFormat="1" applyFont="1" applyFill="1" applyBorder="1" applyAlignment="1"/>
    <xf numFmtId="37" fontId="6" fillId="27" borderId="25" xfId="150" applyNumberFormat="1" applyFont="1" applyFill="1" applyBorder="1" applyAlignment="1"/>
    <xf numFmtId="170" fontId="2" fillId="27" borderId="25" xfId="121" applyNumberFormat="1" applyFont="1" applyFill="1" applyBorder="1"/>
    <xf numFmtId="170" fontId="2" fillId="27" borderId="51" xfId="121" applyNumberFormat="1" applyFont="1" applyFill="1" applyBorder="1"/>
    <xf numFmtId="168" fontId="6" fillId="27" borderId="25" xfId="138" applyNumberFormat="1" applyFont="1" applyFill="1" applyBorder="1" applyAlignment="1">
      <alignment horizontal="right"/>
    </xf>
    <xf numFmtId="171" fontId="6" fillId="27" borderId="25" xfId="119" applyNumberFormat="1" applyFont="1" applyFill="1" applyBorder="1" applyAlignment="1"/>
    <xf numFmtId="226" fontId="71" fillId="27" borderId="25" xfId="129" applyNumberFormat="1" applyFont="1" applyFill="1" applyBorder="1" applyAlignment="1">
      <alignment horizontal="right"/>
    </xf>
    <xf numFmtId="187" fontId="2" fillId="27" borderId="25" xfId="121" applyNumberFormat="1" applyFont="1" applyFill="1" applyBorder="1"/>
    <xf numFmtId="193" fontId="143" fillId="27" borderId="37" xfId="0" quotePrefix="1" applyNumberFormat="1" applyFont="1" applyFill="1" applyBorder="1" applyAlignment="1">
      <alignment horizontal="right"/>
    </xf>
    <xf numFmtId="171" fontId="6" fillId="27" borderId="37" xfId="121" applyNumberFormat="1" applyFont="1" applyFill="1" applyBorder="1" applyAlignment="1">
      <alignment horizontal="right"/>
    </xf>
    <xf numFmtId="187" fontId="31" fillId="27" borderId="25" xfId="0" applyNumberFormat="1" applyFont="1" applyFill="1" applyBorder="1"/>
    <xf numFmtId="0" fontId="7" fillId="27" borderId="1" xfId="0" applyFont="1" applyFill="1" applyBorder="1"/>
    <xf numFmtId="0" fontId="45" fillId="27" borderId="1" xfId="0" applyFont="1" applyFill="1" applyBorder="1"/>
    <xf numFmtId="0" fontId="105" fillId="27" borderId="1" xfId="0" applyFont="1" applyFill="1" applyBorder="1"/>
    <xf numFmtId="171" fontId="33" fillId="27" borderId="36" xfId="121" applyNumberFormat="1" applyFont="1" applyFill="1" applyBorder="1" applyAlignment="1">
      <alignment horizontal="left" indent="2"/>
    </xf>
    <xf numFmtId="0" fontId="70" fillId="27" borderId="0" xfId="0" applyFont="1" applyFill="1" applyBorder="1"/>
    <xf numFmtId="171" fontId="31" fillId="27" borderId="36" xfId="121" applyNumberFormat="1" applyFont="1" applyFill="1" applyBorder="1" applyAlignment="1">
      <alignment horizontal="left" indent="2"/>
    </xf>
    <xf numFmtId="171" fontId="31" fillId="27" borderId="38" xfId="121" applyNumberFormat="1" applyFont="1" applyFill="1" applyBorder="1" applyAlignment="1">
      <alignment horizontal="left" indent="2"/>
    </xf>
    <xf numFmtId="0" fontId="45" fillId="27" borderId="20" xfId="0" applyFont="1" applyFill="1" applyBorder="1"/>
    <xf numFmtId="0" fontId="105" fillId="27" borderId="20" xfId="0" applyFont="1" applyFill="1" applyBorder="1"/>
    <xf numFmtId="187" fontId="31" fillId="27" borderId="39" xfId="133" applyNumberFormat="1" applyFont="1" applyFill="1" applyBorder="1" applyAlignment="1">
      <alignment horizontal="right"/>
    </xf>
    <xf numFmtId="187" fontId="31" fillId="27" borderId="20" xfId="133" applyNumberFormat="1" applyFont="1" applyFill="1" applyBorder="1" applyAlignment="1">
      <alignment horizontal="right"/>
    </xf>
    <xf numFmtId="0" fontId="45" fillId="27" borderId="0" xfId="0" applyFont="1" applyFill="1" applyBorder="1" applyAlignment="1">
      <alignment horizontal="left"/>
    </xf>
    <xf numFmtId="0" fontId="7" fillId="27" borderId="36" xfId="0" applyFont="1" applyFill="1" applyBorder="1"/>
    <xf numFmtId="14" fontId="25" fillId="27" borderId="0" xfId="121" applyNumberFormat="1" applyFont="1" applyFill="1" applyBorder="1"/>
    <xf numFmtId="211" fontId="4" fillId="27" borderId="35" xfId="121" applyNumberFormat="1" applyFont="1" applyFill="1" applyBorder="1" applyAlignment="1">
      <alignment horizontal="right"/>
    </xf>
    <xf numFmtId="193" fontId="4" fillId="27" borderId="37" xfId="121" applyNumberFormat="1" applyFont="1" applyFill="1" applyBorder="1" applyAlignment="1">
      <alignment horizontal="right"/>
    </xf>
    <xf numFmtId="37" fontId="4" fillId="27" borderId="39" xfId="121" applyNumberFormat="1" applyFont="1" applyFill="1" applyBorder="1" applyAlignment="1">
      <alignment horizontal="right"/>
    </xf>
    <xf numFmtId="0" fontId="25" fillId="27" borderId="37" xfId="121" applyFont="1" applyFill="1" applyBorder="1"/>
    <xf numFmtId="171" fontId="31" fillId="27" borderId="37" xfId="121" applyNumberFormat="1" applyFont="1" applyFill="1" applyBorder="1"/>
    <xf numFmtId="171" fontId="31" fillId="27" borderId="37" xfId="121" applyNumberFormat="1" applyFont="1" applyFill="1" applyBorder="1" applyAlignment="1">
      <alignment horizontal="right"/>
    </xf>
    <xf numFmtId="9" fontId="31" fillId="27" borderId="37" xfId="138" applyFont="1" applyFill="1" applyBorder="1" applyAlignment="1">
      <alignment horizontal="right"/>
    </xf>
    <xf numFmtId="9" fontId="31" fillId="27" borderId="37" xfId="138" applyFont="1" applyFill="1" applyBorder="1"/>
    <xf numFmtId="0" fontId="2" fillId="27" borderId="57" xfId="121" applyFont="1" applyFill="1" applyBorder="1"/>
    <xf numFmtId="187" fontId="6" fillId="27" borderId="37" xfId="121" applyNumberFormat="1" applyFont="1" applyFill="1" applyBorder="1" applyAlignment="1">
      <alignment horizontal="left"/>
    </xf>
    <xf numFmtId="189" fontId="4" fillId="27" borderId="35" xfId="121" applyNumberFormat="1" applyFont="1" applyFill="1" applyBorder="1" applyAlignment="1">
      <alignment horizontal="right"/>
    </xf>
    <xf numFmtId="37" fontId="4" fillId="27" borderId="37" xfId="121" applyNumberFormat="1" applyFont="1" applyFill="1" applyBorder="1" applyAlignment="1">
      <alignment horizontal="right"/>
    </xf>
    <xf numFmtId="187" fontId="6" fillId="27" borderId="58" xfId="121" applyNumberFormat="1" applyFont="1" applyFill="1" applyBorder="1" applyAlignment="1">
      <alignment horizontal="right"/>
    </xf>
    <xf numFmtId="171" fontId="33" fillId="27" borderId="59" xfId="121" applyNumberFormat="1" applyFont="1" applyFill="1" applyBorder="1" applyAlignment="1">
      <alignment horizontal="right"/>
    </xf>
    <xf numFmtId="0" fontId="31" fillId="27" borderId="58" xfId="121" applyFont="1" applyFill="1" applyBorder="1"/>
    <xf numFmtId="171" fontId="33" fillId="27" borderId="60" xfId="121" applyNumberFormat="1" applyFont="1" applyFill="1" applyBorder="1" applyAlignment="1">
      <alignment horizontal="right"/>
    </xf>
    <xf numFmtId="9" fontId="33" fillId="27" borderId="59" xfId="138" applyFont="1" applyFill="1" applyBorder="1"/>
    <xf numFmtId="178" fontId="33" fillId="27" borderId="59" xfId="150" applyNumberFormat="1" applyFont="1" applyFill="1" applyBorder="1"/>
    <xf numFmtId="204" fontId="33" fillId="27" borderId="59" xfId="150" applyNumberFormat="1" applyFont="1" applyFill="1" applyBorder="1"/>
    <xf numFmtId="169" fontId="31" fillId="27" borderId="60" xfId="121" applyNumberFormat="1" applyFont="1" applyFill="1" applyBorder="1"/>
    <xf numFmtId="187" fontId="6" fillId="27" borderId="37" xfId="121" applyNumberFormat="1" applyFont="1" applyFill="1" applyBorder="1"/>
    <xf numFmtId="170" fontId="31" fillId="27" borderId="37" xfId="121" applyNumberFormat="1" applyFont="1" applyFill="1" applyBorder="1" applyAlignment="1">
      <alignment horizontal="right"/>
    </xf>
    <xf numFmtId="10" fontId="31" fillId="27" borderId="37" xfId="138" applyNumberFormat="1" applyFont="1" applyFill="1" applyBorder="1" applyAlignment="1">
      <alignment horizontal="right"/>
    </xf>
    <xf numFmtId="205" fontId="31" fillId="27" borderId="37" xfId="138" applyNumberFormat="1" applyFont="1" applyFill="1" applyBorder="1" applyAlignment="1">
      <alignment horizontal="right"/>
    </xf>
    <xf numFmtId="171" fontId="33" fillId="27" borderId="37" xfId="121" applyNumberFormat="1" applyFont="1" applyFill="1" applyBorder="1"/>
    <xf numFmtId="170" fontId="31" fillId="27" borderId="37" xfId="121" applyNumberFormat="1" applyFont="1" applyFill="1" applyBorder="1"/>
    <xf numFmtId="10" fontId="31" fillId="27" borderId="37" xfId="138" applyNumberFormat="1" applyFont="1" applyFill="1" applyBorder="1"/>
    <xf numFmtId="168" fontId="31" fillId="27" borderId="37" xfId="138" applyNumberFormat="1" applyFont="1" applyFill="1" applyBorder="1"/>
    <xf numFmtId="9" fontId="31" fillId="27" borderId="37" xfId="138" applyNumberFormat="1" applyFont="1" applyFill="1" applyBorder="1" applyAlignment="1">
      <alignment horizontal="right"/>
    </xf>
    <xf numFmtId="0" fontId="31" fillId="27" borderId="37" xfId="121" applyFont="1" applyFill="1" applyBorder="1"/>
    <xf numFmtId="171" fontId="2" fillId="27" borderId="37" xfId="121" applyNumberFormat="1" applyFont="1" applyFill="1" applyBorder="1"/>
    <xf numFmtId="37" fontId="2" fillId="27" borderId="57" xfId="121" applyNumberFormat="1" applyFont="1" applyFill="1" applyBorder="1"/>
    <xf numFmtId="189" fontId="4" fillId="27" borderId="39" xfId="121" applyNumberFormat="1" applyFont="1" applyFill="1" applyBorder="1" applyAlignment="1">
      <alignment horizontal="right"/>
    </xf>
    <xf numFmtId="9" fontId="6" fillId="27" borderId="37" xfId="138" applyFont="1" applyFill="1" applyBorder="1"/>
    <xf numFmtId="172" fontId="6" fillId="27" borderId="37" xfId="121" applyNumberFormat="1" applyFont="1" applyFill="1" applyBorder="1"/>
    <xf numFmtId="171" fontId="6" fillId="27" borderId="37" xfId="121" applyNumberFormat="1" applyFont="1" applyFill="1" applyBorder="1"/>
    <xf numFmtId="170" fontId="6" fillId="27" borderId="37" xfId="121" applyNumberFormat="1" applyFont="1" applyFill="1" applyBorder="1"/>
    <xf numFmtId="9" fontId="6" fillId="27" borderId="37" xfId="121" applyNumberFormat="1" applyFont="1" applyFill="1" applyBorder="1"/>
    <xf numFmtId="169" fontId="6" fillId="27" borderId="37" xfId="121" applyNumberFormat="1" applyFont="1" applyFill="1" applyBorder="1"/>
    <xf numFmtId="171" fontId="25" fillId="27" borderId="37" xfId="121" applyNumberFormat="1" applyFont="1" applyFill="1" applyBorder="1"/>
    <xf numFmtId="0" fontId="70" fillId="27" borderId="37" xfId="121" applyFont="1" applyFill="1" applyBorder="1"/>
    <xf numFmtId="0" fontId="6" fillId="27" borderId="37" xfId="121" applyFont="1" applyFill="1" applyBorder="1"/>
    <xf numFmtId="1" fontId="6" fillId="27" borderId="37" xfId="121" applyNumberFormat="1" applyFont="1" applyFill="1" applyBorder="1"/>
    <xf numFmtId="170" fontId="2" fillId="27" borderId="37" xfId="121" applyNumberFormat="1" applyFont="1" applyFill="1" applyBorder="1" applyAlignment="1">
      <alignment horizontal="right"/>
    </xf>
    <xf numFmtId="0" fontId="11" fillId="27" borderId="57" xfId="121" applyFont="1" applyFill="1" applyBorder="1" applyAlignment="1"/>
    <xf numFmtId="168" fontId="2" fillId="27" borderId="37" xfId="121" applyNumberFormat="1" applyFont="1" applyFill="1" applyBorder="1" applyAlignment="1">
      <alignment horizontal="right"/>
    </xf>
    <xf numFmtId="170" fontId="2" fillId="27" borderId="39" xfId="121" applyNumberFormat="1" applyFont="1" applyFill="1" applyBorder="1" applyAlignment="1">
      <alignment horizontal="right"/>
    </xf>
    <xf numFmtId="170" fontId="6" fillId="27" borderId="35" xfId="121" applyNumberFormat="1" applyFont="1" applyFill="1" applyBorder="1"/>
    <xf numFmtId="187" fontId="6" fillId="27" borderId="37" xfId="138" applyNumberFormat="1" applyFont="1" applyFill="1" applyBorder="1" applyAlignment="1">
      <alignment horizontal="right"/>
    </xf>
    <xf numFmtId="0" fontId="2" fillId="27" borderId="37" xfId="121" applyFont="1" applyFill="1" applyBorder="1"/>
    <xf numFmtId="187" fontId="6" fillId="27" borderId="37" xfId="138" applyNumberFormat="1" applyFont="1" applyFill="1" applyBorder="1" applyAlignment="1"/>
    <xf numFmtId="187" fontId="6" fillId="27" borderId="37" xfId="121" applyNumberFormat="1" applyFont="1" applyFill="1" applyBorder="1" applyAlignment="1">
      <alignment horizontal="right"/>
    </xf>
    <xf numFmtId="187" fontId="6" fillId="27" borderId="37" xfId="121" applyNumberFormat="1" applyFont="1" applyFill="1" applyBorder="1" applyAlignment="1"/>
    <xf numFmtId="10" fontId="6" fillId="27" borderId="37" xfId="138" applyNumberFormat="1" applyFont="1" applyFill="1" applyBorder="1" applyAlignment="1"/>
    <xf numFmtId="0" fontId="4" fillId="27" borderId="39" xfId="121" applyFont="1" applyFill="1" applyBorder="1" applyAlignment="1">
      <alignment horizontal="right"/>
    </xf>
    <xf numFmtId="171" fontId="6" fillId="27" borderId="37" xfId="121" applyNumberFormat="1" applyFont="1" applyFill="1" applyBorder="1" applyAlignment="1"/>
    <xf numFmtId="171" fontId="6" fillId="27" borderId="39" xfId="121" applyNumberFormat="1" applyFont="1" applyFill="1" applyBorder="1" applyAlignment="1"/>
    <xf numFmtId="171" fontId="47" fillId="27" borderId="37" xfId="121" applyNumberFormat="1" applyFont="1" applyFill="1" applyBorder="1" applyAlignment="1"/>
    <xf numFmtId="2" fontId="6" fillId="27" borderId="37" xfId="121" applyNumberFormat="1" applyFont="1" applyFill="1" applyBorder="1" applyAlignment="1"/>
    <xf numFmtId="187" fontId="33" fillId="27" borderId="37" xfId="121" applyNumberFormat="1" applyFont="1" applyFill="1" applyBorder="1" applyAlignment="1"/>
    <xf numFmtId="187" fontId="6" fillId="27" borderId="39" xfId="121" applyNumberFormat="1" applyFont="1" applyFill="1" applyBorder="1" applyAlignment="1"/>
    <xf numFmtId="168" fontId="6" fillId="27" borderId="35" xfId="138" applyNumberFormat="1" applyFont="1" applyFill="1" applyBorder="1" applyAlignment="1"/>
    <xf numFmtId="168" fontId="6" fillId="27" borderId="37" xfId="121" applyNumberFormat="1" applyFont="1" applyFill="1" applyBorder="1" applyAlignment="1">
      <alignment horizontal="right"/>
    </xf>
    <xf numFmtId="178" fontId="6" fillId="27" borderId="37" xfId="150" applyNumberFormat="1" applyFont="1" applyFill="1" applyBorder="1" applyAlignment="1">
      <alignment horizontal="right"/>
    </xf>
    <xf numFmtId="168" fontId="6" fillId="27" borderId="37" xfId="138" applyNumberFormat="1" applyFont="1" applyFill="1" applyBorder="1" applyAlignment="1"/>
    <xf numFmtId="171" fontId="6" fillId="27" borderId="37" xfId="138" applyNumberFormat="1" applyFont="1" applyFill="1" applyBorder="1" applyAlignment="1"/>
    <xf numFmtId="9" fontId="6" fillId="27" borderId="37" xfId="138" applyFont="1" applyFill="1" applyBorder="1" applyAlignment="1"/>
    <xf numFmtId="171" fontId="31" fillId="27" borderId="37" xfId="121" applyNumberFormat="1" applyFont="1" applyFill="1" applyBorder="1" applyAlignment="1"/>
    <xf numFmtId="192" fontId="6" fillId="27" borderId="37" xfId="150" applyNumberFormat="1" applyFont="1" applyFill="1" applyBorder="1" applyAlignment="1"/>
    <xf numFmtId="37" fontId="6" fillId="27" borderId="37" xfId="121" applyNumberFormat="1" applyFont="1" applyFill="1" applyBorder="1" applyAlignment="1"/>
    <xf numFmtId="37" fontId="6" fillId="27" borderId="37" xfId="150" applyNumberFormat="1" applyFont="1" applyFill="1" applyBorder="1" applyAlignment="1"/>
    <xf numFmtId="170" fontId="2" fillId="27" borderId="37" xfId="121" applyNumberFormat="1" applyFont="1" applyFill="1" applyBorder="1"/>
    <xf numFmtId="170" fontId="2" fillId="27" borderId="39" xfId="121" applyNumberFormat="1" applyFont="1" applyFill="1" applyBorder="1"/>
    <xf numFmtId="168" fontId="6" fillId="27" borderId="37" xfId="138" applyNumberFormat="1" applyFont="1" applyFill="1" applyBorder="1" applyAlignment="1">
      <alignment horizontal="right"/>
    </xf>
    <xf numFmtId="171" fontId="6" fillId="27" borderId="37" xfId="119" applyNumberFormat="1" applyFont="1" applyFill="1" applyBorder="1" applyAlignment="1"/>
    <xf numFmtId="226" fontId="71" fillId="27" borderId="37" xfId="129" applyNumberFormat="1" applyFont="1" applyFill="1" applyBorder="1" applyAlignment="1">
      <alignment horizontal="right"/>
    </xf>
    <xf numFmtId="187" fontId="2" fillId="27" borderId="37" xfId="121" applyNumberFormat="1" applyFont="1" applyFill="1" applyBorder="1"/>
    <xf numFmtId="0" fontId="45" fillId="27" borderId="34" xfId="0" applyFont="1" applyFill="1" applyBorder="1"/>
    <xf numFmtId="0" fontId="105" fillId="27" borderId="34" xfId="0" applyFont="1" applyFill="1" applyBorder="1"/>
    <xf numFmtId="0" fontId="115" fillId="27" borderId="61" xfId="0" applyFont="1" applyFill="1" applyBorder="1" applyAlignment="1">
      <alignment vertical="center"/>
    </xf>
    <xf numFmtId="0" fontId="45" fillId="27" borderId="34" xfId="0" applyFont="1" applyFill="1" applyBorder="1" applyAlignment="1">
      <alignment horizontal="right"/>
    </xf>
    <xf numFmtId="193" fontId="144" fillId="27" borderId="52" xfId="0" quotePrefix="1" applyNumberFormat="1" applyFont="1" applyFill="1" applyBorder="1" applyAlignment="1">
      <alignment horizontal="right"/>
    </xf>
    <xf numFmtId="193" fontId="31" fillId="27" borderId="34" xfId="0" quotePrefix="1" applyNumberFormat="1" applyFont="1" applyFill="1" applyBorder="1" applyAlignment="1">
      <alignment horizontal="right"/>
    </xf>
    <xf numFmtId="193" fontId="31" fillId="27" borderId="34" xfId="0" applyNumberFormat="1" applyFont="1" applyFill="1" applyBorder="1" applyAlignment="1">
      <alignment horizontal="right"/>
    </xf>
    <xf numFmtId="193" fontId="144" fillId="27" borderId="52" xfId="0" applyNumberFormat="1" applyFont="1" applyFill="1" applyBorder="1" applyAlignment="1">
      <alignment horizontal="right"/>
    </xf>
    <xf numFmtId="0" fontId="145" fillId="27" borderId="0" xfId="0" applyFont="1" applyFill="1" applyBorder="1"/>
    <xf numFmtId="0" fontId="146" fillId="27" borderId="0" xfId="0" applyFont="1" applyFill="1" applyBorder="1"/>
    <xf numFmtId="187" fontId="147" fillId="28" borderId="0" xfId="0" applyNumberFormat="1" applyFont="1" applyFill="1" applyBorder="1" applyAlignment="1"/>
    <xf numFmtId="193" fontId="4" fillId="27" borderId="0" xfId="0" quotePrefix="1" applyNumberFormat="1" applyFont="1" applyFill="1" applyBorder="1" applyAlignment="1">
      <alignment horizontal="right"/>
    </xf>
    <xf numFmtId="0" fontId="25" fillId="27" borderId="0" xfId="121" applyFont="1" applyFill="1" applyBorder="1" applyAlignment="1">
      <alignment horizontal="center"/>
    </xf>
    <xf numFmtId="0" fontId="25" fillId="27" borderId="0" xfId="121" applyFont="1" applyFill="1" applyAlignment="1">
      <alignment horizontal="center"/>
    </xf>
    <xf numFmtId="0" fontId="47" fillId="27" borderId="0" xfId="121" applyFont="1" applyFill="1" applyBorder="1"/>
    <xf numFmtId="0" fontId="121" fillId="27" borderId="0" xfId="121" applyFont="1" applyFill="1"/>
    <xf numFmtId="171" fontId="121" fillId="27" borderId="37" xfId="121" applyNumberFormat="1" applyFont="1" applyFill="1" applyBorder="1"/>
    <xf numFmtId="171" fontId="121" fillId="27" borderId="25" xfId="121" applyNumberFormat="1" applyFont="1" applyFill="1" applyBorder="1"/>
    <xf numFmtId="171" fontId="121" fillId="27" borderId="0" xfId="121" applyNumberFormat="1" applyFont="1" applyFill="1"/>
    <xf numFmtId="171" fontId="80" fillId="27" borderId="37" xfId="119" applyNumberFormat="1" applyFont="1" applyFill="1" applyBorder="1" applyAlignment="1"/>
    <xf numFmtId="171" fontId="80" fillId="27" borderId="25" xfId="119" applyNumberFormat="1" applyFont="1" applyFill="1" applyBorder="1" applyAlignment="1"/>
    <xf numFmtId="0" fontId="33" fillId="27" borderId="62" xfId="121" applyFont="1" applyFill="1" applyBorder="1" applyAlignment="1">
      <alignment horizontal="left" indent="2"/>
    </xf>
    <xf numFmtId="187" fontId="6" fillId="28" borderId="0" xfId="138" applyNumberFormat="1" applyFont="1" applyFill="1" applyBorder="1" applyAlignment="1">
      <alignment horizontal="right"/>
    </xf>
    <xf numFmtId="187" fontId="6" fillId="28" borderId="0" xfId="138" applyNumberFormat="1" applyFont="1" applyFill="1" applyBorder="1" applyAlignment="1"/>
    <xf numFmtId="171" fontId="6" fillId="28" borderId="0" xfId="126" applyNumberFormat="1" applyFont="1" applyFill="1" applyAlignment="1"/>
    <xf numFmtId="228" fontId="31" fillId="27" borderId="0" xfId="133" applyNumberFormat="1" applyFont="1" applyFill="1" applyBorder="1" applyAlignment="1">
      <alignment horizontal="right"/>
    </xf>
    <xf numFmtId="192" fontId="148" fillId="27" borderId="4" xfId="53" applyNumberFormat="1" applyFont="1" applyFill="1" applyBorder="1"/>
    <xf numFmtId="171" fontId="105" fillId="27" borderId="25" xfId="0" applyNumberFormat="1" applyFont="1" applyFill="1" applyBorder="1"/>
    <xf numFmtId="171" fontId="33" fillId="27" borderId="50" xfId="0" applyNumberFormat="1" applyFont="1" applyFill="1" applyBorder="1" applyAlignment="1">
      <alignment horizontal="right"/>
    </xf>
    <xf numFmtId="171" fontId="143" fillId="27" borderId="25" xfId="0" applyNumberFormat="1" applyFont="1" applyFill="1" applyBorder="1" applyAlignment="1">
      <alignment horizontal="right"/>
    </xf>
    <xf numFmtId="171" fontId="143" fillId="27" borderId="51" xfId="0" applyNumberFormat="1" applyFont="1" applyFill="1" applyBorder="1" applyAlignment="1">
      <alignment horizontal="right"/>
    </xf>
    <xf numFmtId="171" fontId="133" fillId="27" borderId="25" xfId="133" applyNumberFormat="1" applyFont="1" applyFill="1" applyBorder="1" applyAlignment="1">
      <alignment horizontal="right"/>
    </xf>
    <xf numFmtId="171" fontId="33" fillId="27" borderId="25" xfId="0" applyNumberFormat="1" applyFont="1" applyFill="1" applyBorder="1" applyAlignment="1"/>
    <xf numFmtId="171" fontId="31" fillId="27" borderId="25" xfId="133" applyNumberFormat="1" applyFont="1" applyFill="1" applyBorder="1" applyAlignment="1">
      <alignment horizontal="right"/>
    </xf>
    <xf numFmtId="171" fontId="31" fillId="27" borderId="25" xfId="0" applyNumberFormat="1" applyFont="1" applyFill="1" applyBorder="1" applyAlignment="1"/>
    <xf numFmtId="171" fontId="33" fillId="27" borderId="25" xfId="133" applyNumberFormat="1" applyFont="1" applyFill="1" applyBorder="1" applyAlignment="1">
      <alignment horizontal="right"/>
    </xf>
    <xf numFmtId="171" fontId="31" fillId="27" borderId="25" xfId="0" applyNumberFormat="1" applyFont="1" applyFill="1" applyBorder="1"/>
    <xf numFmtId="171" fontId="139" fillId="27" borderId="25" xfId="0" applyNumberFormat="1" applyFont="1" applyFill="1" applyBorder="1" applyAlignment="1"/>
    <xf numFmtId="171" fontId="33" fillId="27" borderId="25" xfId="0" applyNumberFormat="1" applyFont="1" applyFill="1" applyBorder="1"/>
    <xf numFmtId="171" fontId="31" fillId="27" borderId="51" xfId="0" applyNumberFormat="1" applyFont="1" applyFill="1" applyBorder="1" applyAlignment="1"/>
    <xf numFmtId="171" fontId="46" fillId="27" borderId="25" xfId="0" applyNumberFormat="1" applyFont="1" applyFill="1" applyBorder="1" applyAlignment="1"/>
    <xf numFmtId="171" fontId="33" fillId="27" borderId="25" xfId="0" applyNumberFormat="1" applyFont="1" applyFill="1" applyBorder="1" applyAlignment="1">
      <alignment horizontal="right"/>
    </xf>
    <xf numFmtId="171" fontId="33" fillId="27" borderId="51" xfId="0" applyNumberFormat="1" applyFont="1" applyFill="1" applyBorder="1" applyAlignment="1">
      <alignment horizontal="right"/>
    </xf>
    <xf numFmtId="171" fontId="31" fillId="27" borderId="63" xfId="0" applyNumberFormat="1" applyFont="1" applyFill="1" applyBorder="1" applyAlignment="1">
      <alignment vertical="center"/>
    </xf>
    <xf numFmtId="171" fontId="33" fillId="27" borderId="63" xfId="0" applyNumberFormat="1" applyFont="1" applyFill="1" applyBorder="1"/>
    <xf numFmtId="171" fontId="144" fillId="27" borderId="63" xfId="0" applyNumberFormat="1" applyFont="1" applyFill="1" applyBorder="1" applyAlignment="1">
      <alignment horizontal="right"/>
    </xf>
    <xf numFmtId="171" fontId="31" fillId="27" borderId="51" xfId="133" applyNumberFormat="1" applyFont="1" applyFill="1" applyBorder="1" applyAlignment="1">
      <alignment horizontal="right"/>
    </xf>
    <xf numFmtId="171" fontId="105" fillId="27" borderId="4" xfId="0" applyNumberFormat="1" applyFont="1" applyFill="1" applyBorder="1"/>
    <xf numFmtId="171" fontId="6" fillId="29" borderId="0" xfId="121" applyNumberFormat="1" applyFont="1" applyFill="1" applyAlignment="1">
      <alignment horizontal="right"/>
    </xf>
    <xf numFmtId="171" fontId="33" fillId="29" borderId="0" xfId="121" applyNumberFormat="1" applyFont="1" applyFill="1" applyBorder="1"/>
    <xf numFmtId="171" fontId="31" fillId="29" borderId="25" xfId="121" applyNumberFormat="1" applyFont="1" applyFill="1" applyBorder="1" applyAlignment="1">
      <alignment horizontal="right"/>
    </xf>
    <xf numFmtId="171" fontId="6" fillId="29" borderId="0" xfId="0" applyNumberFormat="1" applyFont="1" applyFill="1" applyBorder="1" applyAlignment="1">
      <alignment horizontal="right"/>
    </xf>
    <xf numFmtId="187" fontId="33" fillId="27" borderId="36" xfId="0" applyNumberFormat="1" applyFont="1" applyFill="1" applyBorder="1"/>
    <xf numFmtId="187" fontId="31" fillId="27" borderId="36" xfId="0" applyNumberFormat="1" applyFont="1" applyFill="1" applyBorder="1"/>
    <xf numFmtId="3" fontId="31" fillId="27" borderId="36" xfId="0" applyNumberFormat="1" applyFont="1" applyFill="1" applyBorder="1"/>
    <xf numFmtId="0" fontId="31" fillId="27" borderId="36" xfId="0" applyFont="1" applyFill="1" applyBorder="1"/>
    <xf numFmtId="187" fontId="33" fillId="27" borderId="36" xfId="0" applyNumberFormat="1" applyFont="1" applyFill="1" applyBorder="1" applyAlignment="1"/>
    <xf numFmtId="187" fontId="31" fillId="27" borderId="36" xfId="133" applyNumberFormat="1" applyFont="1" applyFill="1" applyBorder="1" applyAlignment="1">
      <alignment horizontal="right"/>
    </xf>
    <xf numFmtId="187" fontId="31" fillId="27" borderId="36" xfId="0" applyNumberFormat="1" applyFont="1" applyFill="1" applyBorder="1" applyAlignment="1"/>
    <xf numFmtId="187" fontId="33" fillId="27" borderId="36" xfId="133" applyNumberFormat="1" applyFont="1" applyFill="1" applyBorder="1" applyAlignment="1">
      <alignment horizontal="right"/>
    </xf>
    <xf numFmtId="187" fontId="133" fillId="27" borderId="36" xfId="133" applyNumberFormat="1" applyFont="1" applyFill="1" applyBorder="1" applyAlignment="1">
      <alignment horizontal="right"/>
    </xf>
    <xf numFmtId="0" fontId="105" fillId="27" borderId="36" xfId="0" applyFont="1" applyFill="1" applyBorder="1"/>
    <xf numFmtId="171" fontId="31" fillId="27" borderId="36" xfId="133" applyNumberFormat="1" applyFont="1" applyFill="1" applyBorder="1" applyAlignment="1">
      <alignment horizontal="right"/>
    </xf>
    <xf numFmtId="171" fontId="31" fillId="27" borderId="37" xfId="133" applyNumberFormat="1" applyFont="1" applyFill="1" applyBorder="1" applyAlignment="1">
      <alignment horizontal="right"/>
    </xf>
    <xf numFmtId="211" fontId="33" fillId="27" borderId="64" xfId="0" applyNumberFormat="1" applyFont="1" applyFill="1" applyBorder="1" applyAlignment="1">
      <alignment horizontal="right"/>
    </xf>
    <xf numFmtId="193" fontId="33" fillId="27" borderId="36" xfId="0" applyNumberFormat="1" applyFont="1" applyFill="1" applyBorder="1" applyAlignment="1">
      <alignment horizontal="right"/>
    </xf>
    <xf numFmtId="189" fontId="33" fillId="27" borderId="38" xfId="0" applyNumberFormat="1" applyFont="1" applyFill="1" applyBorder="1" applyAlignment="1">
      <alignment horizontal="right"/>
    </xf>
    <xf numFmtId="171" fontId="33" fillId="27" borderId="36" xfId="0" applyNumberFormat="1" applyFont="1" applyFill="1" applyBorder="1" applyAlignment="1"/>
    <xf numFmtId="171" fontId="33" fillId="27" borderId="37" xfId="0" applyNumberFormat="1" applyFont="1" applyFill="1" applyBorder="1" applyAlignment="1"/>
    <xf numFmtId="171" fontId="31" fillId="27" borderId="36" xfId="0" applyNumberFormat="1" applyFont="1" applyFill="1" applyBorder="1" applyAlignment="1"/>
    <xf numFmtId="171" fontId="31" fillId="27" borderId="37" xfId="0" applyNumberFormat="1" applyFont="1" applyFill="1" applyBorder="1" applyAlignment="1"/>
    <xf numFmtId="187" fontId="31" fillId="27" borderId="38" xfId="0" applyNumberFormat="1" applyFont="1" applyFill="1" applyBorder="1" applyAlignment="1"/>
    <xf numFmtId="187" fontId="46" fillId="27" borderId="36" xfId="0" applyNumberFormat="1" applyFont="1" applyFill="1" applyBorder="1" applyAlignment="1"/>
    <xf numFmtId="187" fontId="105" fillId="27" borderId="36" xfId="0" applyNumberFormat="1" applyFont="1" applyFill="1" applyBorder="1"/>
    <xf numFmtId="9" fontId="105" fillId="27" borderId="36" xfId="0" applyNumberFormat="1" applyFont="1" applyFill="1" applyBorder="1"/>
    <xf numFmtId="169" fontId="105" fillId="27" borderId="36" xfId="0" applyNumberFormat="1" applyFont="1" applyFill="1" applyBorder="1"/>
    <xf numFmtId="187" fontId="31" fillId="27" borderId="61" xfId="0" applyNumberFormat="1" applyFont="1" applyFill="1" applyBorder="1" applyAlignment="1">
      <alignment vertical="center"/>
    </xf>
    <xf numFmtId="187" fontId="33" fillId="27" borderId="61" xfId="0" applyNumberFormat="1" applyFont="1" applyFill="1" applyBorder="1"/>
    <xf numFmtId="171" fontId="31" fillId="27" borderId="36" xfId="0" applyNumberFormat="1" applyFont="1" applyFill="1" applyBorder="1"/>
    <xf numFmtId="171" fontId="31" fillId="27" borderId="37" xfId="0" applyNumberFormat="1" applyFont="1" applyFill="1" applyBorder="1"/>
    <xf numFmtId="171" fontId="134" fillId="27" borderId="0" xfId="121" applyNumberFormat="1" applyFont="1" applyFill="1" applyBorder="1"/>
    <xf numFmtId="187" fontId="134" fillId="27" borderId="0" xfId="121" applyNumberFormat="1" applyFont="1" applyFill="1" applyBorder="1" applyAlignment="1"/>
    <xf numFmtId="0" fontId="4" fillId="27" borderId="0" xfId="0" applyFont="1" applyFill="1" applyBorder="1" applyAlignment="1">
      <alignment horizontal="center"/>
    </xf>
    <xf numFmtId="171" fontId="139" fillId="27" borderId="36" xfId="0" applyNumberFormat="1" applyFont="1" applyFill="1" applyBorder="1" applyAlignment="1"/>
    <xf numFmtId="171" fontId="139" fillId="27" borderId="37" xfId="0" applyNumberFormat="1" applyFont="1" applyFill="1" applyBorder="1" applyAlignment="1"/>
    <xf numFmtId="0" fontId="71" fillId="0" borderId="0" xfId="128" applyFont="1" applyAlignment="1">
      <alignment wrapText="1"/>
    </xf>
    <xf numFmtId="0" fontId="33" fillId="27" borderId="20" xfId="0" applyFont="1" applyFill="1" applyBorder="1" applyAlignment="1">
      <alignment horizontal="left"/>
    </xf>
    <xf numFmtId="187" fontId="33" fillId="27" borderId="20" xfId="0" applyNumberFormat="1" applyFont="1" applyFill="1" applyBorder="1" applyAlignment="1"/>
    <xf numFmtId="187" fontId="33" fillId="27" borderId="39" xfId="0" applyNumberFormat="1" applyFont="1" applyFill="1" applyBorder="1" applyAlignment="1"/>
    <xf numFmtId="187" fontId="33" fillId="27" borderId="38" xfId="0" applyNumberFormat="1" applyFont="1" applyFill="1" applyBorder="1" applyAlignment="1"/>
    <xf numFmtId="171" fontId="33" fillId="27" borderId="51" xfId="0" applyNumberFormat="1" applyFont="1" applyFill="1" applyBorder="1" applyAlignment="1"/>
    <xf numFmtId="0" fontId="45" fillId="27" borderId="0" xfId="0" applyFont="1" applyFill="1" applyBorder="1" applyAlignment="1"/>
    <xf numFmtId="170" fontId="45" fillId="27" borderId="0" xfId="0" applyNumberFormat="1" applyFont="1" applyFill="1" applyBorder="1"/>
    <xf numFmtId="170" fontId="45" fillId="27" borderId="0" xfId="0" applyNumberFormat="1" applyFont="1" applyFill="1" applyBorder="1" applyAlignment="1">
      <alignment horizontal="right"/>
    </xf>
    <xf numFmtId="170" fontId="105" fillId="27" borderId="0" xfId="0" applyNumberFormat="1" applyFont="1" applyFill="1" applyBorder="1"/>
    <xf numFmtId="9" fontId="105" fillId="27" borderId="25" xfId="0" applyNumberFormat="1" applyFont="1" applyFill="1" applyBorder="1"/>
    <xf numFmtId="229" fontId="105" fillId="27" borderId="25" xfId="0" applyNumberFormat="1" applyFont="1" applyFill="1" applyBorder="1"/>
    <xf numFmtId="0" fontId="113" fillId="27" borderId="20" xfId="0" applyFont="1" applyFill="1" applyBorder="1" applyAlignment="1"/>
    <xf numFmtId="0" fontId="149" fillId="27" borderId="20" xfId="0" applyFont="1" applyFill="1" applyBorder="1"/>
    <xf numFmtId="0" fontId="150" fillId="27" borderId="20" xfId="0" applyFont="1" applyFill="1" applyBorder="1"/>
    <xf numFmtId="187" fontId="130" fillId="27" borderId="0" xfId="0" applyNumberFormat="1" applyFont="1" applyFill="1" applyBorder="1"/>
    <xf numFmtId="187" fontId="31" fillId="27" borderId="65" xfId="0" applyNumberFormat="1" applyFont="1" applyFill="1" applyBorder="1"/>
    <xf numFmtId="171" fontId="31" fillId="27" borderId="65" xfId="0" applyNumberFormat="1" applyFont="1" applyFill="1" applyBorder="1"/>
    <xf numFmtId="171" fontId="130" fillId="27" borderId="0" xfId="0" applyNumberFormat="1" applyFont="1" applyFill="1" applyBorder="1"/>
    <xf numFmtId="171" fontId="105" fillId="27" borderId="0" xfId="0" applyNumberFormat="1" applyFont="1" applyFill="1" applyBorder="1"/>
    <xf numFmtId="171" fontId="105" fillId="27" borderId="20" xfId="0" applyNumberFormat="1" applyFont="1" applyFill="1" applyBorder="1"/>
    <xf numFmtId="170" fontId="105" fillId="27" borderId="20" xfId="0" applyNumberFormat="1" applyFont="1" applyFill="1" applyBorder="1"/>
    <xf numFmtId="171" fontId="33" fillId="27" borderId="20" xfId="0" applyNumberFormat="1" applyFont="1" applyFill="1" applyBorder="1" applyAlignment="1"/>
    <xf numFmtId="0" fontId="33" fillId="27" borderId="0" xfId="125" applyFont="1" applyFill="1" applyBorder="1"/>
    <xf numFmtId="0" fontId="31" fillId="27" borderId="0" xfId="126" applyFont="1" applyFill="1" applyAlignment="1"/>
    <xf numFmtId="171" fontId="31" fillId="27" borderId="0" xfId="126" applyNumberFormat="1" applyFont="1" applyFill="1" applyAlignment="1"/>
    <xf numFmtId="0" fontId="45" fillId="27" borderId="0" xfId="126" applyFont="1" applyFill="1" applyAlignment="1"/>
    <xf numFmtId="0" fontId="48" fillId="27" borderId="20" xfId="125" applyFont="1" applyFill="1" applyBorder="1"/>
    <xf numFmtId="0" fontId="31" fillId="27" borderId="20" xfId="126" applyFont="1" applyFill="1" applyBorder="1" applyAlignment="1"/>
    <xf numFmtId="171" fontId="31" fillId="27" borderId="20" xfId="126" applyNumberFormat="1" applyFont="1" applyFill="1" applyBorder="1" applyAlignment="1"/>
    <xf numFmtId="0" fontId="45" fillId="27" borderId="20" xfId="126" applyFont="1" applyFill="1" applyBorder="1" applyAlignment="1"/>
    <xf numFmtId="37" fontId="33" fillId="27" borderId="20" xfId="0" applyNumberFormat="1" applyFont="1" applyFill="1" applyBorder="1" applyAlignment="1">
      <alignment horizontal="right"/>
    </xf>
    <xf numFmtId="37" fontId="33" fillId="27" borderId="39" xfId="0" applyNumberFormat="1" applyFont="1" applyFill="1" applyBorder="1" applyAlignment="1">
      <alignment horizontal="right"/>
    </xf>
    <xf numFmtId="0" fontId="31" fillId="27" borderId="0" xfId="125" applyFont="1" applyFill="1" applyBorder="1"/>
    <xf numFmtId="188" fontId="47" fillId="27" borderId="19" xfId="125" applyNumberFormat="1" applyFont="1" applyFill="1" applyBorder="1"/>
    <xf numFmtId="171" fontId="31" fillId="27" borderId="19" xfId="126" applyNumberFormat="1" applyFont="1" applyFill="1" applyBorder="1" applyAlignment="1"/>
    <xf numFmtId="0" fontId="31" fillId="27" borderId="0" xfId="125" applyFont="1" applyFill="1"/>
    <xf numFmtId="168" fontId="31" fillId="27" borderId="0" xfId="0" applyNumberFormat="1" applyFont="1" applyFill="1"/>
    <xf numFmtId="168" fontId="31" fillId="27" borderId="37" xfId="0" applyNumberFormat="1" applyFont="1" applyFill="1" applyBorder="1"/>
    <xf numFmtId="168" fontId="31" fillId="27" borderId="0" xfId="0" applyNumberFormat="1" applyFont="1" applyFill="1" applyBorder="1" applyAlignment="1"/>
    <xf numFmtId="168" fontId="31" fillId="27" borderId="25" xfId="0" applyNumberFormat="1" applyFont="1" applyFill="1" applyBorder="1"/>
    <xf numFmtId="171" fontId="150" fillId="27" borderId="20" xfId="0" applyNumberFormat="1" applyFont="1" applyFill="1" applyBorder="1"/>
    <xf numFmtId="0" fontId="0" fillId="27" borderId="0" xfId="0" applyFill="1" applyAlignment="1"/>
    <xf numFmtId="0" fontId="105" fillId="27" borderId="0" xfId="0" applyFont="1" applyFill="1" applyAlignment="1"/>
    <xf numFmtId="187" fontId="31" fillId="27" borderId="0" xfId="0" applyNumberFormat="1" applyFont="1" applyFill="1" applyAlignment="1"/>
    <xf numFmtId="0" fontId="151" fillId="27" borderId="0" xfId="0" applyFont="1" applyFill="1" applyAlignment="1">
      <alignment horizontal="left"/>
    </xf>
    <xf numFmtId="0" fontId="41" fillId="27" borderId="0" xfId="0" applyFont="1" applyFill="1" applyAlignment="1">
      <alignment horizontal="left"/>
    </xf>
    <xf numFmtId="0" fontId="132" fillId="27" borderId="0" xfId="0" applyFont="1" applyFill="1" applyBorder="1" applyAlignment="1">
      <alignment horizontal="left"/>
    </xf>
    <xf numFmtId="0" fontId="131" fillId="27" borderId="0" xfId="0" applyFont="1" applyFill="1" applyBorder="1" applyAlignment="1">
      <alignment horizontal="center"/>
    </xf>
    <xf numFmtId="0" fontId="131" fillId="27" borderId="0" xfId="0" applyFont="1" applyFill="1" applyBorder="1" applyAlignment="1"/>
    <xf numFmtId="37" fontId="131" fillId="27" borderId="0" xfId="0" applyNumberFormat="1" applyFont="1" applyFill="1" applyBorder="1" applyAlignment="1">
      <alignment horizontal="right"/>
    </xf>
    <xf numFmtId="0" fontId="6" fillId="27" borderId="0" xfId="0" quotePrefix="1" applyFont="1" applyFill="1" applyBorder="1" applyAlignment="1">
      <alignment horizontal="left" indent="1"/>
    </xf>
    <xf numFmtId="0" fontId="77" fillId="27" borderId="0" xfId="75" applyFont="1" applyFill="1" applyBorder="1" applyAlignment="1">
      <alignment horizontal="left" vertical="center"/>
    </xf>
    <xf numFmtId="0" fontId="146" fillId="27" borderId="0" xfId="0" applyFont="1" applyFill="1" applyBorder="1" applyAlignment="1">
      <alignment horizontal="left"/>
    </xf>
    <xf numFmtId="0" fontId="145" fillId="27" borderId="0" xfId="0" applyFont="1" applyFill="1" applyBorder="1" applyAlignment="1">
      <alignment horizontal="center"/>
    </xf>
    <xf numFmtId="0" fontId="145" fillId="27" borderId="0" xfId="0" applyFont="1" applyFill="1" applyBorder="1" applyAlignment="1"/>
    <xf numFmtId="37" fontId="145" fillId="27" borderId="0" xfId="0" applyNumberFormat="1" applyFont="1" applyFill="1" applyBorder="1" applyAlignment="1">
      <alignment horizontal="right"/>
    </xf>
    <xf numFmtId="0" fontId="152" fillId="27" borderId="19" xfId="0" applyFont="1" applyFill="1" applyBorder="1" applyAlignment="1">
      <alignment horizontal="left"/>
    </xf>
    <xf numFmtId="0" fontId="153" fillId="27" borderId="19" xfId="0" applyFont="1" applyFill="1" applyBorder="1"/>
    <xf numFmtId="0" fontId="41" fillId="27" borderId="19" xfId="0" applyFont="1" applyFill="1" applyBorder="1" applyAlignment="1">
      <alignment horizontal="left"/>
    </xf>
    <xf numFmtId="37" fontId="31" fillId="27" borderId="0" xfId="0" applyNumberFormat="1" applyFont="1" applyFill="1" applyBorder="1" applyAlignment="1">
      <alignment horizontal="right"/>
    </xf>
    <xf numFmtId="214" fontId="4" fillId="27" borderId="0" xfId="0" applyNumberFormat="1" applyFont="1" applyFill="1" applyBorder="1" applyAlignment="1">
      <alignment horizontal="right"/>
    </xf>
    <xf numFmtId="0" fontId="3" fillId="27" borderId="0" xfId="0" applyFont="1" applyFill="1" applyAlignment="1">
      <alignment horizontal="left"/>
    </xf>
    <xf numFmtId="0" fontId="78" fillId="27" borderId="0" xfId="75" applyFont="1" applyFill="1" applyBorder="1" applyAlignment="1">
      <alignment horizontal="left" vertical="center"/>
    </xf>
    <xf numFmtId="37" fontId="33" fillId="27" borderId="0" xfId="0" applyNumberFormat="1" applyFont="1" applyFill="1" applyBorder="1" applyAlignment="1">
      <alignment horizontal="right"/>
    </xf>
    <xf numFmtId="168" fontId="31" fillId="27" borderId="0" xfId="0" applyNumberFormat="1" applyFont="1" applyFill="1" applyBorder="1" applyAlignment="1">
      <alignment horizontal="right"/>
    </xf>
    <xf numFmtId="225" fontId="31" fillId="27" borderId="0" xfId="0" applyNumberFormat="1" applyFont="1" applyFill="1" applyBorder="1" applyAlignment="1">
      <alignment horizontal="right"/>
    </xf>
    <xf numFmtId="9" fontId="4" fillId="27" borderId="0" xfId="0" applyNumberFormat="1" applyFont="1" applyFill="1" applyBorder="1" applyAlignment="1">
      <alignment horizontal="right"/>
    </xf>
    <xf numFmtId="4" fontId="6" fillId="27" borderId="0" xfId="133" applyNumberFormat="1" applyFont="1" applyFill="1" applyBorder="1"/>
    <xf numFmtId="2" fontId="147" fillId="27" borderId="0" xfId="133" applyNumberFormat="1" applyFont="1" applyFill="1" applyBorder="1"/>
    <xf numFmtId="9" fontId="33" fillId="27" borderId="0" xfId="133" applyFont="1" applyFill="1" applyBorder="1" applyAlignment="1">
      <alignment horizontal="center"/>
    </xf>
    <xf numFmtId="172" fontId="33" fillId="27" borderId="0" xfId="0" applyNumberFormat="1" applyFont="1" applyFill="1" applyBorder="1" applyAlignment="1">
      <alignment horizontal="right"/>
    </xf>
    <xf numFmtId="4" fontId="33" fillId="27" borderId="0" xfId="133" applyNumberFormat="1" applyFont="1" applyFill="1" applyBorder="1"/>
    <xf numFmtId="4" fontId="154" fillId="27" borderId="0" xfId="133" applyNumberFormat="1" applyFont="1" applyFill="1" applyBorder="1"/>
    <xf numFmtId="3" fontId="6" fillId="27" borderId="0" xfId="133" applyNumberFormat="1" applyFont="1" applyFill="1" applyBorder="1"/>
    <xf numFmtId="9" fontId="6" fillId="27" borderId="0" xfId="133" applyNumberFormat="1" applyFont="1" applyFill="1" applyBorder="1"/>
    <xf numFmtId="0" fontId="152" fillId="27" borderId="0" xfId="0" applyFont="1" applyFill="1" applyAlignment="1">
      <alignment horizontal="left"/>
    </xf>
    <xf numFmtId="0" fontId="155" fillId="27" borderId="0" xfId="0" applyFont="1" applyFill="1" applyAlignment="1">
      <alignment horizontal="left" indent="2"/>
    </xf>
    <xf numFmtId="0" fontId="156" fillId="27" borderId="0" xfId="0" applyFont="1" applyFill="1"/>
    <xf numFmtId="168" fontId="155" fillId="27" borderId="0" xfId="133" applyNumberFormat="1" applyFont="1" applyFill="1" applyBorder="1" applyAlignment="1">
      <alignment horizontal="center"/>
    </xf>
    <xf numFmtId="4" fontId="155" fillId="27" borderId="0" xfId="133" applyNumberFormat="1" applyFont="1" applyFill="1" applyBorder="1"/>
    <xf numFmtId="0" fontId="155" fillId="27" borderId="0" xfId="0" applyFont="1" applyFill="1"/>
    <xf numFmtId="9" fontId="155" fillId="27" borderId="0" xfId="133" applyFont="1" applyFill="1" applyBorder="1" applyAlignment="1">
      <alignment horizontal="center"/>
    </xf>
    <xf numFmtId="10" fontId="155" fillId="27" borderId="0" xfId="0" applyNumberFormat="1" applyFont="1" applyFill="1" applyBorder="1" applyAlignment="1">
      <alignment horizontal="right"/>
    </xf>
    <xf numFmtId="10" fontId="155" fillId="27" borderId="0" xfId="133" applyNumberFormat="1" applyFont="1" applyFill="1" applyBorder="1"/>
    <xf numFmtId="10" fontId="25" fillId="27" borderId="0" xfId="0" applyNumberFormat="1" applyFont="1" applyFill="1"/>
    <xf numFmtId="0" fontId="44" fillId="0" borderId="0" xfId="118" applyFont="1"/>
    <xf numFmtId="3" fontId="122" fillId="0" borderId="0" xfId="145" applyNumberFormat="1" applyFont="1" applyAlignment="1">
      <alignment horizontal="center"/>
    </xf>
    <xf numFmtId="0" fontId="157" fillId="0" borderId="0" xfId="118" applyFont="1"/>
    <xf numFmtId="3" fontId="157" fillId="0" borderId="0" xfId="118" applyNumberFormat="1" applyFont="1"/>
    <xf numFmtId="0" fontId="122" fillId="0" borderId="0" xfId="118" applyFont="1"/>
    <xf numFmtId="0" fontId="44" fillId="0" borderId="0" xfId="118" applyFont="1" applyAlignment="1">
      <alignment horizontal="center"/>
    </xf>
    <xf numFmtId="0" fontId="44" fillId="0" borderId="0" xfId="118" applyFont="1" applyAlignment="1">
      <alignment horizontal="right"/>
    </xf>
    <xf numFmtId="0" fontId="157" fillId="0" borderId="0" xfId="118" applyFont="1" applyAlignment="1">
      <alignment horizontal="left"/>
    </xf>
    <xf numFmtId="0" fontId="122" fillId="0" borderId="0" xfId="118" applyFont="1" applyAlignment="1">
      <alignment horizontal="left"/>
    </xf>
    <xf numFmtId="10" fontId="123" fillId="0" borderId="0" xfId="118" applyNumberFormat="1" applyFont="1"/>
    <xf numFmtId="0" fontId="122" fillId="0" borderId="20" xfId="118" applyFont="1" applyBorder="1" applyAlignment="1">
      <alignment horizontal="center" vertical="center"/>
    </xf>
    <xf numFmtId="0" fontId="122" fillId="0" borderId="20" xfId="118" applyFont="1" applyBorder="1" applyAlignment="1">
      <alignment horizontal="center" vertical="center" wrapText="1"/>
    </xf>
    <xf numFmtId="0" fontId="122" fillId="0" borderId="51" xfId="118" applyFont="1" applyBorder="1" applyAlignment="1">
      <alignment horizontal="center" vertical="center"/>
    </xf>
    <xf numFmtId="14" fontId="122" fillId="0" borderId="0" xfId="118" applyNumberFormat="1" applyFont="1"/>
    <xf numFmtId="3" fontId="122" fillId="0" borderId="0" xfId="145" applyNumberFormat="1" applyFont="1"/>
    <xf numFmtId="3" fontId="122" fillId="0" borderId="0" xfId="118" applyNumberFormat="1" applyFont="1" applyAlignment="1">
      <alignment horizontal="center"/>
    </xf>
    <xf numFmtId="10" fontId="122" fillId="0" borderId="0" xfId="118" applyNumberFormat="1" applyFont="1"/>
    <xf numFmtId="3" fontId="122" fillId="0" borderId="25" xfId="145" applyNumberFormat="1" applyFont="1" applyBorder="1"/>
    <xf numFmtId="3" fontId="122" fillId="0" borderId="0" xfId="118" applyNumberFormat="1" applyFont="1"/>
    <xf numFmtId="3" fontId="122" fillId="0" borderId="25" xfId="118" applyNumberFormat="1" applyFont="1" applyBorder="1"/>
    <xf numFmtId="0" fontId="122" fillId="0" borderId="0" xfId="118" applyFont="1" applyBorder="1"/>
    <xf numFmtId="3" fontId="122" fillId="0" borderId="0" xfId="145" applyNumberFormat="1" applyFont="1" applyBorder="1" applyAlignment="1">
      <alignment horizontal="center"/>
    </xf>
    <xf numFmtId="0" fontId="44" fillId="0" borderId="0" xfId="118" applyFont="1" applyBorder="1"/>
    <xf numFmtId="3" fontId="122" fillId="0" borderId="0" xfId="118" applyNumberFormat="1" applyFont="1" applyBorder="1"/>
    <xf numFmtId="10" fontId="122" fillId="0" borderId="0" xfId="118" applyNumberFormat="1" applyFont="1" applyBorder="1"/>
    <xf numFmtId="3" fontId="122" fillId="0" borderId="4" xfId="118" applyNumberFormat="1" applyFont="1" applyBorder="1"/>
    <xf numFmtId="187" fontId="33" fillId="27" borderId="25" xfId="0" applyNumberFormat="1" applyFont="1" applyFill="1" applyBorder="1" applyAlignment="1"/>
    <xf numFmtId="0" fontId="158" fillId="27" borderId="0" xfId="0" applyFont="1" applyFill="1" applyAlignment="1">
      <alignment horizontal="left"/>
    </xf>
    <xf numFmtId="0" fontId="158" fillId="27" borderId="0" xfId="0" applyFont="1" applyFill="1"/>
    <xf numFmtId="3" fontId="158" fillId="27" borderId="0" xfId="0" applyNumberFormat="1" applyFont="1" applyFill="1" applyAlignment="1">
      <alignment horizontal="right"/>
    </xf>
    <xf numFmtId="0" fontId="158" fillId="27" borderId="0" xfId="0" applyFont="1" applyFill="1" applyBorder="1"/>
    <xf numFmtId="187" fontId="158" fillId="27" borderId="0" xfId="0" applyNumberFormat="1" applyFont="1" applyFill="1"/>
    <xf numFmtId="187" fontId="158" fillId="27" borderId="36" xfId="0" applyNumberFormat="1" applyFont="1" applyFill="1" applyBorder="1"/>
    <xf numFmtId="187" fontId="158" fillId="27" borderId="37" xfId="0" applyNumberFormat="1" applyFont="1" applyFill="1" applyBorder="1"/>
    <xf numFmtId="187" fontId="158" fillId="27" borderId="25" xfId="0" applyNumberFormat="1" applyFont="1" applyFill="1" applyBorder="1"/>
    <xf numFmtId="0" fontId="125" fillId="27" borderId="0" xfId="121" applyFont="1" applyFill="1" applyAlignment="1">
      <alignment horizontal="left"/>
    </xf>
    <xf numFmtId="0" fontId="125" fillId="27" borderId="0" xfId="121" applyFont="1" applyFill="1" applyBorder="1"/>
    <xf numFmtId="0" fontId="159" fillId="27" borderId="0" xfId="121" applyFont="1" applyFill="1" applyBorder="1" applyAlignment="1">
      <alignment horizontal="center"/>
    </xf>
    <xf numFmtId="0" fontId="159" fillId="27" borderId="0" xfId="121" applyFont="1" applyFill="1"/>
    <xf numFmtId="0" fontId="160" fillId="27" borderId="0" xfId="121" applyFont="1" applyFill="1" applyBorder="1" applyAlignment="1">
      <alignment horizontal="left"/>
    </xf>
    <xf numFmtId="0" fontId="161" fillId="27" borderId="0" xfId="121" applyFont="1" applyFill="1" applyAlignment="1">
      <alignment horizontal="left"/>
    </xf>
    <xf numFmtId="0" fontId="159" fillId="27" borderId="0" xfId="121" applyFont="1" applyFill="1" applyAlignment="1">
      <alignment horizontal="center"/>
    </xf>
    <xf numFmtId="43" fontId="125" fillId="27" borderId="0" xfId="121" applyNumberFormat="1" applyFont="1" applyFill="1"/>
    <xf numFmtId="171" fontId="162" fillId="27" borderId="0" xfId="119" applyNumberFormat="1" applyFont="1" applyFill="1" applyBorder="1" applyAlignment="1"/>
    <xf numFmtId="171" fontId="163" fillId="27" borderId="0" xfId="119" applyNumberFormat="1" applyFont="1" applyFill="1" applyBorder="1" applyAlignment="1"/>
    <xf numFmtId="0" fontId="161" fillId="27" borderId="21" xfId="121" applyFont="1" applyFill="1" applyBorder="1" applyAlignment="1">
      <alignment horizontal="left"/>
    </xf>
    <xf numFmtId="0" fontId="125" fillId="27" borderId="21" xfId="121" applyFont="1" applyFill="1" applyBorder="1"/>
    <xf numFmtId="0" fontId="159" fillId="27" borderId="21" xfId="121" applyFont="1" applyFill="1" applyBorder="1" applyAlignment="1">
      <alignment horizontal="center"/>
    </xf>
    <xf numFmtId="187" fontId="159" fillId="27" borderId="0" xfId="121" applyNumberFormat="1" applyFont="1" applyFill="1" applyBorder="1" applyAlignment="1">
      <alignment horizontal="center"/>
    </xf>
    <xf numFmtId="187" fontId="159" fillId="27" borderId="0" xfId="121" applyNumberFormat="1" applyFont="1" applyFill="1" applyBorder="1"/>
    <xf numFmtId="0" fontId="164" fillId="27" borderId="20" xfId="121" applyFont="1" applyFill="1" applyBorder="1" applyAlignment="1">
      <alignment horizontal="left"/>
    </xf>
    <xf numFmtId="0" fontId="125" fillId="27" borderId="20" xfId="121" applyFont="1" applyFill="1" applyBorder="1"/>
    <xf numFmtId="187" fontId="159" fillId="27" borderId="0" xfId="121" applyNumberFormat="1" applyFont="1" applyFill="1" applyBorder="1" applyAlignment="1">
      <alignment horizontal="right"/>
    </xf>
    <xf numFmtId="187" fontId="159" fillId="27" borderId="0" xfId="121" applyNumberFormat="1" applyFont="1" applyFill="1" applyBorder="1" applyAlignment="1">
      <alignment horizontal="left"/>
    </xf>
    <xf numFmtId="187" fontId="165" fillId="27" borderId="0" xfId="121" applyNumberFormat="1" applyFont="1" applyFill="1" applyBorder="1" applyAlignment="1">
      <alignment horizontal="left"/>
    </xf>
    <xf numFmtId="0" fontId="165" fillId="27" borderId="19" xfId="121" applyFont="1" applyFill="1" applyBorder="1" applyAlignment="1">
      <alignment horizontal="left"/>
    </xf>
    <xf numFmtId="0" fontId="125" fillId="27" borderId="19" xfId="121" applyFont="1" applyFill="1" applyBorder="1" applyAlignment="1"/>
    <xf numFmtId="189" fontId="165" fillId="27" borderId="19" xfId="121" applyNumberFormat="1" applyFont="1" applyFill="1" applyBorder="1" applyAlignment="1">
      <alignment horizontal="right"/>
    </xf>
    <xf numFmtId="211" fontId="165" fillId="27" borderId="19" xfId="121" applyNumberFormat="1" applyFont="1" applyFill="1" applyBorder="1" applyAlignment="1">
      <alignment horizontal="right"/>
    </xf>
    <xf numFmtId="190" fontId="165" fillId="27" borderId="0" xfId="121" applyNumberFormat="1" applyFont="1" applyFill="1" applyBorder="1" applyAlignment="1">
      <alignment horizontal="left"/>
    </xf>
    <xf numFmtId="190" fontId="125" fillId="27" borderId="0" xfId="121" applyNumberFormat="1" applyFont="1" applyFill="1" applyBorder="1" applyAlignment="1"/>
    <xf numFmtId="193" fontId="165" fillId="27" borderId="0" xfId="121" applyNumberFormat="1" applyFont="1" applyFill="1" applyBorder="1" applyAlignment="1">
      <alignment horizontal="right"/>
    </xf>
    <xf numFmtId="0" fontId="165" fillId="27" borderId="20" xfId="121" applyFont="1" applyFill="1" applyBorder="1" applyAlignment="1">
      <alignment horizontal="left"/>
    </xf>
    <xf numFmtId="0" fontId="159" fillId="27" borderId="20" xfId="121" applyFont="1" applyFill="1" applyBorder="1" applyAlignment="1"/>
    <xf numFmtId="0" fontId="159" fillId="27" borderId="20" xfId="121" applyFont="1" applyFill="1" applyBorder="1" applyAlignment="1">
      <alignment horizontal="right"/>
    </xf>
    <xf numFmtId="37" fontId="165" fillId="27" borderId="20" xfId="121" applyNumberFormat="1" applyFont="1" applyFill="1" applyBorder="1" applyAlignment="1">
      <alignment horizontal="right"/>
    </xf>
    <xf numFmtId="0" fontId="165" fillId="27" borderId="0" xfId="121" applyFont="1" applyFill="1" applyBorder="1" applyAlignment="1">
      <alignment horizontal="left"/>
    </xf>
    <xf numFmtId="0" fontId="159" fillId="27" borderId="0" xfId="121" applyFont="1" applyFill="1" applyBorder="1" applyAlignment="1"/>
    <xf numFmtId="0" fontId="159" fillId="27" borderId="0" xfId="121" applyFont="1" applyFill="1" applyBorder="1" applyAlignment="1">
      <alignment horizontal="right"/>
    </xf>
    <xf numFmtId="0" fontId="165" fillId="27" borderId="0" xfId="121" applyFont="1" applyFill="1" applyBorder="1" applyAlignment="1">
      <alignment horizontal="center"/>
    </xf>
    <xf numFmtId="37" fontId="165" fillId="27" borderId="0" xfId="121" applyNumberFormat="1" applyFont="1" applyFill="1" applyBorder="1" applyAlignment="1">
      <alignment horizontal="right"/>
    </xf>
    <xf numFmtId="0" fontId="165" fillId="27" borderId="0" xfId="121" applyFont="1" applyFill="1" applyAlignment="1">
      <alignment horizontal="left"/>
    </xf>
    <xf numFmtId="171" fontId="165" fillId="27" borderId="0" xfId="121" applyNumberFormat="1" applyFont="1" applyFill="1"/>
    <xf numFmtId="0" fontId="164" fillId="27" borderId="0" xfId="121" applyFont="1" applyFill="1"/>
    <xf numFmtId="0" fontId="165" fillId="27" borderId="0" xfId="121" applyFont="1" applyFill="1" applyAlignment="1">
      <alignment horizontal="center"/>
    </xf>
    <xf numFmtId="171" fontId="165" fillId="27" borderId="0" xfId="121" applyNumberFormat="1" applyFont="1" applyFill="1" applyBorder="1" applyAlignment="1">
      <alignment horizontal="right"/>
    </xf>
    <xf numFmtId="171" fontId="159" fillId="27" borderId="0" xfId="121" applyNumberFormat="1" applyFont="1" applyFill="1" applyBorder="1"/>
    <xf numFmtId="171" fontId="159" fillId="27" borderId="0" xfId="121" applyNumberFormat="1" applyFont="1" applyFill="1"/>
    <xf numFmtId="171" fontId="159" fillId="27" borderId="0" xfId="121" applyNumberFormat="1" applyFont="1" applyFill="1" applyBorder="1" applyAlignment="1">
      <alignment horizontal="right"/>
    </xf>
    <xf numFmtId="0" fontId="159" fillId="27" borderId="0" xfId="121" applyFont="1" applyFill="1" applyBorder="1" applyAlignment="1">
      <alignment horizontal="left" indent="4"/>
    </xf>
    <xf numFmtId="167" fontId="159" fillId="27" borderId="0" xfId="150" applyNumberFormat="1" applyFont="1" applyFill="1" applyBorder="1" applyAlignment="1">
      <alignment horizontal="right"/>
    </xf>
    <xf numFmtId="9" fontId="159" fillId="27" borderId="0" xfId="138" applyFont="1" applyFill="1" applyBorder="1" applyAlignment="1">
      <alignment horizontal="right"/>
    </xf>
    <xf numFmtId="171" fontId="165" fillId="27" borderId="0" xfId="121" applyNumberFormat="1" applyFont="1" applyFill="1" applyBorder="1"/>
    <xf numFmtId="0" fontId="164" fillId="27" borderId="0" xfId="121" applyFont="1" applyFill="1" applyBorder="1"/>
    <xf numFmtId="171" fontId="159" fillId="27" borderId="0" xfId="121" applyNumberFormat="1" applyFont="1" applyFill="1" applyBorder="1" applyAlignment="1">
      <alignment horizontal="left" indent="2"/>
    </xf>
    <xf numFmtId="178" fontId="159" fillId="27" borderId="0" xfId="150" applyNumberFormat="1" applyFont="1" applyFill="1" applyBorder="1"/>
    <xf numFmtId="178" fontId="125" fillId="27" borderId="0" xfId="150" applyNumberFormat="1" applyFont="1" applyFill="1" applyBorder="1"/>
    <xf numFmtId="178" fontId="159" fillId="28" borderId="0" xfId="150" applyNumberFormat="1" applyFont="1" applyFill="1" applyBorder="1"/>
    <xf numFmtId="9" fontId="159" fillId="27" borderId="0" xfId="138" applyFont="1" applyFill="1" applyBorder="1"/>
    <xf numFmtId="10" fontId="159" fillId="27" borderId="0" xfId="138" applyNumberFormat="1" applyFont="1" applyFill="1" applyBorder="1"/>
    <xf numFmtId="196" fontId="159" fillId="27" borderId="0" xfId="138" applyNumberFormat="1" applyFont="1" applyFill="1" applyBorder="1" applyAlignment="1">
      <alignment horizontal="right"/>
    </xf>
    <xf numFmtId="205" fontId="159" fillId="27" borderId="0" xfId="138" applyNumberFormat="1" applyFont="1" applyFill="1" applyBorder="1" applyAlignment="1">
      <alignment horizontal="right"/>
    </xf>
    <xf numFmtId="178" fontId="159" fillId="27" borderId="0" xfId="138" applyNumberFormat="1" applyFont="1" applyFill="1" applyBorder="1" applyAlignment="1">
      <alignment horizontal="right"/>
    </xf>
    <xf numFmtId="168" fontId="159" fillId="27" borderId="0" xfId="138" applyNumberFormat="1" applyFont="1" applyFill="1" applyBorder="1" applyAlignment="1">
      <alignment horizontal="right"/>
    </xf>
    <xf numFmtId="10" fontId="159" fillId="27" borderId="0" xfId="138" applyNumberFormat="1" applyFont="1" applyFill="1" applyBorder="1" applyAlignment="1">
      <alignment horizontal="right"/>
    </xf>
    <xf numFmtId="195" fontId="159" fillId="27" borderId="0" xfId="138" applyNumberFormat="1" applyFont="1" applyFill="1" applyBorder="1" applyAlignment="1">
      <alignment horizontal="right"/>
    </xf>
    <xf numFmtId="2" fontId="125" fillId="27" borderId="0" xfId="121" applyNumberFormat="1" applyFont="1" applyFill="1" applyBorder="1"/>
    <xf numFmtId="187" fontId="125" fillId="27" borderId="0" xfId="121" applyNumberFormat="1" applyFont="1" applyFill="1" applyBorder="1"/>
    <xf numFmtId="171" fontId="159" fillId="27" borderId="0" xfId="121" applyNumberFormat="1" applyFont="1" applyFill="1" applyAlignment="1">
      <alignment horizontal="center"/>
    </xf>
    <xf numFmtId="171" fontId="125" fillId="27" borderId="0" xfId="121" applyNumberFormat="1" applyFont="1" applyFill="1" applyBorder="1"/>
    <xf numFmtId="171" fontId="125" fillId="27" borderId="0" xfId="121" applyNumberFormat="1" applyFont="1" applyFill="1"/>
    <xf numFmtId="37" fontId="159" fillId="27" borderId="21" xfId="121" applyNumberFormat="1" applyFont="1" applyFill="1" applyBorder="1" applyAlignment="1">
      <alignment horizontal="center"/>
    </xf>
    <xf numFmtId="37" fontId="125" fillId="27" borderId="21" xfId="121" applyNumberFormat="1" applyFont="1" applyFill="1" applyBorder="1"/>
    <xf numFmtId="0" fontId="165" fillId="27" borderId="19" xfId="121" applyFont="1" applyFill="1" applyBorder="1" applyAlignment="1">
      <alignment horizontal="center"/>
    </xf>
    <xf numFmtId="193" fontId="165" fillId="27" borderId="0" xfId="121" applyNumberFormat="1" applyFont="1" applyFill="1" applyBorder="1" applyAlignment="1">
      <alignment horizontal="center" wrapText="1"/>
    </xf>
    <xf numFmtId="193" fontId="165" fillId="27" borderId="20" xfId="121" applyNumberFormat="1" applyFont="1" applyFill="1" applyBorder="1" applyAlignment="1">
      <alignment horizontal="center" wrapText="1"/>
    </xf>
    <xf numFmtId="189" fontId="165" fillId="27" borderId="20" xfId="121" applyNumberFormat="1" applyFont="1" applyFill="1" applyBorder="1" applyAlignment="1">
      <alignment horizontal="right"/>
    </xf>
    <xf numFmtId="189" fontId="165" fillId="27" borderId="0" xfId="121" applyNumberFormat="1" applyFont="1" applyFill="1" applyBorder="1" applyAlignment="1">
      <alignment horizontal="right"/>
    </xf>
    <xf numFmtId="0" fontId="164" fillId="27" borderId="0" xfId="121" applyFont="1" applyFill="1" applyAlignment="1">
      <alignment horizontal="left"/>
    </xf>
    <xf numFmtId="0" fontId="165" fillId="27" borderId="0" xfId="121" applyFont="1" applyFill="1" applyAlignment="1">
      <alignment horizontal="left" indent="2"/>
    </xf>
    <xf numFmtId="171" fontId="165" fillId="27" borderId="0" xfId="121" applyNumberFormat="1" applyFont="1" applyFill="1" applyBorder="1" applyAlignment="1">
      <alignment horizontal="left" indent="2"/>
    </xf>
    <xf numFmtId="0" fontId="165" fillId="27" borderId="0" xfId="121" applyFont="1" applyFill="1" applyBorder="1" applyAlignment="1">
      <alignment horizontal="right"/>
    </xf>
    <xf numFmtId="172" fontId="165" fillId="27" borderId="0" xfId="121" applyNumberFormat="1" applyFont="1" applyFill="1" applyBorder="1" applyAlignment="1">
      <alignment horizontal="right"/>
    </xf>
    <xf numFmtId="0" fontId="159" fillId="27" borderId="0" xfId="121" applyFont="1" applyFill="1" applyAlignment="1">
      <alignment horizontal="left" indent="2"/>
    </xf>
    <xf numFmtId="172" fontId="159" fillId="27" borderId="0" xfId="121" applyNumberFormat="1" applyFont="1" applyFill="1" applyBorder="1" applyAlignment="1">
      <alignment horizontal="right"/>
    </xf>
    <xf numFmtId="207" fontId="159" fillId="27" borderId="0" xfId="121" applyNumberFormat="1" applyFont="1" applyFill="1" applyBorder="1" applyAlignment="1">
      <alignment horizontal="right"/>
    </xf>
    <xf numFmtId="210" fontId="159" fillId="27" borderId="0" xfId="150" applyNumberFormat="1" applyFont="1" applyFill="1" applyBorder="1" applyAlignment="1">
      <alignment horizontal="right"/>
    </xf>
    <xf numFmtId="173" fontId="159" fillId="27" borderId="0" xfId="121" applyNumberFormat="1" applyFont="1" applyFill="1" applyBorder="1" applyAlignment="1">
      <alignment horizontal="right"/>
    </xf>
    <xf numFmtId="9" fontId="159" fillId="27" borderId="0" xfId="121" applyNumberFormat="1" applyFont="1" applyFill="1" applyBorder="1" applyAlignment="1">
      <alignment horizontal="right"/>
    </xf>
    <xf numFmtId="170" fontId="165" fillId="27" borderId="0" xfId="121" applyNumberFormat="1" applyFont="1" applyFill="1" applyBorder="1" applyAlignment="1">
      <alignment horizontal="right"/>
    </xf>
    <xf numFmtId="171" fontId="159" fillId="27" borderId="0" xfId="121" applyNumberFormat="1" applyFont="1" applyFill="1" applyBorder="1" applyAlignment="1"/>
    <xf numFmtId="9" fontId="159" fillId="27" borderId="0" xfId="121" applyNumberFormat="1" applyFont="1" applyFill="1"/>
    <xf numFmtId="4" fontId="159" fillId="27" borderId="0" xfId="121" applyNumberFormat="1" applyFont="1" applyFill="1"/>
    <xf numFmtId="0" fontId="159" fillId="27" borderId="19" xfId="121" applyFont="1" applyFill="1" applyBorder="1" applyAlignment="1">
      <alignment horizontal="center"/>
    </xf>
    <xf numFmtId="190" fontId="125" fillId="27" borderId="20" xfId="121" applyNumberFormat="1" applyFont="1" applyFill="1" applyBorder="1" applyAlignment="1"/>
    <xf numFmtId="193" fontId="165" fillId="27" borderId="20" xfId="121" applyNumberFormat="1" applyFont="1" applyFill="1" applyBorder="1" applyAlignment="1">
      <alignment horizontal="right"/>
    </xf>
    <xf numFmtId="0" fontId="165" fillId="27" borderId="0" xfId="121" applyFont="1" applyFill="1" applyBorder="1" applyAlignment="1"/>
    <xf numFmtId="0" fontId="159" fillId="27" borderId="0" xfId="121" applyFont="1" applyFill="1" applyBorder="1"/>
    <xf numFmtId="187" fontId="159" fillId="27" borderId="0" xfId="138" applyNumberFormat="1" applyFont="1" applyFill="1" applyBorder="1" applyAlignment="1">
      <alignment horizontal="right"/>
    </xf>
    <xf numFmtId="187" fontId="159" fillId="27" borderId="0" xfId="121" applyNumberFormat="1" applyFont="1" applyFill="1" applyBorder="1" applyAlignment="1"/>
    <xf numFmtId="189" fontId="159" fillId="27" borderId="0" xfId="121" applyNumberFormat="1" applyFont="1" applyFill="1" applyBorder="1" applyAlignment="1">
      <alignment horizontal="right"/>
    </xf>
    <xf numFmtId="178" fontId="125" fillId="27" borderId="0" xfId="121" applyNumberFormat="1" applyFont="1" applyFill="1" applyBorder="1"/>
    <xf numFmtId="0" fontId="165" fillId="27" borderId="19" xfId="121" applyFont="1" applyFill="1" applyBorder="1" applyAlignment="1"/>
    <xf numFmtId="190" fontId="165" fillId="27" borderId="0" xfId="121" applyNumberFormat="1" applyFont="1" applyFill="1" applyBorder="1" applyAlignment="1"/>
    <xf numFmtId="190" fontId="165" fillId="27" borderId="20" xfId="121" applyNumberFormat="1" applyFont="1" applyFill="1" applyBorder="1" applyAlignment="1"/>
    <xf numFmtId="0" fontId="159" fillId="27" borderId="0" xfId="121" applyFont="1" applyFill="1" applyBorder="1" applyAlignment="1">
      <alignment horizontal="left" indent="3"/>
    </xf>
    <xf numFmtId="0" fontId="159" fillId="27" borderId="0" xfId="121" applyFont="1" applyFill="1" applyBorder="1" applyAlignment="1">
      <alignment horizontal="left" indent="2"/>
    </xf>
    <xf numFmtId="187" fontId="165" fillId="27" borderId="0" xfId="138" applyNumberFormat="1" applyFont="1" applyFill="1" applyBorder="1" applyAlignment="1">
      <alignment horizontal="right"/>
    </xf>
    <xf numFmtId="0" fontId="159" fillId="27" borderId="0" xfId="121" applyFont="1" applyFill="1" applyBorder="1" applyAlignment="1">
      <alignment horizontal="left"/>
    </xf>
    <xf numFmtId="9" fontId="159" fillId="27" borderId="0" xfId="138" applyFont="1" applyFill="1" applyBorder="1" applyAlignment="1">
      <alignment horizontal="center"/>
    </xf>
    <xf numFmtId="0" fontId="159" fillId="27" borderId="20" xfId="121" applyFont="1" applyFill="1" applyBorder="1"/>
    <xf numFmtId="0" fontId="159" fillId="27" borderId="20" xfId="121" applyFont="1" applyFill="1" applyBorder="1" applyAlignment="1">
      <alignment horizontal="center"/>
    </xf>
    <xf numFmtId="187" fontId="159" fillId="27" borderId="20" xfId="138" applyNumberFormat="1" applyFont="1" applyFill="1" applyBorder="1" applyAlignment="1">
      <alignment horizontal="right"/>
    </xf>
    <xf numFmtId="0" fontId="166" fillId="27" borderId="0" xfId="121" applyFont="1" applyFill="1"/>
    <xf numFmtId="190" fontId="159" fillId="27" borderId="0" xfId="121" applyNumberFormat="1" applyFont="1" applyFill="1"/>
    <xf numFmtId="0" fontId="165" fillId="27" borderId="20" xfId="121" applyFont="1" applyFill="1" applyBorder="1" applyAlignment="1"/>
    <xf numFmtId="37" fontId="159" fillId="27" borderId="0" xfId="121" applyNumberFormat="1" applyFont="1" applyFill="1" applyBorder="1" applyAlignment="1"/>
    <xf numFmtId="175" fontId="159" fillId="27" borderId="0" xfId="121" applyNumberFormat="1" applyFont="1" applyFill="1" applyBorder="1" applyAlignment="1">
      <alignment horizontal="right"/>
    </xf>
    <xf numFmtId="175" fontId="159" fillId="27" borderId="0" xfId="121" applyNumberFormat="1" applyFont="1" applyFill="1" applyBorder="1"/>
    <xf numFmtId="175" fontId="159" fillId="27" borderId="0" xfId="121" applyNumberFormat="1" applyFont="1" applyFill="1" applyBorder="1" applyAlignment="1">
      <alignment horizontal="center"/>
    </xf>
    <xf numFmtId="3" fontId="159" fillId="27" borderId="0" xfId="121" applyNumberFormat="1" applyFont="1" applyFill="1" applyBorder="1" applyAlignment="1"/>
    <xf numFmtId="9" fontId="159" fillId="27" borderId="0" xfId="121" applyNumberFormat="1" applyFont="1" applyFill="1" applyBorder="1" applyAlignment="1">
      <alignment horizontal="center"/>
    </xf>
    <xf numFmtId="9" fontId="159" fillId="27" borderId="0" xfId="138" applyFont="1" applyFill="1" applyBorder="1" applyAlignment="1"/>
    <xf numFmtId="170" fontId="159" fillId="27" borderId="0" xfId="121" applyNumberFormat="1" applyFont="1" applyFill="1" applyBorder="1" applyAlignment="1">
      <alignment horizontal="right"/>
    </xf>
    <xf numFmtId="0" fontId="159" fillId="27" borderId="0" xfId="121" applyFont="1" applyFill="1" applyAlignment="1"/>
    <xf numFmtId="168" fontId="159" fillId="27" borderId="0" xfId="121" applyNumberFormat="1" applyFont="1" applyFill="1" applyBorder="1" applyAlignment="1"/>
    <xf numFmtId="168" fontId="159" fillId="27" borderId="0" xfId="138" applyNumberFormat="1" applyFont="1" applyFill="1" applyBorder="1"/>
    <xf numFmtId="171" fontId="159" fillId="27" borderId="0" xfId="121" applyNumberFormat="1" applyFont="1" applyFill="1" applyBorder="1" applyAlignment="1">
      <alignment horizontal="center"/>
    </xf>
    <xf numFmtId="168" fontId="159" fillId="27" borderId="0" xfId="138" applyNumberFormat="1" applyFont="1" applyFill="1" applyBorder="1" applyAlignment="1"/>
    <xf numFmtId="10" fontId="159" fillId="27" borderId="0" xfId="138" applyNumberFormat="1" applyFont="1" applyFill="1" applyBorder="1" applyAlignment="1"/>
    <xf numFmtId="0" fontId="161" fillId="27" borderId="0" xfId="121" applyFont="1" applyFill="1" applyBorder="1" applyAlignment="1"/>
    <xf numFmtId="0" fontId="125" fillId="27" borderId="0" xfId="121" applyFont="1" applyFill="1" applyBorder="1" applyAlignment="1"/>
    <xf numFmtId="0" fontId="125" fillId="27" borderId="0" xfId="121" applyFont="1" applyFill="1" applyAlignment="1"/>
    <xf numFmtId="170" fontId="125" fillId="27" borderId="0" xfId="121" applyNumberFormat="1" applyFont="1" applyFill="1"/>
    <xf numFmtId="170" fontId="125" fillId="27" borderId="0" xfId="121" applyNumberFormat="1" applyFont="1" applyFill="1" applyAlignment="1">
      <alignment horizontal="right"/>
    </xf>
    <xf numFmtId="170" fontId="125" fillId="27" borderId="0" xfId="121" applyNumberFormat="1" applyFont="1" applyFill="1" applyBorder="1"/>
    <xf numFmtId="0" fontId="161" fillId="27" borderId="21" xfId="121" applyFont="1" applyFill="1" applyBorder="1" applyAlignment="1"/>
    <xf numFmtId="170" fontId="125" fillId="27" borderId="0" xfId="121" applyNumberFormat="1" applyFont="1" applyFill="1" applyBorder="1" applyAlignment="1">
      <alignment horizontal="right"/>
    </xf>
    <xf numFmtId="170" fontId="159" fillId="27" borderId="0" xfId="121" applyNumberFormat="1" applyFont="1" applyFill="1" applyBorder="1" applyAlignment="1"/>
    <xf numFmtId="0" fontId="165" fillId="27" borderId="0" xfId="126" applyFont="1" applyFill="1" applyBorder="1" applyAlignment="1"/>
    <xf numFmtId="171" fontId="163" fillId="27" borderId="0" xfId="121" applyNumberFormat="1" applyFont="1" applyFill="1" applyBorder="1" applyAlignment="1">
      <alignment horizontal="right"/>
    </xf>
    <xf numFmtId="0" fontId="159" fillId="27" borderId="0" xfId="121" applyFont="1" applyFill="1" applyBorder="1" applyAlignment="1">
      <alignment horizontal="left" indent="1"/>
    </xf>
    <xf numFmtId="0" fontId="159" fillId="27" borderId="0" xfId="126" applyFont="1" applyFill="1" applyBorder="1" applyAlignment="1"/>
    <xf numFmtId="170" fontId="159" fillId="27" borderId="20" xfId="121" applyNumberFormat="1" applyFont="1" applyFill="1" applyBorder="1" applyAlignment="1"/>
    <xf numFmtId="171" fontId="159" fillId="27" borderId="20" xfId="121" applyNumberFormat="1" applyFont="1" applyFill="1" applyBorder="1" applyAlignment="1"/>
    <xf numFmtId="0" fontId="125" fillId="27" borderId="0" xfId="126" applyFont="1" applyFill="1" applyAlignment="1"/>
    <xf numFmtId="0" fontId="167" fillId="27" borderId="0" xfId="121" applyFont="1" applyFill="1" applyAlignment="1">
      <alignment horizontal="left"/>
    </xf>
    <xf numFmtId="0" fontId="163" fillId="27" borderId="0" xfId="121" applyFont="1" applyFill="1"/>
    <xf numFmtId="0" fontId="163" fillId="27" borderId="0" xfId="121" applyFont="1" applyFill="1" applyAlignment="1"/>
    <xf numFmtId="0" fontId="163" fillId="27" borderId="0" xfId="121" applyFont="1" applyFill="1" applyBorder="1" applyAlignment="1"/>
    <xf numFmtId="171" fontId="163" fillId="27" borderId="0" xfId="121" applyNumberFormat="1" applyFont="1" applyFill="1" applyBorder="1" applyAlignment="1"/>
    <xf numFmtId="0" fontId="167" fillId="27" borderId="0" xfId="121" applyFont="1" applyFill="1"/>
    <xf numFmtId="0" fontId="125" fillId="27" borderId="0" xfId="121" applyFont="1" applyFill="1" applyAlignment="1">
      <alignment horizontal="right"/>
    </xf>
    <xf numFmtId="0" fontId="125" fillId="27" borderId="0" xfId="121" applyFont="1" applyFill="1" applyBorder="1" applyAlignment="1">
      <alignment horizontal="right"/>
    </xf>
    <xf numFmtId="2" fontId="159" fillId="27" borderId="0" xfId="121" applyNumberFormat="1" applyFont="1" applyFill="1" applyAlignment="1"/>
    <xf numFmtId="2" fontId="159" fillId="27" borderId="0" xfId="121" applyNumberFormat="1" applyFont="1" applyFill="1" applyBorder="1" applyAlignment="1"/>
    <xf numFmtId="0" fontId="168" fillId="27" borderId="0" xfId="121" applyFont="1" applyFill="1" applyAlignment="1">
      <alignment horizontal="right"/>
    </xf>
    <xf numFmtId="170" fontId="165" fillId="27" borderId="0" xfId="121" applyNumberFormat="1" applyFont="1" applyFill="1" applyBorder="1" applyAlignment="1"/>
    <xf numFmtId="171" fontId="165" fillId="27" borderId="0" xfId="121" applyNumberFormat="1" applyFont="1" applyFill="1" applyBorder="1" applyAlignment="1"/>
    <xf numFmtId="0" fontId="165" fillId="27" borderId="0" xfId="121" applyFont="1" applyFill="1"/>
    <xf numFmtId="187" fontId="165" fillId="27" borderId="0" xfId="121" applyNumberFormat="1" applyFont="1" applyFill="1" applyBorder="1" applyAlignment="1"/>
    <xf numFmtId="168" fontId="165" fillId="27" borderId="0" xfId="138" applyNumberFormat="1" applyFont="1" applyFill="1" applyBorder="1" applyAlignment="1"/>
    <xf numFmtId="168" fontId="159" fillId="27" borderId="0" xfId="138" applyNumberFormat="1" applyFont="1" applyFill="1" applyBorder="1" applyAlignment="1">
      <alignment horizontal="center"/>
    </xf>
    <xf numFmtId="174" fontId="159" fillId="27" borderId="0" xfId="121" applyNumberFormat="1" applyFont="1" applyFill="1" applyBorder="1" applyAlignment="1">
      <alignment horizontal="right"/>
    </xf>
    <xf numFmtId="187" fontId="159" fillId="27" borderId="4" xfId="121" applyNumberFormat="1" applyFont="1" applyFill="1" applyBorder="1" applyAlignment="1"/>
    <xf numFmtId="0" fontId="159" fillId="27" borderId="20" xfId="121" applyFont="1" applyFill="1" applyBorder="1" applyAlignment="1">
      <alignment horizontal="left"/>
    </xf>
    <xf numFmtId="187" fontId="159" fillId="27" borderId="20" xfId="121" applyNumberFormat="1" applyFont="1" applyFill="1" applyBorder="1" applyAlignment="1"/>
    <xf numFmtId="0" fontId="159" fillId="27" borderId="0" xfId="126" applyFont="1" applyFill="1" applyBorder="1"/>
    <xf numFmtId="185" fontId="165" fillId="27" borderId="0" xfId="121" applyNumberFormat="1" applyFont="1" applyFill="1" applyBorder="1" applyAlignment="1">
      <alignment horizontal="right"/>
    </xf>
    <xf numFmtId="174" fontId="165" fillId="27" borderId="0" xfId="121" applyNumberFormat="1" applyFont="1" applyFill="1" applyBorder="1" applyAlignment="1">
      <alignment horizontal="right"/>
    </xf>
    <xf numFmtId="168" fontId="165" fillId="27" borderId="0" xfId="138" applyNumberFormat="1" applyFont="1" applyFill="1" applyBorder="1" applyAlignment="1">
      <alignment horizontal="right"/>
    </xf>
    <xf numFmtId="168" fontId="159" fillId="27" borderId="0" xfId="121" applyNumberFormat="1" applyFont="1" applyFill="1" applyBorder="1" applyAlignment="1">
      <alignment horizontal="right"/>
    </xf>
    <xf numFmtId="171" fontId="159" fillId="27" borderId="0" xfId="138" applyNumberFormat="1" applyFont="1" applyFill="1" applyBorder="1" applyAlignment="1"/>
    <xf numFmtId="1" fontId="159" fillId="27" borderId="0" xfId="121" applyNumberFormat="1" applyFont="1" applyFill="1" applyBorder="1" applyAlignment="1"/>
    <xf numFmtId="171" fontId="163" fillId="27" borderId="0" xfId="138" applyNumberFormat="1" applyFont="1" applyFill="1" applyBorder="1" applyAlignment="1"/>
    <xf numFmtId="174" fontId="159" fillId="27" borderId="0" xfId="121" applyNumberFormat="1" applyFont="1" applyFill="1" applyBorder="1" applyAlignment="1">
      <alignment horizontal="left"/>
    </xf>
    <xf numFmtId="174" fontId="159" fillId="27" borderId="0" xfId="121" applyNumberFormat="1" applyFont="1" applyFill="1" applyBorder="1" applyAlignment="1">
      <alignment horizontal="center"/>
    </xf>
    <xf numFmtId="3" fontId="163" fillId="27" borderId="0" xfId="121" applyNumberFormat="1" applyFont="1" applyFill="1" applyBorder="1" applyAlignment="1"/>
    <xf numFmtId="0" fontId="125" fillId="27" borderId="20" xfId="121" applyFont="1" applyFill="1" applyBorder="1" applyAlignment="1"/>
    <xf numFmtId="170" fontId="125" fillId="27" borderId="20" xfId="121" applyNumberFormat="1" applyFont="1" applyFill="1" applyBorder="1"/>
    <xf numFmtId="170" fontId="125" fillId="27" borderId="20" xfId="121" applyNumberFormat="1" applyFont="1" applyFill="1" applyBorder="1" applyAlignment="1">
      <alignment horizontal="right"/>
    </xf>
    <xf numFmtId="0" fontId="159" fillId="27" borderId="19" xfId="121" applyFont="1" applyFill="1" applyBorder="1" applyAlignment="1"/>
    <xf numFmtId="9" fontId="159" fillId="27" borderId="0" xfId="138" applyNumberFormat="1" applyFont="1" applyFill="1" applyBorder="1" applyAlignment="1"/>
    <xf numFmtId="171" fontId="159" fillId="27" borderId="0" xfId="121" applyNumberFormat="1" applyFont="1" applyFill="1" applyAlignment="1"/>
    <xf numFmtId="0" fontId="159" fillId="27" borderId="0" xfId="121" applyFont="1" applyFill="1" applyAlignment="1">
      <alignment horizontal="right"/>
    </xf>
    <xf numFmtId="171" fontId="159" fillId="27" borderId="0" xfId="121" applyNumberFormat="1" applyFont="1" applyFill="1" applyAlignment="1">
      <alignment horizontal="right"/>
    </xf>
    <xf numFmtId="194" fontId="159" fillId="27" borderId="0" xfId="121" applyNumberFormat="1" applyFont="1" applyFill="1" applyBorder="1" applyAlignment="1">
      <alignment horizontal="right"/>
    </xf>
    <xf numFmtId="167" fontId="159" fillId="27" borderId="0" xfId="150" applyNumberFormat="1" applyFont="1" applyFill="1" applyAlignment="1"/>
    <xf numFmtId="178" fontId="159" fillId="27" borderId="0" xfId="150" applyNumberFormat="1" applyFont="1" applyFill="1" applyAlignment="1"/>
    <xf numFmtId="187" fontId="125" fillId="27" borderId="0" xfId="121" applyNumberFormat="1" applyFont="1" applyFill="1"/>
    <xf numFmtId="176" fontId="159" fillId="27" borderId="0" xfId="121" applyNumberFormat="1" applyFont="1" applyFill="1" applyBorder="1" applyAlignment="1"/>
    <xf numFmtId="171" fontId="159" fillId="27" borderId="0" xfId="126" applyNumberFormat="1" applyFont="1" applyFill="1" applyAlignment="1"/>
    <xf numFmtId="0" fontId="164" fillId="27" borderId="20" xfId="121" applyFont="1" applyFill="1" applyBorder="1"/>
    <xf numFmtId="171" fontId="159" fillId="27" borderId="4" xfId="121" applyNumberFormat="1" applyFont="1" applyFill="1" applyBorder="1" applyAlignment="1"/>
    <xf numFmtId="191" fontId="159" fillId="27" borderId="0" xfId="121" applyNumberFormat="1" applyFont="1" applyFill="1" applyBorder="1" applyAlignment="1"/>
    <xf numFmtId="171" fontId="159" fillId="27" borderId="0" xfId="150" applyNumberFormat="1" applyFont="1" applyFill="1" applyBorder="1" applyAlignment="1"/>
    <xf numFmtId="168" fontId="159" fillId="27" borderId="0" xfId="138" applyNumberFormat="1" applyFont="1" applyFill="1" applyAlignment="1"/>
    <xf numFmtId="192" fontId="159" fillId="27" borderId="0" xfId="150" applyNumberFormat="1" applyFont="1" applyFill="1" applyBorder="1" applyAlignment="1"/>
    <xf numFmtId="171" fontId="165" fillId="27" borderId="0" xfId="121" applyNumberFormat="1" applyFont="1" applyFill="1" applyBorder="1" applyAlignment="1">
      <alignment horizontal="center"/>
    </xf>
    <xf numFmtId="37" fontId="159" fillId="27" borderId="0" xfId="150" applyNumberFormat="1" applyFont="1" applyFill="1" applyBorder="1" applyAlignment="1"/>
    <xf numFmtId="37" fontId="159" fillId="27" borderId="0" xfId="121" applyNumberFormat="1" applyFont="1" applyFill="1" applyAlignment="1"/>
    <xf numFmtId="0" fontId="125" fillId="27" borderId="19" xfId="121" applyFont="1" applyFill="1" applyBorder="1" applyAlignment="1">
      <alignment horizontal="right"/>
    </xf>
    <xf numFmtId="10" fontId="159" fillId="27" borderId="0" xfId="121" applyNumberFormat="1" applyFont="1" applyFill="1" applyBorder="1" applyAlignment="1"/>
    <xf numFmtId="10" fontId="159" fillId="27" borderId="0" xfId="121" applyNumberFormat="1" applyFont="1" applyFill="1" applyBorder="1" applyAlignment="1">
      <alignment horizontal="right"/>
    </xf>
    <xf numFmtId="0" fontId="159" fillId="27" borderId="0" xfId="121" applyFont="1" applyFill="1" applyAlignment="1">
      <alignment horizontal="left"/>
    </xf>
    <xf numFmtId="187" fontId="33" fillId="30" borderId="25" xfId="138" applyNumberFormat="1" applyFont="1" applyFill="1" applyBorder="1" applyAlignment="1">
      <alignment horizontal="right"/>
    </xf>
    <xf numFmtId="171" fontId="169" fillId="27" borderId="0" xfId="0" applyNumberFormat="1" applyFont="1" applyFill="1" applyBorder="1" applyAlignment="1">
      <alignment horizontal="right"/>
    </xf>
    <xf numFmtId="171" fontId="170" fillId="27" borderId="0" xfId="0" applyNumberFormat="1" applyFont="1" applyFill="1" applyBorder="1" applyAlignment="1">
      <alignment horizontal="right"/>
    </xf>
    <xf numFmtId="218" fontId="170" fillId="27" borderId="0" xfId="133" applyNumberFormat="1" applyFont="1" applyFill="1" applyBorder="1"/>
    <xf numFmtId="2" fontId="170" fillId="27" borderId="0" xfId="133" applyNumberFormat="1" applyFont="1" applyFill="1" applyBorder="1"/>
    <xf numFmtId="205" fontId="170" fillId="27" borderId="0" xfId="133" applyNumberFormat="1" applyFont="1" applyFill="1" applyBorder="1"/>
    <xf numFmtId="9" fontId="170" fillId="27" borderId="0" xfId="133" applyFont="1" applyFill="1" applyBorder="1" applyAlignment="1">
      <alignment horizontal="right"/>
    </xf>
    <xf numFmtId="10" fontId="170" fillId="27" borderId="0" xfId="133" applyNumberFormat="1" applyFont="1" applyFill="1" applyBorder="1" applyAlignment="1">
      <alignment horizontal="right"/>
    </xf>
    <xf numFmtId="171" fontId="31" fillId="31" borderId="25" xfId="121" applyNumberFormat="1" applyFont="1" applyFill="1" applyBorder="1" applyAlignment="1">
      <alignment horizontal="right"/>
    </xf>
    <xf numFmtId="171" fontId="171" fillId="27" borderId="25" xfId="121" applyNumberFormat="1" applyFont="1" applyFill="1" applyBorder="1" applyAlignment="1">
      <alignment horizontal="right"/>
    </xf>
    <xf numFmtId="170" fontId="171" fillId="27" borderId="25" xfId="121" applyNumberFormat="1" applyFont="1" applyFill="1" applyBorder="1" applyAlignment="1">
      <alignment horizontal="right"/>
    </xf>
    <xf numFmtId="0" fontId="172" fillId="27" borderId="27" xfId="121" applyFont="1" applyFill="1" applyBorder="1" applyAlignment="1">
      <alignment horizontal="left"/>
    </xf>
    <xf numFmtId="172" fontId="170" fillId="27" borderId="25" xfId="121" applyNumberFormat="1" applyFont="1" applyFill="1" applyBorder="1"/>
    <xf numFmtId="9" fontId="170" fillId="27" borderId="25" xfId="138" applyFont="1" applyFill="1" applyBorder="1"/>
    <xf numFmtId="171" fontId="172" fillId="27" borderId="55" xfId="121" applyNumberFormat="1" applyFont="1" applyFill="1" applyBorder="1" applyAlignment="1">
      <alignment horizontal="right"/>
    </xf>
    <xf numFmtId="171" fontId="33" fillId="31" borderId="55" xfId="121" applyNumberFormat="1" applyFont="1" applyFill="1" applyBorder="1" applyAlignment="1">
      <alignment horizontal="right"/>
    </xf>
    <xf numFmtId="167" fontId="172" fillId="27" borderId="55" xfId="150" applyNumberFormat="1" applyFont="1" applyFill="1" applyBorder="1"/>
    <xf numFmtId="204" fontId="172" fillId="27" borderId="55" xfId="150" applyNumberFormat="1" applyFont="1" applyFill="1" applyBorder="1"/>
    <xf numFmtId="10" fontId="171" fillId="27" borderId="25" xfId="138" applyNumberFormat="1" applyFont="1" applyFill="1" applyBorder="1"/>
    <xf numFmtId="168" fontId="171" fillId="27" borderId="25" xfId="138" applyNumberFormat="1" applyFont="1" applyFill="1" applyBorder="1"/>
    <xf numFmtId="170" fontId="170" fillId="27" borderId="25" xfId="121" applyNumberFormat="1" applyFont="1" applyFill="1" applyBorder="1"/>
    <xf numFmtId="171" fontId="170" fillId="27" borderId="25" xfId="121" applyNumberFormat="1" applyFont="1" applyFill="1" applyBorder="1"/>
    <xf numFmtId="171" fontId="170" fillId="27" borderId="0" xfId="121" applyNumberFormat="1" applyFont="1" applyFill="1" applyAlignment="1">
      <alignment horizontal="left" indent="2"/>
    </xf>
    <xf numFmtId="172" fontId="6" fillId="31" borderId="25" xfId="121" applyNumberFormat="1" applyFont="1" applyFill="1" applyBorder="1"/>
    <xf numFmtId="171" fontId="170" fillId="27" borderId="37" xfId="121" applyNumberFormat="1" applyFont="1" applyFill="1" applyBorder="1"/>
    <xf numFmtId="170" fontId="171" fillId="27" borderId="25" xfId="121" applyNumberFormat="1" applyFont="1" applyFill="1" applyBorder="1"/>
    <xf numFmtId="205" fontId="171" fillId="27" borderId="25" xfId="138" applyNumberFormat="1" applyFont="1" applyFill="1" applyBorder="1" applyAlignment="1">
      <alignment horizontal="right"/>
    </xf>
    <xf numFmtId="173" fontId="171" fillId="27" borderId="25" xfId="121" applyNumberFormat="1" applyFont="1" applyFill="1" applyBorder="1"/>
    <xf numFmtId="178" fontId="172" fillId="27" borderId="55" xfId="150" applyNumberFormat="1" applyFont="1" applyFill="1" applyBorder="1"/>
    <xf numFmtId="171" fontId="171" fillId="27" borderId="27" xfId="121" applyNumberFormat="1" applyFont="1" applyFill="1" applyBorder="1" applyAlignment="1">
      <alignment horizontal="left" indent="2"/>
    </xf>
    <xf numFmtId="171" fontId="6" fillId="31" borderId="25" xfId="121" applyNumberFormat="1" applyFont="1" applyFill="1" applyBorder="1"/>
    <xf numFmtId="0" fontId="11" fillId="28" borderId="64" xfId="0" applyFont="1" applyFill="1" applyBorder="1" applyAlignment="1">
      <alignment wrapText="1"/>
    </xf>
    <xf numFmtId="0" fontId="11" fillId="28" borderId="19" xfId="0" applyFont="1" applyFill="1" applyBorder="1" applyAlignment="1">
      <alignment wrapText="1"/>
    </xf>
    <xf numFmtId="0" fontId="33" fillId="27" borderId="0" xfId="121" applyFont="1" applyFill="1" applyBorder="1" applyAlignment="1">
      <alignment horizontal="center"/>
    </xf>
    <xf numFmtId="0" fontId="3" fillId="27" borderId="68" xfId="0" applyFont="1" applyFill="1" applyBorder="1" applyAlignment="1">
      <alignment horizontal="center"/>
    </xf>
    <xf numFmtId="0" fontId="3" fillId="27" borderId="69" xfId="0" applyFont="1" applyFill="1" applyBorder="1" applyAlignment="1">
      <alignment horizontal="center"/>
    </xf>
    <xf numFmtId="0" fontId="3" fillId="27" borderId="70" xfId="0" applyFont="1" applyFill="1" applyBorder="1" applyAlignment="1">
      <alignment horizontal="center"/>
    </xf>
    <xf numFmtId="0" fontId="4" fillId="27" borderId="0" xfId="0" applyFont="1" applyFill="1" applyBorder="1" applyAlignment="1">
      <alignment horizontal="center"/>
    </xf>
    <xf numFmtId="0" fontId="3" fillId="27" borderId="66" xfId="0" applyFont="1" applyFill="1" applyBorder="1" applyAlignment="1">
      <alignment horizontal="center"/>
    </xf>
    <xf numFmtId="0" fontId="3" fillId="27" borderId="20" xfId="0" applyFont="1" applyFill="1" applyBorder="1" applyAlignment="1">
      <alignment horizontal="center"/>
    </xf>
    <xf numFmtId="0" fontId="3" fillId="27" borderId="67" xfId="0" applyFont="1" applyFill="1" applyBorder="1" applyAlignment="1">
      <alignment horizontal="center"/>
    </xf>
    <xf numFmtId="14" fontId="77" fillId="0" borderId="25" xfId="52" applyNumberFormat="1" applyFont="1" applyBorder="1" applyAlignment="1">
      <alignment horizontal="center"/>
    </xf>
    <xf numFmtId="0" fontId="76" fillId="0" borderId="71" xfId="75" applyFont="1" applyBorder="1" applyAlignment="1">
      <alignment horizontal="center" vertical="center" wrapText="1"/>
    </xf>
    <xf numFmtId="0" fontId="76" fillId="0" borderId="1" xfId="75" applyFont="1" applyBorder="1" applyAlignment="1">
      <alignment horizontal="center" vertical="center"/>
    </xf>
    <xf numFmtId="0" fontId="78" fillId="0" borderId="4" xfId="75" applyFont="1" applyBorder="1" applyAlignment="1">
      <alignment horizontal="center"/>
    </xf>
    <xf numFmtId="0" fontId="78" fillId="0" borderId="4" xfId="75" applyFont="1" applyBorder="1" applyAlignment="1">
      <alignment horizontal="left" vertical="center"/>
    </xf>
  </cellXfs>
  <cellStyles count="154">
    <cellStyle name="__DCF_Buchim_BEVlessNWC_Imp_Mprop_Draft - AK" xfId="1"/>
    <cellStyle name="__DCF_Metachem_BEVlessNWC_Imp_Draft - AK" xfId="2"/>
    <cellStyle name="_PFK SASA EP" xfId="3"/>
    <cellStyle name="_SASA" xfId="4"/>
    <cellStyle name="_Sheet3" xfId="5"/>
    <cellStyle name="20% - Accent1" xfId="6"/>
    <cellStyle name="20% - Accent2" xfId="7"/>
    <cellStyle name="20% - Accent3" xfId="8"/>
    <cellStyle name="20% - Accent4" xfId="9"/>
    <cellStyle name="20% - Accent5" xfId="10"/>
    <cellStyle name="20% - Accent6" xfId="11"/>
    <cellStyle name="20% - Акцент1" xfId="12" builtinId="30" customBuiltin="1"/>
    <cellStyle name="20% - Акцент2" xfId="13" builtinId="34" customBuiltin="1"/>
    <cellStyle name="20% - Акцент3" xfId="14" builtinId="38" customBuiltin="1"/>
    <cellStyle name="20% - Акцент4" xfId="15" builtinId="42" customBuiltin="1"/>
    <cellStyle name="20% - Акцент5" xfId="16" builtinId="46" customBuiltin="1"/>
    <cellStyle name="20% - Акцент6" xfId="17" builtinId="50" customBuiltin="1"/>
    <cellStyle name="40% - Accent1" xfId="18"/>
    <cellStyle name="40% - Accent2" xfId="19"/>
    <cellStyle name="40% - Accent3" xfId="20"/>
    <cellStyle name="40% - Accent4" xfId="21"/>
    <cellStyle name="40% - Accent5" xfId="22"/>
    <cellStyle name="40% - Accent6" xfId="23"/>
    <cellStyle name="40% - Акцент1" xfId="24" builtinId="31" customBuiltin="1"/>
    <cellStyle name="40% - Акцент2" xfId="25" builtinId="35" customBuiltin="1"/>
    <cellStyle name="40% - Акцент3" xfId="26" builtinId="39" customBuiltin="1"/>
    <cellStyle name="40% - Акцент4" xfId="27" builtinId="43" customBuiltin="1"/>
    <cellStyle name="40% - Акцент5" xfId="28" builtinId="47" customBuiltin="1"/>
    <cellStyle name="40% - Акцент6" xfId="29" builtinId="51" customBuiltin="1"/>
    <cellStyle name="60% - Accent1" xfId="30"/>
    <cellStyle name="60% - Accent2" xfId="31"/>
    <cellStyle name="60% - Accent3" xfId="32"/>
    <cellStyle name="60% - Accent4" xfId="33"/>
    <cellStyle name="60% - Accent5" xfId="34"/>
    <cellStyle name="60% - Accent6" xfId="35"/>
    <cellStyle name="60% - Акцент1" xfId="36" builtinId="32" customBuiltin="1"/>
    <cellStyle name="60% - Акцент2" xfId="37" builtinId="36" customBuiltin="1"/>
    <cellStyle name="60% - Акцент3" xfId="38" builtinId="40" customBuiltin="1"/>
    <cellStyle name="60% - Акцент4" xfId="39" builtinId="44" customBuiltin="1"/>
    <cellStyle name="60% - Акцент5" xfId="40" builtinId="48" customBuiltin="1"/>
    <cellStyle name="60% - Акцент6" xfId="41" builtinId="52" customBuiltin="1"/>
    <cellStyle name="Accent1" xfId="42"/>
    <cellStyle name="Accent2" xfId="43"/>
    <cellStyle name="Accent3" xfId="44"/>
    <cellStyle name="Accent4" xfId="45"/>
    <cellStyle name="Accent5" xfId="46"/>
    <cellStyle name="Accent6" xfId="47"/>
    <cellStyle name="Bad" xfId="48"/>
    <cellStyle name="Calculation" xfId="49"/>
    <cellStyle name="Check Cell" xfId="50"/>
    <cellStyle name="Comma [0]_NewERA_Major_Ass_1" xfId="51"/>
    <cellStyle name="Comma 2" xfId="52"/>
    <cellStyle name="Comma 2 2" xfId="53"/>
    <cellStyle name="Comma 3" xfId="54"/>
    <cellStyle name="Comma_0763_Iskitim_DCF_06" xfId="55"/>
    <cellStyle name="Currency 2" xfId="56"/>
    <cellStyle name="E&amp;Y House" xfId="57"/>
    <cellStyle name="Explanatory Text" xfId="58"/>
    <cellStyle name="Good" xfId="59"/>
    <cellStyle name="hard no" xfId="60"/>
    <cellStyle name="hardno" xfId="61"/>
    <cellStyle name="Heading 1" xfId="62"/>
    <cellStyle name="Heading 2" xfId="63"/>
    <cellStyle name="Heading 3" xfId="64"/>
    <cellStyle name="Heading 4" xfId="65"/>
    <cellStyle name="Input" xfId="66"/>
    <cellStyle name="Kilo" xfId="67"/>
    <cellStyle name="Kilo 2" xfId="68"/>
    <cellStyle name="Linked Cell" xfId="69"/>
    <cellStyle name="Millares [0]_FINAL-10" xfId="70"/>
    <cellStyle name="Millares_FINAL-10" xfId="71"/>
    <cellStyle name="Moneda [0]_FINAL-10" xfId="72"/>
    <cellStyle name="Moneda_FINAL-10" xfId="73"/>
    <cellStyle name="Neutral" xfId="74"/>
    <cellStyle name="Normal 2" xfId="75"/>
    <cellStyle name="Normal 2 2" xfId="76"/>
    <cellStyle name="Normal 2 2 2" xfId="77"/>
    <cellStyle name="Normal 3" xfId="78"/>
    <cellStyle name="Normal 4" xfId="79"/>
    <cellStyle name="Normal 5" xfId="80"/>
    <cellStyle name="Normal_~9416077" xfId="81"/>
    <cellStyle name="Normál_DCF_NKMK_08_AO_1" xfId="82"/>
    <cellStyle name="Normal_DCF_Vredest_2" xfId="83"/>
    <cellStyle name="Note" xfId="84"/>
    <cellStyle name="Œ…‹æØ‚è [0.00]_COMPANY" xfId="85"/>
    <cellStyle name="Œ…‹æØ‚è_COMPANY" xfId="86"/>
    <cellStyle name="Output" xfId="87"/>
    <cellStyle name="Percent 2" xfId="88"/>
    <cellStyle name="Percent 2 2" xfId="89"/>
    <cellStyle name="Percent 3" xfId="90"/>
    <cellStyle name="prochrek" xfId="91"/>
    <cellStyle name="Prosent_DS" xfId="92"/>
    <cellStyle name="SubHead" xfId="93"/>
    <cellStyle name="Title" xfId="94"/>
    <cellStyle name="Total" xfId="95"/>
    <cellStyle name="Tusenskille [0]_DS" xfId="96"/>
    <cellStyle name="Tusenskille_DS" xfId="97"/>
    <cellStyle name="Valuta [0]_DS" xfId="98"/>
    <cellStyle name="Valuta_DS" xfId="99"/>
    <cellStyle name="Warning Text" xfId="100"/>
    <cellStyle name="Акцент1" xfId="101" builtinId="29" customBuiltin="1"/>
    <cellStyle name="Акцент2" xfId="102" builtinId="33" customBuiltin="1"/>
    <cellStyle name="Акцент3" xfId="103" builtinId="37" customBuiltin="1"/>
    <cellStyle name="Акцент4" xfId="104" builtinId="41" customBuiltin="1"/>
    <cellStyle name="Акцент5" xfId="105" builtinId="45" customBuiltin="1"/>
    <cellStyle name="Акцент6" xfId="106" builtinId="49" customBuiltin="1"/>
    <cellStyle name="Ввод " xfId="107" builtinId="20" customBuiltin="1"/>
    <cellStyle name="Вывод" xfId="108" builtinId="21" customBuiltin="1"/>
    <cellStyle name="Вычисление" xfId="109" builtinId="22" customBuiltin="1"/>
    <cellStyle name="Заголовок 1" xfId="110" builtinId="16" customBuiltin="1"/>
    <cellStyle name="Заголовок 2" xfId="111" builtinId="17" customBuiltin="1"/>
    <cellStyle name="Заголовок 3" xfId="112" builtinId="18" customBuiltin="1"/>
    <cellStyle name="Заголовок 4" xfId="113" builtinId="19" customBuiltin="1"/>
    <cellStyle name="Итог" xfId="114" builtinId="25" customBuiltin="1"/>
    <cellStyle name="Контрольная ячейка" xfId="115" builtinId="23" customBuiltin="1"/>
    <cellStyle name="Название" xfId="116" builtinId="15" customBuiltin="1"/>
    <cellStyle name="Нейтральный" xfId="117" builtinId="28" customBuiltin="1"/>
    <cellStyle name="Обычный" xfId="0" builtinId="0"/>
    <cellStyle name="Обычный 2" xfId="118"/>
    <cellStyle name="Обычный 3" xfId="119"/>
    <cellStyle name="Обычный 4" xfId="120"/>
    <cellStyle name="Обычный 5" xfId="121"/>
    <cellStyle name="Обычный 5 2" xfId="122"/>
    <cellStyle name="Обычный 6" xfId="123"/>
    <cellStyle name="Обычный 6 2" xfId="124"/>
    <cellStyle name="Обычный_An-124 model 050228" xfId="125"/>
    <cellStyle name="Обычный_An-124 revival finmodel 041015" xfId="126"/>
    <cellStyle name="Обычный_An-124 revival finmodel 041015 2" xfId="127"/>
    <cellStyle name="Обычный_FS 2005-1H2007" xfId="128"/>
    <cellStyle name="Обычный_Копия DCF_STsBK" xfId="129"/>
    <cellStyle name="Плохой" xfId="130" builtinId="27" customBuiltin="1"/>
    <cellStyle name="Пояснение" xfId="131" builtinId="53" customBuiltin="1"/>
    <cellStyle name="Примечание" xfId="132" builtinId="10" customBuiltin="1"/>
    <cellStyle name="Процентный" xfId="133" builtinId="5"/>
    <cellStyle name="Процентный 2" xfId="134"/>
    <cellStyle name="Процентный 2 2" xfId="135"/>
    <cellStyle name="Процентный 3" xfId="136"/>
    <cellStyle name="Процентный 4" xfId="137"/>
    <cellStyle name="Процентный 5" xfId="138"/>
    <cellStyle name="Процентный 6" xfId="139"/>
    <cellStyle name="Процентный 7" xfId="140"/>
    <cellStyle name="Связанная ячейка" xfId="141" builtinId="24" customBuiltin="1"/>
    <cellStyle name="Стиль 1" xfId="142"/>
    <cellStyle name="Текст предупреждения" xfId="143" builtinId="11" customBuiltin="1"/>
    <cellStyle name="Финансовый" xfId="144" builtinId="3"/>
    <cellStyle name="Финансовый 2" xfId="145"/>
    <cellStyle name="Финансовый 2 2" xfId="146"/>
    <cellStyle name="Финансовый 3" xfId="147"/>
    <cellStyle name="Финансовый 4" xfId="148"/>
    <cellStyle name="Финансовый 5" xfId="149"/>
    <cellStyle name="Финансовый 6" xfId="150"/>
    <cellStyle name="Финансовый 7" xfId="151"/>
    <cellStyle name="Финансовый 8" xfId="152"/>
    <cellStyle name="Хороший" xfId="153" builtinId="26" customBuiltin="1"/>
  </cellStyles>
  <dxfs count="7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CC0000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externalLink" Target="externalLinks/externalLink26.xml"/><Relationship Id="rId47" Type="http://schemas.openxmlformats.org/officeDocument/2006/relationships/externalLink" Target="externalLinks/externalLink31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externalLink" Target="externalLinks/externalLink24.xml"/><Relationship Id="rId45" Type="http://schemas.openxmlformats.org/officeDocument/2006/relationships/externalLink" Target="externalLinks/externalLink29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externalLink" Target="externalLinks/externalLink28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externalLink" Target="externalLinks/externalLink27.xml"/><Relationship Id="rId48" Type="http://schemas.openxmlformats.org/officeDocument/2006/relationships/externalLink" Target="externalLinks/externalLink32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externalLink" Target="externalLinks/externalLink30.xml"/><Relationship Id="rId20" Type="http://schemas.openxmlformats.org/officeDocument/2006/relationships/externalLink" Target="externalLinks/externalLink4.xml"/><Relationship Id="rId41" Type="http://schemas.openxmlformats.org/officeDocument/2006/relationships/externalLink" Target="externalLinks/externalLink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49" Type="http://schemas.openxmlformats.org/officeDocument/2006/relationships/externalLink" Target="externalLinks/externalLink3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685800</xdr:colOff>
      <xdr:row>54</xdr:row>
      <xdr:rowOff>114300</xdr:rowOff>
    </xdr:from>
    <xdr:to>
      <xdr:col>24</xdr:col>
      <xdr:colOff>581025</xdr:colOff>
      <xdr:row>56</xdr:row>
      <xdr:rowOff>161925</xdr:rowOff>
    </xdr:to>
    <xdr:pic>
      <xdr:nvPicPr>
        <xdr:cNvPr id="377689" name="Picture 128" descr="Sasa Heade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506450" y="10820400"/>
          <a:ext cx="97155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7985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7986" name="Picture 2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7987" name="Picture 3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7988" name="Picture 11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7989" name="Picture 12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7990" name="Picture 13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8586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8587" name="Picture 2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8588" name="Picture 3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8589" name="Picture 11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8590" name="Picture 12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8591" name="Picture 13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9610" name="Picture 1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9611" name="Picture 2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9612" name="Picture 3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9613" name="Picture 11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9614" name="Picture 12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28575</xdr:colOff>
      <xdr:row>0</xdr:row>
      <xdr:rowOff>0</xdr:rowOff>
    </xdr:from>
    <xdr:to>
      <xdr:col>2</xdr:col>
      <xdr:colOff>200025</xdr:colOff>
      <xdr:row>0</xdr:row>
      <xdr:rowOff>0</xdr:rowOff>
    </xdr:to>
    <xdr:pic>
      <xdr:nvPicPr>
        <xdr:cNvPr id="389615" name="Picture 13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4800" y="0"/>
          <a:ext cx="361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roam.hatch.ca/QtrForecast/2005Q2/Monte%20Carlo%20-%20Power%20(2thirds%20MR)%20Q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entral\Logunova\Documents%20and%20Settings\jeremy.morgan\Local%20Settings\Temporary%20Internet%20Files\OLK8\may04MANACCOUNT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ibelyatski/My%20Documents/_Projects/EvrazRuda/January05/RPacks/RP_blank_test_AS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ibelyatski/My%20Documents/_Projects/BASEL/Reportings/&#1041;&#1062;&#1041;&#1050;_2003_11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Denis/LOCALS~1/Temp/Rar$DI01.188/Solo%20prelim%20model%20061011%20AK%20sen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Denis/LOCALS~1/Temp/Rar$DI01.188/Metachim/Metachim%20prelim%20model%20061011%20AK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Denis/LOCALS~1/Temp/Rar$DI01.188/SASA/SASA%20061018%20D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ODD%20excel1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omex2\bns\Users\SvetlanaNikitina\Desktop\nikitina1\01%20Work\01%20Finance%20raising\Indonesia\Aquila%20Nickel%20FinModel%202010-2025%20projection%2009082010-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3_cf\2_PROJECTS\FY2011\Guatemala\09%20Workings\&#1050;&#1086;&#1087;&#1080;&#1103;%20Solo%20FM%202011-2015%20projection%20v12%20incl%20Fenix%20detailed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Dmitri%20Betaneli/My%20Documents/DEALS/KONFETA%20DEAL/MANAGEMENT%20PRESENTATION/Konfeta%20model%20BP%20050309%20+%204Q20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entral\Logunova\Apr%2004\apr04MANACCOUNTS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ibelyatski/My%20Documents/_Projects/EvrazRuda/January05/FA/FA_FairValueAdj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Dmitri%20Betaneli/My%20Documents/DEALS/FRESH%20DEAL/BP%20FLIGHTS/An-124%20model%2005022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ibelyatski/My%20Documents/_Projects/EvrazRuda/January05/RPacks/RP_Evrazruda_h_fin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roam.hatch.ca/Documents%20and%20Settings/cola40369/Local%20Settings/Temporary%20Internet%20Files/OLK2/Est%20Hrs%20Sum-Procure-Expedite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ccounts\Monthly%20Accounts\April%202003\APR03dload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ccounts\Monthly%20Accounts\April%202003\APR03dload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xim/Desktop/WINNT/Profiles/Betaneli/Local%20Settings/Temporary%20Internet%20Files/Content.IE5/QHJOPKJY/mod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Copy%20of%20Dmitri/Teddy/NAVIGATOR/Client/Korkunov/Product/model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3_cf\Users\SvetlanaNikitina\Desktop\nikitina1\01%20Work\01%20Finance%20raising\EKLN\FENIX%20Cashflow%20Model%2001September2011%20Optimized%20Capex%20$700m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omex2\bns\Users\SvetlanaNikitina\Desktop\nikitina1\01%20Work\01%20Finance%20raising\EKLN\FENIX%20Cashflow%20Model%2001September2011%20Optimized%20Capex%20$700m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roam.hatch.ca/Files/Archives/Weda%20Bay/Models/Z0036%20Model%2005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entral\GAAP\Nina\OAO%20Kalach\2005\&#1054;&#1040;&#1054;%20Kalach%20Transformation%20schedule%202005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aq\data\&#1052;&#1086;&#1080;%20&#1076;&#1086;&#1082;&#1091;&#1084;&#1077;&#1085;&#1090;&#1099;\00.%20&#1057;&#1048;%20&#1055;&#1050;&#1041;\02%20&#1057;&#1048;%20&#1055;&#1050;&#1041;%202002\03.%20&#1041;&#1055;%20&#1055;&#1050;&#1041;%20&#1055;&#1072;&#1088;&#1090;&#1085;&#1077;&#1088;&#1089;&#1090;&#1074;&#1072;\&#1041;&#1102;&#1076;&#1078;&#1077;&#1090;%20&#1055;&#1050;&#1041;%20&#1055;&#1072;&#1088;&#1090;&#1085;&#1077;&#1088;&#1089;&#1074;&#1072;%2004.2002\&#1054;&#1054;&#1054;%20&#1058;&#1044;%20&#1042;&#1052;&#1047;%20&#1050;&#1054;%20&#1073;&#1102;&#1076;&#1078;&#1077;&#1090;%20&#1072;&#1087;&#1088;&#1077;&#1083;&#1100;%202002-14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1052;&#1086;&#1080;%20&#1076;&#1086;&#1082;&#1091;&#1084;&#1077;&#1085;&#1090;&#1099;\&#1048;&#1085;&#1089;&#1090;&#1088;&#1091;&#1082;&#1094;&#1080;&#1080;\&#1040;&#1088;&#1093;&#1080;&#1074;\&#1054;&#1073;&#1086;&#1088;_&#1089;&#1088;_&#1074;&#1072;\BA07_P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2;&#1086;&#1080;%20&#1076;&#1086;&#1082;&#1091;&#1084;&#1077;&#1085;&#1090;&#1099;\&#1048;&#1085;&#1089;&#1090;&#1088;&#1091;&#1082;&#1094;&#1080;&#1080;\&#1040;&#1088;&#1093;&#1080;&#1074;\&#1054;&#1073;&#1086;&#1088;_&#1089;&#1088;_&#1074;&#1072;\BA07_PL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&#1041;&#1102;&#1076;&#1078;&#1077;&#1090;%20&#1092;&#1077;&#1074;&#1088;&#1072;&#1083;&#1103;%201(&#1080;&#1089;&#1087;&#1088;.%20&#1087;&#1086;&#1076;&#1096;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mg.mail.yandex.net/simg/windows/TEMP/&#1041;&#1102;&#1076;&#1078;&#1077;&#1090;%20&#1092;&#1077;&#1074;&#1088;&#1072;&#1083;&#1103;%201(&#1080;&#1089;&#1087;&#1088;.%20&#1087;&#1086;&#1076;&#1096;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Pavel%20Ermolaev\&#1056;&#1072;&#1073;&#1086;&#1095;&#1080;&#1081;%20&#1089;&#1090;&#1086;&#1083;\2008%20Projection\&#1050;&#1086;&#1087;&#1080;&#1103;%20Solo%20FM%202008%20projection%20(Olga)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entral\Logunova\Documents%20and%20Settings\logunova\Local%20Settings\Temporary%20Internet%20Files\OLK4\&#1056;&#1077;&#1079;&#1077;&#1088;&#1074;&#1099;-%20I-06-2004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aq\data\&#1052;&#1086;&#1080;%20&#1076;&#1086;&#1082;&#1091;&#1084;&#1077;&#1085;&#1090;&#1099;\00.%20&#1057;&#1048;%20&#1055;&#1050;&#1041;\02%20&#1057;&#1048;%20&#1055;&#1050;&#1041;%202002\03.%20&#1041;&#1055;%20&#1055;&#1050;&#1041;%20&#1055;&#1072;&#1088;&#1090;&#1085;&#1077;&#1088;&#1089;&#1090;&#1074;&#1072;\&#1041;&#1102;&#1076;&#1078;&#1077;&#1090;%20&#1055;&#1050;&#1041;%20&#1055;&#1072;&#1088;&#1090;&#1085;&#1077;&#1088;&#1089;&#1074;&#1072;%2005.2002\&#1047;&#1072;&#1075;&#1088;&#1091;&#1079;&#1082;&#1072;%20%20&#1084;&#1072;&#1103;%20%202002&#1075;%20NL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aq\data\Data\&#1044;&#1080;&#1088;&#1077;&#1082;&#1094;&#1080;&#1103;%20&#1087;&#1086;%20&#1101;&#1082;&#1086;&#1085;&#1086;&#1084;&#1080;&#1082;&#1077;%20&#1080;%20&#1092;&#1080;&#1085;&#1072;&#1085;&#1089;&#1072;&#1084;\&#1054;&#1090;&#1076;&#1077;&#1083;%20&#1090;&#1077;&#1082;&#1091;&#1097;&#1077;&#1075;&#1086;%20&#1087;&#1083;&#1072;&#1085;&#1080;&#1088;&#1086;&#1074;&#1072;&#1085;&#1080;&#1103;\&#1051;&#1080;&#1095;&#1085;&#1099;&#1077;\&#1052;&#1086;&#1080;&#1089;&#1077;&#1077;&#1074;&#1072;%20&#1070;.&#1042;\&#1043;&#1088;&#1072;&#1092;&#1080;&#1082;&#1080;%20&#1076;&#1083;&#1103;%20&#1044;.&#1057;\&#1056;&#1077;&#1077;&#1089;&#1090;&#1088;%20&#1086;&#1090;&#1082;&#1088;&#1099;&#1090;&#1099;&#1093;%20&#1088;&#1072;&#1089;&#1087;&#1086;&#1088;&#1103;&#1078;&#1077;&#1085;&#1080;&#1081;%202002&#1075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MC"/>
      <sheetName val="Output"/>
      <sheetName val="Template"/>
      <sheetName val="California North"/>
      <sheetName val="California South"/>
      <sheetName val="ERCOT"/>
      <sheetName val="Mid-Atlantic PJM West"/>
      <sheetName val="Mid-West Cinergy"/>
      <sheetName val="Mid-West Comed"/>
      <sheetName val="Northeast Mass Hub"/>
      <sheetName val="Northeast Zone A"/>
      <sheetName val="Northeast Zone G"/>
      <sheetName val="Northeast Zone J"/>
      <sheetName val="Northwest Mid-C"/>
      <sheetName val="Southeast Entergy"/>
      <sheetName val="Southeast TVA"/>
      <sheetName val="Southwest Palo Verde"/>
      <sheetName val="Cht_California North"/>
      <sheetName val="Cht_California South"/>
      <sheetName val="Cht_ERCOT"/>
      <sheetName val="Cht_Mid-Atlantic PJM West"/>
      <sheetName val="Cht_Mid-West Cinergy"/>
      <sheetName val="Cht_Mid-West Comed"/>
      <sheetName val="Cht_Northeast Mass Hub"/>
      <sheetName val="Cht_Northeast Zone A"/>
      <sheetName val="Cht_Northeast Zone G"/>
      <sheetName val="Cht_Northeast Zone J"/>
      <sheetName val="Cht_Northwest Mid-C"/>
      <sheetName val="Cht_Southeast Entergy"/>
      <sheetName val="Cht_Southeast TVA"/>
      <sheetName val="Cht_Southwest Palo Verde"/>
    </sheetNames>
    <sheetDataSet>
      <sheetData sheetId="0">
        <row r="3">
          <cell r="B3" t="str">
            <v>California North</v>
          </cell>
          <cell r="C3" t="str">
            <v>California South</v>
          </cell>
          <cell r="D3" t="str">
            <v>ERCOT</v>
          </cell>
          <cell r="E3" t="str">
            <v>Mid-Atlantic PJM West</v>
          </cell>
          <cell r="F3" t="str">
            <v>Mid-West Cinergy</v>
          </cell>
          <cell r="G3" t="str">
            <v>Mid-West Comed</v>
          </cell>
          <cell r="H3" t="str">
            <v>Northeast Mass Hub</v>
          </cell>
          <cell r="I3" t="str">
            <v>Northeast Zone A</v>
          </cell>
          <cell r="J3" t="str">
            <v>Northeast Zone G</v>
          </cell>
          <cell r="K3" t="str">
            <v>Northeast Zone J</v>
          </cell>
          <cell r="L3" t="str">
            <v>Northwest Mid-C</v>
          </cell>
          <cell r="M3" t="str">
            <v>Southeast Entergy</v>
          </cell>
          <cell r="N3" t="str">
            <v>Southeast TVA</v>
          </cell>
          <cell r="O3" t="str">
            <v>Southwest Palo Verde</v>
          </cell>
          <cell r="P3" t="str">
            <v>SPP North</v>
          </cell>
        </row>
        <row r="4">
          <cell r="B4" t="str">
            <v>$/MWh</v>
          </cell>
          <cell r="C4" t="str">
            <v>$/MWh</v>
          </cell>
          <cell r="D4" t="str">
            <v>$/MWh</v>
          </cell>
          <cell r="E4" t="str">
            <v>$/MWh</v>
          </cell>
          <cell r="F4" t="str">
            <v>$/MWh</v>
          </cell>
          <cell r="G4" t="str">
            <v>$/MWh</v>
          </cell>
          <cell r="H4" t="str">
            <v>$/MWh</v>
          </cell>
          <cell r="I4" t="str">
            <v>$/MWh</v>
          </cell>
          <cell r="J4" t="str">
            <v>$/MWh</v>
          </cell>
          <cell r="K4" t="str">
            <v>$/MWh</v>
          </cell>
          <cell r="L4" t="str">
            <v>$/MWh</v>
          </cell>
          <cell r="M4" t="str">
            <v>$/MWh</v>
          </cell>
          <cell r="N4" t="str">
            <v>$/MWh</v>
          </cell>
          <cell r="O4" t="str">
            <v>$/MWh</v>
          </cell>
          <cell r="P4" t="str">
            <v>$/MWh</v>
          </cell>
        </row>
        <row r="5">
          <cell r="C5">
            <v>38473</v>
          </cell>
        </row>
        <row r="6">
          <cell r="C6">
            <v>0.5</v>
          </cell>
        </row>
        <row r="7">
          <cell r="C7">
            <v>0.9</v>
          </cell>
        </row>
        <row r="8">
          <cell r="C8">
            <v>0.98</v>
          </cell>
        </row>
        <row r="9">
          <cell r="C9">
            <v>5000</v>
          </cell>
        </row>
        <row r="15">
          <cell r="B15">
            <v>1.5933145230578782</v>
          </cell>
          <cell r="C15">
            <v>1.5507183994511959</v>
          </cell>
          <cell r="D15">
            <v>1.1741575538651119</v>
          </cell>
          <cell r="E15">
            <v>2.3616768049006946</v>
          </cell>
          <cell r="F15">
            <v>3.0561561916164415</v>
          </cell>
          <cell r="G15">
            <v>3.03137689198577</v>
          </cell>
          <cell r="H15">
            <v>2.9893475713501148</v>
          </cell>
          <cell r="I15">
            <v>1.6579861593727705</v>
          </cell>
          <cell r="J15">
            <v>2.3355374662045922</v>
          </cell>
          <cell r="K15">
            <v>1.9851977998252628</v>
          </cell>
          <cell r="L15">
            <v>1.8064692635447899</v>
          </cell>
          <cell r="M15">
            <v>2.2962008870692427</v>
          </cell>
          <cell r="N15">
            <v>3.0044172297894294</v>
          </cell>
          <cell r="O15">
            <v>1.687592564695596</v>
          </cell>
          <cell r="P15">
            <v>2.461024954526061</v>
          </cell>
        </row>
        <row r="16">
          <cell r="B16">
            <v>1.7343773366207189</v>
          </cell>
          <cell r="C16">
            <v>1.9602852884323545</v>
          </cell>
          <cell r="D16">
            <v>1.0872408394619093</v>
          </cell>
          <cell r="E16">
            <v>2.0677495835194168</v>
          </cell>
          <cell r="F16">
            <v>2.6568987905586621</v>
          </cell>
          <cell r="G16">
            <v>2.4859662432831713</v>
          </cell>
          <cell r="H16">
            <v>2.0337414199934085</v>
          </cell>
          <cell r="I16">
            <v>1.5277946787230834</v>
          </cell>
          <cell r="J16">
            <v>1.6204676501139115</v>
          </cell>
          <cell r="K16">
            <v>1.3583454793387497</v>
          </cell>
          <cell r="L16">
            <v>2.0272007319490246</v>
          </cell>
          <cell r="M16">
            <v>2.124011480509806</v>
          </cell>
          <cell r="N16">
            <v>2.696786763955477</v>
          </cell>
          <cell r="O16">
            <v>2.0223058372115577</v>
          </cell>
          <cell r="P16">
            <v>4.1934099979849337</v>
          </cell>
        </row>
        <row r="17">
          <cell r="B17">
            <v>2.1128326973788245</v>
          </cell>
          <cell r="C17">
            <v>2.2658868681381437</v>
          </cell>
          <cell r="D17">
            <v>0.93304798424869106</v>
          </cell>
          <cell r="E17">
            <v>1.845012628660718</v>
          </cell>
          <cell r="F17">
            <v>2.5589837693458586</v>
          </cell>
          <cell r="G17">
            <v>2.4180679089103672</v>
          </cell>
          <cell r="H17">
            <v>1.1975377700265049</v>
          </cell>
          <cell r="I17">
            <v>1.2501603878175611</v>
          </cell>
          <cell r="J17">
            <v>1.2079177580209965</v>
          </cell>
          <cell r="K17">
            <v>1.3834141307970187</v>
          </cell>
          <cell r="L17">
            <v>2.2026558188253804</v>
          </cell>
          <cell r="M17">
            <v>1.3855097005689854</v>
          </cell>
          <cell r="N17">
            <v>2.4949840231033558</v>
          </cell>
          <cell r="O17">
            <v>1.6180732609127795</v>
          </cell>
          <cell r="P17">
            <v>1.7000010474114422</v>
          </cell>
        </row>
        <row r="18">
          <cell r="B18">
            <v>1.4892211231220627</v>
          </cell>
          <cell r="C18">
            <v>1.716810129183983</v>
          </cell>
          <cell r="D18">
            <v>0.96414025621633748</v>
          </cell>
          <cell r="E18">
            <v>2.5887569712873857</v>
          </cell>
          <cell r="F18">
            <v>2.5450872391050354</v>
          </cell>
          <cell r="G18">
            <v>2.3624465302108462</v>
          </cell>
          <cell r="H18">
            <v>1.3031551438096662</v>
          </cell>
          <cell r="I18">
            <v>1.5362736633790006</v>
          </cell>
          <cell r="J18">
            <v>1.5350261677692216</v>
          </cell>
          <cell r="K18">
            <v>1.5730836352340094</v>
          </cell>
          <cell r="L18">
            <v>2.1614840852557888</v>
          </cell>
          <cell r="M18">
            <v>1.5810676133449963</v>
          </cell>
          <cell r="N18">
            <v>2.3006509000811515</v>
          </cell>
          <cell r="O18">
            <v>1.4922389156760736</v>
          </cell>
          <cell r="P18">
            <v>3.8436945896884165</v>
          </cell>
        </row>
        <row r="19">
          <cell r="B19">
            <v>3.8689884599356743</v>
          </cell>
          <cell r="C19">
            <v>4.2921154783225051</v>
          </cell>
          <cell r="D19">
            <v>1.2799444195958747</v>
          </cell>
          <cell r="E19">
            <v>3.1210157762458701</v>
          </cell>
          <cell r="F19">
            <v>3.6572764662017812</v>
          </cell>
          <cell r="G19">
            <v>3.5189195698332498</v>
          </cell>
          <cell r="H19">
            <v>4.0733568129003848</v>
          </cell>
          <cell r="I19">
            <v>1.9954260404255488</v>
          </cell>
          <cell r="J19">
            <v>1.1315285815404568</v>
          </cell>
          <cell r="K19">
            <v>1.3255425680236301</v>
          </cell>
          <cell r="L19">
            <v>4.0920122091510827</v>
          </cell>
          <cell r="M19">
            <v>1.8202676337193386</v>
          </cell>
          <cell r="N19">
            <v>3.2508345058571986</v>
          </cell>
          <cell r="O19">
            <v>1.4949281489313782</v>
          </cell>
          <cell r="P19">
            <v>4.1100688316863989</v>
          </cell>
        </row>
        <row r="20">
          <cell r="B20">
            <v>3.5813482982443929</v>
          </cell>
          <cell r="C20">
            <v>3.5766770973087589</v>
          </cell>
          <cell r="D20">
            <v>1.0967918250430346</v>
          </cell>
          <cell r="E20">
            <v>4.0859045068248685</v>
          </cell>
          <cell r="F20">
            <v>4.3291281638849011</v>
          </cell>
          <cell r="G20">
            <v>4.1668075777430857</v>
          </cell>
          <cell r="H20">
            <v>3.7378633879145022</v>
          </cell>
          <cell r="I20">
            <v>3.3586812795728833</v>
          </cell>
          <cell r="J20">
            <v>3.5840479654237813</v>
          </cell>
          <cell r="K20">
            <v>2.285942641874954</v>
          </cell>
          <cell r="L20">
            <v>5.126026745743089</v>
          </cell>
          <cell r="M20">
            <v>1.5367301196680818</v>
          </cell>
          <cell r="N20">
            <v>3.2198624582533015</v>
          </cell>
          <cell r="O20">
            <v>1.6466092303461031</v>
          </cell>
          <cell r="P20">
            <v>7.7729527767766609</v>
          </cell>
        </row>
        <row r="21">
          <cell r="B21">
            <v>3.4788265906685059</v>
          </cell>
          <cell r="C21">
            <v>3.3014013676617191</v>
          </cell>
          <cell r="D21">
            <v>1.0115599976224077</v>
          </cell>
          <cell r="E21">
            <v>4.5617543444658155</v>
          </cell>
          <cell r="F21">
            <v>4.5773720298916718</v>
          </cell>
          <cell r="G21">
            <v>4.3819091923219009</v>
          </cell>
          <cell r="H21">
            <v>3.3187858485829551</v>
          </cell>
          <cell r="I21">
            <v>3.6047550271442388</v>
          </cell>
          <cell r="J21">
            <v>3.542158254943168</v>
          </cell>
          <cell r="K21">
            <v>3.3698842932337607</v>
          </cell>
          <cell r="L21">
            <v>5.3737643686177901</v>
          </cell>
          <cell r="M21">
            <v>1.6587046801331871</v>
          </cell>
          <cell r="N21">
            <v>3.9071356880604724</v>
          </cell>
          <cell r="O21">
            <v>2.3375116581634141</v>
          </cell>
          <cell r="P21">
            <v>6.1681987765635444</v>
          </cell>
        </row>
        <row r="22">
          <cell r="B22">
            <v>2.1510896046814949</v>
          </cell>
          <cell r="C22">
            <v>2.1071388192295819</v>
          </cell>
          <cell r="D22">
            <v>1.9061609755284787</v>
          </cell>
          <cell r="E22">
            <v>4.5694299150033881</v>
          </cell>
          <cell r="F22">
            <v>3.8058957974427958</v>
          </cell>
          <cell r="G22">
            <v>3.7720699514795295</v>
          </cell>
          <cell r="H22">
            <v>5.1241607151302411</v>
          </cell>
          <cell r="I22">
            <v>3.7037257557666985</v>
          </cell>
          <cell r="J22">
            <v>3.7319252872068462</v>
          </cell>
          <cell r="K22">
            <v>3.9023262957889218</v>
          </cell>
          <cell r="L22">
            <v>2.3136434863913897</v>
          </cell>
          <cell r="M22">
            <v>1.9814747102903842</v>
          </cell>
          <cell r="N22">
            <v>3.0106093876759976</v>
          </cell>
          <cell r="O22">
            <v>1.7551320012198264</v>
          </cell>
          <cell r="P22">
            <v>6.6688807546694067</v>
          </cell>
        </row>
        <row r="23">
          <cell r="B23">
            <v>1.9852055246808216</v>
          </cell>
          <cell r="C23">
            <v>2.1690627937247089</v>
          </cell>
          <cell r="D23">
            <v>0.62622467980946017</v>
          </cell>
          <cell r="E23">
            <v>2.7675744067308585</v>
          </cell>
          <cell r="F23">
            <v>3.2803822293200833</v>
          </cell>
          <cell r="G23">
            <v>3.2714989152334306</v>
          </cell>
          <cell r="H23">
            <v>2.3605773017181098</v>
          </cell>
          <cell r="I23">
            <v>2.3407876968456756</v>
          </cell>
          <cell r="J23">
            <v>1.812072333246167</v>
          </cell>
          <cell r="K23">
            <v>1.620641911589304</v>
          </cell>
          <cell r="L23">
            <v>1.9037671882062428</v>
          </cell>
          <cell r="M23">
            <v>2.0482150305579165</v>
          </cell>
          <cell r="N23">
            <v>2.6950163151388216</v>
          </cell>
          <cell r="O23">
            <v>0.86255543624315201</v>
          </cell>
          <cell r="P23">
            <v>2.1527420117608149</v>
          </cell>
        </row>
        <row r="24">
          <cell r="B24">
            <v>1.1623202303329754</v>
          </cell>
          <cell r="C24">
            <v>1.2274826612306979</v>
          </cell>
          <cell r="D24">
            <v>1.0366829979971013</v>
          </cell>
          <cell r="E24">
            <v>1.6525673732836155</v>
          </cell>
          <cell r="F24">
            <v>2.4460767516531217</v>
          </cell>
          <cell r="G24">
            <v>2.4308207173871819</v>
          </cell>
          <cell r="H24">
            <v>0.77616726684927784</v>
          </cell>
          <cell r="I24">
            <v>0.80307555181904833</v>
          </cell>
          <cell r="J24">
            <v>0.75571234201391202</v>
          </cell>
          <cell r="K24">
            <v>0.80375826720051391</v>
          </cell>
          <cell r="L24">
            <v>1.3097958807272914</v>
          </cell>
          <cell r="M24">
            <v>1.0744633188279678</v>
          </cell>
          <cell r="N24">
            <v>2.1163423144119253</v>
          </cell>
          <cell r="O24">
            <v>1.1778055413614226</v>
          </cell>
          <cell r="P24">
            <v>1.6893651271409624</v>
          </cell>
        </row>
        <row r="25">
          <cell r="B25">
            <v>1.4009937690637533</v>
          </cell>
          <cell r="C25">
            <v>1.4511814740206581</v>
          </cell>
          <cell r="D25">
            <v>0.7696397392204275</v>
          </cell>
          <cell r="E25">
            <v>2.1197330312686811</v>
          </cell>
          <cell r="F25">
            <v>3.335195479946643</v>
          </cell>
          <cell r="G25">
            <v>3.385254267324012</v>
          </cell>
          <cell r="H25">
            <v>1.0164481198131599</v>
          </cell>
          <cell r="I25">
            <v>1.1009421746774257</v>
          </cell>
          <cell r="J25">
            <v>0.74948457606429908</v>
          </cell>
          <cell r="K25">
            <v>0.78153980002408308</v>
          </cell>
          <cell r="L25">
            <v>1.7736386482829158</v>
          </cell>
          <cell r="M25">
            <v>1.2538914105674759</v>
          </cell>
          <cell r="N25">
            <v>2.774517578780475</v>
          </cell>
          <cell r="O25">
            <v>1.4246424049616855</v>
          </cell>
          <cell r="P25">
            <v>4.6885358983375616</v>
          </cell>
        </row>
        <row r="26">
          <cell r="B26">
            <v>2.0674147238920706</v>
          </cell>
          <cell r="C26">
            <v>1.7378853968323462</v>
          </cell>
          <cell r="D26">
            <v>1.349350609343748</v>
          </cell>
          <cell r="E26">
            <v>2.6523970027793293</v>
          </cell>
          <cell r="F26">
            <v>3.361717813300626</v>
          </cell>
          <cell r="G26">
            <v>3.6279811184442292</v>
          </cell>
          <cell r="H26">
            <v>2.1826626437263328</v>
          </cell>
          <cell r="I26">
            <v>1.4126353493610564</v>
          </cell>
          <cell r="J26">
            <v>1.4345485255175903</v>
          </cell>
          <cell r="K26">
            <v>1.4672392096544271</v>
          </cell>
          <cell r="L26">
            <v>4.2058539951258007</v>
          </cell>
          <cell r="M26">
            <v>1.7206689269009825</v>
          </cell>
          <cell r="N26">
            <v>3.3024045232871595</v>
          </cell>
          <cell r="O26">
            <v>1.2150153763409013</v>
          </cell>
          <cell r="P26">
            <v>2.6804106532395369</v>
          </cell>
        </row>
        <row r="30">
          <cell r="B30">
            <v>13.172556383860575</v>
          </cell>
          <cell r="C30">
            <v>14.432081435408561</v>
          </cell>
          <cell r="D30">
            <v>14.786938747095627</v>
          </cell>
          <cell r="E30">
            <v>30.454980391348073</v>
          </cell>
          <cell r="F30">
            <v>27.071942654038761</v>
          </cell>
          <cell r="G30">
            <v>26.98592699546937</v>
          </cell>
          <cell r="H30">
            <v>28.39470688805898</v>
          </cell>
          <cell r="I30">
            <v>25.085492237555432</v>
          </cell>
          <cell r="J30">
            <v>30.629586975952133</v>
          </cell>
          <cell r="K30">
            <v>18.617705246135657</v>
          </cell>
          <cell r="L30">
            <v>11.572733230308359</v>
          </cell>
          <cell r="M30">
            <v>20.17193256872558</v>
          </cell>
          <cell r="N30">
            <v>24.07034199071288</v>
          </cell>
          <cell r="O30">
            <v>14.165379642155457</v>
          </cell>
          <cell r="P30">
            <v>27.45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5">
          <cell r="A35" t="str">
            <v>Month/Year</v>
          </cell>
        </row>
        <row r="36">
          <cell r="B36">
            <v>53.813730477705128</v>
          </cell>
          <cell r="C36">
            <v>54.360167125817782</v>
          </cell>
          <cell r="D36">
            <v>55.864699999999999</v>
          </cell>
          <cell r="E36">
            <v>51.959535435277417</v>
          </cell>
          <cell r="F36">
            <v>45.977276928069962</v>
          </cell>
          <cell r="G36">
            <v>44.525372263217001</v>
          </cell>
          <cell r="H36">
            <v>64.096868850797435</v>
          </cell>
          <cell r="I36">
            <v>53.637144338784232</v>
          </cell>
          <cell r="J36">
            <v>67.572085497658435</v>
          </cell>
          <cell r="K36">
            <v>89.71936578336134</v>
          </cell>
          <cell r="L36">
            <v>47.512269000000003</v>
          </cell>
          <cell r="M36">
            <v>50.45056480952249</v>
          </cell>
          <cell r="N36">
            <v>50.608295424120492</v>
          </cell>
          <cell r="O36">
            <v>56.628771621453943</v>
          </cell>
          <cell r="P36">
            <v>46.608641846641433</v>
          </cell>
        </row>
        <row r="37">
          <cell r="B37">
            <v>57.087412800566305</v>
          </cell>
          <cell r="C37">
            <v>61.811290751049647</v>
          </cell>
          <cell r="D37">
            <v>62.581571258365287</v>
          </cell>
          <cell r="E37">
            <v>65.261546410013253</v>
          </cell>
          <cell r="F37">
            <v>62.067765527117231</v>
          </cell>
          <cell r="G37">
            <v>62.586237862353336</v>
          </cell>
          <cell r="H37">
            <v>75.383034397492125</v>
          </cell>
          <cell r="I37">
            <v>62.272933293313834</v>
          </cell>
          <cell r="J37">
            <v>79.53369002761842</v>
          </cell>
          <cell r="K37">
            <v>95.943049522854807</v>
          </cell>
          <cell r="L37">
            <v>53.599974578687139</v>
          </cell>
          <cell r="M37">
            <v>59.187349053270154</v>
          </cell>
          <cell r="N37">
            <v>60.47855066215093</v>
          </cell>
          <cell r="O37">
            <v>63.220236752424569</v>
          </cell>
          <cell r="P37">
            <v>58.32946096166372</v>
          </cell>
        </row>
        <row r="38">
          <cell r="B38">
            <v>61.121798543690659</v>
          </cell>
          <cell r="C38">
            <v>66.439967110609672</v>
          </cell>
          <cell r="D38">
            <v>70.494711511551301</v>
          </cell>
          <cell r="E38">
            <v>69.79713667525759</v>
          </cell>
          <cell r="F38">
            <v>66.845610568825634</v>
          </cell>
          <cell r="G38">
            <v>69.057899928640609</v>
          </cell>
          <cell r="H38">
            <v>73.347497232512936</v>
          </cell>
          <cell r="I38">
            <v>63.402935967483543</v>
          </cell>
          <cell r="J38">
            <v>79.978754646698462</v>
          </cell>
          <cell r="K38">
            <v>102.37527463734793</v>
          </cell>
          <cell r="L38">
            <v>57.489281700459664</v>
          </cell>
          <cell r="M38">
            <v>64.337925275975067</v>
          </cell>
          <cell r="N38">
            <v>64.924853690418701</v>
          </cell>
          <cell r="O38">
            <v>72.143917522465657</v>
          </cell>
          <cell r="P38">
            <v>67.64317092378235</v>
          </cell>
        </row>
        <row r="39">
          <cell r="B39">
            <v>66.434514742700813</v>
          </cell>
          <cell r="C39">
            <v>72.31864469545333</v>
          </cell>
          <cell r="D39">
            <v>72.356942204448501</v>
          </cell>
          <cell r="E39">
            <v>70.893857467406406</v>
          </cell>
          <cell r="F39">
            <v>67.887095494845838</v>
          </cell>
          <cell r="G39">
            <v>70.954442813119243</v>
          </cell>
          <cell r="H39">
            <v>71.760988565264753</v>
          </cell>
          <cell r="I39">
            <v>63.645567523996014</v>
          </cell>
          <cell r="J39">
            <v>80.565104199232195</v>
          </cell>
          <cell r="K39">
            <v>100.984431100919</v>
          </cell>
          <cell r="L39">
            <v>62.553147688018818</v>
          </cell>
          <cell r="M39">
            <v>63.665353383378601</v>
          </cell>
          <cell r="N39">
            <v>64.990077060113904</v>
          </cell>
          <cell r="O39">
            <v>72.661378163054167</v>
          </cell>
          <cell r="P39">
            <v>67.213047561433143</v>
          </cell>
        </row>
        <row r="40">
          <cell r="B40">
            <v>65.930151386405399</v>
          </cell>
          <cell r="C40">
            <v>71.827218377466821</v>
          </cell>
          <cell r="D40">
            <v>53.34554</v>
          </cell>
          <cell r="E40">
            <v>55.343789842563659</v>
          </cell>
          <cell r="F40">
            <v>50.283583151087647</v>
          </cell>
          <cell r="G40">
            <v>50.661948231947477</v>
          </cell>
          <cell r="H40">
            <v>64.696741482476384</v>
          </cell>
          <cell r="I40">
            <v>57.948655632506089</v>
          </cell>
          <cell r="J40">
            <v>70.66848828446939</v>
          </cell>
          <cell r="K40">
            <v>87.120510639496999</v>
          </cell>
          <cell r="L40">
            <v>55.325439000000003</v>
          </cell>
          <cell r="M40">
            <v>53.467729511013808</v>
          </cell>
          <cell r="N40">
            <v>55.451140427064971</v>
          </cell>
          <cell r="O40">
            <v>56.459191872899986</v>
          </cell>
          <cell r="P40">
            <v>54.896705711200049</v>
          </cell>
        </row>
        <row r="41">
          <cell r="B41">
            <v>57.474739999999997</v>
          </cell>
          <cell r="C41">
            <v>55.979399999999998</v>
          </cell>
          <cell r="D41">
            <v>50.373759999999997</v>
          </cell>
          <cell r="E41">
            <v>44.774356850776158</v>
          </cell>
          <cell r="F41">
            <v>39.492844434443498</v>
          </cell>
          <cell r="G41">
            <v>37.537482597847038</v>
          </cell>
          <cell r="H41">
            <v>66.003394180161663</v>
          </cell>
          <cell r="I41">
            <v>56.2533567371663</v>
          </cell>
          <cell r="J41">
            <v>69.304271988574257</v>
          </cell>
          <cell r="K41">
            <v>86.186433207636284</v>
          </cell>
          <cell r="L41">
            <v>51.470478</v>
          </cell>
          <cell r="M41">
            <v>43.452015763164958</v>
          </cell>
          <cell r="N41">
            <v>44.242419328352696</v>
          </cell>
          <cell r="O41">
            <v>49.919676287895221</v>
          </cell>
          <cell r="P41">
            <v>43.603218297917522</v>
          </cell>
        </row>
        <row r="42">
          <cell r="B42">
            <v>63.424570000000003</v>
          </cell>
          <cell r="C42">
            <v>61.556489999999997</v>
          </cell>
          <cell r="D42">
            <v>45.093339999999998</v>
          </cell>
          <cell r="E42">
            <v>44.621998509638374</v>
          </cell>
          <cell r="F42">
            <v>39.013400731391748</v>
          </cell>
          <cell r="G42">
            <v>36.328519837399803</v>
          </cell>
          <cell r="H42">
            <v>69.705001026706171</v>
          </cell>
          <cell r="I42">
            <v>58.783671015706979</v>
          </cell>
          <cell r="J42">
            <v>73.10432666748477</v>
          </cell>
          <cell r="K42">
            <v>87.517920884609509</v>
          </cell>
          <cell r="L42">
            <v>56.895237000000002</v>
          </cell>
          <cell r="M42">
            <v>38.916259888398713</v>
          </cell>
          <cell r="N42">
            <v>43.015460861901055</v>
          </cell>
          <cell r="O42">
            <v>52.027879098348755</v>
          </cell>
          <cell r="P42">
            <v>40.699047698740245</v>
          </cell>
        </row>
        <row r="43">
          <cell r="B43">
            <v>61.481137908807241</v>
          </cell>
          <cell r="C43">
            <v>60.932832589869541</v>
          </cell>
          <cell r="D43">
            <v>62.067065826757457</v>
          </cell>
          <cell r="E43">
            <v>59.376177911455521</v>
          </cell>
          <cell r="F43">
            <v>53.741568984317276</v>
          </cell>
          <cell r="G43">
            <v>52.556181631075027</v>
          </cell>
          <cell r="H43">
            <v>79.642459448648879</v>
          </cell>
          <cell r="I43">
            <v>63.741073524068462</v>
          </cell>
          <cell r="J43">
            <v>76.766942868828892</v>
          </cell>
          <cell r="K43">
            <v>93.700887931922892</v>
          </cell>
          <cell r="L43">
            <v>57.38542926770667</v>
          </cell>
          <cell r="M43">
            <v>48.235563370674477</v>
          </cell>
          <cell r="N43">
            <v>50.900863586043741</v>
          </cell>
          <cell r="O43">
            <v>62.935635919540744</v>
          </cell>
          <cell r="P43">
            <v>51.807278831634939</v>
          </cell>
        </row>
        <row r="44">
          <cell r="B44">
            <v>58.533365915372919</v>
          </cell>
          <cell r="C44">
            <v>58.74438927460551</v>
          </cell>
          <cell r="D44">
            <v>61.214289955973058</v>
          </cell>
          <cell r="E44">
            <v>60.157491366275956</v>
          </cell>
          <cell r="F44">
            <v>51.504509885359518</v>
          </cell>
          <cell r="G44">
            <v>50.492911218117243</v>
          </cell>
          <cell r="H44">
            <v>83.461616466759196</v>
          </cell>
          <cell r="I44">
            <v>65.413238080645058</v>
          </cell>
          <cell r="J44">
            <v>78.229324663824698</v>
          </cell>
          <cell r="K44">
            <v>96.867950011931839</v>
          </cell>
          <cell r="L44">
            <v>56.1373463026748</v>
          </cell>
          <cell r="M44">
            <v>44.246892369415775</v>
          </cell>
          <cell r="N44">
            <v>48.362227402887306</v>
          </cell>
          <cell r="O44">
            <v>59.939812720715821</v>
          </cell>
          <cell r="P44">
            <v>48.460593331961434</v>
          </cell>
        </row>
        <row r="45">
          <cell r="B45">
            <v>49.89969</v>
          </cell>
          <cell r="C45">
            <v>49.090470000000003</v>
          </cell>
          <cell r="D45">
            <v>38.219349999999999</v>
          </cell>
          <cell r="E45">
            <v>51.972066050092145</v>
          </cell>
          <cell r="F45">
            <v>43.80333233044167</v>
          </cell>
          <cell r="G45">
            <v>42.005644774045848</v>
          </cell>
          <cell r="H45">
            <v>68.763175246673285</v>
          </cell>
          <cell r="I45">
            <v>59.994002682206713</v>
          </cell>
          <cell r="J45">
            <v>73.46467809884976</v>
          </cell>
          <cell r="K45">
            <v>91.229923194661311</v>
          </cell>
          <cell r="L45">
            <v>44.786943000000001</v>
          </cell>
          <cell r="M45">
            <v>43.189884624838655</v>
          </cell>
          <cell r="N45">
            <v>44.796933301438187</v>
          </cell>
          <cell r="O45">
            <v>49.557747784724256</v>
          </cell>
          <cell r="P45">
            <v>42.72560338051602</v>
          </cell>
        </row>
        <row r="46">
          <cell r="B46">
            <v>46.495699999999999</v>
          </cell>
          <cell r="C46">
            <v>45.85033</v>
          </cell>
          <cell r="D46">
            <v>46.681460000000001</v>
          </cell>
          <cell r="E46">
            <v>46.467775418954595</v>
          </cell>
          <cell r="F46">
            <v>40.03855599165388</v>
          </cell>
          <cell r="G46">
            <v>37.490219665797234</v>
          </cell>
          <cell r="H46">
            <v>61.436179759086805</v>
          </cell>
          <cell r="I46">
            <v>49.137984007792873</v>
          </cell>
          <cell r="J46">
            <v>66.952889976517156</v>
          </cell>
          <cell r="K46">
            <v>78.423502449910401</v>
          </cell>
          <cell r="L46">
            <v>41.703119999999998</v>
          </cell>
          <cell r="M46">
            <v>41.458396081854659</v>
          </cell>
          <cell r="N46">
            <v>42.986773336055791</v>
          </cell>
          <cell r="O46">
            <v>45.975419240096755</v>
          </cell>
          <cell r="P46">
            <v>42.718487353493913</v>
          </cell>
        </row>
        <row r="47">
          <cell r="B47">
            <v>45.027810000000002</v>
          </cell>
          <cell r="C47">
            <v>44.388959999999997</v>
          </cell>
          <cell r="D47">
            <v>42.030200000000001</v>
          </cell>
          <cell r="E47">
            <v>41.343573993258623</v>
          </cell>
          <cell r="F47">
            <v>35.691987123222106</v>
          </cell>
          <cell r="G47">
            <v>33.525121055847478</v>
          </cell>
          <cell r="H47">
            <v>57.157939453731082</v>
          </cell>
          <cell r="I47">
            <v>48.130015186978753</v>
          </cell>
          <cell r="J47">
            <v>64.074578646298633</v>
          </cell>
          <cell r="K47">
            <v>76.319125270851686</v>
          </cell>
          <cell r="L47">
            <v>40.131287999999998</v>
          </cell>
          <cell r="M47">
            <v>35.071217174749449</v>
          </cell>
          <cell r="N47">
            <v>37.554745631002476</v>
          </cell>
          <cell r="O47">
            <v>43.644936068244697</v>
          </cell>
          <cell r="P47">
            <v>34.296477928001195</v>
          </cell>
        </row>
        <row r="48">
          <cell r="B48">
            <v>49.854353199975876</v>
          </cell>
          <cell r="C48">
            <v>51.395222979577795</v>
          </cell>
          <cell r="D48">
            <v>49.270960000000002</v>
          </cell>
          <cell r="E48">
            <v>50.186041220072198</v>
          </cell>
          <cell r="F48">
            <v>44.344580264041113</v>
          </cell>
          <cell r="G48">
            <v>43.040611110800498</v>
          </cell>
          <cell r="H48">
            <v>60.186441669172623</v>
          </cell>
          <cell r="I48">
            <v>52.173477445083478</v>
          </cell>
          <cell r="J48">
            <v>64.016130403223229</v>
          </cell>
          <cell r="K48">
            <v>83.955006354381169</v>
          </cell>
          <cell r="L48">
            <v>42.207633000000001</v>
          </cell>
          <cell r="M48">
            <v>47.188249781434202</v>
          </cell>
          <cell r="N48">
            <v>46.814458178837135</v>
          </cell>
          <cell r="O48">
            <v>52.791504234259456</v>
          </cell>
          <cell r="P48">
            <v>44.546223242949061</v>
          </cell>
        </row>
        <row r="49">
          <cell r="B49">
            <v>61.926168825975459</v>
          </cell>
          <cell r="C49">
            <v>71.827028758063136</v>
          </cell>
          <cell r="D49">
            <v>66.616158630163326</v>
          </cell>
          <cell r="E49">
            <v>60.200218660179075</v>
          </cell>
          <cell r="F49">
            <v>57.484910561089713</v>
          </cell>
          <cell r="G49">
            <v>57.159320538116049</v>
          </cell>
          <cell r="H49">
            <v>76.294595129327533</v>
          </cell>
          <cell r="I49">
            <v>62.930467218687404</v>
          </cell>
          <cell r="J49">
            <v>77.982727111536121</v>
          </cell>
          <cell r="K49">
            <v>94.239536501904922</v>
          </cell>
          <cell r="L49">
            <v>54.432884392370177</v>
          </cell>
          <cell r="M49">
            <v>54.742795873043512</v>
          </cell>
          <cell r="N49">
            <v>55.968973046422811</v>
          </cell>
          <cell r="O49">
            <v>60.123872646364276</v>
          </cell>
          <cell r="P49">
            <v>55.029857581211346</v>
          </cell>
        </row>
        <row r="50">
          <cell r="B50">
            <v>67.268026610139032</v>
          </cell>
          <cell r="C50">
            <v>78.065966915330137</v>
          </cell>
          <cell r="D50">
            <v>72.914956526429975</v>
          </cell>
          <cell r="E50">
            <v>65.392361937277443</v>
          </cell>
          <cell r="F50">
            <v>61.206221172054697</v>
          </cell>
          <cell r="G50">
            <v>61.901336316982977</v>
          </cell>
          <cell r="H50">
            <v>72.677266680925385</v>
          </cell>
          <cell r="I50">
            <v>63.401842239210559</v>
          </cell>
          <cell r="J50">
            <v>77.641455946341495</v>
          </cell>
          <cell r="K50">
            <v>105.00020420912122</v>
          </cell>
          <cell r="L50">
            <v>59.136799524066845</v>
          </cell>
          <cell r="M50">
            <v>58.259794584822302</v>
          </cell>
          <cell r="N50">
            <v>58.724753654796139</v>
          </cell>
          <cell r="O50">
            <v>71.149867933502449</v>
          </cell>
          <cell r="P50">
            <v>61.044703341770806</v>
          </cell>
        </row>
        <row r="51">
          <cell r="B51">
            <v>75.152453393552136</v>
          </cell>
          <cell r="C51">
            <v>87.42525135788344</v>
          </cell>
          <cell r="D51">
            <v>74.578712987725297</v>
          </cell>
          <cell r="E51">
            <v>66.673223264922314</v>
          </cell>
          <cell r="F51">
            <v>62.271041452766823</v>
          </cell>
          <cell r="G51">
            <v>63.875837320864733</v>
          </cell>
          <cell r="H51">
            <v>72.440243876872955</v>
          </cell>
          <cell r="I51">
            <v>62.811334185019639</v>
          </cell>
          <cell r="J51">
            <v>78.289485094648072</v>
          </cell>
          <cell r="K51">
            <v>103.90934185508598</v>
          </cell>
          <cell r="L51">
            <v>66.107842901086883</v>
          </cell>
          <cell r="M51">
            <v>58.473460867360714</v>
          </cell>
          <cell r="N51">
            <v>59.467340169567166</v>
          </cell>
          <cell r="O51">
            <v>72.986682765789652</v>
          </cell>
          <cell r="P51">
            <v>61.331150635680444</v>
          </cell>
        </row>
        <row r="52">
          <cell r="B52">
            <v>71.737842363273955</v>
          </cell>
          <cell r="C52">
            <v>83.587246851016758</v>
          </cell>
          <cell r="D52">
            <v>47.009830000000001</v>
          </cell>
          <cell r="E52">
            <v>52.785566587997693</v>
          </cell>
          <cell r="F52">
            <v>47.669648756149549</v>
          </cell>
          <cell r="G52">
            <v>46.859990926366848</v>
          </cell>
          <cell r="H52">
            <v>59.895131875812872</v>
          </cell>
          <cell r="I52">
            <v>54.299425458557323</v>
          </cell>
          <cell r="J52">
            <v>65.363198685024059</v>
          </cell>
          <cell r="K52">
            <v>83.673328952815339</v>
          </cell>
          <cell r="L52">
            <v>49.662782999999997</v>
          </cell>
          <cell r="M52">
            <v>48.504302266390958</v>
          </cell>
          <cell r="N52">
            <v>49.844045024074425</v>
          </cell>
          <cell r="O52">
            <v>51.922441536515386</v>
          </cell>
          <cell r="P52">
            <v>49.875363045644932</v>
          </cell>
        </row>
        <row r="53">
          <cell r="B53">
            <v>54.286859999999997</v>
          </cell>
          <cell r="C53">
            <v>52.975929999999998</v>
          </cell>
          <cell r="D53">
            <v>44.711950000000002</v>
          </cell>
          <cell r="E53">
            <v>46.665072715849085</v>
          </cell>
          <cell r="F53">
            <v>40.856773782680932</v>
          </cell>
          <cell r="G53">
            <v>38.056371153831044</v>
          </cell>
          <cell r="H53">
            <v>63.548571124978963</v>
          </cell>
          <cell r="I53">
            <v>53.630185239138768</v>
          </cell>
          <cell r="J53">
            <v>66.326988175620102</v>
          </cell>
          <cell r="K53">
            <v>85.985526031050298</v>
          </cell>
          <cell r="L53">
            <v>48.612482999999997</v>
          </cell>
          <cell r="M53">
            <v>43.096331373910544</v>
          </cell>
          <cell r="N53">
            <v>43.694080948062883</v>
          </cell>
          <cell r="O53">
            <v>49.645870828444814</v>
          </cell>
          <cell r="P53">
            <v>43.135527520134325</v>
          </cell>
        </row>
        <row r="54">
          <cell r="B54">
            <v>61.566299999999998</v>
          </cell>
          <cell r="C54">
            <v>59.512540000000001</v>
          </cell>
          <cell r="D54">
            <v>41.33128</v>
          </cell>
          <cell r="E54">
            <v>46.065426768208681</v>
          </cell>
          <cell r="F54">
            <v>40.462493565984246</v>
          </cell>
          <cell r="G54">
            <v>37.520149253534917</v>
          </cell>
          <cell r="H54">
            <v>64.706818041059307</v>
          </cell>
          <cell r="I54">
            <v>54.771523601429308</v>
          </cell>
          <cell r="J54">
            <v>67.62329156461459</v>
          </cell>
          <cell r="K54">
            <v>83.535442406116132</v>
          </cell>
          <cell r="L54">
            <v>55.166184000000001</v>
          </cell>
          <cell r="M54">
            <v>40.887477550041623</v>
          </cell>
          <cell r="N54">
            <v>42.897296305200179</v>
          </cell>
          <cell r="O54">
            <v>52.569016151482643</v>
          </cell>
          <cell r="P54">
            <v>41.378096545211946</v>
          </cell>
        </row>
        <row r="55">
          <cell r="B55">
            <v>63.033099338024726</v>
          </cell>
          <cell r="C55">
            <v>62.977162727844664</v>
          </cell>
          <cell r="D55">
            <v>63.087686242352554</v>
          </cell>
          <cell r="E55">
            <v>58.226568129019924</v>
          </cell>
          <cell r="F55">
            <v>52.754326867889532</v>
          </cell>
          <cell r="G55">
            <v>51.017852189136534</v>
          </cell>
          <cell r="H55">
            <v>78.550684633914486</v>
          </cell>
          <cell r="I55">
            <v>61.678904455639724</v>
          </cell>
          <cell r="J55">
            <v>74.693247937436027</v>
          </cell>
          <cell r="K55">
            <v>94.652968836287442</v>
          </cell>
          <cell r="L55">
            <v>60.51668589990139</v>
          </cell>
          <cell r="M55">
            <v>47.528767672962843</v>
          </cell>
          <cell r="N55">
            <v>48.782551476180117</v>
          </cell>
          <cell r="O55">
            <v>65.548215725464928</v>
          </cell>
          <cell r="P55">
            <v>50.361820309302715</v>
          </cell>
        </row>
        <row r="56">
          <cell r="B56">
            <v>52.916190620844276</v>
          </cell>
          <cell r="C56">
            <v>53.572187344478138</v>
          </cell>
          <cell r="D56">
            <v>53.121934227952551</v>
          </cell>
          <cell r="E56">
            <v>57.246849410894669</v>
          </cell>
          <cell r="F56">
            <v>50.620532854026493</v>
          </cell>
          <cell r="G56">
            <v>48.625861277655211</v>
          </cell>
          <cell r="H56">
            <v>78.178489318290545</v>
          </cell>
          <cell r="I56">
            <v>62.476852977379423</v>
          </cell>
          <cell r="J56">
            <v>74.738250532296576</v>
          </cell>
          <cell r="K56">
            <v>85.367612466817974</v>
          </cell>
          <cell r="L56">
            <v>54.824484493189416</v>
          </cell>
          <cell r="M56">
            <v>45.840935602223752</v>
          </cell>
          <cell r="N56">
            <v>50.591591721967454</v>
          </cell>
          <cell r="O56">
            <v>57.0742405567091</v>
          </cell>
          <cell r="P56">
            <v>48.317511808052203</v>
          </cell>
        </row>
        <row r="57">
          <cell r="B57">
            <v>43.205800000000004</v>
          </cell>
          <cell r="C57">
            <v>42.735419999999998</v>
          </cell>
          <cell r="D57">
            <v>38.812620000000003</v>
          </cell>
          <cell r="E57">
            <v>50.03671776713766</v>
          </cell>
          <cell r="F57">
            <v>43.50706482311562</v>
          </cell>
          <cell r="G57">
            <v>40.865736463113898</v>
          </cell>
          <cell r="H57">
            <v>64.281266906396624</v>
          </cell>
          <cell r="I57">
            <v>56.002643670626867</v>
          </cell>
          <cell r="J57">
            <v>69.362196330345412</v>
          </cell>
          <cell r="K57">
            <v>80.110389173859147</v>
          </cell>
          <cell r="L57">
            <v>38.622474000000004</v>
          </cell>
          <cell r="M57">
            <v>42.153306469433268</v>
          </cell>
          <cell r="N57">
            <v>46.324311538652388</v>
          </cell>
          <cell r="O57">
            <v>45.892155227234369</v>
          </cell>
          <cell r="P57">
            <v>42.690941747467868</v>
          </cell>
        </row>
        <row r="58">
          <cell r="B58">
            <v>40.60313</v>
          </cell>
          <cell r="C58">
            <v>40.102960000000003</v>
          </cell>
          <cell r="D58">
            <v>43.418900000000001</v>
          </cell>
          <cell r="E58">
            <v>46.310255360641747</v>
          </cell>
          <cell r="F58">
            <v>40.549359702273293</v>
          </cell>
          <cell r="G58">
            <v>37.281957475370582</v>
          </cell>
          <cell r="H58">
            <v>57.455657741483229</v>
          </cell>
          <cell r="I58">
            <v>48.077416469831938</v>
          </cell>
          <cell r="J58">
            <v>64.403740683322965</v>
          </cell>
          <cell r="K58">
            <v>68.806062492286443</v>
          </cell>
          <cell r="L58">
            <v>36.348579000000001</v>
          </cell>
          <cell r="M58">
            <v>41.966055605539516</v>
          </cell>
          <cell r="N58">
            <v>45.687598609914389</v>
          </cell>
          <cell r="O58">
            <v>43.780711599969159</v>
          </cell>
          <cell r="P58">
            <v>42.575028603345523</v>
          </cell>
        </row>
        <row r="59">
          <cell r="B59">
            <v>39.32694</v>
          </cell>
          <cell r="C59">
            <v>38.926760000000002</v>
          </cell>
          <cell r="D59">
            <v>40.456229999999998</v>
          </cell>
          <cell r="E59">
            <v>42.249500721957702</v>
          </cell>
          <cell r="F59">
            <v>36.859489820266958</v>
          </cell>
          <cell r="G59">
            <v>34.663866227073711</v>
          </cell>
          <cell r="H59">
            <v>53.90564886341059</v>
          </cell>
          <cell r="I59">
            <v>45.810641679442782</v>
          </cell>
          <cell r="J59">
            <v>61.385824566528768</v>
          </cell>
          <cell r="K59">
            <v>71.566621389208052</v>
          </cell>
          <cell r="L59">
            <v>35.039466000000004</v>
          </cell>
          <cell r="M59">
            <v>37.722285774300715</v>
          </cell>
          <cell r="N59">
            <v>41.848059535013661</v>
          </cell>
          <cell r="O59">
            <v>39.11912323073819</v>
          </cell>
          <cell r="P59">
            <v>36.231599514061848</v>
          </cell>
        </row>
        <row r="60">
          <cell r="B60">
            <v>45.019829322087659</v>
          </cell>
          <cell r="C60">
            <v>46.731189728692222</v>
          </cell>
          <cell r="D60">
            <v>44.673470000000002</v>
          </cell>
          <cell r="E60">
            <v>46.65933231819939</v>
          </cell>
          <cell r="F60">
            <v>41.639196298082879</v>
          </cell>
          <cell r="G60">
            <v>39.622601416353028</v>
          </cell>
          <cell r="H60">
            <v>55.40127541296706</v>
          </cell>
          <cell r="I60">
            <v>48.283869681390577</v>
          </cell>
          <cell r="J60">
            <v>58.724850826313002</v>
          </cell>
          <cell r="K60">
            <v>74.696966346764626</v>
          </cell>
          <cell r="L60">
            <v>36.153765</v>
          </cell>
          <cell r="M60">
            <v>41.842076010487432</v>
          </cell>
          <cell r="N60">
            <v>43.906263133064776</v>
          </cell>
          <cell r="O60">
            <v>49.698967465943589</v>
          </cell>
          <cell r="P60">
            <v>41.77496229468521</v>
          </cell>
        </row>
        <row r="61">
          <cell r="B61">
            <v>64.56743765431645</v>
          </cell>
          <cell r="C61">
            <v>75.601240994705663</v>
          </cell>
          <cell r="D61">
            <v>55.709194028497734</v>
          </cell>
          <cell r="E61">
            <v>55.537081561493324</v>
          </cell>
          <cell r="F61">
            <v>53.617211417185551</v>
          </cell>
          <cell r="G61">
            <v>51.473147625098576</v>
          </cell>
          <cell r="H61">
            <v>69.470773757056776</v>
          </cell>
          <cell r="I61">
            <v>59.208615864712982</v>
          </cell>
          <cell r="J61">
            <v>73.210477476049533</v>
          </cell>
          <cell r="K61">
            <v>83.682709228954664</v>
          </cell>
          <cell r="L61">
            <v>58.110440693085962</v>
          </cell>
          <cell r="M61">
            <v>50.334637960418263</v>
          </cell>
          <cell r="N61">
            <v>54.240156083857329</v>
          </cell>
          <cell r="O61">
            <v>57.436198503331212</v>
          </cell>
          <cell r="P61">
            <v>50.711461459008788</v>
          </cell>
        </row>
        <row r="62">
          <cell r="B62">
            <v>67.231443745519414</v>
          </cell>
          <cell r="C62">
            <v>79.172447634365724</v>
          </cell>
          <cell r="D62">
            <v>60.069713285039526</v>
          </cell>
          <cell r="E62">
            <v>61.399275349158557</v>
          </cell>
          <cell r="F62">
            <v>56.419873649704606</v>
          </cell>
          <cell r="G62">
            <v>55.467994942257391</v>
          </cell>
          <cell r="H62">
            <v>73.023823249288341</v>
          </cell>
          <cell r="I62">
            <v>60.982074916563853</v>
          </cell>
          <cell r="J62">
            <v>73.732007650423668</v>
          </cell>
          <cell r="K62">
            <v>93.337851245073779</v>
          </cell>
          <cell r="L62">
            <v>61.418228765005885</v>
          </cell>
          <cell r="M62">
            <v>53.757471804470441</v>
          </cell>
          <cell r="N62">
            <v>56.031856362515882</v>
          </cell>
          <cell r="O62">
            <v>67.040500563024878</v>
          </cell>
          <cell r="P62">
            <v>56.544847180793788</v>
          </cell>
        </row>
        <row r="63">
          <cell r="B63">
            <v>75.975828573429496</v>
          </cell>
          <cell r="C63">
            <v>89.799623418368725</v>
          </cell>
          <cell r="D63">
            <v>61.826061648936459</v>
          </cell>
          <cell r="E63">
            <v>61.627458103714687</v>
          </cell>
          <cell r="F63">
            <v>56.387778170677592</v>
          </cell>
          <cell r="G63">
            <v>56.178824491718217</v>
          </cell>
          <cell r="H63">
            <v>69.599826119988009</v>
          </cell>
          <cell r="I63">
            <v>59.112893570931362</v>
          </cell>
          <cell r="J63">
            <v>73.686702269284808</v>
          </cell>
          <cell r="K63">
            <v>93.063216288608388</v>
          </cell>
          <cell r="L63">
            <v>69.673433771355079</v>
          </cell>
          <cell r="M63">
            <v>53.105648931913876</v>
          </cell>
          <cell r="N63">
            <v>55.760982565268655</v>
          </cell>
          <cell r="O63">
            <v>69.084187955833187</v>
          </cell>
          <cell r="P63">
            <v>55.685348793809631</v>
          </cell>
        </row>
        <row r="64">
          <cell r="B64">
            <v>77.546788493705577</v>
          </cell>
          <cell r="C64">
            <v>91.908073206593315</v>
          </cell>
          <cell r="D64">
            <v>44.15025</v>
          </cell>
          <cell r="E64">
            <v>50.514243907057136</v>
          </cell>
          <cell r="F64">
            <v>45.612203591612271</v>
          </cell>
          <cell r="G64">
            <v>44.314006358301313</v>
          </cell>
          <cell r="H64">
            <v>55.873672881151023</v>
          </cell>
          <cell r="I64">
            <v>51.083192834335577</v>
          </cell>
          <cell r="J64">
            <v>60.998584518980493</v>
          </cell>
          <cell r="K64">
            <v>75.776832855262981</v>
          </cell>
          <cell r="L64">
            <v>43.913978999999998</v>
          </cell>
          <cell r="M64">
            <v>45.690823035639362</v>
          </cell>
          <cell r="N64">
            <v>48.882735138526591</v>
          </cell>
          <cell r="O64">
            <v>51.081721350438208</v>
          </cell>
          <cell r="P64">
            <v>47.465952799692978</v>
          </cell>
        </row>
        <row r="65">
          <cell r="B65">
            <v>46.533929999999998</v>
          </cell>
          <cell r="C65">
            <v>45.806559999999998</v>
          </cell>
          <cell r="D65">
            <v>41.274569999999997</v>
          </cell>
          <cell r="E65">
            <v>44.484826745739156</v>
          </cell>
          <cell r="F65">
            <v>39.161836792624989</v>
          </cell>
          <cell r="G65">
            <v>36.175159641283223</v>
          </cell>
          <cell r="H65">
            <v>60.182891946346921</v>
          </cell>
          <cell r="I65">
            <v>51.510824212502371</v>
          </cell>
          <cell r="J65">
            <v>63.204445592489179</v>
          </cell>
          <cell r="K65">
            <v>77.966307173315968</v>
          </cell>
          <cell r="L65">
            <v>41.514488999999998</v>
          </cell>
          <cell r="M65">
            <v>40.804793601827996</v>
          </cell>
          <cell r="N65">
            <v>44.021543162405045</v>
          </cell>
          <cell r="O65">
            <v>46.123713967863566</v>
          </cell>
          <cell r="P65">
            <v>40.595656696223095</v>
          </cell>
        </row>
        <row r="66">
          <cell r="B66">
            <v>51.270969999999998</v>
          </cell>
          <cell r="C66">
            <v>50.398269999999997</v>
          </cell>
          <cell r="D66">
            <v>41.37529</v>
          </cell>
          <cell r="E66">
            <v>44.749010129562933</v>
          </cell>
          <cell r="F66">
            <v>39.494662146468691</v>
          </cell>
          <cell r="G66">
            <v>36.719601997457254</v>
          </cell>
          <cell r="H66">
            <v>60.382652756602916</v>
          </cell>
          <cell r="I66">
            <v>51.575017828722068</v>
          </cell>
          <cell r="J66">
            <v>63.082535645232184</v>
          </cell>
          <cell r="K66">
            <v>74.384934929927923</v>
          </cell>
          <cell r="L66">
            <v>45.845298</v>
          </cell>
          <cell r="M66">
            <v>39.17675592185109</v>
          </cell>
          <cell r="N66">
            <v>43.981936362808938</v>
          </cell>
          <cell r="O66">
            <v>50.738516623326213</v>
          </cell>
          <cell r="P66">
            <v>40.3548237825744</v>
          </cell>
        </row>
        <row r="67">
          <cell r="B67">
            <v>55.819716067677277</v>
          </cell>
          <cell r="C67">
            <v>56.335328981503253</v>
          </cell>
          <cell r="D67">
            <v>53.037885748185772</v>
          </cell>
          <cell r="E67">
            <v>53.288150472277906</v>
          </cell>
          <cell r="F67">
            <v>48.907158237410997</v>
          </cell>
          <cell r="G67">
            <v>46.232462027481439</v>
          </cell>
          <cell r="H67">
            <v>73.942408351843085</v>
          </cell>
          <cell r="I67">
            <v>57.633462520053513</v>
          </cell>
          <cell r="J67">
            <v>69.397371595027209</v>
          </cell>
          <cell r="K67">
            <v>83.688993950998352</v>
          </cell>
          <cell r="L67">
            <v>57.823022849586394</v>
          </cell>
          <cell r="M67">
            <v>42.089835743519906</v>
          </cell>
          <cell r="N67">
            <v>47.367491379862756</v>
          </cell>
          <cell r="O67">
            <v>64.756313089007335</v>
          </cell>
          <cell r="P67">
            <v>45.940304561063598</v>
          </cell>
        </row>
        <row r="68">
          <cell r="B68">
            <v>51.517483142791924</v>
          </cell>
          <cell r="C68">
            <v>52.010468421986182</v>
          </cell>
          <cell r="D68">
            <v>51.697012830359917</v>
          </cell>
          <cell r="E68">
            <v>55.297446346967725</v>
          </cell>
          <cell r="F68">
            <v>48.715820329605528</v>
          </cell>
          <cell r="G68">
            <v>48.704929980416217</v>
          </cell>
          <cell r="H68">
            <v>72.600430886780671</v>
          </cell>
          <cell r="I68">
            <v>57.514741035645265</v>
          </cell>
          <cell r="J68">
            <v>67.940047477966786</v>
          </cell>
          <cell r="K68">
            <v>78.59783364448235</v>
          </cell>
          <cell r="L68">
            <v>55.267730645408037</v>
          </cell>
          <cell r="M68">
            <v>45.819202307483373</v>
          </cell>
          <cell r="N68">
            <v>49.599228017334624</v>
          </cell>
          <cell r="O68">
            <v>57.03960615387215</v>
          </cell>
          <cell r="P68">
            <v>47.932534374143664</v>
          </cell>
        </row>
        <row r="69">
          <cell r="B69">
            <v>42.042009999999998</v>
          </cell>
          <cell r="C69">
            <v>41.458350000000003</v>
          </cell>
          <cell r="D69">
            <v>36.940390000000001</v>
          </cell>
          <cell r="E69">
            <v>48.077352973371774</v>
          </cell>
          <cell r="F69">
            <v>41.537201790449608</v>
          </cell>
          <cell r="G69">
            <v>40.427306946795902</v>
          </cell>
          <cell r="H69">
            <v>60.385442671397499</v>
          </cell>
          <cell r="I69">
            <v>52.031835200402227</v>
          </cell>
          <cell r="J69">
            <v>62.984027448592798</v>
          </cell>
          <cell r="K69">
            <v>72.151792895954358</v>
          </cell>
          <cell r="L69">
            <v>37.551294000000006</v>
          </cell>
          <cell r="M69">
            <v>41.03934885637311</v>
          </cell>
          <cell r="N69">
            <v>44.434951649455371</v>
          </cell>
          <cell r="O69">
            <v>46.413125845889937</v>
          </cell>
          <cell r="P69">
            <v>41.205911329351579</v>
          </cell>
        </row>
        <row r="70">
          <cell r="B70">
            <v>39.520330000000001</v>
          </cell>
          <cell r="C70">
            <v>39.026719999999997</v>
          </cell>
          <cell r="D70">
            <v>42.538800000000002</v>
          </cell>
          <cell r="E70">
            <v>44.171571133001713</v>
          </cell>
          <cell r="F70">
            <v>38.823573045807464</v>
          </cell>
          <cell r="G70">
            <v>36.485267021518311</v>
          </cell>
          <cell r="H70">
            <v>54.148509161160419</v>
          </cell>
          <cell r="I70">
            <v>44.8722064754811</v>
          </cell>
          <cell r="J70">
            <v>58.34161787610239</v>
          </cell>
          <cell r="K70">
            <v>62.533886151858113</v>
          </cell>
          <cell r="L70">
            <v>35.318673000000004</v>
          </cell>
          <cell r="M70">
            <v>40.075805620893988</v>
          </cell>
          <cell r="N70">
            <v>44.137973618254897</v>
          </cell>
          <cell r="O70">
            <v>43.237144132175743</v>
          </cell>
          <cell r="P70">
            <v>41.041856789270881</v>
          </cell>
        </row>
        <row r="71">
          <cell r="B71">
            <v>38.117660000000001</v>
          </cell>
          <cell r="C71">
            <v>37.700859999999999</v>
          </cell>
          <cell r="D71">
            <v>38.783990000000003</v>
          </cell>
          <cell r="E71">
            <v>41.634507568118117</v>
          </cell>
          <cell r="F71">
            <v>35.64663199936966</v>
          </cell>
          <cell r="G71">
            <v>35.293923908233609</v>
          </cell>
          <cell r="H71">
            <v>51.965679675969312</v>
          </cell>
          <cell r="I71">
            <v>45.910564219014873</v>
          </cell>
          <cell r="J71">
            <v>57.114412008532739</v>
          </cell>
          <cell r="K71">
            <v>65.483193988130424</v>
          </cell>
          <cell r="L71">
            <v>33.906905999999999</v>
          </cell>
          <cell r="M71">
            <v>37.121994036956906</v>
          </cell>
          <cell r="N71">
            <v>41.00679196363226</v>
          </cell>
          <cell r="O71">
            <v>38.016283028263679</v>
          </cell>
          <cell r="P71">
            <v>35.672630340847249</v>
          </cell>
        </row>
        <row r="72">
          <cell r="B72">
            <v>44.101747058266234</v>
          </cell>
          <cell r="C72">
            <v>45.755306134065584</v>
          </cell>
          <cell r="D72">
            <v>43.732810000000001</v>
          </cell>
          <cell r="E72">
            <v>46.591689465791724</v>
          </cell>
          <cell r="F72">
            <v>41.059135949297072</v>
          </cell>
          <cell r="G72">
            <v>39.979878852919924</v>
          </cell>
          <cell r="H72">
            <v>54.579412561742942</v>
          </cell>
          <cell r="I72">
            <v>49.347016575186551</v>
          </cell>
          <cell r="J72">
            <v>56.293549460557415</v>
          </cell>
          <cell r="K72">
            <v>68.865376095214216</v>
          </cell>
          <cell r="L72">
            <v>34.951527000000006</v>
          </cell>
          <cell r="M72">
            <v>41.761072966222699</v>
          </cell>
          <cell r="N72">
            <v>43.665134117798885</v>
          </cell>
          <cell r="O72">
            <v>48.361699880586933</v>
          </cell>
          <cell r="P72">
            <v>41.166387800116944</v>
          </cell>
        </row>
        <row r="73">
          <cell r="B73">
            <v>65.433400775469678</v>
          </cell>
          <cell r="C73">
            <v>76.074142410077087</v>
          </cell>
          <cell r="D73">
            <v>55.672121705549841</v>
          </cell>
          <cell r="E73">
            <v>54.46900090762481</v>
          </cell>
          <cell r="F73">
            <v>51.502649674256894</v>
          </cell>
          <cell r="G73">
            <v>51.602124384675022</v>
          </cell>
          <cell r="H73">
            <v>66.981610724318088</v>
          </cell>
          <cell r="I73">
            <v>58.171890511113432</v>
          </cell>
          <cell r="J73">
            <v>67.429525679323248</v>
          </cell>
          <cell r="K73">
            <v>78.631365982540473</v>
          </cell>
          <cell r="L73">
            <v>61.378746124239285</v>
          </cell>
          <cell r="M73">
            <v>49.242866138065366</v>
          </cell>
          <cell r="N73">
            <v>52.864953359054866</v>
          </cell>
          <cell r="O73">
            <v>56.078735574312795</v>
          </cell>
          <cell r="P73">
            <v>49.583077736451273</v>
          </cell>
        </row>
        <row r="74">
          <cell r="B74">
            <v>68.684424347262578</v>
          </cell>
          <cell r="C74">
            <v>79.842084115963218</v>
          </cell>
          <cell r="D74">
            <v>60.329333035275596</v>
          </cell>
          <cell r="E74">
            <v>58.997386342120066</v>
          </cell>
          <cell r="F74">
            <v>54.122901186717229</v>
          </cell>
          <cell r="G74">
            <v>55.281068455065252</v>
          </cell>
          <cell r="H74">
            <v>67.821785525596511</v>
          </cell>
          <cell r="I74">
            <v>59.870608205453777</v>
          </cell>
          <cell r="J74">
            <v>68.902950371051915</v>
          </cell>
          <cell r="K74">
            <v>88.697819104426799</v>
          </cell>
          <cell r="L74">
            <v>65.267827823774411</v>
          </cell>
          <cell r="M74">
            <v>52.571584888879748</v>
          </cell>
          <cell r="N74">
            <v>54.794631162837476</v>
          </cell>
          <cell r="O74">
            <v>66.725679609412254</v>
          </cell>
          <cell r="P74">
            <v>55.115762958963302</v>
          </cell>
        </row>
        <row r="75">
          <cell r="B75">
            <v>78.042654153726133</v>
          </cell>
          <cell r="C75">
            <v>91.07297408650993</v>
          </cell>
          <cell r="D75">
            <v>62.227216100279527</v>
          </cell>
          <cell r="E75">
            <v>60.231078457350549</v>
          </cell>
          <cell r="F75">
            <v>55.086745701671546</v>
          </cell>
          <cell r="G75">
            <v>56.624940299266044</v>
          </cell>
          <cell r="H75">
            <v>65.800779488225658</v>
          </cell>
          <cell r="I75">
            <v>59.722367280273495</v>
          </cell>
          <cell r="J75">
            <v>69.904817829695276</v>
          </cell>
          <cell r="K75">
            <v>85.607134401016481</v>
          </cell>
          <cell r="L75">
            <v>74.491795844752446</v>
          </cell>
          <cell r="M75">
            <v>52.468169317334983</v>
          </cell>
          <cell r="N75">
            <v>55.311111918128134</v>
          </cell>
          <cell r="O75">
            <v>68.835109449656244</v>
          </cell>
          <cell r="P75">
            <v>55.165762958963299</v>
          </cell>
        </row>
        <row r="76">
          <cell r="B76">
            <v>78.120871499001595</v>
          </cell>
          <cell r="C76">
            <v>91.357989317699193</v>
          </cell>
          <cell r="D76">
            <v>42.91384</v>
          </cell>
          <cell r="E76">
            <v>48.861889069447422</v>
          </cell>
          <cell r="F76">
            <v>43.830745450559412</v>
          </cell>
          <cell r="G76">
            <v>43.681911772318486</v>
          </cell>
          <cell r="H76">
            <v>53.612533673536348</v>
          </cell>
          <cell r="I76">
            <v>50.955263974605209</v>
          </cell>
          <cell r="J76">
            <v>57.208958555083846</v>
          </cell>
          <cell r="K76">
            <v>69.913983092159484</v>
          </cell>
          <cell r="L76">
            <v>42.446835</v>
          </cell>
          <cell r="M76">
            <v>44.493923386084006</v>
          </cell>
          <cell r="N76">
            <v>47.523689146393238</v>
          </cell>
          <cell r="O76">
            <v>49.402135877616494</v>
          </cell>
          <cell r="P76">
            <v>46.285141036238926</v>
          </cell>
        </row>
        <row r="77">
          <cell r="B77">
            <v>45.620139999999999</v>
          </cell>
          <cell r="C77">
            <v>44.833530000000003</v>
          </cell>
          <cell r="D77">
            <v>39.448689999999999</v>
          </cell>
          <cell r="E77">
            <v>43.586887486220917</v>
          </cell>
          <cell r="F77">
            <v>37.709112152726576</v>
          </cell>
          <cell r="G77">
            <v>35.53887055177578</v>
          </cell>
          <cell r="H77">
            <v>58.509498113065099</v>
          </cell>
          <cell r="I77">
            <v>52.228584966158714</v>
          </cell>
          <cell r="J77">
            <v>59.196790216058631</v>
          </cell>
          <cell r="K77">
            <v>71.668844806468968</v>
          </cell>
          <cell r="L77">
            <v>40.657724999999999</v>
          </cell>
          <cell r="M77">
            <v>39.054076410443045</v>
          </cell>
          <cell r="N77">
            <v>42.629664208595678</v>
          </cell>
          <cell r="O77">
            <v>45.443952647833804</v>
          </cell>
          <cell r="P77">
            <v>39.282575705352031</v>
          </cell>
        </row>
        <row r="78">
          <cell r="B78">
            <v>49.751690000000004</v>
          </cell>
          <cell r="C78">
            <v>48.898969999999998</v>
          </cell>
          <cell r="D78">
            <v>38.973460000000003</v>
          </cell>
          <cell r="E78">
            <v>44.064696841684238</v>
          </cell>
          <cell r="F78">
            <v>38.325806657142863</v>
          </cell>
          <cell r="G78">
            <v>35.815941643103429</v>
          </cell>
          <cell r="H78">
            <v>57.804587490800309</v>
          </cell>
          <cell r="I78">
            <v>52.079929144077632</v>
          </cell>
          <cell r="J78">
            <v>59.805265857848596</v>
          </cell>
          <cell r="K78">
            <v>69.624867627096464</v>
          </cell>
          <cell r="L78">
            <v>44.444762999999995</v>
          </cell>
          <cell r="M78">
            <v>37.369459512353295</v>
          </cell>
          <cell r="N78">
            <v>42.601854461053613</v>
          </cell>
          <cell r="O78">
            <v>49.684444230161503</v>
          </cell>
          <cell r="P78">
            <v>38.651108125477883</v>
          </cell>
        </row>
        <row r="79">
          <cell r="B79">
            <v>54.104551692983442</v>
          </cell>
          <cell r="C79">
            <v>54.72219525999671</v>
          </cell>
          <cell r="D79">
            <v>52.782193275881689</v>
          </cell>
          <cell r="E79">
            <v>52.443736616906186</v>
          </cell>
          <cell r="F79">
            <v>47.121908638386664</v>
          </cell>
          <cell r="G79">
            <v>46.655119885311755</v>
          </cell>
          <cell r="H79">
            <v>70.957385853676527</v>
          </cell>
          <cell r="I79">
            <v>57.778380907400766</v>
          </cell>
          <cell r="J79">
            <v>65.694978878432991</v>
          </cell>
          <cell r="K79">
            <v>77.97252422894509</v>
          </cell>
          <cell r="L79">
            <v>58.28714006254976</v>
          </cell>
          <cell r="M79">
            <v>41.835730286692339</v>
          </cell>
          <cell r="N79">
            <v>46.666301501759989</v>
          </cell>
          <cell r="O79">
            <v>63.509168555636023</v>
          </cell>
          <cell r="P79">
            <v>45.244161021193108</v>
          </cell>
        </row>
        <row r="80">
          <cell r="B80">
            <v>48.853183953014813</v>
          </cell>
          <cell r="C80">
            <v>49.08053597884043</v>
          </cell>
          <cell r="D80">
            <v>50.658072653506068</v>
          </cell>
          <cell r="E80">
            <v>53.304992222932384</v>
          </cell>
          <cell r="F80">
            <v>47.226394748490158</v>
          </cell>
          <cell r="G80">
            <v>47.135323777912042</v>
          </cell>
          <cell r="H80">
            <v>70.052002543558373</v>
          </cell>
          <cell r="I80">
            <v>57.405222463531253</v>
          </cell>
          <cell r="J80">
            <v>65.077500292390582</v>
          </cell>
          <cell r="K80">
            <v>74.53239776131511</v>
          </cell>
          <cell r="L80">
            <v>53.616132061676595</v>
          </cell>
          <cell r="M80">
            <v>43.737709809585269</v>
          </cell>
          <cell r="N80">
            <v>47.46553934321777</v>
          </cell>
          <cell r="O80">
            <v>55.41514818982472</v>
          </cell>
          <cell r="P80">
            <v>45.840634808471023</v>
          </cell>
        </row>
        <row r="81">
          <cell r="B81">
            <v>39.595660000000002</v>
          </cell>
          <cell r="C81">
            <v>38.986519999999999</v>
          </cell>
          <cell r="D81">
            <v>38.370010000000001</v>
          </cell>
          <cell r="E81">
            <v>48.126432885763229</v>
          </cell>
          <cell r="F81">
            <v>41.494805062049366</v>
          </cell>
          <cell r="G81">
            <v>40.085834145515648</v>
          </cell>
          <cell r="H81">
            <v>58.092699058074132</v>
          </cell>
          <cell r="I81">
            <v>52.471885561273361</v>
          </cell>
          <cell r="J81">
            <v>60.648361654447982</v>
          </cell>
          <cell r="K81">
            <v>69.530975409068816</v>
          </cell>
          <cell r="L81">
            <v>35.379360000000005</v>
          </cell>
          <cell r="M81">
            <v>40.525470453075108</v>
          </cell>
          <cell r="N81">
            <v>44.366745634631791</v>
          </cell>
          <cell r="O81">
            <v>45.487546959641094</v>
          </cell>
          <cell r="P81">
            <v>41.095673975913684</v>
          </cell>
        </row>
        <row r="82">
          <cell r="B82">
            <v>37.462800000000001</v>
          </cell>
          <cell r="C82">
            <v>36.885010000000001</v>
          </cell>
          <cell r="D82">
            <v>39.446730000000002</v>
          </cell>
          <cell r="E82">
            <v>44.172674034228066</v>
          </cell>
          <cell r="F82">
            <v>38.496804600787556</v>
          </cell>
          <cell r="G82">
            <v>36.537467055597283</v>
          </cell>
          <cell r="H82">
            <v>52.140537662486452</v>
          </cell>
          <cell r="I82">
            <v>46.041602895365479</v>
          </cell>
          <cell r="J82">
            <v>56.838132911809623</v>
          </cell>
          <cell r="K82">
            <v>60.590416177454422</v>
          </cell>
          <cell r="L82">
            <v>33.481422000000002</v>
          </cell>
          <cell r="M82">
            <v>40.426025430372732</v>
          </cell>
          <cell r="N82">
            <v>43.942883972248069</v>
          </cell>
          <cell r="O82">
            <v>41.679928356373424</v>
          </cell>
          <cell r="P82">
            <v>40.815023780988739</v>
          </cell>
        </row>
        <row r="83">
          <cell r="B83">
            <v>36.242179999999998</v>
          </cell>
          <cell r="C83">
            <v>35.762059999999998</v>
          </cell>
          <cell r="D83">
            <v>37.748669999999997</v>
          </cell>
          <cell r="E83">
            <v>40.540824308704245</v>
          </cell>
          <cell r="F83">
            <v>34.948453178148206</v>
          </cell>
          <cell r="G83">
            <v>34.834177667957213</v>
          </cell>
          <cell r="H83">
            <v>48.961004039633288</v>
          </cell>
          <cell r="I83">
            <v>43.077807162758916</v>
          </cell>
          <cell r="J83">
            <v>53.474574572006894</v>
          </cell>
          <cell r="K83">
            <v>59.461140745770038</v>
          </cell>
          <cell r="L83">
            <v>32.212296000000002</v>
          </cell>
          <cell r="M83">
            <v>36.374529693944339</v>
          </cell>
          <cell r="N83">
            <v>39.808080202621021</v>
          </cell>
          <cell r="O83">
            <v>37.179978950881107</v>
          </cell>
          <cell r="P83">
            <v>35.42008882499001</v>
          </cell>
        </row>
        <row r="84">
          <cell r="B84">
            <v>42.852150557972671</v>
          </cell>
          <cell r="C84">
            <v>44.32075727086395</v>
          </cell>
          <cell r="D84">
            <v>41.686419999999998</v>
          </cell>
          <cell r="E84">
            <v>45.123085885284262</v>
          </cell>
          <cell r="F84">
            <v>40.039762414051026</v>
          </cell>
          <cell r="G84">
            <v>38.479867541719607</v>
          </cell>
          <cell r="H84">
            <v>51.822864158145798</v>
          </cell>
          <cell r="I84">
            <v>46.998205282325486</v>
          </cell>
          <cell r="J84">
            <v>53.460863722341131</v>
          </cell>
          <cell r="K84">
            <v>64.77082629199505</v>
          </cell>
          <cell r="L84">
            <v>33.089022</v>
          </cell>
          <cell r="M84">
            <v>39.609295621363749</v>
          </cell>
          <cell r="N84">
            <v>41.834913631228524</v>
          </cell>
          <cell r="O84">
            <v>46.644297985579996</v>
          </cell>
          <cell r="P84">
            <v>39.512700488578041</v>
          </cell>
        </row>
        <row r="85">
          <cell r="B85">
            <v>67.496961935429326</v>
          </cell>
          <cell r="C85">
            <v>76.81052260340681</v>
          </cell>
          <cell r="D85">
            <v>53.402150828787775</v>
          </cell>
          <cell r="E85">
            <v>53.444124282633084</v>
          </cell>
          <cell r="F85">
            <v>49.318200390323909</v>
          </cell>
          <cell r="G85">
            <v>49.490651554377877</v>
          </cell>
          <cell r="H85">
            <v>63.939073755585213</v>
          </cell>
          <cell r="I85">
            <v>55.238525317879066</v>
          </cell>
          <cell r="J85">
            <v>63.594053663336894</v>
          </cell>
          <cell r="K85">
            <v>75.987139193104824</v>
          </cell>
          <cell r="L85">
            <v>62.155033976848806</v>
          </cell>
          <cell r="M85">
            <v>46.436374206795442</v>
          </cell>
          <cell r="N85">
            <v>49.984703603482977</v>
          </cell>
          <cell r="O85">
            <v>54.145409111213411</v>
          </cell>
          <cell r="P85">
            <v>47.222955214629245</v>
          </cell>
        </row>
        <row r="86">
          <cell r="B86">
            <v>71.309729063752528</v>
          </cell>
          <cell r="C86">
            <v>81.258616548664705</v>
          </cell>
          <cell r="D86">
            <v>57.793292115221952</v>
          </cell>
          <cell r="E86">
            <v>57.079462024897232</v>
          </cell>
          <cell r="F86">
            <v>51.833807353121813</v>
          </cell>
          <cell r="G86">
            <v>52.883621152334896</v>
          </cell>
          <cell r="H86">
            <v>64.31027486282062</v>
          </cell>
          <cell r="I86">
            <v>56.968272765703148</v>
          </cell>
          <cell r="J86">
            <v>64.363388580919775</v>
          </cell>
          <cell r="K86">
            <v>85.41132579850904</v>
          </cell>
          <cell r="L86">
            <v>66.508377925176006</v>
          </cell>
          <cell r="M86">
            <v>49.883544067522756</v>
          </cell>
          <cell r="N86">
            <v>52.340147492449475</v>
          </cell>
          <cell r="O86">
            <v>65.112812803101576</v>
          </cell>
          <cell r="P86">
            <v>52.562880103505528</v>
          </cell>
        </row>
        <row r="87">
          <cell r="B87">
            <v>80.116456539735537</v>
          </cell>
          <cell r="C87">
            <v>91.63078131165102</v>
          </cell>
          <cell r="D87">
            <v>59.561321911843436</v>
          </cell>
          <cell r="E87">
            <v>58.580897930567296</v>
          </cell>
          <cell r="F87">
            <v>52.674329464574733</v>
          </cell>
          <cell r="G87">
            <v>54.038298738898334</v>
          </cell>
          <cell r="H87">
            <v>62.297513685496853</v>
          </cell>
          <cell r="I87">
            <v>56.915763667781853</v>
          </cell>
          <cell r="J87">
            <v>65.213708762234475</v>
          </cell>
          <cell r="K87">
            <v>82.732923739747051</v>
          </cell>
          <cell r="L87">
            <v>75.174531885296517</v>
          </cell>
          <cell r="M87">
            <v>49.771719782020298</v>
          </cell>
          <cell r="N87">
            <v>52.666063363297646</v>
          </cell>
          <cell r="O87">
            <v>67.281044328529106</v>
          </cell>
          <cell r="P87">
            <v>52.351805467955003</v>
          </cell>
        </row>
        <row r="88">
          <cell r="B88">
            <v>79.907191812085713</v>
          </cell>
          <cell r="C88">
            <v>91.431513704746664</v>
          </cell>
          <cell r="D88">
            <v>40.401629999999997</v>
          </cell>
          <cell r="E88">
            <v>46.896042108961382</v>
          </cell>
          <cell r="F88">
            <v>42.184332332314483</v>
          </cell>
          <cell r="G88">
            <v>41.974516244063771</v>
          </cell>
          <cell r="H88">
            <v>51.316998381100447</v>
          </cell>
          <cell r="I88">
            <v>48.536871431835557</v>
          </cell>
          <cell r="J88">
            <v>53.785675431918108</v>
          </cell>
          <cell r="K88">
            <v>66.957964622690383</v>
          </cell>
          <cell r="L88">
            <v>39.779433000000004</v>
          </cell>
          <cell r="M88">
            <v>42.509756063527085</v>
          </cell>
          <cell r="N88">
            <v>45.769645587541007</v>
          </cell>
          <cell r="O88">
            <v>46.733510285871894</v>
          </cell>
          <cell r="P88">
            <v>44.526039131909627</v>
          </cell>
        </row>
        <row r="89">
          <cell r="B89">
            <v>42.955750000000002</v>
          </cell>
          <cell r="C89">
            <v>42.121360000000003</v>
          </cell>
          <cell r="D89">
            <v>36.806699999999999</v>
          </cell>
          <cell r="E89">
            <v>42.58774134397639</v>
          </cell>
          <cell r="F89">
            <v>37.128538206276474</v>
          </cell>
          <cell r="G89">
            <v>35.509080821974166</v>
          </cell>
          <cell r="H89">
            <v>55.616701781708045</v>
          </cell>
          <cell r="I89">
            <v>48.923928021577773</v>
          </cell>
          <cell r="J89">
            <v>55.300296026142341</v>
          </cell>
          <cell r="K89">
            <v>66.83818989107894</v>
          </cell>
          <cell r="L89">
            <v>38.376396</v>
          </cell>
          <cell r="M89">
            <v>38.60664347201643</v>
          </cell>
          <cell r="N89">
            <v>41.988761474166608</v>
          </cell>
          <cell r="O89">
            <v>44.584877642848873</v>
          </cell>
          <cell r="P89">
            <v>39.136170269739658</v>
          </cell>
        </row>
        <row r="90">
          <cell r="B90">
            <v>47.322859999999999</v>
          </cell>
          <cell r="C90">
            <v>46.2624</v>
          </cell>
          <cell r="D90">
            <v>37.011139999999997</v>
          </cell>
          <cell r="E90">
            <v>43.839417614815197</v>
          </cell>
          <cell r="F90">
            <v>37.964054859620191</v>
          </cell>
          <cell r="G90">
            <v>36.075934945247283</v>
          </cell>
          <cell r="H90">
            <v>54.902258890413272</v>
          </cell>
          <cell r="I90">
            <v>48.919015296804766</v>
          </cell>
          <cell r="J90">
            <v>56.087102986785936</v>
          </cell>
          <cell r="K90">
            <v>65.742228920587237</v>
          </cell>
          <cell r="L90">
            <v>42.336117000000002</v>
          </cell>
          <cell r="M90">
            <v>37.935169975941989</v>
          </cell>
          <cell r="N90">
            <v>42.424926846717483</v>
          </cell>
          <cell r="O90">
            <v>48.599213462792733</v>
          </cell>
          <cell r="P90">
            <v>39.219539977996938</v>
          </cell>
        </row>
        <row r="91">
          <cell r="B91">
            <v>51.317430469272217</v>
          </cell>
          <cell r="C91">
            <v>51.50466356033369</v>
          </cell>
          <cell r="D91">
            <v>50.083217265018661</v>
          </cell>
          <cell r="E91">
            <v>51.661222392901301</v>
          </cell>
          <cell r="F91">
            <v>46.53171907453369</v>
          </cell>
          <cell r="G91">
            <v>45.968782865989766</v>
          </cell>
          <cell r="H91">
            <v>68.498569580569139</v>
          </cell>
          <cell r="I91">
            <v>54.596571381403145</v>
          </cell>
          <cell r="J91">
            <v>61.802508797909908</v>
          </cell>
          <cell r="K91">
            <v>74.007100377234906</v>
          </cell>
          <cell r="L91">
            <v>56.440089967187767</v>
          </cell>
          <cell r="M91">
            <v>42.027318666467323</v>
          </cell>
          <cell r="N91">
            <v>45.968757955844445</v>
          </cell>
          <cell r="O91">
            <v>62.831247565276215</v>
          </cell>
          <cell r="P91">
            <v>44.946116382851613</v>
          </cell>
        </row>
        <row r="92">
          <cell r="B92">
            <v>43.097267123059467</v>
          </cell>
          <cell r="C92">
            <v>44.20847707957185</v>
          </cell>
          <cell r="D92">
            <v>47.451726587287382</v>
          </cell>
          <cell r="E92">
            <v>50.262768073437428</v>
          </cell>
          <cell r="F92">
            <v>44.405360004604795</v>
          </cell>
          <cell r="G92">
            <v>44.036374063530594</v>
          </cell>
          <cell r="H92">
            <v>65.74819846983938</v>
          </cell>
          <cell r="I92">
            <v>51.534630387059416</v>
          </cell>
          <cell r="J92">
            <v>58.81592638406029</v>
          </cell>
          <cell r="K92">
            <v>66.83541406708963</v>
          </cell>
          <cell r="L92">
            <v>47.481786700591591</v>
          </cell>
          <cell r="M92">
            <v>40.375007163410167</v>
          </cell>
          <cell r="N92">
            <v>44.121245055130117</v>
          </cell>
          <cell r="O92">
            <v>52.49252211999459</v>
          </cell>
          <cell r="P92">
            <v>42.803486556643797</v>
          </cell>
        </row>
        <row r="93">
          <cell r="B93">
            <v>35.845849999999999</v>
          </cell>
          <cell r="C93">
            <v>35.266770000000001</v>
          </cell>
          <cell r="D93">
            <v>36.358220000000003</v>
          </cell>
          <cell r="E93">
            <v>45.65848349913275</v>
          </cell>
          <cell r="F93">
            <v>39.274670421332196</v>
          </cell>
          <cell r="G93">
            <v>38.318976220230375</v>
          </cell>
          <cell r="H93">
            <v>53.358831069196341</v>
          </cell>
          <cell r="I93">
            <v>47.268976329421733</v>
          </cell>
          <cell r="J93">
            <v>54.895805262596561</v>
          </cell>
          <cell r="K93">
            <v>62.493500867465706</v>
          </cell>
          <cell r="L93">
            <v>32.047100999999998</v>
          </cell>
          <cell r="M93">
            <v>38.829173395172035</v>
          </cell>
          <cell r="N93">
            <v>41.937698163176378</v>
          </cell>
          <cell r="O93">
            <v>43.127308825744933</v>
          </cell>
          <cell r="P93">
            <v>39.176284241175445</v>
          </cell>
        </row>
        <row r="94">
          <cell r="B94">
            <v>33.933920000000001</v>
          </cell>
          <cell r="C94">
            <v>33.356569999999998</v>
          </cell>
          <cell r="D94">
            <v>35.20758</v>
          </cell>
          <cell r="E94">
            <v>42.543964686424687</v>
          </cell>
          <cell r="F94">
            <v>37.314233362928221</v>
          </cell>
          <cell r="G94">
            <v>35.207783652417362</v>
          </cell>
          <cell r="H94">
            <v>47.859021575751029</v>
          </cell>
          <cell r="I94">
            <v>42.65354727310941</v>
          </cell>
          <cell r="J94">
            <v>52.799782924518013</v>
          </cell>
          <cell r="K94">
            <v>54.219799404286277</v>
          </cell>
          <cell r="L94">
            <v>30.385368</v>
          </cell>
          <cell r="M94">
            <v>38.699348958810219</v>
          </cell>
          <cell r="N94">
            <v>42.564730340687916</v>
          </cell>
          <cell r="O94">
            <v>40.000451228866822</v>
          </cell>
          <cell r="P94">
            <v>39.2680651407345</v>
          </cell>
        </row>
        <row r="95">
          <cell r="B95">
            <v>32.952190000000002</v>
          </cell>
          <cell r="C95">
            <v>32.414999999999999</v>
          </cell>
          <cell r="D95">
            <v>33.935870000000001</v>
          </cell>
          <cell r="E95">
            <v>39.570222190626474</v>
          </cell>
          <cell r="F95">
            <v>34.253566012262013</v>
          </cell>
          <cell r="G95">
            <v>33.682617637496392</v>
          </cell>
          <cell r="H95">
            <v>44.49840054420666</v>
          </cell>
          <cell r="I95">
            <v>40.083172844947796</v>
          </cell>
          <cell r="J95">
            <v>50.423225489353726</v>
          </cell>
          <cell r="K95">
            <v>54.044391137864181</v>
          </cell>
          <cell r="L95">
            <v>29.262708</v>
          </cell>
          <cell r="M95">
            <v>34.231469436608833</v>
          </cell>
          <cell r="N95">
            <v>38.407885955202339</v>
          </cell>
          <cell r="O95">
            <v>34.587343343120587</v>
          </cell>
          <cell r="P95">
            <v>34.190201163486179</v>
          </cell>
        </row>
        <row r="96">
          <cell r="B96">
            <v>38.240685945451112</v>
          </cell>
          <cell r="C96">
            <v>40.954978045788508</v>
          </cell>
          <cell r="D96">
            <v>37.57405</v>
          </cell>
          <cell r="E96">
            <v>42.618637880513369</v>
          </cell>
          <cell r="F96">
            <v>37.947842541634671</v>
          </cell>
          <cell r="G96">
            <v>37.010375095343782</v>
          </cell>
          <cell r="H96">
            <v>47.213753469513456</v>
          </cell>
          <cell r="I96">
            <v>43.486977844623041</v>
          </cell>
          <cell r="J96">
            <v>49.581425825071051</v>
          </cell>
          <cell r="K96">
            <v>59.095715302776874</v>
          </cell>
          <cell r="L96">
            <v>30.034926000000002</v>
          </cell>
          <cell r="M96">
            <v>37.653368414846398</v>
          </cell>
          <cell r="N96">
            <v>40.442346925652657</v>
          </cell>
          <cell r="O96">
            <v>42.819514147843051</v>
          </cell>
          <cell r="P96">
            <v>37.594747218202457</v>
          </cell>
        </row>
        <row r="97">
          <cell r="B97">
            <v>57.876635796659556</v>
          </cell>
          <cell r="C97">
            <v>74.044569634711365</v>
          </cell>
          <cell r="D97">
            <v>49.621274185231414</v>
          </cell>
          <cell r="E97">
            <v>49.304774268654818</v>
          </cell>
          <cell r="F97">
            <v>46.05510596127948</v>
          </cell>
          <cell r="G97">
            <v>46.016971851012883</v>
          </cell>
          <cell r="H97">
            <v>59.54243058200295</v>
          </cell>
          <cell r="I97">
            <v>52.019583595837702</v>
          </cell>
          <cell r="J97">
            <v>59.365275866262046</v>
          </cell>
          <cell r="K97">
            <v>71.899047149158648</v>
          </cell>
          <cell r="L97">
            <v>56.03254110742887</v>
          </cell>
          <cell r="M97">
            <v>42.63320753115903</v>
          </cell>
          <cell r="N97">
            <v>46.171640711795739</v>
          </cell>
          <cell r="O97">
            <v>50.117305394087744</v>
          </cell>
          <cell r="P97">
            <v>43.614192294737435</v>
          </cell>
        </row>
        <row r="98">
          <cell r="B98">
            <v>61.555239834998062</v>
          </cell>
          <cell r="C98">
            <v>78.738548974921486</v>
          </cell>
          <cell r="D98">
            <v>53.705082017130437</v>
          </cell>
          <cell r="E98">
            <v>53.177531799443727</v>
          </cell>
          <cell r="F98">
            <v>48.310181040773728</v>
          </cell>
          <cell r="G98">
            <v>49.002258316695617</v>
          </cell>
          <cell r="H98">
            <v>59.521600368708519</v>
          </cell>
          <cell r="I98">
            <v>53.276226126826593</v>
          </cell>
          <cell r="J98">
            <v>59.3830926541482</v>
          </cell>
          <cell r="K98">
            <v>81.791804809301638</v>
          </cell>
          <cell r="L98">
            <v>60.629735810218037</v>
          </cell>
          <cell r="M98">
            <v>45.469036484325123</v>
          </cell>
          <cell r="N98">
            <v>48.684699536411379</v>
          </cell>
          <cell r="O98">
            <v>62.375299143080817</v>
          </cell>
          <cell r="P98">
            <v>48.448476706942408</v>
          </cell>
        </row>
        <row r="99">
          <cell r="B99">
            <v>68.909004193585858</v>
          </cell>
          <cell r="C99">
            <v>88.436964506627191</v>
          </cell>
          <cell r="D99">
            <v>55.20824043344885</v>
          </cell>
          <cell r="E99">
            <v>54.818839245582332</v>
          </cell>
          <cell r="F99">
            <v>49.102463979862769</v>
          </cell>
          <cell r="G99">
            <v>49.901353438481692</v>
          </cell>
          <cell r="H99">
            <v>58.920892359771329</v>
          </cell>
          <cell r="I99">
            <v>53.671551206680292</v>
          </cell>
          <cell r="J99">
            <v>60.394521272421457</v>
          </cell>
          <cell r="K99">
            <v>80.223407003064864</v>
          </cell>
          <cell r="L99">
            <v>68.160008339087653</v>
          </cell>
          <cell r="M99">
            <v>45.542836603446837</v>
          </cell>
          <cell r="N99">
            <v>48.810022140212737</v>
          </cell>
          <cell r="O99">
            <v>64.636373959584475</v>
          </cell>
          <cell r="P99">
            <v>48.31720404398083</v>
          </cell>
        </row>
        <row r="100">
          <cell r="B100">
            <v>67.768125747509799</v>
          </cell>
          <cell r="C100">
            <v>87.271722435609547</v>
          </cell>
          <cell r="D100">
            <v>36.571730000000002</v>
          </cell>
          <cell r="E100">
            <v>44.320893066663459</v>
          </cell>
          <cell r="F100">
            <v>39.413840290836184</v>
          </cell>
          <cell r="G100">
            <v>39.021274930937381</v>
          </cell>
          <cell r="H100">
            <v>47.57098314784951</v>
          </cell>
          <cell r="I100">
            <v>44.94902761622901</v>
          </cell>
          <cell r="J100">
            <v>50.013488612592738</v>
          </cell>
          <cell r="K100">
            <v>61.332789452706109</v>
          </cell>
          <cell r="L100">
            <v>36.245268000000003</v>
          </cell>
          <cell r="M100">
            <v>39.024431473293056</v>
          </cell>
          <cell r="N100">
            <v>42.574313797989547</v>
          </cell>
          <cell r="O100">
            <v>42.965564015475877</v>
          </cell>
          <cell r="P100">
            <v>41.27799862081892</v>
          </cell>
        </row>
        <row r="101">
          <cell r="B101">
            <v>38.632370000000002</v>
          </cell>
          <cell r="C101">
            <v>37.833759999999998</v>
          </cell>
          <cell r="D101">
            <v>32.644840000000002</v>
          </cell>
          <cell r="E101">
            <v>42.079328662134763</v>
          </cell>
          <cell r="F101">
            <v>36.206711123040158</v>
          </cell>
          <cell r="G101">
            <v>34.365918610661545</v>
          </cell>
          <cell r="H101">
            <v>50.643674392118875</v>
          </cell>
          <cell r="I101">
            <v>44.392500734893275</v>
          </cell>
          <cell r="J101">
            <v>49.955112026948335</v>
          </cell>
          <cell r="K101">
            <v>60.131768736692976</v>
          </cell>
          <cell r="L101">
            <v>34.468677</v>
          </cell>
          <cell r="M101">
            <v>37.245050397506901</v>
          </cell>
          <cell r="N101">
            <v>40.684811904202931</v>
          </cell>
          <cell r="O101">
            <v>42.443815384613714</v>
          </cell>
          <cell r="P101">
            <v>38.002595300544876</v>
          </cell>
        </row>
        <row r="102">
          <cell r="B102">
            <v>43.285350000000001</v>
          </cell>
          <cell r="C102">
            <v>42.498550000000002</v>
          </cell>
          <cell r="D102">
            <v>33.272300000000001</v>
          </cell>
          <cell r="E102">
            <v>42.702830258164063</v>
          </cell>
          <cell r="F102">
            <v>36.580225909986019</v>
          </cell>
          <cell r="G102">
            <v>34.916075888940497</v>
          </cell>
          <cell r="H102">
            <v>49.982987004968081</v>
          </cell>
          <cell r="I102">
            <v>44.844093271806273</v>
          </cell>
          <cell r="J102">
            <v>51.432180635448823</v>
          </cell>
          <cell r="K102">
            <v>59.167441465872514</v>
          </cell>
          <cell r="L102">
            <v>38.751425999999995</v>
          </cell>
          <cell r="M102">
            <v>36.916367793985607</v>
          </cell>
          <cell r="N102">
            <v>40.924134344731854</v>
          </cell>
          <cell r="O102">
            <v>46.344276059674549</v>
          </cell>
          <cell r="P102">
            <v>38.252200386567388</v>
          </cell>
        </row>
        <row r="103">
          <cell r="B103">
            <v>46.460539001331611</v>
          </cell>
          <cell r="C103">
            <v>47.618631296474071</v>
          </cell>
          <cell r="D103">
            <v>46.907439875632946</v>
          </cell>
          <cell r="E103">
            <v>48.923460754734037</v>
          </cell>
          <cell r="F103">
            <v>43.738018486038015</v>
          </cell>
          <cell r="G103">
            <v>43.381492609784871</v>
          </cell>
          <cell r="H103">
            <v>64.865293109911804</v>
          </cell>
          <cell r="I103">
            <v>49.633183115455701</v>
          </cell>
          <cell r="J103">
            <v>56.346548042002432</v>
          </cell>
          <cell r="K103">
            <v>66.997204205923808</v>
          </cell>
          <cell r="L103">
            <v>51.208052129676176</v>
          </cell>
          <cell r="M103">
            <v>40.16947577171365</v>
          </cell>
          <cell r="N103">
            <v>43.0300312888401</v>
          </cell>
          <cell r="O103">
            <v>60.079386723655311</v>
          </cell>
          <cell r="P103">
            <v>42.565467603908409</v>
          </cell>
        </row>
        <row r="104">
          <cell r="B104">
            <v>44.023840501910037</v>
          </cell>
          <cell r="C104">
            <v>45.750973477943809</v>
          </cell>
          <cell r="D104">
            <v>48.797225669815887</v>
          </cell>
          <cell r="E104">
            <v>50.446799457434977</v>
          </cell>
          <cell r="F104">
            <v>45.000437594230675</v>
          </cell>
          <cell r="G104">
            <v>44.964309249770764</v>
          </cell>
          <cell r="H104">
            <v>66.814776571284852</v>
          </cell>
          <cell r="I104">
            <v>52.652056088556392</v>
          </cell>
          <cell r="J104">
            <v>59.593253707435885</v>
          </cell>
          <cell r="K104">
            <v>68.234894226763842</v>
          </cell>
          <cell r="L104">
            <v>48.30396275593894</v>
          </cell>
          <cell r="M104">
            <v>40.608043443039136</v>
          </cell>
          <cell r="N104">
            <v>45.106316414919867</v>
          </cell>
          <cell r="O104">
            <v>53.036162204264159</v>
          </cell>
          <cell r="P104">
            <v>43.993692770554766</v>
          </cell>
        </row>
        <row r="105">
          <cell r="B105">
            <v>36.914400000000001</v>
          </cell>
          <cell r="C105">
            <v>36.295029999999997</v>
          </cell>
          <cell r="D105">
            <v>36.811199999999999</v>
          </cell>
          <cell r="E105">
            <v>46.15522179806603</v>
          </cell>
          <cell r="F105">
            <v>40.062631629962013</v>
          </cell>
          <cell r="G105">
            <v>39.727218980123027</v>
          </cell>
          <cell r="H105">
            <v>54.554798717635734</v>
          </cell>
          <cell r="I105">
            <v>47.997816797489065</v>
          </cell>
          <cell r="J105">
            <v>55.72808259147191</v>
          </cell>
          <cell r="K105">
            <v>64.257074281671322</v>
          </cell>
          <cell r="L105">
            <v>33.058242</v>
          </cell>
          <cell r="M105">
            <v>40.33537543571903</v>
          </cell>
          <cell r="N105">
            <v>43.472775297866463</v>
          </cell>
          <cell r="O105">
            <v>44.09664206469543</v>
          </cell>
          <cell r="P105">
            <v>41.246449097121648</v>
          </cell>
        </row>
        <row r="106">
          <cell r="B106">
            <v>34.55603</v>
          </cell>
          <cell r="C106">
            <v>33.954039999999999</v>
          </cell>
          <cell r="D106">
            <v>36.065109999999997</v>
          </cell>
          <cell r="E106">
            <v>42.497753844326894</v>
          </cell>
          <cell r="F106">
            <v>37.366325674019606</v>
          </cell>
          <cell r="G106">
            <v>36.240462174723518</v>
          </cell>
          <cell r="H106">
            <v>49.005813680649609</v>
          </cell>
          <cell r="I106">
            <v>42.935270087764877</v>
          </cell>
          <cell r="J106">
            <v>52.832774559381242</v>
          </cell>
          <cell r="K106">
            <v>55.758813419047286</v>
          </cell>
          <cell r="L106">
            <v>30.89817</v>
          </cell>
          <cell r="M106">
            <v>39.967520508998312</v>
          </cell>
          <cell r="N106">
            <v>43.229290433808224</v>
          </cell>
          <cell r="O106">
            <v>40.521487586225767</v>
          </cell>
          <cell r="P106">
            <v>41.335950214186894</v>
          </cell>
        </row>
        <row r="107">
          <cell r="B107">
            <v>33.976390000000002</v>
          </cell>
          <cell r="C107">
            <v>33.455710000000003</v>
          </cell>
          <cell r="D107">
            <v>34.617719999999998</v>
          </cell>
          <cell r="E107">
            <v>39.634440107382503</v>
          </cell>
          <cell r="F107">
            <v>34.54355254800867</v>
          </cell>
          <cell r="G107">
            <v>34.852207534316342</v>
          </cell>
          <cell r="H107">
            <v>45.89424813744953</v>
          </cell>
          <cell r="I107">
            <v>40.502005350643692</v>
          </cell>
          <cell r="J107">
            <v>50.541529990449078</v>
          </cell>
          <cell r="K107">
            <v>55.303099416187138</v>
          </cell>
          <cell r="L107">
            <v>30.194487000000002</v>
          </cell>
          <cell r="M107">
            <v>34.468703022135294</v>
          </cell>
          <cell r="N107">
            <v>38.71524470457706</v>
          </cell>
          <cell r="O107">
            <v>35.601504424464089</v>
          </cell>
          <cell r="P107">
            <v>35.646230552871749</v>
          </cell>
        </row>
        <row r="108">
          <cell r="B108">
            <v>39.618865358856617</v>
          </cell>
          <cell r="C108">
            <v>43.258311045509792</v>
          </cell>
          <cell r="D108">
            <v>38.575949999999999</v>
          </cell>
          <cell r="E108">
            <v>43.212457799309107</v>
          </cell>
          <cell r="F108">
            <v>38.759668944937765</v>
          </cell>
          <cell r="G108">
            <v>38.147041242425928</v>
          </cell>
          <cell r="H108">
            <v>48.274492677774518</v>
          </cell>
          <cell r="I108">
            <v>44.277124107853069</v>
          </cell>
          <cell r="J108">
            <v>49.803453292172904</v>
          </cell>
          <cell r="K108">
            <v>60.116208102907954</v>
          </cell>
          <cell r="L108">
            <v>31.161023999999998</v>
          </cell>
          <cell r="M108">
            <v>38.5852726292851</v>
          </cell>
          <cell r="N108">
            <v>41.215533661926543</v>
          </cell>
          <cell r="O108">
            <v>43.727034025908509</v>
          </cell>
          <cell r="P108">
            <v>39.139002964500619</v>
          </cell>
        </row>
        <row r="109">
          <cell r="B109">
            <v>58.546976471016933</v>
          </cell>
          <cell r="C109">
            <v>79.809468896354275</v>
          </cell>
          <cell r="D109">
            <v>52.433285533597768</v>
          </cell>
          <cell r="E109">
            <v>50.653502454466455</v>
          </cell>
          <cell r="F109">
            <v>47.598599306883912</v>
          </cell>
          <cell r="G109">
            <v>48.119765971581593</v>
          </cell>
          <cell r="H109">
            <v>61.301973852151292</v>
          </cell>
          <cell r="I109">
            <v>52.906094485102116</v>
          </cell>
          <cell r="J109">
            <v>60.080596831941158</v>
          </cell>
          <cell r="K109">
            <v>73.063994986709346</v>
          </cell>
          <cell r="L109">
            <v>56.879629218251075</v>
          </cell>
          <cell r="M109">
            <v>44.262933976288572</v>
          </cell>
          <cell r="N109">
            <v>47.516790159160593</v>
          </cell>
          <cell r="O109">
            <v>51.159838955005313</v>
          </cell>
          <cell r="P109">
            <v>45.971236148385934</v>
          </cell>
        </row>
        <row r="110">
          <cell r="B110">
            <v>62.872525237853587</v>
          </cell>
          <cell r="C110">
            <v>85.478971761218389</v>
          </cell>
          <cell r="D110">
            <v>56.831458351907287</v>
          </cell>
          <cell r="E110">
            <v>54.291349647025513</v>
          </cell>
          <cell r="F110">
            <v>49.463575560228847</v>
          </cell>
          <cell r="G110">
            <v>50.535447237799033</v>
          </cell>
          <cell r="H110">
            <v>60.606629320533891</v>
          </cell>
          <cell r="I110">
            <v>53.770758293121041</v>
          </cell>
          <cell r="J110">
            <v>60.349258278624852</v>
          </cell>
          <cell r="K110">
            <v>81.988438235915027</v>
          </cell>
          <cell r="L110">
            <v>61.916776819831767</v>
          </cell>
          <cell r="M110">
            <v>46.8020892301152</v>
          </cell>
          <cell r="N110">
            <v>49.908364184014559</v>
          </cell>
          <cell r="O110">
            <v>64.135146238766609</v>
          </cell>
          <cell r="P110">
            <v>50.440213573989617</v>
          </cell>
        </row>
        <row r="111">
          <cell r="B111">
            <v>69.818631101975825</v>
          </cell>
          <cell r="C111">
            <v>95.316656095450938</v>
          </cell>
          <cell r="D111">
            <v>58.162523917864071</v>
          </cell>
          <cell r="E111">
            <v>55.663280482650229</v>
          </cell>
          <cell r="F111">
            <v>50.318002059355457</v>
          </cell>
          <cell r="G111">
            <v>51.547954196007041</v>
          </cell>
          <cell r="H111">
            <v>60.389102530875164</v>
          </cell>
          <cell r="I111">
            <v>54.457890675795483</v>
          </cell>
          <cell r="J111">
            <v>61.446724357914221</v>
          </cell>
          <cell r="K111">
            <v>81.073886929530047</v>
          </cell>
          <cell r="L111">
            <v>68.969253666953747</v>
          </cell>
          <cell r="M111">
            <v>46.89439611539904</v>
          </cell>
          <cell r="N111">
            <v>50.398129857196814</v>
          </cell>
          <cell r="O111">
            <v>66.28815099367057</v>
          </cell>
          <cell r="P111">
            <v>50.227032098652167</v>
          </cell>
        </row>
        <row r="112">
          <cell r="B112">
            <v>68.104265941315134</v>
          </cell>
          <cell r="C112">
            <v>93.411346958313004</v>
          </cell>
          <cell r="D112">
            <v>37.814340000000001</v>
          </cell>
          <cell r="E112">
            <v>44.652378232378645</v>
          </cell>
          <cell r="F112">
            <v>39.955556406946442</v>
          </cell>
          <cell r="G112">
            <v>39.753700515063557</v>
          </cell>
          <cell r="H112">
            <v>48.509077815994502</v>
          </cell>
          <cell r="I112">
            <v>45.058503824892</v>
          </cell>
          <cell r="J112">
            <v>50.257983891484521</v>
          </cell>
          <cell r="K112">
            <v>62.375706894327635</v>
          </cell>
          <cell r="L112">
            <v>36.805581000000004</v>
          </cell>
          <cell r="M112">
            <v>39.877080227302699</v>
          </cell>
          <cell r="N112">
            <v>43.407180759929687</v>
          </cell>
          <cell r="O112">
            <v>43.58198772347837</v>
          </cell>
          <cell r="P112">
            <v>42.633185368926192</v>
          </cell>
        </row>
        <row r="113">
          <cell r="B113">
            <v>39.566830000000003</v>
          </cell>
          <cell r="C113">
            <v>38.694110000000002</v>
          </cell>
          <cell r="D113">
            <v>33.646920000000001</v>
          </cell>
          <cell r="E113">
            <v>42.339044614262065</v>
          </cell>
          <cell r="F113">
            <v>36.966879741562877</v>
          </cell>
          <cell r="G113">
            <v>35.781199461485464</v>
          </cell>
          <cell r="H113">
            <v>51.570486207288134</v>
          </cell>
          <cell r="I113">
            <v>45.626317422657387</v>
          </cell>
          <cell r="J113">
            <v>50.916610321344258</v>
          </cell>
          <cell r="K113">
            <v>61.066080317080321</v>
          </cell>
          <cell r="L113">
            <v>35.389575000000001</v>
          </cell>
          <cell r="M113">
            <v>38.531296426275446</v>
          </cell>
          <cell r="N113">
            <v>41.787342892351852</v>
          </cell>
          <cell r="O113">
            <v>43.299701390940655</v>
          </cell>
          <cell r="P113">
            <v>39.962820157483279</v>
          </cell>
        </row>
        <row r="114">
          <cell r="B114">
            <v>43.854750000000003</v>
          </cell>
          <cell r="C114">
            <v>43.065559999999998</v>
          </cell>
          <cell r="D114">
            <v>33.942450000000001</v>
          </cell>
          <cell r="E114">
            <v>43.586973776566005</v>
          </cell>
          <cell r="F114">
            <v>37.580406864711151</v>
          </cell>
          <cell r="G114">
            <v>36.495910642892113</v>
          </cell>
          <cell r="H114">
            <v>51.457390501643687</v>
          </cell>
          <cell r="I114">
            <v>46.046449501079458</v>
          </cell>
          <cell r="J114">
            <v>52.106718602479944</v>
          </cell>
          <cell r="K114">
            <v>60.113793970091805</v>
          </cell>
          <cell r="L114">
            <v>39.416741999999999</v>
          </cell>
          <cell r="M114">
            <v>38.548153576060955</v>
          </cell>
          <cell r="N114">
            <v>42.651141773347263</v>
          </cell>
          <cell r="O114">
            <v>47.094465069230125</v>
          </cell>
          <cell r="P114">
            <v>40.466355816571109</v>
          </cell>
        </row>
        <row r="115">
          <cell r="B115">
            <v>46.735250477027442</v>
          </cell>
          <cell r="C115">
            <v>48.590603603219336</v>
          </cell>
          <cell r="D115">
            <v>46.840741937342891</v>
          </cell>
          <cell r="E115">
            <v>49.562456205347814</v>
          </cell>
          <cell r="F115">
            <v>44.896899817154384</v>
          </cell>
          <cell r="G115">
            <v>44.897673337557038</v>
          </cell>
          <cell r="H115">
            <v>66.059065742007434</v>
          </cell>
          <cell r="I115">
            <v>50.428362391505829</v>
          </cell>
          <cell r="J115">
            <v>56.768347645787642</v>
          </cell>
          <cell r="K115">
            <v>68.741344771328897</v>
          </cell>
          <cell r="L115">
            <v>51.50123624250493</v>
          </cell>
          <cell r="M115">
            <v>41.67340393850462</v>
          </cell>
          <cell r="N115">
            <v>44.757224954252635</v>
          </cell>
          <cell r="O115">
            <v>60.278825588845095</v>
          </cell>
          <cell r="P115">
            <v>44.546852773008794</v>
          </cell>
        </row>
        <row r="116">
          <cell r="B116">
            <v>44.807006172973132</v>
          </cell>
          <cell r="C116">
            <v>46.728904678944183</v>
          </cell>
          <cell r="D116">
            <v>49.188422321806641</v>
          </cell>
          <cell r="E116">
            <v>52.418870373601138</v>
          </cell>
          <cell r="F116">
            <v>46.482297719612312</v>
          </cell>
          <cell r="G116">
            <v>46.697710037174211</v>
          </cell>
          <cell r="H116">
            <v>68.117571500001873</v>
          </cell>
          <cell r="I116">
            <v>53.926260432538129</v>
          </cell>
          <cell r="J116">
            <v>59.823523797950358</v>
          </cell>
          <cell r="K116">
            <v>69.188370622775849</v>
          </cell>
          <cell r="L116">
            <v>48.957103568469748</v>
          </cell>
          <cell r="M116">
            <v>42.791905696202832</v>
          </cell>
          <cell r="N116">
            <v>47.657218356875646</v>
          </cell>
          <cell r="O116">
            <v>54.221494107094401</v>
          </cell>
          <cell r="P116">
            <v>44.707670191825933</v>
          </cell>
        </row>
        <row r="117">
          <cell r="B117">
            <v>37.645119999999999</v>
          </cell>
          <cell r="C117">
            <v>37.022849999999998</v>
          </cell>
          <cell r="D117">
            <v>37.781880000000001</v>
          </cell>
          <cell r="E117">
            <v>47.805764672732913</v>
          </cell>
          <cell r="F117">
            <v>41.430383644353824</v>
          </cell>
          <cell r="G117">
            <v>41.227233270467323</v>
          </cell>
          <cell r="H117">
            <v>55.357531659434095</v>
          </cell>
          <cell r="I117">
            <v>48.693356127724805</v>
          </cell>
          <cell r="J117">
            <v>55.574417366189778</v>
          </cell>
          <cell r="K117">
            <v>65.463739217887309</v>
          </cell>
          <cell r="L117">
            <v>33.765732</v>
          </cell>
          <cell r="M117">
            <v>42.07065599922791</v>
          </cell>
          <cell r="N117">
            <v>45.923365754713963</v>
          </cell>
          <cell r="O117">
            <v>44.922655904045442</v>
          </cell>
          <cell r="P117">
            <v>42.056175983921918</v>
          </cell>
        </row>
        <row r="118">
          <cell r="B118">
            <v>35.100239999999999</v>
          </cell>
          <cell r="C118">
            <v>34.594569999999997</v>
          </cell>
          <cell r="D118">
            <v>38.208660000000002</v>
          </cell>
          <cell r="E118">
            <v>43.397278827233364</v>
          </cell>
          <cell r="F118">
            <v>38.171511144719311</v>
          </cell>
          <cell r="G118">
            <v>37.193513887455524</v>
          </cell>
          <cell r="H118">
            <v>49.914647003073227</v>
          </cell>
          <cell r="I118">
            <v>43.562874502833871</v>
          </cell>
          <cell r="J118">
            <v>52.823932414397554</v>
          </cell>
          <cell r="K118">
            <v>57.33369933581691</v>
          </cell>
          <cell r="L118">
            <v>31.501899000000002</v>
          </cell>
          <cell r="M118">
            <v>40.984848859380911</v>
          </cell>
          <cell r="N118">
            <v>44.904410656927389</v>
          </cell>
          <cell r="O118">
            <v>41.573968038504987</v>
          </cell>
          <cell r="P118">
            <v>41.498654630208165</v>
          </cell>
        </row>
        <row r="119">
          <cell r="B119">
            <v>35.035800000000002</v>
          </cell>
          <cell r="C119">
            <v>34.550609999999999</v>
          </cell>
          <cell r="D119">
            <v>35.065350000000002</v>
          </cell>
          <cell r="E119">
            <v>40.110566923871765</v>
          </cell>
          <cell r="F119">
            <v>34.994038805784555</v>
          </cell>
          <cell r="G119">
            <v>35.278024020017646</v>
          </cell>
          <cell r="H119">
            <v>47.034684646181255</v>
          </cell>
          <cell r="I119">
            <v>41.630448935939988</v>
          </cell>
          <cell r="J119">
            <v>50.60645370754731</v>
          </cell>
          <cell r="K119">
            <v>56.199587111351356</v>
          </cell>
          <cell r="L119">
            <v>31.20984</v>
          </cell>
          <cell r="M119">
            <v>34.869442979689495</v>
          </cell>
          <cell r="N119">
            <v>39.472450743374701</v>
          </cell>
          <cell r="O119">
            <v>37.252932584380268</v>
          </cell>
          <cell r="P119">
            <v>35.468656399118117</v>
          </cell>
        </row>
        <row r="120">
          <cell r="B120">
            <v>40.97466304129297</v>
          </cell>
          <cell r="C120">
            <v>44.988369693576999</v>
          </cell>
          <cell r="D120">
            <v>39.928170000000001</v>
          </cell>
          <cell r="E120">
            <v>44.01163899421644</v>
          </cell>
          <cell r="F120">
            <v>39.622762325089745</v>
          </cell>
          <cell r="G120">
            <v>39.313961250209218</v>
          </cell>
          <cell r="H120">
            <v>49.795227392661793</v>
          </cell>
          <cell r="I120">
            <v>45.054526477715903</v>
          </cell>
          <cell r="J120">
            <v>50.060613709078552</v>
          </cell>
          <cell r="K120">
            <v>61.648607165512644</v>
          </cell>
          <cell r="L120">
            <v>32.354720999999998</v>
          </cell>
          <cell r="M120">
            <v>39.734697201502428</v>
          </cell>
          <cell r="N120">
            <v>42.859471189612279</v>
          </cell>
          <cell r="O120">
            <v>45.445003800864477</v>
          </cell>
          <cell r="P120">
            <v>40.215376027830864</v>
          </cell>
        </row>
        <row r="121">
          <cell r="B121">
            <v>59.508435201097853</v>
          </cell>
          <cell r="C121">
            <v>82.460082974154915</v>
          </cell>
          <cell r="D121">
            <v>52.483571675329188</v>
          </cell>
          <cell r="E121">
            <v>51.581665200331088</v>
          </cell>
          <cell r="F121">
            <v>48.979402493331236</v>
          </cell>
          <cell r="G121">
            <v>49.636937654217888</v>
          </cell>
          <cell r="H121">
            <v>62.709818196340038</v>
          </cell>
          <cell r="I121">
            <v>53.153901176535186</v>
          </cell>
          <cell r="J121">
            <v>59.858387599346543</v>
          </cell>
          <cell r="K121">
            <v>74.400924157754673</v>
          </cell>
          <cell r="L121">
            <v>57.709251915313786</v>
          </cell>
          <cell r="M121">
            <v>45.839607681674835</v>
          </cell>
          <cell r="N121">
            <v>49.278032088433307</v>
          </cell>
          <cell r="O121">
            <v>51.715983452249262</v>
          </cell>
          <cell r="P121">
            <v>47.2850106642572</v>
          </cell>
        </row>
        <row r="122">
          <cell r="B122">
            <v>64.566516556778893</v>
          </cell>
          <cell r="C122">
            <v>88.750764066185837</v>
          </cell>
          <cell r="D122">
            <v>56.448961408244912</v>
          </cell>
          <cell r="E122">
            <v>54.437159418853597</v>
          </cell>
          <cell r="F122">
            <v>49.977088955907718</v>
          </cell>
          <cell r="G122">
            <v>51.316370776428428</v>
          </cell>
          <cell r="H122">
            <v>61.211086002964926</v>
          </cell>
          <cell r="I122">
            <v>54.046224880940045</v>
          </cell>
          <cell r="J122">
            <v>59.981907489382593</v>
          </cell>
          <cell r="K122">
            <v>82.617728861233005</v>
          </cell>
          <cell r="L122">
            <v>63.420433029357795</v>
          </cell>
          <cell r="M122">
            <v>47.657849306551341</v>
          </cell>
          <cell r="N122">
            <v>51.112603289320674</v>
          </cell>
          <cell r="O122">
            <v>65.75401985521475</v>
          </cell>
          <cell r="P122">
            <v>51.071887455393295</v>
          </cell>
        </row>
        <row r="123">
          <cell r="B123">
            <v>71.223834689853177</v>
          </cell>
          <cell r="C123">
            <v>98.475394531602404</v>
          </cell>
          <cell r="D123">
            <v>57.927767179439243</v>
          </cell>
          <cell r="E123">
            <v>56.418888893396733</v>
          </cell>
          <cell r="F123">
            <v>51.687699385335449</v>
          </cell>
          <cell r="G123">
            <v>52.804072029495956</v>
          </cell>
          <cell r="H123">
            <v>62.112961361427082</v>
          </cell>
          <cell r="I123">
            <v>55.748681777614799</v>
          </cell>
          <cell r="J123">
            <v>62.042102324327978</v>
          </cell>
          <cell r="K123">
            <v>82.747472624221814</v>
          </cell>
          <cell r="L123">
            <v>70.251061048194629</v>
          </cell>
          <cell r="M123">
            <v>48.162124272545448</v>
          </cell>
          <cell r="N123">
            <v>52.094521131768445</v>
          </cell>
          <cell r="O123">
            <v>69.018555038050195</v>
          </cell>
          <cell r="P123">
            <v>50.995639245970054</v>
          </cell>
        </row>
        <row r="124">
          <cell r="B124">
            <v>69.062470477948523</v>
          </cell>
          <cell r="C124">
            <v>96.101366700037545</v>
          </cell>
          <cell r="D124">
            <v>39.839210000000001</v>
          </cell>
          <cell r="E124">
            <v>45.575711457750458</v>
          </cell>
          <cell r="F124">
            <v>41.159734023734025</v>
          </cell>
          <cell r="G124">
            <v>41.427168866319512</v>
          </cell>
          <cell r="H124">
            <v>49.642728193063398</v>
          </cell>
          <cell r="I124">
            <v>45.785681520677628</v>
          </cell>
          <cell r="J124">
            <v>50.67532393877844</v>
          </cell>
          <cell r="K124">
            <v>65.184640531333315</v>
          </cell>
          <cell r="L124">
            <v>37.887444000000002</v>
          </cell>
          <cell r="M124">
            <v>41.682327320048131</v>
          </cell>
          <cell r="N124">
            <v>45.238318965043376</v>
          </cell>
          <cell r="O124">
            <v>44.904204705121963</v>
          </cell>
          <cell r="P124">
            <v>43.696534129739852</v>
          </cell>
        </row>
        <row r="125">
          <cell r="B125">
            <v>40.534860000000002</v>
          </cell>
          <cell r="C125">
            <v>39.740380000000002</v>
          </cell>
          <cell r="D125">
            <v>34.827080000000002</v>
          </cell>
          <cell r="E125">
            <v>43.042297416237616</v>
          </cell>
          <cell r="F125">
            <v>37.440871325178577</v>
          </cell>
          <cell r="G125">
            <v>36.878186580058397</v>
          </cell>
          <cell r="H125">
            <v>52.663244977387272</v>
          </cell>
          <cell r="I125">
            <v>45.723642378229691</v>
          </cell>
          <cell r="J125">
            <v>50.532449513202245</v>
          </cell>
          <cell r="K125">
            <v>62.406173168716847</v>
          </cell>
          <cell r="L125">
            <v>36.302417999999996</v>
          </cell>
          <cell r="M125">
            <v>40.313292928875157</v>
          </cell>
          <cell r="N125">
            <v>43.845807654758602</v>
          </cell>
          <cell r="O125">
            <v>44.301435608167665</v>
          </cell>
          <cell r="P125">
            <v>40.725296689551776</v>
          </cell>
        </row>
        <row r="126">
          <cell r="B126">
            <v>44.864829999999998</v>
          </cell>
          <cell r="C126">
            <v>44.193519999999999</v>
          </cell>
          <cell r="D126">
            <v>35.265129999999999</v>
          </cell>
          <cell r="E126">
            <v>44.160663933221315</v>
          </cell>
          <cell r="F126">
            <v>38.431697367861993</v>
          </cell>
          <cell r="G126">
            <v>37.43460554412264</v>
          </cell>
          <cell r="H126">
            <v>52.486670501680486</v>
          </cell>
          <cell r="I126">
            <v>46.362434273974948</v>
          </cell>
          <cell r="J126">
            <v>52.085229308279835</v>
          </cell>
          <cell r="K126">
            <v>61.888354663749709</v>
          </cell>
          <cell r="L126">
            <v>40.387689000000002</v>
          </cell>
          <cell r="M126">
            <v>40.029821785757285</v>
          </cell>
          <cell r="N126">
            <v>44.460604644616119</v>
          </cell>
          <cell r="O126">
            <v>48.155716046331904</v>
          </cell>
          <cell r="P126">
            <v>40.951868743434375</v>
          </cell>
        </row>
        <row r="127">
          <cell r="B127">
            <v>47.97093582958243</v>
          </cell>
          <cell r="C127">
            <v>50.173113359931506</v>
          </cell>
          <cell r="D127">
            <v>46.240208230357069</v>
          </cell>
          <cell r="E127">
            <v>50.787539132556354</v>
          </cell>
          <cell r="F127">
            <v>46.528338750878135</v>
          </cell>
          <cell r="G127">
            <v>46.740114387642549</v>
          </cell>
          <cell r="H127">
            <v>67.348736193022717</v>
          </cell>
          <cell r="I127">
            <v>51.458264798748097</v>
          </cell>
          <cell r="J127">
            <v>57.343118305758942</v>
          </cell>
          <cell r="K127">
            <v>70.289248460450452</v>
          </cell>
          <cell r="L127">
            <v>52.584365100114255</v>
          </cell>
          <cell r="M127">
            <v>43.881668983010371</v>
          </cell>
          <cell r="N127">
            <v>47.411274466680602</v>
          </cell>
          <cell r="O127">
            <v>61.565026501141375</v>
          </cell>
          <cell r="P127">
            <v>45.573874694440718</v>
          </cell>
        </row>
        <row r="128">
          <cell r="B128">
            <v>46.780618981252545</v>
          </cell>
          <cell r="C128">
            <v>48.990856025201957</v>
          </cell>
          <cell r="D128">
            <v>49.129024328505515</v>
          </cell>
          <cell r="E128">
            <v>54.693520412462981</v>
          </cell>
          <cell r="F128">
            <v>48.869978516257902</v>
          </cell>
          <cell r="G128">
            <v>49.202279544964</v>
          </cell>
          <cell r="H128">
            <v>68.073326988497769</v>
          </cell>
          <cell r="I128">
            <v>56.252574250053556</v>
          </cell>
          <cell r="J128">
            <v>62.080737702531522</v>
          </cell>
          <cell r="K128">
            <v>71.149111041880843</v>
          </cell>
          <cell r="L128">
            <v>51.026105105125247</v>
          </cell>
          <cell r="M128">
            <v>45.592155872578111</v>
          </cell>
          <cell r="N128">
            <v>48.897673193003918</v>
          </cell>
          <cell r="O128">
            <v>56.549659183324877</v>
          </cell>
          <cell r="P128">
            <v>47.041480268075745</v>
          </cell>
        </row>
        <row r="129">
          <cell r="B129">
            <v>37.899569999999997</v>
          </cell>
          <cell r="C129">
            <v>37.45017</v>
          </cell>
          <cell r="D129">
            <v>38.98021</v>
          </cell>
          <cell r="E129">
            <v>48.624715546827481</v>
          </cell>
          <cell r="F129">
            <v>42.201767460547813</v>
          </cell>
          <cell r="G129">
            <v>42.398959746479065</v>
          </cell>
          <cell r="H129">
            <v>56.01938251300286</v>
          </cell>
          <cell r="I129">
            <v>49.636918303879909</v>
          </cell>
          <cell r="J129">
            <v>56.209300148352959</v>
          </cell>
          <cell r="K129">
            <v>66.335395312597214</v>
          </cell>
          <cell r="L129">
            <v>33.959709000000004</v>
          </cell>
          <cell r="M129">
            <v>42.947630249272457</v>
          </cell>
          <cell r="N129">
            <v>45.492582615278003</v>
          </cell>
          <cell r="O129">
            <v>45.526472085512971</v>
          </cell>
          <cell r="P129">
            <v>42.974176576127597</v>
          </cell>
        </row>
        <row r="130">
          <cell r="B130">
            <v>36.000990000000002</v>
          </cell>
          <cell r="C130">
            <v>35.578240000000001</v>
          </cell>
          <cell r="D130">
            <v>37.040480000000002</v>
          </cell>
          <cell r="E130">
            <v>44.780717085376118</v>
          </cell>
          <cell r="F130">
            <v>39.469493664052749</v>
          </cell>
          <cell r="G130">
            <v>38.717846906240204</v>
          </cell>
          <cell r="H130">
            <v>50.823330730355536</v>
          </cell>
          <cell r="I130">
            <v>45.169424510209062</v>
          </cell>
          <cell r="J130">
            <v>53.440445924416146</v>
          </cell>
          <cell r="K130">
            <v>58.772708041912132</v>
          </cell>
          <cell r="L130">
            <v>32.243490000000001</v>
          </cell>
          <cell r="M130">
            <v>42.417226535292485</v>
          </cell>
          <cell r="N130">
            <v>45.35824292635651</v>
          </cell>
          <cell r="O130">
            <v>42.439086745897711</v>
          </cell>
          <cell r="P130">
            <v>42.725256305520297</v>
          </cell>
        </row>
        <row r="131">
          <cell r="B131">
            <v>35.599170000000001</v>
          </cell>
          <cell r="C131">
            <v>35.166080000000001</v>
          </cell>
          <cell r="D131">
            <v>35.646470000000001</v>
          </cell>
          <cell r="E131">
            <v>41.727891181427438</v>
          </cell>
          <cell r="F131">
            <v>37.09900795835609</v>
          </cell>
          <cell r="G131">
            <v>39.034155462627155</v>
          </cell>
          <cell r="H131">
            <v>47.691074586555722</v>
          </cell>
          <cell r="I131">
            <v>42.710426640417218</v>
          </cell>
          <cell r="J131">
            <v>51.161655084949338</v>
          </cell>
          <cell r="K131">
            <v>59.317366718756155</v>
          </cell>
          <cell r="L131">
            <v>31.634604000000003</v>
          </cell>
          <cell r="M131">
            <v>39.768743208968644</v>
          </cell>
          <cell r="N131">
            <v>42.627712384107106</v>
          </cell>
          <cell r="O131">
            <v>37.08293232118632</v>
          </cell>
          <cell r="P131">
            <v>38.871579281528412</v>
          </cell>
        </row>
        <row r="132">
          <cell r="B132">
            <v>41.213034230212543</v>
          </cell>
          <cell r="C132">
            <v>45.44320375791753</v>
          </cell>
          <cell r="D132">
            <v>41.308540000000001</v>
          </cell>
          <cell r="E132">
            <v>43.996859627927037</v>
          </cell>
          <cell r="F132">
            <v>39.601314413747531</v>
          </cell>
          <cell r="G132">
            <v>39.205773488743191</v>
          </cell>
          <cell r="H132">
            <v>50.089601200137949</v>
          </cell>
          <cell r="I132">
            <v>45.470531403208632</v>
          </cell>
          <cell r="J132">
            <v>49.949621856883333</v>
          </cell>
          <cell r="K132">
            <v>62.366969526331772</v>
          </cell>
          <cell r="L132">
            <v>32.622849000000002</v>
          </cell>
          <cell r="M132">
            <v>39.424277217754238</v>
          </cell>
          <cell r="N132">
            <v>41.517379828357463</v>
          </cell>
          <cell r="O132">
            <v>46.16871478378372</v>
          </cell>
          <cell r="P132">
            <v>40.27162973634465</v>
          </cell>
        </row>
        <row r="133">
          <cell r="B133">
            <v>61.164543339733846</v>
          </cell>
          <cell r="C133">
            <v>85.53746321215101</v>
          </cell>
          <cell r="D133">
            <v>54.408282924184036</v>
          </cell>
          <cell r="E133">
            <v>53.047722480128812</v>
          </cell>
          <cell r="F133">
            <v>50.455697117662787</v>
          </cell>
          <cell r="G133">
            <v>50.87416431421746</v>
          </cell>
          <cell r="H133">
            <v>62.834503976476029</v>
          </cell>
          <cell r="I133">
            <v>55.191481447810936</v>
          </cell>
          <cell r="J133">
            <v>60.625035128278078</v>
          </cell>
          <cell r="K133">
            <v>75.16769544564815</v>
          </cell>
          <cell r="L133">
            <v>59.480078983920492</v>
          </cell>
          <cell r="M133">
            <v>46.873216264138328</v>
          </cell>
          <cell r="N133">
            <v>50.183550920602002</v>
          </cell>
          <cell r="O133">
            <v>53.911004828721197</v>
          </cell>
          <cell r="P133">
            <v>48.155086121247734</v>
          </cell>
        </row>
        <row r="134">
          <cell r="B134">
            <v>64.865741772513786</v>
          </cell>
          <cell r="C134">
            <v>89.812570751579102</v>
          </cell>
          <cell r="D134">
            <v>57.876848095807404</v>
          </cell>
          <cell r="E134">
            <v>56.471919064880908</v>
          </cell>
          <cell r="F134">
            <v>52.066840548661915</v>
          </cell>
          <cell r="G134">
            <v>53.074402057432913</v>
          </cell>
          <cell r="H134">
            <v>64.534267229197837</v>
          </cell>
          <cell r="I134">
            <v>56.989873275493764</v>
          </cell>
          <cell r="J134">
            <v>61.523798278477791</v>
          </cell>
          <cell r="K134">
            <v>86.145974755981754</v>
          </cell>
          <cell r="L134">
            <v>63.66125844298039</v>
          </cell>
          <cell r="M134">
            <v>49.410066694952675</v>
          </cell>
          <cell r="N134">
            <v>52.351297757807259</v>
          </cell>
          <cell r="O134">
            <v>67.029419065538491</v>
          </cell>
          <cell r="P134">
            <v>52.490463018619486</v>
          </cell>
        </row>
        <row r="135">
          <cell r="B135">
            <v>71.51924085262867</v>
          </cell>
          <cell r="C135">
            <v>99.487116897973721</v>
          </cell>
          <cell r="D135">
            <v>65.34842001691689</v>
          </cell>
          <cell r="E135">
            <v>58.119684036390353</v>
          </cell>
          <cell r="F135">
            <v>53.116297336927815</v>
          </cell>
          <cell r="G135">
            <v>54.039194801266362</v>
          </cell>
          <cell r="H135">
            <v>62.841472605288466</v>
          </cell>
          <cell r="I135">
            <v>57.643331771752706</v>
          </cell>
          <cell r="J135">
            <v>63.095297102397872</v>
          </cell>
          <cell r="K135">
            <v>83.4078019160618</v>
          </cell>
          <cell r="L135">
            <v>70.473168097078485</v>
          </cell>
          <cell r="M135">
            <v>49.192038589552944</v>
          </cell>
          <cell r="N135">
            <v>52.461906699903629</v>
          </cell>
          <cell r="O135">
            <v>69.721701925311251</v>
          </cell>
          <cell r="P135">
            <v>51.888508318377163</v>
          </cell>
        </row>
        <row r="136">
          <cell r="B136">
            <v>71.274355090264379</v>
          </cell>
          <cell r="C136">
            <v>99.710111027420524</v>
          </cell>
          <cell r="D136">
            <v>41.049819999999997</v>
          </cell>
          <cell r="E136">
            <v>47.05478841434325</v>
          </cell>
          <cell r="F136">
            <v>42.920654887308864</v>
          </cell>
          <cell r="G136">
            <v>43.200589021025451</v>
          </cell>
          <cell r="H136">
            <v>50.495332977668554</v>
          </cell>
          <cell r="I136">
            <v>47.616894239419466</v>
          </cell>
          <cell r="J136">
            <v>51.533462232116321</v>
          </cell>
          <cell r="K136">
            <v>65.952756618556791</v>
          </cell>
          <cell r="L136">
            <v>39.540500999999999</v>
          </cell>
          <cell r="M136">
            <v>43.44796029683782</v>
          </cell>
          <cell r="N136">
            <v>46.028162408573458</v>
          </cell>
          <cell r="O136">
            <v>46.56938315995383</v>
          </cell>
          <cell r="P136">
            <v>45.316804346785609</v>
          </cell>
        </row>
        <row r="137">
          <cell r="B137">
            <v>40.818040000000003</v>
          </cell>
          <cell r="C137">
            <v>40.290649999999999</v>
          </cell>
          <cell r="D137">
            <v>36.52328</v>
          </cell>
          <cell r="E137">
            <v>44.217172681386067</v>
          </cell>
          <cell r="F137">
            <v>38.740143620828434</v>
          </cell>
          <cell r="G137">
            <v>37.458517785658586</v>
          </cell>
          <cell r="H137">
            <v>53.884735793386923</v>
          </cell>
          <cell r="I137">
            <v>46.900143639838141</v>
          </cell>
          <cell r="J137">
            <v>51.512522815093853</v>
          </cell>
          <cell r="K137">
            <v>64.403593548846573</v>
          </cell>
          <cell r="L137">
            <v>36.528506999999998</v>
          </cell>
          <cell r="M137">
            <v>40.031540065458813</v>
          </cell>
          <cell r="N137">
            <v>43.437092235897197</v>
          </cell>
          <cell r="O137">
            <v>44.454863147875656</v>
          </cell>
          <cell r="P137">
            <v>40.764508837912885</v>
          </cell>
        </row>
        <row r="138">
          <cell r="B138">
            <v>45.5794</v>
          </cell>
          <cell r="C138">
            <v>45.002540000000003</v>
          </cell>
          <cell r="D138">
            <v>35.291310000000003</v>
          </cell>
          <cell r="E138">
            <v>44.671888348297408</v>
          </cell>
          <cell r="F138">
            <v>39.006131109599515</v>
          </cell>
          <cell r="G138">
            <v>38.442276673296448</v>
          </cell>
          <cell r="H138">
            <v>53.184593338850085</v>
          </cell>
          <cell r="I138">
            <v>47.04608206268059</v>
          </cell>
          <cell r="J138">
            <v>52.079078367012315</v>
          </cell>
          <cell r="K138">
            <v>63.214911887346986</v>
          </cell>
          <cell r="L138">
            <v>40.984361999999997</v>
          </cell>
          <cell r="M138">
            <v>40.953298405018352</v>
          </cell>
          <cell r="N138">
            <v>44.165135586310512</v>
          </cell>
          <cell r="O138">
            <v>49.147196034998636</v>
          </cell>
          <cell r="P138">
            <v>41.27321199077381</v>
          </cell>
        </row>
        <row r="139">
          <cell r="B139">
            <v>49.196284565855144</v>
          </cell>
          <cell r="C139">
            <v>51.60421314275429</v>
          </cell>
          <cell r="D139">
            <v>47.940463554564957</v>
          </cell>
          <cell r="E139">
            <v>51.811510413951865</v>
          </cell>
          <cell r="F139">
            <v>46.774911883022455</v>
          </cell>
          <cell r="G139">
            <v>46.95973123125458</v>
          </cell>
          <cell r="H139">
            <v>67.664716049270368</v>
          </cell>
          <cell r="I139">
            <v>53.322253412449378</v>
          </cell>
          <cell r="J139">
            <v>58.056283649152846</v>
          </cell>
          <cell r="K139">
            <v>70.825751590173738</v>
          </cell>
          <cell r="L139">
            <v>53.754667937784532</v>
          </cell>
          <cell r="M139">
            <v>43.203727125004384</v>
          </cell>
          <cell r="N139">
            <v>45.890192437135674</v>
          </cell>
          <cell r="O139">
            <v>63.13743087567277</v>
          </cell>
          <cell r="P139">
            <v>45.39808887955315</v>
          </cell>
        </row>
        <row r="140">
          <cell r="B140">
            <v>47.528904538425195</v>
          </cell>
          <cell r="C140">
            <v>49.612046827358576</v>
          </cell>
          <cell r="D140">
            <v>49.014044894396505</v>
          </cell>
          <cell r="E140">
            <v>54.890763266624724</v>
          </cell>
          <cell r="F140">
            <v>49.181973910820311</v>
          </cell>
          <cell r="G140">
            <v>50.336316689266908</v>
          </cell>
          <cell r="H140">
            <v>69.139827048845362</v>
          </cell>
          <cell r="I140">
            <v>57.123079978159872</v>
          </cell>
          <cell r="J140">
            <v>62.19982655952397</v>
          </cell>
          <cell r="K140">
            <v>71.03967683382244</v>
          </cell>
          <cell r="L140">
            <v>51.675904178902215</v>
          </cell>
          <cell r="M140">
            <v>45.90246686659011</v>
          </cell>
          <cell r="N140">
            <v>49.223573664331468</v>
          </cell>
          <cell r="O140">
            <v>56.907451923190408</v>
          </cell>
          <cell r="P140">
            <v>47.338655745588611</v>
          </cell>
        </row>
        <row r="141">
          <cell r="B141">
            <v>38.651049999999998</v>
          </cell>
          <cell r="C141">
            <v>38.234099999999998</v>
          </cell>
          <cell r="D141">
            <v>39.837960000000002</v>
          </cell>
          <cell r="E141">
            <v>49.085705698069383</v>
          </cell>
          <cell r="F141">
            <v>42.959452823868538</v>
          </cell>
          <cell r="G141">
            <v>43.544478275313978</v>
          </cell>
          <cell r="H141">
            <v>56.60876519494861</v>
          </cell>
          <cell r="I141">
            <v>50.275027593837748</v>
          </cell>
          <cell r="J141">
            <v>56.107030404462499</v>
          </cell>
          <cell r="K141">
            <v>66.048913635394129</v>
          </cell>
          <cell r="L141">
            <v>34.653672</v>
          </cell>
          <cell r="M141">
            <v>44.046291532341158</v>
          </cell>
          <cell r="N141">
            <v>46.129363148466659</v>
          </cell>
          <cell r="O141">
            <v>45.614263704459717</v>
          </cell>
          <cell r="P141">
            <v>43.826498360784775</v>
          </cell>
        </row>
        <row r="142">
          <cell r="B142">
            <v>36.644359999999999</v>
          </cell>
          <cell r="C142">
            <v>36.219000000000001</v>
          </cell>
          <cell r="D142">
            <v>37.971060000000001</v>
          </cell>
          <cell r="E142">
            <v>44.86565093186077</v>
          </cell>
          <cell r="F142">
            <v>40.26281026918867</v>
          </cell>
          <cell r="G142">
            <v>39.948139011933478</v>
          </cell>
          <cell r="H142">
            <v>51.563598098546308</v>
          </cell>
          <cell r="I142">
            <v>45.501120222712515</v>
          </cell>
          <cell r="J142">
            <v>53.454840544912422</v>
          </cell>
          <cell r="K142">
            <v>58.313015722340133</v>
          </cell>
          <cell r="L142">
            <v>32.841540000000002</v>
          </cell>
          <cell r="M142">
            <v>43.128413164434612</v>
          </cell>
          <cell r="N142">
            <v>46.096942889487138</v>
          </cell>
          <cell r="O142">
            <v>43.105089097701985</v>
          </cell>
          <cell r="P142">
            <v>43.642760424963143</v>
          </cell>
        </row>
        <row r="143">
          <cell r="B143">
            <v>36.108330000000002</v>
          </cell>
          <cell r="C143">
            <v>35.732509999999998</v>
          </cell>
          <cell r="D143">
            <v>36.591909999999999</v>
          </cell>
          <cell r="E143">
            <v>42.253175173448085</v>
          </cell>
          <cell r="F143">
            <v>37.676924677285022</v>
          </cell>
          <cell r="G143">
            <v>39.997002290710071</v>
          </cell>
          <cell r="H143">
            <v>48.079537800638967</v>
          </cell>
          <cell r="I143">
            <v>43.542551511950244</v>
          </cell>
          <cell r="J143">
            <v>51.066358208310021</v>
          </cell>
          <cell r="K143">
            <v>58.252176422832015</v>
          </cell>
          <cell r="L143">
            <v>32.130566999999999</v>
          </cell>
          <cell r="M143">
            <v>39.912223360790989</v>
          </cell>
          <cell r="N143">
            <v>43.023716203310407</v>
          </cell>
          <cell r="O143">
            <v>37.542312465532447</v>
          </cell>
          <cell r="P143">
            <v>39.158989226291496</v>
          </cell>
        </row>
        <row r="144">
          <cell r="B144">
            <v>41.905607175344244</v>
          </cell>
          <cell r="C144">
            <v>45.959633292387451</v>
          </cell>
          <cell r="D144">
            <v>42.48798</v>
          </cell>
          <cell r="E144">
            <v>44.952683610092386</v>
          </cell>
          <cell r="F144">
            <v>40.505754737352099</v>
          </cell>
          <cell r="G144">
            <v>40.653212171572434</v>
          </cell>
          <cell r="H144">
            <v>50.409678186981282</v>
          </cell>
          <cell r="I144">
            <v>46.564301998770262</v>
          </cell>
          <cell r="J144">
            <v>50.412595111194292</v>
          </cell>
          <cell r="K144">
            <v>61.728917920648122</v>
          </cell>
          <cell r="L144">
            <v>33.341247000000003</v>
          </cell>
          <cell r="M144">
            <v>40.531707957132028</v>
          </cell>
          <cell r="N144">
            <v>42.731661996541668</v>
          </cell>
          <cell r="O144">
            <v>46.682086482063191</v>
          </cell>
          <cell r="P144">
            <v>41.29038368169843</v>
          </cell>
        </row>
        <row r="145">
          <cell r="B145">
            <v>62.245950106518833</v>
          </cell>
          <cell r="C145">
            <v>85.394119979154368</v>
          </cell>
          <cell r="D145">
            <v>54.682160164920923</v>
          </cell>
          <cell r="E145">
            <v>54.136890575679857</v>
          </cell>
          <cell r="F145">
            <v>51.473268266089747</v>
          </cell>
          <cell r="G145">
            <v>52.792283490649304</v>
          </cell>
          <cell r="H145">
            <v>63.662146507311498</v>
          </cell>
          <cell r="I145">
            <v>56.853430240635916</v>
          </cell>
          <cell r="J145">
            <v>61.240331316965495</v>
          </cell>
          <cell r="K145">
            <v>74.109850859564531</v>
          </cell>
          <cell r="L145">
            <v>60.409382647371757</v>
          </cell>
          <cell r="M145">
            <v>48.391725509305061</v>
          </cell>
          <cell r="N145">
            <v>51.623865901841967</v>
          </cell>
          <cell r="O145">
            <v>54.732790420996402</v>
          </cell>
          <cell r="P145">
            <v>49.293862998505872</v>
          </cell>
        </row>
        <row r="146">
          <cell r="B146">
            <v>65.508819508792143</v>
          </cell>
          <cell r="C146">
            <v>89.118262703625021</v>
          </cell>
          <cell r="D146">
            <v>62.398820777793873</v>
          </cell>
          <cell r="E146">
            <v>57.633354939950024</v>
          </cell>
          <cell r="F146">
            <v>53.29781703416996</v>
          </cell>
          <cell r="G146">
            <v>55.085716014731815</v>
          </cell>
          <cell r="H146">
            <v>64.828776365735337</v>
          </cell>
          <cell r="I146">
            <v>58.49080733857474</v>
          </cell>
          <cell r="J146">
            <v>62.159022172451756</v>
          </cell>
          <cell r="K146">
            <v>86.43343109990667</v>
          </cell>
          <cell r="L146">
            <v>64.370303374791845</v>
          </cell>
          <cell r="M146">
            <v>50.606804362499673</v>
          </cell>
          <cell r="N146">
            <v>53.47069582014349</v>
          </cell>
          <cell r="O146">
            <v>67.872144006170487</v>
          </cell>
          <cell r="P146">
            <v>53.745162474553069</v>
          </cell>
        </row>
        <row r="147">
          <cell r="B147">
            <v>72.853473087226376</v>
          </cell>
          <cell r="C147">
            <v>99.261864888946405</v>
          </cell>
          <cell r="D147">
            <v>97.742612965222222</v>
          </cell>
          <cell r="E147">
            <v>59.533372714666015</v>
          </cell>
          <cell r="F147">
            <v>54.46649112219648</v>
          </cell>
          <cell r="G147">
            <v>56.199270816920212</v>
          </cell>
          <cell r="H147">
            <v>63.554295081021138</v>
          </cell>
          <cell r="I147">
            <v>58.584020649169837</v>
          </cell>
          <cell r="J147">
            <v>63.449043983708961</v>
          </cell>
          <cell r="K147">
            <v>83.091280100169342</v>
          </cell>
          <cell r="L147">
            <v>71.746927749490752</v>
          </cell>
          <cell r="M147">
            <v>50.587868534558538</v>
          </cell>
          <cell r="N147">
            <v>53.966926480050638</v>
          </cell>
          <cell r="O147">
            <v>71.626213952088477</v>
          </cell>
          <cell r="P147">
            <v>53.427556229356988</v>
          </cell>
        </row>
        <row r="148">
          <cell r="B148">
            <v>72.253565268047851</v>
          </cell>
          <cell r="C148">
            <v>99.039070709697455</v>
          </cell>
          <cell r="D148">
            <v>42.576230000000002</v>
          </cell>
          <cell r="E148">
            <v>47.675675587291316</v>
          </cell>
          <cell r="F148">
            <v>43.706292427650837</v>
          </cell>
          <cell r="G148">
            <v>44.491094643695071</v>
          </cell>
          <cell r="H148">
            <v>51.088536964894523</v>
          </cell>
          <cell r="I148">
            <v>48.556565215860083</v>
          </cell>
          <cell r="J148">
            <v>51.887621765942917</v>
          </cell>
          <cell r="K148">
            <v>65.356776240224505</v>
          </cell>
          <cell r="L148">
            <v>40.639752000000001</v>
          </cell>
          <cell r="M148">
            <v>44.338260136338789</v>
          </cell>
          <cell r="N148">
            <v>47.260736058375201</v>
          </cell>
          <cell r="O148">
            <v>47.549172611272454</v>
          </cell>
          <cell r="P148">
            <v>46.518263255905865</v>
          </cell>
        </row>
        <row r="149">
          <cell r="B149">
            <v>42.064399999999999</v>
          </cell>
          <cell r="C149">
            <v>41.543129999999998</v>
          </cell>
          <cell r="D149">
            <v>37.339680000000001</v>
          </cell>
          <cell r="E149">
            <v>44.567605767261057</v>
          </cell>
          <cell r="F149">
            <v>39.168315530945904</v>
          </cell>
          <cell r="G149">
            <v>38.681114091494841</v>
          </cell>
          <cell r="H149">
            <v>54.575594991160145</v>
          </cell>
          <cell r="I149">
            <v>47.287267174003134</v>
          </cell>
          <cell r="J149">
            <v>51.393067321443397</v>
          </cell>
          <cell r="K149">
            <v>63.81267380937016</v>
          </cell>
          <cell r="L149">
            <v>37.673532000000002</v>
          </cell>
          <cell r="M149">
            <v>41.348957803185939</v>
          </cell>
          <cell r="N149">
            <v>43.96191532565328</v>
          </cell>
          <cell r="O149">
            <v>45.623410215927102</v>
          </cell>
          <cell r="P149">
            <v>41.82099481634404</v>
          </cell>
        </row>
        <row r="150">
          <cell r="B150">
            <v>46.635379999999998</v>
          </cell>
          <cell r="C150">
            <v>46.228070000000002</v>
          </cell>
          <cell r="D150">
            <v>36.397210000000001</v>
          </cell>
          <cell r="E150">
            <v>45.694316837483889</v>
          </cell>
          <cell r="F150">
            <v>39.973956919123935</v>
          </cell>
          <cell r="G150">
            <v>39.607059578259211</v>
          </cell>
          <cell r="H150">
            <v>53.786604047784245</v>
          </cell>
          <cell r="I150">
            <v>47.972301639996665</v>
          </cell>
          <cell r="J150">
            <v>52.547981214034451</v>
          </cell>
          <cell r="K150">
            <v>62.716522646218877</v>
          </cell>
          <cell r="L150">
            <v>42.029667000000003</v>
          </cell>
          <cell r="M150">
            <v>41.067909422782527</v>
          </cell>
          <cell r="N150">
            <v>44.599382551271475</v>
          </cell>
          <cell r="O150">
            <v>51.030263389970798</v>
          </cell>
          <cell r="P150">
            <v>42.076727334746202</v>
          </cell>
        </row>
        <row r="151">
          <cell r="B151">
            <v>50.365632275350407</v>
          </cell>
          <cell r="C151">
            <v>52.637270800685314</v>
          </cell>
          <cell r="D151">
            <v>50.334737770572289</v>
          </cell>
          <cell r="E151">
            <v>53.045275239532302</v>
          </cell>
          <cell r="F151">
            <v>48.139075136453854</v>
          </cell>
          <cell r="G151">
            <v>49.115058122003504</v>
          </cell>
          <cell r="H151">
            <v>68.787156293150929</v>
          </cell>
          <cell r="I151">
            <v>54.175735396612851</v>
          </cell>
          <cell r="J151">
            <v>58.586118011930559</v>
          </cell>
          <cell r="K151">
            <v>71.111449322329875</v>
          </cell>
          <cell r="L151">
            <v>54.838584121605201</v>
          </cell>
          <cell r="M151">
            <v>44.708281688559772</v>
          </cell>
          <cell r="N151">
            <v>47.485038239869183</v>
          </cell>
          <cell r="O151">
            <v>64.36201998964961</v>
          </cell>
          <cell r="P151">
            <v>46.572927134331294</v>
          </cell>
        </row>
        <row r="152">
          <cell r="B152">
            <v>46.321387309988033</v>
          </cell>
          <cell r="C152">
            <v>49.219129047631213</v>
          </cell>
          <cell r="D152">
            <v>50.091173551909812</v>
          </cell>
          <cell r="E152">
            <v>55.924284013730997</v>
          </cell>
          <cell r="F152">
            <v>50.000657634670596</v>
          </cell>
          <cell r="G152">
            <v>52.83686481275187</v>
          </cell>
          <cell r="H152">
            <v>69.952361690341618</v>
          </cell>
          <cell r="I152">
            <v>58.647102017426015</v>
          </cell>
          <cell r="J152">
            <v>62.310989929941044</v>
          </cell>
          <cell r="K152">
            <v>72.438378131115314</v>
          </cell>
          <cell r="L152">
            <v>50.269970370662719</v>
          </cell>
          <cell r="M152">
            <v>47.456451683804616</v>
          </cell>
          <cell r="N152">
            <v>49.629148199642621</v>
          </cell>
          <cell r="O152">
            <v>59.384080984661622</v>
          </cell>
          <cell r="P152">
            <v>48.056561370298617</v>
          </cell>
        </row>
        <row r="153">
          <cell r="B153">
            <v>39.101140000000001</v>
          </cell>
          <cell r="C153">
            <v>38.741340000000001</v>
          </cell>
          <cell r="D153">
            <v>39.734389999999998</v>
          </cell>
          <cell r="E153">
            <v>50.38846781005585</v>
          </cell>
          <cell r="F153">
            <v>43.975157736254182</v>
          </cell>
          <cell r="G153">
            <v>45.558247841902642</v>
          </cell>
          <cell r="H153">
            <v>57.914666854168864</v>
          </cell>
          <cell r="I153">
            <v>51.738795993256126</v>
          </cell>
          <cell r="J153">
            <v>56.629515610112179</v>
          </cell>
          <cell r="K153">
            <v>67.17892855009184</v>
          </cell>
          <cell r="L153">
            <v>34.903340999999998</v>
          </cell>
          <cell r="M153">
            <v>46.058984421676996</v>
          </cell>
          <cell r="N153">
            <v>47.341512452144137</v>
          </cell>
          <cell r="O153">
            <v>47.778558474541278</v>
          </cell>
          <cell r="P153">
            <v>44.797677992506664</v>
          </cell>
        </row>
        <row r="154">
          <cell r="B154">
            <v>36.918280000000003</v>
          </cell>
          <cell r="C154">
            <v>36.579079999999998</v>
          </cell>
          <cell r="D154">
            <v>38.693080000000002</v>
          </cell>
          <cell r="E154">
            <v>45.758158969297178</v>
          </cell>
          <cell r="F154">
            <v>40.953229744061467</v>
          </cell>
          <cell r="G154">
            <v>41.410686472049427</v>
          </cell>
          <cell r="H154">
            <v>52.433775467042601</v>
          </cell>
          <cell r="I154">
            <v>46.494958126761134</v>
          </cell>
          <cell r="J154">
            <v>53.50429361979117</v>
          </cell>
          <cell r="K154">
            <v>59.194408524377742</v>
          </cell>
          <cell r="L154">
            <v>32.958242999999996</v>
          </cell>
          <cell r="M154">
            <v>44.857844562780315</v>
          </cell>
          <cell r="N154">
            <v>46.753181326219718</v>
          </cell>
          <cell r="O154">
            <v>44.370049828129581</v>
          </cell>
          <cell r="P154">
            <v>43.726823464762347</v>
          </cell>
        </row>
        <row r="155">
          <cell r="B155">
            <v>36.570689999999999</v>
          </cell>
          <cell r="C155">
            <v>36.251080000000002</v>
          </cell>
          <cell r="D155">
            <v>37.129429999999999</v>
          </cell>
          <cell r="E155">
            <v>42.155655363953571</v>
          </cell>
          <cell r="F155">
            <v>37.539582139717453</v>
          </cell>
          <cell r="G155">
            <v>42.193915754637295</v>
          </cell>
          <cell r="H155">
            <v>48.798651756317476</v>
          </cell>
          <cell r="I155">
            <v>44.209732911793743</v>
          </cell>
          <cell r="J155">
            <v>50.819172300052664</v>
          </cell>
          <cell r="K155">
            <v>57.528416863320857</v>
          </cell>
          <cell r="L155">
            <v>32.407271999999999</v>
          </cell>
          <cell r="M155">
            <v>41.145208879853577</v>
          </cell>
          <cell r="N155">
            <v>42.833979843877081</v>
          </cell>
          <cell r="O155">
            <v>38.83683789398583</v>
          </cell>
          <cell r="P155">
            <v>39.542073696577617</v>
          </cell>
        </row>
        <row r="156">
          <cell r="B156">
            <v>42.078356537764769</v>
          </cell>
          <cell r="C156">
            <v>47.83734823306375</v>
          </cell>
          <cell r="D156">
            <v>43.262659999999997</v>
          </cell>
          <cell r="E156">
            <v>45.70188522825832</v>
          </cell>
          <cell r="F156">
            <v>41.291921246097381</v>
          </cell>
          <cell r="G156">
            <v>42.403734074281601</v>
          </cell>
          <cell r="H156">
            <v>51.134639168601666</v>
          </cell>
          <cell r="I156">
            <v>48.12370093812995</v>
          </cell>
          <cell r="J156">
            <v>50.849880808421553</v>
          </cell>
          <cell r="K156">
            <v>62.79522091647555</v>
          </cell>
          <cell r="L156">
            <v>33.017309999999995</v>
          </cell>
          <cell r="M156">
            <v>41.990620966752886</v>
          </cell>
          <cell r="N156">
            <v>43.365192446745297</v>
          </cell>
          <cell r="O156">
            <v>48.212936932664533</v>
          </cell>
          <cell r="P156">
            <v>42.330936521888994</v>
          </cell>
        </row>
        <row r="157">
          <cell r="B157">
            <v>61.649522369529812</v>
          </cell>
          <cell r="C157">
            <v>93.244274498754137</v>
          </cell>
          <cell r="D157">
            <v>55.350675131422335</v>
          </cell>
          <cell r="E157">
            <v>54.138813279861331</v>
          </cell>
          <cell r="F157">
            <v>52.000669486522291</v>
          </cell>
          <cell r="G157">
            <v>55.560282396731054</v>
          </cell>
          <cell r="H157">
            <v>64.469876833606548</v>
          </cell>
          <cell r="I157">
            <v>58.411008604563648</v>
          </cell>
          <cell r="J157">
            <v>61.182701378375384</v>
          </cell>
          <cell r="K157">
            <v>75.547114070077555</v>
          </cell>
          <cell r="L157">
            <v>59.248883399119045</v>
          </cell>
          <cell r="M157">
            <v>49.866103220940033</v>
          </cell>
          <cell r="N157">
            <v>52.402103466446924</v>
          </cell>
          <cell r="O157">
            <v>56.124702479144787</v>
          </cell>
          <cell r="P157">
            <v>50.093901386196968</v>
          </cell>
        </row>
        <row r="158">
          <cell r="B158">
            <v>64.555481528147553</v>
          </cell>
          <cell r="C158">
            <v>96.346512929017351</v>
          </cell>
          <cell r="D158">
            <v>61.2422396256881</v>
          </cell>
          <cell r="E158">
            <v>58.345505045572693</v>
          </cell>
          <cell r="F158">
            <v>54.15435698952318</v>
          </cell>
          <cell r="G158">
            <v>58.138536761859356</v>
          </cell>
          <cell r="H158">
            <v>65.793520357143052</v>
          </cell>
          <cell r="I158">
            <v>60.465935653045818</v>
          </cell>
          <cell r="J158">
            <v>62.562690163648135</v>
          </cell>
          <cell r="K158">
            <v>86.149816768851068</v>
          </cell>
          <cell r="L158">
            <v>63.439048740461004</v>
          </cell>
          <cell r="M158">
            <v>52.405216912388056</v>
          </cell>
          <cell r="N158">
            <v>54.519575105351564</v>
          </cell>
          <cell r="O158">
            <v>68.999048900725896</v>
          </cell>
          <cell r="P158">
            <v>54.92020420776835</v>
          </cell>
        </row>
        <row r="159">
          <cell r="B159">
            <v>70.872330776850873</v>
          </cell>
          <cell r="C159">
            <v>105.84730961729741</v>
          </cell>
          <cell r="D159">
            <v>99.495865114008524</v>
          </cell>
          <cell r="E159">
            <v>59.730671509069737</v>
          </cell>
          <cell r="F159">
            <v>55.314147074000573</v>
          </cell>
          <cell r="G159">
            <v>59.088855793858926</v>
          </cell>
          <cell r="H159">
            <v>63.940683347222382</v>
          </cell>
          <cell r="I159">
            <v>59.400726070265137</v>
          </cell>
          <cell r="J159">
            <v>63.478165671125893</v>
          </cell>
          <cell r="K159">
            <v>82.728734199028267</v>
          </cell>
          <cell r="L159">
            <v>69.807574136646565</v>
          </cell>
          <cell r="M159">
            <v>52.212372571726547</v>
          </cell>
          <cell r="N159">
            <v>55.010312888452795</v>
          </cell>
          <cell r="O159">
            <v>73.540049634207634</v>
          </cell>
          <cell r="P159">
            <v>54.295240744814521</v>
          </cell>
        </row>
        <row r="160">
          <cell r="B160">
            <v>68.559669993336001</v>
          </cell>
          <cell r="C160">
            <v>103.03891100161009</v>
          </cell>
          <cell r="D160">
            <v>43.060920000000003</v>
          </cell>
          <cell r="E160">
            <v>48.293383750564452</v>
          </cell>
          <cell r="F160">
            <v>44.416887148151083</v>
          </cell>
          <cell r="G160">
            <v>46.277017923566319</v>
          </cell>
          <cell r="H160">
            <v>52.240029455408774</v>
          </cell>
          <cell r="I160">
            <v>49.812255164576136</v>
          </cell>
          <cell r="J160">
            <v>52.502134656962831</v>
          </cell>
          <cell r="K160">
            <v>66.545367663298308</v>
          </cell>
          <cell r="L160">
            <v>37.678257000000002</v>
          </cell>
          <cell r="M160">
            <v>45.869830327841157</v>
          </cell>
          <cell r="N160">
            <v>48.123800271124217</v>
          </cell>
          <cell r="O160">
            <v>48.59689206732471</v>
          </cell>
          <cell r="P160">
            <v>47.422636303180802</v>
          </cell>
        </row>
        <row r="161">
          <cell r="B161">
            <v>40.801169999999999</v>
          </cell>
          <cell r="C161">
            <v>40.342320000000001</v>
          </cell>
          <cell r="D161">
            <v>37.17736</v>
          </cell>
          <cell r="E161">
            <v>44.919541194703804</v>
          </cell>
          <cell r="F161">
            <v>39.612736316799513</v>
          </cell>
          <cell r="G161">
            <v>40.257177601870033</v>
          </cell>
          <cell r="H161">
            <v>55.379205051466158</v>
          </cell>
          <cell r="I161">
            <v>48.064385018861934</v>
          </cell>
          <cell r="J161">
            <v>51.825563816625092</v>
          </cell>
          <cell r="K161">
            <v>64.341758823429217</v>
          </cell>
          <cell r="L161">
            <v>36.419373</v>
          </cell>
          <cell r="M161">
            <v>43.309036053444395</v>
          </cell>
          <cell r="N161">
            <v>44.612082928562344</v>
          </cell>
          <cell r="O161">
            <v>47.005928997281373</v>
          </cell>
          <cell r="P161">
            <v>42.489775544691497</v>
          </cell>
        </row>
        <row r="162">
          <cell r="B162">
            <v>44.094760000000001</v>
          </cell>
          <cell r="C162">
            <v>43.591659999999997</v>
          </cell>
          <cell r="D162">
            <v>37.192279999999997</v>
          </cell>
          <cell r="E162">
            <v>45.996110812339637</v>
          </cell>
          <cell r="F162">
            <v>40.511860881624038</v>
          </cell>
          <cell r="G162">
            <v>41.447457067950729</v>
          </cell>
          <cell r="H162">
            <v>54.538690293332039</v>
          </cell>
          <cell r="I162">
            <v>49.041116011083851</v>
          </cell>
          <cell r="J162">
            <v>53.089236424167794</v>
          </cell>
          <cell r="K162">
            <v>64.021309091067451</v>
          </cell>
          <cell r="L162">
            <v>39.533912999999998</v>
          </cell>
          <cell r="M162">
            <v>42.839068682366495</v>
          </cell>
          <cell r="N162">
            <v>45.144410626999139</v>
          </cell>
          <cell r="O162">
            <v>51.847726041091292</v>
          </cell>
          <cell r="P162">
            <v>42.662731150194034</v>
          </cell>
        </row>
        <row r="163">
          <cell r="B163">
            <v>48.634722701775082</v>
          </cell>
          <cell r="C163">
            <v>51.704083804778293</v>
          </cell>
          <cell r="D163">
            <v>49.099892342344837</v>
          </cell>
          <cell r="E163">
            <v>53.833568753805288</v>
          </cell>
          <cell r="F163">
            <v>48.930260165042668</v>
          </cell>
          <cell r="G163">
            <v>51.912785687433889</v>
          </cell>
          <cell r="H163">
            <v>69.792381714837163</v>
          </cell>
          <cell r="I163">
            <v>55.722371340115096</v>
          </cell>
          <cell r="J163">
            <v>59.021569973789568</v>
          </cell>
          <cell r="K163">
            <v>72.143290746534632</v>
          </cell>
          <cell r="L163">
            <v>52.92018544952235</v>
          </cell>
          <cell r="M163">
            <v>46.625789285019465</v>
          </cell>
          <cell r="N163">
            <v>48.25709370936211</v>
          </cell>
          <cell r="O163">
            <v>66.447996587170707</v>
          </cell>
          <cell r="P163">
            <v>47.724333396210362</v>
          </cell>
        </row>
        <row r="164">
          <cell r="B164">
            <v>47.174178113111495</v>
          </cell>
          <cell r="C164">
            <v>50.073141250432542</v>
          </cell>
          <cell r="D164">
            <v>49.909530079331745</v>
          </cell>
          <cell r="E164">
            <v>56.101533239107212</v>
          </cell>
          <cell r="F164">
            <v>50.372714745411351</v>
          </cell>
          <cell r="G164">
            <v>50.576838463566752</v>
          </cell>
          <cell r="H164">
            <v>70.538529072730242</v>
          </cell>
          <cell r="I164">
            <v>59.061932852088567</v>
          </cell>
          <cell r="J164">
            <v>63.014362519614224</v>
          </cell>
          <cell r="K164">
            <v>73.359317095152292</v>
          </cell>
          <cell r="L164">
            <v>51.017702807771897</v>
          </cell>
          <cell r="M164">
            <v>46.133695974550669</v>
          </cell>
          <cell r="N164">
            <v>50.073781162188631</v>
          </cell>
          <cell r="O164">
            <v>60.271933291226752</v>
          </cell>
          <cell r="P164">
            <v>48.325248150314422</v>
          </cell>
        </row>
        <row r="165">
          <cell r="B165">
            <v>39.789439999999999</v>
          </cell>
          <cell r="C165">
            <v>39.569099999999999</v>
          </cell>
          <cell r="D165">
            <v>40.543199999999999</v>
          </cell>
          <cell r="E165">
            <v>50.967935546314465</v>
          </cell>
          <cell r="F165">
            <v>44.719447731214622</v>
          </cell>
          <cell r="G165">
            <v>45.000529890609045</v>
          </cell>
          <cell r="H165">
            <v>58.48682134927413</v>
          </cell>
          <cell r="I165">
            <v>52.675455186347399</v>
          </cell>
          <cell r="J165">
            <v>57.890782090612831</v>
          </cell>
          <cell r="K165">
            <v>68.781747548525232</v>
          </cell>
          <cell r="L165">
            <v>35.676306000000004</v>
          </cell>
          <cell r="M165">
            <v>45.691554545756155</v>
          </cell>
          <cell r="N165">
            <v>48.256913465097099</v>
          </cell>
          <cell r="O165">
            <v>49.115898049707972</v>
          </cell>
          <cell r="P165">
            <v>45.463590073875764</v>
          </cell>
        </row>
        <row r="166">
          <cell r="B166">
            <v>37.524009999999997</v>
          </cell>
          <cell r="C166">
            <v>37.314320000000002</v>
          </cell>
          <cell r="D166">
            <v>39.164430000000003</v>
          </cell>
          <cell r="E166">
            <v>46.193426741321737</v>
          </cell>
          <cell r="F166">
            <v>41.494450308766545</v>
          </cell>
          <cell r="G166">
            <v>41.016614818453945</v>
          </cell>
          <cell r="H166">
            <v>53.292576093793421</v>
          </cell>
          <cell r="I166">
            <v>46.95249555862307</v>
          </cell>
          <cell r="J166">
            <v>54.110431338278467</v>
          </cell>
          <cell r="K166">
            <v>59.917437458230587</v>
          </cell>
          <cell r="L166">
            <v>33.603174000000003</v>
          </cell>
          <cell r="M166">
            <v>44.800780966858021</v>
          </cell>
          <cell r="N166">
            <v>47.834934101885857</v>
          </cell>
          <cell r="O166">
            <v>45.775661351414314</v>
          </cell>
          <cell r="P166">
            <v>45.225205414787659</v>
          </cell>
        </row>
        <row r="167">
          <cell r="B167">
            <v>37.403709999999997</v>
          </cell>
          <cell r="C167">
            <v>37.160429999999998</v>
          </cell>
          <cell r="D167">
            <v>37.374070000000003</v>
          </cell>
          <cell r="E167">
            <v>42.690887498806418</v>
          </cell>
          <cell r="F167">
            <v>37.807848041398501</v>
          </cell>
          <cell r="G167">
            <v>39.974585238767858</v>
          </cell>
          <cell r="H167">
            <v>49.336388917085749</v>
          </cell>
          <cell r="I167">
            <v>44.874600382145701</v>
          </cell>
          <cell r="J167">
            <v>51.696230569047145</v>
          </cell>
          <cell r="K167">
            <v>57.677198346952494</v>
          </cell>
          <cell r="L167">
            <v>33.237450000000003</v>
          </cell>
          <cell r="M167">
            <v>39.275987930495887</v>
          </cell>
          <cell r="N167">
            <v>42.270414657417454</v>
          </cell>
          <cell r="O167">
            <v>39.936487954137952</v>
          </cell>
          <cell r="P167">
            <v>39.793197889656547</v>
          </cell>
        </row>
        <row r="168">
          <cell r="B168">
            <v>43.158824281573175</v>
          </cell>
          <cell r="C168">
            <v>48.769344121048782</v>
          </cell>
          <cell r="D168">
            <v>44.57911</v>
          </cell>
          <cell r="E168">
            <v>46.635751144670486</v>
          </cell>
          <cell r="F168">
            <v>42.294645450095821</v>
          </cell>
          <cell r="G168">
            <v>42.357428505115656</v>
          </cell>
          <cell r="H168">
            <v>51.498337329706146</v>
          </cell>
          <cell r="I168">
            <v>49.140261127038414</v>
          </cell>
          <cell r="J168">
            <v>51.901399799356142</v>
          </cell>
          <cell r="K168">
            <v>63.939056061954318</v>
          </cell>
          <cell r="L168">
            <v>33.846084000000005</v>
          </cell>
          <cell r="M168">
            <v>42.768983471083942</v>
          </cell>
          <cell r="N168">
            <v>44.878767908111151</v>
          </cell>
          <cell r="O168">
            <v>48.772044926003254</v>
          </cell>
          <cell r="P168">
            <v>43.556522411947142</v>
          </cell>
        </row>
        <row r="169">
          <cell r="B169">
            <v>62.009930204528473</v>
          </cell>
          <cell r="C169">
            <v>92.412801979386742</v>
          </cell>
          <cell r="D169">
            <v>55.789859426908976</v>
          </cell>
          <cell r="E169">
            <v>54.792506189129426</v>
          </cell>
          <cell r="F169">
            <v>52.716614352899413</v>
          </cell>
          <cell r="G169">
            <v>53.772596853146844</v>
          </cell>
          <cell r="H169">
            <v>64.873922811838952</v>
          </cell>
          <cell r="I169">
            <v>59.383990974614179</v>
          </cell>
          <cell r="J169">
            <v>61.891254050414872</v>
          </cell>
          <cell r="K169">
            <v>76.297513182540058</v>
          </cell>
          <cell r="L169">
            <v>59.929455957354421</v>
          </cell>
          <cell r="M169">
            <v>49.890735956607955</v>
          </cell>
          <cell r="N169">
            <v>52.887660673109941</v>
          </cell>
          <cell r="O169">
            <v>56.47950386602885</v>
          </cell>
          <cell r="P169">
            <v>51.194035879321881</v>
          </cell>
        </row>
        <row r="170">
          <cell r="B170">
            <v>66.494534361521573</v>
          </cell>
          <cell r="C170">
            <v>97.592560698721257</v>
          </cell>
          <cell r="D170">
            <v>66.889529885968415</v>
          </cell>
          <cell r="E170">
            <v>58.779520507292546</v>
          </cell>
          <cell r="F170">
            <v>54.782491735544149</v>
          </cell>
          <cell r="G170">
            <v>56.095571819965954</v>
          </cell>
          <cell r="H170">
            <v>65.795599166282287</v>
          </cell>
          <cell r="I170">
            <v>61.010858524281517</v>
          </cell>
          <cell r="J170">
            <v>62.952263522829618</v>
          </cell>
          <cell r="K170">
            <v>85.157779643834871</v>
          </cell>
          <cell r="L170">
            <v>65.189722673358588</v>
          </cell>
          <cell r="M170">
            <v>52.268761015706161</v>
          </cell>
          <cell r="N170">
            <v>55.366547964377311</v>
          </cell>
          <cell r="O170">
            <v>72.283782432019933</v>
          </cell>
          <cell r="P170">
            <v>55.788947548849649</v>
          </cell>
        </row>
        <row r="171">
          <cell r="B171">
            <v>73.036652246156507</v>
          </cell>
          <cell r="C171">
            <v>107.52205351150263</v>
          </cell>
          <cell r="D171">
            <v>105.86429112764964</v>
          </cell>
          <cell r="E171">
            <v>60.256110096613504</v>
          </cell>
          <cell r="F171">
            <v>55.808598119754144</v>
          </cell>
          <cell r="G171">
            <v>56.924296545454389</v>
          </cell>
          <cell r="H171">
            <v>64.256667849081225</v>
          </cell>
          <cell r="I171">
            <v>60.464445253893118</v>
          </cell>
          <cell r="J171">
            <v>64.233112487632951</v>
          </cell>
          <cell r="K171">
            <v>82.815017054644002</v>
          </cell>
          <cell r="L171">
            <v>71.792380187469732</v>
          </cell>
          <cell r="M171">
            <v>52.134225838839704</v>
          </cell>
          <cell r="N171">
            <v>55.809840473568606</v>
          </cell>
          <cell r="O171">
            <v>76.778380996169034</v>
          </cell>
          <cell r="P171">
            <v>55.261436488461641</v>
          </cell>
        </row>
        <row r="172">
          <cell r="B172">
            <v>69.801900625572173</v>
          </cell>
          <cell r="C172">
            <v>103.51197203412892</v>
          </cell>
          <cell r="D172">
            <v>43.6496</v>
          </cell>
          <cell r="E172">
            <v>48.568712748212043</v>
          </cell>
          <cell r="F172">
            <v>44.572906367890781</v>
          </cell>
          <cell r="G172">
            <v>45.180448317945981</v>
          </cell>
          <cell r="H172">
            <v>52.783185209465543</v>
          </cell>
          <cell r="I172">
            <v>50.046394305644512</v>
          </cell>
          <cell r="J172">
            <v>52.881175270674461</v>
          </cell>
          <cell r="K172">
            <v>66.675643120365748</v>
          </cell>
          <cell r="L172">
            <v>38.966805000000001</v>
          </cell>
          <cell r="M172">
            <v>45.46843298416983</v>
          </cell>
          <cell r="N172">
            <v>48.455430302526359</v>
          </cell>
          <cell r="O172">
            <v>50.000031136643386</v>
          </cell>
          <cell r="P172">
            <v>47.685712228194873</v>
          </cell>
        </row>
        <row r="173">
          <cell r="B173">
            <v>41.695</v>
          </cell>
          <cell r="C173">
            <v>41.360250000000001</v>
          </cell>
          <cell r="D173">
            <v>38.157220000000002</v>
          </cell>
          <cell r="E173">
            <v>45.810775805281061</v>
          </cell>
          <cell r="F173">
            <v>40.636366917922174</v>
          </cell>
          <cell r="G173">
            <v>40.173170243360815</v>
          </cell>
          <cell r="H173">
            <v>55.641159314366739</v>
          </cell>
          <cell r="I173">
            <v>48.752642884611873</v>
          </cell>
          <cell r="J173">
            <v>52.375788403866132</v>
          </cell>
          <cell r="K173">
            <v>65.642110472875885</v>
          </cell>
          <cell r="L173">
            <v>37.334898000000003</v>
          </cell>
          <cell r="M173">
            <v>43.292193787496416</v>
          </cell>
          <cell r="N173">
            <v>45.880706948406065</v>
          </cell>
          <cell r="O173">
            <v>48.3786235525465</v>
          </cell>
          <cell r="P173">
            <v>43.783046326797582</v>
          </cell>
        </row>
        <row r="174">
          <cell r="B174">
            <v>45.637149999999998</v>
          </cell>
          <cell r="C174">
            <v>45.182589999999998</v>
          </cell>
          <cell r="D174">
            <v>37.844119999999997</v>
          </cell>
          <cell r="E174">
            <v>47.20673135106874</v>
          </cell>
          <cell r="F174">
            <v>41.212497278762733</v>
          </cell>
          <cell r="G174">
            <v>40.658566953415189</v>
          </cell>
          <cell r="H174">
            <v>55.591045258991009</v>
          </cell>
          <cell r="I174">
            <v>50.118177571269214</v>
          </cell>
          <cell r="J174">
            <v>54.261064588739238</v>
          </cell>
          <cell r="K174">
            <v>64.895607657501742</v>
          </cell>
          <cell r="L174">
            <v>40.942295999999999</v>
          </cell>
          <cell r="M174">
            <v>42.527413791237883</v>
          </cell>
          <cell r="N174">
            <v>45.966973813405502</v>
          </cell>
          <cell r="O174">
            <v>52.966107428113588</v>
          </cell>
          <cell r="P174">
            <v>43.687220522876586</v>
          </cell>
        </row>
        <row r="175">
          <cell r="B175">
            <v>49.483101012904051</v>
          </cell>
          <cell r="C175">
            <v>52.575532521976079</v>
          </cell>
          <cell r="D175">
            <v>49.431867319562784</v>
          </cell>
          <cell r="E175">
            <v>54.42792221143629</v>
          </cell>
          <cell r="F175">
            <v>49.881467331185405</v>
          </cell>
          <cell r="G175">
            <v>50.350746902196832</v>
          </cell>
          <cell r="H175">
            <v>70.554869931016682</v>
          </cell>
          <cell r="I175">
            <v>56.389058108495732</v>
          </cell>
          <cell r="J175">
            <v>59.888375763628289</v>
          </cell>
          <cell r="K175">
            <v>72.806344069269286</v>
          </cell>
          <cell r="L175">
            <v>53.723840940077508</v>
          </cell>
          <cell r="M175">
            <v>46.598500471071887</v>
          </cell>
          <cell r="N175">
            <v>49.455453674733036</v>
          </cell>
          <cell r="O175">
            <v>68.221794754828707</v>
          </cell>
          <cell r="P175">
            <v>48.764428335233092</v>
          </cell>
        </row>
        <row r="176">
          <cell r="B176">
            <v>47.4794316222359</v>
          </cell>
          <cell r="C176">
            <v>50.314447548631229</v>
          </cell>
          <cell r="D176">
            <v>50.72857622789455</v>
          </cell>
          <cell r="E176">
            <v>56.785839357643347</v>
          </cell>
          <cell r="F176">
            <v>50.798169543344073</v>
          </cell>
          <cell r="G176">
            <v>50.983143255399064</v>
          </cell>
          <cell r="H176">
            <v>71.043671051448968</v>
          </cell>
          <cell r="I176">
            <v>59.660817143603751</v>
          </cell>
          <cell r="J176">
            <v>63.200772510352387</v>
          </cell>
          <cell r="K176">
            <v>74.175164917507033</v>
          </cell>
          <cell r="L176">
            <v>51.338797166917544</v>
          </cell>
          <cell r="M176">
            <v>46.585407134053554</v>
          </cell>
          <cell r="N176">
            <v>50.593124236855921</v>
          </cell>
          <cell r="O176">
            <v>58.42060563529791</v>
          </cell>
          <cell r="P176">
            <v>48.332728564079808</v>
          </cell>
        </row>
        <row r="177">
          <cell r="B177">
            <v>40.80086</v>
          </cell>
          <cell r="C177">
            <v>40.544350000000001</v>
          </cell>
          <cell r="D177">
            <v>41.284880000000001</v>
          </cell>
          <cell r="E177">
            <v>51.98475634135071</v>
          </cell>
          <cell r="F177">
            <v>45.826203012962189</v>
          </cell>
          <cell r="G177">
            <v>46.074915229850014</v>
          </cell>
          <cell r="H177">
            <v>59.172066215494091</v>
          </cell>
          <cell r="I177">
            <v>53.896787895938907</v>
          </cell>
          <cell r="J177">
            <v>58.583836850443397</v>
          </cell>
          <cell r="K177">
            <v>69.623776338356251</v>
          </cell>
          <cell r="L177">
            <v>36.625878</v>
          </cell>
          <cell r="M177">
            <v>46.660157167893743</v>
          </cell>
          <cell r="N177">
            <v>49.434726148365868</v>
          </cell>
          <cell r="O177">
            <v>49.229918613217279</v>
          </cell>
          <cell r="P177">
            <v>46.577653920201449</v>
          </cell>
        </row>
        <row r="178">
          <cell r="B178">
            <v>37.93365</v>
          </cell>
          <cell r="C178">
            <v>37.77319</v>
          </cell>
          <cell r="D178">
            <v>39.957419999999999</v>
          </cell>
          <cell r="E178">
            <v>47.178318183490589</v>
          </cell>
          <cell r="F178">
            <v>42.277363354948548</v>
          </cell>
          <cell r="G178">
            <v>41.778071054341169</v>
          </cell>
          <cell r="H178">
            <v>53.687048984267506</v>
          </cell>
          <cell r="I178">
            <v>48.010074765628858</v>
          </cell>
          <cell r="J178">
            <v>54.593905772692089</v>
          </cell>
          <cell r="K178">
            <v>60.665043762436866</v>
          </cell>
          <cell r="L178">
            <v>34.046666999999999</v>
          </cell>
          <cell r="M178">
            <v>45.638263413228344</v>
          </cell>
          <cell r="N178">
            <v>48.32945403149904</v>
          </cell>
          <cell r="O178">
            <v>45.159381433220581</v>
          </cell>
          <cell r="P178">
            <v>45.78005099887686</v>
          </cell>
        </row>
        <row r="179">
          <cell r="B179">
            <v>38.108969999999999</v>
          </cell>
          <cell r="C179">
            <v>37.907159999999998</v>
          </cell>
          <cell r="D179">
            <v>37.690710000000003</v>
          </cell>
          <cell r="E179">
            <v>43.382217841979873</v>
          </cell>
          <cell r="F179">
            <v>38.2863915690425</v>
          </cell>
          <cell r="G179">
            <v>40.30729358726883</v>
          </cell>
          <cell r="H179">
            <v>49.897323256248569</v>
          </cell>
          <cell r="I179">
            <v>45.821807551353672</v>
          </cell>
          <cell r="J179">
            <v>51.883819518200951</v>
          </cell>
          <cell r="K179">
            <v>58.389582990838683</v>
          </cell>
          <cell r="L179">
            <v>33.869672999999999</v>
          </cell>
          <cell r="M179">
            <v>39.290587742030496</v>
          </cell>
          <cell r="N179">
            <v>42.354405815930484</v>
          </cell>
          <cell r="O179">
            <v>40.554242337683583</v>
          </cell>
          <cell r="P179">
            <v>40.187089767843908</v>
          </cell>
        </row>
        <row r="180">
          <cell r="B180">
            <v>44.102229323159477</v>
          </cell>
          <cell r="C180">
            <v>49.527182008587062</v>
          </cell>
          <cell r="D180">
            <v>44.344459999999998</v>
          </cell>
          <cell r="E180">
            <v>47.466827964646576</v>
          </cell>
          <cell r="F180">
            <v>43.234697169741622</v>
          </cell>
          <cell r="G180">
            <v>43.364032270758649</v>
          </cell>
          <cell r="H180">
            <v>52.046714392524308</v>
          </cell>
          <cell r="I180">
            <v>50.353593538649186</v>
          </cell>
          <cell r="J180">
            <v>52.405596820422417</v>
          </cell>
          <cell r="K180">
            <v>64.919121156423643</v>
          </cell>
          <cell r="L180">
            <v>34.742862000000002</v>
          </cell>
          <cell r="M180">
            <v>43.764552479162411</v>
          </cell>
          <cell r="N180">
            <v>45.898849015427416</v>
          </cell>
          <cell r="O180">
            <v>48.439539270324886</v>
          </cell>
          <cell r="P180">
            <v>44.067280107607957</v>
          </cell>
        </row>
        <row r="181">
          <cell r="B181">
            <v>62.823080632849233</v>
          </cell>
          <cell r="C181">
            <v>91.86678433397617</v>
          </cell>
          <cell r="D181">
            <v>56.489864315754467</v>
          </cell>
          <cell r="E181">
            <v>55.446001148692645</v>
          </cell>
          <cell r="F181">
            <v>53.962156884988715</v>
          </cell>
          <cell r="G181">
            <v>55.112365616165214</v>
          </cell>
          <cell r="H181">
            <v>65.432928824731263</v>
          </cell>
          <cell r="I181">
            <v>60.302677162961011</v>
          </cell>
          <cell r="J181">
            <v>62.345701000126994</v>
          </cell>
          <cell r="K181">
            <v>77.203848207857391</v>
          </cell>
          <cell r="L181">
            <v>60.798298529455749</v>
          </cell>
          <cell r="M181">
            <v>51.206636479072351</v>
          </cell>
          <cell r="N181">
            <v>54.070373468761858</v>
          </cell>
          <cell r="O181">
            <v>55.634524796861243</v>
          </cell>
          <cell r="P181">
            <v>52.393259504801804</v>
          </cell>
        </row>
        <row r="182">
          <cell r="B182">
            <v>67.623780711597973</v>
          </cell>
          <cell r="C182">
            <v>97.547231369424424</v>
          </cell>
          <cell r="D182">
            <v>66.466386708587152</v>
          </cell>
          <cell r="E182">
            <v>59.989232771085128</v>
          </cell>
          <cell r="F182">
            <v>55.674274980681702</v>
          </cell>
          <cell r="G182">
            <v>56.881295365144148</v>
          </cell>
          <cell r="H182">
            <v>65.702513852491393</v>
          </cell>
          <cell r="I182">
            <v>62.216255723566938</v>
          </cell>
          <cell r="J182">
            <v>63.466433827576054</v>
          </cell>
          <cell r="K182">
            <v>85.17576455561364</v>
          </cell>
          <cell r="L182">
            <v>66.364284560737588</v>
          </cell>
          <cell r="M182">
            <v>53.023437292077894</v>
          </cell>
          <cell r="N182">
            <v>56.088881423837272</v>
          </cell>
          <cell r="O182">
            <v>70.687606207300277</v>
          </cell>
          <cell r="P182">
            <v>56.222337435486452</v>
          </cell>
        </row>
        <row r="183">
          <cell r="B183">
            <v>74.21216965054559</v>
          </cell>
          <cell r="C183">
            <v>107.25836524574734</v>
          </cell>
          <cell r="D183">
            <v>103.06004968843706</v>
          </cell>
          <cell r="E183">
            <v>61.096171707375923</v>
          </cell>
          <cell r="F183">
            <v>57.024685052023734</v>
          </cell>
          <cell r="G183">
            <v>58.047995188240208</v>
          </cell>
          <cell r="H183">
            <v>64.413663346440359</v>
          </cell>
          <cell r="I183">
            <v>61.191009061926984</v>
          </cell>
          <cell r="J183">
            <v>64.816643809838382</v>
          </cell>
          <cell r="K183">
            <v>84.36286288040273</v>
          </cell>
          <cell r="L183">
            <v>72.831401054191289</v>
          </cell>
          <cell r="M183">
            <v>53.115703348588198</v>
          </cell>
          <cell r="N183">
            <v>56.660876602210607</v>
          </cell>
          <cell r="O183">
            <v>75.406818521570159</v>
          </cell>
          <cell r="P183">
            <v>56.051189216951855</v>
          </cell>
        </row>
        <row r="184">
          <cell r="B184">
            <v>70.693418702785152</v>
          </cell>
          <cell r="C184">
            <v>102.89263448140241</v>
          </cell>
          <cell r="D184">
            <v>44.310290000000002</v>
          </cell>
          <cell r="E184">
            <v>49.821656146708655</v>
          </cell>
          <cell r="F184">
            <v>45.688340251594859</v>
          </cell>
          <cell r="G184">
            <v>46.371797495951327</v>
          </cell>
          <cell r="H184">
            <v>53.741738131167125</v>
          </cell>
          <cell r="I184">
            <v>51.268831686250948</v>
          </cell>
          <cell r="J184">
            <v>53.598767311710226</v>
          </cell>
          <cell r="K184">
            <v>67.85691247772057</v>
          </cell>
          <cell r="L184">
            <v>39.857292000000001</v>
          </cell>
          <cell r="M184">
            <v>46.523444969349107</v>
          </cell>
          <cell r="N184">
            <v>49.361636046771707</v>
          </cell>
          <cell r="O184">
            <v>50.053709709764959</v>
          </cell>
          <cell r="P184">
            <v>48.437610712808805</v>
          </cell>
        </row>
        <row r="185">
          <cell r="B185">
            <v>42.75676</v>
          </cell>
          <cell r="C185">
            <v>42.387090000000001</v>
          </cell>
          <cell r="D185">
            <v>38.137680000000003</v>
          </cell>
          <cell r="E185">
            <v>46.270552766197653</v>
          </cell>
          <cell r="F185">
            <v>41.001416093810157</v>
          </cell>
          <cell r="G185">
            <v>40.507348450391568</v>
          </cell>
          <cell r="H185">
            <v>56.17046731990547</v>
          </cell>
          <cell r="I185">
            <v>49.905505928087926</v>
          </cell>
          <cell r="J185">
            <v>52.971130076406787</v>
          </cell>
          <cell r="K185">
            <v>66.212594909247997</v>
          </cell>
          <cell r="L185">
            <v>38.282436000000004</v>
          </cell>
          <cell r="M185">
            <v>43.825496728463555</v>
          </cell>
          <cell r="N185">
            <v>46.321177739514063</v>
          </cell>
          <cell r="O185">
            <v>48.017008546560099</v>
          </cell>
          <cell r="P185">
            <v>44.249657882420387</v>
          </cell>
        </row>
        <row r="186">
          <cell r="B186">
            <v>46.589979999999997</v>
          </cell>
          <cell r="C186">
            <v>46.26482</v>
          </cell>
          <cell r="D186">
            <v>38.09064</v>
          </cell>
          <cell r="E186">
            <v>48.061546293999335</v>
          </cell>
          <cell r="F186">
            <v>42.100649102960105</v>
          </cell>
          <cell r="G186">
            <v>41.442084332729458</v>
          </cell>
          <cell r="H186">
            <v>56.254139716812148</v>
          </cell>
          <cell r="I186">
            <v>51.219102529940194</v>
          </cell>
          <cell r="J186">
            <v>54.791946460403373</v>
          </cell>
          <cell r="K186">
            <v>65.838061898927563</v>
          </cell>
          <cell r="L186">
            <v>41.910956999999996</v>
          </cell>
          <cell r="M186">
            <v>43.064269927372678</v>
          </cell>
          <cell r="N186">
            <v>47.026678608923291</v>
          </cell>
          <cell r="O186">
            <v>52.27190126580458</v>
          </cell>
          <cell r="P186">
            <v>44.481196150658498</v>
          </cell>
        </row>
        <row r="187">
          <cell r="B187">
            <v>50.514817895921027</v>
          </cell>
          <cell r="C187">
            <v>53.463779107126101</v>
          </cell>
          <cell r="D187">
            <v>49.218910088711077</v>
          </cell>
          <cell r="E187">
            <v>55.518339202189075</v>
          </cell>
          <cell r="F187">
            <v>51.081221610324128</v>
          </cell>
          <cell r="G187">
            <v>51.407630115003556</v>
          </cell>
          <cell r="H187">
            <v>70.477745742243769</v>
          </cell>
          <cell r="I187">
            <v>57.293426018281771</v>
          </cell>
          <cell r="J187">
            <v>60.488674015969742</v>
          </cell>
          <cell r="K187">
            <v>73.700622510863241</v>
          </cell>
          <cell r="L187">
            <v>54.744353144152612</v>
          </cell>
          <cell r="M187">
            <v>47.385119611347505</v>
          </cell>
          <cell r="N187">
            <v>50.467156927495104</v>
          </cell>
          <cell r="O187">
            <v>66.298209043635893</v>
          </cell>
          <cell r="P187">
            <v>49.525026723257753</v>
          </cell>
        </row>
        <row r="188">
          <cell r="B188">
            <v>48.9800846413046</v>
          </cell>
          <cell r="C188">
            <v>51.754989196747829</v>
          </cell>
          <cell r="D188">
            <v>50.978502855823571</v>
          </cell>
          <cell r="E188">
            <v>58.20588576996731</v>
          </cell>
          <cell r="F188">
            <v>52.356422087591156</v>
          </cell>
          <cell r="G188">
            <v>52.626034057269919</v>
          </cell>
          <cell r="H188">
            <v>70.674928711961897</v>
          </cell>
          <cell r="I188">
            <v>61.018643399283597</v>
          </cell>
          <cell r="J188">
            <v>65.373006867854428</v>
          </cell>
          <cell r="K188">
            <v>74.917241226426299</v>
          </cell>
          <cell r="L188">
            <v>52.756247355676642</v>
          </cell>
          <cell r="M188">
            <v>48.55482477409663</v>
          </cell>
          <cell r="N188">
            <v>52.329768236166814</v>
          </cell>
          <cell r="O188">
            <v>60.068884251914042</v>
          </cell>
          <cell r="P188">
            <v>49.971967411586014</v>
          </cell>
        </row>
        <row r="189">
          <cell r="B189">
            <v>40.772329999999997</v>
          </cell>
          <cell r="C189">
            <v>40.61347</v>
          </cell>
          <cell r="D189">
            <v>40.585230000000003</v>
          </cell>
          <cell r="E189">
            <v>52.149767725209138</v>
          </cell>
          <cell r="F189">
            <v>45.979089462623413</v>
          </cell>
          <cell r="G189">
            <v>46.03402829149794</v>
          </cell>
          <cell r="H189">
            <v>59.138985590247714</v>
          </cell>
          <cell r="I189">
            <v>53.747125092553354</v>
          </cell>
          <cell r="J189">
            <v>58.803563689733409</v>
          </cell>
          <cell r="K189">
            <v>70.642068077583843</v>
          </cell>
          <cell r="L189">
            <v>36.496763999999999</v>
          </cell>
          <cell r="M189">
            <v>46.589720861622723</v>
          </cell>
          <cell r="N189">
            <v>49.298358079451212</v>
          </cell>
          <cell r="O189">
            <v>48.403958041873153</v>
          </cell>
          <cell r="P189">
            <v>46.236325286456577</v>
          </cell>
        </row>
        <row r="190">
          <cell r="B190">
            <v>38.661659999999998</v>
          </cell>
          <cell r="C190">
            <v>38.431130000000003</v>
          </cell>
          <cell r="D190">
            <v>40.04074</v>
          </cell>
          <cell r="E190">
            <v>48.028436105918594</v>
          </cell>
          <cell r="F190">
            <v>43.130260484058994</v>
          </cell>
          <cell r="G190">
            <v>42.399570646470487</v>
          </cell>
          <cell r="H190">
            <v>54.254807583823371</v>
          </cell>
          <cell r="I190">
            <v>48.622093418526553</v>
          </cell>
          <cell r="J190">
            <v>55.114414893739585</v>
          </cell>
          <cell r="K190">
            <v>61.742037375031224</v>
          </cell>
          <cell r="L190">
            <v>34.624422000000003</v>
          </cell>
          <cell r="M190">
            <v>46.081628054122561</v>
          </cell>
          <cell r="N190">
            <v>49.405840967158184</v>
          </cell>
          <cell r="O190">
            <v>45.632556450007883</v>
          </cell>
          <cell r="P190">
            <v>46.197183242484591</v>
          </cell>
        </row>
        <row r="191">
          <cell r="B191">
            <v>38.264690000000002</v>
          </cell>
          <cell r="C191">
            <v>38.077730000000003</v>
          </cell>
          <cell r="D191">
            <v>37.836799999999997</v>
          </cell>
          <cell r="E191">
            <v>45.180439919469777</v>
          </cell>
          <cell r="F191">
            <v>40.21769600295525</v>
          </cell>
          <cell r="G191">
            <v>42.527014829841825</v>
          </cell>
          <cell r="H191">
            <v>50.426981924543355</v>
          </cell>
          <cell r="I191">
            <v>46.448073208172985</v>
          </cell>
          <cell r="J191">
            <v>52.651337624484839</v>
          </cell>
          <cell r="K191">
            <v>63.364148050943911</v>
          </cell>
          <cell r="L191">
            <v>34.023996000000004</v>
          </cell>
          <cell r="M191">
            <v>42.831729660738674</v>
          </cell>
          <cell r="N191">
            <v>45.931024065342854</v>
          </cell>
          <cell r="O191">
            <v>40.119001938634547</v>
          </cell>
          <cell r="P191">
            <v>41.906499184293622</v>
          </cell>
        </row>
        <row r="192">
          <cell r="B192">
            <v>44.579112574794721</v>
          </cell>
          <cell r="C192">
            <v>49.94232718682963</v>
          </cell>
          <cell r="D192">
            <v>43.886150000000001</v>
          </cell>
          <cell r="E192">
            <v>47.193046651518095</v>
          </cell>
          <cell r="F192">
            <v>42.34014426210981</v>
          </cell>
          <cell r="G192">
            <v>42.376180979768961</v>
          </cell>
          <cell r="H192">
            <v>51.997723265173526</v>
          </cell>
          <cell r="I192">
            <v>48.553487093671826</v>
          </cell>
          <cell r="J192">
            <v>51.341321668163275</v>
          </cell>
          <cell r="K192">
            <v>65.565197544601972</v>
          </cell>
          <cell r="L192">
            <v>35.270487000000003</v>
          </cell>
          <cell r="M192">
            <v>42.638652069589583</v>
          </cell>
          <cell r="N192">
            <v>44.486397993133501</v>
          </cell>
          <cell r="O192">
            <v>49.692598104001398</v>
          </cell>
          <cell r="P192">
            <v>43.246550592867713</v>
          </cell>
        </row>
        <row r="193">
          <cell r="B193">
            <v>64.681983502351727</v>
          </cell>
          <cell r="C193">
            <v>93.81349027025351</v>
          </cell>
          <cell r="D193">
            <v>56.618929907561203</v>
          </cell>
          <cell r="E193">
            <v>56.749666370254843</v>
          </cell>
          <cell r="F193">
            <v>54.83549960965231</v>
          </cell>
          <cell r="G193">
            <v>55.318249651613904</v>
          </cell>
          <cell r="H193">
            <v>64.158879861530309</v>
          </cell>
          <cell r="I193">
            <v>59.540354041869648</v>
          </cell>
          <cell r="J193">
            <v>63.139023423833613</v>
          </cell>
          <cell r="K193">
            <v>76.56302623618538</v>
          </cell>
          <cell r="L193">
            <v>62.397357150555074</v>
          </cell>
          <cell r="M193">
            <v>51.502286550153059</v>
          </cell>
          <cell r="N193">
            <v>55.126035217519828</v>
          </cell>
          <cell r="O193">
            <v>57.382383101752019</v>
          </cell>
          <cell r="P193">
            <v>51.979204169953036</v>
          </cell>
        </row>
        <row r="194">
          <cell r="B194">
            <v>67.946820559821418</v>
          </cell>
          <cell r="C194">
            <v>97.185627367479412</v>
          </cell>
          <cell r="D194">
            <v>69.497588616343634</v>
          </cell>
          <cell r="E194">
            <v>60.496165400596794</v>
          </cell>
          <cell r="F194">
            <v>56.764701728906232</v>
          </cell>
          <cell r="G194">
            <v>57.762107418134505</v>
          </cell>
          <cell r="H194">
            <v>67.115308560457578</v>
          </cell>
          <cell r="I194">
            <v>61.850929754267632</v>
          </cell>
          <cell r="J194">
            <v>64.07923235952336</v>
          </cell>
          <cell r="K194">
            <v>88.052534254170382</v>
          </cell>
          <cell r="L194">
            <v>66.476114326754299</v>
          </cell>
          <cell r="M194">
            <v>54.050931481588648</v>
          </cell>
          <cell r="N194">
            <v>57.076487070225937</v>
          </cell>
          <cell r="O194">
            <v>70.991028183503431</v>
          </cell>
          <cell r="P194">
            <v>56.434804567059828</v>
          </cell>
        </row>
        <row r="195">
          <cell r="B195">
            <v>73.876985946432058</v>
          </cell>
          <cell r="C195">
            <v>105.90800714341499</v>
          </cell>
          <cell r="D195">
            <v>92.821234167881059</v>
          </cell>
          <cell r="E195">
            <v>60.869110927373114</v>
          </cell>
          <cell r="F195">
            <v>56.868851701193833</v>
          </cell>
          <cell r="G195">
            <v>58.271853384685059</v>
          </cell>
          <cell r="H195">
            <v>65.108164931476367</v>
          </cell>
          <cell r="I195">
            <v>60.134407639208312</v>
          </cell>
          <cell r="J195">
            <v>64.569497117056741</v>
          </cell>
          <cell r="K195">
            <v>86.440760129120662</v>
          </cell>
          <cell r="L195">
            <v>72.763655152239821</v>
          </cell>
          <cell r="M195">
            <v>53.425965551887849</v>
          </cell>
          <cell r="N195">
            <v>56.858607364089913</v>
          </cell>
          <cell r="O195">
            <v>75.811086084896942</v>
          </cell>
          <cell r="P195">
            <v>55.62207138857061</v>
          </cell>
        </row>
        <row r="196">
          <cell r="B196">
            <v>73.10493744012399</v>
          </cell>
          <cell r="C196">
            <v>105.22270590482935</v>
          </cell>
          <cell r="D196">
            <v>44.421970000000002</v>
          </cell>
          <cell r="E196">
            <v>50.992287200620787</v>
          </cell>
          <cell r="F196">
            <v>47.015595560920694</v>
          </cell>
          <cell r="G196">
            <v>47.217967641934443</v>
          </cell>
          <cell r="H196">
            <v>54.036877059536906</v>
          </cell>
          <cell r="I196">
            <v>52.011566558051918</v>
          </cell>
          <cell r="J196">
            <v>54.256416858006524</v>
          </cell>
          <cell r="K196">
            <v>68.400386301565746</v>
          </cell>
          <cell r="L196">
            <v>41.675166000000004</v>
          </cell>
          <cell r="M196">
            <v>47.56834317416088</v>
          </cell>
          <cell r="N196">
            <v>50.403156499141055</v>
          </cell>
          <cell r="O196">
            <v>50.826939912757481</v>
          </cell>
          <cell r="P196">
            <v>48.841240060401041</v>
          </cell>
        </row>
        <row r="197">
          <cell r="B197">
            <v>42.25658</v>
          </cell>
          <cell r="C197">
            <v>42.102429999999998</v>
          </cell>
          <cell r="D197">
            <v>38.872239999999998</v>
          </cell>
          <cell r="E197">
            <v>47.832339940707136</v>
          </cell>
          <cell r="F197">
            <v>42.210294221239039</v>
          </cell>
          <cell r="G197">
            <v>41.542006085374091</v>
          </cell>
          <cell r="H197">
            <v>56.766250184796689</v>
          </cell>
          <cell r="I197">
            <v>49.974676114497264</v>
          </cell>
          <cell r="J197">
            <v>53.577742384201677</v>
          </cell>
          <cell r="K197">
            <v>67.38441749102158</v>
          </cell>
          <cell r="L197">
            <v>37.934874000000001</v>
          </cell>
          <cell r="M197">
            <v>43.951253991862359</v>
          </cell>
          <cell r="N197">
            <v>47.057502344307267</v>
          </cell>
          <cell r="O197">
            <v>48.152663315195255</v>
          </cell>
          <cell r="P197">
            <v>44.415614432022529</v>
          </cell>
        </row>
        <row r="198">
          <cell r="B198">
            <v>46.492890000000003</v>
          </cell>
          <cell r="C198">
            <v>46.279150000000001</v>
          </cell>
          <cell r="D198">
            <v>38.430579999999999</v>
          </cell>
          <cell r="E198">
            <v>48.42566433648355</v>
          </cell>
          <cell r="F198">
            <v>42.711863449150336</v>
          </cell>
          <cell r="G198">
            <v>42.634668221304374</v>
          </cell>
          <cell r="H198">
            <v>56.613662768189869</v>
          </cell>
          <cell r="I198">
            <v>50.645195502738723</v>
          </cell>
          <cell r="J198">
            <v>54.365433938602273</v>
          </cell>
          <cell r="K198">
            <v>66.853238679549804</v>
          </cell>
          <cell r="L198">
            <v>41.764365000000005</v>
          </cell>
          <cell r="M198">
            <v>45.166866273875279</v>
          </cell>
          <cell r="N198">
            <v>48.064245309876149</v>
          </cell>
          <cell r="O198">
            <v>53.322451948653878</v>
          </cell>
          <cell r="P198">
            <v>45.15288340340058</v>
          </cell>
        </row>
        <row r="199">
          <cell r="B199">
            <v>51.236126829325258</v>
          </cell>
          <cell r="C199">
            <v>54.214076045221667</v>
          </cell>
          <cell r="D199">
            <v>50.230004887962146</v>
          </cell>
          <cell r="E199">
            <v>56.314032694073113</v>
          </cell>
          <cell r="F199">
            <v>50.902214143132632</v>
          </cell>
          <cell r="G199">
            <v>51.201372050316266</v>
          </cell>
          <cell r="H199">
            <v>70.878559455694713</v>
          </cell>
          <cell r="I199">
            <v>57.812287143547188</v>
          </cell>
          <cell r="J199">
            <v>60.641203150206117</v>
          </cell>
          <cell r="K199">
            <v>75.114523660618232</v>
          </cell>
          <cell r="L199">
            <v>55.304519167683765</v>
          </cell>
          <cell r="M199">
            <v>46.802483099285716</v>
          </cell>
          <cell r="N199">
            <v>49.983210301931436</v>
          </cell>
          <cell r="O199">
            <v>67.356816920173259</v>
          </cell>
          <cell r="P199">
            <v>48.559458519907281</v>
          </cell>
        </row>
        <row r="200">
          <cell r="B200">
            <v>49.738691333028129</v>
          </cell>
          <cell r="C200">
            <v>52.470242076716723</v>
          </cell>
          <cell r="D200">
            <v>50.993745537538501</v>
          </cell>
          <cell r="E200">
            <v>59.296673402732814</v>
          </cell>
          <cell r="F200">
            <v>53.131184081662212</v>
          </cell>
          <cell r="G200">
            <v>53.442025761272468</v>
          </cell>
          <cell r="H200">
            <v>71.920393274344093</v>
          </cell>
          <cell r="I200">
            <v>61.882186136988622</v>
          </cell>
          <cell r="J200">
            <v>66.222487629061163</v>
          </cell>
          <cell r="K200">
            <v>75.713516417821566</v>
          </cell>
          <cell r="L200">
            <v>53.405044881892671</v>
          </cell>
          <cell r="M200">
            <v>49.401577825321546</v>
          </cell>
          <cell r="N200">
            <v>53.066940464183666</v>
          </cell>
          <cell r="O200">
            <v>61.341699758546582</v>
          </cell>
          <cell r="P200">
            <v>50.854634589438902</v>
          </cell>
        </row>
        <row r="201">
          <cell r="B201">
            <v>41.327019999999997</v>
          </cell>
          <cell r="C201">
            <v>41.226869999999998</v>
          </cell>
          <cell r="D201">
            <v>41.366860000000003</v>
          </cell>
          <cell r="E201">
            <v>53.227787162766425</v>
          </cell>
          <cell r="F201">
            <v>46.661867066013087</v>
          </cell>
          <cell r="G201">
            <v>46.912392222620113</v>
          </cell>
          <cell r="H201">
            <v>59.797997073321085</v>
          </cell>
          <cell r="I201">
            <v>53.689904120672956</v>
          </cell>
          <cell r="J201">
            <v>59.299994552604034</v>
          </cell>
          <cell r="K201">
            <v>69.536725140695793</v>
          </cell>
          <cell r="L201">
            <v>37.130283000000006</v>
          </cell>
          <cell r="M201">
            <v>47.792469751378739</v>
          </cell>
          <cell r="N201">
            <v>50.157691109027908</v>
          </cell>
          <cell r="O201">
            <v>49.723492997555432</v>
          </cell>
          <cell r="P201">
            <v>47.259274016296615</v>
          </cell>
        </row>
        <row r="202">
          <cell r="B202">
            <v>39.186199999999999</v>
          </cell>
          <cell r="C202">
            <v>39.018770000000004</v>
          </cell>
          <cell r="D202">
            <v>40.497660000000003</v>
          </cell>
          <cell r="E202">
            <v>48.665414552838357</v>
          </cell>
          <cell r="F202">
            <v>43.62247578859899</v>
          </cell>
          <cell r="G202">
            <v>42.970181583474165</v>
          </cell>
          <cell r="H202">
            <v>54.846791049853607</v>
          </cell>
          <cell r="I202">
            <v>48.910102876269328</v>
          </cell>
          <cell r="J202">
            <v>56.147900046339608</v>
          </cell>
          <cell r="K202">
            <v>61.690293499087467</v>
          </cell>
          <cell r="L202">
            <v>35.137611</v>
          </cell>
          <cell r="M202">
            <v>46.645555264098078</v>
          </cell>
          <cell r="N202">
            <v>49.633496444810731</v>
          </cell>
          <cell r="O202">
            <v>46.323547931007354</v>
          </cell>
          <cell r="P202">
            <v>46.665694762004492</v>
          </cell>
        </row>
        <row r="203">
          <cell r="B203">
            <v>38.914250000000003</v>
          </cell>
          <cell r="C203">
            <v>38.722659999999998</v>
          </cell>
          <cell r="D203">
            <v>38.214100000000002</v>
          </cell>
          <cell r="E203">
            <v>45.19393182864156</v>
          </cell>
          <cell r="F203">
            <v>40.461655590936878</v>
          </cell>
          <cell r="G203">
            <v>42.701873904188645</v>
          </cell>
          <cell r="H203">
            <v>50.769046264902904</v>
          </cell>
          <cell r="I203">
            <v>46.324890111627049</v>
          </cell>
          <cell r="J203">
            <v>53.1242017321539</v>
          </cell>
          <cell r="K203">
            <v>61.390942497678921</v>
          </cell>
          <cell r="L203">
            <v>34.572816000000003</v>
          </cell>
          <cell r="M203">
            <v>43.356980115367442</v>
          </cell>
          <cell r="N203">
            <v>46.006288766489966</v>
          </cell>
          <cell r="O203">
            <v>40.589837928907379</v>
          </cell>
          <cell r="P203">
            <v>42.160371288785605</v>
          </cell>
        </row>
        <row r="204">
          <cell r="B204">
            <v>44.928001295330468</v>
          </cell>
          <cell r="C204">
            <v>50.27799623344589</v>
          </cell>
          <cell r="D204">
            <v>44.359490000000001</v>
          </cell>
          <cell r="E204">
            <v>47.98088797909174</v>
          </cell>
          <cell r="F204">
            <v>43.38450856059022</v>
          </cell>
          <cell r="G204">
            <v>43.527848778389099</v>
          </cell>
          <cell r="H204">
            <v>52.792277754061772</v>
          </cell>
          <cell r="I204">
            <v>49.076059035915733</v>
          </cell>
          <cell r="J204">
            <v>52.820376732987668</v>
          </cell>
          <cell r="K204">
            <v>65.446774991030011</v>
          </cell>
          <cell r="L204">
            <v>35.781012000000004</v>
          </cell>
          <cell r="M204">
            <v>43.910505948858436</v>
          </cell>
          <cell r="N204">
            <v>45.801901875350737</v>
          </cell>
          <cell r="O204">
            <v>50.124455970471686</v>
          </cell>
          <cell r="P204">
            <v>44.223325433098594</v>
          </cell>
        </row>
        <row r="205">
          <cell r="B205">
            <v>64.875612951260152</v>
          </cell>
          <cell r="C205">
            <v>93.477551629295931</v>
          </cell>
          <cell r="D205">
            <v>57.252935956985453</v>
          </cell>
          <cell r="E205">
            <v>57.034581229897881</v>
          </cell>
          <cell r="F205">
            <v>55.126094296247139</v>
          </cell>
          <cell r="G205">
            <v>56.177769050679203</v>
          </cell>
          <cell r="H205">
            <v>65.612719693998244</v>
          </cell>
          <cell r="I205">
            <v>59.819993966696345</v>
          </cell>
          <cell r="J205">
            <v>63.611197631023288</v>
          </cell>
          <cell r="K205">
            <v>75.987414330842</v>
          </cell>
          <cell r="L205">
            <v>62.752423104163718</v>
          </cell>
          <cell r="M205">
            <v>52.651060667516447</v>
          </cell>
          <cell r="N205">
            <v>55.521545517610754</v>
          </cell>
          <cell r="O205">
            <v>57.792096680365049</v>
          </cell>
          <cell r="P205">
            <v>53.198876468409722</v>
          </cell>
        </row>
        <row r="206">
          <cell r="B206">
            <v>68.763753929372626</v>
          </cell>
          <cell r="C206">
            <v>97.365555131381228</v>
          </cell>
          <cell r="D206">
            <v>67.561775119912227</v>
          </cell>
          <cell r="E206">
            <v>60.501024562633184</v>
          </cell>
          <cell r="F206">
            <v>56.70860243593814</v>
          </cell>
          <cell r="G206">
            <v>58.202050133986802</v>
          </cell>
          <cell r="H206">
            <v>67.853202876254613</v>
          </cell>
          <cell r="I206">
            <v>61.5022292934717</v>
          </cell>
          <cell r="J206">
            <v>64.71918202423528</v>
          </cell>
          <cell r="K206">
            <v>86.886278788337975</v>
          </cell>
          <cell r="L206">
            <v>67.341277612393668</v>
          </cell>
          <cell r="M206">
            <v>54.637152452501788</v>
          </cell>
          <cell r="N206">
            <v>57.417135632577008</v>
          </cell>
          <cell r="O206">
            <v>72.183757134710802</v>
          </cell>
          <cell r="P206">
            <v>57.151994747919453</v>
          </cell>
        </row>
        <row r="207">
          <cell r="B207">
            <v>74.965542655838149</v>
          </cell>
          <cell r="C207">
            <v>106.32565604809645</v>
          </cell>
          <cell r="D207">
            <v>97.657690344748247</v>
          </cell>
          <cell r="E207">
            <v>61.531461034174036</v>
          </cell>
          <cell r="F207">
            <v>57.471603112568452</v>
          </cell>
          <cell r="G207">
            <v>59.131473127251695</v>
          </cell>
          <cell r="H207">
            <v>66.483855961977696</v>
          </cell>
          <cell r="I207">
            <v>60.589194286021431</v>
          </cell>
          <cell r="J207">
            <v>65.698616180432353</v>
          </cell>
          <cell r="K207">
            <v>84.606469869769086</v>
          </cell>
          <cell r="L207">
            <v>73.603179306543154</v>
          </cell>
          <cell r="M207">
            <v>54.332121398467471</v>
          </cell>
          <cell r="N207">
            <v>57.53751336038566</v>
          </cell>
          <cell r="O207">
            <v>76.887746703477518</v>
          </cell>
          <cell r="P207">
            <v>56.708314920770704</v>
          </cell>
        </row>
        <row r="208">
          <cell r="B208">
            <v>73.642599662554929</v>
          </cell>
          <cell r="C208">
            <v>104.95686114826825</v>
          </cell>
          <cell r="D208">
            <v>44.84169</v>
          </cell>
          <cell r="E208">
            <v>50.851906878913546</v>
          </cell>
          <cell r="F208">
            <v>47.004051344282587</v>
          </cell>
          <cell r="G208">
            <v>47.66693538527322</v>
          </cell>
          <cell r="H208">
            <v>54.300371442982446</v>
          </cell>
          <cell r="I208">
            <v>51.881488304904529</v>
          </cell>
          <cell r="J208">
            <v>54.850994310499189</v>
          </cell>
          <cell r="K208">
            <v>67.682107912045964</v>
          </cell>
          <cell r="L208">
            <v>42.281604000000002</v>
          </cell>
          <cell r="M208">
            <v>48.032590356702642</v>
          </cell>
          <cell r="N208">
            <v>50.646726139829191</v>
          </cell>
          <cell r="O208">
            <v>51.400286098812103</v>
          </cell>
          <cell r="P208">
            <v>49.508917815743374</v>
          </cell>
        </row>
        <row r="209">
          <cell r="B209">
            <v>43.181899999999999</v>
          </cell>
          <cell r="C209">
            <v>43.047890000000002</v>
          </cell>
          <cell r="D209">
            <v>39.044330000000002</v>
          </cell>
          <cell r="E209">
            <v>48.153864240423339</v>
          </cell>
          <cell r="F209">
            <v>42.698717553953635</v>
          </cell>
          <cell r="G209">
            <v>42.113970441748556</v>
          </cell>
          <cell r="H209">
            <v>57.233415210007863</v>
          </cell>
          <cell r="I209">
            <v>50.018373362753351</v>
          </cell>
          <cell r="J209">
            <v>53.83543354133139</v>
          </cell>
          <cell r="K209">
            <v>66.891445673373298</v>
          </cell>
          <cell r="L209">
            <v>38.811132000000001</v>
          </cell>
          <cell r="M209">
            <v>45.221042861394807</v>
          </cell>
          <cell r="N209">
            <v>47.95326941310374</v>
          </cell>
          <cell r="O209">
            <v>48.27808115108548</v>
          </cell>
          <cell r="P209">
            <v>44.832680308471957</v>
          </cell>
        </row>
        <row r="210">
          <cell r="B210">
            <v>47.22448</v>
          </cell>
          <cell r="C210">
            <v>46.91534</v>
          </cell>
          <cell r="D210">
            <v>38.357109999999999</v>
          </cell>
          <cell r="E210">
            <v>48.78470321650348</v>
          </cell>
          <cell r="F210">
            <v>43.163908731856097</v>
          </cell>
          <cell r="G210">
            <v>43.207671751248206</v>
          </cell>
          <cell r="H210">
            <v>56.91157972773442</v>
          </cell>
          <cell r="I210">
            <v>50.78550403140445</v>
          </cell>
          <cell r="J210">
            <v>54.806949180356746</v>
          </cell>
          <cell r="K210">
            <v>66.295476339941587</v>
          </cell>
          <cell r="L210">
            <v>42.448661999999999</v>
          </cell>
          <cell r="M210">
            <v>45.534084160230549</v>
          </cell>
          <cell r="N210">
            <v>48.48923456150397</v>
          </cell>
          <cell r="O210">
            <v>53.450828093202944</v>
          </cell>
          <cell r="P210">
            <v>45.711423087169528</v>
          </cell>
        </row>
        <row r="211">
          <cell r="B211">
            <v>51.819323591651248</v>
          </cell>
          <cell r="C211">
            <v>54.775321340811772</v>
          </cell>
          <cell r="D211">
            <v>50.74394173604604</v>
          </cell>
          <cell r="E211">
            <v>56.525509255672901</v>
          </cell>
          <cell r="F211">
            <v>50.809066331964871</v>
          </cell>
          <cell r="G211">
            <v>51.481740467484698</v>
          </cell>
          <cell r="H211">
            <v>71.237847967968307</v>
          </cell>
          <cell r="I211">
            <v>57.834643739041283</v>
          </cell>
          <cell r="J211">
            <v>61.46078599002297</v>
          </cell>
          <cell r="K211">
            <v>74.611857437972205</v>
          </cell>
          <cell r="L211">
            <v>55.864148923839267</v>
          </cell>
          <cell r="M211">
            <v>47.341266585397008</v>
          </cell>
          <cell r="N211">
            <v>50.127245359010679</v>
          </cell>
          <cell r="O211">
            <v>67.40545279904066</v>
          </cell>
          <cell r="P211">
            <v>49.244260411798891</v>
          </cell>
        </row>
        <row r="212">
          <cell r="B212">
            <v>49.361278946534107</v>
          </cell>
          <cell r="C212">
            <v>52.209593140859404</v>
          </cell>
          <cell r="D212">
            <v>51.964150259772687</v>
          </cell>
          <cell r="E212">
            <v>59.141458385180378</v>
          </cell>
          <cell r="F212">
            <v>52.942020093010818</v>
          </cell>
          <cell r="G212">
            <v>53.472891897265903</v>
          </cell>
          <cell r="H212">
            <v>71.87744610242666</v>
          </cell>
          <cell r="I212">
            <v>62.383871584859001</v>
          </cell>
          <cell r="J212">
            <v>66.690529580612804</v>
          </cell>
          <cell r="K212">
            <v>76.573520294067237</v>
          </cell>
          <cell r="L212">
            <v>53.088926809095639</v>
          </cell>
          <cell r="M212">
            <v>49.103394038372357</v>
          </cell>
          <cell r="N212">
            <v>53.227713449563112</v>
          </cell>
          <cell r="O212">
            <v>61.109548037248501</v>
          </cell>
          <cell r="P212">
            <v>50.877036657991823</v>
          </cell>
        </row>
        <row r="213">
          <cell r="B213">
            <v>41.665390000000002</v>
          </cell>
          <cell r="C213">
            <v>41.504359999999998</v>
          </cell>
          <cell r="D213">
            <v>42.324060000000003</v>
          </cell>
          <cell r="E213">
            <v>53.648852646257367</v>
          </cell>
          <cell r="F213">
            <v>47.046236246686995</v>
          </cell>
          <cell r="G213">
            <v>47.35786790767871</v>
          </cell>
          <cell r="H213">
            <v>60.416600047815656</v>
          </cell>
          <cell r="I213">
            <v>54.580864262653314</v>
          </cell>
          <cell r="J213">
            <v>60.218499389587798</v>
          </cell>
          <cell r="K213">
            <v>71.693166505609071</v>
          </cell>
          <cell r="L213">
            <v>37.414638000000004</v>
          </cell>
          <cell r="M213">
            <v>48.502251691083387</v>
          </cell>
          <cell r="N213">
            <v>51.09593853277218</v>
          </cell>
          <cell r="O213">
            <v>49.994642741613191</v>
          </cell>
          <cell r="P213">
            <v>47.750842232522785</v>
          </cell>
        </row>
        <row r="214">
          <cell r="B214">
            <v>39.548789999999997</v>
          </cell>
          <cell r="C214">
            <v>39.300130000000003</v>
          </cell>
          <cell r="D214">
            <v>40.997669999999999</v>
          </cell>
          <cell r="E214">
            <v>48.878334597115007</v>
          </cell>
          <cell r="F214">
            <v>43.95549960082613</v>
          </cell>
          <cell r="G214">
            <v>43.475812713337454</v>
          </cell>
          <cell r="H214">
            <v>55.11717016438034</v>
          </cell>
          <cell r="I214">
            <v>49.449787685546681</v>
          </cell>
          <cell r="J214">
            <v>56.359260833875744</v>
          </cell>
          <cell r="K214">
            <v>61.83251393239194</v>
          </cell>
          <cell r="L214">
            <v>35.435718000000001</v>
          </cell>
          <cell r="M214">
            <v>47.217799742604655</v>
          </cell>
          <cell r="N214">
            <v>50.18215218063736</v>
          </cell>
          <cell r="O214">
            <v>46.643804507435647</v>
          </cell>
          <cell r="P214">
            <v>47.166432795153931</v>
          </cell>
        </row>
        <row r="215">
          <cell r="B215">
            <v>39.205030000000001</v>
          </cell>
          <cell r="C215">
            <v>39.049419999999998</v>
          </cell>
          <cell r="D215">
            <v>38.994149999999998</v>
          </cell>
          <cell r="E215">
            <v>45.385356705625227</v>
          </cell>
          <cell r="F215">
            <v>40.501148224710427</v>
          </cell>
          <cell r="G215">
            <v>43.036012421471419</v>
          </cell>
          <cell r="H215">
            <v>50.907596786457901</v>
          </cell>
          <cell r="I215">
            <v>46.857213076887064</v>
          </cell>
          <cell r="J215">
            <v>53.399190149031298</v>
          </cell>
          <cell r="K215">
            <v>61.542057628183109</v>
          </cell>
          <cell r="L215">
            <v>34.885179000000001</v>
          </cell>
          <cell r="M215">
            <v>43.375530079708248</v>
          </cell>
          <cell r="N215">
            <v>45.971052711040002</v>
          </cell>
          <cell r="O215">
            <v>41.166533798791932</v>
          </cell>
          <cell r="P215">
            <v>42.759491634001208</v>
          </cell>
        </row>
        <row r="216">
          <cell r="B216">
            <v>45.026911310398859</v>
          </cell>
          <cell r="C216">
            <v>50.678987146899232</v>
          </cell>
          <cell r="D216">
            <v>45.17586</v>
          </cell>
          <cell r="E216">
            <v>48.586152103901071</v>
          </cell>
          <cell r="F216">
            <v>43.80826007275639</v>
          </cell>
          <cell r="G216">
            <v>43.908069108280131</v>
          </cell>
          <cell r="H216">
            <v>53.000795799222317</v>
          </cell>
          <cell r="I216">
            <v>49.969944453634703</v>
          </cell>
          <cell r="J216">
            <v>53.350127719762256</v>
          </cell>
          <cell r="K216">
            <v>66.31668288248045</v>
          </cell>
          <cell r="L216">
            <v>35.795079000000001</v>
          </cell>
          <cell r="M216">
            <v>44.424904403301952</v>
          </cell>
          <cell r="N216">
            <v>46.178313390947174</v>
          </cell>
          <cell r="O216">
            <v>50.246971319074717</v>
          </cell>
          <cell r="P216">
            <v>44.713255303878796</v>
          </cell>
        </row>
        <row r="217">
          <cell r="B217">
            <v>65.182281467992667</v>
          </cell>
          <cell r="C217">
            <v>94.682348329008278</v>
          </cell>
          <cell r="D217">
            <v>57.670468989297234</v>
          </cell>
          <cell r="E217">
            <v>56.854979405587926</v>
          </cell>
          <cell r="F217">
            <v>54.725369455573365</v>
          </cell>
          <cell r="G217">
            <v>55.871489574121746</v>
          </cell>
          <cell r="H217">
            <v>65.910060589346088</v>
          </cell>
          <cell r="I217">
            <v>59.933861444363181</v>
          </cell>
          <cell r="J217">
            <v>63.738456398875911</v>
          </cell>
          <cell r="K217">
            <v>77.317189288721877</v>
          </cell>
          <cell r="L217">
            <v>62.902892338558374</v>
          </cell>
          <cell r="M217">
            <v>52.82736149212586</v>
          </cell>
          <cell r="N217">
            <v>55.545822338273524</v>
          </cell>
          <cell r="O217">
            <v>58.165669679186294</v>
          </cell>
          <cell r="P217">
            <v>52.990327107350353</v>
          </cell>
        </row>
        <row r="218">
          <cell r="B218">
            <v>68.750606727095771</v>
          </cell>
          <cell r="C218">
            <v>98.577817387014193</v>
          </cell>
          <cell r="D218">
            <v>64.216592792666447</v>
          </cell>
          <cell r="E218">
            <v>60.846211268713574</v>
          </cell>
          <cell r="F218">
            <v>57.150510594391719</v>
          </cell>
          <cell r="G218">
            <v>58.679363558010699</v>
          </cell>
          <cell r="H218">
            <v>67.676890047614819</v>
          </cell>
          <cell r="I218">
            <v>62.097142048631468</v>
          </cell>
          <cell r="J218">
            <v>65.086395032929673</v>
          </cell>
          <cell r="K218">
            <v>88.019058941414926</v>
          </cell>
          <cell r="L218">
            <v>67.20713075740565</v>
          </cell>
          <cell r="M218">
            <v>55.18730114455289</v>
          </cell>
          <cell r="N218">
            <v>57.921182685169001</v>
          </cell>
          <cell r="O218">
            <v>72.372250963290583</v>
          </cell>
          <cell r="P218">
            <v>57.794182317109005</v>
          </cell>
        </row>
        <row r="219">
          <cell r="B219">
            <v>75.677745962354024</v>
          </cell>
          <cell r="C219">
            <v>108.52062053306244</v>
          </cell>
          <cell r="D219">
            <v>102.70291611529038</v>
          </cell>
          <cell r="E219">
            <v>62.196303966955341</v>
          </cell>
          <cell r="F219">
            <v>57.907601016860866</v>
          </cell>
          <cell r="G219">
            <v>59.639737639616207</v>
          </cell>
          <cell r="H219">
            <v>66.050329665312972</v>
          </cell>
          <cell r="I219">
            <v>61.444983475840175</v>
          </cell>
          <cell r="J219">
            <v>66.109946120057486</v>
          </cell>
          <cell r="K219">
            <v>84.603158396248688</v>
          </cell>
          <cell r="L219">
            <v>74.286099474375931</v>
          </cell>
          <cell r="M219">
            <v>55.020470666812805</v>
          </cell>
          <cell r="N219">
            <v>58.135859133821221</v>
          </cell>
          <cell r="O219">
            <v>78.117248510299078</v>
          </cell>
          <cell r="P219">
            <v>57.393034358390892</v>
          </cell>
        </row>
        <row r="220">
          <cell r="B220">
            <v>73.188070934581447</v>
          </cell>
          <cell r="C220">
            <v>105.7701408126695</v>
          </cell>
          <cell r="D220">
            <v>45.143160000000002</v>
          </cell>
          <cell r="E220">
            <v>50.931026754316214</v>
          </cell>
          <cell r="F220">
            <v>46.950834063556705</v>
          </cell>
          <cell r="G220">
            <v>47.670609120198925</v>
          </cell>
          <cell r="H220">
            <v>54.764085829776079</v>
          </cell>
          <cell r="I220">
            <v>51.960267326963454</v>
          </cell>
          <cell r="J220">
            <v>54.796295824415886</v>
          </cell>
          <cell r="K220">
            <v>68.754327804066307</v>
          </cell>
          <cell r="L220">
            <v>42.095673000000005</v>
          </cell>
          <cell r="M220">
            <v>48.19524715617473</v>
          </cell>
          <cell r="N220">
            <v>50.799733579468047</v>
          </cell>
          <cell r="O220">
            <v>52.383027790648946</v>
          </cell>
          <cell r="P220">
            <v>50.100934640446553</v>
          </cell>
        </row>
        <row r="221">
          <cell r="B221">
            <v>43.944209999999998</v>
          </cell>
          <cell r="C221">
            <v>43.647109999999998</v>
          </cell>
          <cell r="D221">
            <v>38.616419999999998</v>
          </cell>
          <cell r="E221">
            <v>48.012552618605341</v>
          </cell>
          <cell r="F221">
            <v>42.535342629640382</v>
          </cell>
          <cell r="G221">
            <v>42.070848748881509</v>
          </cell>
          <cell r="H221">
            <v>57.47160833242117</v>
          </cell>
          <cell r="I221">
            <v>50.765872638234903</v>
          </cell>
          <cell r="J221">
            <v>54.705143472056847</v>
          </cell>
          <cell r="K221">
            <v>67.712085851389844</v>
          </cell>
          <cell r="L221">
            <v>39.429755999999998</v>
          </cell>
          <cell r="M221">
            <v>45.162899562178438</v>
          </cell>
          <cell r="N221">
            <v>47.71583740685422</v>
          </cell>
          <cell r="O221">
            <v>49.201811621693579</v>
          </cell>
          <cell r="P221">
            <v>45.468553751245842</v>
          </cell>
        </row>
        <row r="222">
          <cell r="B222">
            <v>47.543579999999999</v>
          </cell>
          <cell r="C222">
            <v>47.181690000000003</v>
          </cell>
          <cell r="D222">
            <v>39.332279999999997</v>
          </cell>
          <cell r="E222">
            <v>48.656000084418615</v>
          </cell>
          <cell r="F222">
            <v>43.182285456653794</v>
          </cell>
          <cell r="G222">
            <v>42.720532147111044</v>
          </cell>
          <cell r="H222">
            <v>57.001736337965042</v>
          </cell>
          <cell r="I222">
            <v>51.608956460844013</v>
          </cell>
          <cell r="J222">
            <v>55.779378656136863</v>
          </cell>
          <cell r="K222">
            <v>66.401122916869625</v>
          </cell>
          <cell r="L222">
            <v>42.759197999999998</v>
          </cell>
          <cell r="M222">
            <v>44.654126341193098</v>
          </cell>
          <cell r="N222">
            <v>48.011888417042627</v>
          </cell>
          <cell r="O222">
            <v>54.674860256577318</v>
          </cell>
          <cell r="P222">
            <v>45.385390350416301</v>
          </cell>
        </row>
        <row r="223">
          <cell r="B223">
            <v>52.024913934232309</v>
          </cell>
          <cell r="C223">
            <v>55.08194450032309</v>
          </cell>
          <cell r="D223">
            <v>51.366932571504108</v>
          </cell>
          <cell r="E223">
            <v>56.61986829943465</v>
          </cell>
          <cell r="F223">
            <v>51.246233077983213</v>
          </cell>
          <cell r="G223">
            <v>52.016420682181547</v>
          </cell>
          <cell r="H223">
            <v>71.39815993074167</v>
          </cell>
          <cell r="I223">
            <v>58.217771011191637</v>
          </cell>
          <cell r="J223">
            <v>62.016207710985768</v>
          </cell>
          <cell r="K223">
            <v>75.503948157869544</v>
          </cell>
          <cell r="L223">
            <v>56.177373553732188</v>
          </cell>
          <cell r="M223">
            <v>47.906782539723253</v>
          </cell>
          <cell r="N223">
            <v>50.806574312864065</v>
          </cell>
          <cell r="O223">
            <v>68.64702408442291</v>
          </cell>
          <cell r="P223">
            <v>50.167746692393393</v>
          </cell>
        </row>
        <row r="224">
          <cell r="B224">
            <v>49.880623608766761</v>
          </cell>
          <cell r="C224">
            <v>52.635594324705188</v>
          </cell>
          <cell r="D224">
            <v>52.370201459601297</v>
          </cell>
          <cell r="E224">
            <v>58.869291648219964</v>
          </cell>
          <cell r="F224">
            <v>52.881189889353763</v>
          </cell>
          <cell r="G224">
            <v>53.500475585001261</v>
          </cell>
          <cell r="H224">
            <v>72.650437929926085</v>
          </cell>
          <cell r="I224">
            <v>62.390180068547927</v>
          </cell>
          <cell r="J224">
            <v>67.134648654808416</v>
          </cell>
          <cell r="K224">
            <v>77.627018458776789</v>
          </cell>
          <cell r="L224">
            <v>53.523108029691123</v>
          </cell>
          <cell r="M224">
            <v>48.773375950822654</v>
          </cell>
          <cell r="N224">
            <v>52.867130973798751</v>
          </cell>
          <cell r="O224">
            <v>61.462838229795068</v>
          </cell>
          <cell r="P224">
            <v>50.803759356680146</v>
          </cell>
        </row>
        <row r="225">
          <cell r="B225">
            <v>42.378129999999999</v>
          </cell>
          <cell r="C225">
            <v>42.255290000000002</v>
          </cell>
          <cell r="D225">
            <v>42.785969999999999</v>
          </cell>
          <cell r="E225">
            <v>54.310173802903755</v>
          </cell>
          <cell r="F225">
            <v>47.633550304302709</v>
          </cell>
          <cell r="G225">
            <v>47.829290471559759</v>
          </cell>
          <cell r="H225">
            <v>61.076781283301763</v>
          </cell>
          <cell r="I225">
            <v>55.123903520651751</v>
          </cell>
          <cell r="J225">
            <v>61.476285379613572</v>
          </cell>
          <cell r="K225">
            <v>72.565517655590199</v>
          </cell>
          <cell r="L225">
            <v>38.106297000000005</v>
          </cell>
          <cell r="M225">
            <v>48.917288426573222</v>
          </cell>
          <cell r="N225">
            <v>51.649910874079559</v>
          </cell>
          <cell r="O225">
            <v>50.827586957083788</v>
          </cell>
          <cell r="P225">
            <v>48.438163090712251</v>
          </cell>
        </row>
        <row r="226">
          <cell r="B226">
            <v>39.994459999999997</v>
          </cell>
          <cell r="C226">
            <v>39.854950000000002</v>
          </cell>
          <cell r="D226">
            <v>41.404029999999999</v>
          </cell>
          <cell r="E226">
            <v>49.427178829777617</v>
          </cell>
          <cell r="F226">
            <v>44.537761879005444</v>
          </cell>
          <cell r="G226">
            <v>44.122182649378018</v>
          </cell>
          <cell r="H226">
            <v>55.401268675221409</v>
          </cell>
          <cell r="I226">
            <v>49.316238065182134</v>
          </cell>
          <cell r="J226">
            <v>57.134664389117425</v>
          </cell>
          <cell r="K226">
            <v>63.279857927292269</v>
          </cell>
          <cell r="L226">
            <v>35.935515000000002</v>
          </cell>
          <cell r="M226">
            <v>47.654561690296212</v>
          </cell>
          <cell r="N226">
            <v>51.443419446830241</v>
          </cell>
          <cell r="O226">
            <v>47.71324232402263</v>
          </cell>
          <cell r="P226">
            <v>47.867917643590999</v>
          </cell>
        </row>
        <row r="227">
          <cell r="B227">
            <v>39.880400000000002</v>
          </cell>
          <cell r="C227">
            <v>39.686970000000002</v>
          </cell>
          <cell r="D227">
            <v>39.32056</v>
          </cell>
          <cell r="E227">
            <v>45.637525010572084</v>
          </cell>
          <cell r="F227">
            <v>40.999617476197287</v>
          </cell>
          <cell r="G227">
            <v>43.180473463469227</v>
          </cell>
          <cell r="H227">
            <v>51.626973063683025</v>
          </cell>
          <cell r="I227">
            <v>46.854399137081359</v>
          </cell>
          <cell r="J227">
            <v>54.398602666106463</v>
          </cell>
          <cell r="K227">
            <v>60.785275465135378</v>
          </cell>
          <cell r="L227">
            <v>35.561871000000004</v>
          </cell>
          <cell r="M227">
            <v>43.241895316559166</v>
          </cell>
          <cell r="N227">
            <v>45.957918475459891</v>
          </cell>
          <cell r="O227">
            <v>41.924673692076894</v>
          </cell>
          <cell r="P227">
            <v>43.115701526001473</v>
          </cell>
        </row>
        <row r="228">
          <cell r="B228">
            <v>45.807799150574404</v>
          </cell>
          <cell r="C228">
            <v>51.090692610579964</v>
          </cell>
          <cell r="D228">
            <v>45.469740000000002</v>
          </cell>
          <cell r="E228">
            <v>49.291191232899862</v>
          </cell>
          <cell r="F228">
            <v>44.845696062014056</v>
          </cell>
          <cell r="G228">
            <v>45.058040285450922</v>
          </cell>
          <cell r="H228">
            <v>53.904754450077093</v>
          </cell>
          <cell r="I228">
            <v>50.615764328351801</v>
          </cell>
          <cell r="J228">
            <v>54.492247429380257</v>
          </cell>
          <cell r="K228">
            <v>67.386906199872001</v>
          </cell>
          <cell r="L228">
            <v>36.544364999999999</v>
          </cell>
          <cell r="M228">
            <v>45.8780270724871</v>
          </cell>
          <cell r="N228">
            <v>47.622179049810313</v>
          </cell>
          <cell r="O228">
            <v>50.641412798694525</v>
          </cell>
          <cell r="P228">
            <v>45.880013335643255</v>
          </cell>
        </row>
        <row r="229">
          <cell r="B229">
            <v>65.703116596198697</v>
          </cell>
          <cell r="C229">
            <v>93.842869996868188</v>
          </cell>
          <cell r="D229">
            <v>57.748271027976784</v>
          </cell>
          <cell r="E229">
            <v>57.565521840562681</v>
          </cell>
          <cell r="F229">
            <v>55.369748448696178</v>
          </cell>
          <cell r="G229">
            <v>56.623616866916002</v>
          </cell>
          <cell r="H229">
            <v>67.237575685425071</v>
          </cell>
          <cell r="I229">
            <v>60.937101039640773</v>
          </cell>
          <cell r="J229">
            <v>64.987477317590489</v>
          </cell>
          <cell r="K229">
            <v>78.604844838139016</v>
          </cell>
          <cell r="L229">
            <v>63.473739892606588</v>
          </cell>
          <cell r="M229">
            <v>53.683128666574873</v>
          </cell>
          <cell r="N229">
            <v>56.19980427135949</v>
          </cell>
          <cell r="O229">
            <v>58.85834589821124</v>
          </cell>
          <cell r="P229">
            <v>53.984097701009873</v>
          </cell>
        </row>
        <row r="230">
          <cell r="B230">
            <v>70.098405063615218</v>
          </cell>
          <cell r="C230">
            <v>98.528238701194113</v>
          </cell>
          <cell r="D230">
            <v>63.924128631307937</v>
          </cell>
          <cell r="E230">
            <v>61.336441997956314</v>
          </cell>
          <cell r="F230">
            <v>58.050018543782649</v>
          </cell>
          <cell r="G230">
            <v>59.324068866268412</v>
          </cell>
          <cell r="H230">
            <v>68.396088089994805</v>
          </cell>
          <cell r="I230">
            <v>62.441936955093944</v>
          </cell>
          <cell r="J230">
            <v>66.158240014438292</v>
          </cell>
          <cell r="K230">
            <v>88.007781513538106</v>
          </cell>
          <cell r="L230">
            <v>68.454273377789036</v>
          </cell>
          <cell r="M230">
            <v>56.070570419419646</v>
          </cell>
          <cell r="N230">
            <v>58.731907408607597</v>
          </cell>
          <cell r="O230">
            <v>74.055296818199793</v>
          </cell>
          <cell r="P230">
            <v>58.670631549676102</v>
          </cell>
        </row>
        <row r="231">
          <cell r="B231">
            <v>77.635385536529981</v>
          </cell>
          <cell r="C231">
            <v>109.05670537778767</v>
          </cell>
          <cell r="D231">
            <v>96.302239813381462</v>
          </cell>
          <cell r="E231">
            <v>62.823157130916087</v>
          </cell>
          <cell r="F231">
            <v>58.568929601075652</v>
          </cell>
          <cell r="G231">
            <v>60.428879452028077</v>
          </cell>
          <cell r="H231">
            <v>67.701529393366513</v>
          </cell>
          <cell r="I231">
            <v>62.07316954971418</v>
          </cell>
          <cell r="J231">
            <v>67.387040412656376</v>
          </cell>
          <cell r="K231">
            <v>85.786714119096885</v>
          </cell>
          <cell r="L231">
            <v>75.937077820203356</v>
          </cell>
          <cell r="M231">
            <v>55.93447869552169</v>
          </cell>
          <cell r="N231">
            <v>58.940076412098996</v>
          </cell>
          <cell r="O231">
            <v>80.067788686407553</v>
          </cell>
          <cell r="P231">
            <v>58.337921581677996</v>
          </cell>
        </row>
        <row r="232">
          <cell r="B232">
            <v>73.885372978941987</v>
          </cell>
          <cell r="C232">
            <v>104.69152634819558</v>
          </cell>
          <cell r="D232">
            <v>45.335389999999997</v>
          </cell>
          <cell r="E232">
            <v>51.22665908458039</v>
          </cell>
          <cell r="F232">
            <v>47.195602125944028</v>
          </cell>
          <cell r="G232">
            <v>48.044530244061569</v>
          </cell>
          <cell r="H232">
            <v>55.512099484647273</v>
          </cell>
          <cell r="I232">
            <v>52.656348412387587</v>
          </cell>
          <cell r="J232">
            <v>55.829794015565113</v>
          </cell>
          <cell r="K232">
            <v>69.724315082157233</v>
          </cell>
          <cell r="L232">
            <v>42.852474000000001</v>
          </cell>
          <cell r="M232">
            <v>48.689356537123665</v>
          </cell>
          <cell r="N232">
            <v>51.182765851732732</v>
          </cell>
          <cell r="O232">
            <v>53.5119163970556</v>
          </cell>
          <cell r="P232">
            <v>50.510380213629851</v>
          </cell>
        </row>
        <row r="233">
          <cell r="B233">
            <v>44.683039999999998</v>
          </cell>
          <cell r="C233">
            <v>44.45026</v>
          </cell>
          <cell r="D233">
            <v>38.942720000000001</v>
          </cell>
          <cell r="E233">
            <v>48.58512971090471</v>
          </cell>
          <cell r="F233">
            <v>43.039052136805736</v>
          </cell>
          <cell r="G233">
            <v>42.666415003517336</v>
          </cell>
          <cell r="H233">
            <v>57.467889327235312</v>
          </cell>
          <cell r="I233">
            <v>51.139024192640939</v>
          </cell>
          <cell r="J233">
            <v>55.628553917876523</v>
          </cell>
          <cell r="K233">
            <v>68.601169935429382</v>
          </cell>
          <cell r="L233">
            <v>40.192956000000002</v>
          </cell>
          <cell r="M233">
            <v>45.99987936241034</v>
          </cell>
          <cell r="N233">
            <v>48.267352464873667</v>
          </cell>
          <cell r="O233">
            <v>49.949626696574157</v>
          </cell>
          <cell r="P233">
            <v>46.136654245797992</v>
          </cell>
        </row>
        <row r="234">
          <cell r="B234">
            <v>48.624839999999999</v>
          </cell>
          <cell r="C234">
            <v>48.339849999999998</v>
          </cell>
          <cell r="D234">
            <v>39.358370000000001</v>
          </cell>
          <cell r="E234">
            <v>49.322131504307343</v>
          </cell>
          <cell r="F234">
            <v>43.859266654863852</v>
          </cell>
          <cell r="G234">
            <v>43.563268043044488</v>
          </cell>
          <cell r="H234">
            <v>57.416613598125821</v>
          </cell>
          <cell r="I234">
            <v>51.486290730315993</v>
          </cell>
          <cell r="J234">
            <v>56.383847322209569</v>
          </cell>
          <cell r="K234">
            <v>67.601928414642799</v>
          </cell>
          <cell r="L234">
            <v>43.843688999999998</v>
          </cell>
          <cell r="M234">
            <v>45.324306985976961</v>
          </cell>
          <cell r="N234">
            <v>48.555812583905102</v>
          </cell>
          <cell r="O234">
            <v>55.08832363708558</v>
          </cell>
          <cell r="P234">
            <v>46.083471283794061</v>
          </cell>
        </row>
        <row r="235">
          <cell r="B235">
            <v>52.822993354128783</v>
          </cell>
          <cell r="C235">
            <v>55.749270811737986</v>
          </cell>
          <cell r="D235">
            <v>51.762901797511105</v>
          </cell>
          <cell r="E235">
            <v>57.618940137994187</v>
          </cell>
          <cell r="F235">
            <v>51.993552238933773</v>
          </cell>
          <cell r="G235">
            <v>52.806088234112835</v>
          </cell>
          <cell r="H235">
            <v>71.953285317193334</v>
          </cell>
          <cell r="I235">
            <v>58.931380721149687</v>
          </cell>
          <cell r="J235">
            <v>63.030088613647301</v>
          </cell>
          <cell r="K235">
            <v>76.952449840897685</v>
          </cell>
          <cell r="L235">
            <v>56.884073314621169</v>
          </cell>
          <cell r="M235">
            <v>48.990938206437164</v>
          </cell>
          <cell r="N235">
            <v>51.66506036333341</v>
          </cell>
          <cell r="O235">
            <v>68.80881668299962</v>
          </cell>
          <cell r="P235">
            <v>51.068176621292977</v>
          </cell>
        </row>
        <row r="236">
          <cell r="B236">
            <v>50.408903716975431</v>
          </cell>
          <cell r="C236">
            <v>53.090759050827373</v>
          </cell>
          <cell r="D236">
            <v>52.852092333191621</v>
          </cell>
          <cell r="E236">
            <v>59.08535967732994</v>
          </cell>
          <cell r="F236">
            <v>53.2384928597575</v>
          </cell>
          <cell r="G236">
            <v>53.959006935540181</v>
          </cell>
          <cell r="H236">
            <v>74.039788207412883</v>
          </cell>
          <cell r="I236">
            <v>62.97508626343307</v>
          </cell>
          <cell r="J236">
            <v>67.759673531391996</v>
          </cell>
          <cell r="K236">
            <v>78.270459600892025</v>
          </cell>
          <cell r="L236">
            <v>53.965357796709334</v>
          </cell>
          <cell r="M236">
            <v>49.429877054068356</v>
          </cell>
          <cell r="N236">
            <v>53.331718208167551</v>
          </cell>
          <cell r="O236">
            <v>61.954795227916982</v>
          </cell>
          <cell r="P236">
            <v>51.196589849197608</v>
          </cell>
        </row>
        <row r="237">
          <cell r="B237">
            <v>43.06664</v>
          </cell>
          <cell r="C237">
            <v>42.976100000000002</v>
          </cell>
          <cell r="D237">
            <v>43.577159999999999</v>
          </cell>
          <cell r="E237">
            <v>54.950110858079555</v>
          </cell>
          <cell r="F237">
            <v>48.226576373921944</v>
          </cell>
          <cell r="G237">
            <v>48.366534677292556</v>
          </cell>
          <cell r="H237">
            <v>61.666217504737567</v>
          </cell>
          <cell r="I237">
            <v>55.609668022481436</v>
          </cell>
          <cell r="J237">
            <v>61.717061158741529</v>
          </cell>
          <cell r="K237">
            <v>73.804912140488625</v>
          </cell>
          <cell r="L237">
            <v>38.788569000000003</v>
          </cell>
          <cell r="M237">
            <v>49.69951977791618</v>
          </cell>
          <cell r="N237">
            <v>52.486435749946885</v>
          </cell>
          <cell r="O237">
            <v>51.382216190212858</v>
          </cell>
          <cell r="P237">
            <v>48.923029435946972</v>
          </cell>
        </row>
        <row r="238">
          <cell r="B238">
            <v>40.630339999999997</v>
          </cell>
          <cell r="C238">
            <v>40.555430000000001</v>
          </cell>
          <cell r="D238">
            <v>41.983789999999999</v>
          </cell>
          <cell r="E238">
            <v>49.840748668625992</v>
          </cell>
          <cell r="F238">
            <v>45.13865549842091</v>
          </cell>
          <cell r="G238">
            <v>44.76985861248491</v>
          </cell>
          <cell r="H238">
            <v>56.037204193407334</v>
          </cell>
          <cell r="I238">
            <v>49.897638456495706</v>
          </cell>
          <cell r="J238">
            <v>57.773532651709331</v>
          </cell>
          <cell r="K238">
            <v>64.166323318684178</v>
          </cell>
          <cell r="L238">
            <v>36.570419999999999</v>
          </cell>
          <cell r="M238">
            <v>49.420999850252734</v>
          </cell>
          <cell r="N238">
            <v>52.386071243355715</v>
          </cell>
          <cell r="O238">
            <v>48.2692818739445</v>
          </cell>
          <cell r="P238">
            <v>48.55814058264091</v>
          </cell>
        </row>
        <row r="239">
          <cell r="B239">
            <v>40.425739999999998</v>
          </cell>
          <cell r="C239">
            <v>40.254519999999999</v>
          </cell>
          <cell r="D239">
            <v>39.58419</v>
          </cell>
          <cell r="E239">
            <v>45.979179872665256</v>
          </cell>
          <cell r="F239">
            <v>41.02768973741771</v>
          </cell>
          <cell r="G239">
            <v>43.695239503828439</v>
          </cell>
          <cell r="H239">
            <v>52.380129522307207</v>
          </cell>
          <cell r="I239">
            <v>47.237391855078506</v>
          </cell>
          <cell r="J239">
            <v>55.357389788967119</v>
          </cell>
          <cell r="K239">
            <v>61.565964916666196</v>
          </cell>
          <cell r="L239">
            <v>36.037197000000006</v>
          </cell>
          <cell r="M239">
            <v>43.532528380962013</v>
          </cell>
          <cell r="N239">
            <v>46.033863366400723</v>
          </cell>
          <cell r="O239">
            <v>42.683539094562548</v>
          </cell>
          <cell r="P239">
            <v>43.668015050024913</v>
          </cell>
        </row>
        <row r="240">
          <cell r="B240">
            <v>47.140299165260579</v>
          </cell>
          <cell r="C240">
            <v>52.3271147493695</v>
          </cell>
          <cell r="D240">
            <v>46.313479999999998</v>
          </cell>
          <cell r="E240">
            <v>49.795696332689211</v>
          </cell>
          <cell r="F240">
            <v>45.379857361071373</v>
          </cell>
          <cell r="G240">
            <v>45.814838288110991</v>
          </cell>
          <cell r="H240">
            <v>54.357245078456266</v>
          </cell>
          <cell r="I240">
            <v>51.463383914103353</v>
          </cell>
          <cell r="J240">
            <v>55.531901759309022</v>
          </cell>
          <cell r="K240">
            <v>68.1428816962772</v>
          </cell>
          <cell r="L240">
            <v>37.777905000000004</v>
          </cell>
          <cell r="M240">
            <v>47.064502085466472</v>
          </cell>
          <cell r="N240">
            <v>48.600630023459871</v>
          </cell>
          <cell r="O240">
            <v>51.571719272138736</v>
          </cell>
          <cell r="P240">
            <v>46.777779489113449</v>
          </cell>
        </row>
        <row r="241">
          <cell r="B241">
            <v>66.632448159838461</v>
          </cell>
          <cell r="C241">
            <v>93.348944458120954</v>
          </cell>
          <cell r="D241">
            <v>58.387225447601217</v>
          </cell>
          <cell r="E241">
            <v>58.381048514937284</v>
          </cell>
          <cell r="F241">
            <v>56.110344715950461</v>
          </cell>
          <cell r="G241">
            <v>57.514510750950627</v>
          </cell>
          <cell r="H241">
            <v>68.890328798507895</v>
          </cell>
          <cell r="I241">
            <v>61.333231477500881</v>
          </cell>
          <cell r="J241">
            <v>65.876838193082165</v>
          </cell>
          <cell r="K241">
            <v>80.709630541066502</v>
          </cell>
          <cell r="L241">
            <v>64.430092125259364</v>
          </cell>
          <cell r="M241">
            <v>54.76305344542255</v>
          </cell>
          <cell r="N241">
            <v>57.099045507992749</v>
          </cell>
          <cell r="O241">
            <v>59.90617624868095</v>
          </cell>
          <cell r="P241">
            <v>55.191894461079116</v>
          </cell>
        </row>
        <row r="242">
          <cell r="B242">
            <v>71.464923896950893</v>
          </cell>
          <cell r="C242">
            <v>98.738877447777341</v>
          </cell>
          <cell r="D242">
            <v>67.054696329145472</v>
          </cell>
          <cell r="E242">
            <v>61.286156499182702</v>
          </cell>
          <cell r="F242">
            <v>58.261603283248725</v>
          </cell>
          <cell r="G242">
            <v>59.865620329874453</v>
          </cell>
          <cell r="H242">
            <v>69.446423307548869</v>
          </cell>
          <cell r="I242">
            <v>62.786678753005262</v>
          </cell>
          <cell r="J242">
            <v>66.881852960706908</v>
          </cell>
          <cell r="K242">
            <v>87.776400944409474</v>
          </cell>
          <cell r="L242">
            <v>69.729940360440935</v>
          </cell>
          <cell r="M242">
            <v>56.636365432545574</v>
          </cell>
          <cell r="N242">
            <v>59.230811787076597</v>
          </cell>
          <cell r="O242">
            <v>75.447210295497115</v>
          </cell>
          <cell r="P242">
            <v>59.640424783523805</v>
          </cell>
        </row>
        <row r="243">
          <cell r="B243">
            <v>78.815619800870067</v>
          </cell>
          <cell r="C243">
            <v>108.99535619974702</v>
          </cell>
          <cell r="D243">
            <v>99.685130040899921</v>
          </cell>
          <cell r="E243">
            <v>63.292343809006127</v>
          </cell>
          <cell r="F243">
            <v>59.410626831200254</v>
          </cell>
          <cell r="G243">
            <v>61.311318535409917</v>
          </cell>
          <cell r="H243">
            <v>69.104460328782167</v>
          </cell>
          <cell r="I243">
            <v>62.92568553997738</v>
          </cell>
          <cell r="J243">
            <v>68.322725746623632</v>
          </cell>
          <cell r="K243">
            <v>86.581042928311803</v>
          </cell>
          <cell r="L243">
            <v>77.066539592406258</v>
          </cell>
          <cell r="M243">
            <v>56.81061442045764</v>
          </cell>
          <cell r="N243">
            <v>60.012155952251661</v>
          </cell>
          <cell r="O243">
            <v>81.580427116608703</v>
          </cell>
          <cell r="P243">
            <v>59.279571439153756</v>
          </cell>
        </row>
        <row r="244">
          <cell r="B244">
            <v>74.73962221517553</v>
          </cell>
          <cell r="C244">
            <v>104.2278618290421</v>
          </cell>
          <cell r="D244">
            <v>45.846400000000003</v>
          </cell>
          <cell r="E244">
            <v>51.715329712327637</v>
          </cell>
          <cell r="F244">
            <v>47.438441614957242</v>
          </cell>
          <cell r="G244">
            <v>48.382285219042672</v>
          </cell>
          <cell r="H244">
            <v>55.93784392924281</v>
          </cell>
          <cell r="I244">
            <v>53.21830281898508</v>
          </cell>
          <cell r="J244">
            <v>56.136456697253152</v>
          </cell>
          <cell r="K244">
            <v>70.438966118093603</v>
          </cell>
          <cell r="L244">
            <v>43.679888999999996</v>
          </cell>
          <cell r="M244">
            <v>49.093150379810943</v>
          </cell>
          <cell r="N244">
            <v>51.443952098206267</v>
          </cell>
          <cell r="O244">
            <v>54.619558460690065</v>
          </cell>
          <cell r="P244">
            <v>50.960121460148805</v>
          </cell>
        </row>
        <row r="245">
          <cell r="B245">
            <v>45.20187</v>
          </cell>
          <cell r="C245">
            <v>44.99635</v>
          </cell>
          <cell r="D245">
            <v>39.02516</v>
          </cell>
          <cell r="E245">
            <v>48.604783692099673</v>
          </cell>
          <cell r="F245">
            <v>43.44471504769345</v>
          </cell>
          <cell r="G245">
            <v>43.162925743428367</v>
          </cell>
          <cell r="H245">
            <v>58.039658954520938</v>
          </cell>
          <cell r="I245">
            <v>51.20630776124289</v>
          </cell>
          <cell r="J245">
            <v>55.587947102358115</v>
          </cell>
          <cell r="K245">
            <v>69.898796978776332</v>
          </cell>
          <cell r="L245">
            <v>40.661063999999996</v>
          </cell>
          <cell r="M245">
            <v>46.687509695699688</v>
          </cell>
          <cell r="N245">
            <v>48.949470163353347</v>
          </cell>
          <cell r="O245">
            <v>50.515883416086396</v>
          </cell>
          <cell r="P245">
            <v>46.661985394856828</v>
          </cell>
        </row>
        <row r="246">
          <cell r="B246">
            <v>49.679670000000002</v>
          </cell>
          <cell r="C246">
            <v>49.47627</v>
          </cell>
          <cell r="D246">
            <v>40.076050000000002</v>
          </cell>
          <cell r="E246">
            <v>50.12996757955559</v>
          </cell>
          <cell r="F246">
            <v>44.858901689492967</v>
          </cell>
          <cell r="G246">
            <v>44.614856515563822</v>
          </cell>
          <cell r="H246">
            <v>58.057052520336569</v>
          </cell>
          <cell r="I246">
            <v>52.279350391608325</v>
          </cell>
          <cell r="J246">
            <v>57.258789097318754</v>
          </cell>
          <cell r="K246">
            <v>68.685280626216723</v>
          </cell>
          <cell r="L246">
            <v>44.811143999999999</v>
          </cell>
          <cell r="M246">
            <v>46.792680048006623</v>
          </cell>
          <cell r="N246">
            <v>50.153166474023806</v>
          </cell>
          <cell r="O246">
            <v>55.963658433226193</v>
          </cell>
          <cell r="P246">
            <v>47.374495279627311</v>
          </cell>
        </row>
        <row r="247">
          <cell r="B247">
            <v>53.442347746584062</v>
          </cell>
          <cell r="C247">
            <v>56.199997813617514</v>
          </cell>
          <cell r="D247">
            <v>53.502475818283074</v>
          </cell>
          <cell r="E247">
            <v>58.050502797254474</v>
          </cell>
          <cell r="F247">
            <v>52.979968892586243</v>
          </cell>
          <cell r="G247">
            <v>53.730884418177773</v>
          </cell>
          <cell r="H247">
            <v>72.838197073811273</v>
          </cell>
          <cell r="I247">
            <v>59.712166392870522</v>
          </cell>
          <cell r="J247">
            <v>64.002297801857168</v>
          </cell>
          <cell r="K247">
            <v>77.832021460081492</v>
          </cell>
          <cell r="L247">
            <v>57.323739599858399</v>
          </cell>
          <cell r="M247">
            <v>50.16000414746749</v>
          </cell>
          <cell r="N247">
            <v>52.877456477197221</v>
          </cell>
          <cell r="O247">
            <v>69.545250418380249</v>
          </cell>
          <cell r="P247">
            <v>52.184274637941954</v>
          </cell>
        </row>
        <row r="248">
          <cell r="B248">
            <v>51.380028412753639</v>
          </cell>
          <cell r="C248">
            <v>53.815153750523301</v>
          </cell>
          <cell r="D248">
            <v>53.468626166255731</v>
          </cell>
          <cell r="E248">
            <v>60.433662979251373</v>
          </cell>
          <cell r="F248">
            <v>54.411980732256332</v>
          </cell>
          <cell r="G248">
            <v>54.891976433967955</v>
          </cell>
          <cell r="H248">
            <v>74.822001389854861</v>
          </cell>
          <cell r="I248">
            <v>64.083832101318322</v>
          </cell>
          <cell r="J248">
            <v>68.735036964724401</v>
          </cell>
          <cell r="K248">
            <v>79.691176307015567</v>
          </cell>
          <cell r="L248">
            <v>54.744601336462736</v>
          </cell>
          <cell r="M248">
            <v>50.07048575586176</v>
          </cell>
          <cell r="N248">
            <v>54.479860117098241</v>
          </cell>
          <cell r="O248">
            <v>62.421634695969857</v>
          </cell>
          <cell r="P248">
            <v>51.883590666205507</v>
          </cell>
        </row>
        <row r="249">
          <cell r="B249">
            <v>43.84393</v>
          </cell>
          <cell r="C249">
            <v>43.714329999999997</v>
          </cell>
          <cell r="D249">
            <v>43.71658</v>
          </cell>
          <cell r="E249">
            <v>55.541529672046245</v>
          </cell>
          <cell r="F249">
            <v>48.930890952764386</v>
          </cell>
          <cell r="G249">
            <v>49.375689883802835</v>
          </cell>
          <cell r="H249">
            <v>62.37907131744133</v>
          </cell>
          <cell r="I249">
            <v>56.739614870380287</v>
          </cell>
          <cell r="J249">
            <v>62.805628929473421</v>
          </cell>
          <cell r="K249">
            <v>75.502890062569293</v>
          </cell>
          <cell r="L249">
            <v>39.494916000000003</v>
          </cell>
          <cell r="M249">
            <v>50.622950104170783</v>
          </cell>
          <cell r="N249">
            <v>53.671056698977424</v>
          </cell>
          <cell r="O249">
            <v>52.316100334777886</v>
          </cell>
          <cell r="P249">
            <v>49.9125082185396</v>
          </cell>
        </row>
        <row r="250">
          <cell r="B250">
            <v>41.259599999999999</v>
          </cell>
          <cell r="C250">
            <v>41.200240000000001</v>
          </cell>
          <cell r="D250">
            <v>42.501289999999997</v>
          </cell>
          <cell r="E250">
            <v>50.338795721520881</v>
          </cell>
          <cell r="F250">
            <v>45.661998931661451</v>
          </cell>
          <cell r="G250">
            <v>45.1893809370291</v>
          </cell>
          <cell r="H250">
            <v>56.389233683026163</v>
          </cell>
          <cell r="I250">
            <v>50.158314790252348</v>
          </cell>
          <cell r="J250">
            <v>58.051544535401916</v>
          </cell>
          <cell r="K250">
            <v>65.151348097667125</v>
          </cell>
          <cell r="L250">
            <v>37.164608999999999</v>
          </cell>
          <cell r="M250">
            <v>49.595792901635328</v>
          </cell>
          <cell r="N250">
            <v>52.802830509530196</v>
          </cell>
          <cell r="O250">
            <v>48.753719601731802</v>
          </cell>
          <cell r="P250">
            <v>49.010178999457466</v>
          </cell>
        </row>
        <row r="251">
          <cell r="B251">
            <v>41.226590000000002</v>
          </cell>
          <cell r="C251">
            <v>41.019469999999998</v>
          </cell>
          <cell r="D251">
            <v>40.20655</v>
          </cell>
          <cell r="E251">
            <v>46.404334606800404</v>
          </cell>
          <cell r="F251">
            <v>41.462078222040653</v>
          </cell>
          <cell r="G251">
            <v>43.757330549888664</v>
          </cell>
          <cell r="H251">
            <v>53.094193141286205</v>
          </cell>
          <cell r="I251">
            <v>48.033266476966801</v>
          </cell>
          <cell r="J251">
            <v>55.90133396186399</v>
          </cell>
          <cell r="K251">
            <v>63.326647222296216</v>
          </cell>
          <cell r="L251">
            <v>36.754857000000001</v>
          </cell>
          <cell r="M251">
            <v>43.329688951744899</v>
          </cell>
          <cell r="N251">
            <v>45.873643719215345</v>
          </cell>
          <cell r="O251">
            <v>43.701296284766407</v>
          </cell>
          <cell r="P251">
            <v>43.845086389044539</v>
          </cell>
        </row>
        <row r="252">
          <cell r="B252">
            <v>47.757394996284816</v>
          </cell>
          <cell r="C252">
            <v>52.520783373548859</v>
          </cell>
          <cell r="D252">
            <v>46.285519999999998</v>
          </cell>
          <cell r="E252">
            <v>50.366911270983188</v>
          </cell>
          <cell r="F252">
            <v>46.247868181232413</v>
          </cell>
          <cell r="G252">
            <v>46.49468415072571</v>
          </cell>
          <cell r="H252">
            <v>55.200724912396261</v>
          </cell>
          <cell r="I252">
            <v>51.674100011346873</v>
          </cell>
          <cell r="J252">
            <v>56.04906779476002</v>
          </cell>
          <cell r="K252">
            <v>69.410828724359163</v>
          </cell>
          <cell r="L252">
            <v>38.532590999999996</v>
          </cell>
          <cell r="M252">
            <v>47.648086649837452</v>
          </cell>
          <cell r="N252">
            <v>49.251304529642162</v>
          </cell>
          <cell r="O252">
            <v>52.53650569959963</v>
          </cell>
          <cell r="P252">
            <v>47.490536030496493</v>
          </cell>
        </row>
        <row r="253">
          <cell r="B253">
            <v>67.220910585855748</v>
          </cell>
          <cell r="C253">
            <v>92.162424857986878</v>
          </cell>
          <cell r="D253">
            <v>58.990706537009586</v>
          </cell>
          <cell r="E253">
            <v>58.708181963640598</v>
          </cell>
          <cell r="F253">
            <v>57.084443222779974</v>
          </cell>
          <cell r="G253">
            <v>58.601467862449653</v>
          </cell>
          <cell r="H253">
            <v>70.077788253966474</v>
          </cell>
          <cell r="I253">
            <v>61.785027793531007</v>
          </cell>
          <cell r="J253">
            <v>66.567945663992731</v>
          </cell>
          <cell r="K253">
            <v>81.116817112939486</v>
          </cell>
          <cell r="L253">
            <v>65.231170119074164</v>
          </cell>
          <cell r="M253">
            <v>55.867445525892975</v>
          </cell>
          <cell r="N253">
            <v>58.209195236457717</v>
          </cell>
          <cell r="O253">
            <v>60.708144795482795</v>
          </cell>
          <cell r="P253">
            <v>56.412230537188393</v>
          </cell>
        </row>
        <row r="254">
          <cell r="B254">
            <v>72.949807077902605</v>
          </cell>
          <cell r="C254">
            <v>98.59362148634446</v>
          </cell>
          <cell r="D254">
            <v>67.335482247106057</v>
          </cell>
          <cell r="E254">
            <v>62.044079131867299</v>
          </cell>
          <cell r="F254">
            <v>59.143629618886884</v>
          </cell>
          <cell r="G254">
            <v>60.589931051146436</v>
          </cell>
          <cell r="H254">
            <v>69.828061175472868</v>
          </cell>
          <cell r="I254">
            <v>63.62516357803846</v>
          </cell>
          <cell r="J254">
            <v>67.465725669330027</v>
          </cell>
          <cell r="K254">
            <v>87.904615963845487</v>
          </cell>
          <cell r="L254">
            <v>71.05552889057202</v>
          </cell>
          <cell r="M254">
            <v>57.47435915521703</v>
          </cell>
          <cell r="N254">
            <v>60.062580993710341</v>
          </cell>
          <cell r="O254">
            <v>77.035879663157786</v>
          </cell>
          <cell r="P254">
            <v>60.291670331421287</v>
          </cell>
        </row>
        <row r="255">
          <cell r="B255">
            <v>80.509444421378589</v>
          </cell>
          <cell r="C255">
            <v>108.9022749133876</v>
          </cell>
          <cell r="D255">
            <v>98.259594290356233</v>
          </cell>
          <cell r="E255">
            <v>63.949277698393374</v>
          </cell>
          <cell r="F255">
            <v>60.049480477015763</v>
          </cell>
          <cell r="G255">
            <v>62.234613620545794</v>
          </cell>
          <cell r="H255">
            <v>69.900258504261686</v>
          </cell>
          <cell r="I255">
            <v>63.550515883783277</v>
          </cell>
          <cell r="J255">
            <v>68.581212787492504</v>
          </cell>
          <cell r="K255">
            <v>88.257096794305284</v>
          </cell>
          <cell r="L255">
            <v>78.624153771903963</v>
          </cell>
          <cell r="M255">
            <v>57.61919663467917</v>
          </cell>
          <cell r="N255">
            <v>60.725709045068577</v>
          </cell>
          <cell r="O255">
            <v>83.3758938607983</v>
          </cell>
          <cell r="P255">
            <v>60.186086618053778</v>
          </cell>
        </row>
        <row r="256">
          <cell r="B256">
            <v>76.038203052694726</v>
          </cell>
          <cell r="C256">
            <v>103.56475364018738</v>
          </cell>
          <cell r="D256">
            <v>46.47728</v>
          </cell>
          <cell r="E256">
            <v>52.420443702253991</v>
          </cell>
          <cell r="F256">
            <v>48.374061069241932</v>
          </cell>
          <cell r="G256">
            <v>49.300666430342325</v>
          </cell>
          <cell r="H256">
            <v>56.819026650001831</v>
          </cell>
          <cell r="I256">
            <v>53.919259326192872</v>
          </cell>
          <cell r="J256">
            <v>57.057662460989604</v>
          </cell>
          <cell r="K256">
            <v>71.22317285551955</v>
          </cell>
          <cell r="L256">
            <v>44.863748999999999</v>
          </cell>
          <cell r="M256">
            <v>50.020028781969479</v>
          </cell>
          <cell r="N256">
            <v>52.392613107605179</v>
          </cell>
          <cell r="O256">
            <v>55.623043038999093</v>
          </cell>
          <cell r="P256">
            <v>51.816438087684446</v>
          </cell>
        </row>
        <row r="257">
          <cell r="B257">
            <v>46.32103</v>
          </cell>
          <cell r="C257">
            <v>46.12097</v>
          </cell>
          <cell r="D257">
            <v>39.560670000000002</v>
          </cell>
          <cell r="E257">
            <v>49.443062065137212</v>
          </cell>
          <cell r="F257">
            <v>44.041957870487202</v>
          </cell>
          <cell r="G257">
            <v>43.77827115436699</v>
          </cell>
          <cell r="H257">
            <v>58.536540316193154</v>
          </cell>
          <cell r="I257">
            <v>51.944442810561135</v>
          </cell>
          <cell r="J257">
            <v>56.392024502721817</v>
          </cell>
          <cell r="K257">
            <v>70.321189109463006</v>
          </cell>
          <cell r="L257">
            <v>41.734179000000005</v>
          </cell>
          <cell r="M257">
            <v>47.40718864680732</v>
          </cell>
          <cell r="N257">
            <v>49.717879361889324</v>
          </cell>
          <cell r="O257">
            <v>51.517768633838458</v>
          </cell>
          <cell r="P257">
            <v>47.334321930821893</v>
          </cell>
        </row>
        <row r="258">
          <cell r="B258">
            <v>51.334119999999999</v>
          </cell>
          <cell r="C258">
            <v>51.098579999999998</v>
          </cell>
          <cell r="D258">
            <v>40.192999999999998</v>
          </cell>
          <cell r="E258">
            <v>50.748370369725144</v>
          </cell>
          <cell r="F258">
            <v>45.358609852830753</v>
          </cell>
          <cell r="G258">
            <v>45.165735946458213</v>
          </cell>
          <cell r="H258">
            <v>58.756632511010139</v>
          </cell>
          <cell r="I258">
            <v>53.106565435370165</v>
          </cell>
          <cell r="J258">
            <v>58.057159016488754</v>
          </cell>
          <cell r="K258">
            <v>69.882202777316451</v>
          </cell>
          <cell r="L258">
            <v>46.323278999999999</v>
          </cell>
          <cell r="M258">
            <v>47.618495724353096</v>
          </cell>
          <cell r="N258">
            <v>50.800678999252369</v>
          </cell>
          <cell r="O258">
            <v>56.278556927668369</v>
          </cell>
          <cell r="P258">
            <v>48.258524330891404</v>
          </cell>
        </row>
        <row r="259">
          <cell r="B259">
            <v>54.843844647157027</v>
          </cell>
          <cell r="C259">
            <v>57.554278961266988</v>
          </cell>
          <cell r="D259">
            <v>52.651423344181048</v>
          </cell>
          <cell r="E259">
            <v>58.979665679324519</v>
          </cell>
          <cell r="F259">
            <v>54.337373636441164</v>
          </cell>
          <cell r="G259">
            <v>54.851897931451226</v>
          </cell>
          <cell r="H259">
            <v>73.217463081005391</v>
          </cell>
          <cell r="I259">
            <v>60.840776022430113</v>
          </cell>
          <cell r="J259">
            <v>65.066055257883633</v>
          </cell>
          <cell r="K259">
            <v>78.807802729630808</v>
          </cell>
          <cell r="L259">
            <v>58.612058937107022</v>
          </cell>
          <cell r="M259">
            <v>50.958249675792089</v>
          </cell>
          <cell r="N259">
            <v>53.759435449532141</v>
          </cell>
          <cell r="O259">
            <v>70.104570815466701</v>
          </cell>
          <cell r="P259">
            <v>52.959963235633005</v>
          </cell>
        </row>
        <row r="260">
          <cell r="B260">
            <v>53.41851524871543</v>
          </cell>
          <cell r="C260">
            <v>55.663685088943282</v>
          </cell>
          <cell r="D260">
            <v>53.616055812557619</v>
          </cell>
          <cell r="E260">
            <v>61.551692718548047</v>
          </cell>
          <cell r="F260">
            <v>55.495207207074685</v>
          </cell>
          <cell r="G260">
            <v>56.189680604511906</v>
          </cell>
          <cell r="H260">
            <v>74.885454527899228</v>
          </cell>
          <cell r="I260">
            <v>65.884323236902219</v>
          </cell>
          <cell r="J260">
            <v>70.391466781061879</v>
          </cell>
          <cell r="K260">
            <v>80.545620801956616</v>
          </cell>
          <cell r="L260">
            <v>56.818935176391228</v>
          </cell>
          <cell r="M260">
            <v>51.948499651954918</v>
          </cell>
          <cell r="N260">
            <v>55.958522561960038</v>
          </cell>
          <cell r="O260">
            <v>63.939974640421184</v>
          </cell>
          <cell r="P260">
            <v>53.522557772004603</v>
          </cell>
        </row>
        <row r="261">
          <cell r="B261">
            <v>44.310899999999997</v>
          </cell>
          <cell r="C261">
            <v>44.265459999999997</v>
          </cell>
          <cell r="D261">
            <v>43.318069999999999</v>
          </cell>
          <cell r="E261">
            <v>56.377869021554375</v>
          </cell>
          <cell r="F261">
            <v>49.474263782012734</v>
          </cell>
          <cell r="G261">
            <v>49.784994583147267</v>
          </cell>
          <cell r="H261">
            <v>62.629968873706531</v>
          </cell>
          <cell r="I261">
            <v>57.014193492783932</v>
          </cell>
          <cell r="J261">
            <v>63.671042838637675</v>
          </cell>
          <cell r="K261">
            <v>75.786400040180453</v>
          </cell>
          <cell r="L261">
            <v>39.920265000000001</v>
          </cell>
          <cell r="M261">
            <v>50.648310956124739</v>
          </cell>
          <cell r="N261">
            <v>53.564914539561535</v>
          </cell>
          <cell r="O261">
            <v>52.610689171234164</v>
          </cell>
          <cell r="P261">
            <v>50.26525925039271</v>
          </cell>
        </row>
        <row r="262">
          <cell r="B262">
            <v>42.01632</v>
          </cell>
          <cell r="C262">
            <v>41.974699999999999</v>
          </cell>
          <cell r="D262">
            <v>42.976210000000002</v>
          </cell>
          <cell r="E262">
            <v>51.205142891497971</v>
          </cell>
          <cell r="F262">
            <v>46.312778836832194</v>
          </cell>
          <cell r="G262">
            <v>45.843487919460266</v>
          </cell>
          <cell r="H262">
            <v>57.053657874459766</v>
          </cell>
          <cell r="I262">
            <v>51.270530365312688</v>
          </cell>
          <cell r="J262">
            <v>58.949326663938365</v>
          </cell>
          <cell r="K262">
            <v>66.555050168866984</v>
          </cell>
          <cell r="L262">
            <v>37.785753</v>
          </cell>
          <cell r="M262">
            <v>49.658302841607387</v>
          </cell>
          <cell r="N262">
            <v>52.976994377347246</v>
          </cell>
          <cell r="O262">
            <v>49.075132751462284</v>
          </cell>
          <cell r="P262">
            <v>49.856103238080379</v>
          </cell>
        </row>
        <row r="263">
          <cell r="B263">
            <v>41.542099999999998</v>
          </cell>
          <cell r="C263">
            <v>41.414709999999999</v>
          </cell>
          <cell r="D263">
            <v>40.362769999999998</v>
          </cell>
          <cell r="E263">
            <v>47.384337164615431</v>
          </cell>
          <cell r="F263">
            <v>42.760840903426001</v>
          </cell>
          <cell r="G263">
            <v>45.600129063920647</v>
          </cell>
          <cell r="H263">
            <v>53.291508085120697</v>
          </cell>
          <cell r="I263">
            <v>48.832034742054319</v>
          </cell>
          <cell r="J263">
            <v>56.453978685628584</v>
          </cell>
          <cell r="K263">
            <v>66.138058473756672</v>
          </cell>
          <cell r="L263">
            <v>37.147373999999999</v>
          </cell>
          <cell r="M263">
            <v>46.522790861947719</v>
          </cell>
          <cell r="N263">
            <v>48.8891922114273</v>
          </cell>
          <cell r="O263">
            <v>43.483074332296638</v>
          </cell>
          <cell r="P263">
            <v>45.222121460849351</v>
          </cell>
        </row>
        <row r="264">
          <cell r="B264">
            <v>47.73925268395665</v>
          </cell>
          <cell r="C264">
            <v>52.26336991817378</v>
          </cell>
          <cell r="D264">
            <v>46.198120000000003</v>
          </cell>
          <cell r="E264">
            <v>50.380088914334593</v>
          </cell>
          <cell r="F264">
            <v>45.752541708147376</v>
          </cell>
          <cell r="G264">
            <v>46.029402165908913</v>
          </cell>
          <cell r="H264">
            <v>55.265449086069175</v>
          </cell>
          <cell r="I264">
            <v>51.523336401576593</v>
          </cell>
          <cell r="J264">
            <v>56.003227711447103</v>
          </cell>
          <cell r="K264">
            <v>70.368592417182356</v>
          </cell>
          <cell r="L264">
            <v>38.606904</v>
          </cell>
          <cell r="M264">
            <v>46.822205703214543</v>
          </cell>
          <cell r="N264">
            <v>48.438918484882485</v>
          </cell>
          <cell r="O264">
            <v>53.000333353104558</v>
          </cell>
          <cell r="P264">
            <v>47.048209196210095</v>
          </cell>
        </row>
        <row r="265">
          <cell r="B265">
            <v>69.059751316215127</v>
          </cell>
          <cell r="C265">
            <v>92.938033488000372</v>
          </cell>
          <cell r="D265">
            <v>59.268656049032828</v>
          </cell>
          <cell r="E265">
            <v>59.492144786644936</v>
          </cell>
          <cell r="F265">
            <v>57.82362625759977</v>
          </cell>
          <cell r="G265">
            <v>59.024699292250098</v>
          </cell>
          <cell r="H265">
            <v>68.546228966311006</v>
          </cell>
          <cell r="I265">
            <v>62.615220895324704</v>
          </cell>
          <cell r="J265">
            <v>66.975003150309888</v>
          </cell>
          <cell r="K265">
            <v>80.735429533901168</v>
          </cell>
          <cell r="L265">
            <v>66.919711094241279</v>
          </cell>
          <cell r="M265">
            <v>56.637456254974914</v>
          </cell>
          <cell r="N265">
            <v>59.030165125775397</v>
          </cell>
          <cell r="O265">
            <v>62.619116806906703</v>
          </cell>
          <cell r="P265">
            <v>56.337702972188112</v>
          </cell>
        </row>
        <row r="266">
          <cell r="B266">
            <v>73.767806408420867</v>
          </cell>
          <cell r="C266">
            <v>97.559099171896477</v>
          </cell>
          <cell r="D266">
            <v>67.726907553793282</v>
          </cell>
          <cell r="E266">
            <v>63.127365499707061</v>
          </cell>
          <cell r="F266">
            <v>59.665418836467133</v>
          </cell>
          <cell r="G266">
            <v>61.27321780826653</v>
          </cell>
          <cell r="H266">
            <v>71.428225912967406</v>
          </cell>
          <cell r="I266">
            <v>65.508689377416999</v>
          </cell>
          <cell r="J266">
            <v>68.376485341846092</v>
          </cell>
          <cell r="K266">
            <v>91.039964559159102</v>
          </cell>
          <cell r="L266">
            <v>71.769634589911163</v>
          </cell>
          <cell r="M266">
            <v>58.329653693203284</v>
          </cell>
          <cell r="N266">
            <v>60.504048325551445</v>
          </cell>
          <cell r="O266">
            <v>78.212156833348047</v>
          </cell>
          <cell r="P266">
            <v>60.617132578545032</v>
          </cell>
        </row>
        <row r="267">
          <cell r="B267">
            <v>80.396963020908828</v>
          </cell>
          <cell r="C267">
            <v>106.66555017977282</v>
          </cell>
          <cell r="D267">
            <v>93.762509996896469</v>
          </cell>
          <cell r="E267">
            <v>64.186712448629152</v>
          </cell>
          <cell r="F267">
            <v>60.340867691089827</v>
          </cell>
          <cell r="G267">
            <v>62.348959106119693</v>
          </cell>
          <cell r="H267">
            <v>70.291678022715416</v>
          </cell>
          <cell r="I267">
            <v>64.088139284787161</v>
          </cell>
          <cell r="J267">
            <v>68.94717773617208</v>
          </cell>
          <cell r="K267">
            <v>89.401510996334224</v>
          </cell>
          <cell r="L267">
            <v>78.416552480883411</v>
          </cell>
          <cell r="M267">
            <v>58.081014348903835</v>
          </cell>
          <cell r="N267">
            <v>60.659091328263216</v>
          </cell>
          <cell r="O267">
            <v>83.575795843442819</v>
          </cell>
          <cell r="P267">
            <v>59.922038451405669</v>
          </cell>
        </row>
        <row r="268">
          <cell r="B268">
            <v>78.382700237272815</v>
          </cell>
          <cell r="C268">
            <v>104.42704439819939</v>
          </cell>
          <cell r="D268">
            <v>46.973739999999999</v>
          </cell>
          <cell r="E268">
            <v>53.456026826227465</v>
          </cell>
          <cell r="F268">
            <v>49.335001784046952</v>
          </cell>
          <cell r="G268">
            <v>50.211008449460827</v>
          </cell>
          <cell r="H268">
            <v>56.832994470662015</v>
          </cell>
          <cell r="I268">
            <v>54.682878524298097</v>
          </cell>
          <cell r="J268">
            <v>57.235609873314978</v>
          </cell>
          <cell r="K268">
            <v>72.396258657605586</v>
          </cell>
          <cell r="L268">
            <v>46.667322000000006</v>
          </cell>
          <cell r="M268">
            <v>51.076140086899699</v>
          </cell>
          <cell r="N268">
            <v>53.315239924824596</v>
          </cell>
          <cell r="O268">
            <v>56.886320378882921</v>
          </cell>
          <cell r="P268">
            <v>52.341466449923402</v>
          </cell>
        </row>
        <row r="269">
          <cell r="B269">
            <v>46.639539999999997</v>
          </cell>
          <cell r="C269">
            <v>46.549639999999997</v>
          </cell>
          <cell r="D269">
            <v>40.98827</v>
          </cell>
          <cell r="E269">
            <v>50.150732228043111</v>
          </cell>
          <cell r="F269">
            <v>45.159700170619423</v>
          </cell>
          <cell r="G269">
            <v>44.74046772799305</v>
          </cell>
          <cell r="H269">
            <v>59.303093809203006</v>
          </cell>
          <cell r="I269">
            <v>52.821073329100294</v>
          </cell>
          <cell r="J269">
            <v>57.198981077863053</v>
          </cell>
          <cell r="K269">
            <v>71.675730884088551</v>
          </cell>
          <cell r="L269">
            <v>41.958422999999996</v>
          </cell>
          <cell r="M269">
            <v>47.976444801564803</v>
          </cell>
          <cell r="N269">
            <v>50.605145775099288</v>
          </cell>
          <cell r="O269">
            <v>51.248493000851411</v>
          </cell>
          <cell r="P269">
            <v>47.734750989669635</v>
          </cell>
        </row>
        <row r="270">
          <cell r="B270">
            <v>51.578020000000002</v>
          </cell>
          <cell r="C270">
            <v>51.425669999999997</v>
          </cell>
          <cell r="D270">
            <v>41.061239999999998</v>
          </cell>
          <cell r="E270">
            <v>51.148655934273748</v>
          </cell>
          <cell r="F270">
            <v>45.817564513927024</v>
          </cell>
          <cell r="G270">
            <v>45.890229827253073</v>
          </cell>
          <cell r="H270">
            <v>59.205998509337832</v>
          </cell>
          <cell r="I270">
            <v>53.578599102339922</v>
          </cell>
          <cell r="J270">
            <v>58.451902430345932</v>
          </cell>
          <cell r="K270">
            <v>71.252810533575072</v>
          </cell>
          <cell r="L270">
            <v>46.504431000000004</v>
          </cell>
          <cell r="M270">
            <v>48.465739871938574</v>
          </cell>
          <cell r="N270">
            <v>51.299048507956734</v>
          </cell>
          <cell r="O270">
            <v>56.936999036245155</v>
          </cell>
          <cell r="P270">
            <v>48.674155158746629</v>
          </cell>
        </row>
        <row r="271">
          <cell r="B271">
            <v>56.274912275793469</v>
          </cell>
          <cell r="C271">
            <v>58.779523886567105</v>
          </cell>
          <cell r="D271">
            <v>53.176395092371159</v>
          </cell>
          <cell r="E271">
            <v>59.042638430670465</v>
          </cell>
          <cell r="F271">
            <v>53.655840417681297</v>
          </cell>
          <cell r="G271">
            <v>54.36806714394001</v>
          </cell>
          <cell r="H271">
            <v>73.366136533746612</v>
          </cell>
          <cell r="I271">
            <v>60.989353254699466</v>
          </cell>
          <cell r="J271">
            <v>65.08042699646127</v>
          </cell>
          <cell r="K271">
            <v>79.703230011398233</v>
          </cell>
          <cell r="L271">
            <v>59.916023099988521</v>
          </cell>
          <cell r="M271">
            <v>50.239262682325759</v>
          </cell>
          <cell r="N271">
            <v>52.989030419175094</v>
          </cell>
          <cell r="O271">
            <v>71.161649688473531</v>
          </cell>
          <cell r="P271">
            <v>52.172909463630525</v>
          </cell>
        </row>
        <row r="272">
          <cell r="B272">
            <v>54.160022305147152</v>
          </cell>
          <cell r="C272">
            <v>56.232281964334767</v>
          </cell>
          <cell r="D272">
            <v>54.858741006342271</v>
          </cell>
          <cell r="E272">
            <v>61.757577987221303</v>
          </cell>
          <cell r="F272">
            <v>55.536282195505891</v>
          </cell>
          <cell r="G272">
            <v>56.325899175889518</v>
          </cell>
          <cell r="H272">
            <v>75.086860989772845</v>
          </cell>
          <cell r="I272">
            <v>65.949867203852435</v>
          </cell>
          <cell r="J272">
            <v>70.353337266390369</v>
          </cell>
          <cell r="K272">
            <v>81.513046741564978</v>
          </cell>
          <cell r="L272">
            <v>57.393736099022469</v>
          </cell>
          <cell r="M272">
            <v>51.917332807976969</v>
          </cell>
          <cell r="N272">
            <v>56.209944345376563</v>
          </cell>
          <cell r="O272">
            <v>64.511607778511248</v>
          </cell>
          <cell r="P272">
            <v>53.749366886296507</v>
          </cell>
        </row>
        <row r="273">
          <cell r="B273">
            <v>45.019120000000001</v>
          </cell>
          <cell r="C273">
            <v>44.947279999999999</v>
          </cell>
          <cell r="D273">
            <v>44.348269999999999</v>
          </cell>
          <cell r="E273">
            <v>57.085457005905951</v>
          </cell>
          <cell r="F273">
            <v>50.111869974795233</v>
          </cell>
          <cell r="G273">
            <v>50.32444737724294</v>
          </cell>
          <cell r="H273">
            <v>63.358184455723105</v>
          </cell>
          <cell r="I273">
            <v>57.259526144335055</v>
          </cell>
          <cell r="J273">
            <v>63.652811593023529</v>
          </cell>
          <cell r="K273">
            <v>76.742483999341545</v>
          </cell>
          <cell r="L273">
            <v>40.527828</v>
          </cell>
          <cell r="M273">
            <v>51.687367995288781</v>
          </cell>
          <cell r="N273">
            <v>54.381956549802318</v>
          </cell>
          <cell r="O273">
            <v>53.493741258236227</v>
          </cell>
          <cell r="P273">
            <v>50.678314219004648</v>
          </cell>
        </row>
        <row r="274">
          <cell r="B274">
            <v>42.772869999999998</v>
          </cell>
          <cell r="C274">
            <v>42.714599999999997</v>
          </cell>
          <cell r="D274">
            <v>43.500019999999999</v>
          </cell>
          <cell r="E274">
            <v>52.02642066295337</v>
          </cell>
          <cell r="F274">
            <v>46.72304340319522</v>
          </cell>
          <cell r="G274">
            <v>46.373437254672552</v>
          </cell>
          <cell r="H274">
            <v>57.432906280004538</v>
          </cell>
          <cell r="I274">
            <v>51.949761577270259</v>
          </cell>
          <cell r="J274">
            <v>59.514624673292403</v>
          </cell>
          <cell r="K274">
            <v>67.795460554257929</v>
          </cell>
          <cell r="L274">
            <v>38.484657000000006</v>
          </cell>
          <cell r="M274">
            <v>50.30974151896676</v>
          </cell>
          <cell r="N274">
            <v>53.632454754940881</v>
          </cell>
          <cell r="O274">
            <v>49.906423679931393</v>
          </cell>
          <cell r="P274">
            <v>50.083979364208325</v>
          </cell>
        </row>
        <row r="275">
          <cell r="B275">
            <v>42.200670000000002</v>
          </cell>
          <cell r="C275">
            <v>42.160989999999998</v>
          </cell>
          <cell r="D275">
            <v>41.238280000000003</v>
          </cell>
          <cell r="E275">
            <v>48.550023220590333</v>
          </cell>
          <cell r="F275">
            <v>43.75753195274838</v>
          </cell>
          <cell r="G275">
            <v>46.553181207750491</v>
          </cell>
          <cell r="H275">
            <v>53.767094970743635</v>
          </cell>
          <cell r="I275">
            <v>49.580602916287191</v>
          </cell>
          <cell r="J275">
            <v>56.710213411807828</v>
          </cell>
          <cell r="K275">
            <v>66.634364239544681</v>
          </cell>
          <cell r="L275">
            <v>37.770111000000007</v>
          </cell>
          <cell r="M275">
            <v>47.059472082015695</v>
          </cell>
          <cell r="N275">
            <v>49.678044877719323</v>
          </cell>
          <cell r="O275">
            <v>44.295272854904326</v>
          </cell>
          <cell r="P275">
            <v>45.928917701546325</v>
          </cell>
        </row>
        <row r="276">
          <cell r="B276">
            <v>48.613402987504251</v>
          </cell>
          <cell r="C276">
            <v>52.796741079253941</v>
          </cell>
          <cell r="D276">
            <v>46.579610000000002</v>
          </cell>
          <cell r="E276">
            <v>50.757812321268432</v>
          </cell>
          <cell r="F276">
            <v>46.188866890235929</v>
          </cell>
          <cell r="G276">
            <v>46.568813954174701</v>
          </cell>
          <cell r="H276">
            <v>55.573090282553686</v>
          </cell>
          <cell r="I276">
            <v>51.879036554264204</v>
          </cell>
          <cell r="J276">
            <v>56.087419498863824</v>
          </cell>
          <cell r="K276">
            <v>70.685873931799463</v>
          </cell>
          <cell r="L276">
            <v>39.528486000000001</v>
          </cell>
          <cell r="M276">
            <v>47.463770368816412</v>
          </cell>
          <cell r="N276">
            <v>48.83778296861216</v>
          </cell>
          <cell r="O276">
            <v>53.598981266069451</v>
          </cell>
          <cell r="P276">
            <v>47.66292360398522</v>
          </cell>
        </row>
        <row r="277">
          <cell r="B277">
            <v>70.134246424130481</v>
          </cell>
          <cell r="C277">
            <v>92.136712545518506</v>
          </cell>
          <cell r="D277">
            <v>59.736982339750597</v>
          </cell>
          <cell r="E277">
            <v>60.075092331882594</v>
          </cell>
          <cell r="F277">
            <v>57.792357158218437</v>
          </cell>
          <cell r="G277">
            <v>59.059548386685826</v>
          </cell>
          <cell r="H277">
            <v>69.052330033568381</v>
          </cell>
          <cell r="I277">
            <v>63.017392937916945</v>
          </cell>
          <cell r="J277">
            <v>67.283524457051811</v>
          </cell>
          <cell r="K277">
            <v>81.422961179118943</v>
          </cell>
          <cell r="L277">
            <v>67.81230199653109</v>
          </cell>
          <cell r="M277">
            <v>57.127791893331619</v>
          </cell>
          <cell r="N277">
            <v>59.234448265507645</v>
          </cell>
          <cell r="O277">
            <v>63.771946999894887</v>
          </cell>
          <cell r="P277">
            <v>56.814215464222585</v>
          </cell>
        </row>
        <row r="278">
          <cell r="B278">
            <v>74.669429197311871</v>
          </cell>
          <cell r="C278">
            <v>96.801795639779442</v>
          </cell>
          <cell r="D278">
            <v>66.802346446491796</v>
          </cell>
          <cell r="E278">
            <v>63.679976906932126</v>
          </cell>
          <cell r="F278">
            <v>60.078901163194303</v>
          </cell>
          <cell r="G278">
            <v>61.708215992739461</v>
          </cell>
          <cell r="H278">
            <v>71.406247276677632</v>
          </cell>
          <cell r="I278">
            <v>66.163935621275641</v>
          </cell>
          <cell r="J278">
            <v>68.800947295678796</v>
          </cell>
          <cell r="K278">
            <v>92.188168842555868</v>
          </cell>
          <cell r="L278">
            <v>72.624561971329754</v>
          </cell>
          <cell r="M278">
            <v>59.026548465995063</v>
          </cell>
          <cell r="N278">
            <v>61.234899107370204</v>
          </cell>
          <cell r="O278">
            <v>79.263616637898167</v>
          </cell>
          <cell r="P278">
            <v>61.260107555797354</v>
          </cell>
        </row>
        <row r="279">
          <cell r="B279">
            <v>81.878343722536798</v>
          </cell>
          <cell r="C279">
            <v>106.29509008648446</v>
          </cell>
          <cell r="D279">
            <v>94.583812545906511</v>
          </cell>
          <cell r="E279">
            <v>65.43513752086514</v>
          </cell>
          <cell r="F279">
            <v>61.266206934825902</v>
          </cell>
          <cell r="G279">
            <v>63.263629255374056</v>
          </cell>
          <cell r="H279">
            <v>70.431025747732534</v>
          </cell>
          <cell r="I279">
            <v>65.006779547578233</v>
          </cell>
          <cell r="J279">
            <v>69.927188796114194</v>
          </cell>
          <cell r="K279">
            <v>89.216607188417697</v>
          </cell>
          <cell r="L279">
            <v>79.847577924214264</v>
          </cell>
          <cell r="M279">
            <v>59.032983395200439</v>
          </cell>
          <cell r="N279">
            <v>61.652452107985326</v>
          </cell>
          <cell r="O279">
            <v>85.238523307621961</v>
          </cell>
          <cell r="P279">
            <v>61.045013415036628</v>
          </cell>
        </row>
        <row r="280">
          <cell r="B280">
            <v>79.587819203104004</v>
          </cell>
          <cell r="C280">
            <v>103.73551766836719</v>
          </cell>
          <cell r="D280">
            <v>47.444870000000002</v>
          </cell>
          <cell r="E280">
            <v>53.55955749801646</v>
          </cell>
          <cell r="F280">
            <v>49.431441876295288</v>
          </cell>
          <cell r="G280">
            <v>50.290493818603224</v>
          </cell>
          <cell r="H280">
            <v>57.273604233428863</v>
          </cell>
          <cell r="I280">
            <v>55.184653475119838</v>
          </cell>
          <cell r="J280">
            <v>57.92787228391569</v>
          </cell>
          <cell r="K280">
            <v>72.703116284514039</v>
          </cell>
          <cell r="L280">
            <v>47.845782</v>
          </cell>
          <cell r="M280">
            <v>51.541444163075425</v>
          </cell>
          <cell r="N280">
            <v>53.561691491064906</v>
          </cell>
          <cell r="O280">
            <v>58.458054552532602</v>
          </cell>
          <cell r="P280">
            <v>53.171571373696622</v>
          </cell>
        </row>
        <row r="281">
          <cell r="B281">
            <v>48.025880000000001</v>
          </cell>
          <cell r="C281">
            <v>47.985959999999999</v>
          </cell>
          <cell r="D281">
            <v>40.955599999999997</v>
          </cell>
          <cell r="E281">
            <v>50.476137266637942</v>
          </cell>
          <cell r="F281">
            <v>45.272145931355183</v>
          </cell>
          <cell r="G281">
            <v>44.957778632921304</v>
          </cell>
          <cell r="H281">
            <v>59.80149745383482</v>
          </cell>
          <cell r="I281">
            <v>53.227356868097246</v>
          </cell>
          <cell r="J281">
            <v>57.780021621449279</v>
          </cell>
          <cell r="K281">
            <v>72.676044543552351</v>
          </cell>
          <cell r="L281">
            <v>43.260128999999999</v>
          </cell>
          <cell r="M281">
            <v>48.127319275982984</v>
          </cell>
          <cell r="N281">
            <v>50.719828067013871</v>
          </cell>
          <cell r="O281">
            <v>52.540990546804665</v>
          </cell>
          <cell r="P281">
            <v>48.365180317555485</v>
          </cell>
        </row>
        <row r="282">
          <cell r="B282">
            <v>52.915170000000003</v>
          </cell>
          <cell r="C282">
            <v>52.8123</v>
          </cell>
          <cell r="D282">
            <v>41.26784</v>
          </cell>
          <cell r="E282">
            <v>51.915711833348077</v>
          </cell>
          <cell r="F282">
            <v>46.60855251375245</v>
          </cell>
          <cell r="G282">
            <v>46.278724795900487</v>
          </cell>
          <cell r="H282">
            <v>59.194797560444712</v>
          </cell>
          <cell r="I282">
            <v>54.149874949632093</v>
          </cell>
          <cell r="J282">
            <v>58.962695498088678</v>
          </cell>
          <cell r="K282">
            <v>71.741300616912113</v>
          </cell>
          <cell r="L282">
            <v>47.767941</v>
          </cell>
          <cell r="M282">
            <v>48.563875792402108</v>
          </cell>
          <cell r="N282">
            <v>51.804387038711894</v>
          </cell>
          <cell r="O282">
            <v>57.681295481658054</v>
          </cell>
          <cell r="P282">
            <v>49.5628496651793</v>
          </cell>
        </row>
        <row r="283">
          <cell r="B283">
            <v>57.549629741024305</v>
          </cell>
          <cell r="C283">
            <v>59.893371492393719</v>
          </cell>
          <cell r="D283">
            <v>53.401460111022033</v>
          </cell>
          <cell r="E283">
            <v>60.037980184128848</v>
          </cell>
          <cell r="F283">
            <v>54.254404005781666</v>
          </cell>
          <cell r="G283">
            <v>54.955236742159727</v>
          </cell>
          <cell r="H283">
            <v>73.949970776397194</v>
          </cell>
          <cell r="I283">
            <v>61.673145468050883</v>
          </cell>
          <cell r="J283">
            <v>65.989808601098304</v>
          </cell>
          <cell r="K283">
            <v>80.696181552755533</v>
          </cell>
          <cell r="L283">
            <v>61.236329963295127</v>
          </cell>
          <cell r="M283">
            <v>51.059137478593584</v>
          </cell>
          <cell r="N283">
            <v>53.726990779775491</v>
          </cell>
          <cell r="O283">
            <v>72.264922620853696</v>
          </cell>
          <cell r="P283">
            <v>53.142331062496936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"/>
      <sheetName val="YTD"/>
      <sheetName val="Total VDUK"/>
      <sheetName val="An-124"/>
      <sheetName val="Il-76"/>
      <sheetName val="SUB-AN124"/>
      <sheetName val="SUB-IL"/>
      <sheetName val="Cert"/>
      <sheetName val="Department"/>
      <sheetName val="totalpl"/>
      <sheetName val="Flights"/>
      <sheetName val="antonovpl"/>
      <sheetName val="ilpl"/>
      <sheetName val="Scheduled"/>
      <sheetName val="CHARTPL-AN"/>
      <sheetName val="CHARTERPL-IL"/>
      <sheetName val="certpl"/>
      <sheetName val="scheduledp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3">
          <cell r="C3" t="str">
            <v>code</v>
          </cell>
          <cell r="D3" t="str">
            <v>JAN</v>
          </cell>
          <cell r="E3" t="str">
            <v>FEB</v>
          </cell>
          <cell r="F3" t="str">
            <v>MAR</v>
          </cell>
          <cell r="G3" t="str">
            <v>APR</v>
          </cell>
          <cell r="H3" t="str">
            <v>MAY</v>
          </cell>
          <cell r="I3" t="str">
            <v>JUNE</v>
          </cell>
          <cell r="J3" t="str">
            <v>JULY</v>
          </cell>
          <cell r="K3" t="str">
            <v>AUG</v>
          </cell>
          <cell r="L3" t="str">
            <v>SEPT</v>
          </cell>
          <cell r="M3" t="str">
            <v>OCT</v>
          </cell>
          <cell r="N3" t="str">
            <v>NOV</v>
          </cell>
          <cell r="O3" t="str">
            <v>DEC</v>
          </cell>
          <cell r="P3" t="str">
            <v>Y T D</v>
          </cell>
          <cell r="Q3" t="str">
            <v>YEAR</v>
          </cell>
          <cell r="R3" t="str">
            <v xml:space="preserve">  </v>
          </cell>
          <cell r="S3" t="str">
            <v>JAN</v>
          </cell>
          <cell r="T3" t="str">
            <v>FEB</v>
          </cell>
          <cell r="U3" t="str">
            <v>MAR</v>
          </cell>
          <cell r="V3" t="str">
            <v>APR</v>
          </cell>
          <cell r="W3" t="str">
            <v>MAY</v>
          </cell>
          <cell r="X3" t="str">
            <v>JUNE</v>
          </cell>
          <cell r="Y3" t="str">
            <v>JULY</v>
          </cell>
          <cell r="Z3" t="str">
            <v>AUG</v>
          </cell>
          <cell r="AA3" t="str">
            <v>SEPT</v>
          </cell>
          <cell r="AB3" t="str">
            <v>OCT</v>
          </cell>
          <cell r="AC3" t="str">
            <v>NOV</v>
          </cell>
          <cell r="AD3" t="str">
            <v>DEC</v>
          </cell>
          <cell r="AE3" t="str">
            <v>Y T D</v>
          </cell>
        </row>
        <row r="4">
          <cell r="C4">
            <v>1</v>
          </cell>
          <cell r="D4">
            <v>866</v>
          </cell>
          <cell r="E4">
            <v>907</v>
          </cell>
          <cell r="F4">
            <v>807</v>
          </cell>
          <cell r="G4">
            <v>948</v>
          </cell>
          <cell r="H4">
            <v>992</v>
          </cell>
          <cell r="I4">
            <v>866</v>
          </cell>
          <cell r="J4">
            <v>907</v>
          </cell>
          <cell r="K4">
            <v>948</v>
          </cell>
          <cell r="L4">
            <v>925</v>
          </cell>
          <cell r="M4">
            <v>1144</v>
          </cell>
          <cell r="N4">
            <v>1154</v>
          </cell>
          <cell r="O4">
            <v>981</v>
          </cell>
          <cell r="P4">
            <v>866</v>
          </cell>
          <cell r="Q4">
            <v>11445</v>
          </cell>
          <cell r="S4">
            <v>318.61</v>
          </cell>
          <cell r="T4">
            <v>361.81</v>
          </cell>
          <cell r="U4">
            <v>549.78</v>
          </cell>
          <cell r="V4">
            <v>504</v>
          </cell>
          <cell r="W4">
            <v>454.6</v>
          </cell>
          <cell r="AE4">
            <v>2188.8000000000002</v>
          </cell>
        </row>
        <row r="7">
          <cell r="C7">
            <v>2</v>
          </cell>
          <cell r="D7">
            <v>12166500</v>
          </cell>
          <cell r="E7">
            <v>12729410</v>
          </cell>
          <cell r="F7">
            <v>11343455</v>
          </cell>
          <cell r="G7">
            <v>13317310</v>
          </cell>
          <cell r="H7">
            <v>13936130</v>
          </cell>
          <cell r="I7">
            <v>12166500</v>
          </cell>
          <cell r="J7">
            <v>12730410</v>
          </cell>
          <cell r="K7">
            <v>13309130</v>
          </cell>
          <cell r="L7">
            <v>12730410</v>
          </cell>
          <cell r="M7">
            <v>15844400</v>
          </cell>
          <cell r="N7">
            <v>16636015</v>
          </cell>
          <cell r="O7">
            <v>13758445</v>
          </cell>
          <cell r="P7">
            <v>12166500</v>
          </cell>
          <cell r="Q7">
            <v>160668115</v>
          </cell>
          <cell r="S7">
            <v>4162446</v>
          </cell>
          <cell r="T7">
            <v>5078548</v>
          </cell>
          <cell r="U7">
            <v>6759789</v>
          </cell>
          <cell r="V7">
            <v>7508234</v>
          </cell>
          <cell r="W7">
            <v>6186961</v>
          </cell>
          <cell r="AE7">
            <v>29695978</v>
          </cell>
        </row>
        <row r="8">
          <cell r="C8">
            <v>3</v>
          </cell>
          <cell r="P8">
            <v>0</v>
          </cell>
          <cell r="Q8">
            <v>0</v>
          </cell>
          <cell r="S8">
            <v>49602</v>
          </cell>
          <cell r="T8">
            <v>237675</v>
          </cell>
          <cell r="U8">
            <v>56222</v>
          </cell>
          <cell r="V8">
            <v>87498</v>
          </cell>
          <cell r="W8">
            <v>170685</v>
          </cell>
          <cell r="AE8">
            <v>601682</v>
          </cell>
        </row>
        <row r="9">
          <cell r="C9">
            <v>4</v>
          </cell>
          <cell r="D9">
            <v>12166500</v>
          </cell>
          <cell r="E9">
            <v>12729410</v>
          </cell>
          <cell r="F9">
            <v>11343455</v>
          </cell>
          <cell r="G9">
            <v>13317310</v>
          </cell>
          <cell r="H9">
            <v>13936130</v>
          </cell>
          <cell r="I9">
            <v>12166500</v>
          </cell>
          <cell r="J9">
            <v>12730410</v>
          </cell>
          <cell r="K9">
            <v>13309130</v>
          </cell>
          <cell r="L9">
            <v>12730410</v>
          </cell>
          <cell r="M9">
            <v>15844400</v>
          </cell>
          <cell r="N9">
            <v>16636015</v>
          </cell>
          <cell r="O9">
            <v>13758445</v>
          </cell>
          <cell r="P9">
            <v>12166500</v>
          </cell>
          <cell r="Q9">
            <v>160668115</v>
          </cell>
          <cell r="S9">
            <v>4212048</v>
          </cell>
          <cell r="T9">
            <v>5316223</v>
          </cell>
          <cell r="U9">
            <v>6816011</v>
          </cell>
          <cell r="V9">
            <v>7595732</v>
          </cell>
          <cell r="W9">
            <v>6357646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30297660</v>
          </cell>
        </row>
        <row r="10">
          <cell r="C10">
            <v>5</v>
          </cell>
          <cell r="D10">
            <v>162048</v>
          </cell>
          <cell r="E10">
            <v>167762</v>
          </cell>
          <cell r="F10">
            <v>156362</v>
          </cell>
          <cell r="G10">
            <v>179520</v>
          </cell>
          <cell r="H10">
            <v>186356</v>
          </cell>
          <cell r="I10">
            <v>162048</v>
          </cell>
          <cell r="J10">
            <v>167782</v>
          </cell>
          <cell r="K10">
            <v>173816</v>
          </cell>
          <cell r="L10">
            <v>167782</v>
          </cell>
          <cell r="M10">
            <v>202660</v>
          </cell>
          <cell r="N10">
            <v>212950</v>
          </cell>
          <cell r="O10">
            <v>177260</v>
          </cell>
          <cell r="P10">
            <v>162048</v>
          </cell>
          <cell r="Q10">
            <v>2116346</v>
          </cell>
          <cell r="S10">
            <v>71500</v>
          </cell>
          <cell r="T10">
            <v>111400</v>
          </cell>
          <cell r="U10">
            <v>61550</v>
          </cell>
          <cell r="V10">
            <v>180944</v>
          </cell>
          <cell r="W10">
            <v>67000</v>
          </cell>
          <cell r="AE10">
            <v>492394</v>
          </cell>
        </row>
        <row r="11">
          <cell r="C11">
            <v>6</v>
          </cell>
          <cell r="D11">
            <v>12004452</v>
          </cell>
          <cell r="E11">
            <v>12561648</v>
          </cell>
          <cell r="F11">
            <v>11187093</v>
          </cell>
          <cell r="G11">
            <v>13137790</v>
          </cell>
          <cell r="H11">
            <v>13749774</v>
          </cell>
          <cell r="I11">
            <v>12004452</v>
          </cell>
          <cell r="J11">
            <v>12562628</v>
          </cell>
          <cell r="K11">
            <v>13135314</v>
          </cell>
          <cell r="L11">
            <v>12562628</v>
          </cell>
          <cell r="M11">
            <v>15641740</v>
          </cell>
          <cell r="N11">
            <v>16423065</v>
          </cell>
          <cell r="O11">
            <v>13581185</v>
          </cell>
          <cell r="P11">
            <v>12004452</v>
          </cell>
          <cell r="Q11">
            <v>158551769</v>
          </cell>
          <cell r="S11">
            <v>4140548</v>
          </cell>
          <cell r="T11">
            <v>5204823</v>
          </cell>
          <cell r="U11">
            <v>6754461</v>
          </cell>
          <cell r="V11">
            <v>7414788</v>
          </cell>
          <cell r="W11">
            <v>6290646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29805266</v>
          </cell>
        </row>
        <row r="14">
          <cell r="C14">
            <v>7</v>
          </cell>
          <cell r="D14">
            <v>3117600</v>
          </cell>
          <cell r="E14">
            <v>3265200</v>
          </cell>
          <cell r="F14">
            <v>2905200</v>
          </cell>
          <cell r="G14">
            <v>3412800</v>
          </cell>
          <cell r="H14">
            <v>3571200</v>
          </cell>
          <cell r="I14">
            <v>3117600</v>
          </cell>
          <cell r="J14">
            <v>3265200</v>
          </cell>
          <cell r="K14">
            <v>3412800</v>
          </cell>
          <cell r="L14">
            <v>3330000</v>
          </cell>
          <cell r="M14">
            <v>4118400</v>
          </cell>
          <cell r="N14">
            <v>4154400</v>
          </cell>
          <cell r="O14">
            <v>3531600</v>
          </cell>
          <cell r="P14">
            <v>3117600</v>
          </cell>
          <cell r="Q14">
            <v>41202000</v>
          </cell>
          <cell r="S14">
            <v>1174410</v>
          </cell>
          <cell r="T14">
            <v>1419446</v>
          </cell>
          <cell r="U14">
            <v>1642170.93</v>
          </cell>
          <cell r="V14">
            <v>2158670</v>
          </cell>
          <cell r="W14">
            <v>1613721</v>
          </cell>
          <cell r="AE14">
            <v>8008417.9299999997</v>
          </cell>
        </row>
        <row r="15">
          <cell r="C15">
            <v>8</v>
          </cell>
          <cell r="D15">
            <v>452052</v>
          </cell>
          <cell r="E15">
            <v>473454</v>
          </cell>
          <cell r="F15">
            <v>421254</v>
          </cell>
          <cell r="G15">
            <v>494856</v>
          </cell>
          <cell r="H15">
            <v>517824</v>
          </cell>
          <cell r="I15">
            <v>452052</v>
          </cell>
          <cell r="J15">
            <v>473454</v>
          </cell>
          <cell r="K15">
            <v>494856</v>
          </cell>
          <cell r="L15">
            <v>482850</v>
          </cell>
          <cell r="M15">
            <v>597168</v>
          </cell>
          <cell r="N15">
            <v>602388</v>
          </cell>
          <cell r="O15">
            <v>512082</v>
          </cell>
          <cell r="P15">
            <v>452052</v>
          </cell>
          <cell r="Q15">
            <v>5974290</v>
          </cell>
          <cell r="S15">
            <v>231721</v>
          </cell>
          <cell r="T15">
            <v>245949</v>
          </cell>
          <cell r="U15">
            <v>263957.89</v>
          </cell>
          <cell r="V15">
            <v>308357</v>
          </cell>
          <cell r="W15">
            <v>318784</v>
          </cell>
          <cell r="AE15">
            <v>1368768.8900000001</v>
          </cell>
        </row>
        <row r="16">
          <cell r="C16">
            <v>9</v>
          </cell>
          <cell r="D16">
            <v>626118</v>
          </cell>
          <cell r="E16">
            <v>655761</v>
          </cell>
          <cell r="F16">
            <v>583461</v>
          </cell>
          <cell r="G16">
            <v>685404</v>
          </cell>
          <cell r="H16">
            <v>717216</v>
          </cell>
          <cell r="I16">
            <v>626118</v>
          </cell>
          <cell r="J16">
            <v>655761</v>
          </cell>
          <cell r="K16">
            <v>685404</v>
          </cell>
          <cell r="L16">
            <v>668775</v>
          </cell>
          <cell r="M16">
            <v>827112</v>
          </cell>
          <cell r="N16">
            <v>834342</v>
          </cell>
          <cell r="O16">
            <v>709263</v>
          </cell>
          <cell r="P16">
            <v>626118</v>
          </cell>
          <cell r="Q16">
            <v>8274735</v>
          </cell>
          <cell r="S16">
            <v>368669</v>
          </cell>
          <cell r="T16">
            <v>281086</v>
          </cell>
          <cell r="U16">
            <v>371256.2</v>
          </cell>
          <cell r="V16">
            <v>578429</v>
          </cell>
          <cell r="W16">
            <v>444618</v>
          </cell>
          <cell r="AE16">
            <v>2044058.2</v>
          </cell>
        </row>
        <row r="17">
          <cell r="C17">
            <v>10</v>
          </cell>
          <cell r="D17">
            <v>8660</v>
          </cell>
          <cell r="E17">
            <v>9070</v>
          </cell>
          <cell r="F17">
            <v>8070</v>
          </cell>
          <cell r="G17">
            <v>9480</v>
          </cell>
          <cell r="H17">
            <v>9920</v>
          </cell>
          <cell r="I17">
            <v>8660</v>
          </cell>
          <cell r="J17">
            <v>9070</v>
          </cell>
          <cell r="K17">
            <v>9480</v>
          </cell>
          <cell r="L17">
            <v>9250</v>
          </cell>
          <cell r="M17">
            <v>11440</v>
          </cell>
          <cell r="N17">
            <v>11540</v>
          </cell>
          <cell r="O17">
            <v>9810</v>
          </cell>
          <cell r="P17">
            <v>8660</v>
          </cell>
          <cell r="Q17">
            <v>114450</v>
          </cell>
          <cell r="S17">
            <v>6002</v>
          </cell>
          <cell r="T17">
            <v>0</v>
          </cell>
          <cell r="U17">
            <v>0</v>
          </cell>
          <cell r="V17">
            <v>320</v>
          </cell>
          <cell r="W17">
            <v>2840</v>
          </cell>
          <cell r="AE17">
            <v>9162</v>
          </cell>
        </row>
        <row r="18">
          <cell r="C18">
            <v>11</v>
          </cell>
          <cell r="D18">
            <v>89198</v>
          </cell>
          <cell r="E18">
            <v>93421</v>
          </cell>
          <cell r="F18">
            <v>83121</v>
          </cell>
          <cell r="G18">
            <v>97644</v>
          </cell>
          <cell r="H18">
            <v>102176</v>
          </cell>
          <cell r="I18">
            <v>89198</v>
          </cell>
          <cell r="J18">
            <v>93421</v>
          </cell>
          <cell r="K18">
            <v>97644</v>
          </cell>
          <cell r="L18">
            <v>95275</v>
          </cell>
          <cell r="M18">
            <v>117832</v>
          </cell>
          <cell r="N18">
            <v>118862</v>
          </cell>
          <cell r="O18">
            <v>101043</v>
          </cell>
          <cell r="P18">
            <v>89198</v>
          </cell>
          <cell r="Q18">
            <v>1178835</v>
          </cell>
          <cell r="S18">
            <v>40746</v>
          </cell>
          <cell r="T18">
            <v>32887</v>
          </cell>
          <cell r="U18">
            <v>19866.8</v>
          </cell>
          <cell r="V18">
            <v>49279</v>
          </cell>
          <cell r="W18">
            <v>32356</v>
          </cell>
          <cell r="AE18">
            <v>175134.8</v>
          </cell>
        </row>
        <row r="19">
          <cell r="C19">
            <v>12</v>
          </cell>
          <cell r="D19">
            <v>17320</v>
          </cell>
          <cell r="E19">
            <v>18140</v>
          </cell>
          <cell r="F19">
            <v>16140</v>
          </cell>
          <cell r="G19">
            <v>18960</v>
          </cell>
          <cell r="H19">
            <v>19840</v>
          </cell>
          <cell r="I19">
            <v>17320</v>
          </cell>
          <cell r="J19">
            <v>18140</v>
          </cell>
          <cell r="K19">
            <v>18960</v>
          </cell>
          <cell r="L19">
            <v>18500</v>
          </cell>
          <cell r="M19">
            <v>22880</v>
          </cell>
          <cell r="N19">
            <v>23080</v>
          </cell>
          <cell r="O19">
            <v>19620</v>
          </cell>
          <cell r="P19">
            <v>17320</v>
          </cell>
          <cell r="Q19">
            <v>228900</v>
          </cell>
          <cell r="S19">
            <v>10552</v>
          </cell>
          <cell r="T19">
            <v>6158</v>
          </cell>
          <cell r="U19">
            <v>18630.939999999999</v>
          </cell>
          <cell r="V19">
            <v>15772</v>
          </cell>
          <cell r="W19">
            <v>5763</v>
          </cell>
          <cell r="AE19">
            <v>56875.94</v>
          </cell>
        </row>
        <row r="20">
          <cell r="C20">
            <v>13</v>
          </cell>
          <cell r="D20">
            <v>71012</v>
          </cell>
          <cell r="E20">
            <v>74374</v>
          </cell>
          <cell r="F20">
            <v>66174</v>
          </cell>
          <cell r="G20">
            <v>77736</v>
          </cell>
          <cell r="H20">
            <v>81344</v>
          </cell>
          <cell r="I20">
            <v>71012</v>
          </cell>
          <cell r="J20">
            <v>74374</v>
          </cell>
          <cell r="K20">
            <v>77736</v>
          </cell>
          <cell r="L20">
            <v>75850</v>
          </cell>
          <cell r="M20">
            <v>93808</v>
          </cell>
          <cell r="N20">
            <v>94628</v>
          </cell>
          <cell r="O20">
            <v>80442</v>
          </cell>
          <cell r="Q20">
            <v>938490</v>
          </cell>
          <cell r="S20">
            <v>120000</v>
          </cell>
          <cell r="T20">
            <v>55750</v>
          </cell>
          <cell r="U20">
            <v>42500</v>
          </cell>
          <cell r="V20">
            <v>62300</v>
          </cell>
          <cell r="W20">
            <v>75750</v>
          </cell>
          <cell r="AE20">
            <v>356300</v>
          </cell>
        </row>
        <row r="21">
          <cell r="C21">
            <v>14</v>
          </cell>
          <cell r="D21">
            <v>12990</v>
          </cell>
          <cell r="E21">
            <v>13605</v>
          </cell>
          <cell r="F21">
            <v>12105</v>
          </cell>
          <cell r="G21">
            <v>14220</v>
          </cell>
          <cell r="H21">
            <v>14880</v>
          </cell>
          <cell r="I21">
            <v>12990</v>
          </cell>
          <cell r="J21">
            <v>13605</v>
          </cell>
          <cell r="K21">
            <v>14220</v>
          </cell>
          <cell r="L21">
            <v>13875</v>
          </cell>
          <cell r="M21">
            <v>17160</v>
          </cell>
          <cell r="N21">
            <v>17310</v>
          </cell>
          <cell r="O21">
            <v>14715</v>
          </cell>
          <cell r="Q21">
            <v>171675</v>
          </cell>
          <cell r="S21">
            <v>23367</v>
          </cell>
          <cell r="T21">
            <v>32078</v>
          </cell>
          <cell r="U21">
            <v>733.94</v>
          </cell>
          <cell r="V21">
            <v>24798</v>
          </cell>
          <cell r="W21">
            <v>8710</v>
          </cell>
          <cell r="AE21">
            <v>89686.94</v>
          </cell>
        </row>
        <row r="22">
          <cell r="C22">
            <v>15</v>
          </cell>
          <cell r="D22">
            <v>187056</v>
          </cell>
          <cell r="E22">
            <v>195912</v>
          </cell>
          <cell r="F22">
            <v>174312</v>
          </cell>
          <cell r="G22">
            <v>204768</v>
          </cell>
          <cell r="H22">
            <v>214272</v>
          </cell>
          <cell r="I22">
            <v>187056</v>
          </cell>
          <cell r="J22">
            <v>195912</v>
          </cell>
          <cell r="K22">
            <v>204768</v>
          </cell>
          <cell r="L22">
            <v>199800</v>
          </cell>
          <cell r="M22">
            <v>247104</v>
          </cell>
          <cell r="N22">
            <v>249264</v>
          </cell>
          <cell r="O22">
            <v>211896</v>
          </cell>
          <cell r="P22">
            <v>187056</v>
          </cell>
          <cell r="Q22">
            <v>2472120</v>
          </cell>
          <cell r="S22">
            <v>22554</v>
          </cell>
          <cell r="T22">
            <v>5103</v>
          </cell>
          <cell r="U22">
            <v>45</v>
          </cell>
          <cell r="V22">
            <v>0</v>
          </cell>
          <cell r="AE22">
            <v>27702</v>
          </cell>
        </row>
        <row r="23">
          <cell r="C23">
            <v>16</v>
          </cell>
          <cell r="D23">
            <v>4582006</v>
          </cell>
          <cell r="E23">
            <v>4798937</v>
          </cell>
          <cell r="F23">
            <v>4269837</v>
          </cell>
          <cell r="G23">
            <v>5015868</v>
          </cell>
          <cell r="H23">
            <v>5248672</v>
          </cell>
          <cell r="I23">
            <v>4582006</v>
          </cell>
          <cell r="J23">
            <v>4798937</v>
          </cell>
          <cell r="K23">
            <v>5015868</v>
          </cell>
          <cell r="L23">
            <v>4894175</v>
          </cell>
          <cell r="M23">
            <v>6052904</v>
          </cell>
          <cell r="N23">
            <v>6105814</v>
          </cell>
          <cell r="O23">
            <v>5190471</v>
          </cell>
          <cell r="P23">
            <v>4498004</v>
          </cell>
          <cell r="Q23">
            <v>60555495</v>
          </cell>
          <cell r="S23">
            <v>1998021</v>
          </cell>
          <cell r="T23">
            <v>2078457</v>
          </cell>
          <cell r="U23">
            <v>2359161.7000000002</v>
          </cell>
          <cell r="V23">
            <v>3197925</v>
          </cell>
          <cell r="W23">
            <v>2502542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12136106.699999999</v>
          </cell>
        </row>
        <row r="26">
          <cell r="C26">
            <v>17</v>
          </cell>
          <cell r="D26">
            <v>129900</v>
          </cell>
          <cell r="E26">
            <v>136050</v>
          </cell>
          <cell r="F26">
            <v>121050</v>
          </cell>
          <cell r="G26">
            <v>142200</v>
          </cell>
          <cell r="H26">
            <v>148800</v>
          </cell>
          <cell r="I26">
            <v>129900</v>
          </cell>
          <cell r="J26">
            <v>136050</v>
          </cell>
          <cell r="K26">
            <v>142200</v>
          </cell>
          <cell r="L26">
            <v>138750</v>
          </cell>
          <cell r="M26">
            <v>171600</v>
          </cell>
          <cell r="N26">
            <v>173100</v>
          </cell>
          <cell r="O26">
            <v>147150</v>
          </cell>
          <cell r="P26">
            <v>129900</v>
          </cell>
          <cell r="Q26">
            <v>1716750</v>
          </cell>
          <cell r="S26">
            <v>68555</v>
          </cell>
          <cell r="T26">
            <v>55660</v>
          </cell>
          <cell r="U26">
            <v>79371.44</v>
          </cell>
          <cell r="V26">
            <v>92963</v>
          </cell>
          <cell r="W26">
            <v>121425</v>
          </cell>
          <cell r="AE26">
            <v>417974.44</v>
          </cell>
        </row>
        <row r="27">
          <cell r="C27">
            <v>18</v>
          </cell>
          <cell r="D27">
            <v>200912</v>
          </cell>
          <cell r="E27">
            <v>210424</v>
          </cell>
          <cell r="F27">
            <v>187224</v>
          </cell>
          <cell r="G27">
            <v>219936</v>
          </cell>
          <cell r="H27">
            <v>230144</v>
          </cell>
          <cell r="I27">
            <v>200912</v>
          </cell>
          <cell r="J27">
            <v>210424</v>
          </cell>
          <cell r="K27">
            <v>219936</v>
          </cell>
          <cell r="L27">
            <v>214600</v>
          </cell>
          <cell r="M27">
            <v>265408</v>
          </cell>
          <cell r="N27">
            <v>267728</v>
          </cell>
          <cell r="O27">
            <v>227592</v>
          </cell>
          <cell r="P27">
            <v>200912</v>
          </cell>
          <cell r="Q27">
            <v>2655240</v>
          </cell>
          <cell r="S27">
            <v>217841</v>
          </cell>
          <cell r="T27">
            <v>116177</v>
          </cell>
          <cell r="U27">
            <v>147654.10999999999</v>
          </cell>
          <cell r="V27">
            <v>172448</v>
          </cell>
          <cell r="W27">
            <v>131678</v>
          </cell>
          <cell r="AE27">
            <v>785798.11</v>
          </cell>
        </row>
        <row r="28">
          <cell r="C28">
            <v>19</v>
          </cell>
          <cell r="D28">
            <v>162808</v>
          </cell>
          <cell r="E28">
            <v>170516</v>
          </cell>
          <cell r="F28">
            <v>151716</v>
          </cell>
          <cell r="G28">
            <v>178224</v>
          </cell>
          <cell r="H28">
            <v>186496</v>
          </cell>
          <cell r="I28">
            <v>162808</v>
          </cell>
          <cell r="J28">
            <v>170516</v>
          </cell>
          <cell r="K28">
            <v>178224</v>
          </cell>
          <cell r="L28">
            <v>173900</v>
          </cell>
          <cell r="M28">
            <v>215072</v>
          </cell>
          <cell r="N28">
            <v>216952</v>
          </cell>
          <cell r="O28">
            <v>184428</v>
          </cell>
          <cell r="P28">
            <v>162808</v>
          </cell>
          <cell r="Q28">
            <v>2151660</v>
          </cell>
          <cell r="S28">
            <v>102823</v>
          </cell>
          <cell r="T28">
            <v>78352</v>
          </cell>
          <cell r="U28">
            <v>81849.14</v>
          </cell>
          <cell r="V28">
            <v>107497</v>
          </cell>
          <cell r="W28">
            <v>113912</v>
          </cell>
          <cell r="AE28">
            <v>484433.14</v>
          </cell>
        </row>
        <row r="29">
          <cell r="C29">
            <v>20</v>
          </cell>
          <cell r="D29">
            <v>37238</v>
          </cell>
          <cell r="E29">
            <v>39001</v>
          </cell>
          <cell r="F29">
            <v>34701</v>
          </cell>
          <cell r="G29">
            <v>40764</v>
          </cell>
          <cell r="H29">
            <v>42656</v>
          </cell>
          <cell r="I29">
            <v>37238</v>
          </cell>
          <cell r="J29">
            <v>39001</v>
          </cell>
          <cell r="K29">
            <v>40764</v>
          </cell>
          <cell r="L29">
            <v>39775</v>
          </cell>
          <cell r="M29">
            <v>49192</v>
          </cell>
          <cell r="N29">
            <v>49622</v>
          </cell>
          <cell r="O29">
            <v>42183</v>
          </cell>
          <cell r="P29">
            <v>37238</v>
          </cell>
          <cell r="Q29">
            <v>492135</v>
          </cell>
          <cell r="S29">
            <v>8136</v>
          </cell>
          <cell r="T29">
            <v>18903</v>
          </cell>
          <cell r="U29">
            <v>25317.599999999999</v>
          </cell>
          <cell r="V29">
            <v>32610</v>
          </cell>
          <cell r="W29">
            <v>20946</v>
          </cell>
          <cell r="AE29">
            <v>105912.6</v>
          </cell>
        </row>
        <row r="30">
          <cell r="C30">
            <v>21</v>
          </cell>
          <cell r="D30">
            <v>-125000</v>
          </cell>
          <cell r="E30">
            <v>-125000</v>
          </cell>
          <cell r="F30">
            <v>-125000</v>
          </cell>
          <cell r="G30">
            <v>-125000</v>
          </cell>
          <cell r="H30">
            <v>-125000</v>
          </cell>
          <cell r="I30">
            <v>-125000</v>
          </cell>
          <cell r="J30">
            <v>-125000</v>
          </cell>
          <cell r="K30">
            <v>-125000</v>
          </cell>
          <cell r="L30">
            <v>-125000</v>
          </cell>
          <cell r="M30">
            <v>-125000</v>
          </cell>
          <cell r="N30">
            <v>-125000</v>
          </cell>
          <cell r="O30">
            <v>-125000</v>
          </cell>
          <cell r="P30">
            <v>-125000</v>
          </cell>
          <cell r="Q30">
            <v>-1500000</v>
          </cell>
          <cell r="U30">
            <v>-494384.67</v>
          </cell>
          <cell r="V30">
            <v>-223658</v>
          </cell>
          <cell r="W30">
            <v>-618562</v>
          </cell>
          <cell r="AE30">
            <v>-1336604.67</v>
          </cell>
        </row>
        <row r="31">
          <cell r="C31">
            <v>22</v>
          </cell>
          <cell r="D31">
            <v>405858</v>
          </cell>
          <cell r="E31">
            <v>430991</v>
          </cell>
          <cell r="F31">
            <v>369691</v>
          </cell>
          <cell r="G31">
            <v>456124</v>
          </cell>
          <cell r="H31">
            <v>483096</v>
          </cell>
          <cell r="I31">
            <v>405858</v>
          </cell>
          <cell r="J31">
            <v>430991</v>
          </cell>
          <cell r="K31">
            <v>456124</v>
          </cell>
          <cell r="L31">
            <v>442025</v>
          </cell>
          <cell r="M31">
            <v>576272</v>
          </cell>
          <cell r="N31">
            <v>582402</v>
          </cell>
          <cell r="O31">
            <v>476353</v>
          </cell>
          <cell r="P31">
            <v>405858</v>
          </cell>
          <cell r="Q31">
            <v>5515785</v>
          </cell>
          <cell r="S31">
            <v>397355</v>
          </cell>
          <cell r="T31">
            <v>255545.73</v>
          </cell>
          <cell r="U31">
            <v>-160192.38</v>
          </cell>
          <cell r="V31">
            <v>181860</v>
          </cell>
          <cell r="W31">
            <v>-230601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457513.62000000011</v>
          </cell>
        </row>
        <row r="34">
          <cell r="C34">
            <v>23</v>
          </cell>
          <cell r="D34">
            <v>5022800</v>
          </cell>
          <cell r="E34">
            <v>5260600</v>
          </cell>
          <cell r="F34">
            <v>4680600</v>
          </cell>
          <cell r="G34">
            <v>5498400</v>
          </cell>
          <cell r="H34">
            <v>5753600</v>
          </cell>
          <cell r="I34">
            <v>5022800</v>
          </cell>
          <cell r="J34">
            <v>5260600</v>
          </cell>
          <cell r="K34">
            <v>5498400</v>
          </cell>
          <cell r="L34">
            <v>5365000</v>
          </cell>
          <cell r="M34">
            <v>6635200</v>
          </cell>
          <cell r="N34">
            <v>6693200</v>
          </cell>
          <cell r="O34">
            <v>5689800</v>
          </cell>
          <cell r="P34">
            <v>5022800</v>
          </cell>
          <cell r="Q34">
            <v>66381000</v>
          </cell>
          <cell r="S34">
            <v>1847938</v>
          </cell>
          <cell r="T34">
            <v>2098498</v>
          </cell>
          <cell r="U34">
            <v>3188724</v>
          </cell>
          <cell r="V34">
            <v>2922524</v>
          </cell>
          <cell r="W34">
            <v>2644352</v>
          </cell>
          <cell r="AE34">
            <v>12702036</v>
          </cell>
        </row>
        <row r="35">
          <cell r="C35">
            <v>24</v>
          </cell>
          <cell r="D35">
            <v>836556</v>
          </cell>
          <cell r="E35">
            <v>876162</v>
          </cell>
          <cell r="F35">
            <v>779562</v>
          </cell>
          <cell r="G35">
            <v>915768</v>
          </cell>
          <cell r="H35">
            <v>958272</v>
          </cell>
          <cell r="I35">
            <v>836556</v>
          </cell>
          <cell r="J35">
            <v>876162</v>
          </cell>
          <cell r="K35">
            <v>915768</v>
          </cell>
          <cell r="L35">
            <v>893550</v>
          </cell>
          <cell r="M35">
            <v>1105104</v>
          </cell>
          <cell r="N35">
            <v>1114764</v>
          </cell>
          <cell r="O35">
            <v>947646</v>
          </cell>
          <cell r="P35">
            <v>836556</v>
          </cell>
          <cell r="Q35">
            <v>11055870</v>
          </cell>
          <cell r="S35">
            <v>225062</v>
          </cell>
          <cell r="T35">
            <v>295502</v>
          </cell>
          <cell r="U35">
            <v>540276</v>
          </cell>
          <cell r="V35">
            <v>358657</v>
          </cell>
          <cell r="W35">
            <v>461567</v>
          </cell>
          <cell r="AE35">
            <v>1881064</v>
          </cell>
        </row>
        <row r="36">
          <cell r="C36">
            <v>25</v>
          </cell>
          <cell r="D36">
            <v>5859356</v>
          </cell>
          <cell r="E36">
            <v>6136762</v>
          </cell>
          <cell r="F36">
            <v>5460162</v>
          </cell>
          <cell r="G36">
            <v>6414168</v>
          </cell>
          <cell r="H36">
            <v>6711872</v>
          </cell>
          <cell r="I36">
            <v>5859356</v>
          </cell>
          <cell r="J36">
            <v>6136762</v>
          </cell>
          <cell r="K36">
            <v>6414168</v>
          </cell>
          <cell r="L36">
            <v>6258550</v>
          </cell>
          <cell r="M36">
            <v>7740304</v>
          </cell>
          <cell r="N36">
            <v>7807964</v>
          </cell>
          <cell r="O36">
            <v>6637446</v>
          </cell>
          <cell r="P36">
            <v>5859356</v>
          </cell>
          <cell r="Q36">
            <v>77436870</v>
          </cell>
          <cell r="S36">
            <v>2073000</v>
          </cell>
          <cell r="T36">
            <v>2394000</v>
          </cell>
          <cell r="U36">
            <v>3729000</v>
          </cell>
          <cell r="V36">
            <v>3281181</v>
          </cell>
          <cell r="W36">
            <v>3105919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14583100</v>
          </cell>
        </row>
        <row r="39">
          <cell r="C39">
            <v>30</v>
          </cell>
          <cell r="D39">
            <v>207803.22003731845</v>
          </cell>
          <cell r="E39">
            <v>212109.93942392702</v>
          </cell>
          <cell r="F39">
            <v>210479.9403422499</v>
          </cell>
          <cell r="G39">
            <v>249973.35271544504</v>
          </cell>
          <cell r="H39">
            <v>249438.44506482221</v>
          </cell>
          <cell r="I39">
            <v>250502.9915756601</v>
          </cell>
          <cell r="J39">
            <v>255619.20226546843</v>
          </cell>
          <cell r="K39">
            <v>256700.08265574274</v>
          </cell>
          <cell r="L39">
            <v>256518.94193521884</v>
          </cell>
          <cell r="M39">
            <v>256222.53297651868</v>
          </cell>
          <cell r="N39">
            <v>256434.42543848269</v>
          </cell>
          <cell r="O39">
            <v>258123.90393321606</v>
          </cell>
          <cell r="P39">
            <v>1380307.8891594228</v>
          </cell>
          <cell r="Q39">
            <v>2919926.9783640704</v>
          </cell>
          <cell r="S39">
            <v>187688.40907711524</v>
          </cell>
          <cell r="T39">
            <v>175256.91200598847</v>
          </cell>
          <cell r="U39">
            <v>198425.06654601998</v>
          </cell>
          <cell r="V39">
            <v>212241</v>
          </cell>
          <cell r="W39">
            <v>209624.30944142869</v>
          </cell>
          <cell r="AE39">
            <v>983235.69707055227</v>
          </cell>
        </row>
        <row r="40">
          <cell r="C40">
            <v>31</v>
          </cell>
          <cell r="D40">
            <v>40867.945557452775</v>
          </cell>
          <cell r="E40">
            <v>40893.587800084482</v>
          </cell>
          <cell r="F40">
            <v>40579.333264244939</v>
          </cell>
          <cell r="G40">
            <v>41131.480090764911</v>
          </cell>
          <cell r="H40">
            <v>41043.464535734791</v>
          </cell>
          <cell r="I40">
            <v>41218.628700797082</v>
          </cell>
          <cell r="J40">
            <v>41229.076187677761</v>
          </cell>
          <cell r="K40">
            <v>40811.82504013506</v>
          </cell>
          <cell r="L40">
            <v>40783.026126955199</v>
          </cell>
          <cell r="M40">
            <v>40735.901130197701</v>
          </cell>
          <cell r="N40">
            <v>40769.589152404522</v>
          </cell>
          <cell r="O40">
            <v>41038.193276029211</v>
          </cell>
          <cell r="P40">
            <v>245734.43994907901</v>
          </cell>
          <cell r="Q40">
            <v>491102.05086247838</v>
          </cell>
          <cell r="S40">
            <v>41361.320005734167</v>
          </cell>
          <cell r="T40">
            <v>39526.698801455619</v>
          </cell>
          <cell r="U40">
            <v>54941.60056356174</v>
          </cell>
          <cell r="V40">
            <v>35309</v>
          </cell>
          <cell r="W40">
            <v>48016.698943515075</v>
          </cell>
          <cell r="AE40">
            <v>219155.31831426659</v>
          </cell>
        </row>
        <row r="41">
          <cell r="C41">
            <v>32</v>
          </cell>
          <cell r="D41">
            <v>8798.9561579735055</v>
          </cell>
          <cell r="E41">
            <v>8989.4342523098858</v>
          </cell>
          <cell r="F41">
            <v>8920.3532388700733</v>
          </cell>
          <cell r="G41">
            <v>10604.408028229731</v>
          </cell>
          <cell r="H41">
            <v>10581.716093577466</v>
          </cell>
          <cell r="I41">
            <v>10626.876449444695</v>
          </cell>
          <cell r="J41">
            <v>10853.33956319135</v>
          </cell>
          <cell r="K41">
            <v>10905.937337117744</v>
          </cell>
          <cell r="L41">
            <v>10898.241549384464</v>
          </cell>
          <cell r="M41">
            <v>10885.648575138795</v>
          </cell>
          <cell r="N41">
            <v>10894.65085471923</v>
          </cell>
          <cell r="O41">
            <v>10966.428574482103</v>
          </cell>
          <cell r="P41">
            <v>58521.744220405359</v>
          </cell>
          <cell r="Q41">
            <v>123925.99067443906</v>
          </cell>
          <cell r="S41">
            <v>7391.8313148933876</v>
          </cell>
          <cell r="T41">
            <v>6913.9350205954679</v>
          </cell>
          <cell r="U41">
            <v>7729.0776408611073</v>
          </cell>
          <cell r="V41">
            <v>7053</v>
          </cell>
          <cell r="W41">
            <v>6641.6247578701323</v>
          </cell>
          <cell r="AE41">
            <v>35729.468734220092</v>
          </cell>
        </row>
        <row r="42">
          <cell r="C42">
            <v>33</v>
          </cell>
          <cell r="D42">
            <v>11090.47725154965</v>
          </cell>
          <cell r="E42">
            <v>11097.435876572428</v>
          </cell>
          <cell r="F42">
            <v>11012.1555246148</v>
          </cell>
          <cell r="G42">
            <v>11161.993539115099</v>
          </cell>
          <cell r="H42">
            <v>11138.108450262964</v>
          </cell>
          <cell r="I42">
            <v>11185.643362072487</v>
          </cell>
          <cell r="J42">
            <v>11188.478533109486</v>
          </cell>
          <cell r="K42">
            <v>11075.247630579779</v>
          </cell>
          <cell r="L42">
            <v>11067.4323688353</v>
          </cell>
          <cell r="M42">
            <v>11054.643893726277</v>
          </cell>
          <cell r="N42">
            <v>11063.785930078686</v>
          </cell>
          <cell r="O42">
            <v>11136.67797008946</v>
          </cell>
          <cell r="P42">
            <v>66685.814004187429</v>
          </cell>
          <cell r="Q42">
            <v>133272.0803306064</v>
          </cell>
          <cell r="S42">
            <v>8759.2367895355146</v>
          </cell>
          <cell r="T42">
            <v>8638.4274867019376</v>
          </cell>
          <cell r="U42">
            <v>10953.968656530742</v>
          </cell>
          <cell r="V42">
            <v>38367</v>
          </cell>
          <cell r="W42">
            <v>9293.9363075540168</v>
          </cell>
          <cell r="AE42">
            <v>76012.56924032222</v>
          </cell>
        </row>
        <row r="43">
          <cell r="C43">
            <v>34</v>
          </cell>
          <cell r="D43">
            <v>1774.4763602479438</v>
          </cell>
          <cell r="E43">
            <v>1775.5897402515884</v>
          </cell>
          <cell r="F43">
            <v>1761.9448839383679</v>
          </cell>
          <cell r="G43">
            <v>1785.918966258416</v>
          </cell>
          <cell r="H43">
            <v>1782.0973520420741</v>
          </cell>
          <cell r="I43">
            <v>1789.7029379315979</v>
          </cell>
          <cell r="J43">
            <v>1790.156565297518</v>
          </cell>
          <cell r="K43">
            <v>1772.0396208927648</v>
          </cell>
          <cell r="L43">
            <v>1770.789179013648</v>
          </cell>
          <cell r="M43">
            <v>1768.7430229962047</v>
          </cell>
          <cell r="N43">
            <v>1770.2057488125897</v>
          </cell>
          <cell r="O43">
            <v>1781.8684752143135</v>
          </cell>
          <cell r="P43">
            <v>10669.730240669987</v>
          </cell>
          <cell r="Q43">
            <v>21323.532852897028</v>
          </cell>
          <cell r="S43">
            <v>3547.4124822436243</v>
          </cell>
          <cell r="T43">
            <v>3319.4941458423596</v>
          </cell>
          <cell r="U43">
            <v>2836.9564674118551</v>
          </cell>
          <cell r="V43">
            <v>3869</v>
          </cell>
          <cell r="W43">
            <v>3602.805354105918</v>
          </cell>
          <cell r="AE43">
            <v>17175.668449603756</v>
          </cell>
        </row>
        <row r="44">
          <cell r="C44">
            <v>35</v>
          </cell>
          <cell r="D44">
            <v>26617.145403719158</v>
          </cell>
          <cell r="E44">
            <v>26633.846103773827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53250.991507492989</v>
          </cell>
          <cell r="Q44">
            <v>53250.991507492989</v>
          </cell>
          <cell r="S44">
            <v>0</v>
          </cell>
          <cell r="T44">
            <v>282.70319948821532</v>
          </cell>
          <cell r="U44">
            <v>6004.5950561121481</v>
          </cell>
          <cell r="V44">
            <v>1846</v>
          </cell>
          <cell r="W44">
            <v>157.75830778788912</v>
          </cell>
          <cell r="AE44">
            <v>8291.0565633882525</v>
          </cell>
        </row>
        <row r="45">
          <cell r="C45">
            <v>36</v>
          </cell>
          <cell r="D45">
            <v>5653.9253028400117</v>
          </cell>
          <cell r="E45">
            <v>5657.4728098766236</v>
          </cell>
          <cell r="F45">
            <v>5613.9968864486254</v>
          </cell>
          <cell r="G45">
            <v>5690.3843062408778</v>
          </cell>
          <cell r="H45">
            <v>5678.2076879440583</v>
          </cell>
          <cell r="I45">
            <v>5702.4409859845546</v>
          </cell>
          <cell r="J45">
            <v>5703.8863561792159</v>
          </cell>
          <cell r="K45">
            <v>5646.161242069571</v>
          </cell>
          <cell r="L45">
            <v>5642.1770216322357</v>
          </cell>
          <cell r="M45">
            <v>5635.6574570216562</v>
          </cell>
          <cell r="N45">
            <v>5640.318067154114</v>
          </cell>
          <cell r="O45">
            <v>5677.4784291516062</v>
          </cell>
          <cell r="P45">
            <v>33996.427979334752</v>
          </cell>
          <cell r="Q45">
            <v>67942.106552543148</v>
          </cell>
          <cell r="S45">
            <v>133.30978104037933</v>
          </cell>
          <cell r="T45">
            <v>6457.6304092853525</v>
          </cell>
          <cell r="U45">
            <v>4486.4186306147803</v>
          </cell>
          <cell r="V45">
            <v>6040</v>
          </cell>
          <cell r="W45">
            <v>4599.6406614406424</v>
          </cell>
          <cell r="AE45">
            <v>21716.999482381158</v>
          </cell>
        </row>
        <row r="46">
          <cell r="C46">
            <v>37</v>
          </cell>
          <cell r="D46">
            <v>36269.350416075838</v>
          </cell>
          <cell r="E46">
            <v>36292.107309547668</v>
          </cell>
          <cell r="F46">
            <v>36013.213723762143</v>
          </cell>
          <cell r="G46">
            <v>36503.231180206683</v>
          </cell>
          <cell r="H46">
            <v>36425.119423818905</v>
          </cell>
          <cell r="I46">
            <v>36580.5735430883</v>
          </cell>
          <cell r="J46">
            <v>36589.845444513106</v>
          </cell>
          <cell r="K46">
            <v>36219.544763250298</v>
          </cell>
          <cell r="L46">
            <v>36193.98639814349</v>
          </cell>
          <cell r="M46">
            <v>36152.16406043015</v>
          </cell>
          <cell r="N46">
            <v>36182.061395996636</v>
          </cell>
          <cell r="O46">
            <v>36420.441303527121</v>
          </cell>
          <cell r="P46">
            <v>218083.59559649954</v>
          </cell>
          <cell r="Q46">
            <v>435841.63896236027</v>
          </cell>
          <cell r="S46">
            <v>25712.124018163166</v>
          </cell>
          <cell r="T46">
            <v>29997.928766224653</v>
          </cell>
          <cell r="U46">
            <v>27089.281953786896</v>
          </cell>
          <cell r="V46">
            <v>29707.000000000004</v>
          </cell>
          <cell r="W46">
            <v>25978.84933497064</v>
          </cell>
          <cell r="AE46">
            <v>138485.18407314536</v>
          </cell>
        </row>
        <row r="47">
          <cell r="C47">
            <v>38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AE47">
            <v>0</v>
          </cell>
        </row>
        <row r="48">
          <cell r="C48">
            <v>39</v>
          </cell>
          <cell r="D48">
            <v>2123.8485746262609</v>
          </cell>
          <cell r="E48">
            <v>2125.1811652353731</v>
          </cell>
          <cell r="F48">
            <v>2108.8498072747834</v>
          </cell>
          <cell r="G48">
            <v>2137.5440867276197</v>
          </cell>
          <cell r="H48">
            <v>2132.9700444422579</v>
          </cell>
          <cell r="I48">
            <v>2142.0730751236056</v>
          </cell>
          <cell r="J48">
            <v>2142.6160160475329</v>
          </cell>
          <cell r="K48">
            <v>2120.9320717512887</v>
          </cell>
          <cell r="L48">
            <v>2119.4354334966974</v>
          </cell>
          <cell r="M48">
            <v>2116.9864149363698</v>
          </cell>
          <cell r="N48">
            <v>2118.7371331819286</v>
          </cell>
          <cell r="O48">
            <v>2132.6961046280717</v>
          </cell>
          <cell r="P48">
            <v>12770.466753429901</v>
          </cell>
          <cell r="Q48">
            <v>25521.869927471795</v>
          </cell>
          <cell r="S48">
            <v>3246.4852559245323</v>
          </cell>
          <cell r="T48">
            <v>-2867.5347309774152</v>
          </cell>
          <cell r="U48">
            <v>1278.3084987120224</v>
          </cell>
          <cell r="V48">
            <v>2791</v>
          </cell>
          <cell r="W48">
            <v>2036.0681598874439</v>
          </cell>
          <cell r="AE48">
            <v>6484.3271835465839</v>
          </cell>
        </row>
        <row r="49">
          <cell r="C49">
            <v>40</v>
          </cell>
          <cell r="D49">
            <v>2370.2567982011906</v>
          </cell>
          <cell r="E49">
            <v>2371.7439955410587</v>
          </cell>
          <cell r="F49">
            <v>2353.5178787206746</v>
          </cell>
          <cell r="G49">
            <v>2385.5412591796789</v>
          </cell>
          <cell r="H49">
            <v>2380.4365379901997</v>
          </cell>
          <cell r="I49">
            <v>2390.5956993421314</v>
          </cell>
          <cell r="J49">
            <v>2391.2016320961588</v>
          </cell>
          <cell r="K49">
            <v>2367.00192360751</v>
          </cell>
          <cell r="L49">
            <v>2365.3316458674799</v>
          </cell>
          <cell r="M49">
            <v>2362.5984929671795</v>
          </cell>
          <cell r="N49">
            <v>2364.5523289764164</v>
          </cell>
          <cell r="O49">
            <v>2380.1308157675189</v>
          </cell>
          <cell r="P49">
            <v>14252.092168974934</v>
          </cell>
          <cell r="Q49">
            <v>28482.9090082572</v>
          </cell>
          <cell r="S49">
            <v>2688.740657307063</v>
          </cell>
          <cell r="T49">
            <v>2090.66865884344</v>
          </cell>
          <cell r="U49">
            <v>2868.5440133259744</v>
          </cell>
          <cell r="V49">
            <v>3489</v>
          </cell>
          <cell r="W49">
            <v>3307.0085270036257</v>
          </cell>
          <cell r="AE49">
            <v>14443.961856480102</v>
          </cell>
        </row>
        <row r="50">
          <cell r="C50">
            <v>41</v>
          </cell>
          <cell r="D50">
            <v>41552.321435806021</v>
          </cell>
          <cell r="E50">
            <v>41578.393084224692</v>
          </cell>
          <cell r="F50">
            <v>41258.876032223452</v>
          </cell>
          <cell r="G50">
            <v>41820.26912655124</v>
          </cell>
          <cell r="H50">
            <v>41730.779660318563</v>
          </cell>
          <cell r="I50">
            <v>41908.877129898254</v>
          </cell>
          <cell r="J50">
            <v>41919.499570716878</v>
          </cell>
          <cell r="K50">
            <v>41495.261122572236</v>
          </cell>
          <cell r="L50">
            <v>41465.979941902922</v>
          </cell>
          <cell r="M50">
            <v>41418.065788494459</v>
          </cell>
          <cell r="N50">
            <v>41452.317951361481</v>
          </cell>
          <cell r="O50">
            <v>41725.420127935176</v>
          </cell>
          <cell r="P50">
            <v>249849.51646902223</v>
          </cell>
          <cell r="Q50">
            <v>499326.06097200542</v>
          </cell>
          <cell r="S50">
            <v>25783.680003574547</v>
          </cell>
          <cell r="T50">
            <v>20468.421423904576</v>
          </cell>
          <cell r="U50">
            <v>19450.031396619062</v>
          </cell>
          <cell r="V50">
            <v>36346</v>
          </cell>
          <cell r="W50">
            <v>41070.403453729581</v>
          </cell>
          <cell r="AE50">
            <v>143118.53627782775</v>
          </cell>
        </row>
        <row r="51">
          <cell r="C51">
            <v>42</v>
          </cell>
          <cell r="D51">
            <v>7163.6267876676266</v>
          </cell>
          <cell r="E51">
            <v>7168.1215439786356</v>
          </cell>
          <cell r="F51">
            <v>7113.0367536771164</v>
          </cell>
          <cell r="G51">
            <v>7209.8210119321247</v>
          </cell>
          <cell r="H51">
            <v>7194.3930137994848</v>
          </cell>
          <cell r="I51">
            <v>7225.09704572386</v>
          </cell>
          <cell r="J51">
            <v>7226.9283562010914</v>
          </cell>
          <cell r="K51">
            <v>7153.7895806411616</v>
          </cell>
          <cell r="L51">
            <v>7148.7415004625054</v>
          </cell>
          <cell r="M51">
            <v>7140.4810928365305</v>
          </cell>
          <cell r="N51">
            <v>7146.386171132307</v>
          </cell>
          <cell r="O51">
            <v>7193.469029568897</v>
          </cell>
          <cell r="P51">
            <v>43074.096156778847</v>
          </cell>
          <cell r="Q51">
            <v>86083.891887621343</v>
          </cell>
          <cell r="S51">
            <v>234.27233579890193</v>
          </cell>
          <cell r="T51">
            <v>5697.6437541114656</v>
          </cell>
          <cell r="U51">
            <v>9933.2960791807564</v>
          </cell>
          <cell r="V51">
            <v>7004</v>
          </cell>
          <cell r="W51">
            <v>1135.8598160728018</v>
          </cell>
          <cell r="AE51">
            <v>24005.071985163926</v>
          </cell>
        </row>
        <row r="52">
          <cell r="C52">
            <v>43</v>
          </cell>
          <cell r="D52">
            <v>7825.7972869991499</v>
          </cell>
          <cell r="E52">
            <v>7830.7075165221295</v>
          </cell>
          <cell r="F52">
            <v>7770.5309585754385</v>
          </cell>
          <cell r="G52">
            <v>7876.2614786215381</v>
          </cell>
          <cell r="H52">
            <v>7859.4073920660967</v>
          </cell>
          <cell r="I52">
            <v>7892.9495539982836</v>
          </cell>
          <cell r="J52">
            <v>7894.9501418274886</v>
          </cell>
          <cell r="K52">
            <v>7815.0507768386969</v>
          </cell>
          <cell r="L52">
            <v>7809.5360769056006</v>
          </cell>
          <cell r="M52">
            <v>7800.5121177428819</v>
          </cell>
          <cell r="N52">
            <v>7806.9630324926802</v>
          </cell>
          <cell r="O52">
            <v>7858.3979992683844</v>
          </cell>
          <cell r="P52">
            <v>47055.654186782638</v>
          </cell>
          <cell r="Q52">
            <v>94041.064331858375</v>
          </cell>
          <cell r="S52">
            <v>6143.0323366180692</v>
          </cell>
          <cell r="T52">
            <v>3591.1180774715071</v>
          </cell>
          <cell r="U52">
            <v>5624.5573943328982</v>
          </cell>
          <cell r="V52">
            <v>6551</v>
          </cell>
          <cell r="W52">
            <v>5117.2851088696534</v>
          </cell>
          <cell r="AE52">
            <v>27026.992917292126</v>
          </cell>
        </row>
        <row r="53">
          <cell r="C53">
            <v>44</v>
          </cell>
          <cell r="D53">
            <v>4377.0416886115963</v>
          </cell>
          <cell r="E53">
            <v>4379.7880259539188</v>
          </cell>
          <cell r="F53">
            <v>4346.1307137146423</v>
          </cell>
          <cell r="G53">
            <v>4405.266783437427</v>
          </cell>
          <cell r="H53">
            <v>4395.8401350371169</v>
          </cell>
          <cell r="I53">
            <v>4414.6005802312766</v>
          </cell>
          <cell r="J53">
            <v>4415.7195277338778</v>
          </cell>
          <cell r="K53">
            <v>4371.0310648688201</v>
          </cell>
          <cell r="L53">
            <v>4367.9466415669995</v>
          </cell>
          <cell r="M53">
            <v>4362.8994567239715</v>
          </cell>
          <cell r="N53">
            <v>4366.5075137377225</v>
          </cell>
          <cell r="O53">
            <v>4395.2755721953072</v>
          </cell>
          <cell r="P53">
            <v>26318.667926985978</v>
          </cell>
          <cell r="Q53">
            <v>52598.04770381267</v>
          </cell>
          <cell r="S53">
            <v>15817.793651827953</v>
          </cell>
          <cell r="T53">
            <v>9783.8487957804209</v>
          </cell>
          <cell r="U53">
            <v>9354.8491446284443</v>
          </cell>
          <cell r="V53">
            <v>9127</v>
          </cell>
          <cell r="W53">
            <v>4938.8210231846042</v>
          </cell>
          <cell r="AE53">
            <v>49022.312615421419</v>
          </cell>
        </row>
        <row r="54">
          <cell r="C54">
            <v>45</v>
          </cell>
          <cell r="D54">
            <v>15083.049062107524</v>
          </cell>
          <cell r="E54">
            <v>15092.512792138501</v>
          </cell>
          <cell r="F54">
            <v>14976.531513476128</v>
          </cell>
          <cell r="G54">
            <v>15180.311213196537</v>
          </cell>
          <cell r="H54">
            <v>15147.82749235763</v>
          </cell>
          <cell r="I54">
            <v>15212.474972418584</v>
          </cell>
          <cell r="J54">
            <v>15216.330805028902</v>
          </cell>
          <cell r="K54">
            <v>15062.3367775885</v>
          </cell>
          <cell r="L54">
            <v>15051.708021616007</v>
          </cell>
          <cell r="M54">
            <v>15034.315695467738</v>
          </cell>
          <cell r="N54">
            <v>15046.748864907013</v>
          </cell>
          <cell r="O54">
            <v>15145.882039321667</v>
          </cell>
          <cell r="P54">
            <v>90692.7070456949</v>
          </cell>
          <cell r="Q54">
            <v>181250.02924962473</v>
          </cell>
          <cell r="S54">
            <v>7453.5851105223865</v>
          </cell>
          <cell r="T54">
            <v>9646.8964616680187</v>
          </cell>
          <cell r="U54">
            <v>14790.868374286441</v>
          </cell>
          <cell r="V54">
            <v>10462</v>
          </cell>
          <cell r="W54">
            <v>11913.710206256652</v>
          </cell>
          <cell r="AE54">
            <v>54267.060152733495</v>
          </cell>
        </row>
        <row r="55">
          <cell r="C55">
            <v>46</v>
          </cell>
          <cell r="D55">
            <v>56627.155329579051</v>
          </cell>
          <cell r="E55">
            <v>56662.685553491654</v>
          </cell>
          <cell r="F55">
            <v>56227.250393459115</v>
          </cell>
          <cell r="G55">
            <v>56992.312196385465</v>
          </cell>
          <cell r="H55">
            <v>56870.356701972298</v>
          </cell>
          <cell r="I55">
            <v>57113.066440567149</v>
          </cell>
          <cell r="J55">
            <v>57127.542613869387</v>
          </cell>
          <cell r="K55">
            <v>56549.394013026962</v>
          </cell>
          <cell r="L55">
            <v>56509.489865467935</v>
          </cell>
          <cell r="M55">
            <v>56444.19285885572</v>
          </cell>
          <cell r="N55">
            <v>56490.871419283234</v>
          </cell>
          <cell r="O55">
            <v>56863.052776167875</v>
          </cell>
          <cell r="P55">
            <v>340492.82661545475</v>
          </cell>
          <cell r="Q55">
            <v>680477.37016212591</v>
          </cell>
          <cell r="S55">
            <v>51834.959788208093</v>
          </cell>
          <cell r="T55">
            <v>54762.324014031365</v>
          </cell>
          <cell r="U55">
            <v>65657.67551492677</v>
          </cell>
          <cell r="V55">
            <v>54830</v>
          </cell>
          <cell r="W55">
            <v>37555.351158330675</v>
          </cell>
          <cell r="AE55">
            <v>264640.31047549692</v>
          </cell>
        </row>
        <row r="56">
          <cell r="C56">
            <v>47</v>
          </cell>
          <cell r="P56">
            <v>0</v>
          </cell>
          <cell r="Q56">
            <v>0</v>
          </cell>
          <cell r="V56">
            <v>731</v>
          </cell>
          <cell r="W56">
            <v>0</v>
          </cell>
          <cell r="AE56">
            <v>731</v>
          </cell>
        </row>
        <row r="57">
          <cell r="C57">
            <v>48</v>
          </cell>
          <cell r="D57">
            <v>27274.358870477656</v>
          </cell>
          <cell r="E57">
            <v>27291.471933496636</v>
          </cell>
          <cell r="F57">
            <v>27081.745438311955</v>
          </cell>
          <cell r="G57">
            <v>27450.235962860839</v>
          </cell>
          <cell r="H57">
            <v>27391.49633694299</v>
          </cell>
          <cell r="I57">
            <v>27508.397008948636</v>
          </cell>
          <cell r="J57">
            <v>27515.369429572958</v>
          </cell>
          <cell r="K57">
            <v>27236.905284092492</v>
          </cell>
          <cell r="L57">
            <v>27217.685529283848</v>
          </cell>
          <cell r="M57">
            <v>27186.235353460183</v>
          </cell>
          <cell r="N57">
            <v>27208.717991008321</v>
          </cell>
          <cell r="O57">
            <v>27387.978415331116</v>
          </cell>
          <cell r="P57">
            <v>163997.7055510387</v>
          </cell>
          <cell r="Q57">
            <v>327750.59755378758</v>
          </cell>
          <cell r="S57">
            <v>38867.642925096479</v>
          </cell>
          <cell r="T57">
            <v>26799.303829190845</v>
          </cell>
          <cell r="U57">
            <v>12585.662825156976</v>
          </cell>
          <cell r="V57">
            <v>0</v>
          </cell>
          <cell r="W57">
            <v>14859.84660419548</v>
          </cell>
          <cell r="AE57">
            <v>93112.456183639777</v>
          </cell>
        </row>
        <row r="58">
          <cell r="C58">
            <v>49</v>
          </cell>
          <cell r="D58">
            <v>19217.833651703604</v>
          </cell>
          <cell r="E58">
            <v>19229.891716933722</v>
          </cell>
          <cell r="F58">
            <v>19082.11596477198</v>
          </cell>
          <cell r="G58">
            <v>19341.75871702288</v>
          </cell>
          <cell r="H58">
            <v>19300.370086587485</v>
          </cell>
          <cell r="I58">
            <v>19382.739673313448</v>
          </cell>
          <cell r="J58">
            <v>19387.652522790289</v>
          </cell>
          <cell r="K58">
            <v>19191.44341476979</v>
          </cell>
          <cell r="L58">
            <v>19177.90094975739</v>
          </cell>
          <cell r="M58">
            <v>19155.740786427195</v>
          </cell>
          <cell r="N58">
            <v>19171.582316946893</v>
          </cell>
          <cell r="O58">
            <v>19297.891317694775</v>
          </cell>
          <cell r="P58">
            <v>115554.70981033312</v>
          </cell>
          <cell r="Q58">
            <v>230936.92111871942</v>
          </cell>
          <cell r="S58">
            <v>11521.493870210434</v>
          </cell>
          <cell r="T58">
            <v>22807.503587211893</v>
          </cell>
          <cell r="U58">
            <v>36748.16122783874</v>
          </cell>
          <cell r="V58">
            <v>14230</v>
          </cell>
          <cell r="W58">
            <v>18540.545122771669</v>
          </cell>
          <cell r="AE58">
            <v>103847.70380803273</v>
          </cell>
        </row>
        <row r="59">
          <cell r="C59">
            <v>50</v>
          </cell>
          <cell r="D59">
            <v>287530.89170684281</v>
          </cell>
          <cell r="E59">
            <v>287711.30050372961</v>
          </cell>
          <cell r="F59">
            <v>285500.32841593929</v>
          </cell>
          <cell r="G59">
            <v>289385.01768076187</v>
          </cell>
          <cell r="H59">
            <v>288765.7746364472</v>
          </cell>
          <cell r="I59">
            <v>289998.16123891639</v>
          </cell>
          <cell r="J59">
            <v>290071.66567320895</v>
          </cell>
          <cell r="K59">
            <v>287136.04968169797</v>
          </cell>
          <cell r="L59">
            <v>286933.43178461894</v>
          </cell>
          <cell r="M59">
            <v>286601.87872623687</v>
          </cell>
          <cell r="N59">
            <v>286838.89448352146</v>
          </cell>
          <cell r="O59">
            <v>288728.68811343046</v>
          </cell>
          <cell r="P59">
            <v>1728891.4741826372</v>
          </cell>
          <cell r="Q59">
            <v>3455202.082645352</v>
          </cell>
          <cell r="S59">
            <v>391107.37231699529</v>
          </cell>
          <cell r="T59">
            <v>179902.92974351777</v>
          </cell>
          <cell r="U59">
            <v>583382.488601394</v>
          </cell>
          <cell r="V59">
            <v>291000</v>
          </cell>
          <cell r="W59">
            <v>286922.92228922335</v>
          </cell>
          <cell r="AE59">
            <v>1732315.7129511305</v>
          </cell>
        </row>
        <row r="60">
          <cell r="C60">
            <v>51</v>
          </cell>
          <cell r="D60">
            <v>7541.5245310537621</v>
          </cell>
          <cell r="E60">
            <v>17977.846120047332</v>
          </cell>
          <cell r="F60">
            <v>7488.2657567380638</v>
          </cell>
          <cell r="G60">
            <v>7590.1556065982686</v>
          </cell>
          <cell r="H60">
            <v>7573.913746178815</v>
          </cell>
          <cell r="I60">
            <v>7606.237486209292</v>
          </cell>
          <cell r="J60">
            <v>7608.1654025144508</v>
          </cell>
          <cell r="K60">
            <v>7531.1683887942499</v>
          </cell>
          <cell r="L60">
            <v>7525.8540108080033</v>
          </cell>
          <cell r="M60">
            <v>7517.1578477338689</v>
          </cell>
          <cell r="N60">
            <v>7523.3744324535064</v>
          </cell>
          <cell r="O60">
            <v>7572.9410196608333</v>
          </cell>
          <cell r="P60">
            <v>55777.943246825525</v>
          </cell>
          <cell r="Q60">
            <v>101056.60434879044</v>
          </cell>
          <cell r="S60">
            <v>8685.7203661676576</v>
          </cell>
          <cell r="T60">
            <v>11218.559914343192</v>
          </cell>
          <cell r="U60">
            <v>4884.2242869707234</v>
          </cell>
          <cell r="V60">
            <v>11247</v>
          </cell>
          <cell r="W60">
            <v>3936.0697793078334</v>
          </cell>
          <cell r="AE60">
            <v>39971.574346789414</v>
          </cell>
        </row>
        <row r="61">
          <cell r="C61">
            <v>52</v>
          </cell>
          <cell r="D61">
            <v>17472.830577050328</v>
          </cell>
          <cell r="E61">
            <v>17483.793755037572</v>
          </cell>
          <cell r="F61">
            <v>17349.436224021618</v>
          </cell>
          <cell r="G61">
            <v>17585.503093100633</v>
          </cell>
          <cell r="H61">
            <v>17547.872601520758</v>
          </cell>
          <cell r="I61">
            <v>17622.762927852462</v>
          </cell>
          <cell r="J61">
            <v>17627.229684517915</v>
          </cell>
          <cell r="K61">
            <v>17448.836606283916</v>
          </cell>
          <cell r="L61">
            <v>17436.523813851338</v>
          </cell>
          <cell r="M61">
            <v>17416.375820771278</v>
          </cell>
          <cell r="N61">
            <v>17430.778920718352</v>
          </cell>
          <cell r="O61">
            <v>17545.618907910597</v>
          </cell>
          <cell r="P61">
            <v>105062.19917858337</v>
          </cell>
          <cell r="Q61">
            <v>209967.56293263676</v>
          </cell>
          <cell r="S61">
            <v>17616.495476894834</v>
          </cell>
          <cell r="T61">
            <v>18418.157193544517</v>
          </cell>
          <cell r="U61">
            <v>18138.16113037329</v>
          </cell>
          <cell r="V61">
            <v>16029</v>
          </cell>
          <cell r="W61">
            <v>17499.340291371602</v>
          </cell>
          <cell r="AE61">
            <v>87701.154092184239</v>
          </cell>
        </row>
        <row r="62">
          <cell r="C62">
            <v>53</v>
          </cell>
          <cell r="D62">
            <v>9003.8244945914194</v>
          </cell>
          <cell r="E62">
            <v>9009.4738672025051</v>
          </cell>
          <cell r="F62">
            <v>8940.2388555391262</v>
          </cell>
          <cell r="G62">
            <v>9061.8851250890002</v>
          </cell>
          <cell r="H62">
            <v>9042.4939714727461</v>
          </cell>
          <cell r="I62">
            <v>9081.0852776529246</v>
          </cell>
          <cell r="J62">
            <v>9083.3870165096287</v>
          </cell>
          <cell r="K62">
            <v>8991.4602986040281</v>
          </cell>
          <cell r="L62">
            <v>8985.1154638840653</v>
          </cell>
          <cell r="M62">
            <v>8974.7331166844451</v>
          </cell>
          <cell r="N62">
            <v>8982.1550958268454</v>
          </cell>
          <cell r="O62">
            <v>9041.3326334948506</v>
          </cell>
          <cell r="P62">
            <v>54139.001591547727</v>
          </cell>
          <cell r="Q62">
            <v>108197.18521655159</v>
          </cell>
          <cell r="S62">
            <v>7310.4731396996258</v>
          </cell>
          <cell r="T62">
            <v>10389.177915942011</v>
          </cell>
          <cell r="U62">
            <v>8826.7448613767592</v>
          </cell>
          <cell r="V62">
            <v>8883</v>
          </cell>
          <cell r="W62">
            <v>8539.6543984431719</v>
          </cell>
          <cell r="AE62">
            <v>43949.050315461565</v>
          </cell>
        </row>
        <row r="63">
          <cell r="C63">
            <v>54</v>
          </cell>
          <cell r="D63">
            <v>3943.2808005509869</v>
          </cell>
          <cell r="E63">
            <v>3945.7549783368631</v>
          </cell>
          <cell r="F63">
            <v>3915.4330754185953</v>
          </cell>
          <cell r="G63">
            <v>3968.7088139075909</v>
          </cell>
          <cell r="H63">
            <v>3960.2163378712758</v>
          </cell>
          <cell r="I63">
            <v>3977.1176398479961</v>
          </cell>
          <cell r="J63">
            <v>3978.1257006611504</v>
          </cell>
          <cell r="K63">
            <v>3937.8658242061433</v>
          </cell>
          <cell r="L63">
            <v>3935.0870644747733</v>
          </cell>
          <cell r="M63">
            <v>3930.5400511026764</v>
          </cell>
          <cell r="N63">
            <v>3933.7905529168661</v>
          </cell>
          <cell r="O63">
            <v>3959.7077226984748</v>
          </cell>
          <cell r="P63">
            <v>23710.511645933308</v>
          </cell>
          <cell r="Q63">
            <v>47385.628561993384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AE63">
            <v>0</v>
          </cell>
        </row>
        <row r="64">
          <cell r="C64">
            <v>55</v>
          </cell>
          <cell r="D64">
            <v>17334.005185755377</v>
          </cell>
          <cell r="E64">
            <v>17344.881258939124</v>
          </cell>
          <cell r="F64">
            <v>17211.591227360906</v>
          </cell>
          <cell r="G64">
            <v>17445.782494468785</v>
          </cell>
          <cell r="H64">
            <v>17408.450985225816</v>
          </cell>
          <cell r="I64">
            <v>17482.746291831812</v>
          </cell>
          <cell r="J64">
            <v>17487.177559156306</v>
          </cell>
          <cell r="K64">
            <v>17310.201852239505</v>
          </cell>
          <cell r="L64">
            <v>17297.986887587023</v>
          </cell>
          <cell r="M64">
            <v>17277.998974638849</v>
          </cell>
          <cell r="N64">
            <v>17292.287638863723</v>
          </cell>
          <cell r="O64">
            <v>17406.215197695376</v>
          </cell>
          <cell r="P64">
            <v>104227.45744358184</v>
          </cell>
          <cell r="Q64">
            <v>208299.32555376261</v>
          </cell>
          <cell r="S64">
            <v>18169.338980621113</v>
          </cell>
          <cell r="T64">
            <v>10044.255828893865</v>
          </cell>
          <cell r="U64">
            <v>7210.8444657075861</v>
          </cell>
          <cell r="V64">
            <v>24116</v>
          </cell>
          <cell r="W64">
            <v>14883.510350363666</v>
          </cell>
          <cell r="AE64">
            <v>74423.949625586232</v>
          </cell>
        </row>
        <row r="65">
          <cell r="C65">
            <v>56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12928.90852714874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12928.90852714874</v>
          </cell>
          <cell r="S65">
            <v>8229.9185412869483</v>
          </cell>
          <cell r="T65">
            <v>3679.6539127321694</v>
          </cell>
          <cell r="U65">
            <v>464.92919142344596</v>
          </cell>
          <cell r="V65">
            <v>9169</v>
          </cell>
          <cell r="W65">
            <v>838.09101012316103</v>
          </cell>
          <cell r="AE65">
            <v>22381.592655565724</v>
          </cell>
        </row>
        <row r="66">
          <cell r="C66">
            <v>57</v>
          </cell>
          <cell r="D66">
            <v>12814.841084957259</v>
          </cell>
          <cell r="E66">
            <v>14488.710348449367</v>
          </cell>
          <cell r="F66">
            <v>10307.408568217972</v>
          </cell>
          <cell r="G66">
            <v>16322.899173463187</v>
          </cell>
          <cell r="H66">
            <v>18125.966281501624</v>
          </cell>
          <cell r="I66">
            <v>12924.803763331021</v>
          </cell>
          <cell r="J66">
            <v>14610.558398855983</v>
          </cell>
          <cell r="K66">
            <v>16171.886259991097</v>
          </cell>
          <cell r="L66">
            <v>14452.489359633899</v>
          </cell>
          <cell r="M66">
            <v>23615.536244035953</v>
          </cell>
          <cell r="N66">
            <v>25970.601669621457</v>
          </cell>
          <cell r="O66">
            <v>17595.952842619572</v>
          </cell>
          <cell r="P66">
            <v>84984.629219920418</v>
          </cell>
          <cell r="Q66">
            <v>197401.65399467835</v>
          </cell>
          <cell r="S66">
            <v>700.85656944022958</v>
          </cell>
          <cell r="T66">
            <v>12896.562710790806</v>
          </cell>
          <cell r="U66">
            <v>2863.6084592768934</v>
          </cell>
          <cell r="V66">
            <v>1999.9999999999998</v>
          </cell>
          <cell r="W66">
            <v>5915.9365420458425</v>
          </cell>
          <cell r="AE66">
            <v>24376.96428155377</v>
          </cell>
        </row>
        <row r="67">
          <cell r="C67">
            <v>57.5</v>
          </cell>
          <cell r="P67">
            <v>0</v>
          </cell>
          <cell r="Q67">
            <v>0</v>
          </cell>
          <cell r="AE67">
            <v>0</v>
          </cell>
        </row>
        <row r="68">
          <cell r="C68">
            <v>58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S68">
            <v>-27252.048032975195</v>
          </cell>
          <cell r="T68">
            <v>41509.848425184035</v>
          </cell>
          <cell r="U68">
            <v>11270.831226481754</v>
          </cell>
          <cell r="V68">
            <v>-17066</v>
          </cell>
          <cell r="W68">
            <v>-24335.204965705572</v>
          </cell>
          <cell r="AE68">
            <v>-15872.573347014979</v>
          </cell>
        </row>
        <row r="69">
          <cell r="C69">
            <v>59</v>
          </cell>
          <cell r="D69">
            <v>878131.98435375898</v>
          </cell>
          <cell r="E69">
            <v>895141.67147560231</v>
          </cell>
          <cell r="F69">
            <v>847412.22544156958</v>
          </cell>
          <cell r="G69">
            <v>903010.04264956526</v>
          </cell>
          <cell r="H69">
            <v>902915.72456993489</v>
          </cell>
          <cell r="I69">
            <v>901490.64336018579</v>
          </cell>
          <cell r="J69">
            <v>921607.01349389437</v>
          </cell>
          <cell r="K69">
            <v>905021.45323136239</v>
          </cell>
          <cell r="L69">
            <v>902674.83857036871</v>
          </cell>
          <cell r="M69">
            <v>910811.53995514568</v>
          </cell>
          <cell r="N69">
            <v>913900.3041045987</v>
          </cell>
          <cell r="O69">
            <v>911375.64259709883</v>
          </cell>
          <cell r="P69">
            <v>5328102.2918506162</v>
          </cell>
          <cell r="Q69">
            <v>10793493.083803084</v>
          </cell>
          <cell r="S69">
            <v>862753.45676194434</v>
          </cell>
          <cell r="T69">
            <v>711233.06935176661</v>
          </cell>
          <cell r="U69">
            <v>1127800.7522069118</v>
          </cell>
          <cell r="V69">
            <v>825371</v>
          </cell>
          <cell r="W69">
            <v>762590.84198414814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4289749.1203047708</v>
          </cell>
        </row>
        <row r="71">
          <cell r="C71">
            <v>60</v>
          </cell>
          <cell r="D71">
            <v>279100.01564624102</v>
          </cell>
          <cell r="E71">
            <v>299816.32852439769</v>
          </cell>
          <cell r="F71">
            <v>239990.77455843042</v>
          </cell>
          <cell r="G71">
            <v>348619.95735043474</v>
          </cell>
          <cell r="H71">
            <v>403218.27543006511</v>
          </cell>
          <cell r="I71">
            <v>255741.35663981421</v>
          </cell>
          <cell r="J71">
            <v>274330.98650610563</v>
          </cell>
          <cell r="K71">
            <v>344132.54676863761</v>
          </cell>
          <cell r="L71">
            <v>65203.161429631291</v>
          </cell>
          <cell r="M71">
            <v>361448.46004485432</v>
          </cell>
          <cell r="N71">
            <v>1012984.6958954013</v>
          </cell>
          <cell r="O71">
            <v>365539.35740290117</v>
          </cell>
          <cell r="P71">
            <v>-4086868.2918506162</v>
          </cell>
          <cell r="Q71">
            <v>4250125.9161969163</v>
          </cell>
          <cell r="S71">
            <v>-1190581.4567619443</v>
          </cell>
          <cell r="T71">
            <v>-234412.79935176659</v>
          </cell>
          <cell r="U71">
            <v>-301309.0722069121</v>
          </cell>
          <cell r="V71">
            <v>-71549</v>
          </cell>
          <cell r="W71">
            <v>150195.15801585186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-1661203.4403047711</v>
          </cell>
        </row>
        <row r="72">
          <cell r="C72">
            <v>61</v>
          </cell>
          <cell r="D72">
            <v>410.75841672406108</v>
          </cell>
          <cell r="E72">
            <v>411.01614357675658</v>
          </cell>
          <cell r="F72">
            <v>407.85761202277041</v>
          </cell>
          <cell r="G72">
            <v>413.40716811537408</v>
          </cell>
          <cell r="H72">
            <v>412.52253519492456</v>
          </cell>
          <cell r="I72">
            <v>414.28308748416629</v>
          </cell>
          <cell r="J72">
            <v>414.38809381886989</v>
          </cell>
          <cell r="K72">
            <v>410.19435668813992</v>
          </cell>
          <cell r="L72">
            <v>409.90490254945558</v>
          </cell>
          <cell r="M72">
            <v>409.4312553231955</v>
          </cell>
          <cell r="N72">
            <v>409.76984926217358</v>
          </cell>
          <cell r="O72">
            <v>412.46955444775779</v>
          </cell>
          <cell r="P72">
            <v>2469.8449631180529</v>
          </cell>
          <cell r="Q72">
            <v>4936.0029752076462</v>
          </cell>
          <cell r="S72">
            <v>2742.6527011101575</v>
          </cell>
          <cell r="T72">
            <v>-2070.3583062286798</v>
          </cell>
          <cell r="U72">
            <v>-2250.6126463810119</v>
          </cell>
          <cell r="V72">
            <v>-22380</v>
          </cell>
          <cell r="W72">
            <v>-70315.835749333201</v>
          </cell>
          <cell r="AE72">
            <v>-94274.154000832728</v>
          </cell>
        </row>
        <row r="73">
          <cell r="C73">
            <v>62</v>
          </cell>
          <cell r="D73">
            <v>279510.77406296507</v>
          </cell>
          <cell r="E73">
            <v>300227.34466797445</v>
          </cell>
          <cell r="F73">
            <v>240398.6321704532</v>
          </cell>
          <cell r="G73">
            <v>349033.36451855011</v>
          </cell>
          <cell r="H73">
            <v>403630.79796526005</v>
          </cell>
          <cell r="I73">
            <v>256155.63972729837</v>
          </cell>
          <cell r="J73">
            <v>274745.37459992449</v>
          </cell>
          <cell r="K73">
            <v>344542.74112532573</v>
          </cell>
          <cell r="L73">
            <v>65613.066332180751</v>
          </cell>
          <cell r="M73">
            <v>361857.89130017749</v>
          </cell>
          <cell r="N73">
            <v>1013394.4657446635</v>
          </cell>
          <cell r="O73">
            <v>365951.82695734891</v>
          </cell>
          <cell r="P73">
            <v>-4084398.4468874983</v>
          </cell>
          <cell r="Q73">
            <v>4255061.919172124</v>
          </cell>
          <cell r="S73">
            <v>-1187838.8040608342</v>
          </cell>
          <cell r="T73">
            <v>-236483.15765799527</v>
          </cell>
          <cell r="U73">
            <v>-303559.68485329312</v>
          </cell>
          <cell r="V73">
            <v>-93929</v>
          </cell>
          <cell r="W73">
            <v>79879.322266518662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-1755477.5943056038</v>
          </cell>
        </row>
        <row r="76">
          <cell r="D76">
            <v>14049.076212471131</v>
          </cell>
          <cell r="E76">
            <v>14034.630650496141</v>
          </cell>
          <cell r="F76">
            <v>14056.325898389096</v>
          </cell>
          <cell r="G76">
            <v>14047.79535864979</v>
          </cell>
          <cell r="H76">
            <v>14048.51814516129</v>
          </cell>
          <cell r="I76">
            <v>14049.076212471131</v>
          </cell>
          <cell r="J76">
            <v>14035.733186328556</v>
          </cell>
          <cell r="K76">
            <v>14039.166666666666</v>
          </cell>
          <cell r="L76">
            <v>13762.605405405406</v>
          </cell>
          <cell r="M76">
            <v>13850</v>
          </cell>
          <cell r="N76">
            <v>14415.9575389948</v>
          </cell>
          <cell r="O76">
            <v>14024.918450560652</v>
          </cell>
          <cell r="P76">
            <v>14049.076212471131</v>
          </cell>
          <cell r="Q76">
            <v>14038.280034949759</v>
          </cell>
          <cell r="S76">
            <v>13404.620758921566</v>
          </cell>
          <cell r="T76">
            <v>14693.410906276775</v>
          </cell>
          <cell r="U76">
            <v>12397.706355269382</v>
          </cell>
          <cell r="V76">
            <v>15070.896825396825</v>
          </cell>
          <cell r="W76">
            <v>13985.142982842059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13842.132675438595</v>
          </cell>
        </row>
        <row r="77">
          <cell r="D77">
            <v>13861.953810623556</v>
          </cell>
          <cell r="E77">
            <v>13849.66703417861</v>
          </cell>
          <cell r="F77">
            <v>13862.568773234201</v>
          </cell>
          <cell r="G77">
            <v>13858.428270042194</v>
          </cell>
          <cell r="H77">
            <v>13860.659274193549</v>
          </cell>
          <cell r="I77">
            <v>13861.953810623556</v>
          </cell>
          <cell r="J77">
            <v>13850.747519294377</v>
          </cell>
          <cell r="K77">
            <v>13855.816455696202</v>
          </cell>
          <cell r="L77">
            <v>13581.21945945946</v>
          </cell>
          <cell r="M77">
            <v>13672.84965034965</v>
          </cell>
          <cell r="N77">
            <v>14231.425476603119</v>
          </cell>
          <cell r="O77">
            <v>13844.225280326198</v>
          </cell>
          <cell r="P77">
            <v>13861.953810623556</v>
          </cell>
          <cell r="Q77">
            <v>13853.365574486676</v>
          </cell>
          <cell r="S77">
            <v>13180.208468033019</v>
          </cell>
          <cell r="T77">
            <v>14385.514496558968</v>
          </cell>
          <cell r="U77">
            <v>12285.752482811307</v>
          </cell>
          <cell r="V77">
            <v>14711.880952380952</v>
          </cell>
          <cell r="W77">
            <v>13837.760668719753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13617.171966374268</v>
          </cell>
        </row>
        <row r="78">
          <cell r="D78">
            <v>5291</v>
          </cell>
          <cell r="E78">
            <v>5291</v>
          </cell>
          <cell r="F78">
            <v>5291</v>
          </cell>
          <cell r="G78">
            <v>5291</v>
          </cell>
          <cell r="H78">
            <v>5291</v>
          </cell>
          <cell r="I78">
            <v>5291</v>
          </cell>
          <cell r="J78">
            <v>5291</v>
          </cell>
          <cell r="K78">
            <v>5291</v>
          </cell>
          <cell r="L78">
            <v>5291</v>
          </cell>
          <cell r="M78">
            <v>5291</v>
          </cell>
          <cell r="N78">
            <v>5291</v>
          </cell>
          <cell r="O78">
            <v>5291</v>
          </cell>
          <cell r="P78">
            <v>5194</v>
          </cell>
          <cell r="Q78">
            <v>5291</v>
          </cell>
          <cell r="S78">
            <v>6077.4235585825945</v>
          </cell>
          <cell r="T78">
            <v>5744.6090489483431</v>
          </cell>
          <cell r="U78">
            <v>4291.1013496307623</v>
          </cell>
          <cell r="V78">
            <v>6345.0892857142853</v>
          </cell>
          <cell r="W78">
            <v>5504.9318081830179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5544.6393914473674</v>
          </cell>
        </row>
        <row r="79">
          <cell r="D79">
            <v>468.65819861431874</v>
          </cell>
          <cell r="E79">
            <v>475.1830209481808</v>
          </cell>
          <cell r="F79">
            <v>458.10532837670382</v>
          </cell>
          <cell r="G79">
            <v>481.1434599156118</v>
          </cell>
          <cell r="H79">
            <v>486.99193548387098</v>
          </cell>
          <cell r="I79">
            <v>468.65819861431874</v>
          </cell>
          <cell r="J79">
            <v>475.1830209481808</v>
          </cell>
          <cell r="K79">
            <v>481.1434599156118</v>
          </cell>
          <cell r="L79">
            <v>477.86486486486484</v>
          </cell>
          <cell r="M79">
            <v>503.73426573426576</v>
          </cell>
          <cell r="N79">
            <v>504.68110918544193</v>
          </cell>
          <cell r="O79">
            <v>485.57900101936798</v>
          </cell>
          <cell r="P79">
            <v>468.65819861431874</v>
          </cell>
          <cell r="Q79">
            <v>481.93840104849278</v>
          </cell>
          <cell r="S79">
            <v>1044.92821945325</v>
          </cell>
          <cell r="T79">
            <v>706.29813990768639</v>
          </cell>
          <cell r="U79">
            <v>-291.3754228964313</v>
          </cell>
          <cell r="V79">
            <v>360.83333333333331</v>
          </cell>
          <cell r="W79">
            <v>-507.26132864056308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209.02486293859653</v>
          </cell>
        </row>
        <row r="80">
          <cell r="D80">
            <v>6766</v>
          </cell>
          <cell r="E80">
            <v>6766</v>
          </cell>
          <cell r="F80">
            <v>6766</v>
          </cell>
          <cell r="G80">
            <v>6766</v>
          </cell>
          <cell r="H80">
            <v>6766</v>
          </cell>
          <cell r="I80">
            <v>6766</v>
          </cell>
          <cell r="J80">
            <v>6766</v>
          </cell>
          <cell r="K80">
            <v>6766</v>
          </cell>
          <cell r="L80">
            <v>6766</v>
          </cell>
          <cell r="M80">
            <v>6766</v>
          </cell>
          <cell r="N80">
            <v>6766</v>
          </cell>
          <cell r="O80">
            <v>6766</v>
          </cell>
          <cell r="P80">
            <v>6766</v>
          </cell>
          <cell r="Q80">
            <v>6766</v>
          </cell>
          <cell r="S80">
            <v>6506.3871190483669</v>
          </cell>
          <cell r="T80">
            <v>6616.7325391780214</v>
          </cell>
          <cell r="U80">
            <v>6782.7130852340943</v>
          </cell>
          <cell r="V80">
            <v>6510.2797619047615</v>
          </cell>
          <cell r="W80">
            <v>6832.2019357677073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6662.6005116959059</v>
          </cell>
        </row>
        <row r="81">
          <cell r="D81">
            <v>1336.2956120092367</v>
          </cell>
          <cell r="E81">
            <v>1317.4840132304298</v>
          </cell>
          <cell r="F81">
            <v>1347.4634448574971</v>
          </cell>
          <cell r="G81">
            <v>1320.2848101265818</v>
          </cell>
          <cell r="H81">
            <v>1316.667338709678</v>
          </cell>
          <cell r="I81">
            <v>1336.2956120092367</v>
          </cell>
          <cell r="J81">
            <v>1318.5644983461962</v>
          </cell>
          <cell r="K81">
            <v>1317.6729957805901</v>
          </cell>
          <cell r="L81">
            <v>1046.3545945945953</v>
          </cell>
          <cell r="M81">
            <v>1112.1153846153838</v>
          </cell>
          <cell r="N81">
            <v>1669.7443674176775</v>
          </cell>
          <cell r="O81">
            <v>1301.6462793068304</v>
          </cell>
          <cell r="P81">
            <v>1433.2956120092367</v>
          </cell>
          <cell r="Q81">
            <v>1314.4271734381828</v>
          </cell>
          <cell r="S81">
            <v>-448.53042905119219</v>
          </cell>
          <cell r="T81">
            <v>1317.8747685249173</v>
          </cell>
          <cell r="U81">
            <v>1503.3134708428825</v>
          </cell>
          <cell r="V81">
            <v>1495.6785714285734</v>
          </cell>
          <cell r="W81">
            <v>2007.8882534095901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1200.9072002923976</v>
          </cell>
        </row>
        <row r="84">
          <cell r="D84">
            <v>1.3319196153371965E-2</v>
          </cell>
          <cell r="E84">
            <v>1.3179086854771744E-2</v>
          </cell>
          <cell r="F84">
            <v>1.3784336430126448E-2</v>
          </cell>
          <cell r="G84">
            <v>1.3480199830145877E-2</v>
          </cell>
          <cell r="H84">
            <v>1.3372148508947607E-2</v>
          </cell>
          <cell r="I84">
            <v>1.3319196153371965E-2</v>
          </cell>
          <cell r="J84">
            <v>1.3179622651587812E-2</v>
          </cell>
          <cell r="K84">
            <v>1.3059906996174807E-2</v>
          </cell>
          <cell r="L84">
            <v>1.3179622651587812E-2</v>
          </cell>
          <cell r="M84">
            <v>1.2790638963924163E-2</v>
          </cell>
          <cell r="N84">
            <v>1.2800541475828195E-2</v>
          </cell>
          <cell r="O84">
            <v>1.288372341496441E-2</v>
          </cell>
          <cell r="P84">
            <v>1.3319196153371965E-2</v>
          </cell>
          <cell r="Q84">
            <v>1.3172159267568428E-2</v>
          </cell>
          <cell r="S84">
            <v>1.6741412899666522E-2</v>
          </cell>
          <cell r="T84">
            <v>2.095472669223996E-2</v>
          </cell>
          <cell r="U84">
            <v>9.0302084312950791E-3</v>
          </cell>
          <cell r="V84">
            <v>2.3821798873367307E-2</v>
          </cell>
          <cell r="W84">
            <v>1.0538491762517133E-2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1.6251882158556139E-2</v>
          </cell>
        </row>
        <row r="85">
          <cell r="D85">
            <v>0.37660839189577938</v>
          </cell>
          <cell r="E85">
            <v>0.37699602730998533</v>
          </cell>
          <cell r="F85">
            <v>0.37641415247823523</v>
          </cell>
          <cell r="G85">
            <v>0.37664273040125973</v>
          </cell>
          <cell r="H85">
            <v>0.37662335239410077</v>
          </cell>
          <cell r="I85">
            <v>0.37660839189577938</v>
          </cell>
          <cell r="J85">
            <v>0.37696641349335958</v>
          </cell>
          <cell r="K85">
            <v>0.37687422092954237</v>
          </cell>
          <cell r="L85">
            <v>0.38444755510623774</v>
          </cell>
          <cell r="M85">
            <v>0.38202166064981952</v>
          </cell>
          <cell r="N85">
            <v>0.36702383353224916</v>
          </cell>
          <cell r="O85">
            <v>0.3772570955511324</v>
          </cell>
          <cell r="P85">
            <v>0.36970402334278551</v>
          </cell>
          <cell r="Q85">
            <v>0.37689802360599051</v>
          </cell>
          <cell r="S85">
            <v>0.4533827303198944</v>
          </cell>
          <cell r="T85">
            <v>0.39096497645038591</v>
          </cell>
          <cell r="U85">
            <v>0.34612058284530356</v>
          </cell>
          <cell r="V85">
            <v>0.42101603900716877</v>
          </cell>
          <cell r="W85">
            <v>0.39362713809482314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0.40056250878780736</v>
          </cell>
        </row>
        <row r="86">
          <cell r="D86">
            <v>3.3358648748612996E-2</v>
          </cell>
          <cell r="E86">
            <v>3.3857892863848361E-2</v>
          </cell>
          <cell r="F86">
            <v>3.2590687757830396E-2</v>
          </cell>
          <cell r="G86">
            <v>3.4250460490894932E-2</v>
          </cell>
          <cell r="H86">
            <v>3.466500384253017E-2</v>
          </cell>
          <cell r="I86">
            <v>3.3358648748612996E-2</v>
          </cell>
          <cell r="J86">
            <v>3.3855233256430861E-2</v>
          </cell>
          <cell r="K86">
            <v>3.4271511360998048E-2</v>
          </cell>
          <cell r="L86">
            <v>3.4721976747017574E-2</v>
          </cell>
          <cell r="M86">
            <v>3.6370705107167202E-2</v>
          </cell>
          <cell r="N86">
            <v>3.5008504139963807E-2</v>
          </cell>
          <cell r="O86">
            <v>3.4622589980190348E-2</v>
          </cell>
          <cell r="P86">
            <v>3.3358648748612996E-2</v>
          </cell>
          <cell r="Q86">
            <v>3.4330302561899104E-2</v>
          </cell>
          <cell r="S86">
            <v>7.7952837178014794E-2</v>
          </cell>
          <cell r="T86">
            <v>4.80690388646225E-2</v>
          </cell>
          <cell r="U86">
            <v>-2.3502365239727461E-2</v>
          </cell>
          <cell r="V86">
            <v>2.3942392912230184E-2</v>
          </cell>
          <cell r="W86">
            <v>-3.6271443864600197E-2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1.5100625592867572E-2</v>
          </cell>
        </row>
        <row r="87">
          <cell r="D87">
            <v>0.48159750133563473</v>
          </cell>
          <cell r="E87">
            <v>0.48209319992049904</v>
          </cell>
          <cell r="F87">
            <v>0.48134911277031556</v>
          </cell>
          <cell r="G87">
            <v>0.48164141256755305</v>
          </cell>
          <cell r="H87">
            <v>0.4816166324510463</v>
          </cell>
          <cell r="I87">
            <v>0.48159750133563473</v>
          </cell>
          <cell r="J87">
            <v>0.48205533050388794</v>
          </cell>
          <cell r="K87">
            <v>0.48193743693239155</v>
          </cell>
          <cell r="L87">
            <v>0.49162202945545352</v>
          </cell>
          <cell r="M87">
            <v>0.48851985559566785</v>
          </cell>
          <cell r="N87">
            <v>0.46934100504237342</v>
          </cell>
          <cell r="O87">
            <v>0.48242704753335136</v>
          </cell>
          <cell r="P87">
            <v>0.48159750133563473</v>
          </cell>
          <cell r="Q87">
            <v>0.48196787520660211</v>
          </cell>
          <cell r="S87">
            <v>0.48538390127284897</v>
          </cell>
          <cell r="T87">
            <v>0.45031971006483362</v>
          </cell>
          <cell r="U87">
            <v>0.54709418749470917</v>
          </cell>
          <cell r="V87">
            <v>0.4319769312556051</v>
          </cell>
          <cell r="W87">
            <v>0.48853286263500673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0.48132760087742749</v>
          </cell>
        </row>
        <row r="88">
          <cell r="D88">
            <v>9.5116261866600937E-2</v>
          </cell>
          <cell r="E88">
            <v>9.3873793050895493E-2</v>
          </cell>
          <cell r="F88">
            <v>9.5861710563492464E-2</v>
          </cell>
          <cell r="G88">
            <v>9.3985196710146324E-2</v>
          </cell>
          <cell r="H88">
            <v>9.3722862803375107E-2</v>
          </cell>
          <cell r="I88">
            <v>9.5116261866600937E-2</v>
          </cell>
          <cell r="J88">
            <v>9.3943400094733898E-2</v>
          </cell>
          <cell r="K88">
            <v>9.3856923780893275E-2</v>
          </cell>
          <cell r="L88">
            <v>7.6028816039703351E-2</v>
          </cell>
          <cell r="M88">
            <v>8.029713968342117E-2</v>
          </cell>
          <cell r="N88">
            <v>0.11582611580958535</v>
          </cell>
          <cell r="O88">
            <v>9.2809543520361582E-2</v>
          </cell>
          <cell r="P88">
            <v>0.10202063041959486</v>
          </cell>
          <cell r="Q88">
            <v>9.3631639357939944E-2</v>
          </cell>
          <cell r="S88">
            <v>-3.3460881670424769E-2</v>
          </cell>
          <cell r="T88">
            <v>8.9691547927918003E-2</v>
          </cell>
          <cell r="U88">
            <v>0.12125738646841966</v>
          </cell>
          <cell r="V88">
            <v>9.9242837951628582E-2</v>
          </cell>
          <cell r="W88">
            <v>0.14357295137225334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8.6757382583341369E-2</v>
          </cell>
        </row>
        <row r="89">
          <cell r="D89">
            <v>7.2142458877823112E-2</v>
          </cell>
          <cell r="E89">
            <v>7.0288462335019897E-2</v>
          </cell>
          <cell r="F89">
            <v>7.4668993514722531E-2</v>
          </cell>
          <cell r="G89">
            <v>6.7776197706702776E-2</v>
          </cell>
          <cell r="H89">
            <v>6.4759958613671079E-2</v>
          </cell>
          <cell r="I89">
            <v>7.4062085256458438E-2</v>
          </cell>
          <cell r="J89">
            <v>7.2361583436831606E-2</v>
          </cell>
          <cell r="K89">
            <v>6.7969225552284351E-2</v>
          </cell>
          <cell r="L89">
            <v>7.0874774156356263E-2</v>
          </cell>
          <cell r="M89">
            <v>5.7458919788683852E-2</v>
          </cell>
          <cell r="N89">
            <v>5.491041780470482E-2</v>
          </cell>
          <cell r="O89">
            <v>6.6211201414305976E-2</v>
          </cell>
          <cell r="P89">
            <v>0.43772921110323409</v>
          </cell>
          <cell r="Q89">
            <v>6.7148090215833289E-2</v>
          </cell>
          <cell r="S89">
            <v>0.19609004807922187</v>
          </cell>
          <cell r="T89">
            <v>0.13417485076491248</v>
          </cell>
          <cell r="U89">
            <v>0.16579365333378904</v>
          </cell>
          <cell r="V89">
            <v>0.11160886139742687</v>
          </cell>
          <cell r="W89">
            <v>0.13100865913790755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0.14469841150457174</v>
          </cell>
        </row>
        <row r="90">
          <cell r="D90">
            <v>2.2973802988777825E-2</v>
          </cell>
          <cell r="E90">
            <v>2.3585330715875596E-2</v>
          </cell>
          <cell r="F90">
            <v>2.1192717048769932E-2</v>
          </cell>
          <cell r="G90">
            <v>2.6208999003443548E-2</v>
          </cell>
          <cell r="H90">
            <v>2.8962904189704028E-2</v>
          </cell>
          <cell r="I90">
            <v>2.10541766101425E-2</v>
          </cell>
          <cell r="J90">
            <v>2.1581816657902292E-2</v>
          </cell>
          <cell r="K90">
            <v>2.5887698228608924E-2</v>
          </cell>
          <cell r="L90">
            <v>5.154041883347088E-3</v>
          </cell>
          <cell r="M90">
            <v>2.2838219894737319E-2</v>
          </cell>
          <cell r="N90">
            <v>6.0915698004880531E-2</v>
          </cell>
          <cell r="O90">
            <v>2.6598342106055606E-2</v>
          </cell>
          <cell r="P90">
            <v>-0.33570858068363923</v>
          </cell>
          <cell r="Q90">
            <v>2.6483549142106655E-2</v>
          </cell>
          <cell r="S90">
            <v>-0.22955092974964664</v>
          </cell>
          <cell r="T90">
            <v>-4.4483302836994476E-2</v>
          </cell>
          <cell r="U90">
            <v>-4.4536266865369378E-2</v>
          </cell>
          <cell r="V90">
            <v>-1.2366023445798291E-2</v>
          </cell>
          <cell r="W90">
            <v>1.2564292234345797E-2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-5.7941028921230375E-2</v>
          </cell>
        </row>
        <row r="92">
          <cell r="C92">
            <v>63</v>
          </cell>
          <cell r="D92">
            <v>4987864</v>
          </cell>
          <cell r="E92">
            <v>5229928</v>
          </cell>
          <cell r="F92">
            <v>4639528</v>
          </cell>
          <cell r="G92">
            <v>5471992</v>
          </cell>
          <cell r="H92">
            <v>5731768</v>
          </cell>
          <cell r="I92">
            <v>4987864</v>
          </cell>
          <cell r="J92">
            <v>5229928</v>
          </cell>
          <cell r="K92">
            <v>5471992</v>
          </cell>
          <cell r="L92">
            <v>5336200</v>
          </cell>
          <cell r="M92">
            <v>6629176</v>
          </cell>
          <cell r="N92">
            <v>6688216</v>
          </cell>
          <cell r="O92">
            <v>5666824</v>
          </cell>
          <cell r="P92">
            <v>4903862</v>
          </cell>
          <cell r="Q92">
            <v>66071280</v>
          </cell>
          <cell r="S92">
            <v>2269252.5</v>
          </cell>
          <cell r="T92">
            <v>2334002.73</v>
          </cell>
          <cell r="U92">
            <v>2198969.3200000003</v>
          </cell>
          <cell r="V92">
            <v>3379785</v>
          </cell>
          <cell r="W92">
            <v>2271941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12593620.32</v>
          </cell>
        </row>
        <row r="93">
          <cell r="C93">
            <v>64</v>
          </cell>
          <cell r="D93">
            <v>877721.22593703493</v>
          </cell>
          <cell r="E93">
            <v>894730.65533202561</v>
          </cell>
          <cell r="F93">
            <v>847004.3678295468</v>
          </cell>
          <cell r="G93">
            <v>902596.63548144989</v>
          </cell>
          <cell r="H93">
            <v>902503.20203474001</v>
          </cell>
          <cell r="I93">
            <v>901076.3602727016</v>
          </cell>
          <cell r="J93">
            <v>921192.62540007546</v>
          </cell>
          <cell r="K93">
            <v>904611.25887467421</v>
          </cell>
          <cell r="L93">
            <v>902264.93366781925</v>
          </cell>
          <cell r="M93">
            <v>910402.10869982245</v>
          </cell>
          <cell r="N93">
            <v>913490.5342553365</v>
          </cell>
          <cell r="O93">
            <v>910963.17304265103</v>
          </cell>
          <cell r="P93">
            <v>5325632.4468874978</v>
          </cell>
          <cell r="Q93">
            <v>10788557.080827877</v>
          </cell>
          <cell r="S93">
            <v>837470.44061876298</v>
          </cell>
          <cell r="T93">
            <v>713303.42765799526</v>
          </cell>
          <cell r="U93">
            <v>1130051.3648532927</v>
          </cell>
          <cell r="V93">
            <v>847751</v>
          </cell>
          <cell r="W93">
            <v>832906.6777334814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4384023.2743056035</v>
          </cell>
        </row>
        <row r="94">
          <cell r="C94">
            <v>65</v>
          </cell>
          <cell r="D94">
            <v>11886989.225937035</v>
          </cell>
          <cell r="E94">
            <v>12429182.655332025</v>
          </cell>
          <cell r="F94">
            <v>11103056.367829546</v>
          </cell>
          <cell r="G94">
            <v>12968276.635481451</v>
          </cell>
          <cell r="H94">
            <v>13532499.20203474</v>
          </cell>
          <cell r="I94">
            <v>11910344.360272702</v>
          </cell>
          <cell r="J94">
            <v>12455664.625400076</v>
          </cell>
          <cell r="K94">
            <v>12964587.258874673</v>
          </cell>
          <cell r="L94">
            <v>12664796.93366782</v>
          </cell>
          <cell r="M94">
            <v>15482542.108699823</v>
          </cell>
          <cell r="N94">
            <v>15622620.534255337</v>
          </cell>
          <cell r="O94">
            <v>13392493.173042651</v>
          </cell>
          <cell r="P94">
            <v>16250898.446887497</v>
          </cell>
          <cell r="Q94">
            <v>156413053.08082789</v>
          </cell>
          <cell r="S94">
            <v>5251222.9406187627</v>
          </cell>
          <cell r="T94">
            <v>5552706.1576579958</v>
          </cell>
          <cell r="U94">
            <v>7119570.684853293</v>
          </cell>
          <cell r="V94">
            <v>7689661</v>
          </cell>
          <cell r="W94">
            <v>6277766.6777334809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32053137.594305605</v>
          </cell>
        </row>
        <row r="103">
          <cell r="C103" t="str">
            <v>code</v>
          </cell>
          <cell r="D103" t="str">
            <v>JAN</v>
          </cell>
          <cell r="E103" t="str">
            <v>FEB</v>
          </cell>
          <cell r="F103" t="str">
            <v>MAR</v>
          </cell>
          <cell r="G103" t="str">
            <v>APR</v>
          </cell>
          <cell r="H103" t="str">
            <v>MAY</v>
          </cell>
          <cell r="I103" t="str">
            <v>JUNE</v>
          </cell>
          <cell r="J103" t="str">
            <v>JULY</v>
          </cell>
          <cell r="K103" t="str">
            <v>AUG</v>
          </cell>
          <cell r="L103" t="str">
            <v>SEPT</v>
          </cell>
          <cell r="M103" t="str">
            <v>OCT</v>
          </cell>
          <cell r="N103" t="str">
            <v>NOV</v>
          </cell>
          <cell r="O103" t="str">
            <v>DEC</v>
          </cell>
          <cell r="P103" t="str">
            <v>Y T D</v>
          </cell>
          <cell r="Q103" t="str">
            <v>YEAR</v>
          </cell>
          <cell r="R103" t="str">
            <v>xxx</v>
          </cell>
          <cell r="S103" t="str">
            <v>JAN</v>
          </cell>
          <cell r="T103" t="str">
            <v>FEB</v>
          </cell>
          <cell r="U103" t="str">
            <v>MAR</v>
          </cell>
          <cell r="V103" t="str">
            <v>APR</v>
          </cell>
          <cell r="W103" t="str">
            <v>MAY</v>
          </cell>
          <cell r="X103" t="str">
            <v>JUNE</v>
          </cell>
          <cell r="Y103" t="str">
            <v>JULY</v>
          </cell>
          <cell r="Z103" t="str">
            <v>AUG</v>
          </cell>
          <cell r="AA103" t="str">
            <v>SEPT</v>
          </cell>
          <cell r="AB103" t="str">
            <v>OCT</v>
          </cell>
          <cell r="AC103" t="str">
            <v>NOV</v>
          </cell>
          <cell r="AD103" t="str">
            <v>DEC</v>
          </cell>
          <cell r="AE103" t="str">
            <v>Y T D</v>
          </cell>
        </row>
        <row r="104">
          <cell r="C104">
            <v>1</v>
          </cell>
          <cell r="D104">
            <v>866</v>
          </cell>
          <cell r="E104">
            <v>1773</v>
          </cell>
          <cell r="F104">
            <v>2580</v>
          </cell>
          <cell r="G104">
            <v>3528</v>
          </cell>
          <cell r="H104">
            <v>4520</v>
          </cell>
          <cell r="I104">
            <v>5386</v>
          </cell>
          <cell r="J104">
            <v>6293</v>
          </cell>
          <cell r="K104">
            <v>7241</v>
          </cell>
          <cell r="L104">
            <v>8166</v>
          </cell>
          <cell r="M104">
            <v>9310</v>
          </cell>
          <cell r="N104">
            <v>10464</v>
          </cell>
          <cell r="O104">
            <v>11445</v>
          </cell>
          <cell r="S104">
            <v>318.61</v>
          </cell>
          <cell r="T104">
            <v>680.42000000000007</v>
          </cell>
          <cell r="U104">
            <v>1230.2</v>
          </cell>
          <cell r="V104">
            <v>1734.2</v>
          </cell>
          <cell r="W104">
            <v>2188.8000000000002</v>
          </cell>
          <cell r="X104">
            <v>2188.8000000000002</v>
          </cell>
          <cell r="Y104">
            <v>2188.8000000000002</v>
          </cell>
          <cell r="Z104">
            <v>2188.8000000000002</v>
          </cell>
          <cell r="AA104">
            <v>2188.8000000000002</v>
          </cell>
          <cell r="AB104">
            <v>2188.8000000000002</v>
          </cell>
          <cell r="AC104">
            <v>2188.8000000000002</v>
          </cell>
          <cell r="AD104">
            <v>2188.8000000000002</v>
          </cell>
        </row>
        <row r="107">
          <cell r="C107">
            <v>2</v>
          </cell>
          <cell r="D107">
            <v>12166500</v>
          </cell>
          <cell r="E107">
            <v>24895910</v>
          </cell>
          <cell r="F107">
            <v>36239365</v>
          </cell>
          <cell r="G107">
            <v>49556675</v>
          </cell>
          <cell r="H107">
            <v>63492805</v>
          </cell>
          <cell r="I107">
            <v>75659305</v>
          </cell>
          <cell r="J107">
            <v>88389715</v>
          </cell>
          <cell r="K107">
            <v>101698845</v>
          </cell>
          <cell r="L107">
            <v>114429255</v>
          </cell>
          <cell r="M107">
            <v>130273655</v>
          </cell>
          <cell r="N107">
            <v>146909670</v>
          </cell>
          <cell r="O107">
            <v>160668115</v>
          </cell>
          <cell r="S107">
            <v>4162446</v>
          </cell>
          <cell r="T107">
            <v>9240994</v>
          </cell>
          <cell r="U107">
            <v>16000783</v>
          </cell>
          <cell r="V107">
            <v>23509017</v>
          </cell>
          <cell r="W107">
            <v>29695978</v>
          </cell>
          <cell r="X107">
            <v>29695978</v>
          </cell>
          <cell r="Y107">
            <v>29695978</v>
          </cell>
          <cell r="Z107">
            <v>29695978</v>
          </cell>
          <cell r="AA107">
            <v>29695978</v>
          </cell>
          <cell r="AB107">
            <v>29695978</v>
          </cell>
          <cell r="AC107">
            <v>29695978</v>
          </cell>
          <cell r="AD107">
            <v>29695978</v>
          </cell>
        </row>
        <row r="108">
          <cell r="C108">
            <v>3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S108">
            <v>49602</v>
          </cell>
          <cell r="T108">
            <v>287277</v>
          </cell>
          <cell r="U108">
            <v>343499</v>
          </cell>
          <cell r="V108">
            <v>430997</v>
          </cell>
          <cell r="W108">
            <v>601682</v>
          </cell>
          <cell r="X108">
            <v>601682</v>
          </cell>
          <cell r="Y108">
            <v>601682</v>
          </cell>
          <cell r="Z108">
            <v>601682</v>
          </cell>
          <cell r="AA108">
            <v>601682</v>
          </cell>
          <cell r="AB108">
            <v>601682</v>
          </cell>
          <cell r="AC108">
            <v>601682</v>
          </cell>
          <cell r="AD108">
            <v>601682</v>
          </cell>
        </row>
        <row r="109">
          <cell r="C109">
            <v>4</v>
          </cell>
          <cell r="D109">
            <v>12166500</v>
          </cell>
          <cell r="E109">
            <v>24895910</v>
          </cell>
          <cell r="F109">
            <v>36239365</v>
          </cell>
          <cell r="G109">
            <v>49556675</v>
          </cell>
          <cell r="H109">
            <v>63492805</v>
          </cell>
          <cell r="I109">
            <v>75659305</v>
          </cell>
          <cell r="J109">
            <v>88389715</v>
          </cell>
          <cell r="K109">
            <v>101698845</v>
          </cell>
          <cell r="L109">
            <v>114429255</v>
          </cell>
          <cell r="M109">
            <v>130273655</v>
          </cell>
          <cell r="N109">
            <v>146909670</v>
          </cell>
          <cell r="O109">
            <v>160668115</v>
          </cell>
          <cell r="S109">
            <v>4212048</v>
          </cell>
          <cell r="T109">
            <v>9528271</v>
          </cell>
          <cell r="U109">
            <v>16344282</v>
          </cell>
          <cell r="V109">
            <v>23940014</v>
          </cell>
          <cell r="W109">
            <v>30297660</v>
          </cell>
          <cell r="X109">
            <v>30297660</v>
          </cell>
          <cell r="Y109">
            <v>30297660</v>
          </cell>
          <cell r="Z109">
            <v>30297660</v>
          </cell>
          <cell r="AA109">
            <v>30297660</v>
          </cell>
          <cell r="AB109">
            <v>30297660</v>
          </cell>
          <cell r="AC109">
            <v>30297660</v>
          </cell>
          <cell r="AD109">
            <v>30297660</v>
          </cell>
        </row>
        <row r="110">
          <cell r="C110">
            <v>5</v>
          </cell>
          <cell r="D110">
            <v>162048</v>
          </cell>
          <cell r="E110">
            <v>329810</v>
          </cell>
          <cell r="F110">
            <v>486172</v>
          </cell>
          <cell r="G110">
            <v>665692</v>
          </cell>
          <cell r="H110">
            <v>852048</v>
          </cell>
          <cell r="I110">
            <v>1014096</v>
          </cell>
          <cell r="J110">
            <v>1181878</v>
          </cell>
          <cell r="K110">
            <v>1355694</v>
          </cell>
          <cell r="L110">
            <v>1523476</v>
          </cell>
          <cell r="M110">
            <v>1726136</v>
          </cell>
          <cell r="N110">
            <v>1939086</v>
          </cell>
          <cell r="O110">
            <v>2116346</v>
          </cell>
          <cell r="S110">
            <v>71500</v>
          </cell>
          <cell r="T110">
            <v>182900</v>
          </cell>
          <cell r="U110">
            <v>244450</v>
          </cell>
          <cell r="V110">
            <v>425394</v>
          </cell>
          <cell r="W110">
            <v>492394</v>
          </cell>
          <cell r="X110">
            <v>492394</v>
          </cell>
          <cell r="Y110">
            <v>492394</v>
          </cell>
          <cell r="Z110">
            <v>492394</v>
          </cell>
          <cell r="AA110">
            <v>492394</v>
          </cell>
          <cell r="AB110">
            <v>492394</v>
          </cell>
          <cell r="AC110">
            <v>492394</v>
          </cell>
          <cell r="AD110">
            <v>492394</v>
          </cell>
        </row>
        <row r="111">
          <cell r="C111">
            <v>6</v>
          </cell>
          <cell r="D111">
            <v>12004452</v>
          </cell>
          <cell r="E111">
            <v>24566100</v>
          </cell>
          <cell r="F111">
            <v>35753193</v>
          </cell>
          <cell r="G111">
            <v>48890983</v>
          </cell>
          <cell r="H111">
            <v>62640757</v>
          </cell>
          <cell r="I111">
            <v>74645209</v>
          </cell>
          <cell r="J111">
            <v>87207837</v>
          </cell>
          <cell r="K111">
            <v>100343151</v>
          </cell>
          <cell r="L111">
            <v>112905779</v>
          </cell>
          <cell r="M111">
            <v>128547519</v>
          </cell>
          <cell r="N111">
            <v>144970584</v>
          </cell>
          <cell r="O111">
            <v>158551769</v>
          </cell>
          <cell r="S111">
            <v>4140548</v>
          </cell>
          <cell r="T111">
            <v>9345371</v>
          </cell>
          <cell r="U111">
            <v>16099832</v>
          </cell>
          <cell r="V111">
            <v>23514620</v>
          </cell>
          <cell r="W111">
            <v>29805266</v>
          </cell>
          <cell r="X111">
            <v>29805266</v>
          </cell>
          <cell r="Y111">
            <v>29805266</v>
          </cell>
          <cell r="Z111">
            <v>29805266</v>
          </cell>
          <cell r="AA111">
            <v>29805266</v>
          </cell>
          <cell r="AB111">
            <v>29805266</v>
          </cell>
          <cell r="AC111">
            <v>29805266</v>
          </cell>
          <cell r="AD111">
            <v>29805266</v>
          </cell>
        </row>
        <row r="114">
          <cell r="C114">
            <v>7</v>
          </cell>
          <cell r="D114">
            <v>3117600</v>
          </cell>
          <cell r="E114">
            <v>6382800</v>
          </cell>
          <cell r="F114">
            <v>9288000</v>
          </cell>
          <cell r="G114">
            <v>12700800</v>
          </cell>
          <cell r="H114">
            <v>16272000</v>
          </cell>
          <cell r="I114">
            <v>19389600</v>
          </cell>
          <cell r="J114">
            <v>22654800</v>
          </cell>
          <cell r="K114">
            <v>26067600</v>
          </cell>
          <cell r="L114">
            <v>29397600</v>
          </cell>
          <cell r="M114">
            <v>33516000</v>
          </cell>
          <cell r="N114">
            <v>37670400</v>
          </cell>
          <cell r="O114">
            <v>41202000</v>
          </cell>
          <cell r="S114">
            <v>1174410</v>
          </cell>
          <cell r="T114">
            <v>2593856</v>
          </cell>
          <cell r="U114">
            <v>4236026.93</v>
          </cell>
          <cell r="V114">
            <v>6394696.9299999997</v>
          </cell>
          <cell r="W114">
            <v>8008417.9299999997</v>
          </cell>
          <cell r="X114">
            <v>8008417.9299999997</v>
          </cell>
          <cell r="Y114">
            <v>8008417.9299999997</v>
          </cell>
          <cell r="Z114">
            <v>8008417.9299999997</v>
          </cell>
          <cell r="AA114">
            <v>8008417.9299999997</v>
          </cell>
          <cell r="AB114">
            <v>8008417.9299999997</v>
          </cell>
          <cell r="AC114">
            <v>8008417.9299999997</v>
          </cell>
          <cell r="AD114">
            <v>8008417.9299999997</v>
          </cell>
        </row>
        <row r="115">
          <cell r="C115">
            <v>8</v>
          </cell>
          <cell r="D115">
            <v>452052</v>
          </cell>
          <cell r="E115">
            <v>925506</v>
          </cell>
          <cell r="F115">
            <v>1346760</v>
          </cell>
          <cell r="G115">
            <v>1841616</v>
          </cell>
          <cell r="H115">
            <v>2359440</v>
          </cell>
          <cell r="I115">
            <v>2811492</v>
          </cell>
          <cell r="J115">
            <v>3284946</v>
          </cell>
          <cell r="K115">
            <v>3779802</v>
          </cell>
          <cell r="L115">
            <v>4262652</v>
          </cell>
          <cell r="M115">
            <v>4859820</v>
          </cell>
          <cell r="N115">
            <v>5462208</v>
          </cell>
          <cell r="O115">
            <v>5974290</v>
          </cell>
          <cell r="S115">
            <v>231721</v>
          </cell>
          <cell r="T115">
            <v>477670</v>
          </cell>
          <cell r="U115">
            <v>741627.89</v>
          </cell>
          <cell r="V115">
            <v>1049984.8900000001</v>
          </cell>
          <cell r="W115">
            <v>1368768.8900000001</v>
          </cell>
          <cell r="X115">
            <v>1368768.8900000001</v>
          </cell>
          <cell r="Y115">
            <v>1368768.8900000001</v>
          </cell>
          <cell r="Z115">
            <v>1368768.8900000001</v>
          </cell>
          <cell r="AA115">
            <v>1368768.8900000001</v>
          </cell>
          <cell r="AB115">
            <v>1368768.8900000001</v>
          </cell>
          <cell r="AC115">
            <v>1368768.8900000001</v>
          </cell>
          <cell r="AD115">
            <v>1368768.8900000001</v>
          </cell>
        </row>
        <row r="116">
          <cell r="C116">
            <v>9</v>
          </cell>
          <cell r="D116">
            <v>626118</v>
          </cell>
          <cell r="E116">
            <v>1281879</v>
          </cell>
          <cell r="F116">
            <v>1865340</v>
          </cell>
          <cell r="G116">
            <v>2550744</v>
          </cell>
          <cell r="H116">
            <v>3267960</v>
          </cell>
          <cell r="I116">
            <v>3894078</v>
          </cell>
          <cell r="J116">
            <v>4549839</v>
          </cell>
          <cell r="K116">
            <v>5235243</v>
          </cell>
          <cell r="L116">
            <v>5904018</v>
          </cell>
          <cell r="M116">
            <v>6731130</v>
          </cell>
          <cell r="N116">
            <v>7565472</v>
          </cell>
          <cell r="O116">
            <v>8274735</v>
          </cell>
          <cell r="S116">
            <v>368669</v>
          </cell>
          <cell r="T116">
            <v>649755</v>
          </cell>
          <cell r="U116">
            <v>1021011.2</v>
          </cell>
          <cell r="V116">
            <v>1599440.2</v>
          </cell>
          <cell r="W116">
            <v>2044058.2</v>
          </cell>
          <cell r="X116">
            <v>2044058.2</v>
          </cell>
          <cell r="Y116">
            <v>2044058.2</v>
          </cell>
          <cell r="Z116">
            <v>2044058.2</v>
          </cell>
          <cell r="AA116">
            <v>2044058.2</v>
          </cell>
          <cell r="AB116">
            <v>2044058.2</v>
          </cell>
          <cell r="AC116">
            <v>2044058.2</v>
          </cell>
          <cell r="AD116">
            <v>2044058.2</v>
          </cell>
        </row>
        <row r="117">
          <cell r="C117">
            <v>10</v>
          </cell>
          <cell r="D117">
            <v>8660</v>
          </cell>
          <cell r="E117">
            <v>17730</v>
          </cell>
          <cell r="F117">
            <v>25800</v>
          </cell>
          <cell r="G117">
            <v>35280</v>
          </cell>
          <cell r="H117">
            <v>45200</v>
          </cell>
          <cell r="I117">
            <v>53860</v>
          </cell>
          <cell r="J117">
            <v>62930</v>
          </cell>
          <cell r="K117">
            <v>72410</v>
          </cell>
          <cell r="L117">
            <v>81660</v>
          </cell>
          <cell r="M117">
            <v>93100</v>
          </cell>
          <cell r="N117">
            <v>104640</v>
          </cell>
          <cell r="O117">
            <v>114450</v>
          </cell>
          <cell r="S117">
            <v>6002</v>
          </cell>
          <cell r="T117">
            <v>6002</v>
          </cell>
          <cell r="U117">
            <v>6002</v>
          </cell>
          <cell r="V117">
            <v>6322</v>
          </cell>
          <cell r="W117">
            <v>9162</v>
          </cell>
          <cell r="X117">
            <v>9162</v>
          </cell>
          <cell r="Y117">
            <v>9162</v>
          </cell>
          <cell r="Z117">
            <v>9162</v>
          </cell>
          <cell r="AA117">
            <v>9162</v>
          </cell>
          <cell r="AB117">
            <v>9162</v>
          </cell>
          <cell r="AC117">
            <v>9162</v>
          </cell>
          <cell r="AD117">
            <v>9162</v>
          </cell>
        </row>
        <row r="118">
          <cell r="C118">
            <v>11</v>
          </cell>
          <cell r="D118">
            <v>89198</v>
          </cell>
          <cell r="E118">
            <v>182619</v>
          </cell>
          <cell r="F118">
            <v>265740</v>
          </cell>
          <cell r="G118">
            <v>363384</v>
          </cell>
          <cell r="H118">
            <v>465560</v>
          </cell>
          <cell r="I118">
            <v>554758</v>
          </cell>
          <cell r="J118">
            <v>648179</v>
          </cell>
          <cell r="K118">
            <v>745823</v>
          </cell>
          <cell r="L118">
            <v>841098</v>
          </cell>
          <cell r="M118">
            <v>958930</v>
          </cell>
          <cell r="N118">
            <v>1077792</v>
          </cell>
          <cell r="O118">
            <v>1178835</v>
          </cell>
          <cell r="S118">
            <v>40746</v>
          </cell>
          <cell r="T118">
            <v>73633</v>
          </cell>
          <cell r="U118">
            <v>93499.8</v>
          </cell>
          <cell r="V118">
            <v>142778.79999999999</v>
          </cell>
          <cell r="W118">
            <v>175134.8</v>
          </cell>
          <cell r="X118">
            <v>175134.8</v>
          </cell>
          <cell r="Y118">
            <v>175134.8</v>
          </cell>
          <cell r="Z118">
            <v>175134.8</v>
          </cell>
          <cell r="AA118">
            <v>175134.8</v>
          </cell>
          <cell r="AB118">
            <v>175134.8</v>
          </cell>
          <cell r="AC118">
            <v>175134.8</v>
          </cell>
          <cell r="AD118">
            <v>175134.8</v>
          </cell>
        </row>
        <row r="119">
          <cell r="C119">
            <v>12</v>
          </cell>
          <cell r="D119">
            <v>17320</v>
          </cell>
          <cell r="E119">
            <v>35460</v>
          </cell>
          <cell r="F119">
            <v>51600</v>
          </cell>
          <cell r="G119">
            <v>70560</v>
          </cell>
          <cell r="H119">
            <v>90400</v>
          </cell>
          <cell r="I119">
            <v>107720</v>
          </cell>
          <cell r="J119">
            <v>125860</v>
          </cell>
          <cell r="K119">
            <v>144820</v>
          </cell>
          <cell r="L119">
            <v>163320</v>
          </cell>
          <cell r="M119">
            <v>186200</v>
          </cell>
          <cell r="N119">
            <v>209280</v>
          </cell>
          <cell r="O119">
            <v>228900</v>
          </cell>
          <cell r="S119">
            <v>10552</v>
          </cell>
          <cell r="T119">
            <v>16710</v>
          </cell>
          <cell r="U119">
            <v>35340.94</v>
          </cell>
          <cell r="V119">
            <v>51112.94</v>
          </cell>
          <cell r="W119">
            <v>56875.94</v>
          </cell>
          <cell r="X119">
            <v>56875.94</v>
          </cell>
          <cell r="Y119">
            <v>56875.94</v>
          </cell>
          <cell r="Z119">
            <v>56875.94</v>
          </cell>
          <cell r="AA119">
            <v>56875.94</v>
          </cell>
          <cell r="AB119">
            <v>56875.94</v>
          </cell>
          <cell r="AC119">
            <v>56875.94</v>
          </cell>
          <cell r="AD119">
            <v>56875.94</v>
          </cell>
        </row>
        <row r="120">
          <cell r="C120">
            <v>13</v>
          </cell>
          <cell r="D120">
            <v>71012</v>
          </cell>
          <cell r="E120">
            <v>145386</v>
          </cell>
          <cell r="F120">
            <v>211560</v>
          </cell>
          <cell r="G120">
            <v>289296</v>
          </cell>
          <cell r="H120">
            <v>370640</v>
          </cell>
          <cell r="I120">
            <v>441652</v>
          </cell>
          <cell r="J120">
            <v>516026</v>
          </cell>
          <cell r="K120">
            <v>593762</v>
          </cell>
          <cell r="L120">
            <v>669612</v>
          </cell>
          <cell r="M120">
            <v>763420</v>
          </cell>
          <cell r="N120">
            <v>858048</v>
          </cell>
          <cell r="O120">
            <v>938490</v>
          </cell>
          <cell r="S120">
            <v>120000</v>
          </cell>
          <cell r="T120">
            <v>175750</v>
          </cell>
          <cell r="U120">
            <v>218250</v>
          </cell>
          <cell r="V120">
            <v>280550</v>
          </cell>
          <cell r="W120">
            <v>356300</v>
          </cell>
          <cell r="X120">
            <v>356300</v>
          </cell>
          <cell r="Y120">
            <v>356300</v>
          </cell>
          <cell r="Z120">
            <v>356300</v>
          </cell>
          <cell r="AA120">
            <v>356300</v>
          </cell>
          <cell r="AB120">
            <v>356300</v>
          </cell>
          <cell r="AC120">
            <v>356300</v>
          </cell>
          <cell r="AD120">
            <v>356300</v>
          </cell>
        </row>
        <row r="121">
          <cell r="C121">
            <v>14</v>
          </cell>
          <cell r="D121">
            <v>12990</v>
          </cell>
          <cell r="E121">
            <v>26595</v>
          </cell>
          <cell r="F121">
            <v>38700</v>
          </cell>
          <cell r="G121">
            <v>52920</v>
          </cell>
          <cell r="H121">
            <v>67800</v>
          </cell>
          <cell r="I121">
            <v>80790</v>
          </cell>
          <cell r="J121">
            <v>94395</v>
          </cell>
          <cell r="K121">
            <v>108615</v>
          </cell>
          <cell r="L121">
            <v>122490</v>
          </cell>
          <cell r="M121">
            <v>139650</v>
          </cell>
          <cell r="N121">
            <v>156960</v>
          </cell>
          <cell r="O121">
            <v>171675</v>
          </cell>
          <cell r="S121">
            <v>23367</v>
          </cell>
          <cell r="T121">
            <v>55445</v>
          </cell>
          <cell r="U121">
            <v>56178.94</v>
          </cell>
          <cell r="V121">
            <v>80976.94</v>
          </cell>
          <cell r="W121">
            <v>89686.94</v>
          </cell>
          <cell r="X121">
            <v>89686.94</v>
          </cell>
          <cell r="Y121">
            <v>89686.94</v>
          </cell>
          <cell r="Z121">
            <v>89686.94</v>
          </cell>
          <cell r="AA121">
            <v>89686.94</v>
          </cell>
          <cell r="AB121">
            <v>89686.94</v>
          </cell>
          <cell r="AC121">
            <v>89686.94</v>
          </cell>
          <cell r="AD121">
            <v>89686.94</v>
          </cell>
        </row>
        <row r="122">
          <cell r="C122">
            <v>15</v>
          </cell>
          <cell r="D122">
            <v>187056</v>
          </cell>
          <cell r="E122">
            <v>382968</v>
          </cell>
          <cell r="F122">
            <v>557280</v>
          </cell>
          <cell r="G122">
            <v>762048</v>
          </cell>
          <cell r="H122">
            <v>976320</v>
          </cell>
          <cell r="I122">
            <v>1163376</v>
          </cell>
          <cell r="J122">
            <v>1359288</v>
          </cell>
          <cell r="K122">
            <v>1564056</v>
          </cell>
          <cell r="L122">
            <v>1763856</v>
          </cell>
          <cell r="M122">
            <v>2010960</v>
          </cell>
          <cell r="N122">
            <v>2260224</v>
          </cell>
          <cell r="O122">
            <v>2472120</v>
          </cell>
          <cell r="S122">
            <v>22554</v>
          </cell>
          <cell r="T122">
            <v>27657</v>
          </cell>
          <cell r="U122">
            <v>27702</v>
          </cell>
          <cell r="V122">
            <v>27702</v>
          </cell>
          <cell r="W122">
            <v>27702</v>
          </cell>
          <cell r="X122">
            <v>27702</v>
          </cell>
          <cell r="Y122">
            <v>27702</v>
          </cell>
          <cell r="Z122">
            <v>27702</v>
          </cell>
          <cell r="AA122">
            <v>27702</v>
          </cell>
          <cell r="AB122">
            <v>27702</v>
          </cell>
          <cell r="AC122">
            <v>27702</v>
          </cell>
          <cell r="AD122">
            <v>27702</v>
          </cell>
        </row>
        <row r="123">
          <cell r="C123">
            <v>16</v>
          </cell>
          <cell r="D123">
            <v>4582006</v>
          </cell>
          <cell r="E123">
            <v>9380943</v>
          </cell>
          <cell r="F123">
            <v>13650780</v>
          </cell>
          <cell r="G123">
            <v>18666648</v>
          </cell>
          <cell r="H123">
            <v>23915320</v>
          </cell>
          <cell r="I123">
            <v>28497326</v>
          </cell>
          <cell r="J123">
            <v>33296263</v>
          </cell>
          <cell r="K123">
            <v>38312131</v>
          </cell>
          <cell r="L123">
            <v>43206306</v>
          </cell>
          <cell r="M123">
            <v>49259210</v>
          </cell>
          <cell r="N123">
            <v>55365024</v>
          </cell>
          <cell r="O123">
            <v>60555495</v>
          </cell>
          <cell r="S123">
            <v>1998021</v>
          </cell>
          <cell r="T123">
            <v>4076478</v>
          </cell>
          <cell r="U123">
            <v>6435639.7000000002</v>
          </cell>
          <cell r="V123">
            <v>9633564.6999999993</v>
          </cell>
          <cell r="W123">
            <v>12136106.699999999</v>
          </cell>
          <cell r="X123">
            <v>12136106.699999999</v>
          </cell>
          <cell r="Y123">
            <v>12136106.699999999</v>
          </cell>
          <cell r="Z123">
            <v>12136106.699999999</v>
          </cell>
          <cell r="AA123">
            <v>12136106.699999999</v>
          </cell>
          <cell r="AB123">
            <v>12136106.699999999</v>
          </cell>
          <cell r="AC123">
            <v>12136106.699999999</v>
          </cell>
          <cell r="AD123">
            <v>12136106.699999999</v>
          </cell>
        </row>
        <row r="126">
          <cell r="C126">
            <v>17</v>
          </cell>
          <cell r="D126">
            <v>129900</v>
          </cell>
          <cell r="E126">
            <v>265950</v>
          </cell>
          <cell r="F126">
            <v>387000</v>
          </cell>
          <cell r="G126">
            <v>529200</v>
          </cell>
          <cell r="H126">
            <v>678000</v>
          </cell>
          <cell r="I126">
            <v>807900</v>
          </cell>
          <cell r="J126">
            <v>943950</v>
          </cell>
          <cell r="K126">
            <v>1086150</v>
          </cell>
          <cell r="L126">
            <v>1224900</v>
          </cell>
          <cell r="M126">
            <v>1396500</v>
          </cell>
          <cell r="N126">
            <v>1569600</v>
          </cell>
          <cell r="O126">
            <v>1716750</v>
          </cell>
          <cell r="S126">
            <v>68555</v>
          </cell>
          <cell r="T126">
            <v>124215</v>
          </cell>
          <cell r="U126">
            <v>203586.44</v>
          </cell>
          <cell r="V126">
            <v>296549.44</v>
          </cell>
          <cell r="W126">
            <v>417974.44</v>
          </cell>
          <cell r="X126">
            <v>417974.44</v>
          </cell>
          <cell r="Y126">
            <v>417974.44</v>
          </cell>
          <cell r="Z126">
            <v>417974.44</v>
          </cell>
          <cell r="AA126">
            <v>417974.44</v>
          </cell>
          <cell r="AB126">
            <v>417974.44</v>
          </cell>
          <cell r="AC126">
            <v>417974.44</v>
          </cell>
          <cell r="AD126">
            <v>417974.44</v>
          </cell>
        </row>
        <row r="127">
          <cell r="C127">
            <v>18</v>
          </cell>
          <cell r="D127">
            <v>200912</v>
          </cell>
          <cell r="E127">
            <v>411336</v>
          </cell>
          <cell r="F127">
            <v>598560</v>
          </cell>
          <cell r="G127">
            <v>818496</v>
          </cell>
          <cell r="H127">
            <v>1048640</v>
          </cell>
          <cell r="I127">
            <v>1249552</v>
          </cell>
          <cell r="J127">
            <v>1459976</v>
          </cell>
          <cell r="K127">
            <v>1679912</v>
          </cell>
          <cell r="L127">
            <v>1894512</v>
          </cell>
          <cell r="M127">
            <v>2159920</v>
          </cell>
          <cell r="N127">
            <v>2427648</v>
          </cell>
          <cell r="O127">
            <v>2655240</v>
          </cell>
          <cell r="S127">
            <v>217841</v>
          </cell>
          <cell r="T127">
            <v>334018</v>
          </cell>
          <cell r="U127">
            <v>481672.11</v>
          </cell>
          <cell r="V127">
            <v>654120.11</v>
          </cell>
          <cell r="W127">
            <v>785798.11</v>
          </cell>
          <cell r="X127">
            <v>785798.11</v>
          </cell>
          <cell r="Y127">
            <v>785798.11</v>
          </cell>
          <cell r="Z127">
            <v>785798.11</v>
          </cell>
          <cell r="AA127">
            <v>785798.11</v>
          </cell>
          <cell r="AB127">
            <v>785798.11</v>
          </cell>
          <cell r="AC127">
            <v>785798.11</v>
          </cell>
          <cell r="AD127">
            <v>785798.11</v>
          </cell>
        </row>
        <row r="128">
          <cell r="C128">
            <v>19</v>
          </cell>
          <cell r="D128">
            <v>162808</v>
          </cell>
          <cell r="E128">
            <v>333324</v>
          </cell>
          <cell r="F128">
            <v>485040</v>
          </cell>
          <cell r="G128">
            <v>663264</v>
          </cell>
          <cell r="H128">
            <v>849760</v>
          </cell>
          <cell r="I128">
            <v>1012568</v>
          </cell>
          <cell r="J128">
            <v>1183084</v>
          </cell>
          <cell r="K128">
            <v>1361308</v>
          </cell>
          <cell r="L128">
            <v>1535208</v>
          </cell>
          <cell r="M128">
            <v>1750280</v>
          </cell>
          <cell r="N128">
            <v>1967232</v>
          </cell>
          <cell r="O128">
            <v>2151660</v>
          </cell>
          <cell r="S128">
            <v>102823</v>
          </cell>
          <cell r="T128">
            <v>181175</v>
          </cell>
          <cell r="U128">
            <v>263024.14</v>
          </cell>
          <cell r="V128">
            <v>370521.14</v>
          </cell>
          <cell r="W128">
            <v>484433.14</v>
          </cell>
          <cell r="X128">
            <v>484433.14</v>
          </cell>
          <cell r="Y128">
            <v>484433.14</v>
          </cell>
          <cell r="Z128">
            <v>484433.14</v>
          </cell>
          <cell r="AA128">
            <v>484433.14</v>
          </cell>
          <cell r="AB128">
            <v>484433.14</v>
          </cell>
          <cell r="AC128">
            <v>484433.14</v>
          </cell>
          <cell r="AD128">
            <v>484433.14</v>
          </cell>
        </row>
        <row r="129">
          <cell r="C129">
            <v>20</v>
          </cell>
          <cell r="D129">
            <v>37238</v>
          </cell>
          <cell r="E129">
            <v>76239</v>
          </cell>
          <cell r="F129">
            <v>110940</v>
          </cell>
          <cell r="G129">
            <v>151704</v>
          </cell>
          <cell r="H129">
            <v>194360</v>
          </cell>
          <cell r="I129">
            <v>231598</v>
          </cell>
          <cell r="J129">
            <v>270599</v>
          </cell>
          <cell r="K129">
            <v>311363</v>
          </cell>
          <cell r="L129">
            <v>351138</v>
          </cell>
          <cell r="M129">
            <v>400330</v>
          </cell>
          <cell r="N129">
            <v>449952</v>
          </cell>
          <cell r="O129">
            <v>492135</v>
          </cell>
          <cell r="S129">
            <v>8136</v>
          </cell>
          <cell r="T129">
            <v>27039</v>
          </cell>
          <cell r="U129">
            <v>52356.6</v>
          </cell>
          <cell r="V129">
            <v>84966.6</v>
          </cell>
          <cell r="W129">
            <v>105912.6</v>
          </cell>
          <cell r="X129">
            <v>105912.6</v>
          </cell>
          <cell r="Y129">
            <v>105912.6</v>
          </cell>
          <cell r="Z129">
            <v>105912.6</v>
          </cell>
          <cell r="AA129">
            <v>105912.6</v>
          </cell>
          <cell r="AB129">
            <v>105912.6</v>
          </cell>
          <cell r="AC129">
            <v>105912.6</v>
          </cell>
          <cell r="AD129">
            <v>105912.6</v>
          </cell>
        </row>
        <row r="130">
          <cell r="C130">
            <v>21</v>
          </cell>
          <cell r="D130">
            <v>-125000</v>
          </cell>
          <cell r="E130">
            <v>-250000</v>
          </cell>
          <cell r="F130">
            <v>-375000</v>
          </cell>
          <cell r="G130">
            <v>-500000</v>
          </cell>
          <cell r="H130">
            <v>-625000</v>
          </cell>
          <cell r="I130">
            <v>-750000</v>
          </cell>
          <cell r="J130">
            <v>-875000</v>
          </cell>
          <cell r="K130">
            <v>-1000000</v>
          </cell>
          <cell r="L130">
            <v>-1125000</v>
          </cell>
          <cell r="M130">
            <v>-1250000</v>
          </cell>
          <cell r="N130">
            <v>-1375000</v>
          </cell>
          <cell r="O130">
            <v>-1500000</v>
          </cell>
          <cell r="S130">
            <v>0</v>
          </cell>
          <cell r="T130">
            <v>0</v>
          </cell>
          <cell r="U130">
            <v>-494384.67</v>
          </cell>
          <cell r="V130">
            <v>-718042.66999999993</v>
          </cell>
          <cell r="W130">
            <v>-1336604.67</v>
          </cell>
          <cell r="X130">
            <v>-1336604.67</v>
          </cell>
          <cell r="Y130">
            <v>-1336604.67</v>
          </cell>
          <cell r="Z130">
            <v>-1336604.67</v>
          </cell>
          <cell r="AA130">
            <v>-1336604.67</v>
          </cell>
          <cell r="AB130">
            <v>-1336604.67</v>
          </cell>
          <cell r="AC130">
            <v>-1336604.67</v>
          </cell>
          <cell r="AD130">
            <v>-1336604.67</v>
          </cell>
        </row>
        <row r="131">
          <cell r="C131">
            <v>22</v>
          </cell>
          <cell r="D131">
            <v>405858</v>
          </cell>
          <cell r="E131">
            <v>836849</v>
          </cell>
          <cell r="F131">
            <v>1206540</v>
          </cell>
          <cell r="G131">
            <v>1662664</v>
          </cell>
          <cell r="H131">
            <v>2145760</v>
          </cell>
          <cell r="I131">
            <v>2551618</v>
          </cell>
          <cell r="J131">
            <v>2982609</v>
          </cell>
          <cell r="K131">
            <v>3438733</v>
          </cell>
          <cell r="L131">
            <v>3880758</v>
          </cell>
          <cell r="M131">
            <v>4457030</v>
          </cell>
          <cell r="N131">
            <v>5039432</v>
          </cell>
          <cell r="O131">
            <v>5515785</v>
          </cell>
          <cell r="S131">
            <v>397355</v>
          </cell>
          <cell r="T131">
            <v>652900.73</v>
          </cell>
          <cell r="U131">
            <v>492708.35</v>
          </cell>
          <cell r="V131">
            <v>674568.35</v>
          </cell>
          <cell r="W131">
            <v>443967.35</v>
          </cell>
          <cell r="X131">
            <v>443967.35</v>
          </cell>
          <cell r="Y131">
            <v>443967.35</v>
          </cell>
          <cell r="Z131">
            <v>443967.35</v>
          </cell>
          <cell r="AA131">
            <v>443967.35</v>
          </cell>
          <cell r="AB131">
            <v>443967.35</v>
          </cell>
          <cell r="AC131">
            <v>443967.35</v>
          </cell>
          <cell r="AD131">
            <v>443967.35</v>
          </cell>
        </row>
        <row r="134">
          <cell r="C134">
            <v>23</v>
          </cell>
          <cell r="D134">
            <v>5022800</v>
          </cell>
          <cell r="E134">
            <v>10283400</v>
          </cell>
          <cell r="F134">
            <v>14964000</v>
          </cell>
          <cell r="G134">
            <v>20462400</v>
          </cell>
          <cell r="H134">
            <v>26216000</v>
          </cell>
          <cell r="I134">
            <v>31238800</v>
          </cell>
          <cell r="J134">
            <v>36499400</v>
          </cell>
          <cell r="K134">
            <v>41997800</v>
          </cell>
          <cell r="L134">
            <v>47362800</v>
          </cell>
          <cell r="M134">
            <v>53998000</v>
          </cell>
          <cell r="N134">
            <v>60691200</v>
          </cell>
          <cell r="O134">
            <v>66381000</v>
          </cell>
          <cell r="S134">
            <v>1847938</v>
          </cell>
          <cell r="T134">
            <v>3946436</v>
          </cell>
          <cell r="U134">
            <v>7135160</v>
          </cell>
          <cell r="V134">
            <v>10057684</v>
          </cell>
          <cell r="W134">
            <v>12702036</v>
          </cell>
          <cell r="X134">
            <v>12702036</v>
          </cell>
          <cell r="Y134">
            <v>12702036</v>
          </cell>
          <cell r="Z134">
            <v>12702036</v>
          </cell>
          <cell r="AA134">
            <v>12702036</v>
          </cell>
          <cell r="AB134">
            <v>12702036</v>
          </cell>
          <cell r="AC134">
            <v>12702036</v>
          </cell>
          <cell r="AD134">
            <v>12702036</v>
          </cell>
        </row>
        <row r="135">
          <cell r="C135">
            <v>24</v>
          </cell>
          <cell r="D135">
            <v>836556</v>
          </cell>
          <cell r="E135">
            <v>1712718</v>
          </cell>
          <cell r="F135">
            <v>2492280</v>
          </cell>
          <cell r="G135">
            <v>3408048</v>
          </cell>
          <cell r="H135">
            <v>4366320</v>
          </cell>
          <cell r="I135">
            <v>5202876</v>
          </cell>
          <cell r="J135">
            <v>6079038</v>
          </cell>
          <cell r="K135">
            <v>6994806</v>
          </cell>
          <cell r="L135">
            <v>7888356</v>
          </cell>
          <cell r="M135">
            <v>8993460</v>
          </cell>
          <cell r="N135">
            <v>10108224</v>
          </cell>
          <cell r="O135">
            <v>11055870</v>
          </cell>
          <cell r="S135">
            <v>225062</v>
          </cell>
          <cell r="T135">
            <v>520564</v>
          </cell>
          <cell r="U135">
            <v>1060840</v>
          </cell>
          <cell r="V135">
            <v>1419497</v>
          </cell>
          <cell r="W135">
            <v>1881064</v>
          </cell>
          <cell r="X135">
            <v>1881064</v>
          </cell>
          <cell r="Y135">
            <v>1881064</v>
          </cell>
          <cell r="Z135">
            <v>1881064</v>
          </cell>
          <cell r="AA135">
            <v>1881064</v>
          </cell>
          <cell r="AB135">
            <v>1881064</v>
          </cell>
          <cell r="AC135">
            <v>1881064</v>
          </cell>
          <cell r="AD135">
            <v>1881064</v>
          </cell>
        </row>
        <row r="136">
          <cell r="C136">
            <v>25</v>
          </cell>
          <cell r="D136">
            <v>5859356</v>
          </cell>
          <cell r="E136">
            <v>11996118</v>
          </cell>
          <cell r="F136">
            <v>17456280</v>
          </cell>
          <cell r="G136">
            <v>23870448</v>
          </cell>
          <cell r="H136">
            <v>30582320</v>
          </cell>
          <cell r="I136">
            <v>36441676</v>
          </cell>
          <cell r="J136">
            <v>42578438</v>
          </cell>
          <cell r="K136">
            <v>48992606</v>
          </cell>
          <cell r="L136">
            <v>55251156</v>
          </cell>
          <cell r="M136">
            <v>62991460</v>
          </cell>
          <cell r="N136">
            <v>70799424</v>
          </cell>
          <cell r="O136">
            <v>77436870</v>
          </cell>
          <cell r="S136">
            <v>2073000</v>
          </cell>
          <cell r="T136">
            <v>4467000</v>
          </cell>
          <cell r="U136">
            <v>8196000</v>
          </cell>
          <cell r="V136">
            <v>11477181</v>
          </cell>
          <cell r="W136">
            <v>14583100</v>
          </cell>
          <cell r="X136">
            <v>14583100</v>
          </cell>
          <cell r="Y136">
            <v>14583100</v>
          </cell>
          <cell r="Z136">
            <v>14583100</v>
          </cell>
          <cell r="AA136">
            <v>14583100</v>
          </cell>
          <cell r="AB136">
            <v>14583100</v>
          </cell>
          <cell r="AC136">
            <v>14583100</v>
          </cell>
          <cell r="AD136">
            <v>14583100</v>
          </cell>
        </row>
        <row r="139">
          <cell r="C139">
            <v>30</v>
          </cell>
          <cell r="D139">
            <v>207803.22003731845</v>
          </cell>
          <cell r="E139">
            <v>419913.15946124546</v>
          </cell>
          <cell r="F139">
            <v>630393.09980349534</v>
          </cell>
          <cell r="G139">
            <v>880366.45251894044</v>
          </cell>
          <cell r="H139">
            <v>1129804.8975837626</v>
          </cell>
          <cell r="I139">
            <v>1380307.8891594228</v>
          </cell>
          <cell r="J139">
            <v>1635927.0914248913</v>
          </cell>
          <cell r="K139">
            <v>1892627.174080634</v>
          </cell>
          <cell r="L139">
            <v>2149146.1160158529</v>
          </cell>
          <cell r="M139">
            <v>2405368.6489923717</v>
          </cell>
          <cell r="N139">
            <v>2661803.0744308545</v>
          </cell>
          <cell r="O139">
            <v>2919926.9783640704</v>
          </cell>
          <cell r="S139">
            <v>187688.40907711524</v>
          </cell>
          <cell r="T139">
            <v>362945.32108310371</v>
          </cell>
          <cell r="U139">
            <v>561370.38762912364</v>
          </cell>
          <cell r="V139">
            <v>773611.38762912364</v>
          </cell>
          <cell r="W139">
            <v>983235.69707055227</v>
          </cell>
          <cell r="X139">
            <v>983235.69707055227</v>
          </cell>
          <cell r="Y139">
            <v>983235.69707055227</v>
          </cell>
          <cell r="Z139">
            <v>983235.69707055227</v>
          </cell>
          <cell r="AA139">
            <v>983235.69707055227</v>
          </cell>
          <cell r="AB139">
            <v>983235.69707055227</v>
          </cell>
          <cell r="AC139">
            <v>983235.69707055227</v>
          </cell>
          <cell r="AD139">
            <v>983235.69707055227</v>
          </cell>
        </row>
        <row r="140">
          <cell r="C140">
            <v>31</v>
          </cell>
          <cell r="D140">
            <v>40867.945557452775</v>
          </cell>
          <cell r="E140">
            <v>81761.533357537264</v>
          </cell>
          <cell r="F140">
            <v>122340.8666217822</v>
          </cell>
          <cell r="G140">
            <v>163472.34671254712</v>
          </cell>
          <cell r="H140">
            <v>204515.81124828191</v>
          </cell>
          <cell r="I140">
            <v>245734.43994907901</v>
          </cell>
          <cell r="J140">
            <v>286963.51613675675</v>
          </cell>
          <cell r="K140">
            <v>327775.34117689182</v>
          </cell>
          <cell r="L140">
            <v>368558.36730384699</v>
          </cell>
          <cell r="M140">
            <v>409294.26843404467</v>
          </cell>
          <cell r="N140">
            <v>450063.85758644919</v>
          </cell>
          <cell r="O140">
            <v>491102.05086247838</v>
          </cell>
          <cell r="S140">
            <v>41361.320005734167</v>
          </cell>
          <cell r="T140">
            <v>80888.018807189786</v>
          </cell>
          <cell r="U140">
            <v>135829.61937075152</v>
          </cell>
          <cell r="V140">
            <v>171138.61937075152</v>
          </cell>
          <cell r="W140">
            <v>219155.31831426659</v>
          </cell>
          <cell r="X140">
            <v>219155.31831426659</v>
          </cell>
          <cell r="Y140">
            <v>219155.31831426659</v>
          </cell>
          <cell r="Z140">
            <v>219155.31831426659</v>
          </cell>
          <cell r="AA140">
            <v>219155.31831426659</v>
          </cell>
          <cell r="AB140">
            <v>219155.31831426659</v>
          </cell>
          <cell r="AC140">
            <v>219155.31831426659</v>
          </cell>
          <cell r="AD140">
            <v>219155.31831426659</v>
          </cell>
        </row>
        <row r="141">
          <cell r="C141">
            <v>32</v>
          </cell>
          <cell r="D141">
            <v>8798.9561579735055</v>
          </cell>
          <cell r="E141">
            <v>17788.390410283391</v>
          </cell>
          <cell r="F141">
            <v>26708.743649153465</v>
          </cell>
          <cell r="G141">
            <v>37313.151677383197</v>
          </cell>
          <cell r="H141">
            <v>47894.867770960664</v>
          </cell>
          <cell r="I141">
            <v>58521.744220405359</v>
          </cell>
          <cell r="J141">
            <v>69375.08378359671</v>
          </cell>
          <cell r="K141">
            <v>80281.02112071446</v>
          </cell>
          <cell r="L141">
            <v>91179.26267009892</v>
          </cell>
          <cell r="M141">
            <v>102064.91124523772</v>
          </cell>
          <cell r="N141">
            <v>112959.56209995695</v>
          </cell>
          <cell r="O141">
            <v>123925.99067443906</v>
          </cell>
          <cell r="S141">
            <v>7391.8313148933876</v>
          </cell>
          <cell r="T141">
            <v>14305.766335488855</v>
          </cell>
          <cell r="U141">
            <v>22034.843976349963</v>
          </cell>
          <cell r="V141">
            <v>29087.843976349963</v>
          </cell>
          <cell r="W141">
            <v>35729.468734220092</v>
          </cell>
          <cell r="X141">
            <v>35729.468734220092</v>
          </cell>
          <cell r="Y141">
            <v>35729.468734220092</v>
          </cell>
          <cell r="Z141">
            <v>35729.468734220092</v>
          </cell>
          <cell r="AA141">
            <v>35729.468734220092</v>
          </cell>
          <cell r="AB141">
            <v>35729.468734220092</v>
          </cell>
          <cell r="AC141">
            <v>35729.468734220092</v>
          </cell>
          <cell r="AD141">
            <v>35729.468734220092</v>
          </cell>
        </row>
        <row r="142">
          <cell r="C142">
            <v>33</v>
          </cell>
          <cell r="D142">
            <v>11090.47725154965</v>
          </cell>
          <cell r="E142">
            <v>22187.913128122076</v>
          </cell>
          <cell r="F142">
            <v>33200.068652736874</v>
          </cell>
          <cell r="G142">
            <v>44362.062191851976</v>
          </cell>
          <cell r="H142">
            <v>55500.170642114943</v>
          </cell>
          <cell r="I142">
            <v>66685.814004187429</v>
          </cell>
          <cell r="J142">
            <v>77874.292537296918</v>
          </cell>
          <cell r="K142">
            <v>88949.540167876694</v>
          </cell>
          <cell r="L142">
            <v>100016.972536712</v>
          </cell>
          <cell r="M142">
            <v>111071.61643043827</v>
          </cell>
          <cell r="N142">
            <v>122135.40236051695</v>
          </cell>
          <cell r="O142">
            <v>133272.0803306064</v>
          </cell>
          <cell r="S142">
            <v>8759.2367895355146</v>
          </cell>
          <cell r="T142">
            <v>17397.664276237454</v>
          </cell>
          <cell r="U142">
            <v>28351.632932768196</v>
          </cell>
          <cell r="V142">
            <v>66718.632932768203</v>
          </cell>
          <cell r="W142">
            <v>76012.56924032222</v>
          </cell>
          <cell r="X142">
            <v>76012.56924032222</v>
          </cell>
          <cell r="Y142">
            <v>76012.56924032222</v>
          </cell>
          <cell r="Z142">
            <v>76012.56924032222</v>
          </cell>
          <cell r="AA142">
            <v>76012.56924032222</v>
          </cell>
          <cell r="AB142">
            <v>76012.56924032222</v>
          </cell>
          <cell r="AC142">
            <v>76012.56924032222</v>
          </cell>
          <cell r="AD142">
            <v>76012.56924032222</v>
          </cell>
        </row>
        <row r="143">
          <cell r="C143">
            <v>34</v>
          </cell>
          <cell r="D143">
            <v>1774.4763602479438</v>
          </cell>
          <cell r="E143">
            <v>3550.0661004995322</v>
          </cell>
          <cell r="F143">
            <v>5312.0109844379003</v>
          </cell>
          <cell r="G143">
            <v>7097.9299506963162</v>
          </cell>
          <cell r="H143">
            <v>8880.0273027383901</v>
          </cell>
          <cell r="I143">
            <v>10669.730240669987</v>
          </cell>
          <cell r="J143">
            <v>12459.886805967506</v>
          </cell>
          <cell r="K143">
            <v>14231.926426860271</v>
          </cell>
          <cell r="L143">
            <v>16002.715605873918</v>
          </cell>
          <cell r="M143">
            <v>17771.458628870125</v>
          </cell>
          <cell r="N143">
            <v>19541.664377682715</v>
          </cell>
          <cell r="O143">
            <v>21323.532852897028</v>
          </cell>
          <cell r="S143">
            <v>3547.4124822436243</v>
          </cell>
          <cell r="T143">
            <v>6866.9066280859843</v>
          </cell>
          <cell r="U143">
            <v>9703.8630954978398</v>
          </cell>
          <cell r="V143">
            <v>13572.86309549784</v>
          </cell>
          <cell r="W143">
            <v>17175.668449603756</v>
          </cell>
          <cell r="X143">
            <v>17175.668449603756</v>
          </cell>
          <cell r="Y143">
            <v>17175.668449603756</v>
          </cell>
          <cell r="Z143">
            <v>17175.668449603756</v>
          </cell>
          <cell r="AA143">
            <v>17175.668449603756</v>
          </cell>
          <cell r="AB143">
            <v>17175.668449603756</v>
          </cell>
          <cell r="AC143">
            <v>17175.668449603756</v>
          </cell>
          <cell r="AD143">
            <v>17175.668449603756</v>
          </cell>
        </row>
        <row r="144">
          <cell r="C144">
            <v>35</v>
          </cell>
          <cell r="D144">
            <v>26617.145403719158</v>
          </cell>
          <cell r="E144">
            <v>53250.991507492989</v>
          </cell>
          <cell r="F144">
            <v>53250.991507492989</v>
          </cell>
          <cell r="G144">
            <v>53250.991507492989</v>
          </cell>
          <cell r="H144">
            <v>53250.991507492989</v>
          </cell>
          <cell r="I144">
            <v>53250.991507492989</v>
          </cell>
          <cell r="J144">
            <v>53250.991507492989</v>
          </cell>
          <cell r="K144">
            <v>53250.991507492989</v>
          </cell>
          <cell r="L144">
            <v>53250.991507492989</v>
          </cell>
          <cell r="M144">
            <v>53250.991507492989</v>
          </cell>
          <cell r="N144">
            <v>53250.991507492989</v>
          </cell>
          <cell r="O144">
            <v>53250.991507492989</v>
          </cell>
          <cell r="S144">
            <v>0</v>
          </cell>
          <cell r="T144">
            <v>282.70319948821532</v>
          </cell>
          <cell r="U144">
            <v>6287.2982556003635</v>
          </cell>
          <cell r="V144">
            <v>8133.2982556003635</v>
          </cell>
          <cell r="W144">
            <v>8291.0565633882525</v>
          </cell>
          <cell r="X144">
            <v>8291.0565633882525</v>
          </cell>
          <cell r="Y144">
            <v>8291.0565633882525</v>
          </cell>
          <cell r="Z144">
            <v>8291.0565633882525</v>
          </cell>
          <cell r="AA144">
            <v>8291.0565633882525</v>
          </cell>
          <cell r="AB144">
            <v>8291.0565633882525</v>
          </cell>
          <cell r="AC144">
            <v>8291.0565633882525</v>
          </cell>
          <cell r="AD144">
            <v>8291.0565633882525</v>
          </cell>
        </row>
        <row r="145">
          <cell r="C145">
            <v>36</v>
          </cell>
          <cell r="D145">
            <v>5653.9253028400117</v>
          </cell>
          <cell r="E145">
            <v>11311.398112716635</v>
          </cell>
          <cell r="F145">
            <v>16925.394999165263</v>
          </cell>
          <cell r="G145">
            <v>22615.77930540614</v>
          </cell>
          <cell r="H145">
            <v>28293.986993350198</v>
          </cell>
          <cell r="I145">
            <v>33996.427979334752</v>
          </cell>
          <cell r="J145">
            <v>39700.314335513969</v>
          </cell>
          <cell r="K145">
            <v>45346.475577583537</v>
          </cell>
          <cell r="L145">
            <v>50988.652599215769</v>
          </cell>
          <cell r="M145">
            <v>56624.310056237424</v>
          </cell>
          <cell r="N145">
            <v>62264.628123391536</v>
          </cell>
          <cell r="O145">
            <v>67942.106552543148</v>
          </cell>
          <cell r="S145">
            <v>133.30978104037933</v>
          </cell>
          <cell r="T145">
            <v>6590.9401903257321</v>
          </cell>
          <cell r="U145">
            <v>11077.358820940513</v>
          </cell>
          <cell r="V145">
            <v>17117.358820940513</v>
          </cell>
          <cell r="W145">
            <v>21716.999482381158</v>
          </cell>
          <cell r="X145">
            <v>21716.999482381158</v>
          </cell>
          <cell r="Y145">
            <v>21716.999482381158</v>
          </cell>
          <cell r="Z145">
            <v>21716.999482381158</v>
          </cell>
          <cell r="AA145">
            <v>21716.999482381158</v>
          </cell>
          <cell r="AB145">
            <v>21716.999482381158</v>
          </cell>
          <cell r="AC145">
            <v>21716.999482381158</v>
          </cell>
          <cell r="AD145">
            <v>21716.999482381158</v>
          </cell>
        </row>
        <row r="146">
          <cell r="C146">
            <v>37</v>
          </cell>
          <cell r="D146">
            <v>36269.350416075838</v>
          </cell>
          <cell r="E146">
            <v>72561.457725623506</v>
          </cell>
          <cell r="F146">
            <v>108574.67144938564</v>
          </cell>
          <cell r="G146">
            <v>145077.90262959234</v>
          </cell>
          <cell r="H146">
            <v>181503.02205341123</v>
          </cell>
          <cell r="I146">
            <v>218083.59559649954</v>
          </cell>
          <cell r="J146">
            <v>254673.44104101264</v>
          </cell>
          <cell r="K146">
            <v>290892.98580426292</v>
          </cell>
          <cell r="L146">
            <v>327086.97220240638</v>
          </cell>
          <cell r="M146">
            <v>363239.13626283652</v>
          </cell>
          <cell r="N146">
            <v>399421.19765883317</v>
          </cell>
          <cell r="O146">
            <v>435841.63896236027</v>
          </cell>
          <cell r="S146">
            <v>25712.124018163166</v>
          </cell>
          <cell r="T146">
            <v>55710.052784387823</v>
          </cell>
          <cell r="U146">
            <v>82799.334738174715</v>
          </cell>
          <cell r="V146">
            <v>112506.33473817472</v>
          </cell>
          <cell r="W146">
            <v>138485.18407314536</v>
          </cell>
          <cell r="X146">
            <v>138485.18407314536</v>
          </cell>
          <cell r="Y146">
            <v>138485.18407314536</v>
          </cell>
          <cell r="Z146">
            <v>138485.18407314536</v>
          </cell>
          <cell r="AA146">
            <v>138485.18407314536</v>
          </cell>
          <cell r="AB146">
            <v>138485.18407314536</v>
          </cell>
          <cell r="AC146">
            <v>138485.18407314536</v>
          </cell>
          <cell r="AD146">
            <v>138485.18407314536</v>
          </cell>
        </row>
        <row r="147">
          <cell r="C147">
            <v>38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C148">
            <v>39</v>
          </cell>
          <cell r="D148">
            <v>2123.8485746262609</v>
          </cell>
          <cell r="E148">
            <v>4249.029739861634</v>
          </cell>
          <cell r="F148">
            <v>6357.8795471364174</v>
          </cell>
          <cell r="G148">
            <v>8495.4236338640367</v>
          </cell>
          <cell r="H148">
            <v>10628.393678306295</v>
          </cell>
          <cell r="I148">
            <v>12770.466753429901</v>
          </cell>
          <cell r="J148">
            <v>14913.082769477434</v>
          </cell>
          <cell r="K148">
            <v>17034.014841228724</v>
          </cell>
          <cell r="L148">
            <v>19153.450274725423</v>
          </cell>
          <cell r="M148">
            <v>21270.436689661794</v>
          </cell>
          <cell r="N148">
            <v>23389.173822843724</v>
          </cell>
          <cell r="O148">
            <v>25521.869927471795</v>
          </cell>
          <cell r="S148">
            <v>3246.4852559245323</v>
          </cell>
          <cell r="T148">
            <v>378.95052494711717</v>
          </cell>
          <cell r="U148">
            <v>1657.2590236591395</v>
          </cell>
          <cell r="V148">
            <v>4448.2590236591395</v>
          </cell>
          <cell r="W148">
            <v>6484.3271835465839</v>
          </cell>
          <cell r="X148">
            <v>6484.3271835465839</v>
          </cell>
          <cell r="Y148">
            <v>6484.3271835465839</v>
          </cell>
          <cell r="Z148">
            <v>6484.3271835465839</v>
          </cell>
          <cell r="AA148">
            <v>6484.3271835465839</v>
          </cell>
          <cell r="AB148">
            <v>6484.3271835465839</v>
          </cell>
          <cell r="AC148">
            <v>6484.3271835465839</v>
          </cell>
          <cell r="AD148">
            <v>6484.3271835465839</v>
          </cell>
        </row>
        <row r="149">
          <cell r="C149">
            <v>40</v>
          </cell>
          <cell r="D149">
            <v>2370.2567982011906</v>
          </cell>
          <cell r="E149">
            <v>4742.0007937422488</v>
          </cell>
          <cell r="F149">
            <v>7095.5186724629239</v>
          </cell>
          <cell r="G149">
            <v>9481.0599316426033</v>
          </cell>
          <cell r="H149">
            <v>11861.496469632802</v>
          </cell>
          <cell r="I149">
            <v>14252.092168974934</v>
          </cell>
          <cell r="J149">
            <v>16643.293801071093</v>
          </cell>
          <cell r="K149">
            <v>19010.295724678603</v>
          </cell>
          <cell r="L149">
            <v>21375.627370546084</v>
          </cell>
          <cell r="M149">
            <v>23738.225863513264</v>
          </cell>
          <cell r="N149">
            <v>26102.778192489681</v>
          </cell>
          <cell r="O149">
            <v>28482.9090082572</v>
          </cell>
          <cell r="S149">
            <v>2688.740657307063</v>
          </cell>
          <cell r="T149">
            <v>4779.4093161505025</v>
          </cell>
          <cell r="U149">
            <v>7647.9533294764769</v>
          </cell>
          <cell r="V149">
            <v>11136.953329476477</v>
          </cell>
          <cell r="W149">
            <v>14443.961856480102</v>
          </cell>
          <cell r="X149">
            <v>14443.961856480102</v>
          </cell>
          <cell r="Y149">
            <v>14443.961856480102</v>
          </cell>
          <cell r="Z149">
            <v>14443.961856480102</v>
          </cell>
          <cell r="AA149">
            <v>14443.961856480102</v>
          </cell>
          <cell r="AB149">
            <v>14443.961856480102</v>
          </cell>
          <cell r="AC149">
            <v>14443.961856480102</v>
          </cell>
          <cell r="AD149">
            <v>14443.961856480102</v>
          </cell>
        </row>
        <row r="150">
          <cell r="C150">
            <v>41</v>
          </cell>
          <cell r="D150">
            <v>41552.321435806021</v>
          </cell>
          <cell r="E150">
            <v>83130.714520030713</v>
          </cell>
          <cell r="F150">
            <v>124389.59055225417</v>
          </cell>
          <cell r="G150">
            <v>166209.8596788054</v>
          </cell>
          <cell r="H150">
            <v>207940.63933912397</v>
          </cell>
          <cell r="I150">
            <v>249849.51646902223</v>
          </cell>
          <cell r="J150">
            <v>291769.01603973913</v>
          </cell>
          <cell r="K150">
            <v>333264.27716231137</v>
          </cell>
          <cell r="L150">
            <v>374730.25710421428</v>
          </cell>
          <cell r="M150">
            <v>416148.32289270876</v>
          </cell>
          <cell r="N150">
            <v>457600.64084407024</v>
          </cell>
          <cell r="O150">
            <v>499326.06097200542</v>
          </cell>
          <cell r="S150">
            <v>25783.680003574547</v>
          </cell>
          <cell r="T150">
            <v>46252.101427479123</v>
          </cell>
          <cell r="U150">
            <v>65702.132824098182</v>
          </cell>
          <cell r="V150">
            <v>102048.13282409818</v>
          </cell>
          <cell r="W150">
            <v>143118.53627782775</v>
          </cell>
          <cell r="X150">
            <v>143118.53627782775</v>
          </cell>
          <cell r="Y150">
            <v>143118.53627782775</v>
          </cell>
          <cell r="Z150">
            <v>143118.53627782775</v>
          </cell>
          <cell r="AA150">
            <v>143118.53627782775</v>
          </cell>
          <cell r="AB150">
            <v>143118.53627782775</v>
          </cell>
          <cell r="AC150">
            <v>143118.53627782775</v>
          </cell>
          <cell r="AD150">
            <v>143118.53627782775</v>
          </cell>
        </row>
        <row r="151">
          <cell r="C151">
            <v>42</v>
          </cell>
          <cell r="D151">
            <v>7163.6267876676266</v>
          </cell>
          <cell r="E151">
            <v>14331.748331646262</v>
          </cell>
          <cell r="F151">
            <v>21444.785085323379</v>
          </cell>
          <cell r="G151">
            <v>28654.606097255506</v>
          </cell>
          <cell r="H151">
            <v>35848.999111054989</v>
          </cell>
          <cell r="I151">
            <v>43074.096156778847</v>
          </cell>
          <cell r="J151">
            <v>50301.024512979937</v>
          </cell>
          <cell r="K151">
            <v>57454.814093621098</v>
          </cell>
          <cell r="L151">
            <v>64603.555594083606</v>
          </cell>
          <cell r="M151">
            <v>71744.036686920139</v>
          </cell>
          <cell r="N151">
            <v>78890.42285805245</v>
          </cell>
          <cell r="O151">
            <v>86083.891887621343</v>
          </cell>
          <cell r="S151">
            <v>234.27233579890193</v>
          </cell>
          <cell r="T151">
            <v>5931.9160899103672</v>
          </cell>
          <cell r="U151">
            <v>15865.212169091123</v>
          </cell>
          <cell r="V151">
            <v>22869.212169091123</v>
          </cell>
          <cell r="W151">
            <v>24005.071985163926</v>
          </cell>
          <cell r="X151">
            <v>24005.071985163926</v>
          </cell>
          <cell r="Y151">
            <v>24005.071985163926</v>
          </cell>
          <cell r="Z151">
            <v>24005.071985163926</v>
          </cell>
          <cell r="AA151">
            <v>24005.071985163926</v>
          </cell>
          <cell r="AB151">
            <v>24005.071985163926</v>
          </cell>
          <cell r="AC151">
            <v>24005.071985163926</v>
          </cell>
          <cell r="AD151">
            <v>24005.071985163926</v>
          </cell>
        </row>
        <row r="152">
          <cell r="C152">
            <v>43</v>
          </cell>
          <cell r="D152">
            <v>7825.7972869991499</v>
          </cell>
          <cell r="E152">
            <v>15656.504803521279</v>
          </cell>
          <cell r="F152">
            <v>23427.035762096719</v>
          </cell>
          <cell r="G152">
            <v>31303.297240718257</v>
          </cell>
          <cell r="H152">
            <v>39162.704632784356</v>
          </cell>
          <cell r="I152">
            <v>47055.654186782638</v>
          </cell>
          <cell r="J152">
            <v>54950.604328610127</v>
          </cell>
          <cell r="K152">
            <v>62765.655105448823</v>
          </cell>
          <cell r="L152">
            <v>70575.191182354421</v>
          </cell>
          <cell r="M152">
            <v>78375.703300097302</v>
          </cell>
          <cell r="N152">
            <v>86182.666332589986</v>
          </cell>
          <cell r="O152">
            <v>94041.064331858375</v>
          </cell>
          <cell r="S152">
            <v>6143.0323366180692</v>
          </cell>
          <cell r="T152">
            <v>9734.1504140895759</v>
          </cell>
          <cell r="U152">
            <v>15358.707808422474</v>
          </cell>
          <cell r="V152">
            <v>21909.707808422474</v>
          </cell>
          <cell r="W152">
            <v>27026.992917292126</v>
          </cell>
          <cell r="X152">
            <v>27026.992917292126</v>
          </cell>
          <cell r="Y152">
            <v>27026.992917292126</v>
          </cell>
          <cell r="Z152">
            <v>27026.992917292126</v>
          </cell>
          <cell r="AA152">
            <v>27026.992917292126</v>
          </cell>
          <cell r="AB152">
            <v>27026.992917292126</v>
          </cell>
          <cell r="AC152">
            <v>27026.992917292126</v>
          </cell>
          <cell r="AD152">
            <v>27026.992917292126</v>
          </cell>
        </row>
        <row r="153">
          <cell r="C153">
            <v>44</v>
          </cell>
          <cell r="D153">
            <v>4377.0416886115963</v>
          </cell>
          <cell r="E153">
            <v>8756.829714565516</v>
          </cell>
          <cell r="F153">
            <v>13102.960428280159</v>
          </cell>
          <cell r="G153">
            <v>17508.227211717585</v>
          </cell>
          <cell r="H153">
            <v>21904.067346754702</v>
          </cell>
          <cell r="I153">
            <v>26318.667926985978</v>
          </cell>
          <cell r="J153">
            <v>30734.387454719857</v>
          </cell>
          <cell r="K153">
            <v>35105.418519588675</v>
          </cell>
          <cell r="L153">
            <v>39473.365161155671</v>
          </cell>
          <cell r="M153">
            <v>43836.264617879642</v>
          </cell>
          <cell r="N153">
            <v>48202.772131617363</v>
          </cell>
          <cell r="O153">
            <v>52598.04770381267</v>
          </cell>
          <cell r="S153">
            <v>15817.793651827953</v>
          </cell>
          <cell r="T153">
            <v>25601.642447608374</v>
          </cell>
          <cell r="U153">
            <v>34956.491592236816</v>
          </cell>
          <cell r="V153">
            <v>44083.491592236816</v>
          </cell>
          <cell r="W153">
            <v>49022.312615421419</v>
          </cell>
          <cell r="X153">
            <v>49022.312615421419</v>
          </cell>
          <cell r="Y153">
            <v>49022.312615421419</v>
          </cell>
          <cell r="Z153">
            <v>49022.312615421419</v>
          </cell>
          <cell r="AA153">
            <v>49022.312615421419</v>
          </cell>
          <cell r="AB153">
            <v>49022.312615421419</v>
          </cell>
          <cell r="AC153">
            <v>49022.312615421419</v>
          </cell>
          <cell r="AD153">
            <v>49022.312615421419</v>
          </cell>
        </row>
        <row r="154">
          <cell r="C154">
            <v>45</v>
          </cell>
          <cell r="D154">
            <v>15083.049062107524</v>
          </cell>
          <cell r="E154">
            <v>30175.561854246025</v>
          </cell>
          <cell r="F154">
            <v>45152.093367722155</v>
          </cell>
          <cell r="G154">
            <v>60332.404580918694</v>
          </cell>
          <cell r="H154">
            <v>75480.232073276318</v>
          </cell>
          <cell r="I154">
            <v>90692.7070456949</v>
          </cell>
          <cell r="J154">
            <v>105909.03785072381</v>
          </cell>
          <cell r="K154">
            <v>120971.3746283123</v>
          </cell>
          <cell r="L154">
            <v>136023.08264992831</v>
          </cell>
          <cell r="M154">
            <v>151057.39834539604</v>
          </cell>
          <cell r="N154">
            <v>166104.14721030305</v>
          </cell>
          <cell r="O154">
            <v>181250.02924962473</v>
          </cell>
          <cell r="S154">
            <v>7453.5851105223865</v>
          </cell>
          <cell r="T154">
            <v>17100.481572190405</v>
          </cell>
          <cell r="U154">
            <v>31891.349946476847</v>
          </cell>
          <cell r="V154">
            <v>42353.349946476847</v>
          </cell>
          <cell r="W154">
            <v>54267.060152733495</v>
          </cell>
          <cell r="X154">
            <v>54267.060152733495</v>
          </cell>
          <cell r="Y154">
            <v>54267.060152733495</v>
          </cell>
          <cell r="Z154">
            <v>54267.060152733495</v>
          </cell>
          <cell r="AA154">
            <v>54267.060152733495</v>
          </cell>
          <cell r="AB154">
            <v>54267.060152733495</v>
          </cell>
          <cell r="AC154">
            <v>54267.060152733495</v>
          </cell>
          <cell r="AD154">
            <v>54267.060152733495</v>
          </cell>
        </row>
        <row r="155">
          <cell r="C155">
            <v>46</v>
          </cell>
          <cell r="D155">
            <v>56627.155329579051</v>
          </cell>
          <cell r="E155">
            <v>113289.8408830707</v>
          </cell>
          <cell r="F155">
            <v>169517.09127652983</v>
          </cell>
          <cell r="G155">
            <v>226509.40347291529</v>
          </cell>
          <cell r="H155">
            <v>283379.7601748876</v>
          </cell>
          <cell r="I155">
            <v>340492.82661545475</v>
          </cell>
          <cell r="J155">
            <v>397620.36922932416</v>
          </cell>
          <cell r="K155">
            <v>454169.76324235112</v>
          </cell>
          <cell r="L155">
            <v>510679.25310781907</v>
          </cell>
          <cell r="M155">
            <v>567123.44596667483</v>
          </cell>
          <cell r="N155">
            <v>623614.31738595804</v>
          </cell>
          <cell r="O155">
            <v>680477.37016212591</v>
          </cell>
          <cell r="S155">
            <v>51834.959788208093</v>
          </cell>
          <cell r="T155">
            <v>106597.28380223946</v>
          </cell>
          <cell r="U155">
            <v>172254.95931716624</v>
          </cell>
          <cell r="V155">
            <v>227084.95931716624</v>
          </cell>
          <cell r="W155">
            <v>264640.31047549692</v>
          </cell>
          <cell r="X155">
            <v>264640.31047549692</v>
          </cell>
          <cell r="Y155">
            <v>264640.31047549692</v>
          </cell>
          <cell r="Z155">
            <v>264640.31047549692</v>
          </cell>
          <cell r="AA155">
            <v>264640.31047549692</v>
          </cell>
          <cell r="AB155">
            <v>264640.31047549692</v>
          </cell>
          <cell r="AC155">
            <v>264640.31047549692</v>
          </cell>
          <cell r="AD155">
            <v>264640.31047549692</v>
          </cell>
        </row>
        <row r="156">
          <cell r="C156">
            <v>47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731</v>
          </cell>
          <cell r="W156">
            <v>731</v>
          </cell>
          <cell r="X156">
            <v>731</v>
          </cell>
          <cell r="Y156">
            <v>731</v>
          </cell>
          <cell r="Z156">
            <v>731</v>
          </cell>
          <cell r="AA156">
            <v>731</v>
          </cell>
          <cell r="AB156">
            <v>731</v>
          </cell>
          <cell r="AC156">
            <v>731</v>
          </cell>
          <cell r="AD156">
            <v>731</v>
          </cell>
        </row>
        <row r="157">
          <cell r="C157">
            <v>48</v>
          </cell>
          <cell r="D157">
            <v>27274.358870477656</v>
          </cell>
          <cell r="E157">
            <v>54565.830803974291</v>
          </cell>
          <cell r="F157">
            <v>81647.576242286246</v>
          </cell>
          <cell r="G157">
            <v>109097.81220514709</v>
          </cell>
          <cell r="H157">
            <v>136489.30854209006</v>
          </cell>
          <cell r="I157">
            <v>163997.7055510387</v>
          </cell>
          <cell r="J157">
            <v>191513.07498061165</v>
          </cell>
          <cell r="K157">
            <v>218749.98026470415</v>
          </cell>
          <cell r="L157">
            <v>245967.66579398801</v>
          </cell>
          <cell r="M157">
            <v>273153.90114744817</v>
          </cell>
          <cell r="N157">
            <v>300362.61913845647</v>
          </cell>
          <cell r="O157">
            <v>327750.59755378758</v>
          </cell>
          <cell r="S157">
            <v>38867.642925096479</v>
          </cell>
          <cell r="T157">
            <v>65666.946754287317</v>
          </cell>
          <cell r="U157">
            <v>78252.609579444295</v>
          </cell>
          <cell r="V157">
            <v>78252.609579444295</v>
          </cell>
          <cell r="W157">
            <v>93112.456183639777</v>
          </cell>
          <cell r="X157">
            <v>93112.456183639777</v>
          </cell>
          <cell r="Y157">
            <v>93112.456183639777</v>
          </cell>
          <cell r="Z157">
            <v>93112.456183639777</v>
          </cell>
          <cell r="AA157">
            <v>93112.456183639777</v>
          </cell>
          <cell r="AB157">
            <v>93112.456183639777</v>
          </cell>
          <cell r="AC157">
            <v>93112.456183639777</v>
          </cell>
          <cell r="AD157">
            <v>93112.456183639777</v>
          </cell>
        </row>
        <row r="158">
          <cell r="C158">
            <v>49</v>
          </cell>
          <cell r="D158">
            <v>19217.833651703604</v>
          </cell>
          <cell r="E158">
            <v>38447.72536863733</v>
          </cell>
          <cell r="F158">
            <v>57529.841333409306</v>
          </cell>
          <cell r="G158">
            <v>76871.600050432186</v>
          </cell>
          <cell r="H158">
            <v>96171.970137019671</v>
          </cell>
          <cell r="I158">
            <v>115554.70981033312</v>
          </cell>
          <cell r="J158">
            <v>134942.3623331234</v>
          </cell>
          <cell r="K158">
            <v>154133.80574789317</v>
          </cell>
          <cell r="L158">
            <v>173311.70669765057</v>
          </cell>
          <cell r="M158">
            <v>192467.44748407777</v>
          </cell>
          <cell r="N158">
            <v>211639.02980102465</v>
          </cell>
          <cell r="O158">
            <v>230936.92111871942</v>
          </cell>
          <cell r="S158">
            <v>11521.493870210434</v>
          </cell>
          <cell r="T158">
            <v>34328.997457422331</v>
          </cell>
          <cell r="U158">
            <v>71077.158685261064</v>
          </cell>
          <cell r="V158">
            <v>85307.158685261064</v>
          </cell>
          <cell r="W158">
            <v>103847.70380803273</v>
          </cell>
          <cell r="X158">
            <v>103847.70380803273</v>
          </cell>
          <cell r="Y158">
            <v>103847.70380803273</v>
          </cell>
          <cell r="Z158">
            <v>103847.70380803273</v>
          </cell>
          <cell r="AA158">
            <v>103847.70380803273</v>
          </cell>
          <cell r="AB158">
            <v>103847.70380803273</v>
          </cell>
          <cell r="AC158">
            <v>103847.70380803273</v>
          </cell>
          <cell r="AD158">
            <v>103847.70380803273</v>
          </cell>
        </row>
        <row r="159">
          <cell r="C159">
            <v>50</v>
          </cell>
          <cell r="D159">
            <v>287530.89170684281</v>
          </cell>
          <cell r="E159">
            <v>575242.19221057242</v>
          </cell>
          <cell r="F159">
            <v>860742.52062651166</v>
          </cell>
          <cell r="G159">
            <v>1150127.5383072735</v>
          </cell>
          <cell r="H159">
            <v>1438893.3129437207</v>
          </cell>
          <cell r="I159">
            <v>1728891.4741826372</v>
          </cell>
          <cell r="J159">
            <v>2018963.1398558461</v>
          </cell>
          <cell r="K159">
            <v>2306099.1895375438</v>
          </cell>
          <cell r="L159">
            <v>2593032.6213221629</v>
          </cell>
          <cell r="M159">
            <v>2879634.5000483999</v>
          </cell>
          <cell r="N159">
            <v>3166473.3945319215</v>
          </cell>
          <cell r="O159">
            <v>3455202.082645352</v>
          </cell>
          <cell r="S159">
            <v>391107.37231699529</v>
          </cell>
          <cell r="T159">
            <v>571010.30206051306</v>
          </cell>
          <cell r="U159">
            <v>1154392.7906619071</v>
          </cell>
          <cell r="V159">
            <v>1445392.7906619071</v>
          </cell>
          <cell r="W159">
            <v>1732315.7129511305</v>
          </cell>
          <cell r="X159">
            <v>1732315.7129511305</v>
          </cell>
          <cell r="Y159">
            <v>1732315.7129511305</v>
          </cell>
          <cell r="Z159">
            <v>1732315.7129511305</v>
          </cell>
          <cell r="AA159">
            <v>1732315.7129511305</v>
          </cell>
          <cell r="AB159">
            <v>1732315.7129511305</v>
          </cell>
          <cell r="AC159">
            <v>1732315.7129511305</v>
          </cell>
          <cell r="AD159">
            <v>1732315.7129511305</v>
          </cell>
        </row>
        <row r="160">
          <cell r="C160">
            <v>51</v>
          </cell>
          <cell r="D160">
            <v>7541.5245310537621</v>
          </cell>
          <cell r="E160">
            <v>25519.370651101093</v>
          </cell>
          <cell r="F160">
            <v>33007.636407839156</v>
          </cell>
          <cell r="G160">
            <v>40597.792014437422</v>
          </cell>
          <cell r="H160">
            <v>48171.705760616234</v>
          </cell>
          <cell r="I160">
            <v>55777.943246825525</v>
          </cell>
          <cell r="J160">
            <v>63386.108649339978</v>
          </cell>
          <cell r="K160">
            <v>70917.277038134227</v>
          </cell>
          <cell r="L160">
            <v>78443.131048942232</v>
          </cell>
          <cell r="M160">
            <v>85960.288896676095</v>
          </cell>
          <cell r="N160">
            <v>93483.663329129602</v>
          </cell>
          <cell r="O160">
            <v>101056.60434879044</v>
          </cell>
          <cell r="S160">
            <v>8685.7203661676576</v>
          </cell>
          <cell r="T160">
            <v>19904.280280510851</v>
          </cell>
          <cell r="U160">
            <v>24788.504567481574</v>
          </cell>
          <cell r="V160">
            <v>36035.504567481577</v>
          </cell>
          <cell r="W160">
            <v>39971.574346789414</v>
          </cell>
          <cell r="X160">
            <v>39971.574346789414</v>
          </cell>
          <cell r="Y160">
            <v>39971.574346789414</v>
          </cell>
          <cell r="Z160">
            <v>39971.574346789414</v>
          </cell>
          <cell r="AA160">
            <v>39971.574346789414</v>
          </cell>
          <cell r="AB160">
            <v>39971.574346789414</v>
          </cell>
          <cell r="AC160">
            <v>39971.574346789414</v>
          </cell>
          <cell r="AD160">
            <v>39971.574346789414</v>
          </cell>
        </row>
        <row r="161">
          <cell r="C161">
            <v>52</v>
          </cell>
          <cell r="D161">
            <v>17472.830577050328</v>
          </cell>
          <cell r="E161">
            <v>34956.6243320879</v>
          </cell>
          <cell r="F161">
            <v>52306.060556109514</v>
          </cell>
          <cell r="G161">
            <v>69891.563649210148</v>
          </cell>
          <cell r="H161">
            <v>87439.436250730912</v>
          </cell>
          <cell r="I161">
            <v>105062.19917858337</v>
          </cell>
          <cell r="J161">
            <v>122689.42886310129</v>
          </cell>
          <cell r="K161">
            <v>140138.26546938519</v>
          </cell>
          <cell r="L161">
            <v>157574.78928323655</v>
          </cell>
          <cell r="M161">
            <v>174991.16510400781</v>
          </cell>
          <cell r="N161">
            <v>192421.94402472617</v>
          </cell>
          <cell r="O161">
            <v>209967.56293263676</v>
          </cell>
          <cell r="S161">
            <v>17616.495476894834</v>
          </cell>
          <cell r="T161">
            <v>36034.652670439347</v>
          </cell>
          <cell r="U161">
            <v>54172.813800812641</v>
          </cell>
          <cell r="V161">
            <v>70201.813800812641</v>
          </cell>
          <cell r="W161">
            <v>87701.154092184239</v>
          </cell>
          <cell r="X161">
            <v>87701.154092184239</v>
          </cell>
          <cell r="Y161">
            <v>87701.154092184239</v>
          </cell>
          <cell r="Z161">
            <v>87701.154092184239</v>
          </cell>
          <cell r="AA161">
            <v>87701.154092184239</v>
          </cell>
          <cell r="AB161">
            <v>87701.154092184239</v>
          </cell>
          <cell r="AC161">
            <v>87701.154092184239</v>
          </cell>
          <cell r="AD161">
            <v>87701.154092184239</v>
          </cell>
        </row>
        <row r="162">
          <cell r="C162">
            <v>53</v>
          </cell>
          <cell r="D162">
            <v>9003.8244945914194</v>
          </cell>
          <cell r="E162">
            <v>18013.298361793924</v>
          </cell>
          <cell r="F162">
            <v>26953.537217333051</v>
          </cell>
          <cell r="G162">
            <v>36015.422342422054</v>
          </cell>
          <cell r="H162">
            <v>45057.916313894799</v>
          </cell>
          <cell r="I162">
            <v>54139.001591547727</v>
          </cell>
          <cell r="J162">
            <v>63222.388608057357</v>
          </cell>
          <cell r="K162">
            <v>72213.848906661384</v>
          </cell>
          <cell r="L162">
            <v>81198.964370545451</v>
          </cell>
          <cell r="M162">
            <v>90173.697487229889</v>
          </cell>
          <cell r="N162">
            <v>99155.852583056738</v>
          </cell>
          <cell r="O162">
            <v>108197.18521655159</v>
          </cell>
          <cell r="S162">
            <v>7310.4731396996258</v>
          </cell>
          <cell r="T162">
            <v>17699.651055641636</v>
          </cell>
          <cell r="U162">
            <v>26526.395917018395</v>
          </cell>
          <cell r="V162">
            <v>35409.395917018395</v>
          </cell>
          <cell r="W162">
            <v>43949.050315461565</v>
          </cell>
          <cell r="X162">
            <v>43949.050315461565</v>
          </cell>
          <cell r="Y162">
            <v>43949.050315461565</v>
          </cell>
          <cell r="Z162">
            <v>43949.050315461565</v>
          </cell>
          <cell r="AA162">
            <v>43949.050315461565</v>
          </cell>
          <cell r="AB162">
            <v>43949.050315461565</v>
          </cell>
          <cell r="AC162">
            <v>43949.050315461565</v>
          </cell>
          <cell r="AD162">
            <v>43949.050315461565</v>
          </cell>
        </row>
        <row r="163">
          <cell r="C163">
            <v>54</v>
          </cell>
          <cell r="D163">
            <v>3943.2808005509869</v>
          </cell>
          <cell r="E163">
            <v>7889.03577888785</v>
          </cell>
          <cell r="F163">
            <v>11804.468854306446</v>
          </cell>
          <cell r="G163">
            <v>15773.177668214037</v>
          </cell>
          <cell r="H163">
            <v>19733.394006085313</v>
          </cell>
          <cell r="I163">
            <v>23710.511645933308</v>
          </cell>
          <cell r="J163">
            <v>27688.637346594456</v>
          </cell>
          <cell r="K163">
            <v>31626.503170800599</v>
          </cell>
          <cell r="L163">
            <v>35561.590235275369</v>
          </cell>
          <cell r="M163">
            <v>39492.130286378044</v>
          </cell>
          <cell r="N163">
            <v>43425.920839294908</v>
          </cell>
          <cell r="O163">
            <v>47385.628561993384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C164">
            <v>55</v>
          </cell>
          <cell r="D164">
            <v>17334.005185755377</v>
          </cell>
          <cell r="E164">
            <v>34678.886444694501</v>
          </cell>
          <cell r="F164">
            <v>51890.477672055407</v>
          </cell>
          <cell r="G164">
            <v>69336.260166524196</v>
          </cell>
          <cell r="H164">
            <v>86744.711151750016</v>
          </cell>
          <cell r="I164">
            <v>104227.45744358184</v>
          </cell>
          <cell r="J164">
            <v>121714.63500273814</v>
          </cell>
          <cell r="K164">
            <v>139024.83685497765</v>
          </cell>
          <cell r="L164">
            <v>156322.82374256468</v>
          </cell>
          <cell r="M164">
            <v>173600.82271720353</v>
          </cell>
          <cell r="N164">
            <v>190893.11035606725</v>
          </cell>
          <cell r="O164">
            <v>208299.32555376261</v>
          </cell>
          <cell r="S164">
            <v>18169.338980621113</v>
          </cell>
          <cell r="T164">
            <v>28213.59480951498</v>
          </cell>
          <cell r="U164">
            <v>35424.439275222569</v>
          </cell>
          <cell r="V164">
            <v>59540.439275222569</v>
          </cell>
          <cell r="W164">
            <v>74423.949625586232</v>
          </cell>
          <cell r="X164">
            <v>74423.949625586232</v>
          </cell>
          <cell r="Y164">
            <v>74423.949625586232</v>
          </cell>
          <cell r="Z164">
            <v>74423.949625586232</v>
          </cell>
          <cell r="AA164">
            <v>74423.949625586232</v>
          </cell>
          <cell r="AB164">
            <v>74423.949625586232</v>
          </cell>
          <cell r="AC164">
            <v>74423.949625586232</v>
          </cell>
          <cell r="AD164">
            <v>74423.949625586232</v>
          </cell>
        </row>
        <row r="165">
          <cell r="C165">
            <v>56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12928.90852714874</v>
          </cell>
          <cell r="K165">
            <v>12928.90852714874</v>
          </cell>
          <cell r="L165">
            <v>12928.90852714874</v>
          </cell>
          <cell r="M165">
            <v>12928.90852714874</v>
          </cell>
          <cell r="N165">
            <v>12928.90852714874</v>
          </cell>
          <cell r="O165">
            <v>12928.90852714874</v>
          </cell>
          <cell r="S165">
            <v>8229.9185412869483</v>
          </cell>
          <cell r="T165">
            <v>11909.572454019119</v>
          </cell>
          <cell r="U165">
            <v>12374.501645442564</v>
          </cell>
          <cell r="V165">
            <v>21543.501645442564</v>
          </cell>
          <cell r="W165">
            <v>22381.592655565724</v>
          </cell>
          <cell r="X165">
            <v>22381.592655565724</v>
          </cell>
          <cell r="Y165">
            <v>22381.592655565724</v>
          </cell>
          <cell r="Z165">
            <v>22381.592655565724</v>
          </cell>
          <cell r="AA165">
            <v>22381.592655565724</v>
          </cell>
          <cell r="AB165">
            <v>22381.592655565724</v>
          </cell>
          <cell r="AC165">
            <v>22381.592655565724</v>
          </cell>
          <cell r="AD165">
            <v>22381.592655565724</v>
          </cell>
        </row>
        <row r="166">
          <cell r="C166">
            <v>57</v>
          </cell>
          <cell r="D166">
            <v>12814.841084957259</v>
          </cell>
          <cell r="E166">
            <v>27303.551433406625</v>
          </cell>
          <cell r="F166">
            <v>37610.960001624597</v>
          </cell>
          <cell r="G166">
            <v>53933.859175087782</v>
          </cell>
          <cell r="H166">
            <v>72059.825456589402</v>
          </cell>
          <cell r="I166">
            <v>84984.629219920418</v>
          </cell>
          <cell r="J166">
            <v>99595.187618776399</v>
          </cell>
          <cell r="K166">
            <v>115767.07387876749</v>
          </cell>
          <cell r="L166">
            <v>130219.56323840139</v>
          </cell>
          <cell r="M166">
            <v>153835.09948243733</v>
          </cell>
          <cell r="N166">
            <v>179805.70115205878</v>
          </cell>
          <cell r="O166">
            <v>197401.65399467835</v>
          </cell>
          <cell r="S166">
            <v>700.85656944022958</v>
          </cell>
          <cell r="T166">
            <v>13597.419280231035</v>
          </cell>
          <cell r="U166">
            <v>16461.027739507928</v>
          </cell>
          <cell r="V166">
            <v>18461.027739507928</v>
          </cell>
          <cell r="W166">
            <v>24376.96428155377</v>
          </cell>
          <cell r="X166">
            <v>24376.96428155377</v>
          </cell>
          <cell r="Y166">
            <v>24376.96428155377</v>
          </cell>
          <cell r="Z166">
            <v>24376.96428155377</v>
          </cell>
          <cell r="AA166">
            <v>24376.96428155377</v>
          </cell>
          <cell r="AB166">
            <v>24376.96428155377</v>
          </cell>
          <cell r="AC166">
            <v>24376.96428155377</v>
          </cell>
          <cell r="AD166">
            <v>24376.96428155377</v>
          </cell>
        </row>
        <row r="167">
          <cell r="C167">
            <v>57.5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C168">
            <v>58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-27252.048032975195</v>
          </cell>
          <cell r="T168">
            <v>14257.800392208839</v>
          </cell>
          <cell r="U168">
            <v>25528.631618690593</v>
          </cell>
          <cell r="V168">
            <v>8462.6316186905933</v>
          </cell>
          <cell r="W168">
            <v>-15872.573347014979</v>
          </cell>
          <cell r="X168">
            <v>-15872.573347014979</v>
          </cell>
          <cell r="Y168">
            <v>-15872.573347014979</v>
          </cell>
          <cell r="Z168">
            <v>-15872.573347014979</v>
          </cell>
          <cell r="AA168">
            <v>-15872.573347014979</v>
          </cell>
          <cell r="AB168">
            <v>-15872.573347014979</v>
          </cell>
          <cell r="AC168">
            <v>-15872.573347014979</v>
          </cell>
          <cell r="AD168">
            <v>-15872.573347014979</v>
          </cell>
        </row>
        <row r="169">
          <cell r="C169">
            <v>59</v>
          </cell>
          <cell r="D169">
            <v>878131.98435375898</v>
          </cell>
          <cell r="E169">
            <v>1773273.6558293612</v>
          </cell>
          <cell r="F169">
            <v>2620685.8812709302</v>
          </cell>
          <cell r="G169">
            <v>3523695.9239204954</v>
          </cell>
          <cell r="H169">
            <v>4426611.6484904317</v>
          </cell>
          <cell r="I169">
            <v>5328102.2918506162</v>
          </cell>
          <cell r="J169">
            <v>6249709.3053445108</v>
          </cell>
          <cell r="K169">
            <v>7154730.7585758744</v>
          </cell>
          <cell r="L169">
            <v>8057405.5971462419</v>
          </cell>
          <cell r="M169">
            <v>8968217.1371013895</v>
          </cell>
          <cell r="N169">
            <v>9882117.4412059877</v>
          </cell>
          <cell r="O169">
            <v>10793493.083803084</v>
          </cell>
          <cell r="S169">
            <v>862753.45676194434</v>
          </cell>
          <cell r="T169">
            <v>1573986.5261137111</v>
          </cell>
          <cell r="U169">
            <v>2701787.2783206231</v>
          </cell>
          <cell r="V169">
            <v>3527158.2783206231</v>
          </cell>
          <cell r="W169">
            <v>4289749.1203047708</v>
          </cell>
          <cell r="X169">
            <v>4289749.1203047708</v>
          </cell>
          <cell r="Y169">
            <v>4289749.1203047708</v>
          </cell>
          <cell r="Z169">
            <v>4289749.1203047708</v>
          </cell>
          <cell r="AA169">
            <v>4289749.1203047708</v>
          </cell>
          <cell r="AB169">
            <v>4289749.1203047708</v>
          </cell>
          <cell r="AC169">
            <v>4289749.1203047708</v>
          </cell>
          <cell r="AD169">
            <v>4289749.1203047708</v>
          </cell>
        </row>
        <row r="171">
          <cell r="C171">
            <v>60</v>
          </cell>
          <cell r="D171">
            <v>279100.01564624102</v>
          </cell>
          <cell r="E171">
            <v>578916.34417063883</v>
          </cell>
          <cell r="F171">
            <v>818907.11872906983</v>
          </cell>
          <cell r="G171">
            <v>1167527.0760795046</v>
          </cell>
          <cell r="H171">
            <v>1570745.3515095683</v>
          </cell>
          <cell r="I171">
            <v>1826486.7081493838</v>
          </cell>
          <cell r="J171">
            <v>2100817.6946554892</v>
          </cell>
          <cell r="K171">
            <v>2444950.2414241256</v>
          </cell>
          <cell r="L171">
            <v>2510153.4028537581</v>
          </cell>
          <cell r="M171">
            <v>2871601.8628986105</v>
          </cell>
          <cell r="N171">
            <v>3884586.5587940123</v>
          </cell>
          <cell r="O171">
            <v>4250125.9161969163</v>
          </cell>
          <cell r="S171">
            <v>-1190581.4567619443</v>
          </cell>
          <cell r="T171">
            <v>-1424994.2561137115</v>
          </cell>
          <cell r="U171">
            <v>-1726303.328320622</v>
          </cell>
          <cell r="V171">
            <v>-1797852.328320622</v>
          </cell>
          <cell r="W171">
            <v>-1647657.1703047715</v>
          </cell>
          <cell r="X171">
            <v>-1647657.1703047715</v>
          </cell>
          <cell r="Y171">
            <v>-1647657.1703047715</v>
          </cell>
          <cell r="Z171">
            <v>-1647657.1703047715</v>
          </cell>
          <cell r="AA171">
            <v>-1647657.1703047715</v>
          </cell>
          <cell r="AB171">
            <v>-1647657.1703047715</v>
          </cell>
          <cell r="AC171">
            <v>-1647657.1703047715</v>
          </cell>
          <cell r="AD171">
            <v>-1647657.1703047715</v>
          </cell>
        </row>
        <row r="172">
          <cell r="C172">
            <v>61</v>
          </cell>
          <cell r="D172">
            <v>410.75841672406108</v>
          </cell>
          <cell r="E172">
            <v>821.77456030081771</v>
          </cell>
          <cell r="F172">
            <v>1229.6321723235881</v>
          </cell>
          <cell r="G172">
            <v>1643.0393404389622</v>
          </cell>
          <cell r="H172">
            <v>2055.5618756338868</v>
          </cell>
          <cell r="I172">
            <v>2469.8449631180529</v>
          </cell>
          <cell r="J172">
            <v>2884.2330569369228</v>
          </cell>
          <cell r="K172">
            <v>3294.4274136250629</v>
          </cell>
          <cell r="L172">
            <v>3704.3323161745184</v>
          </cell>
          <cell r="M172">
            <v>4113.7635714977141</v>
          </cell>
          <cell r="N172">
            <v>4523.533420759888</v>
          </cell>
          <cell r="O172">
            <v>4936.0029752076462</v>
          </cell>
          <cell r="S172">
            <v>2742.6527011101575</v>
          </cell>
          <cell r="T172">
            <v>672.29439488147773</v>
          </cell>
          <cell r="U172">
            <v>-1578.3182514995342</v>
          </cell>
          <cell r="V172">
            <v>-23958.318251499535</v>
          </cell>
          <cell r="W172">
            <v>-94274.154000832728</v>
          </cell>
          <cell r="X172">
            <v>-94274.154000832728</v>
          </cell>
          <cell r="Y172">
            <v>-94274.154000832728</v>
          </cell>
          <cell r="Z172">
            <v>-94274.154000832728</v>
          </cell>
          <cell r="AA172">
            <v>-94274.154000832728</v>
          </cell>
          <cell r="AB172">
            <v>-94274.154000832728</v>
          </cell>
          <cell r="AC172">
            <v>-94274.154000832728</v>
          </cell>
          <cell r="AD172">
            <v>-94274.154000832728</v>
          </cell>
        </row>
        <row r="173">
          <cell r="C173">
            <v>62</v>
          </cell>
          <cell r="D173">
            <v>279510.77406296507</v>
          </cell>
          <cell r="E173">
            <v>579738.11873093969</v>
          </cell>
          <cell r="F173">
            <v>820136.75090139336</v>
          </cell>
          <cell r="G173">
            <v>1169170.1154199436</v>
          </cell>
          <cell r="H173">
            <v>1572800.9133852022</v>
          </cell>
          <cell r="I173">
            <v>1828956.5531125017</v>
          </cell>
          <cell r="J173">
            <v>2103701.9277124261</v>
          </cell>
          <cell r="K173">
            <v>2448244.6688377508</v>
          </cell>
          <cell r="L173">
            <v>2513857.7351699327</v>
          </cell>
          <cell r="M173">
            <v>2875715.6264701081</v>
          </cell>
          <cell r="N173">
            <v>3889110.092214772</v>
          </cell>
          <cell r="O173">
            <v>4255061.919172124</v>
          </cell>
          <cell r="S173">
            <v>-1187838.8040608342</v>
          </cell>
          <cell r="T173">
            <v>-1424321.96171883</v>
          </cell>
          <cell r="U173">
            <v>-1727881.6465721214</v>
          </cell>
          <cell r="V173">
            <v>-1821810.6465721214</v>
          </cell>
          <cell r="W173">
            <v>-1741931.3243056042</v>
          </cell>
          <cell r="X173">
            <v>-1741931.3243056042</v>
          </cell>
          <cell r="Y173">
            <v>-1741931.3243056042</v>
          </cell>
          <cell r="Z173">
            <v>-1741931.3243056042</v>
          </cell>
          <cell r="AA173">
            <v>-1741931.3243056042</v>
          </cell>
          <cell r="AB173">
            <v>-1741931.3243056042</v>
          </cell>
          <cell r="AC173">
            <v>-1741931.3243056042</v>
          </cell>
          <cell r="AD173">
            <v>-1741931.3243056042</v>
          </cell>
        </row>
        <row r="176">
          <cell r="C176">
            <v>63</v>
          </cell>
          <cell r="D176">
            <v>4987864</v>
          </cell>
          <cell r="E176">
            <v>10217792</v>
          </cell>
          <cell r="F176">
            <v>14857320</v>
          </cell>
          <cell r="G176">
            <v>20329312</v>
          </cell>
          <cell r="H176">
            <v>26061080</v>
          </cell>
          <cell r="I176">
            <v>31048944</v>
          </cell>
          <cell r="J176">
            <v>36278872</v>
          </cell>
          <cell r="K176">
            <v>41750864</v>
          </cell>
          <cell r="L176">
            <v>47087064</v>
          </cell>
          <cell r="M176">
            <v>53716240</v>
          </cell>
          <cell r="N176">
            <v>60404456</v>
          </cell>
          <cell r="O176">
            <v>66071280</v>
          </cell>
          <cell r="S176">
            <v>2269252.5</v>
          </cell>
          <cell r="T176">
            <v>4603255.2300000004</v>
          </cell>
          <cell r="U176">
            <v>6802224.5500000007</v>
          </cell>
          <cell r="V176">
            <v>10182009.550000001</v>
          </cell>
          <cell r="W176">
            <v>12453950.550000001</v>
          </cell>
          <cell r="X176">
            <v>12453950.550000001</v>
          </cell>
          <cell r="Y176">
            <v>12453950.550000001</v>
          </cell>
          <cell r="Z176">
            <v>12453950.550000001</v>
          </cell>
          <cell r="AA176">
            <v>12453950.550000001</v>
          </cell>
          <cell r="AB176">
            <v>12453950.550000001</v>
          </cell>
          <cell r="AC176">
            <v>12453950.550000001</v>
          </cell>
          <cell r="AD176">
            <v>12453950.550000001</v>
          </cell>
        </row>
        <row r="177">
          <cell r="C177">
            <v>64</v>
          </cell>
          <cell r="D177">
            <v>877721.22593703493</v>
          </cell>
          <cell r="E177">
            <v>1772451.8812690605</v>
          </cell>
          <cell r="F177">
            <v>2619456.2490986073</v>
          </cell>
          <cell r="G177">
            <v>3522052.8845800571</v>
          </cell>
          <cell r="H177">
            <v>4424556.0866147969</v>
          </cell>
          <cell r="I177">
            <v>5325632.4468874987</v>
          </cell>
          <cell r="J177">
            <v>6246825.0722875744</v>
          </cell>
          <cell r="K177">
            <v>7151436.3311622487</v>
          </cell>
          <cell r="L177">
            <v>8053701.2648300678</v>
          </cell>
          <cell r="M177">
            <v>8964103.3735298906</v>
          </cell>
          <cell r="N177">
            <v>9877593.9077852275</v>
          </cell>
          <cell r="O177">
            <v>10788557.080827879</v>
          </cell>
          <cell r="S177">
            <v>837470.44061876298</v>
          </cell>
          <cell r="T177">
            <v>1550773.8682767581</v>
          </cell>
          <cell r="U177">
            <v>2680825.2331300508</v>
          </cell>
          <cell r="V177">
            <v>3528576.2331300508</v>
          </cell>
          <cell r="W177">
            <v>4361482.9108635318</v>
          </cell>
          <cell r="X177">
            <v>4361482.9108635318</v>
          </cell>
          <cell r="Y177">
            <v>4361482.9108635318</v>
          </cell>
          <cell r="Z177">
            <v>4361482.9108635318</v>
          </cell>
          <cell r="AA177">
            <v>4361482.9108635318</v>
          </cell>
          <cell r="AB177">
            <v>4361482.9108635318</v>
          </cell>
          <cell r="AC177">
            <v>4361482.9108635318</v>
          </cell>
          <cell r="AD177">
            <v>4361482.9108635318</v>
          </cell>
        </row>
        <row r="178">
          <cell r="C178">
            <v>65</v>
          </cell>
          <cell r="D178">
            <v>11886989.225937035</v>
          </cell>
          <cell r="E178">
            <v>24316171.88126906</v>
          </cell>
          <cell r="F178">
            <v>35419228.249098606</v>
          </cell>
          <cell r="G178">
            <v>48387504.884580061</v>
          </cell>
          <cell r="H178">
            <v>61920004.086614802</v>
          </cell>
          <cell r="I178">
            <v>73830348.446887508</v>
          </cell>
          <cell r="J178">
            <v>86286013.072287589</v>
          </cell>
          <cell r="K178">
            <v>99250600.331162259</v>
          </cell>
          <cell r="L178">
            <v>111915397.26483008</v>
          </cell>
          <cell r="M178">
            <v>127397939.37352991</v>
          </cell>
          <cell r="N178">
            <v>143020559.90778524</v>
          </cell>
          <cell r="O178">
            <v>156413053.08082789</v>
          </cell>
          <cell r="S178">
            <v>5251222.9406187627</v>
          </cell>
          <cell r="T178">
            <v>10803929.098276759</v>
          </cell>
          <cell r="U178">
            <v>17923499.78313005</v>
          </cell>
          <cell r="V178">
            <v>25613160.78313005</v>
          </cell>
          <cell r="W178">
            <v>31890927.460863531</v>
          </cell>
          <cell r="X178">
            <v>31890927.460863531</v>
          </cell>
          <cell r="Y178">
            <v>31890927.460863531</v>
          </cell>
          <cell r="Z178">
            <v>31890927.460863531</v>
          </cell>
          <cell r="AA178">
            <v>31890927.460863531</v>
          </cell>
          <cell r="AB178">
            <v>31890927.460863531</v>
          </cell>
          <cell r="AC178">
            <v>31890927.460863531</v>
          </cell>
          <cell r="AD178">
            <v>31890927.460863531</v>
          </cell>
        </row>
      </sheetData>
      <sheetData sheetId="12" refreshError="1">
        <row r="3">
          <cell r="C3" t="str">
            <v>code</v>
          </cell>
          <cell r="D3" t="str">
            <v>JAN</v>
          </cell>
          <cell r="E3" t="str">
            <v>FEB</v>
          </cell>
          <cell r="F3" t="str">
            <v>MAR</v>
          </cell>
          <cell r="G3" t="str">
            <v>APR</v>
          </cell>
          <cell r="H3" t="str">
            <v>MAY</v>
          </cell>
          <cell r="I3" t="str">
            <v>JUNE</v>
          </cell>
          <cell r="J3" t="str">
            <v>JULY</v>
          </cell>
          <cell r="K3" t="str">
            <v>AUG</v>
          </cell>
          <cell r="L3" t="str">
            <v>SEPT</v>
          </cell>
          <cell r="M3" t="str">
            <v>OCT</v>
          </cell>
          <cell r="N3" t="str">
            <v>NOV</v>
          </cell>
          <cell r="O3" t="str">
            <v>DEC</v>
          </cell>
          <cell r="P3" t="str">
            <v>Y T D</v>
          </cell>
          <cell r="Q3" t="str">
            <v>YEAR</v>
          </cell>
          <cell r="R3" t="str">
            <v xml:space="preserve">  </v>
          </cell>
          <cell r="S3" t="str">
            <v>JAN</v>
          </cell>
          <cell r="T3" t="str">
            <v>FEB</v>
          </cell>
          <cell r="U3" t="str">
            <v>MAR</v>
          </cell>
          <cell r="V3" t="str">
            <v>APR</v>
          </cell>
          <cell r="W3" t="str">
            <v>MAY</v>
          </cell>
          <cell r="X3" t="str">
            <v>JUNE</v>
          </cell>
          <cell r="Y3" t="str">
            <v>JULY</v>
          </cell>
          <cell r="Z3" t="str">
            <v>AUG</v>
          </cell>
          <cell r="AA3" t="str">
            <v>SEPT</v>
          </cell>
          <cell r="AB3" t="str">
            <v>OCT</v>
          </cell>
          <cell r="AC3" t="str">
            <v>NOV</v>
          </cell>
          <cell r="AD3" t="str">
            <v>DEC</v>
          </cell>
          <cell r="AE3" t="str">
            <v>Y T D</v>
          </cell>
        </row>
        <row r="4">
          <cell r="C4">
            <v>1</v>
          </cell>
          <cell r="D4">
            <v>25</v>
          </cell>
          <cell r="E4">
            <v>25</v>
          </cell>
          <cell r="F4">
            <v>35</v>
          </cell>
          <cell r="G4">
            <v>15</v>
          </cell>
          <cell r="H4">
            <v>20</v>
          </cell>
          <cell r="I4">
            <v>10</v>
          </cell>
          <cell r="J4">
            <v>10</v>
          </cell>
          <cell r="K4">
            <v>30</v>
          </cell>
          <cell r="L4">
            <v>30</v>
          </cell>
          <cell r="M4">
            <v>40</v>
          </cell>
          <cell r="N4">
            <v>40</v>
          </cell>
          <cell r="O4">
            <v>20</v>
          </cell>
          <cell r="P4">
            <v>300</v>
          </cell>
          <cell r="Q4">
            <v>300</v>
          </cell>
          <cell r="S4">
            <v>17.079999999999998</v>
          </cell>
          <cell r="T4">
            <v>11.67</v>
          </cell>
          <cell r="U4">
            <v>0</v>
          </cell>
          <cell r="W4">
            <v>11.7</v>
          </cell>
          <cell r="AE4">
            <v>40.450000000000003</v>
          </cell>
        </row>
        <row r="7">
          <cell r="C7">
            <v>2</v>
          </cell>
          <cell r="D7">
            <v>175000</v>
          </cell>
          <cell r="E7">
            <v>175000</v>
          </cell>
          <cell r="F7">
            <v>245000</v>
          </cell>
          <cell r="G7">
            <v>105000</v>
          </cell>
          <cell r="H7">
            <v>140000</v>
          </cell>
          <cell r="I7">
            <v>70000</v>
          </cell>
          <cell r="J7">
            <v>70000</v>
          </cell>
          <cell r="K7">
            <v>210000</v>
          </cell>
          <cell r="L7">
            <v>210000</v>
          </cell>
          <cell r="M7">
            <v>280000</v>
          </cell>
          <cell r="N7">
            <v>280000</v>
          </cell>
          <cell r="O7">
            <v>140000</v>
          </cell>
          <cell r="P7">
            <v>2100000</v>
          </cell>
          <cell r="Q7">
            <v>2100000</v>
          </cell>
          <cell r="S7">
            <v>85000</v>
          </cell>
          <cell r="T7">
            <v>89000</v>
          </cell>
          <cell r="U7">
            <v>0</v>
          </cell>
          <cell r="W7">
            <v>89000</v>
          </cell>
          <cell r="AE7">
            <v>263000</v>
          </cell>
        </row>
        <row r="8">
          <cell r="C8">
            <v>3</v>
          </cell>
          <cell r="D8">
            <v>0</v>
          </cell>
          <cell r="E8">
            <v>0</v>
          </cell>
          <cell r="P8">
            <v>0</v>
          </cell>
          <cell r="Q8">
            <v>0</v>
          </cell>
          <cell r="S8">
            <v>0</v>
          </cell>
          <cell r="T8">
            <v>2520</v>
          </cell>
          <cell r="U8">
            <v>0</v>
          </cell>
          <cell r="W8">
            <v>1340</v>
          </cell>
          <cell r="AE8">
            <v>3860</v>
          </cell>
        </row>
        <row r="9">
          <cell r="C9">
            <v>4</v>
          </cell>
          <cell r="D9">
            <v>175000</v>
          </cell>
          <cell r="E9">
            <v>175000</v>
          </cell>
          <cell r="F9">
            <v>245000</v>
          </cell>
          <cell r="G9">
            <v>105000</v>
          </cell>
          <cell r="H9">
            <v>140000</v>
          </cell>
          <cell r="I9">
            <v>70000</v>
          </cell>
          <cell r="J9">
            <v>70000</v>
          </cell>
          <cell r="K9">
            <v>210000</v>
          </cell>
          <cell r="L9">
            <v>210000</v>
          </cell>
          <cell r="M9">
            <v>280000</v>
          </cell>
          <cell r="N9">
            <v>280000</v>
          </cell>
          <cell r="O9">
            <v>140000</v>
          </cell>
          <cell r="P9">
            <v>2100000</v>
          </cell>
          <cell r="Q9">
            <v>2100000</v>
          </cell>
          <cell r="S9">
            <v>85000</v>
          </cell>
          <cell r="T9">
            <v>91520</v>
          </cell>
          <cell r="U9">
            <v>0</v>
          </cell>
          <cell r="V9">
            <v>0</v>
          </cell>
          <cell r="W9">
            <v>90340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266860</v>
          </cell>
        </row>
        <row r="10">
          <cell r="C10">
            <v>5</v>
          </cell>
          <cell r="D10">
            <v>3500</v>
          </cell>
          <cell r="E10">
            <v>3500</v>
          </cell>
          <cell r="F10">
            <v>4900</v>
          </cell>
          <cell r="G10">
            <v>2100</v>
          </cell>
          <cell r="H10">
            <v>2800</v>
          </cell>
          <cell r="I10">
            <v>1400</v>
          </cell>
          <cell r="J10">
            <v>1400</v>
          </cell>
          <cell r="K10">
            <v>4200</v>
          </cell>
          <cell r="L10">
            <v>4200</v>
          </cell>
          <cell r="M10">
            <v>5600</v>
          </cell>
          <cell r="N10">
            <v>5600</v>
          </cell>
          <cell r="O10">
            <v>2800</v>
          </cell>
          <cell r="P10">
            <v>42000</v>
          </cell>
          <cell r="Q10">
            <v>42000</v>
          </cell>
          <cell r="S10">
            <v>0</v>
          </cell>
          <cell r="T10">
            <v>0</v>
          </cell>
          <cell r="U10">
            <v>0</v>
          </cell>
          <cell r="AE10">
            <v>0</v>
          </cell>
        </row>
        <row r="11">
          <cell r="C11">
            <v>6</v>
          </cell>
          <cell r="D11">
            <v>171500</v>
          </cell>
          <cell r="E11">
            <v>171500</v>
          </cell>
          <cell r="F11">
            <v>240100</v>
          </cell>
          <cell r="G11">
            <v>102900</v>
          </cell>
          <cell r="H11">
            <v>137200</v>
          </cell>
          <cell r="I11">
            <v>68600</v>
          </cell>
          <cell r="J11">
            <v>68600</v>
          </cell>
          <cell r="K11">
            <v>205800</v>
          </cell>
          <cell r="L11">
            <v>205800</v>
          </cell>
          <cell r="M11">
            <v>274400</v>
          </cell>
          <cell r="N11">
            <v>274400</v>
          </cell>
          <cell r="O11">
            <v>137200</v>
          </cell>
          <cell r="P11">
            <v>2058000</v>
          </cell>
          <cell r="Q11">
            <v>2058000</v>
          </cell>
          <cell r="S11">
            <v>85000</v>
          </cell>
          <cell r="T11">
            <v>91520</v>
          </cell>
          <cell r="U11">
            <v>0</v>
          </cell>
          <cell r="V11">
            <v>0</v>
          </cell>
          <cell r="W11">
            <v>90340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266860</v>
          </cell>
        </row>
        <row r="14">
          <cell r="C14">
            <v>7</v>
          </cell>
          <cell r="D14">
            <v>41625</v>
          </cell>
          <cell r="E14">
            <v>41625</v>
          </cell>
          <cell r="F14">
            <v>58275</v>
          </cell>
          <cell r="G14">
            <v>24975</v>
          </cell>
          <cell r="H14">
            <v>33300</v>
          </cell>
          <cell r="I14">
            <v>16650</v>
          </cell>
          <cell r="J14">
            <v>16650</v>
          </cell>
          <cell r="K14">
            <v>49950</v>
          </cell>
          <cell r="L14">
            <v>49950</v>
          </cell>
          <cell r="M14">
            <v>66600</v>
          </cell>
          <cell r="N14">
            <v>66600</v>
          </cell>
          <cell r="O14">
            <v>33300</v>
          </cell>
          <cell r="P14">
            <v>499500</v>
          </cell>
          <cell r="Q14">
            <v>499500</v>
          </cell>
          <cell r="S14">
            <v>40948</v>
          </cell>
          <cell r="T14">
            <v>37768</v>
          </cell>
          <cell r="U14">
            <v>0</v>
          </cell>
          <cell r="W14">
            <v>39857</v>
          </cell>
          <cell r="AE14">
            <v>118573</v>
          </cell>
        </row>
        <row r="15">
          <cell r="C15">
            <v>8</v>
          </cell>
          <cell r="D15">
            <v>9625</v>
          </cell>
          <cell r="E15">
            <v>9625</v>
          </cell>
          <cell r="F15">
            <v>13475</v>
          </cell>
          <cell r="G15">
            <v>5775</v>
          </cell>
          <cell r="H15">
            <v>7700</v>
          </cell>
          <cell r="I15">
            <v>3850</v>
          </cell>
          <cell r="J15">
            <v>3850</v>
          </cell>
          <cell r="K15">
            <v>11550</v>
          </cell>
          <cell r="L15">
            <v>11550</v>
          </cell>
          <cell r="M15">
            <v>15400</v>
          </cell>
          <cell r="N15">
            <v>15400</v>
          </cell>
          <cell r="O15">
            <v>7700</v>
          </cell>
          <cell r="P15">
            <v>115500</v>
          </cell>
          <cell r="Q15">
            <v>115500</v>
          </cell>
          <cell r="S15">
            <v>1372</v>
          </cell>
          <cell r="T15">
            <v>2416</v>
          </cell>
          <cell r="U15">
            <v>0</v>
          </cell>
          <cell r="W15">
            <v>2479</v>
          </cell>
          <cell r="AE15">
            <v>6267</v>
          </cell>
        </row>
        <row r="16">
          <cell r="C16">
            <v>9</v>
          </cell>
          <cell r="D16">
            <v>8875</v>
          </cell>
          <cell r="E16">
            <v>8875</v>
          </cell>
          <cell r="F16">
            <v>12425</v>
          </cell>
          <cell r="G16">
            <v>5325</v>
          </cell>
          <cell r="H16">
            <v>7100</v>
          </cell>
          <cell r="I16">
            <v>3550</v>
          </cell>
          <cell r="J16">
            <v>3550</v>
          </cell>
          <cell r="K16">
            <v>10650</v>
          </cell>
          <cell r="L16">
            <v>10650</v>
          </cell>
          <cell r="M16">
            <v>14200</v>
          </cell>
          <cell r="N16">
            <v>14200</v>
          </cell>
          <cell r="O16">
            <v>7100</v>
          </cell>
          <cell r="P16">
            <v>106500</v>
          </cell>
          <cell r="Q16">
            <v>106500</v>
          </cell>
          <cell r="S16">
            <v>24738</v>
          </cell>
          <cell r="T16">
            <v>988</v>
          </cell>
          <cell r="U16">
            <v>0</v>
          </cell>
          <cell r="W16">
            <v>741</v>
          </cell>
          <cell r="AE16">
            <v>26467</v>
          </cell>
        </row>
        <row r="17">
          <cell r="C17">
            <v>10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U17">
            <v>0</v>
          </cell>
          <cell r="AE17">
            <v>0</v>
          </cell>
        </row>
        <row r="18">
          <cell r="C18">
            <v>11</v>
          </cell>
          <cell r="D18">
            <v>2250</v>
          </cell>
          <cell r="E18">
            <v>2250</v>
          </cell>
          <cell r="F18">
            <v>3150</v>
          </cell>
          <cell r="G18">
            <v>1350</v>
          </cell>
          <cell r="H18">
            <v>1800</v>
          </cell>
          <cell r="I18">
            <v>900</v>
          </cell>
          <cell r="J18">
            <v>900</v>
          </cell>
          <cell r="K18">
            <v>2700</v>
          </cell>
          <cell r="L18">
            <v>2700</v>
          </cell>
          <cell r="M18">
            <v>3600</v>
          </cell>
          <cell r="N18">
            <v>3600</v>
          </cell>
          <cell r="O18">
            <v>1800</v>
          </cell>
          <cell r="P18">
            <v>27000</v>
          </cell>
          <cell r="Q18">
            <v>27000</v>
          </cell>
          <cell r="S18">
            <v>2687</v>
          </cell>
          <cell r="T18">
            <v>1151</v>
          </cell>
          <cell r="U18">
            <v>0</v>
          </cell>
          <cell r="W18">
            <v>797</v>
          </cell>
          <cell r="AE18">
            <v>4635</v>
          </cell>
        </row>
        <row r="19">
          <cell r="C19">
            <v>12</v>
          </cell>
          <cell r="D19">
            <v>250</v>
          </cell>
          <cell r="E19">
            <v>250</v>
          </cell>
          <cell r="F19">
            <v>350</v>
          </cell>
          <cell r="G19">
            <v>150</v>
          </cell>
          <cell r="H19">
            <v>200</v>
          </cell>
          <cell r="I19">
            <v>100</v>
          </cell>
          <cell r="J19">
            <v>100</v>
          </cell>
          <cell r="K19">
            <v>300</v>
          </cell>
          <cell r="L19">
            <v>300</v>
          </cell>
          <cell r="M19">
            <v>400</v>
          </cell>
          <cell r="N19">
            <v>400</v>
          </cell>
          <cell r="O19">
            <v>200</v>
          </cell>
          <cell r="P19">
            <v>3000</v>
          </cell>
          <cell r="Q19">
            <v>3000</v>
          </cell>
          <cell r="S19">
            <v>379</v>
          </cell>
          <cell r="T19">
            <v>232</v>
          </cell>
          <cell r="U19">
            <v>0</v>
          </cell>
          <cell r="AE19">
            <v>611</v>
          </cell>
        </row>
        <row r="20">
          <cell r="C20">
            <v>13</v>
          </cell>
          <cell r="D20">
            <v>750</v>
          </cell>
          <cell r="E20">
            <v>750</v>
          </cell>
          <cell r="F20">
            <v>1050</v>
          </cell>
          <cell r="G20">
            <v>450</v>
          </cell>
          <cell r="H20">
            <v>600</v>
          </cell>
          <cell r="I20">
            <v>300</v>
          </cell>
          <cell r="J20">
            <v>300</v>
          </cell>
          <cell r="K20">
            <v>900</v>
          </cell>
          <cell r="L20">
            <v>900</v>
          </cell>
          <cell r="M20">
            <v>1200</v>
          </cell>
          <cell r="N20">
            <v>1200</v>
          </cell>
          <cell r="O20">
            <v>600</v>
          </cell>
          <cell r="S20">
            <v>0</v>
          </cell>
          <cell r="T20">
            <v>3200</v>
          </cell>
          <cell r="U20">
            <v>0</v>
          </cell>
          <cell r="AE20">
            <v>3200</v>
          </cell>
        </row>
        <row r="21">
          <cell r="C21">
            <v>14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S21">
            <v>0</v>
          </cell>
          <cell r="T21">
            <v>0</v>
          </cell>
          <cell r="U21">
            <v>0</v>
          </cell>
          <cell r="AE21">
            <v>0</v>
          </cell>
        </row>
        <row r="22">
          <cell r="C22">
            <v>15</v>
          </cell>
          <cell r="D22">
            <v>625</v>
          </cell>
          <cell r="E22">
            <v>625</v>
          </cell>
          <cell r="F22">
            <v>875</v>
          </cell>
          <cell r="G22">
            <v>375</v>
          </cell>
          <cell r="H22">
            <v>500</v>
          </cell>
          <cell r="I22">
            <v>250</v>
          </cell>
          <cell r="J22">
            <v>250</v>
          </cell>
          <cell r="K22">
            <v>750</v>
          </cell>
          <cell r="L22">
            <v>750</v>
          </cell>
          <cell r="M22">
            <v>1000</v>
          </cell>
          <cell r="N22">
            <v>1000</v>
          </cell>
          <cell r="O22">
            <v>500</v>
          </cell>
          <cell r="P22">
            <v>7500</v>
          </cell>
          <cell r="Q22">
            <v>7500</v>
          </cell>
          <cell r="S22">
            <v>0</v>
          </cell>
          <cell r="T22">
            <v>0</v>
          </cell>
          <cell r="U22">
            <v>0</v>
          </cell>
          <cell r="AE22">
            <v>0</v>
          </cell>
        </row>
        <row r="23">
          <cell r="C23">
            <v>16</v>
          </cell>
          <cell r="D23">
            <v>64000</v>
          </cell>
          <cell r="E23">
            <v>64000</v>
          </cell>
          <cell r="F23">
            <v>89600</v>
          </cell>
          <cell r="G23">
            <v>38400</v>
          </cell>
          <cell r="H23">
            <v>51200</v>
          </cell>
          <cell r="I23">
            <v>25600</v>
          </cell>
          <cell r="J23">
            <v>25600</v>
          </cell>
          <cell r="K23">
            <v>76800</v>
          </cell>
          <cell r="L23">
            <v>76800</v>
          </cell>
          <cell r="M23">
            <v>102400</v>
          </cell>
          <cell r="N23">
            <v>102400</v>
          </cell>
          <cell r="O23">
            <v>51200</v>
          </cell>
          <cell r="P23">
            <v>759000</v>
          </cell>
          <cell r="Q23">
            <v>759000</v>
          </cell>
          <cell r="S23">
            <v>70124</v>
          </cell>
          <cell r="T23">
            <v>44233.27</v>
          </cell>
          <cell r="U23">
            <v>0</v>
          </cell>
          <cell r="V23">
            <v>0</v>
          </cell>
          <cell r="W23">
            <v>43874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159753</v>
          </cell>
        </row>
        <row r="26">
          <cell r="C26">
            <v>17</v>
          </cell>
          <cell r="D26">
            <v>4700</v>
          </cell>
          <cell r="E26">
            <v>4700</v>
          </cell>
          <cell r="F26">
            <v>6580</v>
          </cell>
          <cell r="G26">
            <v>2820</v>
          </cell>
          <cell r="H26">
            <v>3760</v>
          </cell>
          <cell r="I26">
            <v>1880</v>
          </cell>
          <cell r="J26">
            <v>1880</v>
          </cell>
          <cell r="K26">
            <v>5640</v>
          </cell>
          <cell r="L26">
            <v>5640</v>
          </cell>
          <cell r="M26">
            <v>7520</v>
          </cell>
          <cell r="N26">
            <v>7520</v>
          </cell>
          <cell r="O26">
            <v>3760</v>
          </cell>
          <cell r="P26">
            <v>56400</v>
          </cell>
          <cell r="Q26">
            <v>56400</v>
          </cell>
          <cell r="S26">
            <v>1800</v>
          </cell>
          <cell r="T26">
            <v>1600</v>
          </cell>
          <cell r="U26">
            <v>0</v>
          </cell>
          <cell r="W26">
            <v>5200</v>
          </cell>
          <cell r="AE26">
            <v>8600</v>
          </cell>
        </row>
        <row r="27">
          <cell r="C27">
            <v>18</v>
          </cell>
          <cell r="D27">
            <v>5450</v>
          </cell>
          <cell r="E27">
            <v>5450</v>
          </cell>
          <cell r="F27">
            <v>7630</v>
          </cell>
          <cell r="G27">
            <v>3270</v>
          </cell>
          <cell r="H27">
            <v>4360</v>
          </cell>
          <cell r="I27">
            <v>2180</v>
          </cell>
          <cell r="J27">
            <v>2180</v>
          </cell>
          <cell r="K27">
            <v>6540</v>
          </cell>
          <cell r="L27">
            <v>6540</v>
          </cell>
          <cell r="M27">
            <v>8720</v>
          </cell>
          <cell r="N27">
            <v>8720</v>
          </cell>
          <cell r="O27">
            <v>4360</v>
          </cell>
          <cell r="P27">
            <v>65400</v>
          </cell>
          <cell r="Q27">
            <v>65400</v>
          </cell>
          <cell r="S27">
            <v>3205</v>
          </cell>
          <cell r="T27">
            <v>4630</v>
          </cell>
          <cell r="U27">
            <v>0</v>
          </cell>
          <cell r="W27">
            <v>10408</v>
          </cell>
          <cell r="AE27">
            <v>18243</v>
          </cell>
        </row>
        <row r="28">
          <cell r="C28">
            <v>19</v>
          </cell>
          <cell r="D28">
            <v>1975</v>
          </cell>
          <cell r="E28">
            <v>1975</v>
          </cell>
          <cell r="F28">
            <v>2765</v>
          </cell>
          <cell r="G28">
            <v>1185</v>
          </cell>
          <cell r="H28">
            <v>1580</v>
          </cell>
          <cell r="I28">
            <v>790</v>
          </cell>
          <cell r="J28">
            <v>790</v>
          </cell>
          <cell r="K28">
            <v>2370</v>
          </cell>
          <cell r="L28">
            <v>2370</v>
          </cell>
          <cell r="M28">
            <v>3160</v>
          </cell>
          <cell r="N28">
            <v>3160</v>
          </cell>
          <cell r="O28">
            <v>1580</v>
          </cell>
          <cell r="P28">
            <v>23700</v>
          </cell>
          <cell r="Q28">
            <v>23700</v>
          </cell>
          <cell r="S28">
            <v>2404</v>
          </cell>
          <cell r="T28">
            <v>1740</v>
          </cell>
          <cell r="U28">
            <v>0</v>
          </cell>
          <cell r="W28">
            <v>1987</v>
          </cell>
          <cell r="AE28">
            <v>6131</v>
          </cell>
        </row>
        <row r="29">
          <cell r="C29">
            <v>20</v>
          </cell>
          <cell r="D29">
            <v>1600</v>
          </cell>
          <cell r="E29">
            <v>1600</v>
          </cell>
          <cell r="F29">
            <v>2240</v>
          </cell>
          <cell r="G29">
            <v>960</v>
          </cell>
          <cell r="H29">
            <v>1280</v>
          </cell>
          <cell r="I29">
            <v>640</v>
          </cell>
          <cell r="J29">
            <v>640</v>
          </cell>
          <cell r="K29">
            <v>1920</v>
          </cell>
          <cell r="L29">
            <v>1920</v>
          </cell>
          <cell r="M29">
            <v>2560</v>
          </cell>
          <cell r="N29">
            <v>2560</v>
          </cell>
          <cell r="O29">
            <v>1280</v>
          </cell>
          <cell r="P29">
            <v>19200</v>
          </cell>
          <cell r="Q29">
            <v>19200</v>
          </cell>
          <cell r="S29">
            <v>88</v>
          </cell>
          <cell r="T29">
            <v>440</v>
          </cell>
          <cell r="U29">
            <v>0</v>
          </cell>
          <cell r="W29">
            <v>599</v>
          </cell>
          <cell r="AE29">
            <v>1127</v>
          </cell>
        </row>
        <row r="30">
          <cell r="C30">
            <v>21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U30">
            <v>-21158.019999999997</v>
          </cell>
          <cell r="AE30">
            <v>-21158.019999999997</v>
          </cell>
        </row>
        <row r="31">
          <cell r="C31">
            <v>22</v>
          </cell>
          <cell r="D31">
            <v>13725</v>
          </cell>
          <cell r="E31">
            <v>13725</v>
          </cell>
          <cell r="F31">
            <v>19215</v>
          </cell>
          <cell r="G31">
            <v>8235</v>
          </cell>
          <cell r="H31">
            <v>10980</v>
          </cell>
          <cell r="I31">
            <v>5490</v>
          </cell>
          <cell r="J31">
            <v>5490</v>
          </cell>
          <cell r="K31">
            <v>16470</v>
          </cell>
          <cell r="L31">
            <v>16470</v>
          </cell>
          <cell r="M31">
            <v>21960</v>
          </cell>
          <cell r="N31">
            <v>21960</v>
          </cell>
          <cell r="O31">
            <v>10980</v>
          </cell>
          <cell r="P31">
            <v>164700</v>
          </cell>
          <cell r="Q31">
            <v>164700</v>
          </cell>
          <cell r="S31">
            <v>7497</v>
          </cell>
          <cell r="T31">
            <v>6900</v>
          </cell>
          <cell r="U31">
            <v>-21158.019999999997</v>
          </cell>
          <cell r="V31">
            <v>0</v>
          </cell>
          <cell r="W31">
            <v>18194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12942.980000000003</v>
          </cell>
        </row>
        <row r="34">
          <cell r="C34">
            <v>23</v>
          </cell>
          <cell r="D34">
            <v>39400</v>
          </cell>
          <cell r="E34">
            <v>39400</v>
          </cell>
          <cell r="F34">
            <v>55160</v>
          </cell>
          <cell r="G34">
            <v>23640</v>
          </cell>
          <cell r="H34">
            <v>31520</v>
          </cell>
          <cell r="I34">
            <v>15760</v>
          </cell>
          <cell r="J34">
            <v>15760</v>
          </cell>
          <cell r="K34">
            <v>47280</v>
          </cell>
          <cell r="L34">
            <v>47280</v>
          </cell>
          <cell r="M34">
            <v>63040</v>
          </cell>
          <cell r="N34">
            <v>63040</v>
          </cell>
          <cell r="O34">
            <v>31520</v>
          </cell>
          <cell r="P34">
            <v>472800</v>
          </cell>
          <cell r="Q34">
            <v>472800</v>
          </cell>
          <cell r="S34">
            <v>26918.080000000002</v>
          </cell>
          <cell r="T34">
            <v>18391.919999999998</v>
          </cell>
          <cell r="U34">
            <v>0</v>
          </cell>
          <cell r="W34">
            <v>18671</v>
          </cell>
          <cell r="AE34">
            <v>63981</v>
          </cell>
        </row>
        <row r="35">
          <cell r="C35">
            <v>24</v>
          </cell>
          <cell r="D35">
            <v>31300</v>
          </cell>
          <cell r="E35">
            <v>31300</v>
          </cell>
          <cell r="F35">
            <v>43820</v>
          </cell>
          <cell r="G35">
            <v>18780</v>
          </cell>
          <cell r="H35">
            <v>25040</v>
          </cell>
          <cell r="I35">
            <v>12520</v>
          </cell>
          <cell r="J35">
            <v>12520</v>
          </cell>
          <cell r="K35">
            <v>37560</v>
          </cell>
          <cell r="L35">
            <v>37560</v>
          </cell>
          <cell r="M35">
            <v>50080</v>
          </cell>
          <cell r="N35">
            <v>50080</v>
          </cell>
          <cell r="O35">
            <v>25040</v>
          </cell>
          <cell r="P35">
            <v>375600</v>
          </cell>
          <cell r="Q35">
            <v>375600</v>
          </cell>
          <cell r="S35">
            <v>9081.92</v>
          </cell>
          <cell r="T35">
            <v>30608.080000000002</v>
          </cell>
          <cell r="U35">
            <v>0</v>
          </cell>
          <cell r="W35">
            <v>7329</v>
          </cell>
          <cell r="AE35">
            <v>47019</v>
          </cell>
        </row>
        <row r="36">
          <cell r="C36">
            <v>25</v>
          </cell>
          <cell r="D36">
            <v>70700</v>
          </cell>
          <cell r="E36">
            <v>70700</v>
          </cell>
          <cell r="F36">
            <v>98980</v>
          </cell>
          <cell r="G36">
            <v>42420</v>
          </cell>
          <cell r="H36">
            <v>56560</v>
          </cell>
          <cell r="I36">
            <v>28280</v>
          </cell>
          <cell r="J36">
            <v>28280</v>
          </cell>
          <cell r="K36">
            <v>84840</v>
          </cell>
          <cell r="L36">
            <v>84840</v>
          </cell>
          <cell r="M36">
            <v>113120</v>
          </cell>
          <cell r="N36">
            <v>113120</v>
          </cell>
          <cell r="O36">
            <v>56560</v>
          </cell>
          <cell r="P36">
            <v>848400</v>
          </cell>
          <cell r="Q36">
            <v>848400</v>
          </cell>
          <cell r="S36">
            <v>36000</v>
          </cell>
          <cell r="T36">
            <v>49000</v>
          </cell>
          <cell r="U36">
            <v>0</v>
          </cell>
          <cell r="V36">
            <v>0</v>
          </cell>
          <cell r="W36">
            <v>26000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111000</v>
          </cell>
        </row>
        <row r="39">
          <cell r="C39">
            <v>30</v>
          </cell>
          <cell r="D39">
            <v>2988.9913702815707</v>
          </cell>
          <cell r="E39">
            <v>2916.0219836730239</v>
          </cell>
          <cell r="F39">
            <v>4546.0210653501272</v>
          </cell>
          <cell r="G39">
            <v>1970.9086921549269</v>
          </cell>
          <cell r="H39">
            <v>2505.8163427777376</v>
          </cell>
          <cell r="I39">
            <v>1441.2698319398517</v>
          </cell>
          <cell r="J39">
            <v>1405.559142131541</v>
          </cell>
          <cell r="K39">
            <v>4050.3787518572572</v>
          </cell>
          <cell r="L39">
            <v>4231.5194723811692</v>
          </cell>
          <cell r="M39">
            <v>4527.9284310813428</v>
          </cell>
          <cell r="N39">
            <v>4316.0359691173126</v>
          </cell>
          <cell r="O39">
            <v>2626.5574743839329</v>
          </cell>
          <cell r="P39">
            <v>37527.008527129794</v>
          </cell>
          <cell r="Q39">
            <v>37527.008527129794</v>
          </cell>
          <cell r="S39">
            <v>3787.5909228847336</v>
          </cell>
          <cell r="T39">
            <v>3017.0879940115501</v>
          </cell>
          <cell r="U39">
            <v>0</v>
          </cell>
          <cell r="V39">
            <v>0</v>
          </cell>
          <cell r="W39">
            <v>2978.6905585713121</v>
          </cell>
          <cell r="AE39">
            <v>9783.3694754675962</v>
          </cell>
        </row>
        <row r="40">
          <cell r="C40">
            <v>31</v>
          </cell>
          <cell r="D40">
            <v>587.83466671222095</v>
          </cell>
          <cell r="E40">
            <v>562.19242408051787</v>
          </cell>
          <cell r="F40">
            <v>876.44695992006052</v>
          </cell>
          <cell r="G40">
            <v>324.30013340008719</v>
          </cell>
          <cell r="H40">
            <v>412.31568843020773</v>
          </cell>
          <cell r="I40">
            <v>237.15152336791976</v>
          </cell>
          <cell r="J40">
            <v>226.70403648723359</v>
          </cell>
          <cell r="K40">
            <v>643.95518402993753</v>
          </cell>
          <cell r="L40">
            <v>672.7540972097986</v>
          </cell>
          <cell r="M40">
            <v>719.87909396729174</v>
          </cell>
          <cell r="N40">
            <v>686.19107176047066</v>
          </cell>
          <cell r="O40">
            <v>417.58694813578785</v>
          </cell>
          <cell r="P40">
            <v>6367.311827501534</v>
          </cell>
          <cell r="Q40">
            <v>6367.311827501534</v>
          </cell>
          <cell r="S40">
            <v>834.67999426583083</v>
          </cell>
          <cell r="T40">
            <v>680.46119854438359</v>
          </cell>
          <cell r="U40">
            <v>0</v>
          </cell>
          <cell r="V40">
            <v>0</v>
          </cell>
          <cell r="W40">
            <v>682.30105648492417</v>
          </cell>
          <cell r="AE40">
            <v>2197.4422492951385</v>
          </cell>
        </row>
        <row r="41">
          <cell r="C41">
            <v>32</v>
          </cell>
          <cell r="D41">
            <v>126.56206202649598</v>
          </cell>
          <cell r="E41">
            <v>123.58396769011524</v>
          </cell>
          <cell r="F41">
            <v>192.6649811299263</v>
          </cell>
          <cell r="G41">
            <v>83.610191770269054</v>
          </cell>
          <cell r="H41">
            <v>106.30212642253233</v>
          </cell>
          <cell r="I41">
            <v>61.141770555305847</v>
          </cell>
          <cell r="J41">
            <v>59.678656808649095</v>
          </cell>
          <cell r="K41">
            <v>172.08088288225647</v>
          </cell>
          <cell r="L41">
            <v>179.77667061553691</v>
          </cell>
          <cell r="M41">
            <v>192.36964486120414</v>
          </cell>
          <cell r="N41">
            <v>183.36736528077091</v>
          </cell>
          <cell r="O41">
            <v>111.58964551789788</v>
          </cell>
          <cell r="P41">
            <v>1592.72796556096</v>
          </cell>
          <cell r="Q41">
            <v>1592.72796556096</v>
          </cell>
          <cell r="S41">
            <v>149.16868510661274</v>
          </cell>
          <cell r="T41">
            <v>119.02497940453161</v>
          </cell>
          <cell r="U41">
            <v>0</v>
          </cell>
          <cell r="V41">
            <v>0</v>
          </cell>
          <cell r="W41">
            <v>94.375242129868155</v>
          </cell>
          <cell r="AE41">
            <v>362.56890664101252</v>
          </cell>
        </row>
        <row r="42">
          <cell r="C42">
            <v>33</v>
          </cell>
          <cell r="D42">
            <v>159.52274845035043</v>
          </cell>
          <cell r="E42">
            <v>152.56412342757244</v>
          </cell>
          <cell r="F42">
            <v>237.84447538520018</v>
          </cell>
          <cell r="G42">
            <v>88.006460884899838</v>
          </cell>
          <cell r="H42">
            <v>111.8915497370371</v>
          </cell>
          <cell r="I42">
            <v>64.356637927511954</v>
          </cell>
          <cell r="J42">
            <v>61.521466890513665</v>
          </cell>
          <cell r="K42">
            <v>174.75236942022156</v>
          </cell>
          <cell r="L42">
            <v>182.56763116470034</v>
          </cell>
          <cell r="M42">
            <v>195.35610627372182</v>
          </cell>
          <cell r="N42">
            <v>186.21406992131423</v>
          </cell>
          <cell r="O42">
            <v>113.32202991054035</v>
          </cell>
          <cell r="P42">
            <v>1727.9196693935839</v>
          </cell>
          <cell r="Q42">
            <v>1727.9196693935839</v>
          </cell>
          <cell r="S42">
            <v>176.76321046448632</v>
          </cell>
          <cell r="T42">
            <v>148.71251329806168</v>
          </cell>
          <cell r="U42">
            <v>0</v>
          </cell>
          <cell r="V42">
            <v>0</v>
          </cell>
          <cell r="W42">
            <v>132.06369244598235</v>
          </cell>
          <cell r="AE42">
            <v>457.53941620853038</v>
          </cell>
        </row>
        <row r="43">
          <cell r="C43">
            <v>34</v>
          </cell>
          <cell r="D43">
            <v>25.52363975205607</v>
          </cell>
          <cell r="E43">
            <v>24.410259748411587</v>
          </cell>
          <cell r="F43">
            <v>38.055116061632027</v>
          </cell>
          <cell r="G43">
            <v>14.081033741583976</v>
          </cell>
          <cell r="H43">
            <v>17.902647957925936</v>
          </cell>
          <cell r="I43">
            <v>10.297062068401912</v>
          </cell>
          <cell r="J43">
            <v>9.8434347024821864</v>
          </cell>
          <cell r="K43">
            <v>27.960379107235454</v>
          </cell>
          <cell r="L43">
            <v>29.210820986352058</v>
          </cell>
          <cell r="M43">
            <v>31.256977003795491</v>
          </cell>
          <cell r="N43">
            <v>29.794251187410275</v>
          </cell>
          <cell r="O43">
            <v>18.131524785686455</v>
          </cell>
          <cell r="P43">
            <v>276.4671471029734</v>
          </cell>
          <cell r="Q43">
            <v>276.4671471029734</v>
          </cell>
          <cell r="S43">
            <v>71.587517756376016</v>
          </cell>
          <cell r="T43">
            <v>57.145854157640251</v>
          </cell>
          <cell r="U43">
            <v>0</v>
          </cell>
          <cell r="V43">
            <v>0</v>
          </cell>
          <cell r="W43">
            <v>51.194645894082278</v>
          </cell>
          <cell r="AE43">
            <v>179.92801780809853</v>
          </cell>
        </row>
        <row r="44">
          <cell r="C44">
            <v>35</v>
          </cell>
          <cell r="D44">
            <v>382.85459628084106</v>
          </cell>
          <cell r="E44">
            <v>366.15389622617386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749.00849250701492</v>
          </cell>
          <cell r="Q44">
            <v>749.00849250701492</v>
          </cell>
          <cell r="S44">
            <v>0</v>
          </cell>
          <cell r="T44">
            <v>4.8668005117846764</v>
          </cell>
          <cell r="U44">
            <v>0</v>
          </cell>
          <cell r="V44">
            <v>0</v>
          </cell>
          <cell r="W44">
            <v>2.2416922121108827</v>
          </cell>
          <cell r="AE44">
            <v>7.1084927238955586</v>
          </cell>
        </row>
        <row r="45">
          <cell r="C45">
            <v>36</v>
          </cell>
          <cell r="D45">
            <v>81.324697159988659</v>
          </cell>
          <cell r="E45">
            <v>77.777190123376428</v>
          </cell>
          <cell r="F45">
            <v>121.25311355137507</v>
          </cell>
          <cell r="G45">
            <v>44.865693759121939</v>
          </cell>
          <cell r="H45">
            <v>57.042312055941508</v>
          </cell>
          <cell r="I45">
            <v>32.809014015445591</v>
          </cell>
          <cell r="J45">
            <v>31.363643820783867</v>
          </cell>
          <cell r="K45">
            <v>89.088757930428955</v>
          </cell>
          <cell r="L45">
            <v>93.072978367764236</v>
          </cell>
          <cell r="M45">
            <v>99.592542978343374</v>
          </cell>
          <cell r="N45">
            <v>94.931932845885981</v>
          </cell>
          <cell r="O45">
            <v>57.771570848393473</v>
          </cell>
          <cell r="P45">
            <v>880.893447456849</v>
          </cell>
          <cell r="Q45">
            <v>880.893447456849</v>
          </cell>
          <cell r="S45">
            <v>2.6902189596206512</v>
          </cell>
          <cell r="T45">
            <v>111.1695907146475</v>
          </cell>
          <cell r="U45">
            <v>0</v>
          </cell>
          <cell r="V45">
            <v>0</v>
          </cell>
          <cell r="W45">
            <v>65.359338559357909</v>
          </cell>
          <cell r="AE45">
            <v>179.21914823362607</v>
          </cell>
        </row>
        <row r="46">
          <cell r="C46">
            <v>37</v>
          </cell>
          <cell r="D46">
            <v>521.68958392415834</v>
          </cell>
          <cell r="E46">
            <v>498.93269045233376</v>
          </cell>
          <cell r="F46">
            <v>777.82627623785913</v>
          </cell>
          <cell r="G46">
            <v>287.80881979331429</v>
          </cell>
          <cell r="H46">
            <v>365.92057618109527</v>
          </cell>
          <cell r="I46">
            <v>210.4664569116986</v>
          </cell>
          <cell r="J46">
            <v>201.19455548689456</v>
          </cell>
          <cell r="K46">
            <v>571.49523674970203</v>
          </cell>
          <cell r="L46">
            <v>597.05360185651</v>
          </cell>
          <cell r="M46">
            <v>638.87593956984438</v>
          </cell>
          <cell r="N46">
            <v>608.97860400336606</v>
          </cell>
          <cell r="O46">
            <v>370.59869647287877</v>
          </cell>
          <cell r="P46">
            <v>5650.841037639655</v>
          </cell>
          <cell r="Q46">
            <v>5650.841037639655</v>
          </cell>
          <cell r="S46">
            <v>518.87598183683303</v>
          </cell>
          <cell r="T46">
            <v>516.42123377534767</v>
          </cell>
          <cell r="U46">
            <v>0</v>
          </cell>
          <cell r="V46">
            <v>0</v>
          </cell>
          <cell r="W46">
            <v>369.15066502935957</v>
          </cell>
          <cell r="AE46">
            <v>1404.4478806415402</v>
          </cell>
        </row>
        <row r="47">
          <cell r="C47">
            <v>38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AE47">
            <v>0</v>
          </cell>
        </row>
        <row r="48">
          <cell r="C48">
            <v>39</v>
          </cell>
          <cell r="D48">
            <v>30.54892537373901</v>
          </cell>
          <cell r="E48">
            <v>29.216334764626978</v>
          </cell>
          <cell r="F48">
            <v>45.547692725216606</v>
          </cell>
          <cell r="G48">
            <v>16.853413272380088</v>
          </cell>
          <cell r="H48">
            <v>21.427455557742078</v>
          </cell>
          <cell r="I48">
            <v>12.324424876394394</v>
          </cell>
          <cell r="J48">
            <v>11.781483952467147</v>
          </cell>
          <cell r="K48">
            <v>33.46542824871127</v>
          </cell>
          <cell r="L48">
            <v>34.962066503302445</v>
          </cell>
          <cell r="M48">
            <v>37.411085063630281</v>
          </cell>
          <cell r="N48">
            <v>35.660366818071516</v>
          </cell>
          <cell r="O48">
            <v>21.701395371928299</v>
          </cell>
          <cell r="P48">
            <v>330.9000725282101</v>
          </cell>
          <cell r="Q48">
            <v>330.9000725282101</v>
          </cell>
          <cell r="S48">
            <v>65.514744075467618</v>
          </cell>
          <cell r="T48">
            <v>-49.36526902258484</v>
          </cell>
          <cell r="U48">
            <v>0</v>
          </cell>
          <cell r="V48">
            <v>0</v>
          </cell>
          <cell r="W48">
            <v>28.931840112556074</v>
          </cell>
          <cell r="AE48">
            <v>45.081315165438852</v>
          </cell>
        </row>
        <row r="49">
          <cell r="C49">
            <v>40</v>
          </cell>
          <cell r="D49">
            <v>34.093201798808892</v>
          </cell>
          <cell r="E49">
            <v>32.606004458940774</v>
          </cell>
          <cell r="F49">
            <v>50.832121279324973</v>
          </cell>
          <cell r="G49">
            <v>18.808740820320793</v>
          </cell>
          <cell r="H49">
            <v>23.913462009799563</v>
          </cell>
          <cell r="I49">
            <v>13.754300657867851</v>
          </cell>
          <cell r="J49">
            <v>13.148367903840576</v>
          </cell>
          <cell r="K49">
            <v>37.348076392489745</v>
          </cell>
          <cell r="L49">
            <v>39.018354132519747</v>
          </cell>
          <cell r="M49">
            <v>41.751507032819816</v>
          </cell>
          <cell r="N49">
            <v>39.797671023583263</v>
          </cell>
          <cell r="O49">
            <v>24.219184232480679</v>
          </cell>
          <cell r="P49">
            <v>369.29099174279662</v>
          </cell>
          <cell r="Q49">
            <v>369.29099174279662</v>
          </cell>
          <cell r="S49">
            <v>54.259342692937103</v>
          </cell>
          <cell r="T49">
            <v>35.991341156560139</v>
          </cell>
          <cell r="U49">
            <v>0</v>
          </cell>
          <cell r="V49">
            <v>0</v>
          </cell>
          <cell r="W49">
            <v>46.991472996374377</v>
          </cell>
          <cell r="AE49">
            <v>137.24215684587162</v>
          </cell>
        </row>
        <row r="50">
          <cell r="C50">
            <v>41</v>
          </cell>
          <cell r="D50">
            <v>597.6785641939797</v>
          </cell>
          <cell r="E50">
            <v>571.60691577530474</v>
          </cell>
          <cell r="F50">
            <v>891.1239677765501</v>
          </cell>
          <cell r="G50">
            <v>329.73087344875808</v>
          </cell>
          <cell r="H50">
            <v>419.22033968143228</v>
          </cell>
          <cell r="I50">
            <v>241.12287010174478</v>
          </cell>
          <cell r="J50">
            <v>230.50042928312453</v>
          </cell>
          <cell r="K50">
            <v>654.73887742776344</v>
          </cell>
          <cell r="L50">
            <v>684.02005809707725</v>
          </cell>
          <cell r="M50">
            <v>731.93421150554445</v>
          </cell>
          <cell r="N50">
            <v>697.68204863852395</v>
          </cell>
          <cell r="O50">
            <v>424.57987206482454</v>
          </cell>
          <cell r="P50">
            <v>6473.9390279946274</v>
          </cell>
          <cell r="Q50">
            <v>6473.9390279946274</v>
          </cell>
          <cell r="S50">
            <v>520.31999642545304</v>
          </cell>
          <cell r="T50">
            <v>352.36857609542466</v>
          </cell>
          <cell r="U50">
            <v>0</v>
          </cell>
          <cell r="V50">
            <v>0</v>
          </cell>
          <cell r="W50">
            <v>583.59654627041687</v>
          </cell>
          <cell r="AE50">
            <v>1456.2851187912945</v>
          </cell>
        </row>
        <row r="51">
          <cell r="C51">
            <v>42</v>
          </cell>
          <cell r="D51">
            <v>103.03987899904119</v>
          </cell>
          <cell r="E51">
            <v>98.545122688031981</v>
          </cell>
          <cell r="F51">
            <v>153.62991298955157</v>
          </cell>
          <cell r="G51">
            <v>56.84565473454272</v>
          </cell>
          <cell r="H51">
            <v>72.273652867182491</v>
          </cell>
          <cell r="I51">
            <v>41.569620942807724</v>
          </cell>
          <cell r="J51">
            <v>39.738310465576241</v>
          </cell>
          <cell r="K51">
            <v>112.87708602550609</v>
          </cell>
          <cell r="L51">
            <v>117.92516620416202</v>
          </cell>
          <cell r="M51">
            <v>126.18557383013737</v>
          </cell>
          <cell r="N51">
            <v>120.28049553436</v>
          </cell>
          <cell r="O51">
            <v>73.197637097771263</v>
          </cell>
          <cell r="P51">
            <v>1116.1081123786707</v>
          </cell>
          <cell r="Q51">
            <v>1116.1081123786707</v>
          </cell>
          <cell r="S51">
            <v>4.7276642010980563</v>
          </cell>
          <cell r="T51">
            <v>98.086245888534265</v>
          </cell>
          <cell r="U51">
            <v>0</v>
          </cell>
          <cell r="V51">
            <v>0</v>
          </cell>
          <cell r="W51">
            <v>16.140183927198354</v>
          </cell>
          <cell r="AE51">
            <v>118.95409401683067</v>
          </cell>
        </row>
        <row r="52">
          <cell r="C52">
            <v>43</v>
          </cell>
          <cell r="D52">
            <v>112.56437966751746</v>
          </cell>
          <cell r="E52">
            <v>107.65415014453716</v>
          </cell>
          <cell r="F52">
            <v>167.83070809122816</v>
          </cell>
          <cell r="G52">
            <v>62.100188045127844</v>
          </cell>
          <cell r="H52">
            <v>78.954274600570855</v>
          </cell>
          <cell r="I52">
            <v>45.412112668382839</v>
          </cell>
          <cell r="J52">
            <v>43.411524839178334</v>
          </cell>
          <cell r="K52">
            <v>123.3108898279697</v>
          </cell>
          <cell r="L52">
            <v>128.82558976106631</v>
          </cell>
          <cell r="M52">
            <v>137.84954892378425</v>
          </cell>
          <cell r="N52">
            <v>131.39863417398641</v>
          </cell>
          <cell r="O52">
            <v>79.963667398283292</v>
          </cell>
          <cell r="P52">
            <v>1219.2756681416327</v>
          </cell>
          <cell r="Q52">
            <v>1219.2756681416327</v>
          </cell>
          <cell r="S52">
            <v>123.96766338193105</v>
          </cell>
          <cell r="T52">
            <v>61.821922528492941</v>
          </cell>
          <cell r="U52">
            <v>0</v>
          </cell>
          <cell r="V52">
            <v>0</v>
          </cell>
          <cell r="W52">
            <v>72.714891130346743</v>
          </cell>
          <cell r="AE52">
            <v>258.50447704077072</v>
          </cell>
        </row>
        <row r="53">
          <cell r="C53">
            <v>44</v>
          </cell>
          <cell r="D53">
            <v>62.958311388404987</v>
          </cell>
          <cell r="E53">
            <v>60.211974046081934</v>
          </cell>
          <cell r="F53">
            <v>93.869286285359024</v>
          </cell>
          <cell r="G53">
            <v>34.733216562573816</v>
          </cell>
          <cell r="H53">
            <v>44.159864962883979</v>
          </cell>
          <cell r="I53">
            <v>25.399419768724723</v>
          </cell>
          <cell r="J53">
            <v>24.280472266122729</v>
          </cell>
          <cell r="K53">
            <v>68.9689351311808</v>
          </cell>
          <cell r="L53">
            <v>72.053358433001762</v>
          </cell>
          <cell r="M53">
            <v>77.100543276028887</v>
          </cell>
          <cell r="N53">
            <v>73.492486262278689</v>
          </cell>
          <cell r="O53">
            <v>44.724427804693271</v>
          </cell>
          <cell r="P53">
            <v>681.9522961873347</v>
          </cell>
          <cell r="Q53">
            <v>681.9522961873347</v>
          </cell>
          <cell r="S53">
            <v>319.2063481720474</v>
          </cell>
          <cell r="T53">
            <v>168.43120421957923</v>
          </cell>
          <cell r="U53">
            <v>0</v>
          </cell>
          <cell r="V53">
            <v>0</v>
          </cell>
          <cell r="W53">
            <v>70.178976815396311</v>
          </cell>
          <cell r="AE53">
            <v>557.816529207023</v>
          </cell>
        </row>
        <row r="54">
          <cell r="C54">
            <v>45</v>
          </cell>
          <cell r="D54">
            <v>216.95093789247662</v>
          </cell>
          <cell r="E54">
            <v>207.48720786149852</v>
          </cell>
          <cell r="F54">
            <v>323.46848652387223</v>
          </cell>
          <cell r="G54">
            <v>119.68878680346378</v>
          </cell>
          <cell r="H54">
            <v>152.17250764237045</v>
          </cell>
          <cell r="I54">
            <v>87.525027581416253</v>
          </cell>
          <cell r="J54">
            <v>83.669194971098577</v>
          </cell>
          <cell r="K54">
            <v>237.66322241150135</v>
          </cell>
          <cell r="L54">
            <v>248.29197838399247</v>
          </cell>
          <cell r="M54">
            <v>265.68430453226165</v>
          </cell>
          <cell r="N54">
            <v>253.25113509298734</v>
          </cell>
          <cell r="O54">
            <v>154.1179606783349</v>
          </cell>
          <cell r="P54">
            <v>2349.9707503752738</v>
          </cell>
          <cell r="Q54">
            <v>2349.9707503752738</v>
          </cell>
          <cell r="S54">
            <v>150.41488947761346</v>
          </cell>
          <cell r="T54">
            <v>166.07353833198064</v>
          </cell>
          <cell r="U54">
            <v>0</v>
          </cell>
          <cell r="V54">
            <v>0</v>
          </cell>
          <cell r="W54">
            <v>169.2897937433487</v>
          </cell>
          <cell r="AE54">
            <v>485.7782215529428</v>
          </cell>
        </row>
        <row r="55">
          <cell r="C55">
            <v>46</v>
          </cell>
          <cell r="D55">
            <v>814.51133708760403</v>
          </cell>
          <cell r="E55">
            <v>778.98111317500491</v>
          </cell>
          <cell r="F55">
            <v>1214.4162732075442</v>
          </cell>
          <cell r="G55">
            <v>449.35447028119597</v>
          </cell>
          <cell r="H55">
            <v>571.30996469436786</v>
          </cell>
          <cell r="I55">
            <v>328.60022609951102</v>
          </cell>
          <cell r="J55">
            <v>314.1240527972671</v>
          </cell>
          <cell r="K55">
            <v>892.27265363969411</v>
          </cell>
          <cell r="L55">
            <v>932.17680119872546</v>
          </cell>
          <cell r="M55">
            <v>997.47380781093648</v>
          </cell>
          <cell r="N55">
            <v>950.79524738342116</v>
          </cell>
          <cell r="O55">
            <v>578.61389049878107</v>
          </cell>
          <cell r="P55">
            <v>8822.6298378740539</v>
          </cell>
          <cell r="Q55">
            <v>8822.6298378740539</v>
          </cell>
          <cell r="S55">
            <v>1046.0402117919093</v>
          </cell>
          <cell r="T55">
            <v>942.74598596863802</v>
          </cell>
          <cell r="U55">
            <v>0</v>
          </cell>
          <cell r="V55">
            <v>0</v>
          </cell>
          <cell r="W55">
            <v>533.6488416693212</v>
          </cell>
          <cell r="AE55">
            <v>2522.4350394298685</v>
          </cell>
        </row>
        <row r="56">
          <cell r="C56">
            <v>47</v>
          </cell>
          <cell r="P56">
            <v>0</v>
          </cell>
          <cell r="Q56">
            <v>0</v>
          </cell>
          <cell r="AE56">
            <v>0</v>
          </cell>
        </row>
        <row r="57">
          <cell r="C57">
            <v>48</v>
          </cell>
          <cell r="D57">
            <v>392.30779618900999</v>
          </cell>
          <cell r="E57">
            <v>375.19473317002996</v>
          </cell>
          <cell r="F57">
            <v>584.92122835471457</v>
          </cell>
          <cell r="G57">
            <v>216.43070380582776</v>
          </cell>
          <cell r="H57">
            <v>275.17032972367639</v>
          </cell>
          <cell r="I57">
            <v>158.26965771802938</v>
          </cell>
          <cell r="J57">
            <v>151.29723709370768</v>
          </cell>
          <cell r="K57">
            <v>429.76138257417449</v>
          </cell>
          <cell r="L57">
            <v>448.98113738281864</v>
          </cell>
          <cell r="M57">
            <v>480.43131320648627</v>
          </cell>
          <cell r="N57">
            <v>457.94867565834306</v>
          </cell>
          <cell r="O57">
            <v>278.68825133555112</v>
          </cell>
          <cell r="P57">
            <v>4249.4024462123698</v>
          </cell>
          <cell r="Q57">
            <v>4249.4024462123698</v>
          </cell>
          <cell r="S57">
            <v>784.35707490351513</v>
          </cell>
          <cell r="T57">
            <v>461.35617080915267</v>
          </cell>
          <cell r="U57">
            <v>0</v>
          </cell>
          <cell r="V57">
            <v>0</v>
          </cell>
          <cell r="W57">
            <v>211.15339580451942</v>
          </cell>
          <cell r="AE57">
            <v>1456.8666415171872</v>
          </cell>
        </row>
        <row r="58">
          <cell r="C58">
            <v>49</v>
          </cell>
          <cell r="D58">
            <v>276.42468162973165</v>
          </cell>
          <cell r="E58">
            <v>264.36661639961329</v>
          </cell>
          <cell r="F58">
            <v>412.14236856135415</v>
          </cell>
          <cell r="G58">
            <v>152.49961631045628</v>
          </cell>
          <cell r="H58">
            <v>193.88824674585038</v>
          </cell>
          <cell r="I58">
            <v>111.51866001988587</v>
          </cell>
          <cell r="J58">
            <v>106.60581054304772</v>
          </cell>
          <cell r="K58">
            <v>302.81491856354666</v>
          </cell>
          <cell r="L58">
            <v>316.35738357594545</v>
          </cell>
          <cell r="M58">
            <v>338.51754690613814</v>
          </cell>
          <cell r="N58">
            <v>322.67601638644413</v>
          </cell>
          <cell r="O58">
            <v>196.36701563856005</v>
          </cell>
          <cell r="P58">
            <v>2994.1788812805739</v>
          </cell>
          <cell r="Q58">
            <v>2994.1788812805739</v>
          </cell>
          <cell r="S58">
            <v>232.50612978956715</v>
          </cell>
          <cell r="T58">
            <v>392.63641278810769</v>
          </cell>
          <cell r="U58">
            <v>0</v>
          </cell>
          <cell r="V58">
            <v>0</v>
          </cell>
          <cell r="W58">
            <v>263.45487722833144</v>
          </cell>
          <cell r="AE58">
            <v>888.5974198060062</v>
          </cell>
        </row>
        <row r="59">
          <cell r="C59">
            <v>50</v>
          </cell>
          <cell r="D59">
            <v>4135.7749598239006</v>
          </cell>
          <cell r="E59">
            <v>3955.3661629370636</v>
          </cell>
          <cell r="F59">
            <v>6166.3382507274127</v>
          </cell>
          <cell r="G59">
            <v>2281.6489859048111</v>
          </cell>
          <cell r="H59">
            <v>2900.8920302194806</v>
          </cell>
          <cell r="I59">
            <v>1668.50542775031</v>
          </cell>
          <cell r="J59">
            <v>1595.0009934577618</v>
          </cell>
          <cell r="K59">
            <v>4530.6169849687076</v>
          </cell>
          <cell r="L59">
            <v>4733.2348820477873</v>
          </cell>
          <cell r="M59">
            <v>5064.7879404298255</v>
          </cell>
          <cell r="N59">
            <v>4827.7721831451836</v>
          </cell>
          <cell r="O59">
            <v>2937.9785532362316</v>
          </cell>
          <cell r="P59">
            <v>44797.917354648474</v>
          </cell>
          <cell r="Q59">
            <v>44797.917354648474</v>
          </cell>
          <cell r="S59">
            <v>7892.6276830047045</v>
          </cell>
          <cell r="T59">
            <v>3097.0702564822332</v>
          </cell>
          <cell r="U59">
            <v>0</v>
          </cell>
          <cell r="V59">
            <v>0</v>
          </cell>
          <cell r="W59">
            <v>4077.0777107766671</v>
          </cell>
          <cell r="AE59">
            <v>15066.775650263604</v>
          </cell>
        </row>
        <row r="60">
          <cell r="C60">
            <v>51</v>
          </cell>
          <cell r="D60">
            <v>108.47546894623831</v>
          </cell>
          <cell r="E60">
            <v>247.15387995266732</v>
          </cell>
          <cell r="F60">
            <v>161.73424326193611</v>
          </cell>
          <cell r="G60">
            <v>59.844393401731892</v>
          </cell>
          <cell r="H60">
            <v>76.086253821185224</v>
          </cell>
          <cell r="I60">
            <v>43.762513790708127</v>
          </cell>
          <cell r="J60">
            <v>41.834597485549288</v>
          </cell>
          <cell r="K60">
            <v>118.83161120575068</v>
          </cell>
          <cell r="L60">
            <v>124.14598919199624</v>
          </cell>
          <cell r="M60">
            <v>132.84215226613082</v>
          </cell>
          <cell r="N60">
            <v>126.62556754649367</v>
          </cell>
          <cell r="O60">
            <v>77.058980339167448</v>
          </cell>
          <cell r="P60">
            <v>1318.3956512095549</v>
          </cell>
          <cell r="Q60">
            <v>1318.3956512095549</v>
          </cell>
          <cell r="S60">
            <v>175.27963383234257</v>
          </cell>
          <cell r="T60">
            <v>193.13008565680727</v>
          </cell>
          <cell r="U60">
            <v>0</v>
          </cell>
          <cell r="V60">
            <v>0</v>
          </cell>
          <cell r="W60">
            <v>55.930220692166515</v>
          </cell>
          <cell r="AE60">
            <v>424.33994018131636</v>
          </cell>
        </row>
        <row r="61">
          <cell r="C61">
            <v>52</v>
          </cell>
          <cell r="D61">
            <v>251.32497850522398</v>
          </cell>
          <cell r="E61">
            <v>240.36180051797965</v>
          </cell>
          <cell r="F61">
            <v>374.71933153393707</v>
          </cell>
          <cell r="G61">
            <v>138.65246245492267</v>
          </cell>
          <cell r="H61">
            <v>176.28295403479348</v>
          </cell>
          <cell r="I61">
            <v>101.39262770309227</v>
          </cell>
          <cell r="J61">
            <v>96.925871037637762</v>
          </cell>
          <cell r="K61">
            <v>275.31894927163705</v>
          </cell>
          <cell r="L61">
            <v>287.63174170421695</v>
          </cell>
          <cell r="M61">
            <v>307.77973478427447</v>
          </cell>
          <cell r="N61">
            <v>293.37663483719746</v>
          </cell>
          <cell r="O61">
            <v>178.53664764495434</v>
          </cell>
          <cell r="P61">
            <v>2722.303734029867</v>
          </cell>
          <cell r="Q61">
            <v>2722.303734029867</v>
          </cell>
          <cell r="S61">
            <v>355.50452310516425</v>
          </cell>
          <cell r="T61">
            <v>317.07280645548428</v>
          </cell>
          <cell r="U61">
            <v>0</v>
          </cell>
          <cell r="V61">
            <v>0</v>
          </cell>
          <cell r="W61">
            <v>248.65970862839964</v>
          </cell>
          <cell r="AE61">
            <v>921.23703818904823</v>
          </cell>
        </row>
        <row r="62">
          <cell r="C62">
            <v>53</v>
          </cell>
          <cell r="D62">
            <v>129.50883874191413</v>
          </cell>
          <cell r="E62">
            <v>123.85946613082918</v>
          </cell>
          <cell r="F62">
            <v>193.09447779420697</v>
          </cell>
          <cell r="G62">
            <v>71.4482082443335</v>
          </cell>
          <cell r="H62">
            <v>90.839361860587161</v>
          </cell>
          <cell r="I62">
            <v>52.248055680409706</v>
          </cell>
          <cell r="J62">
            <v>49.946316823705914</v>
          </cell>
          <cell r="K62">
            <v>141.87303472930583</v>
          </cell>
          <cell r="L62">
            <v>148.21786944926782</v>
          </cell>
          <cell r="M62">
            <v>158.60021664888822</v>
          </cell>
          <cell r="N62">
            <v>151.17823750648918</v>
          </cell>
          <cell r="O62">
            <v>92.000699838483129</v>
          </cell>
          <cell r="P62">
            <v>1402.8147834484207</v>
          </cell>
          <cell r="Q62">
            <v>1402.8147834484207</v>
          </cell>
          <cell r="S62">
            <v>147.52686030037364</v>
          </cell>
          <cell r="T62">
            <v>178.85208405798869</v>
          </cell>
          <cell r="U62">
            <v>0</v>
          </cell>
          <cell r="V62">
            <v>0</v>
          </cell>
          <cell r="W62">
            <v>121.34560155682721</v>
          </cell>
          <cell r="AE62">
            <v>447.72454591518954</v>
          </cell>
        </row>
        <row r="63">
          <cell r="C63">
            <v>54</v>
          </cell>
          <cell r="D63">
            <v>56.719199449013495</v>
          </cell>
          <cell r="E63">
            <v>54.245021663136868</v>
          </cell>
          <cell r="F63">
            <v>84.566924581404507</v>
          </cell>
          <cell r="G63">
            <v>31.291186092408829</v>
          </cell>
          <cell r="H63">
            <v>39.783662128724302</v>
          </cell>
          <cell r="I63">
            <v>22.882360152004249</v>
          </cell>
          <cell r="J63">
            <v>21.874299338849301</v>
          </cell>
          <cell r="K63">
            <v>62.134175793856556</v>
          </cell>
          <cell r="L63">
            <v>64.9129355252268</v>
          </cell>
          <cell r="M63">
            <v>69.459948897323301</v>
          </cell>
          <cell r="N63">
            <v>66.209447083133938</v>
          </cell>
          <cell r="O63">
            <v>40.292277301525459</v>
          </cell>
          <cell r="P63">
            <v>614.37143800660772</v>
          </cell>
          <cell r="Q63">
            <v>614.37143800660772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AE63">
            <v>0</v>
          </cell>
        </row>
        <row r="64">
          <cell r="C64">
            <v>55</v>
          </cell>
          <cell r="D64">
            <v>249.32814757795512</v>
          </cell>
          <cell r="E64">
            <v>238.45207439420577</v>
          </cell>
          <cell r="F64">
            <v>371.74210597242393</v>
          </cell>
          <cell r="G64">
            <v>137.55083886454713</v>
          </cell>
          <cell r="H64">
            <v>174.88234810751723</v>
          </cell>
          <cell r="I64">
            <v>100.58704150151867</v>
          </cell>
          <cell r="J64">
            <v>96.155774177025052</v>
          </cell>
          <cell r="K64">
            <v>273.1314810938278</v>
          </cell>
          <cell r="L64">
            <v>285.34644574630943</v>
          </cell>
          <cell r="M64">
            <v>305.33435869448368</v>
          </cell>
          <cell r="N64">
            <v>291.0456944696096</v>
          </cell>
          <cell r="O64">
            <v>177.11813563795565</v>
          </cell>
          <cell r="P64">
            <v>2700.674446237379</v>
          </cell>
          <cell r="Q64">
            <v>2700.674446237379</v>
          </cell>
          <cell r="S64">
            <v>366.66101937888521</v>
          </cell>
          <cell r="T64">
            <v>172.91417110613429</v>
          </cell>
          <cell r="U64">
            <v>0</v>
          </cell>
          <cell r="V64">
            <v>0</v>
          </cell>
          <cell r="W64">
            <v>211.48964963633608</v>
          </cell>
          <cell r="AE64">
            <v>751.06484012135547</v>
          </cell>
        </row>
        <row r="65">
          <cell r="C65">
            <v>56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71.091472851260235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71.091472851260235</v>
          </cell>
          <cell r="Q65">
            <v>71.091472851260235</v>
          </cell>
          <cell r="S65">
            <v>166.08145871305138</v>
          </cell>
          <cell r="T65">
            <v>63.34608726783059</v>
          </cell>
          <cell r="U65">
            <v>0</v>
          </cell>
          <cell r="V65">
            <v>0</v>
          </cell>
          <cell r="W65">
            <v>11.908989876839064</v>
          </cell>
          <cell r="AE65">
            <v>241.33653585772103</v>
          </cell>
        </row>
        <row r="66">
          <cell r="C66">
            <v>57</v>
          </cell>
          <cell r="D66">
            <v>184.32558170940865</v>
          </cell>
          <cell r="E66">
            <v>199.18631821731245</v>
          </cell>
          <cell r="F66">
            <v>222.62309844870043</v>
          </cell>
          <cell r="G66">
            <v>128.69749320347989</v>
          </cell>
          <cell r="H66">
            <v>182.09038516505137</v>
          </cell>
          <cell r="I66">
            <v>74.362903335648838</v>
          </cell>
          <cell r="J66">
            <v>80.338267810692571</v>
          </cell>
          <cell r="K66">
            <v>255.17040667557762</v>
          </cell>
          <cell r="L66">
            <v>238.40730703277575</v>
          </cell>
          <cell r="M66">
            <v>417.33042263071286</v>
          </cell>
          <cell r="N66">
            <v>437.10999704520634</v>
          </cell>
          <cell r="O66">
            <v>179.0488240471027</v>
          </cell>
          <cell r="P66">
            <v>2598.6910053216693</v>
          </cell>
          <cell r="Q66">
            <v>2598.6910053216693</v>
          </cell>
          <cell r="S66">
            <v>14.143430559770334</v>
          </cell>
          <cell r="T66">
            <v>222.01728920919504</v>
          </cell>
          <cell r="U66">
            <v>0</v>
          </cell>
          <cell r="V66">
            <v>0</v>
          </cell>
          <cell r="W66">
            <v>84.063457954158096</v>
          </cell>
          <cell r="AE66">
            <v>320.22417772312349</v>
          </cell>
        </row>
        <row r="67">
          <cell r="C67">
            <v>57.5</v>
          </cell>
          <cell r="P67">
            <v>0</v>
          </cell>
          <cell r="Q67">
            <v>0</v>
          </cell>
          <cell r="AE67">
            <v>0</v>
          </cell>
        </row>
        <row r="68">
          <cell r="C68">
            <v>58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S68">
            <v>-549.95196702480405</v>
          </cell>
          <cell r="T68">
            <v>714.60157481596298</v>
          </cell>
          <cell r="U68">
            <v>0</v>
          </cell>
          <cell r="V68">
            <v>0</v>
          </cell>
          <cell r="W68">
            <v>-345.79503429442929</v>
          </cell>
          <cell r="AE68">
            <v>-181.14542650327036</v>
          </cell>
        </row>
        <row r="69">
          <cell r="C69">
            <v>59</v>
          </cell>
          <cell r="D69">
            <v>12630.838553561651</v>
          </cell>
          <cell r="E69">
            <v>12306.131431718391</v>
          </cell>
          <cell r="F69">
            <v>18302.712465750919</v>
          </cell>
          <cell r="G69">
            <v>7119.760257755087</v>
          </cell>
          <cell r="H69">
            <v>9070.5383373856967</v>
          </cell>
          <cell r="I69">
            <v>5186.7295471345924</v>
          </cell>
          <cell r="J69">
            <v>5067.5894134260116</v>
          </cell>
          <cell r="K69">
            <v>14280.009675958241</v>
          </cell>
          <cell r="L69">
            <v>14890.464336952022</v>
          </cell>
          <cell r="M69">
            <v>16095.732952174953</v>
          </cell>
          <cell r="N69">
            <v>15381.813802721843</v>
          </cell>
          <cell r="O69">
            <v>9273.7653102217428</v>
          </cell>
          <cell r="P69">
            <v>139606.08608476113</v>
          </cell>
          <cell r="Q69">
            <v>139606.08608476113</v>
          </cell>
          <cell r="S69">
            <v>17410.543238055514</v>
          </cell>
          <cell r="T69">
            <v>12244.040648233469</v>
          </cell>
          <cell r="U69">
            <v>0</v>
          </cell>
          <cell r="V69">
            <v>0</v>
          </cell>
          <cell r="W69">
            <v>10836.158015851774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40490.741902140755</v>
          </cell>
        </row>
        <row r="71">
          <cell r="C71">
            <v>60</v>
          </cell>
          <cell r="D71">
            <v>10444.161446438349</v>
          </cell>
          <cell r="E71">
            <v>10768.868568281609</v>
          </cell>
          <cell r="F71">
            <v>14002.287534249081</v>
          </cell>
          <cell r="G71">
            <v>6725.239742244913</v>
          </cell>
          <cell r="H71">
            <v>9389.4616626143033</v>
          </cell>
          <cell r="I71">
            <v>4043.2704528654076</v>
          </cell>
          <cell r="J71">
            <v>4162.4105865739884</v>
          </cell>
          <cell r="K71">
            <v>13409.990324041759</v>
          </cell>
          <cell r="L71">
            <v>12799.535663047978</v>
          </cell>
          <cell r="M71">
            <v>20824.267047825047</v>
          </cell>
          <cell r="N71">
            <v>21538.186197278155</v>
          </cell>
          <cell r="O71">
            <v>9186.2346897782572</v>
          </cell>
          <cell r="P71">
            <v>146293.91391523887</v>
          </cell>
          <cell r="Q71">
            <v>146293.91391523887</v>
          </cell>
          <cell r="S71">
            <v>-46031.543238055514</v>
          </cell>
          <cell r="T71">
            <v>-20857.310648233466</v>
          </cell>
          <cell r="U71">
            <v>21158.019999999997</v>
          </cell>
          <cell r="V71">
            <v>0</v>
          </cell>
          <cell r="W71">
            <v>-8564.1580158517736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-57326.721902140765</v>
          </cell>
        </row>
        <row r="72">
          <cell r="C72">
            <v>61</v>
          </cell>
          <cell r="D72">
            <v>5.9082499426055719</v>
          </cell>
          <cell r="E72">
            <v>5.6505230899100907</v>
          </cell>
          <cell r="F72">
            <v>8.8090546438963031</v>
          </cell>
          <cell r="G72">
            <v>3.2594985512925869</v>
          </cell>
          <cell r="H72">
            <v>4.1441314717421154</v>
          </cell>
          <cell r="I72">
            <v>2.3835791825004429</v>
          </cell>
          <cell r="J72">
            <v>2.2785728477968026</v>
          </cell>
          <cell r="K72">
            <v>6.4723099785267246</v>
          </cell>
          <cell r="L72">
            <v>6.7617641172111247</v>
          </cell>
          <cell r="M72">
            <v>7.2354113434711786</v>
          </cell>
          <cell r="N72">
            <v>6.8968174044931194</v>
          </cell>
          <cell r="O72">
            <v>4.1971122189089023</v>
          </cell>
          <cell r="P72">
            <v>63.997024792354964</v>
          </cell>
          <cell r="Q72">
            <v>63.997024792354964</v>
          </cell>
          <cell r="S72">
            <v>55.347298889842513</v>
          </cell>
          <cell r="T72">
            <v>-35.641693771320128</v>
          </cell>
          <cell r="U72">
            <v>0</v>
          </cell>
          <cell r="V72">
            <v>0</v>
          </cell>
          <cell r="W72">
            <v>-999.16425066679733</v>
          </cell>
          <cell r="AE72">
            <v>-979.45864554827494</v>
          </cell>
        </row>
        <row r="73">
          <cell r="C73">
            <v>62</v>
          </cell>
          <cell r="D73">
            <v>10450.069696380955</v>
          </cell>
          <cell r="E73">
            <v>10774.519091371518</v>
          </cell>
          <cell r="F73">
            <v>14011.096588892977</v>
          </cell>
          <cell r="G73">
            <v>6728.4992407962054</v>
          </cell>
          <cell r="H73">
            <v>9393.6057940860446</v>
          </cell>
          <cell r="I73">
            <v>4045.654032047908</v>
          </cell>
          <cell r="J73">
            <v>4164.689159421785</v>
          </cell>
          <cell r="K73">
            <v>13416.462634020285</v>
          </cell>
          <cell r="L73">
            <v>12806.297427165189</v>
          </cell>
          <cell r="M73">
            <v>20831.502459168518</v>
          </cell>
          <cell r="N73">
            <v>21545.083014682648</v>
          </cell>
          <cell r="O73">
            <v>9190.431801997167</v>
          </cell>
          <cell r="P73">
            <v>146357.91094003123</v>
          </cell>
          <cell r="Q73">
            <v>146357.91094003123</v>
          </cell>
          <cell r="S73">
            <v>-45976.195939165671</v>
          </cell>
          <cell r="T73">
            <v>-20892.952342004784</v>
          </cell>
          <cell r="U73">
            <v>21158.019999999997</v>
          </cell>
          <cell r="V73">
            <v>0</v>
          </cell>
          <cell r="W73">
            <v>-9563.3222665185713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-58306.180547689044</v>
          </cell>
        </row>
        <row r="76">
          <cell r="D76">
            <v>7000</v>
          </cell>
          <cell r="E76">
            <v>7000</v>
          </cell>
          <cell r="F76">
            <v>7000</v>
          </cell>
          <cell r="G76">
            <v>7000</v>
          </cell>
          <cell r="H76">
            <v>7000</v>
          </cell>
          <cell r="I76">
            <v>7000</v>
          </cell>
          <cell r="J76">
            <v>7000</v>
          </cell>
          <cell r="K76">
            <v>7000</v>
          </cell>
          <cell r="L76">
            <v>7000</v>
          </cell>
          <cell r="M76">
            <v>7000</v>
          </cell>
          <cell r="N76">
            <v>7000</v>
          </cell>
          <cell r="O76">
            <v>7000</v>
          </cell>
          <cell r="P76">
            <v>7000</v>
          </cell>
          <cell r="Q76">
            <v>7000</v>
          </cell>
          <cell r="S76">
            <v>4976.5807962529279</v>
          </cell>
          <cell r="T76">
            <v>7842.3307626392461</v>
          </cell>
          <cell r="U76">
            <v>0</v>
          </cell>
          <cell r="V76">
            <v>0</v>
          </cell>
          <cell r="W76">
            <v>7721.3675213675215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6597.280593325092</v>
          </cell>
        </row>
        <row r="77">
          <cell r="D77">
            <v>6860</v>
          </cell>
          <cell r="E77">
            <v>6860</v>
          </cell>
          <cell r="F77">
            <v>6860</v>
          </cell>
          <cell r="G77">
            <v>6860</v>
          </cell>
          <cell r="H77">
            <v>6860</v>
          </cell>
          <cell r="I77">
            <v>6860</v>
          </cell>
          <cell r="J77">
            <v>6860</v>
          </cell>
          <cell r="K77">
            <v>6860</v>
          </cell>
          <cell r="L77">
            <v>6860</v>
          </cell>
          <cell r="M77">
            <v>6860</v>
          </cell>
          <cell r="N77">
            <v>6860</v>
          </cell>
          <cell r="O77">
            <v>6860</v>
          </cell>
          <cell r="P77">
            <v>6860</v>
          </cell>
          <cell r="Q77">
            <v>6860</v>
          </cell>
          <cell r="S77">
            <v>4976.5807962529279</v>
          </cell>
          <cell r="T77">
            <v>7842.3307626392461</v>
          </cell>
          <cell r="U77">
            <v>0</v>
          </cell>
          <cell r="V77">
            <v>0</v>
          </cell>
          <cell r="W77">
            <v>7721.3675213675215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6597.280593325092</v>
          </cell>
        </row>
        <row r="78">
          <cell r="D78">
            <v>2560</v>
          </cell>
          <cell r="E78">
            <v>2560</v>
          </cell>
          <cell r="F78">
            <v>2560</v>
          </cell>
          <cell r="G78">
            <v>2560</v>
          </cell>
          <cell r="H78">
            <v>2560</v>
          </cell>
          <cell r="I78">
            <v>2560</v>
          </cell>
          <cell r="J78">
            <v>2560</v>
          </cell>
          <cell r="K78">
            <v>2560</v>
          </cell>
          <cell r="L78">
            <v>2560</v>
          </cell>
          <cell r="M78">
            <v>2560</v>
          </cell>
          <cell r="N78">
            <v>2560</v>
          </cell>
          <cell r="O78">
            <v>2560</v>
          </cell>
          <cell r="P78">
            <v>2530</v>
          </cell>
          <cell r="Q78">
            <v>2530</v>
          </cell>
          <cell r="S78">
            <v>4048.4777517564407</v>
          </cell>
          <cell r="T78">
            <v>3790.3401885175663</v>
          </cell>
          <cell r="U78">
            <v>0</v>
          </cell>
          <cell r="V78">
            <v>0</v>
          </cell>
          <cell r="W78">
            <v>3749.9145299145302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3949.3943139678613</v>
          </cell>
        </row>
        <row r="79">
          <cell r="D79">
            <v>549</v>
          </cell>
          <cell r="E79">
            <v>549</v>
          </cell>
          <cell r="F79">
            <v>549</v>
          </cell>
          <cell r="G79">
            <v>549</v>
          </cell>
          <cell r="H79">
            <v>549</v>
          </cell>
          <cell r="I79">
            <v>549</v>
          </cell>
          <cell r="J79">
            <v>549</v>
          </cell>
          <cell r="K79">
            <v>549</v>
          </cell>
          <cell r="L79">
            <v>549</v>
          </cell>
          <cell r="M79">
            <v>549</v>
          </cell>
          <cell r="N79">
            <v>549</v>
          </cell>
          <cell r="O79">
            <v>549</v>
          </cell>
          <cell r="P79">
            <v>549</v>
          </cell>
          <cell r="Q79">
            <v>549</v>
          </cell>
          <cell r="S79">
            <v>439.98829039812648</v>
          </cell>
          <cell r="T79">
            <v>591.2596401028278</v>
          </cell>
          <cell r="U79">
            <v>0</v>
          </cell>
          <cell r="V79">
            <v>0</v>
          </cell>
          <cell r="W79">
            <v>1555.0427350427351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319.97478368356002</v>
          </cell>
        </row>
        <row r="80">
          <cell r="D80">
            <v>2828</v>
          </cell>
          <cell r="E80">
            <v>2828</v>
          </cell>
          <cell r="F80">
            <v>2828</v>
          </cell>
          <cell r="G80">
            <v>2828</v>
          </cell>
          <cell r="H80">
            <v>2828</v>
          </cell>
          <cell r="I80">
            <v>2828</v>
          </cell>
          <cell r="J80">
            <v>2828</v>
          </cell>
          <cell r="K80">
            <v>2828</v>
          </cell>
          <cell r="L80">
            <v>2828</v>
          </cell>
          <cell r="M80">
            <v>2828</v>
          </cell>
          <cell r="N80">
            <v>2828</v>
          </cell>
          <cell r="O80">
            <v>2828</v>
          </cell>
          <cell r="P80">
            <v>2828</v>
          </cell>
          <cell r="Q80">
            <v>2828</v>
          </cell>
          <cell r="S80">
            <v>2107.7283372365341</v>
          </cell>
          <cell r="T80">
            <v>4198.8003427592121</v>
          </cell>
          <cell r="U80">
            <v>0</v>
          </cell>
          <cell r="V80">
            <v>0</v>
          </cell>
          <cell r="W80">
            <v>2222.2222222222222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2744.1285537700865</v>
          </cell>
        </row>
        <row r="81">
          <cell r="D81">
            <v>923</v>
          </cell>
          <cell r="E81">
            <v>923</v>
          </cell>
          <cell r="F81">
            <v>923</v>
          </cell>
          <cell r="G81">
            <v>923</v>
          </cell>
          <cell r="H81">
            <v>923</v>
          </cell>
          <cell r="I81">
            <v>923</v>
          </cell>
          <cell r="J81">
            <v>923</v>
          </cell>
          <cell r="K81">
            <v>923</v>
          </cell>
          <cell r="L81">
            <v>923</v>
          </cell>
          <cell r="M81">
            <v>923</v>
          </cell>
          <cell r="N81">
            <v>923</v>
          </cell>
          <cell r="O81">
            <v>923</v>
          </cell>
          <cell r="P81">
            <v>953</v>
          </cell>
          <cell r="Q81">
            <v>953</v>
          </cell>
          <cell r="S81">
            <v>-1619.6135831381735</v>
          </cell>
          <cell r="T81">
            <v>-738.0694087403599</v>
          </cell>
          <cell r="U81">
            <v>0</v>
          </cell>
          <cell r="V81">
            <v>0</v>
          </cell>
          <cell r="W81">
            <v>194.18803418803373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-416.21705809641571</v>
          </cell>
        </row>
        <row r="84">
          <cell r="D84">
            <v>0.02</v>
          </cell>
          <cell r="E84">
            <v>0.02</v>
          </cell>
          <cell r="F84">
            <v>0.02</v>
          </cell>
          <cell r="G84">
            <v>0.02</v>
          </cell>
          <cell r="H84">
            <v>0.02</v>
          </cell>
          <cell r="I84">
            <v>0.02</v>
          </cell>
          <cell r="J84">
            <v>0.02</v>
          </cell>
          <cell r="K84">
            <v>0.02</v>
          </cell>
          <cell r="L84">
            <v>0.02</v>
          </cell>
          <cell r="M84">
            <v>0.02</v>
          </cell>
          <cell r="N84">
            <v>0.02</v>
          </cell>
          <cell r="O84">
            <v>0.02</v>
          </cell>
          <cell r="P84">
            <v>0.02</v>
          </cell>
          <cell r="Q84">
            <v>0.02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D85">
            <v>0.36571428571428571</v>
          </cell>
          <cell r="E85">
            <v>0.36571428571428571</v>
          </cell>
          <cell r="F85">
            <v>0.36571428571428571</v>
          </cell>
          <cell r="G85">
            <v>0.36571428571428571</v>
          </cell>
          <cell r="H85">
            <v>0.36571428571428571</v>
          </cell>
          <cell r="I85">
            <v>0.36571428571428571</v>
          </cell>
          <cell r="J85">
            <v>0.36571428571428571</v>
          </cell>
          <cell r="K85">
            <v>0.36571428571428571</v>
          </cell>
          <cell r="L85">
            <v>0.36571428571428571</v>
          </cell>
          <cell r="M85">
            <v>0.36571428571428571</v>
          </cell>
          <cell r="N85">
            <v>0.36571428571428571</v>
          </cell>
          <cell r="O85">
            <v>0.36571428571428571</v>
          </cell>
          <cell r="P85">
            <v>0.36142857142857143</v>
          </cell>
          <cell r="Q85">
            <v>0.36142857142857143</v>
          </cell>
          <cell r="S85">
            <v>0.81350588235294119</v>
          </cell>
          <cell r="T85">
            <v>0.48331807255244752</v>
          </cell>
          <cell r="U85">
            <v>0</v>
          </cell>
          <cell r="V85">
            <v>0</v>
          </cell>
          <cell r="W85">
            <v>0.48565419526234227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0.59863973619126132</v>
          </cell>
        </row>
        <row r="86">
          <cell r="D86">
            <v>7.8428571428571431E-2</v>
          </cell>
          <cell r="E86">
            <v>7.8428571428571431E-2</v>
          </cell>
          <cell r="F86">
            <v>7.8428571428571431E-2</v>
          </cell>
          <cell r="G86">
            <v>7.8428571428571431E-2</v>
          </cell>
          <cell r="H86">
            <v>7.8428571428571431E-2</v>
          </cell>
          <cell r="I86">
            <v>7.8428571428571431E-2</v>
          </cell>
          <cell r="J86">
            <v>7.8428571428571431E-2</v>
          </cell>
          <cell r="K86">
            <v>7.8428571428571431E-2</v>
          </cell>
          <cell r="L86">
            <v>7.8428571428571431E-2</v>
          </cell>
          <cell r="M86">
            <v>7.8428571428571431E-2</v>
          </cell>
          <cell r="N86">
            <v>7.8428571428571431E-2</v>
          </cell>
          <cell r="O86">
            <v>7.8428571428571431E-2</v>
          </cell>
          <cell r="P86">
            <v>7.8428571428571431E-2</v>
          </cell>
          <cell r="Q86">
            <v>7.8428571428571431E-2</v>
          </cell>
          <cell r="S86">
            <v>8.8411764705882356E-2</v>
          </cell>
          <cell r="T86">
            <v>7.539335664335664E-2</v>
          </cell>
          <cell r="U86">
            <v>0</v>
          </cell>
          <cell r="V86">
            <v>0</v>
          </cell>
          <cell r="W86">
            <v>0.20139473101616118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4.8501011766469322E-2</v>
          </cell>
        </row>
        <row r="87">
          <cell r="D87">
            <v>0.40400000000000003</v>
          </cell>
          <cell r="E87">
            <v>0.40400000000000003</v>
          </cell>
          <cell r="F87">
            <v>0.40400000000000003</v>
          </cell>
          <cell r="G87">
            <v>0.40400000000000003</v>
          </cell>
          <cell r="H87">
            <v>0.40400000000000003</v>
          </cell>
          <cell r="I87">
            <v>0.40400000000000003</v>
          </cell>
          <cell r="J87">
            <v>0.40400000000000003</v>
          </cell>
          <cell r="K87">
            <v>0.40400000000000003</v>
          </cell>
          <cell r="L87">
            <v>0.40400000000000003</v>
          </cell>
          <cell r="M87">
            <v>0.40400000000000003</v>
          </cell>
          <cell r="N87">
            <v>0.40400000000000003</v>
          </cell>
          <cell r="O87">
            <v>0.40400000000000003</v>
          </cell>
          <cell r="P87">
            <v>0.40400000000000003</v>
          </cell>
          <cell r="Q87">
            <v>0.40400000000000003</v>
          </cell>
          <cell r="S87">
            <v>0.42352941176470588</v>
          </cell>
          <cell r="T87">
            <v>0.53540209790209792</v>
          </cell>
          <cell r="U87">
            <v>0</v>
          </cell>
          <cell r="V87">
            <v>0</v>
          </cell>
          <cell r="W87">
            <v>0.28780163825547928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0.41594843738289738</v>
          </cell>
        </row>
        <row r="88">
          <cell r="D88">
            <v>0.13185714285714289</v>
          </cell>
          <cell r="E88">
            <v>0.13185714285714289</v>
          </cell>
          <cell r="F88">
            <v>0.13185714285714289</v>
          </cell>
          <cell r="G88">
            <v>0.13185714285714289</v>
          </cell>
          <cell r="H88">
            <v>0.13185714285714289</v>
          </cell>
          <cell r="I88">
            <v>0.13185714285714289</v>
          </cell>
          <cell r="J88">
            <v>0.13185714285714289</v>
          </cell>
          <cell r="K88">
            <v>0.13185714285714289</v>
          </cell>
          <cell r="L88">
            <v>0.13185714285714289</v>
          </cell>
          <cell r="M88">
            <v>0.13185714285714289</v>
          </cell>
          <cell r="N88">
            <v>0.13185714285714289</v>
          </cell>
          <cell r="O88">
            <v>0.13185714285714289</v>
          </cell>
          <cell r="P88">
            <v>0.13614285714285712</v>
          </cell>
          <cell r="Q88">
            <v>0.13614285714285712</v>
          </cell>
          <cell r="S88">
            <v>-0.32544705882352942</v>
          </cell>
          <cell r="T88">
            <v>-9.4113527097902105E-2</v>
          </cell>
          <cell r="U88">
            <v>1</v>
          </cell>
          <cell r="V88">
            <v>1</v>
          </cell>
          <cell r="W88">
            <v>2.5149435466017223E-2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-6.3089185340628018E-2</v>
          </cell>
        </row>
        <row r="89">
          <cell r="D89">
            <v>7.2142458877823112E-2</v>
          </cell>
          <cell r="E89">
            <v>7.0288462335019897E-2</v>
          </cell>
          <cell r="F89">
            <v>7.4668993514722531E-2</v>
          </cell>
          <cell r="G89">
            <v>6.7776197706702804E-2</v>
          </cell>
          <cell r="H89">
            <v>6.4759958613671106E-2</v>
          </cell>
          <cell r="I89">
            <v>7.4062085256458451E-2</v>
          </cell>
          <cell r="J89">
            <v>7.2361583436831647E-2</v>
          </cell>
          <cell r="K89">
            <v>6.7969225552284351E-2</v>
          </cell>
          <cell r="L89">
            <v>7.0874774156356235E-2</v>
          </cell>
          <cell r="M89">
            <v>5.7458919788683865E-2</v>
          </cell>
          <cell r="N89">
            <v>5.491041780470482E-2</v>
          </cell>
          <cell r="O89">
            <v>6.6211201414305948E-2</v>
          </cell>
          <cell r="P89">
            <v>6.6448613838080373E-2</v>
          </cell>
          <cell r="Q89">
            <v>6.6448613838080373E-2</v>
          </cell>
          <cell r="S89">
            <v>0.19609004807922192</v>
          </cell>
          <cell r="T89">
            <v>0.13417485076491248</v>
          </cell>
          <cell r="U89">
            <v>0</v>
          </cell>
          <cell r="V89">
            <v>0</v>
          </cell>
          <cell r="W89">
            <v>0.13100865913790757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0.15540058662852818</v>
          </cell>
        </row>
        <row r="90">
          <cell r="D90">
            <v>5.9714683979319783E-2</v>
          </cell>
          <cell r="E90">
            <v>6.1568680522122998E-2</v>
          </cell>
          <cell r="F90">
            <v>5.7188149342420364E-2</v>
          </cell>
          <cell r="G90">
            <v>6.4080945150440091E-2</v>
          </cell>
          <cell r="H90">
            <v>6.7097184243471789E-2</v>
          </cell>
          <cell r="I90">
            <v>5.7795057600684444E-2</v>
          </cell>
          <cell r="J90">
            <v>5.9495559420311248E-2</v>
          </cell>
          <cell r="K90">
            <v>6.3887917304858544E-2</v>
          </cell>
          <cell r="L90">
            <v>6.098236870078666E-2</v>
          </cell>
          <cell r="M90">
            <v>7.439822306845903E-2</v>
          </cell>
          <cell r="N90">
            <v>7.6946725052438075E-2</v>
          </cell>
          <cell r="O90">
            <v>6.5645941442836947E-2</v>
          </cell>
          <cell r="P90">
            <v>6.9694243304776748E-2</v>
          </cell>
          <cell r="Q90">
            <v>6.9694243304776748E-2</v>
          </cell>
          <cell r="S90">
            <v>-0.52153710690275135</v>
          </cell>
          <cell r="T90">
            <v>-0.22828837786281458</v>
          </cell>
          <cell r="U90">
            <v>1</v>
          </cell>
          <cell r="V90">
            <v>1</v>
          </cell>
          <cell r="W90">
            <v>-0.10585922367189035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-0.2184897719691562</v>
          </cell>
        </row>
        <row r="92">
          <cell r="C92">
            <v>63</v>
          </cell>
          <cell r="D92">
            <v>77725</v>
          </cell>
          <cell r="E92">
            <v>77725</v>
          </cell>
          <cell r="F92">
            <v>108815</v>
          </cell>
          <cell r="G92">
            <v>46635</v>
          </cell>
          <cell r="H92">
            <v>62180</v>
          </cell>
          <cell r="I92">
            <v>31090</v>
          </cell>
          <cell r="J92">
            <v>31090</v>
          </cell>
          <cell r="K92">
            <v>93270</v>
          </cell>
          <cell r="L92">
            <v>93270</v>
          </cell>
          <cell r="M92">
            <v>124360</v>
          </cell>
          <cell r="N92">
            <v>124360</v>
          </cell>
          <cell r="O92">
            <v>62180</v>
          </cell>
          <cell r="P92">
            <v>923700</v>
          </cell>
          <cell r="Q92">
            <v>923700</v>
          </cell>
          <cell r="S92">
            <v>76663</v>
          </cell>
          <cell r="T92">
            <v>51133.27</v>
          </cell>
          <cell r="U92">
            <v>-21158.019999999997</v>
          </cell>
          <cell r="V92">
            <v>0</v>
          </cell>
          <cell r="W92">
            <v>62068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172695.98</v>
          </cell>
        </row>
        <row r="93">
          <cell r="C93">
            <v>64</v>
          </cell>
          <cell r="D93">
            <v>12624.930303619045</v>
          </cell>
          <cell r="E93">
            <v>12300.480908628482</v>
          </cell>
          <cell r="F93">
            <v>18293.903411107021</v>
          </cell>
          <cell r="G93">
            <v>7116.5007592037946</v>
          </cell>
          <cell r="H93">
            <v>9066.3942059139554</v>
          </cell>
          <cell r="I93">
            <v>5184.345967952092</v>
          </cell>
          <cell r="J93">
            <v>5065.310840578215</v>
          </cell>
          <cell r="K93">
            <v>14273.537365979715</v>
          </cell>
          <cell r="L93">
            <v>14883.702572834811</v>
          </cell>
          <cell r="M93">
            <v>16088.497540831482</v>
          </cell>
          <cell r="N93">
            <v>15374.91698531735</v>
          </cell>
          <cell r="O93">
            <v>9269.568198002833</v>
          </cell>
          <cell r="P93">
            <v>139542.08905996877</v>
          </cell>
          <cell r="Q93">
            <v>139542.08905996877</v>
          </cell>
          <cell r="S93">
            <v>16667.654086733863</v>
          </cell>
          <cell r="T93">
            <v>12279.682342004789</v>
          </cell>
          <cell r="U93">
            <v>0</v>
          </cell>
          <cell r="V93">
            <v>0</v>
          </cell>
          <cell r="W93">
            <v>11835.322266518571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41470.200547689034</v>
          </cell>
        </row>
        <row r="94">
          <cell r="C94">
            <v>65</v>
          </cell>
          <cell r="D94">
            <v>164549.93030361904</v>
          </cell>
          <cell r="E94">
            <v>164225.48090862849</v>
          </cell>
          <cell r="F94">
            <v>230988.90341110702</v>
          </cell>
          <cell r="G94">
            <v>98271.500759203802</v>
          </cell>
          <cell r="H94">
            <v>130606.39420591395</v>
          </cell>
          <cell r="I94">
            <v>65954.345967952089</v>
          </cell>
          <cell r="J94">
            <v>65835.310840578211</v>
          </cell>
          <cell r="K94">
            <v>196583.53736597972</v>
          </cell>
          <cell r="L94">
            <v>197193.70257283479</v>
          </cell>
          <cell r="M94">
            <v>259168.49754083148</v>
          </cell>
          <cell r="N94">
            <v>258454.91698531734</v>
          </cell>
          <cell r="O94">
            <v>130809.56819800283</v>
          </cell>
          <cell r="P94">
            <v>1953642.0890599687</v>
          </cell>
          <cell r="Q94">
            <v>1953642.0890599687</v>
          </cell>
          <cell r="S94">
            <v>129330.65408673386</v>
          </cell>
          <cell r="T94">
            <v>112412.95234200478</v>
          </cell>
          <cell r="U94">
            <v>-21158.019999999997</v>
          </cell>
          <cell r="V94">
            <v>0</v>
          </cell>
          <cell r="W94">
            <v>99903.322266518575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325166.18054768903</v>
          </cell>
        </row>
        <row r="103">
          <cell r="C103" t="str">
            <v>code</v>
          </cell>
          <cell r="D103" t="str">
            <v>JAN</v>
          </cell>
          <cell r="E103" t="str">
            <v>FEB</v>
          </cell>
          <cell r="F103" t="str">
            <v>MAR</v>
          </cell>
          <cell r="G103" t="str">
            <v>APR</v>
          </cell>
          <cell r="H103" t="str">
            <v>MAY</v>
          </cell>
          <cell r="I103" t="str">
            <v>JUNE</v>
          </cell>
          <cell r="J103" t="str">
            <v>JULY</v>
          </cell>
          <cell r="K103" t="str">
            <v>AUG</v>
          </cell>
          <cell r="L103" t="str">
            <v>SEPT</v>
          </cell>
          <cell r="M103" t="str">
            <v>OCT</v>
          </cell>
          <cell r="N103" t="str">
            <v>NOV</v>
          </cell>
          <cell r="O103" t="str">
            <v>DEC</v>
          </cell>
          <cell r="P103" t="str">
            <v>Y T D</v>
          </cell>
          <cell r="Q103" t="str">
            <v>YEAR</v>
          </cell>
          <cell r="R103" t="str">
            <v>xxx</v>
          </cell>
          <cell r="S103" t="str">
            <v>JAN</v>
          </cell>
          <cell r="T103" t="str">
            <v>FEB</v>
          </cell>
          <cell r="U103" t="str">
            <v>MAR</v>
          </cell>
          <cell r="V103" t="str">
            <v>APR</v>
          </cell>
          <cell r="W103" t="str">
            <v>MAY</v>
          </cell>
          <cell r="X103" t="str">
            <v>JUNE</v>
          </cell>
          <cell r="Y103" t="str">
            <v>JULY</v>
          </cell>
          <cell r="Z103" t="str">
            <v>AUG</v>
          </cell>
          <cell r="AA103" t="str">
            <v>SEPT</v>
          </cell>
          <cell r="AB103" t="str">
            <v>OCT</v>
          </cell>
          <cell r="AC103" t="str">
            <v>NOV</v>
          </cell>
          <cell r="AD103" t="str">
            <v>DEC</v>
          </cell>
          <cell r="AE103" t="str">
            <v>Y T D</v>
          </cell>
        </row>
        <row r="104">
          <cell r="C104">
            <v>1</v>
          </cell>
          <cell r="D104">
            <v>25</v>
          </cell>
          <cell r="E104">
            <v>50</v>
          </cell>
          <cell r="F104">
            <v>85</v>
          </cell>
          <cell r="G104">
            <v>100</v>
          </cell>
          <cell r="H104">
            <v>120</v>
          </cell>
          <cell r="I104">
            <v>130</v>
          </cell>
          <cell r="J104">
            <v>140</v>
          </cell>
          <cell r="K104">
            <v>170</v>
          </cell>
          <cell r="L104">
            <v>200</v>
          </cell>
          <cell r="M104">
            <v>240</v>
          </cell>
          <cell r="N104">
            <v>280</v>
          </cell>
          <cell r="O104">
            <v>300</v>
          </cell>
          <cell r="S104">
            <v>17.079999999999998</v>
          </cell>
          <cell r="T104">
            <v>28.75</v>
          </cell>
          <cell r="U104">
            <v>28.75</v>
          </cell>
          <cell r="V104">
            <v>28.75</v>
          </cell>
          <cell r="W104">
            <v>40.450000000000003</v>
          </cell>
          <cell r="X104">
            <v>40.450000000000003</v>
          </cell>
          <cell r="Y104">
            <v>40.450000000000003</v>
          </cell>
          <cell r="Z104">
            <v>40.450000000000003</v>
          </cell>
          <cell r="AA104">
            <v>40.450000000000003</v>
          </cell>
          <cell r="AB104">
            <v>40.450000000000003</v>
          </cell>
          <cell r="AC104">
            <v>40.450000000000003</v>
          </cell>
          <cell r="AD104">
            <v>40.450000000000003</v>
          </cell>
        </row>
        <row r="107">
          <cell r="C107">
            <v>2</v>
          </cell>
          <cell r="D107">
            <v>175000</v>
          </cell>
          <cell r="E107">
            <v>350000</v>
          </cell>
          <cell r="F107">
            <v>595000</v>
          </cell>
          <cell r="G107">
            <v>700000</v>
          </cell>
          <cell r="H107">
            <v>840000</v>
          </cell>
          <cell r="I107">
            <v>910000</v>
          </cell>
          <cell r="J107">
            <v>980000</v>
          </cell>
          <cell r="K107">
            <v>1190000</v>
          </cell>
          <cell r="L107">
            <v>1400000</v>
          </cell>
          <cell r="M107">
            <v>1680000</v>
          </cell>
          <cell r="N107">
            <v>1960000</v>
          </cell>
          <cell r="O107">
            <v>2100000</v>
          </cell>
          <cell r="S107">
            <v>85000</v>
          </cell>
          <cell r="T107">
            <v>174000</v>
          </cell>
          <cell r="U107">
            <v>174000</v>
          </cell>
          <cell r="V107">
            <v>174000</v>
          </cell>
          <cell r="W107">
            <v>263000</v>
          </cell>
          <cell r="X107">
            <v>263000</v>
          </cell>
          <cell r="Y107">
            <v>263000</v>
          </cell>
          <cell r="Z107">
            <v>263000</v>
          </cell>
          <cell r="AA107">
            <v>263000</v>
          </cell>
          <cell r="AB107">
            <v>263000</v>
          </cell>
          <cell r="AC107">
            <v>263000</v>
          </cell>
          <cell r="AD107">
            <v>263000</v>
          </cell>
        </row>
        <row r="108">
          <cell r="C108">
            <v>3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S108">
            <v>0</v>
          </cell>
          <cell r="T108">
            <v>2520</v>
          </cell>
          <cell r="U108">
            <v>2520</v>
          </cell>
          <cell r="V108">
            <v>2520</v>
          </cell>
          <cell r="W108">
            <v>3860</v>
          </cell>
          <cell r="X108">
            <v>3860</v>
          </cell>
          <cell r="Y108">
            <v>3860</v>
          </cell>
          <cell r="Z108">
            <v>3860</v>
          </cell>
          <cell r="AA108">
            <v>3860</v>
          </cell>
          <cell r="AB108">
            <v>3860</v>
          </cell>
          <cell r="AC108">
            <v>3860</v>
          </cell>
          <cell r="AD108">
            <v>3860</v>
          </cell>
        </row>
        <row r="109">
          <cell r="C109">
            <v>4</v>
          </cell>
          <cell r="D109">
            <v>175000</v>
          </cell>
          <cell r="E109">
            <v>350000</v>
          </cell>
          <cell r="F109">
            <v>595000</v>
          </cell>
          <cell r="G109">
            <v>700000</v>
          </cell>
          <cell r="H109">
            <v>840000</v>
          </cell>
          <cell r="I109">
            <v>910000</v>
          </cell>
          <cell r="J109">
            <v>980000</v>
          </cell>
          <cell r="K109">
            <v>1190000</v>
          </cell>
          <cell r="L109">
            <v>1400000</v>
          </cell>
          <cell r="M109">
            <v>1680000</v>
          </cell>
          <cell r="N109">
            <v>1960000</v>
          </cell>
          <cell r="O109">
            <v>2100000</v>
          </cell>
          <cell r="S109">
            <v>85000</v>
          </cell>
          <cell r="T109">
            <v>176520</v>
          </cell>
          <cell r="U109">
            <v>176520</v>
          </cell>
          <cell r="V109">
            <v>176520</v>
          </cell>
          <cell r="W109">
            <v>266860</v>
          </cell>
          <cell r="X109">
            <v>266860</v>
          </cell>
          <cell r="Y109">
            <v>266860</v>
          </cell>
          <cell r="Z109">
            <v>266860</v>
          </cell>
          <cell r="AA109">
            <v>266860</v>
          </cell>
          <cell r="AB109">
            <v>266860</v>
          </cell>
          <cell r="AC109">
            <v>266860</v>
          </cell>
          <cell r="AD109">
            <v>266860</v>
          </cell>
        </row>
        <row r="110">
          <cell r="C110">
            <v>5</v>
          </cell>
          <cell r="D110">
            <v>3500</v>
          </cell>
          <cell r="E110">
            <v>7000</v>
          </cell>
          <cell r="F110">
            <v>11900</v>
          </cell>
          <cell r="G110">
            <v>14000</v>
          </cell>
          <cell r="H110">
            <v>16800</v>
          </cell>
          <cell r="I110">
            <v>18200</v>
          </cell>
          <cell r="J110">
            <v>19600</v>
          </cell>
          <cell r="K110">
            <v>23800</v>
          </cell>
          <cell r="L110">
            <v>28000</v>
          </cell>
          <cell r="M110">
            <v>33600</v>
          </cell>
          <cell r="N110">
            <v>39200</v>
          </cell>
          <cell r="O110">
            <v>42000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C111">
            <v>6</v>
          </cell>
          <cell r="D111">
            <v>171500</v>
          </cell>
          <cell r="E111">
            <v>343000</v>
          </cell>
          <cell r="F111">
            <v>583100</v>
          </cell>
          <cell r="G111">
            <v>686000</v>
          </cell>
          <cell r="H111">
            <v>823200</v>
          </cell>
          <cell r="I111">
            <v>891800</v>
          </cell>
          <cell r="J111">
            <v>960400</v>
          </cell>
          <cell r="K111">
            <v>1166200</v>
          </cell>
          <cell r="L111">
            <v>1372000</v>
          </cell>
          <cell r="M111">
            <v>1646400</v>
          </cell>
          <cell r="N111">
            <v>1920800</v>
          </cell>
          <cell r="O111">
            <v>2058000</v>
          </cell>
          <cell r="S111">
            <v>85000</v>
          </cell>
          <cell r="T111">
            <v>176520</v>
          </cell>
          <cell r="U111">
            <v>176520</v>
          </cell>
          <cell r="V111">
            <v>176520</v>
          </cell>
          <cell r="W111">
            <v>266860</v>
          </cell>
          <cell r="X111">
            <v>266860</v>
          </cell>
          <cell r="Y111">
            <v>266860</v>
          </cell>
          <cell r="Z111">
            <v>266860</v>
          </cell>
          <cell r="AA111">
            <v>266860</v>
          </cell>
          <cell r="AB111">
            <v>266860</v>
          </cell>
          <cell r="AC111">
            <v>266860</v>
          </cell>
          <cell r="AD111">
            <v>266860</v>
          </cell>
        </row>
        <row r="114">
          <cell r="C114">
            <v>7</v>
          </cell>
          <cell r="D114">
            <v>41625</v>
          </cell>
          <cell r="E114">
            <v>83250</v>
          </cell>
          <cell r="F114">
            <v>141525</v>
          </cell>
          <cell r="G114">
            <v>166500</v>
          </cell>
          <cell r="H114">
            <v>199800</v>
          </cell>
          <cell r="I114">
            <v>216450</v>
          </cell>
          <cell r="J114">
            <v>233100</v>
          </cell>
          <cell r="K114">
            <v>283050</v>
          </cell>
          <cell r="L114">
            <v>333000</v>
          </cell>
          <cell r="M114">
            <v>399600</v>
          </cell>
          <cell r="N114">
            <v>466200</v>
          </cell>
          <cell r="O114">
            <v>499500</v>
          </cell>
          <cell r="S114">
            <v>40948</v>
          </cell>
          <cell r="T114">
            <v>78716</v>
          </cell>
          <cell r="U114">
            <v>78716</v>
          </cell>
          <cell r="V114">
            <v>78716</v>
          </cell>
          <cell r="W114">
            <v>118573</v>
          </cell>
          <cell r="X114">
            <v>118573</v>
          </cell>
          <cell r="Y114">
            <v>118573</v>
          </cell>
          <cell r="Z114">
            <v>118573</v>
          </cell>
          <cell r="AA114">
            <v>118573</v>
          </cell>
          <cell r="AB114">
            <v>118573</v>
          </cell>
          <cell r="AC114">
            <v>118573</v>
          </cell>
          <cell r="AD114">
            <v>118573</v>
          </cell>
        </row>
        <row r="115">
          <cell r="C115">
            <v>8</v>
          </cell>
          <cell r="D115">
            <v>9625</v>
          </cell>
          <cell r="E115">
            <v>19250</v>
          </cell>
          <cell r="F115">
            <v>32725</v>
          </cell>
          <cell r="G115">
            <v>38500</v>
          </cell>
          <cell r="H115">
            <v>46200</v>
          </cell>
          <cell r="I115">
            <v>50050</v>
          </cell>
          <cell r="J115">
            <v>53900</v>
          </cell>
          <cell r="K115">
            <v>65450</v>
          </cell>
          <cell r="L115">
            <v>77000</v>
          </cell>
          <cell r="M115">
            <v>92400</v>
          </cell>
          <cell r="N115">
            <v>107800</v>
          </cell>
          <cell r="O115">
            <v>115500</v>
          </cell>
          <cell r="S115">
            <v>1372</v>
          </cell>
          <cell r="T115">
            <v>3788</v>
          </cell>
          <cell r="U115">
            <v>3788</v>
          </cell>
          <cell r="V115">
            <v>3788</v>
          </cell>
          <cell r="W115">
            <v>6267</v>
          </cell>
          <cell r="X115">
            <v>6267</v>
          </cell>
          <cell r="Y115">
            <v>6267</v>
          </cell>
          <cell r="Z115">
            <v>6267</v>
          </cell>
          <cell r="AA115">
            <v>6267</v>
          </cell>
          <cell r="AB115">
            <v>6267</v>
          </cell>
          <cell r="AC115">
            <v>6267</v>
          </cell>
          <cell r="AD115">
            <v>6267</v>
          </cell>
        </row>
        <row r="116">
          <cell r="C116">
            <v>9</v>
          </cell>
          <cell r="D116">
            <v>8875</v>
          </cell>
          <cell r="E116">
            <v>17750</v>
          </cell>
          <cell r="F116">
            <v>30175</v>
          </cell>
          <cell r="G116">
            <v>35500</v>
          </cell>
          <cell r="H116">
            <v>42600</v>
          </cell>
          <cell r="I116">
            <v>46150</v>
          </cell>
          <cell r="J116">
            <v>49700</v>
          </cell>
          <cell r="K116">
            <v>60350</v>
          </cell>
          <cell r="L116">
            <v>71000</v>
          </cell>
          <cell r="M116">
            <v>85200</v>
          </cell>
          <cell r="N116">
            <v>99400</v>
          </cell>
          <cell r="O116">
            <v>106500</v>
          </cell>
          <cell r="S116">
            <v>24738</v>
          </cell>
          <cell r="T116">
            <v>25726</v>
          </cell>
          <cell r="U116">
            <v>25726</v>
          </cell>
          <cell r="V116">
            <v>25726</v>
          </cell>
          <cell r="W116">
            <v>26467</v>
          </cell>
          <cell r="X116">
            <v>26467</v>
          </cell>
          <cell r="Y116">
            <v>26467</v>
          </cell>
          <cell r="Z116">
            <v>26467</v>
          </cell>
          <cell r="AA116">
            <v>26467</v>
          </cell>
          <cell r="AB116">
            <v>26467</v>
          </cell>
          <cell r="AC116">
            <v>26467</v>
          </cell>
          <cell r="AD116">
            <v>26467</v>
          </cell>
        </row>
        <row r="117">
          <cell r="C117">
            <v>10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C118">
            <v>11</v>
          </cell>
          <cell r="D118">
            <v>2250</v>
          </cell>
          <cell r="E118">
            <v>4500</v>
          </cell>
          <cell r="F118">
            <v>7650</v>
          </cell>
          <cell r="G118">
            <v>9000</v>
          </cell>
          <cell r="H118">
            <v>10800</v>
          </cell>
          <cell r="I118">
            <v>11700</v>
          </cell>
          <cell r="J118">
            <v>12600</v>
          </cell>
          <cell r="K118">
            <v>15300</v>
          </cell>
          <cell r="L118">
            <v>18000</v>
          </cell>
          <cell r="M118">
            <v>21600</v>
          </cell>
          <cell r="N118">
            <v>25200</v>
          </cell>
          <cell r="O118">
            <v>27000</v>
          </cell>
          <cell r="S118">
            <v>2687</v>
          </cell>
          <cell r="T118">
            <v>3838</v>
          </cell>
          <cell r="U118">
            <v>3838</v>
          </cell>
          <cell r="V118">
            <v>3838</v>
          </cell>
          <cell r="W118">
            <v>4635</v>
          </cell>
          <cell r="X118">
            <v>4635</v>
          </cell>
          <cell r="Y118">
            <v>4635</v>
          </cell>
          <cell r="Z118">
            <v>4635</v>
          </cell>
          <cell r="AA118">
            <v>4635</v>
          </cell>
          <cell r="AB118">
            <v>4635</v>
          </cell>
          <cell r="AC118">
            <v>4635</v>
          </cell>
          <cell r="AD118">
            <v>4635</v>
          </cell>
        </row>
        <row r="119">
          <cell r="C119">
            <v>12</v>
          </cell>
          <cell r="D119">
            <v>250</v>
          </cell>
          <cell r="E119">
            <v>500</v>
          </cell>
          <cell r="F119">
            <v>850</v>
          </cell>
          <cell r="G119">
            <v>1000</v>
          </cell>
          <cell r="H119">
            <v>1200</v>
          </cell>
          <cell r="I119">
            <v>1300</v>
          </cell>
          <cell r="J119">
            <v>1400</v>
          </cell>
          <cell r="K119">
            <v>1700</v>
          </cell>
          <cell r="L119">
            <v>2000</v>
          </cell>
          <cell r="M119">
            <v>2400</v>
          </cell>
          <cell r="N119">
            <v>2800</v>
          </cell>
          <cell r="O119">
            <v>3000</v>
          </cell>
          <cell r="S119">
            <v>379</v>
          </cell>
          <cell r="T119">
            <v>611</v>
          </cell>
          <cell r="U119">
            <v>611</v>
          </cell>
          <cell r="V119">
            <v>611</v>
          </cell>
          <cell r="W119">
            <v>611</v>
          </cell>
          <cell r="X119">
            <v>611</v>
          </cell>
          <cell r="Y119">
            <v>611</v>
          </cell>
          <cell r="Z119">
            <v>611</v>
          </cell>
          <cell r="AA119">
            <v>611</v>
          </cell>
          <cell r="AB119">
            <v>611</v>
          </cell>
          <cell r="AC119">
            <v>611</v>
          </cell>
          <cell r="AD119">
            <v>611</v>
          </cell>
        </row>
        <row r="120">
          <cell r="C120">
            <v>13</v>
          </cell>
          <cell r="D120">
            <v>750</v>
          </cell>
          <cell r="E120">
            <v>1500</v>
          </cell>
          <cell r="F120">
            <v>2550</v>
          </cell>
          <cell r="G120">
            <v>3000</v>
          </cell>
          <cell r="H120">
            <v>3600</v>
          </cell>
          <cell r="I120">
            <v>3900</v>
          </cell>
          <cell r="J120">
            <v>4200</v>
          </cell>
          <cell r="K120">
            <v>5100</v>
          </cell>
          <cell r="L120">
            <v>6000</v>
          </cell>
          <cell r="M120">
            <v>7200</v>
          </cell>
          <cell r="N120">
            <v>8400</v>
          </cell>
          <cell r="O120">
            <v>9000</v>
          </cell>
          <cell r="S120">
            <v>0</v>
          </cell>
          <cell r="T120">
            <v>3200</v>
          </cell>
          <cell r="U120">
            <v>3200</v>
          </cell>
          <cell r="V120">
            <v>3200</v>
          </cell>
          <cell r="W120">
            <v>3200</v>
          </cell>
          <cell r="X120">
            <v>3200</v>
          </cell>
          <cell r="Y120">
            <v>3200</v>
          </cell>
          <cell r="Z120">
            <v>3200</v>
          </cell>
          <cell r="AA120">
            <v>3200</v>
          </cell>
          <cell r="AB120">
            <v>3200</v>
          </cell>
          <cell r="AC120">
            <v>3200</v>
          </cell>
          <cell r="AD120">
            <v>3200</v>
          </cell>
        </row>
        <row r="121">
          <cell r="C121">
            <v>14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C122">
            <v>15</v>
          </cell>
          <cell r="D122">
            <v>625</v>
          </cell>
          <cell r="E122">
            <v>1250</v>
          </cell>
          <cell r="F122">
            <v>2125</v>
          </cell>
          <cell r="G122">
            <v>2500</v>
          </cell>
          <cell r="H122">
            <v>3000</v>
          </cell>
          <cell r="I122">
            <v>3250</v>
          </cell>
          <cell r="J122">
            <v>3500</v>
          </cell>
          <cell r="K122">
            <v>4250</v>
          </cell>
          <cell r="L122">
            <v>5000</v>
          </cell>
          <cell r="M122">
            <v>6000</v>
          </cell>
          <cell r="N122">
            <v>7000</v>
          </cell>
          <cell r="O122">
            <v>7500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C123">
            <v>16</v>
          </cell>
          <cell r="D123">
            <v>64000</v>
          </cell>
          <cell r="E123">
            <v>128000</v>
          </cell>
          <cell r="F123">
            <v>217600</v>
          </cell>
          <cell r="G123">
            <v>256000</v>
          </cell>
          <cell r="H123">
            <v>307200</v>
          </cell>
          <cell r="I123">
            <v>332800</v>
          </cell>
          <cell r="J123">
            <v>358400</v>
          </cell>
          <cell r="K123">
            <v>435200</v>
          </cell>
          <cell r="L123">
            <v>512000</v>
          </cell>
          <cell r="M123">
            <v>614400</v>
          </cell>
          <cell r="N123">
            <v>716800</v>
          </cell>
          <cell r="O123">
            <v>768000</v>
          </cell>
          <cell r="S123">
            <v>70124</v>
          </cell>
          <cell r="T123">
            <v>114357.26999999999</v>
          </cell>
          <cell r="U123">
            <v>114357.26999999999</v>
          </cell>
          <cell r="V123">
            <v>114357.26999999999</v>
          </cell>
          <cell r="W123">
            <v>158231.26999999999</v>
          </cell>
          <cell r="X123">
            <v>158231.26999999999</v>
          </cell>
          <cell r="Y123">
            <v>158231.26999999999</v>
          </cell>
          <cell r="Z123">
            <v>158231.26999999999</v>
          </cell>
          <cell r="AA123">
            <v>158231.26999999999</v>
          </cell>
          <cell r="AB123">
            <v>158231.26999999999</v>
          </cell>
          <cell r="AC123">
            <v>158231.26999999999</v>
          </cell>
          <cell r="AD123">
            <v>158231.26999999999</v>
          </cell>
        </row>
        <row r="126">
          <cell r="C126">
            <v>17</v>
          </cell>
          <cell r="D126">
            <v>4700</v>
          </cell>
          <cell r="E126">
            <v>9400</v>
          </cell>
          <cell r="F126">
            <v>15980</v>
          </cell>
          <cell r="G126">
            <v>18800</v>
          </cell>
          <cell r="H126">
            <v>22560</v>
          </cell>
          <cell r="I126">
            <v>24440</v>
          </cell>
          <cell r="J126">
            <v>26320</v>
          </cell>
          <cell r="K126">
            <v>31960</v>
          </cell>
          <cell r="L126">
            <v>37600</v>
          </cell>
          <cell r="M126">
            <v>45120</v>
          </cell>
          <cell r="N126">
            <v>52640</v>
          </cell>
          <cell r="O126">
            <v>56400</v>
          </cell>
          <cell r="S126">
            <v>1800</v>
          </cell>
          <cell r="T126">
            <v>3400</v>
          </cell>
          <cell r="U126">
            <v>3400</v>
          </cell>
          <cell r="V126">
            <v>3400</v>
          </cell>
          <cell r="W126">
            <v>8600</v>
          </cell>
          <cell r="X126">
            <v>8600</v>
          </cell>
          <cell r="Y126">
            <v>8600</v>
          </cell>
          <cell r="Z126">
            <v>8600</v>
          </cell>
          <cell r="AA126">
            <v>8600</v>
          </cell>
          <cell r="AB126">
            <v>8600</v>
          </cell>
          <cell r="AC126">
            <v>8600</v>
          </cell>
          <cell r="AD126">
            <v>8600</v>
          </cell>
        </row>
        <row r="127">
          <cell r="C127">
            <v>18</v>
          </cell>
          <cell r="D127">
            <v>5450</v>
          </cell>
          <cell r="E127">
            <v>10900</v>
          </cell>
          <cell r="F127">
            <v>18530</v>
          </cell>
          <cell r="G127">
            <v>21800</v>
          </cell>
          <cell r="H127">
            <v>26160</v>
          </cell>
          <cell r="I127">
            <v>28340</v>
          </cell>
          <cell r="J127">
            <v>30520</v>
          </cell>
          <cell r="K127">
            <v>37060</v>
          </cell>
          <cell r="L127">
            <v>43600</v>
          </cell>
          <cell r="M127">
            <v>52320</v>
          </cell>
          <cell r="N127">
            <v>61040</v>
          </cell>
          <cell r="O127">
            <v>65400</v>
          </cell>
          <cell r="S127">
            <v>3205</v>
          </cell>
          <cell r="T127">
            <v>7835</v>
          </cell>
          <cell r="U127">
            <v>7835</v>
          </cell>
          <cell r="V127">
            <v>7835</v>
          </cell>
          <cell r="W127">
            <v>18243</v>
          </cell>
          <cell r="X127">
            <v>18243</v>
          </cell>
          <cell r="Y127">
            <v>18243</v>
          </cell>
          <cell r="Z127">
            <v>18243</v>
          </cell>
          <cell r="AA127">
            <v>18243</v>
          </cell>
          <cell r="AB127">
            <v>18243</v>
          </cell>
          <cell r="AC127">
            <v>18243</v>
          </cell>
          <cell r="AD127">
            <v>18243</v>
          </cell>
        </row>
        <row r="128">
          <cell r="C128">
            <v>19</v>
          </cell>
          <cell r="D128">
            <v>1975</v>
          </cell>
          <cell r="E128">
            <v>3950</v>
          </cell>
          <cell r="F128">
            <v>6715</v>
          </cell>
          <cell r="G128">
            <v>7900</v>
          </cell>
          <cell r="H128">
            <v>9480</v>
          </cell>
          <cell r="I128">
            <v>10270</v>
          </cell>
          <cell r="J128">
            <v>11060</v>
          </cell>
          <cell r="K128">
            <v>13430</v>
          </cell>
          <cell r="L128">
            <v>15800</v>
          </cell>
          <cell r="M128">
            <v>18960</v>
          </cell>
          <cell r="N128">
            <v>22120</v>
          </cell>
          <cell r="O128">
            <v>23700</v>
          </cell>
          <cell r="S128">
            <v>2404</v>
          </cell>
          <cell r="T128">
            <v>4144</v>
          </cell>
          <cell r="U128">
            <v>4144</v>
          </cell>
          <cell r="V128">
            <v>4144</v>
          </cell>
          <cell r="W128">
            <v>6131</v>
          </cell>
          <cell r="X128">
            <v>6131</v>
          </cell>
          <cell r="Y128">
            <v>6131</v>
          </cell>
          <cell r="Z128">
            <v>6131</v>
          </cell>
          <cell r="AA128">
            <v>6131</v>
          </cell>
          <cell r="AB128">
            <v>6131</v>
          </cell>
          <cell r="AC128">
            <v>6131</v>
          </cell>
          <cell r="AD128">
            <v>6131</v>
          </cell>
        </row>
        <row r="129">
          <cell r="C129">
            <v>20</v>
          </cell>
          <cell r="D129">
            <v>1600</v>
          </cell>
          <cell r="E129">
            <v>3200</v>
          </cell>
          <cell r="F129">
            <v>5440</v>
          </cell>
          <cell r="G129">
            <v>6400</v>
          </cell>
          <cell r="H129">
            <v>7680</v>
          </cell>
          <cell r="I129">
            <v>8320</v>
          </cell>
          <cell r="J129">
            <v>8960</v>
          </cell>
          <cell r="K129">
            <v>10880</v>
          </cell>
          <cell r="L129">
            <v>12800</v>
          </cell>
          <cell r="M129">
            <v>15360</v>
          </cell>
          <cell r="N129">
            <v>17920</v>
          </cell>
          <cell r="O129">
            <v>19200</v>
          </cell>
          <cell r="S129">
            <v>88</v>
          </cell>
          <cell r="T129">
            <v>528</v>
          </cell>
          <cell r="U129">
            <v>528</v>
          </cell>
          <cell r="V129">
            <v>528</v>
          </cell>
          <cell r="W129">
            <v>1127</v>
          </cell>
          <cell r="X129">
            <v>1127</v>
          </cell>
          <cell r="Y129">
            <v>1127</v>
          </cell>
          <cell r="Z129">
            <v>1127</v>
          </cell>
          <cell r="AA129">
            <v>1127</v>
          </cell>
          <cell r="AB129">
            <v>1127</v>
          </cell>
          <cell r="AC129">
            <v>1127</v>
          </cell>
          <cell r="AD129">
            <v>1127</v>
          </cell>
        </row>
        <row r="130">
          <cell r="C130">
            <v>21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S130">
            <v>0</v>
          </cell>
          <cell r="T130">
            <v>0</v>
          </cell>
          <cell r="U130">
            <v>-21158.019999999997</v>
          </cell>
          <cell r="V130">
            <v>-21158.019999999997</v>
          </cell>
          <cell r="W130">
            <v>-21158.019999999997</v>
          </cell>
          <cell r="X130">
            <v>-21158.019999999997</v>
          </cell>
          <cell r="Y130">
            <v>-21158.019999999997</v>
          </cell>
          <cell r="Z130">
            <v>-21158.019999999997</v>
          </cell>
          <cell r="AA130">
            <v>-21158.019999999997</v>
          </cell>
          <cell r="AB130">
            <v>-21158.019999999997</v>
          </cell>
          <cell r="AC130">
            <v>-21158.019999999997</v>
          </cell>
          <cell r="AD130">
            <v>-21158.019999999997</v>
          </cell>
        </row>
        <row r="131">
          <cell r="C131">
            <v>22</v>
          </cell>
          <cell r="D131">
            <v>13725</v>
          </cell>
          <cell r="E131">
            <v>27450</v>
          </cell>
          <cell r="F131">
            <v>46665</v>
          </cell>
          <cell r="G131">
            <v>54900</v>
          </cell>
          <cell r="H131">
            <v>65880</v>
          </cell>
          <cell r="I131">
            <v>71370</v>
          </cell>
          <cell r="J131">
            <v>76860</v>
          </cell>
          <cell r="K131">
            <v>93330</v>
          </cell>
          <cell r="L131">
            <v>109800</v>
          </cell>
          <cell r="M131">
            <v>131760</v>
          </cell>
          <cell r="N131">
            <v>153720</v>
          </cell>
          <cell r="O131">
            <v>164700</v>
          </cell>
          <cell r="S131">
            <v>7497</v>
          </cell>
          <cell r="T131">
            <v>14397</v>
          </cell>
          <cell r="U131">
            <v>-6761.0199999999968</v>
          </cell>
          <cell r="V131">
            <v>-6761.0199999999968</v>
          </cell>
          <cell r="W131">
            <v>11432.980000000003</v>
          </cell>
          <cell r="X131">
            <v>11432.980000000003</v>
          </cell>
          <cell r="Y131">
            <v>11432.980000000003</v>
          </cell>
          <cell r="Z131">
            <v>11432.980000000003</v>
          </cell>
          <cell r="AA131">
            <v>11432.980000000003</v>
          </cell>
          <cell r="AB131">
            <v>11432.980000000003</v>
          </cell>
          <cell r="AC131">
            <v>11432.980000000003</v>
          </cell>
          <cell r="AD131">
            <v>11432.980000000003</v>
          </cell>
        </row>
        <row r="134">
          <cell r="C134">
            <v>23</v>
          </cell>
          <cell r="D134">
            <v>39400</v>
          </cell>
          <cell r="E134">
            <v>78800</v>
          </cell>
          <cell r="F134">
            <v>133960</v>
          </cell>
          <cell r="G134">
            <v>157600</v>
          </cell>
          <cell r="H134">
            <v>189120</v>
          </cell>
          <cell r="I134">
            <v>204880</v>
          </cell>
          <cell r="J134">
            <v>220640</v>
          </cell>
          <cell r="K134">
            <v>267920</v>
          </cell>
          <cell r="L134">
            <v>315200</v>
          </cell>
          <cell r="M134">
            <v>378240</v>
          </cell>
          <cell r="N134">
            <v>441280</v>
          </cell>
          <cell r="O134">
            <v>472800</v>
          </cell>
          <cell r="S134">
            <v>26918.080000000002</v>
          </cell>
          <cell r="T134">
            <v>45310</v>
          </cell>
          <cell r="U134">
            <v>45310</v>
          </cell>
          <cell r="V134">
            <v>45310</v>
          </cell>
          <cell r="W134">
            <v>63981</v>
          </cell>
          <cell r="X134">
            <v>63981</v>
          </cell>
          <cell r="Y134">
            <v>63981</v>
          </cell>
          <cell r="Z134">
            <v>63981</v>
          </cell>
          <cell r="AA134">
            <v>63981</v>
          </cell>
          <cell r="AB134">
            <v>63981</v>
          </cell>
          <cell r="AC134">
            <v>63981</v>
          </cell>
          <cell r="AD134">
            <v>63981</v>
          </cell>
        </row>
        <row r="135">
          <cell r="C135">
            <v>24</v>
          </cell>
          <cell r="D135">
            <v>31300</v>
          </cell>
          <cell r="E135">
            <v>62600</v>
          </cell>
          <cell r="F135">
            <v>106420</v>
          </cell>
          <cell r="G135">
            <v>125200</v>
          </cell>
          <cell r="H135">
            <v>150240</v>
          </cell>
          <cell r="I135">
            <v>162760</v>
          </cell>
          <cell r="J135">
            <v>175280</v>
          </cell>
          <cell r="K135">
            <v>212840</v>
          </cell>
          <cell r="L135">
            <v>250400</v>
          </cell>
          <cell r="M135">
            <v>300480</v>
          </cell>
          <cell r="N135">
            <v>350560</v>
          </cell>
          <cell r="O135">
            <v>375600</v>
          </cell>
          <cell r="S135">
            <v>9081.92</v>
          </cell>
          <cell r="T135">
            <v>39690</v>
          </cell>
          <cell r="U135">
            <v>39690</v>
          </cell>
          <cell r="V135">
            <v>39690</v>
          </cell>
          <cell r="W135">
            <v>47019</v>
          </cell>
          <cell r="X135">
            <v>47019</v>
          </cell>
          <cell r="Y135">
            <v>47019</v>
          </cell>
          <cell r="Z135">
            <v>47019</v>
          </cell>
          <cell r="AA135">
            <v>47019</v>
          </cell>
          <cell r="AB135">
            <v>47019</v>
          </cell>
          <cell r="AC135">
            <v>47019</v>
          </cell>
          <cell r="AD135">
            <v>47019</v>
          </cell>
        </row>
        <row r="136">
          <cell r="C136">
            <v>25</v>
          </cell>
          <cell r="D136">
            <v>70700</v>
          </cell>
          <cell r="E136">
            <v>141400</v>
          </cell>
          <cell r="F136">
            <v>240380</v>
          </cell>
          <cell r="G136">
            <v>282800</v>
          </cell>
          <cell r="H136">
            <v>339360</v>
          </cell>
          <cell r="I136">
            <v>367640</v>
          </cell>
          <cell r="J136">
            <v>395920</v>
          </cell>
          <cell r="K136">
            <v>480760</v>
          </cell>
          <cell r="L136">
            <v>565600</v>
          </cell>
          <cell r="M136">
            <v>678720</v>
          </cell>
          <cell r="N136">
            <v>791840</v>
          </cell>
          <cell r="O136">
            <v>848400</v>
          </cell>
          <cell r="S136">
            <v>36000</v>
          </cell>
          <cell r="T136">
            <v>85000</v>
          </cell>
          <cell r="U136">
            <v>85000</v>
          </cell>
          <cell r="V136">
            <v>85000</v>
          </cell>
          <cell r="W136">
            <v>111000</v>
          </cell>
          <cell r="X136">
            <v>111000</v>
          </cell>
          <cell r="Y136">
            <v>111000</v>
          </cell>
          <cell r="Z136">
            <v>111000</v>
          </cell>
          <cell r="AA136">
            <v>111000</v>
          </cell>
          <cell r="AB136">
            <v>111000</v>
          </cell>
          <cell r="AC136">
            <v>111000</v>
          </cell>
          <cell r="AD136">
            <v>111000</v>
          </cell>
        </row>
        <row r="139">
          <cell r="C139">
            <v>30</v>
          </cell>
          <cell r="D139">
            <v>2988.9913702815707</v>
          </cell>
          <cell r="E139">
            <v>5905.013353954595</v>
          </cell>
          <cell r="F139">
            <v>10451.034419304722</v>
          </cell>
          <cell r="G139">
            <v>12421.943111459648</v>
          </cell>
          <cell r="H139">
            <v>14927.759454237386</v>
          </cell>
          <cell r="I139">
            <v>16369.029286177238</v>
          </cell>
          <cell r="J139">
            <v>17774.58842830878</v>
          </cell>
          <cell r="K139">
            <v>21824.967180166037</v>
          </cell>
          <cell r="L139">
            <v>26056.486652547206</v>
          </cell>
          <cell r="M139">
            <v>30584.415083628548</v>
          </cell>
          <cell r="N139">
            <v>34900.451052745862</v>
          </cell>
          <cell r="O139">
            <v>37527.008527129794</v>
          </cell>
          <cell r="S139">
            <v>3787.5909228847336</v>
          </cell>
          <cell r="T139">
            <v>6804.6789168962841</v>
          </cell>
          <cell r="U139">
            <v>6804.6789168962841</v>
          </cell>
          <cell r="V139">
            <v>6804.6789168962841</v>
          </cell>
          <cell r="W139">
            <v>9783.3694754675962</v>
          </cell>
          <cell r="X139">
            <v>9783.3694754675962</v>
          </cell>
          <cell r="Y139">
            <v>9783.3694754675962</v>
          </cell>
          <cell r="Z139">
            <v>9783.3694754675962</v>
          </cell>
          <cell r="AA139">
            <v>9783.3694754675962</v>
          </cell>
          <cell r="AB139">
            <v>9783.3694754675962</v>
          </cell>
          <cell r="AC139">
            <v>9783.3694754675962</v>
          </cell>
          <cell r="AD139">
            <v>9783.3694754675962</v>
          </cell>
        </row>
        <row r="140">
          <cell r="C140">
            <v>31</v>
          </cell>
          <cell r="D140">
            <v>587.83466671222095</v>
          </cell>
          <cell r="E140">
            <v>1150.0270907927388</v>
          </cell>
          <cell r="F140">
            <v>2026.4740507127995</v>
          </cell>
          <cell r="G140">
            <v>2350.7741841128868</v>
          </cell>
          <cell r="H140">
            <v>2763.0898725430943</v>
          </cell>
          <cell r="I140">
            <v>3000.241395911014</v>
          </cell>
          <cell r="J140">
            <v>3226.9454323982477</v>
          </cell>
          <cell r="K140">
            <v>3870.9006164281855</v>
          </cell>
          <cell r="L140">
            <v>4543.6547136379841</v>
          </cell>
          <cell r="M140">
            <v>5263.5338076052758</v>
          </cell>
          <cell r="N140">
            <v>5949.7248793657463</v>
          </cell>
          <cell r="O140">
            <v>6367.311827501534</v>
          </cell>
          <cell r="S140">
            <v>834.67999426583083</v>
          </cell>
          <cell r="T140">
            <v>1515.1411928102143</v>
          </cell>
          <cell r="U140">
            <v>1515.1411928102143</v>
          </cell>
          <cell r="V140">
            <v>1515.1411928102143</v>
          </cell>
          <cell r="W140">
            <v>2197.4422492951385</v>
          </cell>
          <cell r="X140">
            <v>2197.4422492951385</v>
          </cell>
          <cell r="Y140">
            <v>2197.4422492951385</v>
          </cell>
          <cell r="Z140">
            <v>2197.4422492951385</v>
          </cell>
          <cell r="AA140">
            <v>2197.4422492951385</v>
          </cell>
          <cell r="AB140">
            <v>2197.4422492951385</v>
          </cell>
          <cell r="AC140">
            <v>2197.4422492951385</v>
          </cell>
          <cell r="AD140">
            <v>2197.4422492951385</v>
          </cell>
        </row>
        <row r="141">
          <cell r="C141">
            <v>32</v>
          </cell>
          <cell r="D141">
            <v>126.56206202649598</v>
          </cell>
          <cell r="E141">
            <v>250.14602971661122</v>
          </cell>
          <cell r="F141">
            <v>442.81101084653756</v>
          </cell>
          <cell r="G141">
            <v>526.42120261680657</v>
          </cell>
          <cell r="H141">
            <v>632.72332903933886</v>
          </cell>
          <cell r="I141">
            <v>693.86509959464468</v>
          </cell>
          <cell r="J141">
            <v>753.54375640329374</v>
          </cell>
          <cell r="K141">
            <v>925.62463928555019</v>
          </cell>
          <cell r="L141">
            <v>1105.4013099010872</v>
          </cell>
          <cell r="M141">
            <v>1297.7709547622912</v>
          </cell>
          <cell r="N141">
            <v>1481.1383200430621</v>
          </cell>
          <cell r="O141">
            <v>1592.72796556096</v>
          </cell>
          <cell r="S141">
            <v>149.16868510661274</v>
          </cell>
          <cell r="T141">
            <v>268.19366451114433</v>
          </cell>
          <cell r="U141">
            <v>268.19366451114433</v>
          </cell>
          <cell r="V141">
            <v>268.19366451114433</v>
          </cell>
          <cell r="W141">
            <v>362.56890664101252</v>
          </cell>
          <cell r="X141">
            <v>362.56890664101252</v>
          </cell>
          <cell r="Y141">
            <v>362.56890664101252</v>
          </cell>
          <cell r="Z141">
            <v>362.56890664101252</v>
          </cell>
          <cell r="AA141">
            <v>362.56890664101252</v>
          </cell>
          <cell r="AB141">
            <v>362.56890664101252</v>
          </cell>
          <cell r="AC141">
            <v>362.56890664101252</v>
          </cell>
          <cell r="AD141">
            <v>362.56890664101252</v>
          </cell>
        </row>
        <row r="142">
          <cell r="C142">
            <v>33</v>
          </cell>
          <cell r="D142">
            <v>159.52274845035043</v>
          </cell>
          <cell r="E142">
            <v>312.08687187792287</v>
          </cell>
          <cell r="F142">
            <v>549.93134726312303</v>
          </cell>
          <cell r="G142">
            <v>637.9378081480229</v>
          </cell>
          <cell r="H142">
            <v>749.82935788505995</v>
          </cell>
          <cell r="I142">
            <v>814.18599581257195</v>
          </cell>
          <cell r="J142">
            <v>875.70746270308564</v>
          </cell>
          <cell r="K142">
            <v>1050.4598321233073</v>
          </cell>
          <cell r="L142">
            <v>1233.0274632880075</v>
          </cell>
          <cell r="M142">
            <v>1428.3835695617295</v>
          </cell>
          <cell r="N142">
            <v>1614.5976394830436</v>
          </cell>
          <cell r="O142">
            <v>1727.9196693935839</v>
          </cell>
          <cell r="S142">
            <v>176.76321046448632</v>
          </cell>
          <cell r="T142">
            <v>325.475723762548</v>
          </cell>
          <cell r="U142">
            <v>325.475723762548</v>
          </cell>
          <cell r="V142">
            <v>325.475723762548</v>
          </cell>
          <cell r="W142">
            <v>457.53941620853038</v>
          </cell>
          <cell r="X142">
            <v>457.53941620853038</v>
          </cell>
          <cell r="Y142">
            <v>457.53941620853038</v>
          </cell>
          <cell r="Z142">
            <v>457.53941620853038</v>
          </cell>
          <cell r="AA142">
            <v>457.53941620853038</v>
          </cell>
          <cell r="AB142">
            <v>457.53941620853038</v>
          </cell>
          <cell r="AC142">
            <v>457.53941620853038</v>
          </cell>
          <cell r="AD142">
            <v>457.53941620853038</v>
          </cell>
        </row>
        <row r="143">
          <cell r="C143">
            <v>34</v>
          </cell>
          <cell r="D143">
            <v>25.52363975205607</v>
          </cell>
          <cell r="E143">
            <v>49.93389950046766</v>
          </cell>
          <cell r="F143">
            <v>87.989015562099695</v>
          </cell>
          <cell r="G143">
            <v>102.07004930368367</v>
          </cell>
          <cell r="H143">
            <v>119.97269726160961</v>
          </cell>
          <cell r="I143">
            <v>130.26975933001151</v>
          </cell>
          <cell r="J143">
            <v>140.11319403249371</v>
          </cell>
          <cell r="K143">
            <v>168.07357313972915</v>
          </cell>
          <cell r="L143">
            <v>197.2843941260812</v>
          </cell>
          <cell r="M143">
            <v>228.54137112987669</v>
          </cell>
          <cell r="N143">
            <v>258.33562231728695</v>
          </cell>
          <cell r="O143">
            <v>276.4671471029734</v>
          </cell>
          <cell r="S143">
            <v>71.587517756376016</v>
          </cell>
          <cell r="T143">
            <v>128.73337191401626</v>
          </cell>
          <cell r="U143">
            <v>128.73337191401626</v>
          </cell>
          <cell r="V143">
            <v>128.73337191401626</v>
          </cell>
          <cell r="W143">
            <v>179.92801780809853</v>
          </cell>
          <cell r="X143">
            <v>179.92801780809853</v>
          </cell>
          <cell r="Y143">
            <v>179.92801780809853</v>
          </cell>
          <cell r="Z143">
            <v>179.92801780809853</v>
          </cell>
          <cell r="AA143">
            <v>179.92801780809853</v>
          </cell>
          <cell r="AB143">
            <v>179.92801780809853</v>
          </cell>
          <cell r="AC143">
            <v>179.92801780809853</v>
          </cell>
          <cell r="AD143">
            <v>179.92801780809853</v>
          </cell>
        </row>
        <row r="144">
          <cell r="C144">
            <v>35</v>
          </cell>
          <cell r="D144">
            <v>382.85459628084106</v>
          </cell>
          <cell r="E144">
            <v>749.00849250701492</v>
          </cell>
          <cell r="F144">
            <v>749.00849250701492</v>
          </cell>
          <cell r="G144">
            <v>749.00849250701492</v>
          </cell>
          <cell r="H144">
            <v>749.00849250701492</v>
          </cell>
          <cell r="I144">
            <v>749.00849250701492</v>
          </cell>
          <cell r="J144">
            <v>749.00849250701492</v>
          </cell>
          <cell r="K144">
            <v>749.00849250701492</v>
          </cell>
          <cell r="L144">
            <v>749.00849250701492</v>
          </cell>
          <cell r="M144">
            <v>749.00849250701492</v>
          </cell>
          <cell r="N144">
            <v>749.00849250701492</v>
          </cell>
          <cell r="O144">
            <v>749.00849250701492</v>
          </cell>
          <cell r="S144">
            <v>0</v>
          </cell>
          <cell r="T144">
            <v>4.8668005117846764</v>
          </cell>
          <cell r="U144">
            <v>4.8668005117846764</v>
          </cell>
          <cell r="V144">
            <v>4.8668005117846764</v>
          </cell>
          <cell r="W144">
            <v>7.1084927238955586</v>
          </cell>
          <cell r="X144">
            <v>7.1084927238955586</v>
          </cell>
          <cell r="Y144">
            <v>7.1084927238955586</v>
          </cell>
          <cell r="Z144">
            <v>7.1084927238955586</v>
          </cell>
          <cell r="AA144">
            <v>7.1084927238955586</v>
          </cell>
          <cell r="AB144">
            <v>7.1084927238955586</v>
          </cell>
          <cell r="AC144">
            <v>7.1084927238955586</v>
          </cell>
          <cell r="AD144">
            <v>7.1084927238955586</v>
          </cell>
        </row>
        <row r="145">
          <cell r="C145">
            <v>36</v>
          </cell>
          <cell r="D145">
            <v>81.324697159988659</v>
          </cell>
          <cell r="E145">
            <v>159.1018872833651</v>
          </cell>
          <cell r="F145">
            <v>280.35500083474017</v>
          </cell>
          <cell r="G145">
            <v>325.22069459386211</v>
          </cell>
          <cell r="H145">
            <v>382.26300664980363</v>
          </cell>
          <cell r="I145">
            <v>415.07202066524923</v>
          </cell>
          <cell r="J145">
            <v>446.43566448603309</v>
          </cell>
          <cell r="K145">
            <v>535.52442241646202</v>
          </cell>
          <cell r="L145">
            <v>628.59740078422624</v>
          </cell>
          <cell r="M145">
            <v>728.18994376256956</v>
          </cell>
          <cell r="N145">
            <v>823.12187660845552</v>
          </cell>
          <cell r="O145">
            <v>880.893447456849</v>
          </cell>
          <cell r="S145">
            <v>2.6902189596206512</v>
          </cell>
          <cell r="T145">
            <v>113.85980967426815</v>
          </cell>
          <cell r="U145">
            <v>113.85980967426815</v>
          </cell>
          <cell r="V145">
            <v>113.85980967426815</v>
          </cell>
          <cell r="W145">
            <v>179.21914823362607</v>
          </cell>
          <cell r="X145">
            <v>179.21914823362607</v>
          </cell>
          <cell r="Y145">
            <v>179.21914823362607</v>
          </cell>
          <cell r="Z145">
            <v>179.21914823362607</v>
          </cell>
          <cell r="AA145">
            <v>179.21914823362607</v>
          </cell>
          <cell r="AB145">
            <v>179.21914823362607</v>
          </cell>
          <cell r="AC145">
            <v>179.21914823362607</v>
          </cell>
          <cell r="AD145">
            <v>179.21914823362607</v>
          </cell>
        </row>
        <row r="146">
          <cell r="C146">
            <v>37</v>
          </cell>
          <cell r="D146">
            <v>521.68958392415834</v>
          </cell>
          <cell r="E146">
            <v>1020.6222743764921</v>
          </cell>
          <cell r="F146">
            <v>1798.4485506143512</v>
          </cell>
          <cell r="G146">
            <v>2086.2573704076653</v>
          </cell>
          <cell r="H146">
            <v>2452.1779465887607</v>
          </cell>
          <cell r="I146">
            <v>2662.6444035004592</v>
          </cell>
          <cell r="J146">
            <v>2863.8389589873536</v>
          </cell>
          <cell r="K146">
            <v>3435.3341957370558</v>
          </cell>
          <cell r="L146">
            <v>4032.3877975935657</v>
          </cell>
          <cell r="M146">
            <v>4671.26373716341</v>
          </cell>
          <cell r="N146">
            <v>5280.242341166776</v>
          </cell>
          <cell r="O146">
            <v>5650.841037639655</v>
          </cell>
          <cell r="S146">
            <v>518.87598183683303</v>
          </cell>
          <cell r="T146">
            <v>1035.2972156121807</v>
          </cell>
          <cell r="U146">
            <v>1035.2972156121807</v>
          </cell>
          <cell r="V146">
            <v>1035.2972156121807</v>
          </cell>
          <cell r="W146">
            <v>1404.4478806415402</v>
          </cell>
          <cell r="X146">
            <v>1404.4478806415402</v>
          </cell>
          <cell r="Y146">
            <v>1404.4478806415402</v>
          </cell>
          <cell r="Z146">
            <v>1404.4478806415402</v>
          </cell>
          <cell r="AA146">
            <v>1404.4478806415402</v>
          </cell>
          <cell r="AB146">
            <v>1404.4478806415402</v>
          </cell>
          <cell r="AC146">
            <v>1404.4478806415402</v>
          </cell>
          <cell r="AD146">
            <v>1404.4478806415402</v>
          </cell>
        </row>
        <row r="147">
          <cell r="C147">
            <v>38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C148">
            <v>39</v>
          </cell>
          <cell r="D148">
            <v>30.54892537373901</v>
          </cell>
          <cell r="E148">
            <v>59.765260138365988</v>
          </cell>
          <cell r="F148">
            <v>105.31295286358259</v>
          </cell>
          <cell r="G148">
            <v>122.16636613596268</v>
          </cell>
          <cell r="H148">
            <v>143.59382169370474</v>
          </cell>
          <cell r="I148">
            <v>155.91824657009914</v>
          </cell>
          <cell r="J148">
            <v>167.69973052256628</v>
          </cell>
          <cell r="K148">
            <v>201.16515877127756</v>
          </cell>
          <cell r="L148">
            <v>236.12722527458001</v>
          </cell>
          <cell r="M148">
            <v>273.53831033821029</v>
          </cell>
          <cell r="N148">
            <v>309.1986771562818</v>
          </cell>
          <cell r="O148">
            <v>330.9000725282101</v>
          </cell>
          <cell r="S148">
            <v>65.514744075467618</v>
          </cell>
          <cell r="T148">
            <v>16.149475052882778</v>
          </cell>
          <cell r="U148">
            <v>16.149475052882778</v>
          </cell>
          <cell r="V148">
            <v>16.149475052882778</v>
          </cell>
          <cell r="W148">
            <v>45.081315165438852</v>
          </cell>
          <cell r="X148">
            <v>45.081315165438852</v>
          </cell>
          <cell r="Y148">
            <v>45.081315165438852</v>
          </cell>
          <cell r="Z148">
            <v>45.081315165438852</v>
          </cell>
          <cell r="AA148">
            <v>45.081315165438852</v>
          </cell>
          <cell r="AB148">
            <v>45.081315165438852</v>
          </cell>
          <cell r="AC148">
            <v>45.081315165438852</v>
          </cell>
          <cell r="AD148">
            <v>45.081315165438852</v>
          </cell>
        </row>
        <row r="149">
          <cell r="C149">
            <v>40</v>
          </cell>
          <cell r="D149">
            <v>34.093201798808892</v>
          </cell>
          <cell r="E149">
            <v>66.699206257749665</v>
          </cell>
          <cell r="F149">
            <v>117.53132753707465</v>
          </cell>
          <cell r="G149">
            <v>136.34006835739544</v>
          </cell>
          <cell r="H149">
            <v>160.253530367195</v>
          </cell>
          <cell r="I149">
            <v>174.00783102506284</v>
          </cell>
          <cell r="J149">
            <v>187.15619892890342</v>
          </cell>
          <cell r="K149">
            <v>224.50427532139315</v>
          </cell>
          <cell r="L149">
            <v>263.52262945391288</v>
          </cell>
          <cell r="M149">
            <v>305.27413648673269</v>
          </cell>
          <cell r="N149">
            <v>345.07180751031592</v>
          </cell>
          <cell r="O149">
            <v>369.29099174279662</v>
          </cell>
          <cell r="S149">
            <v>54.259342692937103</v>
          </cell>
          <cell r="T149">
            <v>90.25068384949725</v>
          </cell>
          <cell r="U149">
            <v>90.25068384949725</v>
          </cell>
          <cell r="V149">
            <v>90.25068384949725</v>
          </cell>
          <cell r="W149">
            <v>137.24215684587162</v>
          </cell>
          <cell r="X149">
            <v>137.24215684587162</v>
          </cell>
          <cell r="Y149">
            <v>137.24215684587162</v>
          </cell>
          <cell r="Z149">
            <v>137.24215684587162</v>
          </cell>
          <cell r="AA149">
            <v>137.24215684587162</v>
          </cell>
          <cell r="AB149">
            <v>137.24215684587162</v>
          </cell>
          <cell r="AC149">
            <v>137.24215684587162</v>
          </cell>
          <cell r="AD149">
            <v>137.24215684587162</v>
          </cell>
        </row>
        <row r="150">
          <cell r="C150">
            <v>41</v>
          </cell>
          <cell r="D150">
            <v>597.6785641939797</v>
          </cell>
          <cell r="E150">
            <v>1169.2854799692846</v>
          </cell>
          <cell r="F150">
            <v>2060.4094477458348</v>
          </cell>
          <cell r="G150">
            <v>2390.1403211945926</v>
          </cell>
          <cell r="H150">
            <v>2809.3606608760247</v>
          </cell>
          <cell r="I150">
            <v>3050.4835309777695</v>
          </cell>
          <cell r="J150">
            <v>3280.983960260894</v>
          </cell>
          <cell r="K150">
            <v>3935.7228376886574</v>
          </cell>
          <cell r="L150">
            <v>4619.7428957857346</v>
          </cell>
          <cell r="M150">
            <v>5351.6771072912788</v>
          </cell>
          <cell r="N150">
            <v>6049.3591559298029</v>
          </cell>
          <cell r="O150">
            <v>6473.9390279946274</v>
          </cell>
          <cell r="S150">
            <v>520.31999642545304</v>
          </cell>
          <cell r="T150">
            <v>872.68857252087764</v>
          </cell>
          <cell r="U150">
            <v>872.68857252087764</v>
          </cell>
          <cell r="V150">
            <v>872.68857252087764</v>
          </cell>
          <cell r="W150">
            <v>1456.2851187912945</v>
          </cell>
          <cell r="X150">
            <v>1456.2851187912945</v>
          </cell>
          <cell r="Y150">
            <v>1456.2851187912945</v>
          </cell>
          <cell r="Z150">
            <v>1456.2851187912945</v>
          </cell>
          <cell r="AA150">
            <v>1456.2851187912945</v>
          </cell>
          <cell r="AB150">
            <v>1456.2851187912945</v>
          </cell>
          <cell r="AC150">
            <v>1456.2851187912945</v>
          </cell>
          <cell r="AD150">
            <v>1456.2851187912945</v>
          </cell>
        </row>
        <row r="151">
          <cell r="C151">
            <v>42</v>
          </cell>
          <cell r="D151">
            <v>103.03987899904119</v>
          </cell>
          <cell r="E151">
            <v>201.58500168707317</v>
          </cell>
          <cell r="F151">
            <v>355.21491467662474</v>
          </cell>
          <cell r="G151">
            <v>412.06056941116748</v>
          </cell>
          <cell r="H151">
            <v>484.33422227834996</v>
          </cell>
          <cell r="I151">
            <v>525.90384322115767</v>
          </cell>
          <cell r="J151">
            <v>565.64215368673388</v>
          </cell>
          <cell r="K151">
            <v>678.51923971223994</v>
          </cell>
          <cell r="L151">
            <v>796.44440591640193</v>
          </cell>
          <cell r="M151">
            <v>922.62997974653933</v>
          </cell>
          <cell r="N151">
            <v>1042.9104752808994</v>
          </cell>
          <cell r="O151">
            <v>1116.1081123786707</v>
          </cell>
          <cell r="S151">
            <v>4.7276642010980563</v>
          </cell>
          <cell r="T151">
            <v>102.81391008963232</v>
          </cell>
          <cell r="U151">
            <v>102.81391008963232</v>
          </cell>
          <cell r="V151">
            <v>102.81391008963232</v>
          </cell>
          <cell r="W151">
            <v>118.95409401683067</v>
          </cell>
          <cell r="X151">
            <v>118.95409401683067</v>
          </cell>
          <cell r="Y151">
            <v>118.95409401683067</v>
          </cell>
          <cell r="Z151">
            <v>118.95409401683067</v>
          </cell>
          <cell r="AA151">
            <v>118.95409401683067</v>
          </cell>
          <cell r="AB151">
            <v>118.95409401683067</v>
          </cell>
          <cell r="AC151">
            <v>118.95409401683067</v>
          </cell>
          <cell r="AD151">
            <v>118.95409401683067</v>
          </cell>
        </row>
        <row r="152">
          <cell r="C152">
            <v>43</v>
          </cell>
          <cell r="D152">
            <v>112.56437966751746</v>
          </cell>
          <cell r="E152">
            <v>220.21852981205461</v>
          </cell>
          <cell r="F152">
            <v>388.0492379032828</v>
          </cell>
          <cell r="G152">
            <v>450.14942594841062</v>
          </cell>
          <cell r="H152">
            <v>529.10370054898146</v>
          </cell>
          <cell r="I152">
            <v>574.51581321736433</v>
          </cell>
          <cell r="J152">
            <v>617.92733805654268</v>
          </cell>
          <cell r="K152">
            <v>741.23822788451241</v>
          </cell>
          <cell r="L152">
            <v>870.06381764557875</v>
          </cell>
          <cell r="M152">
            <v>1007.913366569363</v>
          </cell>
          <cell r="N152">
            <v>1139.3120007433495</v>
          </cell>
          <cell r="O152">
            <v>1219.2756681416327</v>
          </cell>
          <cell r="S152">
            <v>123.96766338193105</v>
          </cell>
          <cell r="T152">
            <v>185.78958591042399</v>
          </cell>
          <cell r="U152">
            <v>185.78958591042399</v>
          </cell>
          <cell r="V152">
            <v>185.78958591042399</v>
          </cell>
          <cell r="W152">
            <v>258.50447704077072</v>
          </cell>
          <cell r="X152">
            <v>258.50447704077072</v>
          </cell>
          <cell r="Y152">
            <v>258.50447704077072</v>
          </cell>
          <cell r="Z152">
            <v>258.50447704077072</v>
          </cell>
          <cell r="AA152">
            <v>258.50447704077072</v>
          </cell>
          <cell r="AB152">
            <v>258.50447704077072</v>
          </cell>
          <cell r="AC152">
            <v>258.50447704077072</v>
          </cell>
          <cell r="AD152">
            <v>258.50447704077072</v>
          </cell>
        </row>
        <row r="153">
          <cell r="C153">
            <v>44</v>
          </cell>
          <cell r="D153">
            <v>62.958311388404987</v>
          </cell>
          <cell r="E153">
            <v>123.17028543448691</v>
          </cell>
          <cell r="F153">
            <v>217.03957171984592</v>
          </cell>
          <cell r="G153">
            <v>251.77278828241975</v>
          </cell>
          <cell r="H153">
            <v>295.93265324530375</v>
          </cell>
          <cell r="I153">
            <v>321.33207301402848</v>
          </cell>
          <cell r="J153">
            <v>345.61254528015121</v>
          </cell>
          <cell r="K153">
            <v>414.581480411332</v>
          </cell>
          <cell r="L153">
            <v>486.63483884433379</v>
          </cell>
          <cell r="M153">
            <v>563.73538212036271</v>
          </cell>
          <cell r="N153">
            <v>637.22786838264142</v>
          </cell>
          <cell r="O153">
            <v>681.9522961873347</v>
          </cell>
          <cell r="S153">
            <v>319.2063481720474</v>
          </cell>
          <cell r="T153">
            <v>487.63755239162663</v>
          </cell>
          <cell r="U153">
            <v>487.63755239162663</v>
          </cell>
          <cell r="V153">
            <v>487.63755239162663</v>
          </cell>
          <cell r="W153">
            <v>557.816529207023</v>
          </cell>
          <cell r="X153">
            <v>557.816529207023</v>
          </cell>
          <cell r="Y153">
            <v>557.816529207023</v>
          </cell>
          <cell r="Z153">
            <v>557.816529207023</v>
          </cell>
          <cell r="AA153">
            <v>557.816529207023</v>
          </cell>
          <cell r="AB153">
            <v>557.816529207023</v>
          </cell>
          <cell r="AC153">
            <v>557.816529207023</v>
          </cell>
          <cell r="AD153">
            <v>557.816529207023</v>
          </cell>
        </row>
        <row r="154">
          <cell r="C154">
            <v>45</v>
          </cell>
          <cell r="D154">
            <v>216.95093789247662</v>
          </cell>
          <cell r="E154">
            <v>424.43814575397516</v>
          </cell>
          <cell r="F154">
            <v>747.90663227784739</v>
          </cell>
          <cell r="G154">
            <v>867.59541908131121</v>
          </cell>
          <cell r="H154">
            <v>1019.7679267236816</v>
          </cell>
          <cell r="I154">
            <v>1107.292954305098</v>
          </cell>
          <cell r="J154">
            <v>1190.9621492761964</v>
          </cell>
          <cell r="K154">
            <v>1428.6253716876977</v>
          </cell>
          <cell r="L154">
            <v>1676.9173500716902</v>
          </cell>
          <cell r="M154">
            <v>1942.6016546039518</v>
          </cell>
          <cell r="N154">
            <v>2195.852789696939</v>
          </cell>
          <cell r="O154">
            <v>2349.9707503752738</v>
          </cell>
          <cell r="S154">
            <v>150.41488947761346</v>
          </cell>
          <cell r="T154">
            <v>316.4884278095941</v>
          </cell>
          <cell r="U154">
            <v>316.4884278095941</v>
          </cell>
          <cell r="V154">
            <v>316.4884278095941</v>
          </cell>
          <cell r="W154">
            <v>485.7782215529428</v>
          </cell>
          <cell r="X154">
            <v>485.7782215529428</v>
          </cell>
          <cell r="Y154">
            <v>485.7782215529428</v>
          </cell>
          <cell r="Z154">
            <v>485.7782215529428</v>
          </cell>
          <cell r="AA154">
            <v>485.7782215529428</v>
          </cell>
          <cell r="AB154">
            <v>485.7782215529428</v>
          </cell>
          <cell r="AC154">
            <v>485.7782215529428</v>
          </cell>
          <cell r="AD154">
            <v>485.7782215529428</v>
          </cell>
        </row>
        <row r="155">
          <cell r="C155">
            <v>46</v>
          </cell>
          <cell r="D155">
            <v>814.51133708760403</v>
          </cell>
          <cell r="E155">
            <v>1593.4924502626091</v>
          </cell>
          <cell r="F155">
            <v>2807.9087234701533</v>
          </cell>
          <cell r="G155">
            <v>3257.2631937513493</v>
          </cell>
          <cell r="H155">
            <v>3828.5731584457171</v>
          </cell>
          <cell r="I155">
            <v>4157.1733845452281</v>
          </cell>
          <cell r="J155">
            <v>4471.297437342495</v>
          </cell>
          <cell r="K155">
            <v>5363.570090982189</v>
          </cell>
          <cell r="L155">
            <v>6295.7468921809141</v>
          </cell>
          <cell r="M155">
            <v>7293.2206999918508</v>
          </cell>
          <cell r="N155">
            <v>8244.0159473752719</v>
          </cell>
          <cell r="O155">
            <v>8822.6298378740539</v>
          </cell>
          <cell r="S155">
            <v>1046.0402117919093</v>
          </cell>
          <cell r="T155">
            <v>1988.7861977605473</v>
          </cell>
          <cell r="U155">
            <v>1988.7861977605473</v>
          </cell>
          <cell r="V155">
            <v>1988.7861977605473</v>
          </cell>
          <cell r="W155">
            <v>2522.4350394298685</v>
          </cell>
          <cell r="X155">
            <v>2522.4350394298685</v>
          </cell>
          <cell r="Y155">
            <v>2522.4350394298685</v>
          </cell>
          <cell r="Z155">
            <v>2522.4350394298685</v>
          </cell>
          <cell r="AA155">
            <v>2522.4350394298685</v>
          </cell>
          <cell r="AB155">
            <v>2522.4350394298685</v>
          </cell>
          <cell r="AC155">
            <v>2522.4350394298685</v>
          </cell>
          <cell r="AD155">
            <v>2522.4350394298685</v>
          </cell>
        </row>
        <row r="156">
          <cell r="C156">
            <v>47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C157">
            <v>48</v>
          </cell>
          <cell r="D157">
            <v>392.30779618900999</v>
          </cell>
          <cell r="E157">
            <v>767.50252935903995</v>
          </cell>
          <cell r="F157">
            <v>1352.4237577137546</v>
          </cell>
          <cell r="G157">
            <v>1568.8544615195824</v>
          </cell>
          <cell r="H157">
            <v>1844.0247912432587</v>
          </cell>
          <cell r="I157">
            <v>2002.294448961288</v>
          </cell>
          <cell r="J157">
            <v>2153.5916860549955</v>
          </cell>
          <cell r="K157">
            <v>2583.3530686291701</v>
          </cell>
          <cell r="L157">
            <v>3032.334206011989</v>
          </cell>
          <cell r="M157">
            <v>3512.7655192184752</v>
          </cell>
          <cell r="N157">
            <v>3970.7141948768185</v>
          </cell>
          <cell r="O157">
            <v>4249.4024462123698</v>
          </cell>
          <cell r="S157">
            <v>784.35707490351513</v>
          </cell>
          <cell r="T157">
            <v>1245.7132457126677</v>
          </cell>
          <cell r="U157">
            <v>1245.7132457126677</v>
          </cell>
          <cell r="V157">
            <v>1245.7132457126677</v>
          </cell>
          <cell r="W157">
            <v>1456.8666415171872</v>
          </cell>
          <cell r="X157">
            <v>1456.8666415171872</v>
          </cell>
          <cell r="Y157">
            <v>1456.8666415171872</v>
          </cell>
          <cell r="Z157">
            <v>1456.8666415171872</v>
          </cell>
          <cell r="AA157">
            <v>1456.8666415171872</v>
          </cell>
          <cell r="AB157">
            <v>1456.8666415171872</v>
          </cell>
          <cell r="AC157">
            <v>1456.8666415171872</v>
          </cell>
          <cell r="AD157">
            <v>1456.8666415171872</v>
          </cell>
        </row>
        <row r="158">
          <cell r="C158">
            <v>49</v>
          </cell>
          <cell r="D158">
            <v>276.42468162973165</v>
          </cell>
          <cell r="E158">
            <v>540.79129802934494</v>
          </cell>
          <cell r="F158">
            <v>952.93366659069909</v>
          </cell>
          <cell r="G158">
            <v>1105.4332829011553</v>
          </cell>
          <cell r="H158">
            <v>1299.3215296470057</v>
          </cell>
          <cell r="I158">
            <v>1410.8401896668915</v>
          </cell>
          <cell r="J158">
            <v>1517.4460002099393</v>
          </cell>
          <cell r="K158">
            <v>1820.2609187734859</v>
          </cell>
          <cell r="L158">
            <v>2136.6183023494314</v>
          </cell>
          <cell r="M158">
            <v>2475.1358492555696</v>
          </cell>
          <cell r="N158">
            <v>2797.8118656420138</v>
          </cell>
          <cell r="O158">
            <v>2994.1788812805739</v>
          </cell>
          <cell r="S158">
            <v>232.50612978956715</v>
          </cell>
          <cell r="T158">
            <v>625.14254257767482</v>
          </cell>
          <cell r="U158">
            <v>625.14254257767482</v>
          </cell>
          <cell r="V158">
            <v>625.14254257767482</v>
          </cell>
          <cell r="W158">
            <v>888.5974198060062</v>
          </cell>
          <cell r="X158">
            <v>888.5974198060062</v>
          </cell>
          <cell r="Y158">
            <v>888.5974198060062</v>
          </cell>
          <cell r="Z158">
            <v>888.5974198060062</v>
          </cell>
          <cell r="AA158">
            <v>888.5974198060062</v>
          </cell>
          <cell r="AB158">
            <v>888.5974198060062</v>
          </cell>
          <cell r="AC158">
            <v>888.5974198060062</v>
          </cell>
          <cell r="AD158">
            <v>888.5974198060062</v>
          </cell>
        </row>
        <row r="159">
          <cell r="C159">
            <v>50</v>
          </cell>
          <cell r="D159">
            <v>4135.7749598239006</v>
          </cell>
          <cell r="E159">
            <v>8091.1411227609642</v>
          </cell>
          <cell r="F159">
            <v>14257.479373488377</v>
          </cell>
          <cell r="G159">
            <v>16539.128359393188</v>
          </cell>
          <cell r="H159">
            <v>19440.02038961267</v>
          </cell>
          <cell r="I159">
            <v>21108.525817362981</v>
          </cell>
          <cell r="J159">
            <v>22703.526810820742</v>
          </cell>
          <cell r="K159">
            <v>27234.143795789449</v>
          </cell>
          <cell r="L159">
            <v>31967.378677837238</v>
          </cell>
          <cell r="M159">
            <v>37032.16661826706</v>
          </cell>
          <cell r="N159">
            <v>41859.938801412245</v>
          </cell>
          <cell r="O159">
            <v>44797.917354648474</v>
          </cell>
          <cell r="S159">
            <v>7892.6276830047045</v>
          </cell>
          <cell r="T159">
            <v>10989.697939486938</v>
          </cell>
          <cell r="U159">
            <v>10989.697939486938</v>
          </cell>
          <cell r="V159">
            <v>10989.697939486938</v>
          </cell>
          <cell r="W159">
            <v>15066.775650263604</v>
          </cell>
          <cell r="X159">
            <v>15066.775650263604</v>
          </cell>
          <cell r="Y159">
            <v>15066.775650263604</v>
          </cell>
          <cell r="Z159">
            <v>15066.775650263604</v>
          </cell>
          <cell r="AA159">
            <v>15066.775650263604</v>
          </cell>
          <cell r="AB159">
            <v>15066.775650263604</v>
          </cell>
          <cell r="AC159">
            <v>15066.775650263604</v>
          </cell>
          <cell r="AD159">
            <v>15066.775650263604</v>
          </cell>
        </row>
        <row r="160">
          <cell r="C160">
            <v>51</v>
          </cell>
          <cell r="D160">
            <v>108.47546894623831</v>
          </cell>
          <cell r="E160">
            <v>355.62934889890562</v>
          </cell>
          <cell r="F160">
            <v>517.36359216084179</v>
          </cell>
          <cell r="G160">
            <v>577.20798556257364</v>
          </cell>
          <cell r="H160">
            <v>653.29423938375885</v>
          </cell>
          <cell r="I160">
            <v>697.05675317446696</v>
          </cell>
          <cell r="J160">
            <v>738.8913506600162</v>
          </cell>
          <cell r="K160">
            <v>857.72296186576682</v>
          </cell>
          <cell r="L160">
            <v>981.86895105776307</v>
          </cell>
          <cell r="M160">
            <v>1114.7111033238939</v>
          </cell>
          <cell r="N160">
            <v>1241.3366708703875</v>
          </cell>
          <cell r="O160">
            <v>1318.3956512095549</v>
          </cell>
          <cell r="S160">
            <v>175.27963383234257</v>
          </cell>
          <cell r="T160">
            <v>368.40971948914984</v>
          </cell>
          <cell r="U160">
            <v>368.40971948914984</v>
          </cell>
          <cell r="V160">
            <v>368.40971948914984</v>
          </cell>
          <cell r="W160">
            <v>424.33994018131636</v>
          </cell>
          <cell r="X160">
            <v>424.33994018131636</v>
          </cell>
          <cell r="Y160">
            <v>424.33994018131636</v>
          </cell>
          <cell r="Z160">
            <v>424.33994018131636</v>
          </cell>
          <cell r="AA160">
            <v>424.33994018131636</v>
          </cell>
          <cell r="AB160">
            <v>424.33994018131636</v>
          </cell>
          <cell r="AC160">
            <v>424.33994018131636</v>
          </cell>
          <cell r="AD160">
            <v>424.33994018131636</v>
          </cell>
        </row>
        <row r="161">
          <cell r="C161">
            <v>52</v>
          </cell>
          <cell r="D161">
            <v>251.32497850522398</v>
          </cell>
          <cell r="E161">
            <v>491.6867790232036</v>
          </cell>
          <cell r="F161">
            <v>866.40611055714066</v>
          </cell>
          <cell r="G161">
            <v>1005.0585730120633</v>
          </cell>
          <cell r="H161">
            <v>1181.3415270468568</v>
          </cell>
          <cell r="I161">
            <v>1282.7341547499491</v>
          </cell>
          <cell r="J161">
            <v>1379.6600257875868</v>
          </cell>
          <cell r="K161">
            <v>1654.978975059224</v>
          </cell>
          <cell r="L161">
            <v>1942.6107167634409</v>
          </cell>
          <cell r="M161">
            <v>2250.3904515477152</v>
          </cell>
          <cell r="N161">
            <v>2543.7670863849125</v>
          </cell>
          <cell r="O161">
            <v>2722.303734029867</v>
          </cell>
          <cell r="S161">
            <v>355.50452310516425</v>
          </cell>
          <cell r="T161">
            <v>672.57732956064854</v>
          </cell>
          <cell r="U161">
            <v>672.57732956064854</v>
          </cell>
          <cell r="V161">
            <v>672.57732956064854</v>
          </cell>
          <cell r="W161">
            <v>921.23703818904823</v>
          </cell>
          <cell r="X161">
            <v>921.23703818904823</v>
          </cell>
          <cell r="Y161">
            <v>921.23703818904823</v>
          </cell>
          <cell r="Z161">
            <v>921.23703818904823</v>
          </cell>
          <cell r="AA161">
            <v>921.23703818904823</v>
          </cell>
          <cell r="AB161">
            <v>921.23703818904823</v>
          </cell>
          <cell r="AC161">
            <v>921.23703818904823</v>
          </cell>
          <cell r="AD161">
            <v>921.23703818904823</v>
          </cell>
        </row>
        <row r="162">
          <cell r="C162">
            <v>53</v>
          </cell>
          <cell r="D162">
            <v>129.50883874191413</v>
          </cell>
          <cell r="E162">
            <v>253.36830487274329</v>
          </cell>
          <cell r="F162">
            <v>446.46278266695026</v>
          </cell>
          <cell r="G162">
            <v>517.91099091128376</v>
          </cell>
          <cell r="H162">
            <v>608.75035277187089</v>
          </cell>
          <cell r="I162">
            <v>660.99840845228061</v>
          </cell>
          <cell r="J162">
            <v>710.94472527598657</v>
          </cell>
          <cell r="K162">
            <v>852.81776000529237</v>
          </cell>
          <cell r="L162">
            <v>1001.0356294545602</v>
          </cell>
          <cell r="M162">
            <v>1159.6358461034483</v>
          </cell>
          <cell r="N162">
            <v>1310.8140836099376</v>
          </cell>
          <cell r="O162">
            <v>1402.8147834484207</v>
          </cell>
          <cell r="S162">
            <v>147.52686030037364</v>
          </cell>
          <cell r="T162">
            <v>326.37894435836233</v>
          </cell>
          <cell r="U162">
            <v>326.37894435836233</v>
          </cell>
          <cell r="V162">
            <v>326.37894435836233</v>
          </cell>
          <cell r="W162">
            <v>447.72454591518954</v>
          </cell>
          <cell r="X162">
            <v>447.72454591518954</v>
          </cell>
          <cell r="Y162">
            <v>447.72454591518954</v>
          </cell>
          <cell r="Z162">
            <v>447.72454591518954</v>
          </cell>
          <cell r="AA162">
            <v>447.72454591518954</v>
          </cell>
          <cell r="AB162">
            <v>447.72454591518954</v>
          </cell>
          <cell r="AC162">
            <v>447.72454591518954</v>
          </cell>
          <cell r="AD162">
            <v>447.72454591518954</v>
          </cell>
        </row>
        <row r="163">
          <cell r="C163">
            <v>54</v>
          </cell>
          <cell r="D163">
            <v>56.719199449013495</v>
          </cell>
          <cell r="E163">
            <v>110.96422111215037</v>
          </cell>
          <cell r="F163">
            <v>195.53114569355489</v>
          </cell>
          <cell r="G163">
            <v>226.82233178596371</v>
          </cell>
          <cell r="H163">
            <v>266.60599391468804</v>
          </cell>
          <cell r="I163">
            <v>289.4883540666923</v>
          </cell>
          <cell r="J163">
            <v>311.36265340554161</v>
          </cell>
          <cell r="K163">
            <v>373.49682919939818</v>
          </cell>
          <cell r="L163">
            <v>438.40976472462501</v>
          </cell>
          <cell r="M163">
            <v>507.86971362194834</v>
          </cell>
          <cell r="N163">
            <v>574.07916070508224</v>
          </cell>
          <cell r="O163">
            <v>614.37143800660772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C164">
            <v>55</v>
          </cell>
          <cell r="D164">
            <v>249.32814757795512</v>
          </cell>
          <cell r="E164">
            <v>487.78022197216092</v>
          </cell>
          <cell r="F164">
            <v>859.52232794458484</v>
          </cell>
          <cell r="G164">
            <v>997.07316680913198</v>
          </cell>
          <cell r="H164">
            <v>1171.9555149166492</v>
          </cell>
          <cell r="I164">
            <v>1272.5425564181678</v>
          </cell>
          <cell r="J164">
            <v>1368.6983305951928</v>
          </cell>
          <cell r="K164">
            <v>1641.8298116890205</v>
          </cell>
          <cell r="L164">
            <v>1927.1762574353299</v>
          </cell>
          <cell r="M164">
            <v>2232.5106161298136</v>
          </cell>
          <cell r="N164">
            <v>2523.5563105994233</v>
          </cell>
          <cell r="O164">
            <v>2700.674446237379</v>
          </cell>
          <cell r="S164">
            <v>366.66101937888521</v>
          </cell>
          <cell r="T164">
            <v>539.57519048501945</v>
          </cell>
          <cell r="U164">
            <v>539.57519048501945</v>
          </cell>
          <cell r="V164">
            <v>539.57519048501945</v>
          </cell>
          <cell r="W164">
            <v>751.06484012135547</v>
          </cell>
          <cell r="X164">
            <v>751.06484012135547</v>
          </cell>
          <cell r="Y164">
            <v>751.06484012135547</v>
          </cell>
          <cell r="Z164">
            <v>751.06484012135547</v>
          </cell>
          <cell r="AA164">
            <v>751.06484012135547</v>
          </cell>
          <cell r="AB164">
            <v>751.06484012135547</v>
          </cell>
          <cell r="AC164">
            <v>751.06484012135547</v>
          </cell>
          <cell r="AD164">
            <v>751.06484012135547</v>
          </cell>
        </row>
        <row r="165">
          <cell r="C165">
            <v>56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71.091472851260235</v>
          </cell>
          <cell r="K165">
            <v>71.091472851260235</v>
          </cell>
          <cell r="L165">
            <v>71.091472851260235</v>
          </cell>
          <cell r="M165">
            <v>71.091472851260235</v>
          </cell>
          <cell r="N165">
            <v>71.091472851260235</v>
          </cell>
          <cell r="O165">
            <v>71.091472851260235</v>
          </cell>
          <cell r="S165">
            <v>166.08145871305138</v>
          </cell>
          <cell r="T165">
            <v>229.42754598088197</v>
          </cell>
          <cell r="U165">
            <v>229.42754598088197</v>
          </cell>
          <cell r="V165">
            <v>229.42754598088197</v>
          </cell>
          <cell r="W165">
            <v>241.33653585772103</v>
          </cell>
          <cell r="X165">
            <v>241.33653585772103</v>
          </cell>
          <cell r="Y165">
            <v>241.33653585772103</v>
          </cell>
          <cell r="Z165">
            <v>241.33653585772103</v>
          </cell>
          <cell r="AA165">
            <v>241.33653585772103</v>
          </cell>
          <cell r="AB165">
            <v>241.33653585772103</v>
          </cell>
          <cell r="AC165">
            <v>241.33653585772103</v>
          </cell>
          <cell r="AD165">
            <v>241.33653585772103</v>
          </cell>
        </row>
        <row r="166">
          <cell r="C166">
            <v>57</v>
          </cell>
          <cell r="D166">
            <v>184.32558170940865</v>
          </cell>
          <cell r="E166">
            <v>383.51189992672107</v>
          </cell>
          <cell r="F166">
            <v>606.13499837542145</v>
          </cell>
          <cell r="G166">
            <v>734.83249157890134</v>
          </cell>
          <cell r="H166">
            <v>916.92287674395266</v>
          </cell>
          <cell r="I166">
            <v>991.28578007960152</v>
          </cell>
          <cell r="J166">
            <v>1071.6240478902942</v>
          </cell>
          <cell r="K166">
            <v>1326.7944545658718</v>
          </cell>
          <cell r="L166">
            <v>1565.2017615986474</v>
          </cell>
          <cell r="M166">
            <v>1982.5321842293602</v>
          </cell>
          <cell r="N166">
            <v>2419.6421812745666</v>
          </cell>
          <cell r="O166">
            <v>2598.6910053216693</v>
          </cell>
          <cell r="S166">
            <v>14.143430559770334</v>
          </cell>
          <cell r="T166">
            <v>236.16071976896538</v>
          </cell>
          <cell r="U166">
            <v>236.16071976896538</v>
          </cell>
          <cell r="V166">
            <v>236.16071976896538</v>
          </cell>
          <cell r="W166">
            <v>320.22417772312349</v>
          </cell>
          <cell r="X166">
            <v>320.22417772312349</v>
          </cell>
          <cell r="Y166">
            <v>320.22417772312349</v>
          </cell>
          <cell r="Z166">
            <v>320.22417772312349</v>
          </cell>
          <cell r="AA166">
            <v>320.22417772312349</v>
          </cell>
          <cell r="AB166">
            <v>320.22417772312349</v>
          </cell>
          <cell r="AC166">
            <v>320.22417772312349</v>
          </cell>
          <cell r="AD166">
            <v>320.22417772312349</v>
          </cell>
        </row>
        <row r="167">
          <cell r="C167">
            <v>57.5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C168">
            <v>58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-549.95196702480405</v>
          </cell>
          <cell r="T168">
            <v>164.64960779115893</v>
          </cell>
          <cell r="U168">
            <v>164.64960779115893</v>
          </cell>
          <cell r="V168">
            <v>164.64960779115893</v>
          </cell>
          <cell r="W168">
            <v>-181.14542650327036</v>
          </cell>
          <cell r="X168">
            <v>-181.14542650327036</v>
          </cell>
          <cell r="Y168">
            <v>-181.14542650327036</v>
          </cell>
          <cell r="Z168">
            <v>-181.14542650327036</v>
          </cell>
          <cell r="AA168">
            <v>-181.14542650327036</v>
          </cell>
          <cell r="AB168">
            <v>-181.14542650327036</v>
          </cell>
          <cell r="AC168">
            <v>-181.14542650327036</v>
          </cell>
          <cell r="AD168">
            <v>-181.14542650327036</v>
          </cell>
        </row>
        <row r="169">
          <cell r="C169">
            <v>59</v>
          </cell>
          <cell r="D169">
            <v>12630.838553561651</v>
          </cell>
          <cell r="E169">
            <v>24936.96998528004</v>
          </cell>
          <cell r="F169">
            <v>43239.68245103096</v>
          </cell>
          <cell r="G169">
            <v>50359.442708786039</v>
          </cell>
          <cell r="H169">
            <v>59429.981046171728</v>
          </cell>
          <cell r="I169">
            <v>64616.710593306329</v>
          </cell>
          <cell r="J169">
            <v>69684.30000673233</v>
          </cell>
          <cell r="K169">
            <v>83964.309682690568</v>
          </cell>
          <cell r="L169">
            <v>98854.774019642602</v>
          </cell>
          <cell r="M169">
            <v>114950.50697181757</v>
          </cell>
          <cell r="N169">
            <v>130332.3207745394</v>
          </cell>
          <cell r="O169">
            <v>139606.08608476113</v>
          </cell>
          <cell r="S169">
            <v>17410.543238055514</v>
          </cell>
          <cell r="T169">
            <v>29654.583886288994</v>
          </cell>
          <cell r="U169">
            <v>29654.583886288994</v>
          </cell>
          <cell r="V169">
            <v>29654.583886288994</v>
          </cell>
          <cell r="W169">
            <v>40490.741902140755</v>
          </cell>
          <cell r="X169">
            <v>40490.741902140755</v>
          </cell>
          <cell r="Y169">
            <v>40490.741902140755</v>
          </cell>
          <cell r="Z169">
            <v>40490.741902140755</v>
          </cell>
          <cell r="AA169">
            <v>40490.741902140755</v>
          </cell>
          <cell r="AB169">
            <v>40490.741902140755</v>
          </cell>
          <cell r="AC169">
            <v>40490.741902140755</v>
          </cell>
          <cell r="AD169">
            <v>40490.741902140755</v>
          </cell>
        </row>
        <row r="171">
          <cell r="C171">
            <v>60</v>
          </cell>
          <cell r="D171">
            <v>10444.161446438349</v>
          </cell>
          <cell r="E171">
            <v>21213.03001471996</v>
          </cell>
          <cell r="F171">
            <v>35215.31754896904</v>
          </cell>
          <cell r="G171">
            <v>41940.557291213961</v>
          </cell>
          <cell r="H171">
            <v>51330.018953828272</v>
          </cell>
          <cell r="I171">
            <v>55373.289406693671</v>
          </cell>
          <cell r="J171">
            <v>59535.69999326767</v>
          </cell>
          <cell r="K171">
            <v>72945.690317309432</v>
          </cell>
          <cell r="L171">
            <v>85745.225980357398</v>
          </cell>
          <cell r="M171">
            <v>106569.49302818243</v>
          </cell>
          <cell r="N171">
            <v>128107.6792254606</v>
          </cell>
          <cell r="O171">
            <v>137293.91391523887</v>
          </cell>
          <cell r="S171">
            <v>-46031.543238055514</v>
          </cell>
          <cell r="T171">
            <v>-66888.853886288984</v>
          </cell>
          <cell r="U171">
            <v>-45730.833886288994</v>
          </cell>
          <cell r="V171">
            <v>-45730.833886288994</v>
          </cell>
          <cell r="W171">
            <v>-54294.991902140755</v>
          </cell>
          <cell r="X171">
            <v>-54294.991902140755</v>
          </cell>
          <cell r="Y171">
            <v>-54294.991902140755</v>
          </cell>
          <cell r="Z171">
            <v>-54294.991902140755</v>
          </cell>
          <cell r="AA171">
            <v>-54294.991902140755</v>
          </cell>
          <cell r="AB171">
            <v>-54294.991902140755</v>
          </cell>
          <cell r="AC171">
            <v>-54294.991902140755</v>
          </cell>
          <cell r="AD171">
            <v>-54294.991902140755</v>
          </cell>
        </row>
        <row r="172">
          <cell r="C172">
            <v>61</v>
          </cell>
          <cell r="D172">
            <v>5.9082499426055719</v>
          </cell>
          <cell r="E172">
            <v>11.558773032515663</v>
          </cell>
          <cell r="F172">
            <v>20.367827676411967</v>
          </cell>
          <cell r="G172">
            <v>23.627326227704554</v>
          </cell>
          <cell r="H172">
            <v>27.771457699446671</v>
          </cell>
          <cell r="I172">
            <v>30.155036881947115</v>
          </cell>
          <cell r="J172">
            <v>32.433609729743921</v>
          </cell>
          <cell r="K172">
            <v>38.905919708270645</v>
          </cell>
          <cell r="L172">
            <v>45.667683825481767</v>
          </cell>
          <cell r="M172">
            <v>52.903095168952945</v>
          </cell>
          <cell r="N172">
            <v>59.799912573446065</v>
          </cell>
          <cell r="O172">
            <v>63.997024792354964</v>
          </cell>
          <cell r="S172">
            <v>55.347298889842513</v>
          </cell>
          <cell r="T172">
            <v>19.705605118522385</v>
          </cell>
          <cell r="U172">
            <v>19.705605118522385</v>
          </cell>
          <cell r="V172">
            <v>19.705605118522385</v>
          </cell>
          <cell r="W172">
            <v>-979.45864554827494</v>
          </cell>
          <cell r="X172">
            <v>-979.45864554827494</v>
          </cell>
          <cell r="Y172">
            <v>-979.45864554827494</v>
          </cell>
          <cell r="Z172">
            <v>-979.45864554827494</v>
          </cell>
          <cell r="AA172">
            <v>-979.45864554827494</v>
          </cell>
          <cell r="AB172">
            <v>-979.45864554827494</v>
          </cell>
          <cell r="AC172">
            <v>-979.45864554827494</v>
          </cell>
          <cell r="AD172">
            <v>-979.45864554827494</v>
          </cell>
        </row>
        <row r="173">
          <cell r="C173">
            <v>62</v>
          </cell>
          <cell r="D173">
            <v>10450.069696380955</v>
          </cell>
          <cell r="E173">
            <v>21224.588787752476</v>
          </cell>
          <cell r="F173">
            <v>35235.685376645451</v>
          </cell>
          <cell r="G173">
            <v>41964.184617441664</v>
          </cell>
          <cell r="H173">
            <v>51357.79041152772</v>
          </cell>
          <cell r="I173">
            <v>55403.444443575616</v>
          </cell>
          <cell r="J173">
            <v>59568.133602997412</v>
          </cell>
          <cell r="K173">
            <v>72984.5962370177</v>
          </cell>
          <cell r="L173">
            <v>85790.893664182877</v>
          </cell>
          <cell r="M173">
            <v>106622.39612335138</v>
          </cell>
          <cell r="N173">
            <v>128167.47913803405</v>
          </cell>
          <cell r="O173">
            <v>137357.91094003123</v>
          </cell>
          <cell r="S173">
            <v>-45976.195939165671</v>
          </cell>
          <cell r="T173">
            <v>-66869.148281170463</v>
          </cell>
          <cell r="U173">
            <v>-45711.128281170473</v>
          </cell>
          <cell r="V173">
            <v>-45711.128281170473</v>
          </cell>
          <cell r="W173">
            <v>-55274.450547689034</v>
          </cell>
          <cell r="X173">
            <v>-55274.450547689034</v>
          </cell>
          <cell r="Y173">
            <v>-55274.450547689034</v>
          </cell>
          <cell r="Z173">
            <v>-55274.450547689034</v>
          </cell>
          <cell r="AA173">
            <v>-55274.450547689034</v>
          </cell>
          <cell r="AB173">
            <v>-55274.450547689034</v>
          </cell>
          <cell r="AC173">
            <v>-55274.450547689034</v>
          </cell>
          <cell r="AD173">
            <v>-55274.450547689034</v>
          </cell>
        </row>
        <row r="176">
          <cell r="C176">
            <v>63</v>
          </cell>
          <cell r="D176">
            <v>77725</v>
          </cell>
          <cell r="E176">
            <v>155450</v>
          </cell>
          <cell r="F176">
            <v>264265</v>
          </cell>
          <cell r="G176">
            <v>310900</v>
          </cell>
          <cell r="H176">
            <v>373080</v>
          </cell>
          <cell r="I176">
            <v>404170</v>
          </cell>
          <cell r="J176">
            <v>435260</v>
          </cell>
          <cell r="K176">
            <v>528530</v>
          </cell>
          <cell r="L176">
            <v>621800</v>
          </cell>
          <cell r="M176">
            <v>746160</v>
          </cell>
          <cell r="N176">
            <v>870520</v>
          </cell>
          <cell r="O176">
            <v>932700</v>
          </cell>
          <cell r="S176">
            <v>76663</v>
          </cell>
          <cell r="T176">
            <v>127796.26999999999</v>
          </cell>
          <cell r="U176">
            <v>106638.25</v>
          </cell>
          <cell r="V176">
            <v>106638.25</v>
          </cell>
          <cell r="W176">
            <v>168706.25</v>
          </cell>
          <cell r="X176">
            <v>168706.25</v>
          </cell>
          <cell r="Y176">
            <v>168706.25</v>
          </cell>
          <cell r="Z176">
            <v>168706.25</v>
          </cell>
          <cell r="AA176">
            <v>168706.25</v>
          </cell>
          <cell r="AB176">
            <v>168706.25</v>
          </cell>
          <cell r="AC176">
            <v>168706.25</v>
          </cell>
          <cell r="AD176">
            <v>168706.25</v>
          </cell>
        </row>
        <row r="177">
          <cell r="C177">
            <v>64</v>
          </cell>
          <cell r="D177">
            <v>12624.930303619045</v>
          </cell>
          <cell r="E177">
            <v>24925.411212247527</v>
          </cell>
          <cell r="F177">
            <v>43219.314623354549</v>
          </cell>
          <cell r="G177">
            <v>50335.815382558343</v>
          </cell>
          <cell r="H177">
            <v>59402.209588472295</v>
          </cell>
          <cell r="I177">
            <v>64586.555556424384</v>
          </cell>
          <cell r="J177">
            <v>69651.866397002595</v>
          </cell>
          <cell r="K177">
            <v>83925.403762982314</v>
          </cell>
          <cell r="L177">
            <v>98809.106335817123</v>
          </cell>
          <cell r="M177">
            <v>114897.6038766486</v>
          </cell>
          <cell r="N177">
            <v>130272.52086196595</v>
          </cell>
          <cell r="O177">
            <v>139542.0890599688</v>
          </cell>
          <cell r="S177">
            <v>16667.654086733863</v>
          </cell>
          <cell r="T177">
            <v>28947.33642873865</v>
          </cell>
          <cell r="U177">
            <v>28947.33642873865</v>
          </cell>
          <cell r="V177">
            <v>28947.33642873865</v>
          </cell>
          <cell r="W177">
            <v>40782.658695257225</v>
          </cell>
          <cell r="X177">
            <v>40782.658695257225</v>
          </cell>
          <cell r="Y177">
            <v>40782.658695257225</v>
          </cell>
          <cell r="Z177">
            <v>40782.658695257225</v>
          </cell>
          <cell r="AA177">
            <v>40782.658695257225</v>
          </cell>
          <cell r="AB177">
            <v>40782.658695257225</v>
          </cell>
          <cell r="AC177">
            <v>40782.658695257225</v>
          </cell>
          <cell r="AD177">
            <v>40782.658695257225</v>
          </cell>
        </row>
        <row r="178">
          <cell r="C178">
            <v>65</v>
          </cell>
          <cell r="D178">
            <v>164549.93030361904</v>
          </cell>
          <cell r="E178">
            <v>328775.41121224756</v>
          </cell>
          <cell r="F178">
            <v>559764.31462335458</v>
          </cell>
          <cell r="G178">
            <v>658035.81538255839</v>
          </cell>
          <cell r="H178">
            <v>788642.20958847238</v>
          </cell>
          <cell r="I178">
            <v>854596.55555642443</v>
          </cell>
          <cell r="J178">
            <v>920431.8663970026</v>
          </cell>
          <cell r="K178">
            <v>1117015.4037629822</v>
          </cell>
          <cell r="L178">
            <v>1314209.1063358169</v>
          </cell>
          <cell r="M178">
            <v>1573377.6038766485</v>
          </cell>
          <cell r="N178">
            <v>1831832.5208619658</v>
          </cell>
          <cell r="O178">
            <v>1962642.0890599687</v>
          </cell>
          <cell r="S178">
            <v>129330.65408673386</v>
          </cell>
          <cell r="T178">
            <v>241743.60642873863</v>
          </cell>
          <cell r="U178">
            <v>220585.58642873864</v>
          </cell>
          <cell r="V178">
            <v>220585.58642873864</v>
          </cell>
          <cell r="W178">
            <v>320488.90869525721</v>
          </cell>
          <cell r="X178">
            <v>320488.90869525721</v>
          </cell>
          <cell r="Y178">
            <v>320488.90869525721</v>
          </cell>
          <cell r="Z178">
            <v>320488.90869525721</v>
          </cell>
          <cell r="AA178">
            <v>320488.90869525721</v>
          </cell>
          <cell r="AB178">
            <v>320488.90869525721</v>
          </cell>
          <cell r="AC178">
            <v>320488.90869525721</v>
          </cell>
          <cell r="AD178">
            <v>320488.90869525721</v>
          </cell>
        </row>
      </sheetData>
      <sheetData sheetId="13" refreshError="1"/>
      <sheetData sheetId="14" refreshError="1"/>
      <sheetData sheetId="15" refreshError="1">
        <row r="3">
          <cell r="C3" t="str">
            <v>code</v>
          </cell>
          <cell r="D3" t="str">
            <v>JAN</v>
          </cell>
          <cell r="E3" t="str">
            <v>FEB</v>
          </cell>
          <cell r="F3" t="str">
            <v>MAR</v>
          </cell>
          <cell r="G3" t="str">
            <v>APR</v>
          </cell>
          <cell r="H3" t="str">
            <v>MAY</v>
          </cell>
          <cell r="I3" t="str">
            <v>JUNE</v>
          </cell>
          <cell r="J3" t="str">
            <v>JULY</v>
          </cell>
          <cell r="K3" t="str">
            <v>AUG</v>
          </cell>
          <cell r="L3" t="str">
            <v>SEPT</v>
          </cell>
          <cell r="M3" t="str">
            <v>OCT</v>
          </cell>
          <cell r="N3" t="str">
            <v>NOV</v>
          </cell>
          <cell r="O3" t="str">
            <v>DEC</v>
          </cell>
          <cell r="P3" t="str">
            <v>Y T D</v>
          </cell>
          <cell r="Q3" t="str">
            <v>YEAR</v>
          </cell>
          <cell r="R3" t="str">
            <v xml:space="preserve">  </v>
          </cell>
          <cell r="S3" t="str">
            <v>JAN</v>
          </cell>
          <cell r="T3" t="str">
            <v>FEB</v>
          </cell>
          <cell r="U3" t="str">
            <v>MAR</v>
          </cell>
          <cell r="V3" t="str">
            <v>APR</v>
          </cell>
          <cell r="W3" t="str">
            <v>MAY</v>
          </cell>
          <cell r="X3" t="str">
            <v>JUNE</v>
          </cell>
          <cell r="Y3" t="str">
            <v>JULY</v>
          </cell>
          <cell r="Z3" t="str">
            <v>AUG</v>
          </cell>
          <cell r="AA3" t="str">
            <v>SEPT</v>
          </cell>
          <cell r="AB3" t="str">
            <v>OCT</v>
          </cell>
          <cell r="AC3" t="str">
            <v>NOV</v>
          </cell>
          <cell r="AD3" t="str">
            <v>DEC</v>
          </cell>
          <cell r="AE3" t="str">
            <v>Y T D</v>
          </cell>
        </row>
        <row r="4">
          <cell r="C4">
            <v>1</v>
          </cell>
          <cell r="S4">
            <v>0</v>
          </cell>
          <cell r="T4">
            <v>0</v>
          </cell>
          <cell r="U4">
            <v>8.83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8.83</v>
          </cell>
          <cell r="AE4">
            <v>17.66</v>
          </cell>
        </row>
        <row r="7">
          <cell r="C7">
            <v>2</v>
          </cell>
          <cell r="Q7">
            <v>0</v>
          </cell>
          <cell r="S7">
            <v>0</v>
          </cell>
          <cell r="T7">
            <v>0</v>
          </cell>
          <cell r="U7">
            <v>89000</v>
          </cell>
          <cell r="V7">
            <v>0</v>
          </cell>
          <cell r="W7">
            <v>0</v>
          </cell>
          <cell r="AE7">
            <v>89000</v>
          </cell>
        </row>
        <row r="8">
          <cell r="C8">
            <v>3</v>
          </cell>
          <cell r="Q8">
            <v>0</v>
          </cell>
          <cell r="R8">
            <v>118400</v>
          </cell>
          <cell r="T8">
            <v>0</v>
          </cell>
          <cell r="U8">
            <v>0</v>
          </cell>
          <cell r="AE8">
            <v>0</v>
          </cell>
        </row>
        <row r="9">
          <cell r="C9">
            <v>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118440</v>
          </cell>
          <cell r="S9">
            <v>0</v>
          </cell>
          <cell r="T9">
            <v>0</v>
          </cell>
          <cell r="U9">
            <v>89000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89000</v>
          </cell>
        </row>
        <row r="10">
          <cell r="C10">
            <v>5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AE10">
            <v>0</v>
          </cell>
        </row>
        <row r="11">
          <cell r="C11">
            <v>6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118440</v>
          </cell>
          <cell r="S11">
            <v>0</v>
          </cell>
          <cell r="T11">
            <v>0</v>
          </cell>
          <cell r="U11">
            <v>89000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89000</v>
          </cell>
        </row>
        <row r="14">
          <cell r="C14">
            <v>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AE14">
            <v>0</v>
          </cell>
        </row>
        <row r="15">
          <cell r="C15">
            <v>8</v>
          </cell>
          <cell r="Q15">
            <v>0</v>
          </cell>
          <cell r="R15">
            <v>117904</v>
          </cell>
          <cell r="S15">
            <v>0</v>
          </cell>
          <cell r="T15">
            <v>0</v>
          </cell>
          <cell r="U15">
            <v>0</v>
          </cell>
          <cell r="AE15">
            <v>0</v>
          </cell>
        </row>
        <row r="16">
          <cell r="C16">
            <v>9</v>
          </cell>
          <cell r="Q16">
            <v>0</v>
          </cell>
          <cell r="R16">
            <v>536</v>
          </cell>
          <cell r="S16">
            <v>0</v>
          </cell>
          <cell r="T16">
            <v>0</v>
          </cell>
          <cell r="U16">
            <v>0</v>
          </cell>
          <cell r="AE16">
            <v>0</v>
          </cell>
        </row>
        <row r="17">
          <cell r="C17">
            <v>10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AE17">
            <v>0</v>
          </cell>
        </row>
        <row r="18">
          <cell r="C18">
            <v>11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AE18">
            <v>0</v>
          </cell>
        </row>
        <row r="19">
          <cell r="C19">
            <v>12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AE19">
            <v>0</v>
          </cell>
        </row>
        <row r="20">
          <cell r="C20">
            <v>13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</row>
        <row r="21">
          <cell r="C21">
            <v>14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</row>
        <row r="22">
          <cell r="C22">
            <v>15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AE22">
            <v>0</v>
          </cell>
        </row>
        <row r="23">
          <cell r="C23">
            <v>16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118440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6">
          <cell r="C26">
            <v>17</v>
          </cell>
          <cell r="Q26">
            <v>0</v>
          </cell>
          <cell r="S26">
            <v>0</v>
          </cell>
          <cell r="T26">
            <v>0</v>
          </cell>
          <cell r="U26">
            <v>0</v>
          </cell>
          <cell r="AE26">
            <v>0</v>
          </cell>
        </row>
        <row r="27">
          <cell r="C27">
            <v>18</v>
          </cell>
          <cell r="Q27">
            <v>0</v>
          </cell>
          <cell r="S27">
            <v>0</v>
          </cell>
          <cell r="T27">
            <v>0</v>
          </cell>
          <cell r="U27">
            <v>0</v>
          </cell>
          <cell r="AE27">
            <v>0</v>
          </cell>
        </row>
        <row r="28">
          <cell r="C28">
            <v>19</v>
          </cell>
          <cell r="Q28">
            <v>0</v>
          </cell>
          <cell r="S28">
            <v>0</v>
          </cell>
          <cell r="T28">
            <v>0</v>
          </cell>
          <cell r="U28">
            <v>0</v>
          </cell>
          <cell r="AE28">
            <v>0</v>
          </cell>
        </row>
        <row r="29">
          <cell r="C29">
            <v>20</v>
          </cell>
          <cell r="Q29">
            <v>0</v>
          </cell>
          <cell r="S29">
            <v>0</v>
          </cell>
          <cell r="T29">
            <v>0</v>
          </cell>
          <cell r="U29">
            <v>0</v>
          </cell>
          <cell r="AE29">
            <v>0</v>
          </cell>
        </row>
        <row r="30">
          <cell r="C30">
            <v>21</v>
          </cell>
          <cell r="Q30">
            <v>0</v>
          </cell>
          <cell r="S30">
            <v>0</v>
          </cell>
          <cell r="T30">
            <v>0</v>
          </cell>
          <cell r="U30">
            <v>26533.539999999997</v>
          </cell>
          <cell r="AE30">
            <v>26533.539999999997</v>
          </cell>
        </row>
        <row r="31">
          <cell r="C31">
            <v>22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  <cell r="U31">
            <v>26533.539999999997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26533.539999999997</v>
          </cell>
        </row>
        <row r="34">
          <cell r="C34">
            <v>23</v>
          </cell>
          <cell r="Q34">
            <v>0</v>
          </cell>
          <cell r="AE34">
            <v>0</v>
          </cell>
        </row>
        <row r="35">
          <cell r="C35">
            <v>24</v>
          </cell>
          <cell r="Q35">
            <v>0</v>
          </cell>
          <cell r="S35">
            <v>0</v>
          </cell>
          <cell r="T35">
            <v>0</v>
          </cell>
          <cell r="U35">
            <v>81445</v>
          </cell>
          <cell r="AE35">
            <v>81445</v>
          </cell>
        </row>
        <row r="36">
          <cell r="C36">
            <v>25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U36">
            <v>81445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81445</v>
          </cell>
        </row>
        <row r="39">
          <cell r="C39">
            <v>30</v>
          </cell>
          <cell r="Q39">
            <v>0</v>
          </cell>
          <cell r="S39">
            <v>0</v>
          </cell>
          <cell r="T39">
            <v>0</v>
          </cell>
          <cell r="U39">
            <v>2590.9334539800157</v>
          </cell>
          <cell r="V39">
            <v>0</v>
          </cell>
          <cell r="W39">
            <v>0</v>
          </cell>
          <cell r="AE39">
            <v>2590.9334539800157</v>
          </cell>
        </row>
        <row r="40">
          <cell r="C40">
            <v>31</v>
          </cell>
          <cell r="Q40">
            <v>0</v>
          </cell>
          <cell r="S40">
            <v>0</v>
          </cell>
          <cell r="T40">
            <v>0</v>
          </cell>
          <cell r="U40">
            <v>717.39943643826211</v>
          </cell>
          <cell r="V40">
            <v>0</v>
          </cell>
          <cell r="W40">
            <v>0</v>
          </cell>
          <cell r="AE40">
            <v>717.39943643826211</v>
          </cell>
        </row>
        <row r="41">
          <cell r="C41">
            <v>32</v>
          </cell>
          <cell r="Q41">
            <v>0</v>
          </cell>
          <cell r="S41">
            <v>0</v>
          </cell>
          <cell r="T41">
            <v>0</v>
          </cell>
          <cell r="U41">
            <v>100.92235913889202</v>
          </cell>
          <cell r="V41">
            <v>0</v>
          </cell>
          <cell r="W41">
            <v>0</v>
          </cell>
          <cell r="AE41">
            <v>100.92235913889202</v>
          </cell>
        </row>
        <row r="42">
          <cell r="C42">
            <v>33</v>
          </cell>
          <cell r="Q42">
            <v>0</v>
          </cell>
          <cell r="S42">
            <v>0</v>
          </cell>
          <cell r="T42">
            <v>0</v>
          </cell>
          <cell r="U42">
            <v>143.03134346925734</v>
          </cell>
          <cell r="V42">
            <v>0</v>
          </cell>
          <cell r="W42">
            <v>0</v>
          </cell>
          <cell r="AE42">
            <v>143.03134346925734</v>
          </cell>
        </row>
        <row r="43">
          <cell r="C43">
            <v>34</v>
          </cell>
          <cell r="Q43">
            <v>0</v>
          </cell>
          <cell r="S43">
            <v>0</v>
          </cell>
          <cell r="T43">
            <v>0</v>
          </cell>
          <cell r="U43">
            <v>37.043532588145048</v>
          </cell>
          <cell r="V43">
            <v>0</v>
          </cell>
          <cell r="W43">
            <v>0</v>
          </cell>
          <cell r="AE43">
            <v>37.043532588145048</v>
          </cell>
        </row>
        <row r="44">
          <cell r="C44">
            <v>35</v>
          </cell>
          <cell r="Q44">
            <v>0</v>
          </cell>
          <cell r="S44">
            <v>0</v>
          </cell>
          <cell r="T44">
            <v>0</v>
          </cell>
          <cell r="U44">
            <v>78.404943887851871</v>
          </cell>
          <cell r="V44">
            <v>0</v>
          </cell>
          <cell r="W44">
            <v>0</v>
          </cell>
          <cell r="AE44">
            <v>78.404943887851871</v>
          </cell>
        </row>
        <row r="45">
          <cell r="C45">
            <v>36</v>
          </cell>
          <cell r="Q45">
            <v>0</v>
          </cell>
          <cell r="S45">
            <v>0</v>
          </cell>
          <cell r="T45">
            <v>0</v>
          </cell>
          <cell r="U45">
            <v>58.581369385218935</v>
          </cell>
          <cell r="V45">
            <v>0</v>
          </cell>
          <cell r="W45">
            <v>0</v>
          </cell>
          <cell r="AE45">
            <v>58.581369385218935</v>
          </cell>
        </row>
        <row r="46">
          <cell r="C46">
            <v>37</v>
          </cell>
          <cell r="Q46">
            <v>0</v>
          </cell>
          <cell r="S46">
            <v>0</v>
          </cell>
          <cell r="T46">
            <v>0</v>
          </cell>
          <cell r="U46">
            <v>353.71804621310525</v>
          </cell>
          <cell r="V46">
            <v>0</v>
          </cell>
          <cell r="W46">
            <v>0</v>
          </cell>
          <cell r="AE46">
            <v>353.71804621310525</v>
          </cell>
        </row>
        <row r="47">
          <cell r="C47">
            <v>38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AE47">
            <v>0</v>
          </cell>
        </row>
        <row r="48">
          <cell r="C48">
            <v>39</v>
          </cell>
          <cell r="Q48">
            <v>0</v>
          </cell>
          <cell r="S48">
            <v>0</v>
          </cell>
          <cell r="T48">
            <v>0</v>
          </cell>
          <cell r="U48">
            <v>16.691501287977673</v>
          </cell>
          <cell r="V48">
            <v>0</v>
          </cell>
          <cell r="W48">
            <v>0</v>
          </cell>
          <cell r="AE48">
            <v>16.691501287977673</v>
          </cell>
        </row>
        <row r="49">
          <cell r="C49">
            <v>40</v>
          </cell>
          <cell r="Q49">
            <v>0</v>
          </cell>
          <cell r="S49">
            <v>0</v>
          </cell>
          <cell r="T49">
            <v>0</v>
          </cell>
          <cell r="U49">
            <v>37.455986674025574</v>
          </cell>
          <cell r="V49">
            <v>0</v>
          </cell>
          <cell r="W49">
            <v>0</v>
          </cell>
          <cell r="AE49">
            <v>37.455986674025574</v>
          </cell>
        </row>
        <row r="50">
          <cell r="C50">
            <v>41</v>
          </cell>
          <cell r="Q50">
            <v>0</v>
          </cell>
          <cell r="S50">
            <v>0</v>
          </cell>
          <cell r="T50">
            <v>0</v>
          </cell>
          <cell r="U50">
            <v>253.96860338093595</v>
          </cell>
          <cell r="V50">
            <v>0</v>
          </cell>
          <cell r="W50">
            <v>0</v>
          </cell>
          <cell r="AE50">
            <v>253.96860338093595</v>
          </cell>
        </row>
        <row r="51">
          <cell r="C51">
            <v>42</v>
          </cell>
          <cell r="Q51">
            <v>0</v>
          </cell>
          <cell r="S51">
            <v>0</v>
          </cell>
          <cell r="T51">
            <v>0</v>
          </cell>
          <cell r="U51">
            <v>129.70392081924271</v>
          </cell>
          <cell r="V51">
            <v>0</v>
          </cell>
          <cell r="W51">
            <v>0</v>
          </cell>
          <cell r="AE51">
            <v>129.70392081924271</v>
          </cell>
        </row>
        <row r="52">
          <cell r="C52">
            <v>43</v>
          </cell>
          <cell r="Q52">
            <v>0</v>
          </cell>
          <cell r="S52">
            <v>0</v>
          </cell>
          <cell r="T52">
            <v>0</v>
          </cell>
          <cell r="U52">
            <v>73.442605667101759</v>
          </cell>
          <cell r="V52">
            <v>0</v>
          </cell>
          <cell r="W52">
            <v>0</v>
          </cell>
          <cell r="AE52">
            <v>73.442605667101759</v>
          </cell>
        </row>
        <row r="53">
          <cell r="C53">
            <v>44</v>
          </cell>
          <cell r="Q53">
            <v>0</v>
          </cell>
          <cell r="S53">
            <v>0</v>
          </cell>
          <cell r="T53">
            <v>0</v>
          </cell>
          <cell r="U53">
            <v>122.15085537155552</v>
          </cell>
          <cell r="V53">
            <v>0</v>
          </cell>
          <cell r="W53">
            <v>0</v>
          </cell>
          <cell r="AE53">
            <v>122.15085537155552</v>
          </cell>
        </row>
        <row r="54">
          <cell r="C54">
            <v>45</v>
          </cell>
          <cell r="Q54">
            <v>0</v>
          </cell>
          <cell r="S54">
            <v>0</v>
          </cell>
          <cell r="T54">
            <v>0</v>
          </cell>
          <cell r="U54">
            <v>193.13162571355787</v>
          </cell>
          <cell r="V54">
            <v>0</v>
          </cell>
          <cell r="W54">
            <v>0</v>
          </cell>
          <cell r="AE54">
            <v>193.13162571355787</v>
          </cell>
        </row>
        <row r="55">
          <cell r="C55">
            <v>46</v>
          </cell>
          <cell r="Q55">
            <v>0</v>
          </cell>
          <cell r="S55">
            <v>0</v>
          </cell>
          <cell r="T55">
            <v>0</v>
          </cell>
          <cell r="U55">
            <v>857.3244850732317</v>
          </cell>
          <cell r="V55">
            <v>0</v>
          </cell>
          <cell r="W55">
            <v>0</v>
          </cell>
          <cell r="AE55">
            <v>857.3244850732317</v>
          </cell>
        </row>
        <row r="56">
          <cell r="C56">
            <v>47</v>
          </cell>
          <cell r="Q56">
            <v>0</v>
          </cell>
          <cell r="AE56">
            <v>0</v>
          </cell>
        </row>
        <row r="57">
          <cell r="C57">
            <v>48</v>
          </cell>
          <cell r="Q57">
            <v>0</v>
          </cell>
          <cell r="S57">
            <v>0</v>
          </cell>
          <cell r="T57">
            <v>0</v>
          </cell>
          <cell r="U57">
            <v>164.33717484302343</v>
          </cell>
          <cell r="V57">
            <v>0</v>
          </cell>
          <cell r="W57">
            <v>0</v>
          </cell>
          <cell r="AE57">
            <v>164.33717484302343</v>
          </cell>
        </row>
        <row r="58">
          <cell r="C58">
            <v>49</v>
          </cell>
          <cell r="Q58">
            <v>0</v>
          </cell>
          <cell r="S58">
            <v>0</v>
          </cell>
          <cell r="T58">
            <v>0</v>
          </cell>
          <cell r="U58">
            <v>479.83877216126086</v>
          </cell>
          <cell r="V58">
            <v>0</v>
          </cell>
          <cell r="W58">
            <v>0</v>
          </cell>
          <cell r="AE58">
            <v>479.83877216126086</v>
          </cell>
        </row>
        <row r="59">
          <cell r="C59">
            <v>50</v>
          </cell>
          <cell r="Q59">
            <v>0</v>
          </cell>
          <cell r="S59">
            <v>0</v>
          </cell>
          <cell r="T59">
            <v>0</v>
          </cell>
          <cell r="U59">
            <v>7617.5113986060269</v>
          </cell>
          <cell r="V59">
            <v>0</v>
          </cell>
          <cell r="W59">
            <v>0</v>
          </cell>
          <cell r="AE59">
            <v>7617.5113986060269</v>
          </cell>
        </row>
        <row r="60">
          <cell r="C60">
            <v>51</v>
          </cell>
          <cell r="Q60">
            <v>0</v>
          </cell>
          <cell r="S60">
            <v>0</v>
          </cell>
          <cell r="T60">
            <v>0</v>
          </cell>
          <cell r="U60">
            <v>63.775713029276858</v>
          </cell>
          <cell r="V60">
            <v>0</v>
          </cell>
          <cell r="W60">
            <v>0</v>
          </cell>
          <cell r="AE60">
            <v>63.775713029276858</v>
          </cell>
        </row>
        <row r="61">
          <cell r="C61">
            <v>52</v>
          </cell>
          <cell r="Q61">
            <v>0</v>
          </cell>
          <cell r="S61">
            <v>0</v>
          </cell>
          <cell r="T61">
            <v>0</v>
          </cell>
          <cell r="U61">
            <v>236.83886962671022</v>
          </cell>
          <cell r="V61">
            <v>0</v>
          </cell>
          <cell r="W61">
            <v>0</v>
          </cell>
          <cell r="AE61">
            <v>236.83886962671022</v>
          </cell>
        </row>
        <row r="62">
          <cell r="C62">
            <v>53</v>
          </cell>
          <cell r="Q62">
            <v>0</v>
          </cell>
          <cell r="S62">
            <v>0</v>
          </cell>
          <cell r="T62">
            <v>0</v>
          </cell>
          <cell r="U62">
            <v>115.25513862324043</v>
          </cell>
          <cell r="V62">
            <v>0</v>
          </cell>
          <cell r="W62">
            <v>0</v>
          </cell>
          <cell r="AE62">
            <v>115.25513862324043</v>
          </cell>
        </row>
        <row r="63">
          <cell r="C63">
            <v>54</v>
          </cell>
          <cell r="Q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AE63">
            <v>0</v>
          </cell>
        </row>
        <row r="64">
          <cell r="C64">
            <v>55</v>
          </cell>
          <cell r="Q64">
            <v>0</v>
          </cell>
          <cell r="S64">
            <v>0</v>
          </cell>
          <cell r="T64">
            <v>0</v>
          </cell>
          <cell r="U64">
            <v>94.1555342924146</v>
          </cell>
          <cell r="V64">
            <v>0</v>
          </cell>
          <cell r="W64">
            <v>0</v>
          </cell>
          <cell r="AE64">
            <v>94.1555342924146</v>
          </cell>
        </row>
        <row r="65">
          <cell r="C65">
            <v>56</v>
          </cell>
          <cell r="Q65">
            <v>0</v>
          </cell>
          <cell r="S65">
            <v>0</v>
          </cell>
          <cell r="T65">
            <v>0</v>
          </cell>
          <cell r="U65">
            <v>6.0708085765540423</v>
          </cell>
          <cell r="V65">
            <v>0</v>
          </cell>
          <cell r="W65">
            <v>0</v>
          </cell>
          <cell r="AE65">
            <v>6.0708085765540423</v>
          </cell>
        </row>
        <row r="66">
          <cell r="C66">
            <v>57</v>
          </cell>
          <cell r="Q66">
            <v>0</v>
          </cell>
          <cell r="S66">
            <v>0</v>
          </cell>
          <cell r="T66">
            <v>0</v>
          </cell>
          <cell r="U66">
            <v>37.391540723106743</v>
          </cell>
          <cell r="V66">
            <v>0</v>
          </cell>
          <cell r="W66">
            <v>0</v>
          </cell>
          <cell r="AE66">
            <v>37.391540723106743</v>
          </cell>
        </row>
        <row r="67">
          <cell r="C67">
            <v>57.5</v>
          </cell>
          <cell r="Q67">
            <v>0</v>
          </cell>
          <cell r="AE67">
            <v>0</v>
          </cell>
        </row>
        <row r="68">
          <cell r="C68">
            <v>58</v>
          </cell>
          <cell r="Q68">
            <v>0</v>
          </cell>
          <cell r="S68">
            <v>0</v>
          </cell>
          <cell r="T68">
            <v>0</v>
          </cell>
          <cell r="U68">
            <v>147.16877351824638</v>
          </cell>
          <cell r="V68">
            <v>0</v>
          </cell>
          <cell r="W68">
            <v>0</v>
          </cell>
          <cell r="AE68">
            <v>147.16877351824638</v>
          </cell>
        </row>
        <row r="69">
          <cell r="C69">
            <v>59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T69">
            <v>0</v>
          </cell>
          <cell r="U69">
            <v>14726.247793088238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14726.247793088238</v>
          </cell>
        </row>
        <row r="71">
          <cell r="C71">
            <v>60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T71">
            <v>0</v>
          </cell>
          <cell r="U71">
            <v>-33704.787793088231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-33704.787793088231</v>
          </cell>
        </row>
        <row r="72">
          <cell r="C72">
            <v>61</v>
          </cell>
          <cell r="Q72">
            <v>0</v>
          </cell>
          <cell r="S72">
            <v>0</v>
          </cell>
          <cell r="T72">
            <v>0</v>
          </cell>
          <cell r="U72">
            <v>-29.387353618987717</v>
          </cell>
          <cell r="V72">
            <v>0</v>
          </cell>
          <cell r="W72">
            <v>0</v>
          </cell>
          <cell r="AE72">
            <v>-29.387353618987717</v>
          </cell>
        </row>
        <row r="73">
          <cell r="C73">
            <v>62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T73">
            <v>0</v>
          </cell>
          <cell r="U73">
            <v>-33734.175146707217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-33734.175146707217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S79">
            <v>0</v>
          </cell>
          <cell r="T79">
            <v>0</v>
          </cell>
          <cell r="U79">
            <v>0.29812966292134829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0.29812966292134829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S80">
            <v>0</v>
          </cell>
          <cell r="T80">
            <v>0</v>
          </cell>
          <cell r="U80">
            <v>0.9151123595505618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0.9151123595505618</v>
          </cell>
        </row>
        <row r="81">
          <cell r="D81">
            <v>1</v>
          </cell>
          <cell r="E81">
            <v>1</v>
          </cell>
          <cell r="F81">
            <v>1</v>
          </cell>
          <cell r="G81">
            <v>1</v>
          </cell>
          <cell r="H81">
            <v>1</v>
          </cell>
          <cell r="I81">
            <v>1</v>
          </cell>
          <cell r="J81">
            <v>1</v>
          </cell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S81">
            <v>1</v>
          </cell>
          <cell r="T81">
            <v>1</v>
          </cell>
          <cell r="U81">
            <v>-0.21324202247191015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-0.21324202247191015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S82">
            <v>0</v>
          </cell>
          <cell r="T82">
            <v>0</v>
          </cell>
          <cell r="U82">
            <v>0.16627244711335099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0.16627244711335099</v>
          </cell>
        </row>
        <row r="83">
          <cell r="D83">
            <v>1</v>
          </cell>
          <cell r="E83">
            <v>1</v>
          </cell>
          <cell r="F83">
            <v>1</v>
          </cell>
          <cell r="G83">
            <v>1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S83">
            <v>1</v>
          </cell>
          <cell r="T83">
            <v>1</v>
          </cell>
          <cell r="U83">
            <v>-0.37951446958526114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-0.37951446958526114</v>
          </cell>
        </row>
        <row r="92">
          <cell r="C92">
            <v>63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S92">
            <v>0</v>
          </cell>
          <cell r="T92">
            <v>0</v>
          </cell>
          <cell r="U92">
            <v>26533.539999999997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26533.539999999997</v>
          </cell>
        </row>
        <row r="93">
          <cell r="C93">
            <v>64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S93">
            <v>0</v>
          </cell>
          <cell r="T93">
            <v>0</v>
          </cell>
          <cell r="U93">
            <v>14755.635146707225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14755.635146707225</v>
          </cell>
        </row>
        <row r="94">
          <cell r="C94">
            <v>65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T94">
            <v>0</v>
          </cell>
          <cell r="U94">
            <v>122734.17514670722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122734.17514670722</v>
          </cell>
        </row>
        <row r="103">
          <cell r="C103" t="str">
            <v>code</v>
          </cell>
          <cell r="D103" t="str">
            <v>JAN</v>
          </cell>
          <cell r="E103" t="str">
            <v>FEB</v>
          </cell>
          <cell r="F103" t="str">
            <v>MAR</v>
          </cell>
          <cell r="G103" t="str">
            <v>APR</v>
          </cell>
          <cell r="H103" t="str">
            <v>MAY</v>
          </cell>
          <cell r="I103" t="str">
            <v>JUNE</v>
          </cell>
          <cell r="J103" t="str">
            <v>JULY</v>
          </cell>
          <cell r="K103" t="str">
            <v>AUG</v>
          </cell>
          <cell r="L103" t="str">
            <v>SEPT</v>
          </cell>
          <cell r="M103" t="str">
            <v>OCT</v>
          </cell>
          <cell r="N103" t="str">
            <v>NOV</v>
          </cell>
          <cell r="O103" t="str">
            <v>DEC</v>
          </cell>
          <cell r="P103" t="str">
            <v>Y T D</v>
          </cell>
          <cell r="Q103" t="str">
            <v>YEAR</v>
          </cell>
          <cell r="R103" t="str">
            <v>xxx</v>
          </cell>
          <cell r="S103" t="str">
            <v>JAN</v>
          </cell>
          <cell r="T103" t="str">
            <v>FEB</v>
          </cell>
          <cell r="U103" t="str">
            <v>MAR</v>
          </cell>
          <cell r="V103" t="str">
            <v>APR</v>
          </cell>
          <cell r="W103" t="str">
            <v>MAY</v>
          </cell>
          <cell r="X103" t="str">
            <v>JUNE</v>
          </cell>
          <cell r="Y103" t="str">
            <v>JULY</v>
          </cell>
          <cell r="Z103" t="str">
            <v>AUG</v>
          </cell>
          <cell r="AA103" t="str">
            <v>SEPT</v>
          </cell>
          <cell r="AB103" t="str">
            <v>OCT</v>
          </cell>
          <cell r="AC103" t="str">
            <v>NOV</v>
          </cell>
          <cell r="AD103" t="str">
            <v>DEC</v>
          </cell>
          <cell r="AE103" t="str">
            <v>Y T D</v>
          </cell>
        </row>
        <row r="104">
          <cell r="C104">
            <v>1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S104">
            <v>0</v>
          </cell>
          <cell r="T104">
            <v>0</v>
          </cell>
          <cell r="U104">
            <v>8.83</v>
          </cell>
          <cell r="V104">
            <v>8.83</v>
          </cell>
          <cell r="W104">
            <v>8.83</v>
          </cell>
          <cell r="X104">
            <v>8.83</v>
          </cell>
          <cell r="Y104">
            <v>8.83</v>
          </cell>
          <cell r="Z104">
            <v>8.83</v>
          </cell>
          <cell r="AA104">
            <v>8.83</v>
          </cell>
          <cell r="AB104">
            <v>8.83</v>
          </cell>
          <cell r="AC104">
            <v>8.83</v>
          </cell>
          <cell r="AD104">
            <v>17.66</v>
          </cell>
        </row>
        <row r="107">
          <cell r="C107">
            <v>2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S107">
            <v>0</v>
          </cell>
          <cell r="T107">
            <v>0</v>
          </cell>
          <cell r="U107">
            <v>89000</v>
          </cell>
          <cell r="V107">
            <v>89000</v>
          </cell>
          <cell r="W107">
            <v>89000</v>
          </cell>
          <cell r="X107">
            <v>89000</v>
          </cell>
          <cell r="Y107">
            <v>89000</v>
          </cell>
          <cell r="Z107">
            <v>89000</v>
          </cell>
          <cell r="AA107">
            <v>89000</v>
          </cell>
          <cell r="AB107">
            <v>89000</v>
          </cell>
          <cell r="AC107">
            <v>89000</v>
          </cell>
          <cell r="AD107">
            <v>89000</v>
          </cell>
        </row>
        <row r="108">
          <cell r="C108">
            <v>3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C109">
            <v>4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S109">
            <v>0</v>
          </cell>
          <cell r="T109">
            <v>0</v>
          </cell>
          <cell r="U109">
            <v>89000</v>
          </cell>
          <cell r="V109">
            <v>89000</v>
          </cell>
          <cell r="W109">
            <v>89000</v>
          </cell>
          <cell r="X109">
            <v>89000</v>
          </cell>
          <cell r="Y109">
            <v>89000</v>
          </cell>
          <cell r="Z109">
            <v>89000</v>
          </cell>
          <cell r="AA109">
            <v>89000</v>
          </cell>
          <cell r="AB109">
            <v>89000</v>
          </cell>
          <cell r="AC109">
            <v>89000</v>
          </cell>
          <cell r="AD109">
            <v>89000</v>
          </cell>
        </row>
        <row r="110">
          <cell r="C110">
            <v>5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C111">
            <v>6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S111">
            <v>0</v>
          </cell>
          <cell r="T111">
            <v>0</v>
          </cell>
          <cell r="U111">
            <v>89000</v>
          </cell>
          <cell r="V111">
            <v>89000</v>
          </cell>
          <cell r="W111">
            <v>89000</v>
          </cell>
          <cell r="X111">
            <v>89000</v>
          </cell>
          <cell r="Y111">
            <v>89000</v>
          </cell>
          <cell r="Z111">
            <v>89000</v>
          </cell>
          <cell r="AA111">
            <v>89000</v>
          </cell>
          <cell r="AB111">
            <v>89000</v>
          </cell>
          <cell r="AC111">
            <v>89000</v>
          </cell>
          <cell r="AD111">
            <v>89000</v>
          </cell>
        </row>
        <row r="114">
          <cell r="C114">
            <v>7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C115">
            <v>8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C116">
            <v>9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C117">
            <v>10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C118">
            <v>11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C119">
            <v>12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C120">
            <v>13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C121">
            <v>14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C122">
            <v>15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C123">
            <v>16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6">
          <cell r="C126">
            <v>17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C127">
            <v>18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C128">
            <v>19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C129">
            <v>20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C130">
            <v>21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S130">
            <v>0</v>
          </cell>
          <cell r="T130">
            <v>0</v>
          </cell>
          <cell r="U130">
            <v>26533.539999999997</v>
          </cell>
          <cell r="V130">
            <v>26533.539999999997</v>
          </cell>
          <cell r="W130">
            <v>26533.539999999997</v>
          </cell>
          <cell r="X130">
            <v>26533.539999999997</v>
          </cell>
          <cell r="Y130">
            <v>26533.539999999997</v>
          </cell>
          <cell r="Z130">
            <v>26533.539999999997</v>
          </cell>
          <cell r="AA130">
            <v>26533.539999999997</v>
          </cell>
          <cell r="AB130">
            <v>26533.539999999997</v>
          </cell>
          <cell r="AC130">
            <v>26533.539999999997</v>
          </cell>
          <cell r="AD130">
            <v>26533.539999999997</v>
          </cell>
        </row>
        <row r="131">
          <cell r="C131">
            <v>22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S131">
            <v>0</v>
          </cell>
          <cell r="T131">
            <v>0</v>
          </cell>
          <cell r="U131">
            <v>26533.539999999997</v>
          </cell>
          <cell r="V131">
            <v>26533.539999999997</v>
          </cell>
          <cell r="W131">
            <v>26533.539999999997</v>
          </cell>
          <cell r="X131">
            <v>26533.539999999997</v>
          </cell>
          <cell r="Y131">
            <v>26533.539999999997</v>
          </cell>
          <cell r="Z131">
            <v>26533.539999999997</v>
          </cell>
          <cell r="AA131">
            <v>26533.539999999997</v>
          </cell>
          <cell r="AB131">
            <v>26533.539999999997</v>
          </cell>
          <cell r="AC131">
            <v>26533.539999999997</v>
          </cell>
          <cell r="AD131">
            <v>26533.539999999997</v>
          </cell>
        </row>
        <row r="134">
          <cell r="C134">
            <v>23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C135">
            <v>24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S135">
            <v>0</v>
          </cell>
          <cell r="T135">
            <v>0</v>
          </cell>
          <cell r="U135">
            <v>81445</v>
          </cell>
          <cell r="V135">
            <v>81445</v>
          </cell>
          <cell r="W135">
            <v>81445</v>
          </cell>
          <cell r="X135">
            <v>81445</v>
          </cell>
          <cell r="Y135">
            <v>81445</v>
          </cell>
          <cell r="Z135">
            <v>81445</v>
          </cell>
          <cell r="AA135">
            <v>81445</v>
          </cell>
          <cell r="AB135">
            <v>81445</v>
          </cell>
          <cell r="AC135">
            <v>81445</v>
          </cell>
          <cell r="AD135">
            <v>81445</v>
          </cell>
        </row>
        <row r="136">
          <cell r="C136">
            <v>25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S136">
            <v>0</v>
          </cell>
          <cell r="T136">
            <v>0</v>
          </cell>
          <cell r="U136">
            <v>81445</v>
          </cell>
          <cell r="V136">
            <v>81445</v>
          </cell>
          <cell r="W136">
            <v>81445</v>
          </cell>
          <cell r="X136">
            <v>81445</v>
          </cell>
          <cell r="Y136">
            <v>81445</v>
          </cell>
          <cell r="Z136">
            <v>81445</v>
          </cell>
          <cell r="AA136">
            <v>81445</v>
          </cell>
          <cell r="AB136">
            <v>81445</v>
          </cell>
          <cell r="AC136">
            <v>81445</v>
          </cell>
          <cell r="AD136">
            <v>81445</v>
          </cell>
        </row>
        <row r="139">
          <cell r="C139">
            <v>30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S139">
            <v>0</v>
          </cell>
          <cell r="T139">
            <v>0</v>
          </cell>
          <cell r="U139">
            <v>2590.9334539800157</v>
          </cell>
          <cell r="V139">
            <v>2590.9334539800157</v>
          </cell>
          <cell r="W139">
            <v>2590.9334539800157</v>
          </cell>
          <cell r="X139">
            <v>2590.9334539800157</v>
          </cell>
          <cell r="Y139">
            <v>2590.9334539800157</v>
          </cell>
          <cell r="Z139">
            <v>2590.9334539800157</v>
          </cell>
          <cell r="AA139">
            <v>2590.9334539800157</v>
          </cell>
          <cell r="AB139">
            <v>2590.9334539800157</v>
          </cell>
          <cell r="AC139">
            <v>2590.9334539800157</v>
          </cell>
          <cell r="AD139">
            <v>2590.9334539800157</v>
          </cell>
        </row>
        <row r="140">
          <cell r="C140">
            <v>31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S140">
            <v>0</v>
          </cell>
          <cell r="T140">
            <v>0</v>
          </cell>
          <cell r="U140">
            <v>717.39943643826211</v>
          </cell>
          <cell r="V140">
            <v>717.39943643826211</v>
          </cell>
          <cell r="W140">
            <v>717.39943643826211</v>
          </cell>
          <cell r="X140">
            <v>717.39943643826211</v>
          </cell>
          <cell r="Y140">
            <v>717.39943643826211</v>
          </cell>
          <cell r="Z140">
            <v>717.39943643826211</v>
          </cell>
          <cell r="AA140">
            <v>717.39943643826211</v>
          </cell>
          <cell r="AB140">
            <v>717.39943643826211</v>
          </cell>
          <cell r="AC140">
            <v>717.39943643826211</v>
          </cell>
          <cell r="AD140">
            <v>717.39943643826211</v>
          </cell>
        </row>
        <row r="141">
          <cell r="C141">
            <v>32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S141">
            <v>0</v>
          </cell>
          <cell r="T141">
            <v>0</v>
          </cell>
          <cell r="U141">
            <v>100.92235913889202</v>
          </cell>
          <cell r="V141">
            <v>100.92235913889202</v>
          </cell>
          <cell r="W141">
            <v>100.92235913889202</v>
          </cell>
          <cell r="X141">
            <v>100.92235913889202</v>
          </cell>
          <cell r="Y141">
            <v>100.92235913889202</v>
          </cell>
          <cell r="Z141">
            <v>100.92235913889202</v>
          </cell>
          <cell r="AA141">
            <v>100.92235913889202</v>
          </cell>
          <cell r="AB141">
            <v>100.92235913889202</v>
          </cell>
          <cell r="AC141">
            <v>100.92235913889202</v>
          </cell>
          <cell r="AD141">
            <v>100.92235913889202</v>
          </cell>
        </row>
        <row r="142">
          <cell r="C142">
            <v>33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S142">
            <v>0</v>
          </cell>
          <cell r="T142">
            <v>0</v>
          </cell>
          <cell r="U142">
            <v>143.03134346925734</v>
          </cell>
          <cell r="V142">
            <v>143.03134346925734</v>
          </cell>
          <cell r="W142">
            <v>143.03134346925734</v>
          </cell>
          <cell r="X142">
            <v>143.03134346925734</v>
          </cell>
          <cell r="Y142">
            <v>143.03134346925734</v>
          </cell>
          <cell r="Z142">
            <v>143.03134346925734</v>
          </cell>
          <cell r="AA142">
            <v>143.03134346925734</v>
          </cell>
          <cell r="AB142">
            <v>143.03134346925734</v>
          </cell>
          <cell r="AC142">
            <v>143.03134346925734</v>
          </cell>
          <cell r="AD142">
            <v>143.03134346925734</v>
          </cell>
        </row>
        <row r="143">
          <cell r="C143">
            <v>34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S143">
            <v>0</v>
          </cell>
          <cell r="T143">
            <v>0</v>
          </cell>
          <cell r="U143">
            <v>37.043532588145048</v>
          </cell>
          <cell r="V143">
            <v>37.043532588145048</v>
          </cell>
          <cell r="W143">
            <v>37.043532588145048</v>
          </cell>
          <cell r="X143">
            <v>37.043532588145048</v>
          </cell>
          <cell r="Y143">
            <v>37.043532588145048</v>
          </cell>
          <cell r="Z143">
            <v>37.043532588145048</v>
          </cell>
          <cell r="AA143">
            <v>37.043532588145048</v>
          </cell>
          <cell r="AB143">
            <v>37.043532588145048</v>
          </cell>
          <cell r="AC143">
            <v>37.043532588145048</v>
          </cell>
          <cell r="AD143">
            <v>37.043532588145048</v>
          </cell>
        </row>
        <row r="144">
          <cell r="C144">
            <v>35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S144">
            <v>0</v>
          </cell>
          <cell r="T144">
            <v>0</v>
          </cell>
          <cell r="U144">
            <v>78.404943887851871</v>
          </cell>
          <cell r="V144">
            <v>78.404943887851871</v>
          </cell>
          <cell r="W144">
            <v>78.404943887851871</v>
          </cell>
          <cell r="X144">
            <v>78.404943887851871</v>
          </cell>
          <cell r="Y144">
            <v>78.404943887851871</v>
          </cell>
          <cell r="Z144">
            <v>78.404943887851871</v>
          </cell>
          <cell r="AA144">
            <v>78.404943887851871</v>
          </cell>
          <cell r="AB144">
            <v>78.404943887851871</v>
          </cell>
          <cell r="AC144">
            <v>78.404943887851871</v>
          </cell>
          <cell r="AD144">
            <v>78.404943887851871</v>
          </cell>
        </row>
        <row r="145">
          <cell r="C145">
            <v>36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S145">
            <v>0</v>
          </cell>
          <cell r="T145">
            <v>0</v>
          </cell>
          <cell r="U145">
            <v>58.581369385218935</v>
          </cell>
          <cell r="V145">
            <v>58.581369385218935</v>
          </cell>
          <cell r="W145">
            <v>58.581369385218935</v>
          </cell>
          <cell r="X145">
            <v>58.581369385218935</v>
          </cell>
          <cell r="Y145">
            <v>58.581369385218935</v>
          </cell>
          <cell r="Z145">
            <v>58.581369385218935</v>
          </cell>
          <cell r="AA145">
            <v>58.581369385218935</v>
          </cell>
          <cell r="AB145">
            <v>58.581369385218935</v>
          </cell>
          <cell r="AC145">
            <v>58.581369385218935</v>
          </cell>
          <cell r="AD145">
            <v>58.581369385218935</v>
          </cell>
        </row>
        <row r="146">
          <cell r="C146">
            <v>37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S146">
            <v>0</v>
          </cell>
          <cell r="T146">
            <v>0</v>
          </cell>
          <cell r="U146">
            <v>353.71804621310525</v>
          </cell>
          <cell r="V146">
            <v>353.71804621310525</v>
          </cell>
          <cell r="W146">
            <v>353.71804621310525</v>
          </cell>
          <cell r="X146">
            <v>353.71804621310525</v>
          </cell>
          <cell r="Y146">
            <v>353.71804621310525</v>
          </cell>
          <cell r="Z146">
            <v>353.71804621310525</v>
          </cell>
          <cell r="AA146">
            <v>353.71804621310525</v>
          </cell>
          <cell r="AB146">
            <v>353.71804621310525</v>
          </cell>
          <cell r="AC146">
            <v>353.71804621310525</v>
          </cell>
          <cell r="AD146">
            <v>353.71804621310525</v>
          </cell>
        </row>
        <row r="147">
          <cell r="C147">
            <v>38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C148">
            <v>39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S148">
            <v>0</v>
          </cell>
          <cell r="T148">
            <v>0</v>
          </cell>
          <cell r="U148">
            <v>16.691501287977673</v>
          </cell>
          <cell r="V148">
            <v>16.691501287977673</v>
          </cell>
          <cell r="W148">
            <v>16.691501287977673</v>
          </cell>
          <cell r="X148">
            <v>16.691501287977673</v>
          </cell>
          <cell r="Y148">
            <v>16.691501287977673</v>
          </cell>
          <cell r="Z148">
            <v>16.691501287977673</v>
          </cell>
          <cell r="AA148">
            <v>16.691501287977673</v>
          </cell>
          <cell r="AB148">
            <v>16.691501287977673</v>
          </cell>
          <cell r="AC148">
            <v>16.691501287977673</v>
          </cell>
          <cell r="AD148">
            <v>16.691501287977673</v>
          </cell>
        </row>
        <row r="149">
          <cell r="C149">
            <v>40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S149">
            <v>0</v>
          </cell>
          <cell r="T149">
            <v>0</v>
          </cell>
          <cell r="U149">
            <v>37.455986674025574</v>
          </cell>
          <cell r="V149">
            <v>37.455986674025574</v>
          </cell>
          <cell r="W149">
            <v>37.455986674025574</v>
          </cell>
          <cell r="X149">
            <v>37.455986674025574</v>
          </cell>
          <cell r="Y149">
            <v>37.455986674025574</v>
          </cell>
          <cell r="Z149">
            <v>37.455986674025574</v>
          </cell>
          <cell r="AA149">
            <v>37.455986674025574</v>
          </cell>
          <cell r="AB149">
            <v>37.455986674025574</v>
          </cell>
          <cell r="AC149">
            <v>37.455986674025574</v>
          </cell>
          <cell r="AD149">
            <v>37.455986674025574</v>
          </cell>
        </row>
        <row r="150">
          <cell r="C150">
            <v>41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S150">
            <v>0</v>
          </cell>
          <cell r="T150">
            <v>0</v>
          </cell>
          <cell r="U150">
            <v>253.96860338093595</v>
          </cell>
          <cell r="V150">
            <v>253.96860338093595</v>
          </cell>
          <cell r="W150">
            <v>253.96860338093595</v>
          </cell>
          <cell r="X150">
            <v>253.96860338093595</v>
          </cell>
          <cell r="Y150">
            <v>253.96860338093595</v>
          </cell>
          <cell r="Z150">
            <v>253.96860338093595</v>
          </cell>
          <cell r="AA150">
            <v>253.96860338093595</v>
          </cell>
          <cell r="AB150">
            <v>253.96860338093595</v>
          </cell>
          <cell r="AC150">
            <v>253.96860338093595</v>
          </cell>
          <cell r="AD150">
            <v>253.96860338093595</v>
          </cell>
        </row>
        <row r="151">
          <cell r="C151">
            <v>42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S151">
            <v>0</v>
          </cell>
          <cell r="T151">
            <v>0</v>
          </cell>
          <cell r="U151">
            <v>129.70392081924271</v>
          </cell>
          <cell r="V151">
            <v>129.70392081924271</v>
          </cell>
          <cell r="W151">
            <v>129.70392081924271</v>
          </cell>
          <cell r="X151">
            <v>129.70392081924271</v>
          </cell>
          <cell r="Y151">
            <v>129.70392081924271</v>
          </cell>
          <cell r="Z151">
            <v>129.70392081924271</v>
          </cell>
          <cell r="AA151">
            <v>129.70392081924271</v>
          </cell>
          <cell r="AB151">
            <v>129.70392081924271</v>
          </cell>
          <cell r="AC151">
            <v>129.70392081924271</v>
          </cell>
          <cell r="AD151">
            <v>129.70392081924271</v>
          </cell>
        </row>
        <row r="152">
          <cell r="C152">
            <v>43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S152">
            <v>0</v>
          </cell>
          <cell r="T152">
            <v>0</v>
          </cell>
          <cell r="U152">
            <v>73.442605667101759</v>
          </cell>
          <cell r="V152">
            <v>73.442605667101759</v>
          </cell>
          <cell r="W152">
            <v>73.442605667101759</v>
          </cell>
          <cell r="X152">
            <v>73.442605667101759</v>
          </cell>
          <cell r="Y152">
            <v>73.442605667101759</v>
          </cell>
          <cell r="Z152">
            <v>73.442605667101759</v>
          </cell>
          <cell r="AA152">
            <v>73.442605667101759</v>
          </cell>
          <cell r="AB152">
            <v>73.442605667101759</v>
          </cell>
          <cell r="AC152">
            <v>73.442605667101759</v>
          </cell>
          <cell r="AD152">
            <v>73.442605667101759</v>
          </cell>
        </row>
        <row r="153">
          <cell r="C153">
            <v>44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S153">
            <v>0</v>
          </cell>
          <cell r="T153">
            <v>0</v>
          </cell>
          <cell r="U153">
            <v>122.15085537155552</v>
          </cell>
          <cell r="V153">
            <v>122.15085537155552</v>
          </cell>
          <cell r="W153">
            <v>122.15085537155552</v>
          </cell>
          <cell r="X153">
            <v>122.15085537155552</v>
          </cell>
          <cell r="Y153">
            <v>122.15085537155552</v>
          </cell>
          <cell r="Z153">
            <v>122.15085537155552</v>
          </cell>
          <cell r="AA153">
            <v>122.15085537155552</v>
          </cell>
          <cell r="AB153">
            <v>122.15085537155552</v>
          </cell>
          <cell r="AC153">
            <v>122.15085537155552</v>
          </cell>
          <cell r="AD153">
            <v>122.15085537155552</v>
          </cell>
        </row>
        <row r="154">
          <cell r="C154">
            <v>45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S154">
            <v>0</v>
          </cell>
          <cell r="T154">
            <v>0</v>
          </cell>
          <cell r="U154">
            <v>193.13162571355787</v>
          </cell>
          <cell r="V154">
            <v>193.13162571355787</v>
          </cell>
          <cell r="W154">
            <v>193.13162571355787</v>
          </cell>
          <cell r="X154">
            <v>193.13162571355787</v>
          </cell>
          <cell r="Y154">
            <v>193.13162571355787</v>
          </cell>
          <cell r="Z154">
            <v>193.13162571355787</v>
          </cell>
          <cell r="AA154">
            <v>193.13162571355787</v>
          </cell>
          <cell r="AB154">
            <v>193.13162571355787</v>
          </cell>
          <cell r="AC154">
            <v>193.13162571355787</v>
          </cell>
          <cell r="AD154">
            <v>193.13162571355787</v>
          </cell>
        </row>
        <row r="155">
          <cell r="C155">
            <v>46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S155">
            <v>0</v>
          </cell>
          <cell r="T155">
            <v>0</v>
          </cell>
          <cell r="U155">
            <v>857.3244850732317</v>
          </cell>
          <cell r="V155">
            <v>857.3244850732317</v>
          </cell>
          <cell r="W155">
            <v>857.3244850732317</v>
          </cell>
          <cell r="X155">
            <v>857.3244850732317</v>
          </cell>
          <cell r="Y155">
            <v>857.3244850732317</v>
          </cell>
          <cell r="Z155">
            <v>857.3244850732317</v>
          </cell>
          <cell r="AA155">
            <v>857.3244850732317</v>
          </cell>
          <cell r="AB155">
            <v>857.3244850732317</v>
          </cell>
          <cell r="AC155">
            <v>857.3244850732317</v>
          </cell>
          <cell r="AD155">
            <v>857.3244850732317</v>
          </cell>
        </row>
        <row r="156">
          <cell r="C156">
            <v>47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C157">
            <v>48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C158">
            <v>49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S158">
            <v>0</v>
          </cell>
          <cell r="T158">
            <v>0</v>
          </cell>
          <cell r="U158">
            <v>479.83877216126086</v>
          </cell>
          <cell r="V158">
            <v>479.83877216126086</v>
          </cell>
          <cell r="W158">
            <v>479.83877216126086</v>
          </cell>
          <cell r="X158">
            <v>479.83877216126086</v>
          </cell>
          <cell r="Y158">
            <v>479.83877216126086</v>
          </cell>
          <cell r="Z158">
            <v>479.83877216126086</v>
          </cell>
          <cell r="AA158">
            <v>479.83877216126086</v>
          </cell>
          <cell r="AB158">
            <v>479.83877216126086</v>
          </cell>
          <cell r="AC158">
            <v>479.83877216126086</v>
          </cell>
          <cell r="AD158">
            <v>479.83877216126086</v>
          </cell>
        </row>
        <row r="159">
          <cell r="C159">
            <v>50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S159">
            <v>0</v>
          </cell>
          <cell r="T159">
            <v>0</v>
          </cell>
          <cell r="U159">
            <v>7617.5113986060269</v>
          </cell>
          <cell r="V159">
            <v>7617.5113986060269</v>
          </cell>
          <cell r="W159">
            <v>7617.5113986060269</v>
          </cell>
          <cell r="X159">
            <v>7617.5113986060269</v>
          </cell>
          <cell r="Y159">
            <v>7617.5113986060269</v>
          </cell>
          <cell r="Z159">
            <v>7617.5113986060269</v>
          </cell>
          <cell r="AA159">
            <v>7617.5113986060269</v>
          </cell>
          <cell r="AB159">
            <v>7617.5113986060269</v>
          </cell>
          <cell r="AC159">
            <v>7617.5113986060269</v>
          </cell>
          <cell r="AD159">
            <v>7617.5113986060269</v>
          </cell>
        </row>
        <row r="160">
          <cell r="C160">
            <v>51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S160">
            <v>0</v>
          </cell>
          <cell r="T160">
            <v>0</v>
          </cell>
          <cell r="U160">
            <v>63.775713029276858</v>
          </cell>
          <cell r="V160">
            <v>63.775713029276858</v>
          </cell>
          <cell r="W160">
            <v>63.775713029276858</v>
          </cell>
          <cell r="X160">
            <v>63.775713029276858</v>
          </cell>
          <cell r="Y160">
            <v>63.775713029276858</v>
          </cell>
          <cell r="Z160">
            <v>63.775713029276858</v>
          </cell>
          <cell r="AA160">
            <v>63.775713029276858</v>
          </cell>
          <cell r="AB160">
            <v>63.775713029276858</v>
          </cell>
          <cell r="AC160">
            <v>63.775713029276858</v>
          </cell>
          <cell r="AD160">
            <v>63.775713029276858</v>
          </cell>
        </row>
        <row r="161">
          <cell r="C161">
            <v>52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S161">
            <v>0</v>
          </cell>
          <cell r="T161">
            <v>0</v>
          </cell>
          <cell r="U161">
            <v>236.83886962671022</v>
          </cell>
          <cell r="V161">
            <v>236.83886962671022</v>
          </cell>
          <cell r="W161">
            <v>236.83886962671022</v>
          </cell>
          <cell r="X161">
            <v>236.83886962671022</v>
          </cell>
          <cell r="Y161">
            <v>236.83886962671022</v>
          </cell>
          <cell r="Z161">
            <v>236.83886962671022</v>
          </cell>
          <cell r="AA161">
            <v>236.83886962671022</v>
          </cell>
          <cell r="AB161">
            <v>236.83886962671022</v>
          </cell>
          <cell r="AC161">
            <v>236.83886962671022</v>
          </cell>
          <cell r="AD161">
            <v>236.83886962671022</v>
          </cell>
        </row>
        <row r="162">
          <cell r="C162">
            <v>53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>
            <v>0</v>
          </cell>
          <cell r="T162">
            <v>0</v>
          </cell>
          <cell r="U162">
            <v>115.25513862324043</v>
          </cell>
          <cell r="V162">
            <v>115.25513862324043</v>
          </cell>
          <cell r="W162">
            <v>115.25513862324043</v>
          </cell>
          <cell r="X162">
            <v>115.25513862324043</v>
          </cell>
          <cell r="Y162">
            <v>115.25513862324043</v>
          </cell>
          <cell r="Z162">
            <v>115.25513862324043</v>
          </cell>
          <cell r="AA162">
            <v>115.25513862324043</v>
          </cell>
          <cell r="AB162">
            <v>115.25513862324043</v>
          </cell>
          <cell r="AC162">
            <v>115.25513862324043</v>
          </cell>
          <cell r="AD162">
            <v>115.25513862324043</v>
          </cell>
        </row>
        <row r="163">
          <cell r="C163">
            <v>54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C164">
            <v>55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S164">
            <v>0</v>
          </cell>
          <cell r="T164">
            <v>0</v>
          </cell>
          <cell r="U164">
            <v>94.1555342924146</v>
          </cell>
          <cell r="V164">
            <v>94.1555342924146</v>
          </cell>
          <cell r="W164">
            <v>94.1555342924146</v>
          </cell>
          <cell r="X164">
            <v>94.1555342924146</v>
          </cell>
          <cell r="Y164">
            <v>94.1555342924146</v>
          </cell>
          <cell r="Z164">
            <v>94.1555342924146</v>
          </cell>
          <cell r="AA164">
            <v>94.1555342924146</v>
          </cell>
          <cell r="AB164">
            <v>94.1555342924146</v>
          </cell>
          <cell r="AC164">
            <v>94.1555342924146</v>
          </cell>
          <cell r="AD164">
            <v>94.1555342924146</v>
          </cell>
        </row>
        <row r="165">
          <cell r="C165">
            <v>56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S165">
            <v>0</v>
          </cell>
          <cell r="T165">
            <v>0</v>
          </cell>
          <cell r="U165">
            <v>6.0708085765540423</v>
          </cell>
          <cell r="V165">
            <v>6.0708085765540423</v>
          </cell>
          <cell r="W165">
            <v>6.0708085765540423</v>
          </cell>
          <cell r="X165">
            <v>6.0708085765540423</v>
          </cell>
          <cell r="Y165">
            <v>6.0708085765540423</v>
          </cell>
          <cell r="Z165">
            <v>6.0708085765540423</v>
          </cell>
          <cell r="AA165">
            <v>6.0708085765540423</v>
          </cell>
          <cell r="AB165">
            <v>6.0708085765540423</v>
          </cell>
          <cell r="AC165">
            <v>6.0708085765540423</v>
          </cell>
          <cell r="AD165">
            <v>6.0708085765540423</v>
          </cell>
        </row>
        <row r="166">
          <cell r="C166">
            <v>57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>
            <v>0</v>
          </cell>
          <cell r="T166">
            <v>0</v>
          </cell>
          <cell r="U166">
            <v>37.391540723106743</v>
          </cell>
          <cell r="V166">
            <v>37.391540723106743</v>
          </cell>
          <cell r="W166">
            <v>37.391540723106743</v>
          </cell>
          <cell r="X166">
            <v>37.391540723106743</v>
          </cell>
          <cell r="Y166">
            <v>37.391540723106743</v>
          </cell>
          <cell r="Z166">
            <v>37.391540723106743</v>
          </cell>
          <cell r="AA166">
            <v>37.391540723106743</v>
          </cell>
          <cell r="AB166">
            <v>37.391540723106743</v>
          </cell>
          <cell r="AC166">
            <v>37.391540723106743</v>
          </cell>
          <cell r="AD166">
            <v>37.391540723106743</v>
          </cell>
        </row>
        <row r="167">
          <cell r="C167">
            <v>57.5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C168">
            <v>58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0</v>
          </cell>
          <cell r="T168">
            <v>0</v>
          </cell>
          <cell r="U168">
            <v>147.16877351824638</v>
          </cell>
          <cell r="V168">
            <v>147.16877351824638</v>
          </cell>
          <cell r="W168">
            <v>147.16877351824638</v>
          </cell>
          <cell r="X168">
            <v>147.16877351824638</v>
          </cell>
          <cell r="Y168">
            <v>147.16877351824638</v>
          </cell>
          <cell r="Z168">
            <v>147.16877351824638</v>
          </cell>
          <cell r="AA168">
            <v>147.16877351824638</v>
          </cell>
          <cell r="AB168">
            <v>147.16877351824638</v>
          </cell>
          <cell r="AC168">
            <v>147.16877351824638</v>
          </cell>
          <cell r="AD168">
            <v>147.16877351824638</v>
          </cell>
        </row>
        <row r="169">
          <cell r="C169">
            <v>59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S169">
            <v>0</v>
          </cell>
          <cell r="T169">
            <v>0</v>
          </cell>
          <cell r="U169">
            <v>14561.910618245216</v>
          </cell>
          <cell r="V169">
            <v>14561.910618245216</v>
          </cell>
          <cell r="W169">
            <v>14561.910618245216</v>
          </cell>
          <cell r="X169">
            <v>14561.910618245216</v>
          </cell>
          <cell r="Y169">
            <v>14561.910618245216</v>
          </cell>
          <cell r="Z169">
            <v>14561.910618245216</v>
          </cell>
          <cell r="AA169">
            <v>14561.910618245216</v>
          </cell>
          <cell r="AB169">
            <v>14561.910618245216</v>
          </cell>
          <cell r="AC169">
            <v>14561.910618245216</v>
          </cell>
          <cell r="AD169">
            <v>14561.910618245216</v>
          </cell>
        </row>
        <row r="171">
          <cell r="C171">
            <v>60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S171">
            <v>0</v>
          </cell>
          <cell r="T171">
            <v>0</v>
          </cell>
          <cell r="U171">
            <v>-33540.45061824521</v>
          </cell>
          <cell r="V171">
            <v>-33540.45061824521</v>
          </cell>
          <cell r="W171">
            <v>-33540.45061824521</v>
          </cell>
          <cell r="X171">
            <v>-33540.45061824521</v>
          </cell>
          <cell r="Y171">
            <v>-33540.45061824521</v>
          </cell>
          <cell r="Z171">
            <v>-33540.45061824521</v>
          </cell>
          <cell r="AA171">
            <v>-33540.45061824521</v>
          </cell>
          <cell r="AB171">
            <v>-33540.45061824521</v>
          </cell>
          <cell r="AC171">
            <v>-33540.45061824521</v>
          </cell>
          <cell r="AD171">
            <v>-33540.45061824521</v>
          </cell>
        </row>
        <row r="172">
          <cell r="C172">
            <v>61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S172">
            <v>0</v>
          </cell>
          <cell r="T172">
            <v>0</v>
          </cell>
          <cell r="U172">
            <v>-29.387353618987717</v>
          </cell>
          <cell r="V172">
            <v>-29.387353618987717</v>
          </cell>
          <cell r="W172">
            <v>-29.387353618987717</v>
          </cell>
          <cell r="X172">
            <v>-29.387353618987717</v>
          </cell>
          <cell r="Y172">
            <v>-29.387353618987717</v>
          </cell>
          <cell r="Z172">
            <v>-29.387353618987717</v>
          </cell>
          <cell r="AA172">
            <v>-29.387353618987717</v>
          </cell>
          <cell r="AB172">
            <v>-29.387353618987717</v>
          </cell>
          <cell r="AC172">
            <v>-29.387353618987717</v>
          </cell>
          <cell r="AD172">
            <v>-29.387353618987717</v>
          </cell>
        </row>
        <row r="173">
          <cell r="C173">
            <v>62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T173">
            <v>0</v>
          </cell>
          <cell r="U173">
            <v>-33569.837971864195</v>
          </cell>
          <cell r="V173">
            <v>-33569.837971864195</v>
          </cell>
          <cell r="W173">
            <v>-33569.837971864195</v>
          </cell>
          <cell r="X173">
            <v>-33569.837971864195</v>
          </cell>
          <cell r="Y173">
            <v>-33569.837971864195</v>
          </cell>
          <cell r="Z173">
            <v>-33569.837971864195</v>
          </cell>
          <cell r="AA173">
            <v>-33569.837971864195</v>
          </cell>
          <cell r="AB173">
            <v>-33569.837971864195</v>
          </cell>
          <cell r="AC173">
            <v>-33569.837971864195</v>
          </cell>
          <cell r="AD173">
            <v>-33569.837971864195</v>
          </cell>
        </row>
        <row r="176">
          <cell r="C176">
            <v>63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0</v>
          </cell>
          <cell r="U176">
            <v>26533.539999999997</v>
          </cell>
          <cell r="V176">
            <v>26533.539999999997</v>
          </cell>
          <cell r="W176">
            <v>26533.539999999997</v>
          </cell>
          <cell r="X176">
            <v>26533.539999999997</v>
          </cell>
          <cell r="Y176">
            <v>26533.539999999997</v>
          </cell>
          <cell r="Z176">
            <v>26533.539999999997</v>
          </cell>
          <cell r="AA176">
            <v>26533.539999999997</v>
          </cell>
          <cell r="AB176">
            <v>26533.539999999997</v>
          </cell>
          <cell r="AC176">
            <v>26533.539999999997</v>
          </cell>
          <cell r="AD176">
            <v>26533.539999999997</v>
          </cell>
        </row>
        <row r="177">
          <cell r="C177">
            <v>64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0</v>
          </cell>
          <cell r="U177">
            <v>14755.635146707225</v>
          </cell>
          <cell r="V177">
            <v>14755.635146707225</v>
          </cell>
          <cell r="W177">
            <v>14755.635146707225</v>
          </cell>
          <cell r="X177">
            <v>14755.635146707225</v>
          </cell>
          <cell r="Y177">
            <v>14755.635146707225</v>
          </cell>
          <cell r="Z177">
            <v>14755.635146707225</v>
          </cell>
          <cell r="AA177">
            <v>14755.635146707225</v>
          </cell>
          <cell r="AB177">
            <v>14755.635146707225</v>
          </cell>
          <cell r="AC177">
            <v>14755.635146707225</v>
          </cell>
          <cell r="AD177">
            <v>14755.635146707225</v>
          </cell>
        </row>
        <row r="178">
          <cell r="C178">
            <v>65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0</v>
          </cell>
          <cell r="U178">
            <v>122734.17514670722</v>
          </cell>
          <cell r="V178">
            <v>122734.17514670722</v>
          </cell>
          <cell r="W178">
            <v>122734.17514670722</v>
          </cell>
          <cell r="X178">
            <v>122734.17514670722</v>
          </cell>
          <cell r="Y178">
            <v>122734.17514670722</v>
          </cell>
          <cell r="Z178">
            <v>122734.17514670722</v>
          </cell>
          <cell r="AA178">
            <v>122734.17514670722</v>
          </cell>
          <cell r="AB178">
            <v>122734.17514670722</v>
          </cell>
          <cell r="AC178">
            <v>122734.17514670722</v>
          </cell>
          <cell r="AD178">
            <v>122734.17514670722</v>
          </cell>
        </row>
      </sheetData>
      <sheetData sheetId="16" refreshError="1">
        <row r="3">
          <cell r="C3" t="str">
            <v>code</v>
          </cell>
          <cell r="D3" t="str">
            <v>JAN</v>
          </cell>
          <cell r="E3" t="str">
            <v>FEB</v>
          </cell>
          <cell r="F3" t="str">
            <v>MAR</v>
          </cell>
          <cell r="G3" t="str">
            <v>APR</v>
          </cell>
          <cell r="H3" t="str">
            <v>MAY</v>
          </cell>
          <cell r="I3" t="str">
            <v>JUNE</v>
          </cell>
          <cell r="J3" t="str">
            <v>JULY</v>
          </cell>
          <cell r="K3" t="str">
            <v>AUG</v>
          </cell>
          <cell r="L3" t="str">
            <v>SEPT</v>
          </cell>
          <cell r="M3" t="str">
            <v>OCT</v>
          </cell>
          <cell r="N3" t="str">
            <v>NOV</v>
          </cell>
          <cell r="O3" t="str">
            <v>DEC</v>
          </cell>
          <cell r="P3" t="str">
            <v>Y T D</v>
          </cell>
          <cell r="Q3" t="str">
            <v>YEAR</v>
          </cell>
          <cell r="R3" t="str">
            <v xml:space="preserve">  </v>
          </cell>
          <cell r="S3" t="str">
            <v>JAN</v>
          </cell>
          <cell r="T3" t="str">
            <v>FEB</v>
          </cell>
          <cell r="U3" t="str">
            <v>MAR</v>
          </cell>
          <cell r="V3" t="str">
            <v>APR</v>
          </cell>
          <cell r="W3" t="str">
            <v>MAY</v>
          </cell>
          <cell r="X3" t="str">
            <v>JUNE</v>
          </cell>
          <cell r="Y3" t="str">
            <v>JULY</v>
          </cell>
          <cell r="Z3" t="str">
            <v>AUG</v>
          </cell>
          <cell r="AA3" t="str">
            <v>SEPT</v>
          </cell>
          <cell r="AB3" t="str">
            <v>OCT</v>
          </cell>
          <cell r="AC3" t="str">
            <v>NOV</v>
          </cell>
          <cell r="AD3" t="str">
            <v>DEC</v>
          </cell>
          <cell r="AE3" t="str">
            <v>Y T D</v>
          </cell>
        </row>
        <row r="5">
          <cell r="P5">
            <v>0</v>
          </cell>
          <cell r="Q5">
            <v>0</v>
          </cell>
          <cell r="AE5">
            <v>0</v>
          </cell>
        </row>
        <row r="7">
          <cell r="C7" t="str">
            <v>x</v>
          </cell>
          <cell r="P7">
            <v>0</v>
          </cell>
          <cell r="Q7">
            <v>0</v>
          </cell>
          <cell r="S7">
            <v>0</v>
          </cell>
          <cell r="T7">
            <v>2460</v>
          </cell>
          <cell r="U7">
            <v>1932</v>
          </cell>
          <cell r="V7">
            <v>731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5123</v>
          </cell>
        </row>
        <row r="10">
          <cell r="C10" t="str">
            <v>code</v>
          </cell>
          <cell r="D10" t="str">
            <v>JAN</v>
          </cell>
          <cell r="E10" t="str">
            <v>FEB</v>
          </cell>
          <cell r="F10" t="str">
            <v>MAR</v>
          </cell>
          <cell r="G10" t="str">
            <v>APR</v>
          </cell>
          <cell r="H10" t="str">
            <v>MAY</v>
          </cell>
          <cell r="I10" t="str">
            <v>JUNE</v>
          </cell>
          <cell r="J10" t="str">
            <v>JULY</v>
          </cell>
          <cell r="K10" t="str">
            <v>AUG</v>
          </cell>
          <cell r="L10" t="str">
            <v>SEPT</v>
          </cell>
          <cell r="M10" t="str">
            <v>OCT</v>
          </cell>
          <cell r="N10" t="str">
            <v>NOV</v>
          </cell>
          <cell r="O10" t="str">
            <v>DEC</v>
          </cell>
          <cell r="P10" t="str">
            <v>Y T D</v>
          </cell>
          <cell r="Q10" t="str">
            <v>YEAR</v>
          </cell>
          <cell r="R10" t="str">
            <v xml:space="preserve">  </v>
          </cell>
          <cell r="S10" t="str">
            <v>JAN</v>
          </cell>
          <cell r="T10" t="str">
            <v>FEB</v>
          </cell>
          <cell r="U10" t="str">
            <v>MAR</v>
          </cell>
          <cell r="V10" t="str">
            <v>APR</v>
          </cell>
          <cell r="W10" t="str">
            <v>MAY</v>
          </cell>
          <cell r="X10" t="str">
            <v>JUNE</v>
          </cell>
          <cell r="Y10" t="str">
            <v>JULY</v>
          </cell>
          <cell r="Z10" t="str">
            <v>AUG</v>
          </cell>
          <cell r="AA10" t="str">
            <v>SEPT</v>
          </cell>
          <cell r="AB10" t="str">
            <v>OCT</v>
          </cell>
          <cell r="AC10" t="str">
            <v>NOV</v>
          </cell>
          <cell r="AD10" t="str">
            <v>DEC</v>
          </cell>
          <cell r="AE10" t="str">
            <v>Y T D</v>
          </cell>
        </row>
        <row r="12">
          <cell r="C12" t="str">
            <v>x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S12">
            <v>0</v>
          </cell>
          <cell r="T12">
            <v>2460</v>
          </cell>
          <cell r="U12">
            <v>4392</v>
          </cell>
          <cell r="V12">
            <v>5123</v>
          </cell>
          <cell r="W12">
            <v>5123</v>
          </cell>
          <cell r="X12">
            <v>5123</v>
          </cell>
          <cell r="Y12">
            <v>5123</v>
          </cell>
          <cell r="Z12">
            <v>5123</v>
          </cell>
          <cell r="AA12">
            <v>5123</v>
          </cell>
          <cell r="AB12">
            <v>5123</v>
          </cell>
          <cell r="AC12">
            <v>5123</v>
          </cell>
          <cell r="AD12">
            <v>5123</v>
          </cell>
        </row>
      </sheetData>
      <sheetData sheetId="17" refreshError="1">
        <row r="3">
          <cell r="C3" t="str">
            <v>code</v>
          </cell>
          <cell r="D3" t="str">
            <v>JAN</v>
          </cell>
          <cell r="E3" t="str">
            <v>FEB</v>
          </cell>
          <cell r="F3" t="str">
            <v>MAR</v>
          </cell>
          <cell r="G3" t="str">
            <v>APR</v>
          </cell>
          <cell r="H3" t="str">
            <v>MAY</v>
          </cell>
          <cell r="I3" t="str">
            <v>JUNE</v>
          </cell>
          <cell r="J3" t="str">
            <v>JULY</v>
          </cell>
          <cell r="K3" t="str">
            <v>AUG</v>
          </cell>
          <cell r="L3" t="str">
            <v>SEPT</v>
          </cell>
          <cell r="M3" t="str">
            <v>OCT</v>
          </cell>
          <cell r="N3" t="str">
            <v>NOV</v>
          </cell>
          <cell r="O3" t="str">
            <v>DEC</v>
          </cell>
          <cell r="P3" t="str">
            <v>Y T D</v>
          </cell>
          <cell r="Q3" t="str">
            <v>YEAR</v>
          </cell>
          <cell r="R3" t="str">
            <v xml:space="preserve">  </v>
          </cell>
          <cell r="S3" t="str">
            <v>JAN</v>
          </cell>
          <cell r="T3" t="str">
            <v>FEB</v>
          </cell>
          <cell r="U3" t="str">
            <v>MAR</v>
          </cell>
          <cell r="V3" t="str">
            <v>APR</v>
          </cell>
          <cell r="W3" t="str">
            <v>MAY</v>
          </cell>
          <cell r="X3" t="str">
            <v>JUNE</v>
          </cell>
          <cell r="Y3" t="str">
            <v>JULY</v>
          </cell>
          <cell r="Z3" t="str">
            <v>AUG</v>
          </cell>
          <cell r="AA3" t="str">
            <v>SEPT</v>
          </cell>
          <cell r="AB3" t="str">
            <v>OCT</v>
          </cell>
          <cell r="AC3" t="str">
            <v>NOV</v>
          </cell>
          <cell r="AD3" t="str">
            <v>DEC</v>
          </cell>
          <cell r="AE3" t="str">
            <v>Y T D</v>
          </cell>
        </row>
        <row r="5">
          <cell r="C5" t="str">
            <v>x</v>
          </cell>
          <cell r="D5">
            <v>219349.61666666667</v>
          </cell>
          <cell r="E5">
            <v>224400.61666666667</v>
          </cell>
          <cell r="F5">
            <v>224400.61666666667</v>
          </cell>
          <cell r="G5">
            <v>166719.28333333333</v>
          </cell>
          <cell r="H5">
            <v>166719.28333333333</v>
          </cell>
          <cell r="I5">
            <v>166719.28333333333</v>
          </cell>
          <cell r="J5">
            <v>99623.28333333334</v>
          </cell>
          <cell r="K5">
            <v>99623.28333333334</v>
          </cell>
          <cell r="L5">
            <v>99623.28333333334</v>
          </cell>
          <cell r="M5">
            <v>99623.28333333334</v>
          </cell>
          <cell r="N5">
            <v>99623.28333333334</v>
          </cell>
          <cell r="O5">
            <v>99623.28333333334</v>
          </cell>
          <cell r="P5">
            <v>1766048.4000000006</v>
          </cell>
          <cell r="Q5">
            <v>1766048.4000000006</v>
          </cell>
          <cell r="S5">
            <v>142414</v>
          </cell>
          <cell r="T5">
            <v>178744</v>
          </cell>
          <cell r="U5">
            <v>274771</v>
          </cell>
          <cell r="V5">
            <v>263899</v>
          </cell>
          <cell r="W5">
            <v>276908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1136736</v>
          </cell>
        </row>
        <row r="8">
          <cell r="C8" t="str">
            <v>code</v>
          </cell>
          <cell r="D8" t="str">
            <v>JAN</v>
          </cell>
          <cell r="E8" t="str">
            <v>FEB</v>
          </cell>
          <cell r="F8" t="str">
            <v>MAR</v>
          </cell>
          <cell r="G8" t="str">
            <v>APR</v>
          </cell>
          <cell r="H8" t="str">
            <v>MAY</v>
          </cell>
          <cell r="I8" t="str">
            <v>JUNE</v>
          </cell>
          <cell r="J8" t="str">
            <v>JULY</v>
          </cell>
          <cell r="K8" t="str">
            <v>AUG</v>
          </cell>
          <cell r="L8" t="str">
            <v>SEPT</v>
          </cell>
          <cell r="M8" t="str">
            <v>OCT</v>
          </cell>
          <cell r="N8" t="str">
            <v>NOV</v>
          </cell>
          <cell r="O8" t="str">
            <v>DEC</v>
          </cell>
          <cell r="P8" t="str">
            <v>Y T D</v>
          </cell>
          <cell r="Q8" t="str">
            <v>YEAR</v>
          </cell>
          <cell r="R8" t="str">
            <v xml:space="preserve">  </v>
          </cell>
          <cell r="S8" t="str">
            <v>JAN</v>
          </cell>
          <cell r="T8" t="str">
            <v>FEB</v>
          </cell>
          <cell r="U8" t="str">
            <v>MAR</v>
          </cell>
          <cell r="V8" t="str">
            <v>APR</v>
          </cell>
          <cell r="W8" t="str">
            <v>MAY</v>
          </cell>
          <cell r="X8" t="str">
            <v>JUNE</v>
          </cell>
          <cell r="Y8" t="str">
            <v>JULY</v>
          </cell>
          <cell r="Z8" t="str">
            <v>AUG</v>
          </cell>
          <cell r="AA8" t="str">
            <v>SEPT</v>
          </cell>
          <cell r="AB8" t="str">
            <v>OCT</v>
          </cell>
          <cell r="AC8" t="str">
            <v>NOV</v>
          </cell>
          <cell r="AD8" t="str">
            <v>DEC</v>
          </cell>
          <cell r="AE8" t="str">
            <v>Y T D</v>
          </cell>
        </row>
        <row r="10">
          <cell r="C10" t="str">
            <v>x</v>
          </cell>
          <cell r="D10">
            <v>219349.61666666667</v>
          </cell>
          <cell r="E10">
            <v>443750.23333333334</v>
          </cell>
          <cell r="F10">
            <v>668150.85</v>
          </cell>
          <cell r="G10">
            <v>834870.1333333333</v>
          </cell>
          <cell r="H10">
            <v>1001589.4166666666</v>
          </cell>
          <cell r="I10">
            <v>1168308.7</v>
          </cell>
          <cell r="J10">
            <v>1267931.9833333334</v>
          </cell>
          <cell r="K10">
            <v>1367555.2666666668</v>
          </cell>
          <cell r="L10">
            <v>1467178.5500000003</v>
          </cell>
          <cell r="M10">
            <v>1566801.8333333337</v>
          </cell>
          <cell r="N10">
            <v>1666425.1166666672</v>
          </cell>
          <cell r="O10">
            <v>1766048.4000000006</v>
          </cell>
          <cell r="S10">
            <v>142414</v>
          </cell>
          <cell r="T10">
            <v>321158</v>
          </cell>
          <cell r="U10">
            <v>595929</v>
          </cell>
          <cell r="V10">
            <v>859828</v>
          </cell>
          <cell r="W10">
            <v>1136736</v>
          </cell>
          <cell r="X10">
            <v>1136736</v>
          </cell>
          <cell r="Y10">
            <v>1136736</v>
          </cell>
          <cell r="Z10">
            <v>1136736</v>
          </cell>
          <cell r="AA10">
            <v>1136736</v>
          </cell>
          <cell r="AB10">
            <v>1136736</v>
          </cell>
          <cell r="AC10">
            <v>1136736</v>
          </cell>
          <cell r="AD10">
            <v>1136736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.12.2003"/>
      <sheetName val="2004"/>
      <sheetName val="Info"/>
      <sheetName val="Grouplist"/>
      <sheetName val="Control"/>
      <sheetName val="A1"/>
      <sheetName val="A2"/>
      <sheetName val="A3"/>
      <sheetName val="A4"/>
      <sheetName val="A5"/>
      <sheetName val="A6"/>
      <sheetName val="O1"/>
      <sheetName val="O2"/>
      <sheetName val="O3"/>
      <sheetName val="O4"/>
      <sheetName val="K1"/>
      <sheetName val="K2"/>
      <sheetName val="P1"/>
      <sheetName val="P2"/>
      <sheetName val="P3"/>
      <sheetName val="C1"/>
      <sheetName val="C2"/>
      <sheetName val="C3"/>
      <sheetName val="C4"/>
      <sheetName val="C5"/>
      <sheetName val="C6"/>
      <sheetName val="AutoAdj"/>
      <sheetName val="Accounts"/>
    </sheetNames>
    <sheetDataSet>
      <sheetData sheetId="0"/>
      <sheetData sheetId="1"/>
      <sheetData sheetId="2" refreshError="1">
        <row r="5">
          <cell r="D5" t="str">
            <v>01/01/2004</v>
          </cell>
        </row>
        <row r="6">
          <cell r="D6" t="str">
            <v>31/12/2004</v>
          </cell>
        </row>
        <row r="17">
          <cell r="D17" t="str">
            <v>тыс. руб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2"/>
      <sheetName val="AutoAdj"/>
      <sheetName val="TB-1"/>
      <sheetName val="Info"/>
      <sheetName val="Control"/>
      <sheetName val="A1"/>
      <sheetName val="A1-1"/>
      <sheetName val="A2"/>
      <sheetName val="A3"/>
      <sheetName val="A3-1"/>
      <sheetName val="A4"/>
      <sheetName val="A4-1"/>
      <sheetName val="A5"/>
      <sheetName val="O1"/>
      <sheetName val="O2"/>
      <sheetName val="O3-1"/>
      <sheetName val="O3"/>
      <sheetName val="O4"/>
      <sheetName val="K1"/>
      <sheetName val="P1"/>
      <sheetName val="P2"/>
      <sheetName val="P3"/>
      <sheetName val="C1"/>
      <sheetName val="C2-1"/>
      <sheetName val="C2-2"/>
      <sheetName val="C3-1"/>
      <sheetName val="C3-2"/>
      <sheetName val="C4"/>
      <sheetName val="C5"/>
      <sheetName val="C6"/>
      <sheetName val="Акт"/>
      <sheetName val="C7"/>
      <sheetName val="Grouplist"/>
      <sheetName val="Rates"/>
    </sheetNames>
    <sheetDataSet>
      <sheetData sheetId="0" refreshError="1"/>
      <sheetData sheetId="1" refreshError="1"/>
      <sheetData sheetId="2" refreshError="1"/>
      <sheetData sheetId="3">
        <row r="2">
          <cell r="F2" t="str">
            <v>ОАО "Байкальский ЦБК"</v>
          </cell>
          <cell r="G2" t="str">
            <v>ОАО "Байкальский ЦБК"</v>
          </cell>
        </row>
        <row r="5">
          <cell r="G5" t="str">
            <v>ДД ММММ ГГГГ</v>
          </cell>
        </row>
        <row r="6">
          <cell r="G6" t="str">
            <v>ДД ММММ ГГГГ</v>
          </cell>
        </row>
        <row r="9">
          <cell r="F9">
            <v>2</v>
          </cell>
        </row>
        <row r="39">
          <cell r="E39" t="str">
            <v>тыс. руб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>
        <row r="2">
          <cell r="A2">
            <v>33573</v>
          </cell>
          <cell r="B2">
            <v>110</v>
          </cell>
          <cell r="C2">
            <v>99.999999999999986</v>
          </cell>
          <cell r="D2">
            <v>100</v>
          </cell>
        </row>
        <row r="3">
          <cell r="A3">
            <v>33604</v>
          </cell>
          <cell r="B3">
            <v>110</v>
          </cell>
          <cell r="C3">
            <v>99.999999999999986</v>
          </cell>
          <cell r="D3">
            <v>345</v>
          </cell>
        </row>
        <row r="4">
          <cell r="A4">
            <v>33635</v>
          </cell>
          <cell r="B4">
            <v>90</v>
          </cell>
          <cell r="C4">
            <v>81.818181818181813</v>
          </cell>
          <cell r="D4">
            <v>476.1</v>
          </cell>
        </row>
        <row r="5">
          <cell r="A5">
            <v>33664</v>
          </cell>
          <cell r="B5">
            <v>100</v>
          </cell>
          <cell r="C5">
            <v>90.909090909090907</v>
          </cell>
          <cell r="D5">
            <v>618.92999999999995</v>
          </cell>
        </row>
        <row r="6">
          <cell r="A6">
            <v>33695</v>
          </cell>
          <cell r="B6">
            <v>100</v>
          </cell>
          <cell r="C6">
            <v>90.909090909090907</v>
          </cell>
          <cell r="D6">
            <v>755.0945999999999</v>
          </cell>
        </row>
        <row r="7">
          <cell r="A7">
            <v>33725</v>
          </cell>
          <cell r="B7">
            <v>85</v>
          </cell>
          <cell r="C7">
            <v>77.272727272727266</v>
          </cell>
          <cell r="D7">
            <v>845.7059519999998</v>
          </cell>
        </row>
        <row r="8">
          <cell r="A8">
            <v>33756</v>
          </cell>
          <cell r="B8">
            <v>125.2</v>
          </cell>
          <cell r="C8">
            <v>113.81818181818181</v>
          </cell>
          <cell r="D8">
            <v>1006.3900828799998</v>
          </cell>
        </row>
        <row r="9">
          <cell r="A9">
            <v>33786</v>
          </cell>
          <cell r="B9">
            <v>161.19999999999999</v>
          </cell>
          <cell r="C9">
            <v>146.54545454545453</v>
          </cell>
          <cell r="D9">
            <v>1117.0929919967998</v>
          </cell>
        </row>
        <row r="10">
          <cell r="A10">
            <v>33817</v>
          </cell>
          <cell r="B10">
            <v>205</v>
          </cell>
          <cell r="C10">
            <v>186.36363636363635</v>
          </cell>
          <cell r="D10">
            <v>1217.6313612765118</v>
          </cell>
        </row>
        <row r="11">
          <cell r="A11">
            <v>33848</v>
          </cell>
          <cell r="B11">
            <v>254</v>
          </cell>
          <cell r="C11">
            <v>230.90909090909088</v>
          </cell>
          <cell r="D11">
            <v>1363.7471246296932</v>
          </cell>
        </row>
        <row r="12">
          <cell r="A12">
            <v>33878</v>
          </cell>
          <cell r="B12">
            <v>398</v>
          </cell>
          <cell r="C12">
            <v>361.81818181818181</v>
          </cell>
          <cell r="D12">
            <v>1677.4089632945224</v>
          </cell>
        </row>
        <row r="13">
          <cell r="A13">
            <v>33909</v>
          </cell>
          <cell r="B13">
            <v>447</v>
          </cell>
          <cell r="C13">
            <v>406.36363636363632</v>
          </cell>
          <cell r="D13">
            <v>2113.5352937510984</v>
          </cell>
        </row>
        <row r="14">
          <cell r="A14">
            <v>33939</v>
          </cell>
          <cell r="B14">
            <v>414.5</v>
          </cell>
          <cell r="C14">
            <v>376.81818181818181</v>
          </cell>
          <cell r="D14">
            <v>2641.9191171888729</v>
          </cell>
        </row>
        <row r="15">
          <cell r="A15">
            <v>33970</v>
          </cell>
          <cell r="B15">
            <v>572</v>
          </cell>
          <cell r="C15">
            <v>520</v>
          </cell>
          <cell r="D15">
            <v>3328.81808765798</v>
          </cell>
        </row>
        <row r="16">
          <cell r="A16">
            <v>34001</v>
          </cell>
          <cell r="B16">
            <v>593</v>
          </cell>
          <cell r="C16">
            <v>539.09090909090901</v>
          </cell>
          <cell r="D16">
            <v>4161.0226095724756</v>
          </cell>
        </row>
        <row r="17">
          <cell r="A17">
            <v>34029</v>
          </cell>
          <cell r="B17">
            <v>684</v>
          </cell>
          <cell r="C17">
            <v>621.81818181818176</v>
          </cell>
          <cell r="D17">
            <v>4993.2271314869704</v>
          </cell>
        </row>
        <row r="18">
          <cell r="A18">
            <v>34060</v>
          </cell>
          <cell r="B18">
            <v>823</v>
          </cell>
          <cell r="C18">
            <v>748.18181818181813</v>
          </cell>
          <cell r="D18">
            <v>5941.9402864694948</v>
          </cell>
        </row>
        <row r="19">
          <cell r="A19">
            <v>34090</v>
          </cell>
          <cell r="B19">
            <v>994</v>
          </cell>
          <cell r="C19">
            <v>903.63636363636351</v>
          </cell>
          <cell r="D19">
            <v>7011.489538034004</v>
          </cell>
        </row>
        <row r="20">
          <cell r="A20">
            <v>34121</v>
          </cell>
          <cell r="B20">
            <v>1060</v>
          </cell>
          <cell r="C20">
            <v>963.63636363636351</v>
          </cell>
          <cell r="D20">
            <v>8413.7874456408044</v>
          </cell>
        </row>
        <row r="21">
          <cell r="A21">
            <v>34151</v>
          </cell>
          <cell r="B21">
            <v>989.5</v>
          </cell>
          <cell r="C21">
            <v>899.5454545454545</v>
          </cell>
          <cell r="D21">
            <v>10264.820683681781</v>
          </cell>
        </row>
        <row r="22">
          <cell r="A22">
            <v>34182</v>
          </cell>
          <cell r="B22">
            <v>992.5</v>
          </cell>
          <cell r="C22">
            <v>902.27272727272725</v>
          </cell>
          <cell r="D22">
            <v>12933.674061439044</v>
          </cell>
        </row>
        <row r="23">
          <cell r="A23">
            <v>34213</v>
          </cell>
          <cell r="B23">
            <v>1169</v>
          </cell>
          <cell r="C23">
            <v>1062.7272727272727</v>
          </cell>
          <cell r="D23">
            <v>15908.419095570023</v>
          </cell>
        </row>
        <row r="24">
          <cell r="A24">
            <v>34243</v>
          </cell>
          <cell r="B24">
            <v>1186</v>
          </cell>
          <cell r="C24">
            <v>1078.181818181818</v>
          </cell>
          <cell r="D24">
            <v>19090.10291468403</v>
          </cell>
        </row>
        <row r="25">
          <cell r="A25">
            <v>34274</v>
          </cell>
          <cell r="B25">
            <v>1231</v>
          </cell>
          <cell r="C25">
            <v>1119.090909090909</v>
          </cell>
          <cell r="D25">
            <v>22144.519381033475</v>
          </cell>
        </row>
        <row r="26">
          <cell r="A26">
            <v>34304</v>
          </cell>
          <cell r="B26">
            <v>1247</v>
          </cell>
          <cell r="C26">
            <v>1133.6363636363635</v>
          </cell>
          <cell r="D26">
            <v>25023.306900567826</v>
          </cell>
        </row>
        <row r="27">
          <cell r="A27">
            <v>34335</v>
          </cell>
          <cell r="B27">
            <v>1542</v>
          </cell>
          <cell r="C27">
            <v>1401.8181818181818</v>
          </cell>
          <cell r="D27">
            <v>29527.502142670033</v>
          </cell>
        </row>
        <row r="28">
          <cell r="A28">
            <v>34366</v>
          </cell>
          <cell r="B28">
            <v>1657</v>
          </cell>
          <cell r="C28">
            <v>1506.3636363636363</v>
          </cell>
          <cell r="D28">
            <v>32775.527378363739</v>
          </cell>
        </row>
        <row r="29">
          <cell r="A29">
            <v>34394</v>
          </cell>
          <cell r="B29">
            <v>1753</v>
          </cell>
          <cell r="C29">
            <v>1593.6363636363635</v>
          </cell>
          <cell r="D29">
            <v>35069.814294849202</v>
          </cell>
        </row>
        <row r="30">
          <cell r="A30">
            <v>34425</v>
          </cell>
          <cell r="B30">
            <v>1832</v>
          </cell>
          <cell r="C30">
            <v>1665.4545454545453</v>
          </cell>
          <cell r="D30">
            <v>37875.39943843714</v>
          </cell>
        </row>
        <row r="31">
          <cell r="A31">
            <v>34455</v>
          </cell>
          <cell r="B31">
            <v>1916</v>
          </cell>
          <cell r="C31">
            <v>1741.8181818181818</v>
          </cell>
          <cell r="D31">
            <v>40526.677399127737</v>
          </cell>
        </row>
        <row r="32">
          <cell r="A32">
            <v>34486</v>
          </cell>
          <cell r="B32">
            <v>1989</v>
          </cell>
          <cell r="C32">
            <v>1808.181818181818</v>
          </cell>
          <cell r="D32">
            <v>42958.278043075399</v>
          </cell>
        </row>
        <row r="33">
          <cell r="A33">
            <v>34516</v>
          </cell>
          <cell r="B33">
            <v>2052</v>
          </cell>
          <cell r="C33">
            <v>1865.4545454545453</v>
          </cell>
          <cell r="D33">
            <v>45106.19194522917</v>
          </cell>
        </row>
        <row r="34">
          <cell r="A34">
            <v>34547</v>
          </cell>
          <cell r="B34">
            <v>2153</v>
          </cell>
          <cell r="C34">
            <v>1957.272727272727</v>
          </cell>
          <cell r="D34">
            <v>47361.501542490631</v>
          </cell>
        </row>
        <row r="35">
          <cell r="A35">
            <v>34578</v>
          </cell>
          <cell r="B35">
            <v>2596</v>
          </cell>
          <cell r="C35">
            <v>2360</v>
          </cell>
          <cell r="D35">
            <v>51150.42166588988</v>
          </cell>
        </row>
        <row r="36">
          <cell r="A36">
            <v>34608</v>
          </cell>
          <cell r="B36">
            <v>3055</v>
          </cell>
          <cell r="C36">
            <v>2777.272727272727</v>
          </cell>
          <cell r="D36">
            <v>58822.984915773362</v>
          </cell>
        </row>
        <row r="37">
          <cell r="A37">
            <v>34639</v>
          </cell>
          <cell r="B37">
            <v>3232</v>
          </cell>
          <cell r="C37">
            <v>2938.181818181818</v>
          </cell>
          <cell r="D37">
            <v>67646.43265313936</v>
          </cell>
        </row>
        <row r="38">
          <cell r="A38">
            <v>34669</v>
          </cell>
          <cell r="B38">
            <v>3550</v>
          </cell>
          <cell r="C38">
            <v>3227.272727272727</v>
          </cell>
          <cell r="D38">
            <v>78469.861877641655</v>
          </cell>
        </row>
        <row r="39">
          <cell r="A39">
            <v>34700</v>
          </cell>
          <cell r="B39">
            <v>4048</v>
          </cell>
          <cell r="C39">
            <v>3679.9999999999995</v>
          </cell>
          <cell r="D39">
            <v>92594.43701561715</v>
          </cell>
        </row>
        <row r="40">
          <cell r="A40">
            <v>34731</v>
          </cell>
          <cell r="B40">
            <v>4473</v>
          </cell>
          <cell r="C40">
            <v>4066.363636363636</v>
          </cell>
          <cell r="D40">
            <v>102779.82508733503</v>
          </cell>
        </row>
        <row r="41">
          <cell r="A41">
            <v>34759</v>
          </cell>
          <cell r="B41">
            <v>4897</v>
          </cell>
          <cell r="C41">
            <v>4451.8181818181811</v>
          </cell>
          <cell r="D41">
            <v>112030.00934519518</v>
          </cell>
        </row>
        <row r="42">
          <cell r="A42">
            <v>34790</v>
          </cell>
          <cell r="B42">
            <v>5100</v>
          </cell>
          <cell r="C42">
            <v>4636.363636363636</v>
          </cell>
          <cell r="D42">
            <v>121552.56013953678</v>
          </cell>
        </row>
        <row r="43">
          <cell r="A43">
            <v>34820</v>
          </cell>
          <cell r="B43">
            <v>4995</v>
          </cell>
          <cell r="C43">
            <v>4540.909090909091</v>
          </cell>
          <cell r="D43">
            <v>131155.21239056019</v>
          </cell>
        </row>
        <row r="44">
          <cell r="A44">
            <v>34851</v>
          </cell>
          <cell r="B44">
            <v>4538</v>
          </cell>
          <cell r="C44">
            <v>4125.454545454545</v>
          </cell>
          <cell r="D44">
            <v>139942.61162072772</v>
          </cell>
        </row>
        <row r="45">
          <cell r="A45">
            <v>34881</v>
          </cell>
          <cell r="B45">
            <v>4415</v>
          </cell>
          <cell r="C45">
            <v>4013.6363636363635</v>
          </cell>
          <cell r="D45">
            <v>147499.51264824704</v>
          </cell>
        </row>
        <row r="46">
          <cell r="A46">
            <v>34912</v>
          </cell>
          <cell r="B46">
            <v>4447</v>
          </cell>
          <cell r="C46">
            <v>4042.7272727272725</v>
          </cell>
          <cell r="D46">
            <v>154284.49023006638</v>
          </cell>
        </row>
        <row r="47">
          <cell r="A47">
            <v>34943</v>
          </cell>
          <cell r="B47">
            <v>4508</v>
          </cell>
          <cell r="C47">
            <v>4098.181818181818</v>
          </cell>
          <cell r="D47">
            <v>161227.29229041937</v>
          </cell>
        </row>
        <row r="48">
          <cell r="A48">
            <v>34973</v>
          </cell>
          <cell r="B48">
            <v>4504</v>
          </cell>
          <cell r="C48">
            <v>4094.545454545454</v>
          </cell>
          <cell r="D48">
            <v>168804.97502806911</v>
          </cell>
        </row>
        <row r="49">
          <cell r="A49">
            <v>35004</v>
          </cell>
          <cell r="B49">
            <v>4580</v>
          </cell>
          <cell r="C49">
            <v>4163.6363636363631</v>
          </cell>
          <cell r="D49">
            <v>176401.19890433221</v>
          </cell>
        </row>
        <row r="50">
          <cell r="A50">
            <v>35034</v>
          </cell>
          <cell r="B50">
            <v>4640</v>
          </cell>
          <cell r="C50">
            <v>4218.181818181818</v>
          </cell>
          <cell r="D50">
            <v>182046.03726927083</v>
          </cell>
        </row>
        <row r="51">
          <cell r="A51">
            <v>35065</v>
          </cell>
          <cell r="B51">
            <v>4732</v>
          </cell>
          <cell r="C51">
            <v>4301.8181818181811</v>
          </cell>
          <cell r="D51">
            <v>189509.92479731093</v>
          </cell>
        </row>
        <row r="52">
          <cell r="A52">
            <v>35096</v>
          </cell>
          <cell r="B52">
            <v>4818</v>
          </cell>
          <cell r="C52">
            <v>4380</v>
          </cell>
          <cell r="D52">
            <v>194816.20269163564</v>
          </cell>
        </row>
        <row r="53">
          <cell r="A53">
            <v>35125</v>
          </cell>
          <cell r="B53">
            <v>4854</v>
          </cell>
          <cell r="C53">
            <v>4412.7272727272721</v>
          </cell>
          <cell r="D53">
            <v>200271.05636700141</v>
          </cell>
        </row>
        <row r="54">
          <cell r="A54">
            <v>35156</v>
          </cell>
          <cell r="B54">
            <v>4940</v>
          </cell>
          <cell r="C54">
            <v>4490.909090909091</v>
          </cell>
          <cell r="D54">
            <v>204677.01960707546</v>
          </cell>
        </row>
        <row r="55">
          <cell r="A55">
            <v>35186</v>
          </cell>
          <cell r="B55">
            <v>5018</v>
          </cell>
          <cell r="C55">
            <v>4561.8181818181811</v>
          </cell>
          <cell r="D55">
            <v>207951.85192078867</v>
          </cell>
        </row>
        <row r="56">
          <cell r="A56">
            <v>35217</v>
          </cell>
          <cell r="B56">
            <v>5108</v>
          </cell>
          <cell r="C56">
            <v>4643.6363636363631</v>
          </cell>
          <cell r="D56">
            <v>210239.32229191731</v>
          </cell>
        </row>
        <row r="57">
          <cell r="A57">
            <v>35247</v>
          </cell>
          <cell r="B57">
            <v>5197</v>
          </cell>
          <cell r="C57">
            <v>4724.545454545454</v>
          </cell>
          <cell r="D57">
            <v>211921.23687025264</v>
          </cell>
        </row>
        <row r="58">
          <cell r="A58">
            <v>35278</v>
          </cell>
          <cell r="B58">
            <v>5345</v>
          </cell>
          <cell r="C58">
            <v>4859.090909090909</v>
          </cell>
          <cell r="D58">
            <v>211285.47315964187</v>
          </cell>
        </row>
        <row r="59">
          <cell r="A59">
            <v>35309</v>
          </cell>
          <cell r="B59">
            <v>5402</v>
          </cell>
          <cell r="C59">
            <v>4910.9090909090901</v>
          </cell>
          <cell r="D59">
            <v>211919.32957912079</v>
          </cell>
        </row>
        <row r="60">
          <cell r="A60">
            <v>35339</v>
          </cell>
          <cell r="B60">
            <v>5456</v>
          </cell>
          <cell r="C60">
            <v>4960</v>
          </cell>
          <cell r="D60">
            <v>214462.36153407025</v>
          </cell>
        </row>
        <row r="61">
          <cell r="A61">
            <v>35370</v>
          </cell>
          <cell r="B61">
            <v>5511</v>
          </cell>
          <cell r="C61">
            <v>5010</v>
          </cell>
          <cell r="D61">
            <v>218537.1464032176</v>
          </cell>
        </row>
        <row r="62">
          <cell r="A62">
            <v>35400</v>
          </cell>
          <cell r="B62">
            <v>5560</v>
          </cell>
          <cell r="C62">
            <v>5054.545454545454</v>
          </cell>
          <cell r="D62">
            <v>221596.66645286267</v>
          </cell>
        </row>
        <row r="63">
          <cell r="A63">
            <v>35431</v>
          </cell>
          <cell r="B63">
            <v>5632</v>
          </cell>
          <cell r="C63">
            <v>5120</v>
          </cell>
          <cell r="D63">
            <v>226693.38978127853</v>
          </cell>
        </row>
        <row r="64">
          <cell r="A64">
            <v>35462</v>
          </cell>
          <cell r="B64">
            <v>5679</v>
          </cell>
          <cell r="C64">
            <v>5162.7272727272721</v>
          </cell>
          <cell r="D64">
            <v>230093.79062799772</v>
          </cell>
        </row>
        <row r="65">
          <cell r="A65">
            <v>35490</v>
          </cell>
          <cell r="B65">
            <v>5729</v>
          </cell>
          <cell r="C65">
            <v>5208.181818181818</v>
          </cell>
          <cell r="D65">
            <v>233315.10369678971</v>
          </cell>
        </row>
        <row r="66">
          <cell r="A66">
            <v>35521</v>
          </cell>
          <cell r="B66">
            <v>5764</v>
          </cell>
          <cell r="C66">
            <v>5240</v>
          </cell>
          <cell r="D66">
            <v>235648.25473375761</v>
          </cell>
        </row>
        <row r="67">
          <cell r="A67">
            <v>35551</v>
          </cell>
          <cell r="B67">
            <v>5773</v>
          </cell>
          <cell r="C67">
            <v>5248.181818181818</v>
          </cell>
          <cell r="D67">
            <v>237769.08902636144</v>
          </cell>
        </row>
        <row r="68">
          <cell r="A68">
            <v>35582</v>
          </cell>
          <cell r="B68">
            <v>5782</v>
          </cell>
          <cell r="C68">
            <v>5256.363636363636</v>
          </cell>
          <cell r="D68">
            <v>240384.54900565141</v>
          </cell>
        </row>
        <row r="69">
          <cell r="A69">
            <v>35612</v>
          </cell>
          <cell r="B69">
            <v>5800</v>
          </cell>
          <cell r="C69">
            <v>5272.7272727272721</v>
          </cell>
          <cell r="D69">
            <v>242548.00994670228</v>
          </cell>
        </row>
        <row r="70">
          <cell r="A70">
            <v>35643</v>
          </cell>
          <cell r="B70">
            <v>5830</v>
          </cell>
          <cell r="C70">
            <v>5300</v>
          </cell>
          <cell r="D70">
            <v>242305.4619367556</v>
          </cell>
        </row>
        <row r="71">
          <cell r="A71">
            <v>35674</v>
          </cell>
          <cell r="B71">
            <v>5861</v>
          </cell>
          <cell r="C71">
            <v>5328.181818181818</v>
          </cell>
          <cell r="D71">
            <v>241578.54555094533</v>
          </cell>
        </row>
        <row r="72">
          <cell r="A72">
            <v>35704</v>
          </cell>
          <cell r="B72">
            <v>5887</v>
          </cell>
          <cell r="C72">
            <v>5351.8181818181811</v>
          </cell>
          <cell r="D72">
            <v>242061.70264204722</v>
          </cell>
        </row>
        <row r="73">
          <cell r="A73">
            <v>35735</v>
          </cell>
          <cell r="B73">
            <v>5919</v>
          </cell>
          <cell r="C73">
            <v>5380.9090909090901</v>
          </cell>
          <cell r="D73">
            <v>243514.07285789947</v>
          </cell>
        </row>
        <row r="74">
          <cell r="A74">
            <v>35765</v>
          </cell>
          <cell r="B74">
            <v>5960</v>
          </cell>
          <cell r="C74">
            <v>5418.181818181818</v>
          </cell>
          <cell r="D74">
            <v>245949.21358647847</v>
          </cell>
        </row>
        <row r="75">
          <cell r="A75">
            <v>35796</v>
          </cell>
          <cell r="B75">
            <v>6026</v>
          </cell>
          <cell r="C75">
            <v>5478.181818181818</v>
          </cell>
          <cell r="D75">
            <v>249638.45179027563</v>
          </cell>
        </row>
        <row r="76">
          <cell r="A76">
            <v>35827</v>
          </cell>
          <cell r="B76">
            <v>6072</v>
          </cell>
          <cell r="C76">
            <v>5520</v>
          </cell>
          <cell r="D76">
            <v>251885.19785638814</v>
          </cell>
        </row>
        <row r="77">
          <cell r="A77">
            <v>35855</v>
          </cell>
          <cell r="B77">
            <v>6108</v>
          </cell>
          <cell r="C77">
            <v>5552.7272727272721</v>
          </cell>
          <cell r="D77">
            <v>253396.50904352646</v>
          </cell>
        </row>
        <row r="78">
          <cell r="A78">
            <v>35886</v>
          </cell>
          <cell r="B78">
            <v>6134</v>
          </cell>
          <cell r="C78">
            <v>5576.363636363636</v>
          </cell>
          <cell r="D78">
            <v>254410.09507970058</v>
          </cell>
        </row>
        <row r="79">
          <cell r="A79">
            <v>35916</v>
          </cell>
          <cell r="B79">
            <v>6164</v>
          </cell>
          <cell r="C79">
            <v>5603.6363636363631</v>
          </cell>
          <cell r="D79">
            <v>255682.14555509909</v>
          </cell>
        </row>
        <row r="80">
          <cell r="A80">
            <v>35947</v>
          </cell>
          <cell r="B80">
            <v>6200</v>
          </cell>
          <cell r="C80">
            <v>5636.363636363636</v>
          </cell>
          <cell r="D80">
            <v>255937.82770065419</v>
          </cell>
        </row>
        <row r="81">
          <cell r="A81">
            <v>35977</v>
          </cell>
          <cell r="B81">
            <v>6241</v>
          </cell>
          <cell r="C81">
            <v>5673.6363636363631</v>
          </cell>
          <cell r="D81">
            <v>256449.70335605551</v>
          </cell>
        </row>
        <row r="82">
          <cell r="A82">
            <v>36008</v>
          </cell>
          <cell r="B82">
            <v>9330.1</v>
          </cell>
          <cell r="C82">
            <v>8481.9090909090901</v>
          </cell>
          <cell r="D82">
            <v>265938.34238022956</v>
          </cell>
        </row>
        <row r="83">
          <cell r="A83">
            <v>36039</v>
          </cell>
          <cell r="B83">
            <v>15905.6</v>
          </cell>
          <cell r="C83">
            <v>14459.636363636362</v>
          </cell>
          <cell r="D83">
            <v>368058.66585423774</v>
          </cell>
        </row>
        <row r="84">
          <cell r="A84">
            <v>36069</v>
          </cell>
          <cell r="B84">
            <v>16010</v>
          </cell>
          <cell r="C84">
            <v>14554.545454545454</v>
          </cell>
          <cell r="D84">
            <v>384621.3058176784</v>
          </cell>
        </row>
        <row r="85">
          <cell r="A85">
            <v>36100</v>
          </cell>
          <cell r="B85">
            <v>17880.00029</v>
          </cell>
          <cell r="C85">
            <v>16254.545718181816</v>
          </cell>
          <cell r="D85">
            <v>406544.7202492861</v>
          </cell>
        </row>
        <row r="86">
          <cell r="A86">
            <v>36130</v>
          </cell>
          <cell r="B86">
            <v>20649.999229999998</v>
          </cell>
          <cell r="C86">
            <v>18772.726572727268</v>
          </cell>
          <cell r="D86">
            <v>453703.90779820323</v>
          </cell>
        </row>
        <row r="87">
          <cell r="A87">
            <v>36161</v>
          </cell>
          <cell r="B87">
            <v>22599.999779999998</v>
          </cell>
          <cell r="C87">
            <v>20545.454345454542</v>
          </cell>
          <cell r="D87">
            <v>491815.03605325229</v>
          </cell>
        </row>
        <row r="88">
          <cell r="A88">
            <v>36192</v>
          </cell>
          <cell r="B88">
            <v>22860.000410000001</v>
          </cell>
          <cell r="C88">
            <v>20781.818554545454</v>
          </cell>
          <cell r="D88">
            <v>511979.45253143564</v>
          </cell>
        </row>
        <row r="89">
          <cell r="A89">
            <v>36220</v>
          </cell>
          <cell r="B89">
            <v>24180.00014</v>
          </cell>
          <cell r="C89">
            <v>21981.818309090908</v>
          </cell>
          <cell r="D89">
            <v>526314.87720231584</v>
          </cell>
        </row>
        <row r="90">
          <cell r="A90">
            <v>36251</v>
          </cell>
          <cell r="B90">
            <v>24229.999939999998</v>
          </cell>
          <cell r="C90">
            <v>22027.272672727267</v>
          </cell>
          <cell r="D90">
            <v>542104.3235183853</v>
          </cell>
        </row>
        <row r="91">
          <cell r="A91">
            <v>36281</v>
          </cell>
          <cell r="B91">
            <v>24440</v>
          </cell>
          <cell r="C91">
            <v>22218.181818181816</v>
          </cell>
          <cell r="D91">
            <v>554030.61863578972</v>
          </cell>
        </row>
        <row r="92">
          <cell r="A92">
            <v>36312</v>
          </cell>
          <cell r="B92">
            <v>24283</v>
          </cell>
          <cell r="C92">
            <v>22075.454545454544</v>
          </cell>
          <cell r="D92">
            <v>564557.20038986974</v>
          </cell>
        </row>
        <row r="93">
          <cell r="A93">
            <v>36342</v>
          </cell>
          <cell r="B93">
            <v>24306.1</v>
          </cell>
          <cell r="C93">
            <v>22096.454545454544</v>
          </cell>
          <cell r="D93">
            <v>580364.80200078606</v>
          </cell>
        </row>
        <row r="94">
          <cell r="A94">
            <v>36373</v>
          </cell>
          <cell r="B94">
            <v>24750</v>
          </cell>
          <cell r="C94">
            <v>22500</v>
          </cell>
          <cell r="D94">
            <v>587329.17962479556</v>
          </cell>
        </row>
        <row r="95">
          <cell r="A95">
            <v>36404</v>
          </cell>
          <cell r="B95">
            <v>25080</v>
          </cell>
          <cell r="C95">
            <v>22799.999999999996</v>
          </cell>
          <cell r="D95">
            <v>596139.11731916748</v>
          </cell>
        </row>
        <row r="96">
          <cell r="A96">
            <v>36434</v>
          </cell>
          <cell r="B96">
            <v>26050</v>
          </cell>
          <cell r="C96">
            <v>23681.81818181818</v>
          </cell>
          <cell r="D96">
            <v>604485.06496163586</v>
          </cell>
        </row>
        <row r="97">
          <cell r="A97">
            <v>36465</v>
          </cell>
          <cell r="B97">
            <v>26420</v>
          </cell>
          <cell r="C97">
            <v>24018.181818181816</v>
          </cell>
          <cell r="D97">
            <v>611738.8857411755</v>
          </cell>
        </row>
        <row r="98">
          <cell r="A98">
            <v>36495</v>
          </cell>
          <cell r="B98">
            <v>27000</v>
          </cell>
          <cell r="C98">
            <v>24545.454545454544</v>
          </cell>
          <cell r="D98">
            <v>619691.49125581083</v>
          </cell>
        </row>
        <row r="99">
          <cell r="A99">
            <v>36526</v>
          </cell>
          <cell r="B99">
            <v>28550</v>
          </cell>
          <cell r="C99">
            <v>25954.545454545452</v>
          </cell>
          <cell r="D99">
            <v>633944.39555469446</v>
          </cell>
        </row>
        <row r="100">
          <cell r="A100">
            <v>36557</v>
          </cell>
          <cell r="B100">
            <v>28660</v>
          </cell>
          <cell r="C100">
            <v>26054.545454545452</v>
          </cell>
          <cell r="D100">
            <v>640283.83951024141</v>
          </cell>
        </row>
        <row r="101">
          <cell r="A101">
            <v>36586</v>
          </cell>
          <cell r="B101">
            <v>28460</v>
          </cell>
          <cell r="C101">
            <v>25872.727272727272</v>
          </cell>
          <cell r="D101">
            <v>644125.54254730279</v>
          </cell>
        </row>
        <row r="102">
          <cell r="A102">
            <v>36617</v>
          </cell>
          <cell r="B102">
            <v>28400</v>
          </cell>
          <cell r="C102">
            <v>25818.181818181816</v>
          </cell>
          <cell r="D102">
            <v>649922.67243022856</v>
          </cell>
        </row>
        <row r="103">
          <cell r="A103">
            <v>36647</v>
          </cell>
          <cell r="B103">
            <v>28250</v>
          </cell>
          <cell r="C103">
            <v>25681.81818181818</v>
          </cell>
          <cell r="D103">
            <v>661621.28053397266</v>
          </cell>
        </row>
        <row r="104">
          <cell r="A104">
            <v>36678</v>
          </cell>
          <cell r="B104">
            <v>28070</v>
          </cell>
          <cell r="C104">
            <v>25518.181818181816</v>
          </cell>
          <cell r="D104">
            <v>678823.43382785586</v>
          </cell>
        </row>
        <row r="105">
          <cell r="A105">
            <v>36708</v>
          </cell>
          <cell r="B105">
            <v>27800</v>
          </cell>
          <cell r="C105">
            <v>25272.727272727272</v>
          </cell>
          <cell r="D105">
            <v>691042.25563675736</v>
          </cell>
        </row>
        <row r="106">
          <cell r="A106">
            <v>36739</v>
          </cell>
          <cell r="B106">
            <v>27750</v>
          </cell>
          <cell r="C106">
            <v>25227.272727272724</v>
          </cell>
          <cell r="D106">
            <v>697952.67819312494</v>
          </cell>
        </row>
        <row r="107">
          <cell r="A107">
            <v>36770</v>
          </cell>
          <cell r="B107">
            <v>27750</v>
          </cell>
          <cell r="C107">
            <v>25227.272727272724</v>
          </cell>
          <cell r="D107">
            <v>707026.06300963555</v>
          </cell>
        </row>
        <row r="108">
          <cell r="A108">
            <v>36800</v>
          </cell>
          <cell r="B108">
            <v>27830</v>
          </cell>
          <cell r="C108">
            <v>25299.999999999996</v>
          </cell>
          <cell r="D108">
            <v>721873.61033283779</v>
          </cell>
        </row>
        <row r="109">
          <cell r="A109">
            <v>36831</v>
          </cell>
          <cell r="B109">
            <v>27850</v>
          </cell>
          <cell r="C109">
            <v>25318.181818181816</v>
          </cell>
          <cell r="D109">
            <v>732701.71448783041</v>
          </cell>
        </row>
        <row r="110">
          <cell r="A110">
            <v>36861</v>
          </cell>
          <cell r="B110">
            <v>28160</v>
          </cell>
          <cell r="C110">
            <v>25599.999999999996</v>
          </cell>
          <cell r="D110">
            <v>744424.94191963563</v>
          </cell>
        </row>
        <row r="111">
          <cell r="A111">
            <v>36892</v>
          </cell>
          <cell r="B111">
            <v>28370</v>
          </cell>
          <cell r="C111">
            <v>25790.909090909088</v>
          </cell>
          <cell r="D111">
            <v>765268.84029338544</v>
          </cell>
        </row>
        <row r="112">
          <cell r="A112">
            <v>36923</v>
          </cell>
          <cell r="B112">
            <v>28720</v>
          </cell>
          <cell r="C112">
            <v>26109.090909090908</v>
          </cell>
          <cell r="D112">
            <v>782870.02362013329</v>
          </cell>
        </row>
        <row r="113">
          <cell r="A113">
            <v>36951</v>
          </cell>
          <cell r="B113">
            <v>28740</v>
          </cell>
          <cell r="C113">
            <v>26127.272727272724</v>
          </cell>
          <cell r="D113">
            <v>797744.5540689159</v>
          </cell>
        </row>
        <row r="114">
          <cell r="A114">
            <v>36982</v>
          </cell>
          <cell r="B114">
            <v>28830</v>
          </cell>
          <cell r="C114">
            <v>26209.090909090908</v>
          </cell>
          <cell r="D114">
            <v>812103.95604215632</v>
          </cell>
        </row>
        <row r="115">
          <cell r="A115">
            <v>37012</v>
          </cell>
          <cell r="B115">
            <v>29090</v>
          </cell>
          <cell r="C115">
            <v>26445.454545454544</v>
          </cell>
          <cell r="D115">
            <v>826721.82725091511</v>
          </cell>
        </row>
        <row r="116">
          <cell r="A116">
            <v>37043</v>
          </cell>
          <cell r="B116">
            <v>29070</v>
          </cell>
          <cell r="C116">
            <v>26427.272727272724</v>
          </cell>
          <cell r="D116">
            <v>839949.3764869296</v>
          </cell>
        </row>
        <row r="117">
          <cell r="A117">
            <v>37073</v>
          </cell>
          <cell r="B117">
            <v>29270</v>
          </cell>
          <cell r="C117">
            <v>26609.090909090908</v>
          </cell>
          <cell r="D117">
            <v>844149.1233693643</v>
          </cell>
        </row>
        <row r="118">
          <cell r="A118">
            <v>37104</v>
          </cell>
          <cell r="B118">
            <v>29370</v>
          </cell>
          <cell r="C118">
            <v>26699.999999999996</v>
          </cell>
          <cell r="D118">
            <v>844149.1233693643</v>
          </cell>
        </row>
        <row r="119">
          <cell r="A119">
            <v>37135</v>
          </cell>
          <cell r="B119">
            <v>29390</v>
          </cell>
          <cell r="C119">
            <v>26718.181818181816</v>
          </cell>
          <cell r="D119">
            <v>849214.01810958039</v>
          </cell>
        </row>
        <row r="120">
          <cell r="A120">
            <v>37165</v>
          </cell>
          <cell r="B120">
            <v>29700</v>
          </cell>
          <cell r="C120">
            <v>26999.999999999996</v>
          </cell>
          <cell r="D120">
            <v>858555.37230878579</v>
          </cell>
        </row>
        <row r="121">
          <cell r="A121">
            <v>37196</v>
          </cell>
          <cell r="B121">
            <v>29900</v>
          </cell>
          <cell r="C121">
            <v>27181.81818181818</v>
          </cell>
          <cell r="D121">
            <v>870575.14752110885</v>
          </cell>
        </row>
        <row r="122">
          <cell r="A122">
            <v>37226</v>
          </cell>
          <cell r="B122">
            <v>30140</v>
          </cell>
          <cell r="C122">
            <v>27399.999999999996</v>
          </cell>
          <cell r="D122">
            <v>884504.34988144645</v>
          </cell>
        </row>
        <row r="123">
          <cell r="A123">
            <v>37257</v>
          </cell>
          <cell r="B123">
            <v>30685</v>
          </cell>
          <cell r="C123">
            <v>27895.454545454544</v>
          </cell>
          <cell r="D123">
            <v>911923.98472777125</v>
          </cell>
        </row>
        <row r="124">
          <cell r="A124">
            <v>37288</v>
          </cell>
          <cell r="B124">
            <v>30927</v>
          </cell>
          <cell r="C124">
            <v>28115.454545454544</v>
          </cell>
          <cell r="D124">
            <v>922867.07254450454</v>
          </cell>
        </row>
        <row r="125">
          <cell r="A125">
            <v>37316</v>
          </cell>
          <cell r="B125">
            <v>31119</v>
          </cell>
          <cell r="C125">
            <v>28289.999999999996</v>
          </cell>
          <cell r="D125">
            <v>933018.6103424941</v>
          </cell>
        </row>
        <row r="126">
          <cell r="A126">
            <v>37347</v>
          </cell>
          <cell r="B126">
            <v>31196</v>
          </cell>
          <cell r="C126">
            <v>28359.999999999996</v>
          </cell>
          <cell r="D126">
            <v>944214.83366660401</v>
          </cell>
        </row>
        <row r="127">
          <cell r="A127">
            <v>37377</v>
          </cell>
          <cell r="B127">
            <v>31307</v>
          </cell>
          <cell r="C127">
            <v>28460.909090909088</v>
          </cell>
          <cell r="D127">
            <v>960266.48583893629</v>
          </cell>
        </row>
        <row r="128">
          <cell r="A128">
            <v>37408</v>
          </cell>
          <cell r="B128">
            <v>31447</v>
          </cell>
          <cell r="C128">
            <v>28588.181818181816</v>
          </cell>
          <cell r="D128">
            <v>965067.818268131</v>
          </cell>
        </row>
        <row r="129">
          <cell r="A129">
            <v>37438</v>
          </cell>
          <cell r="B129">
            <v>31440</v>
          </cell>
          <cell r="C129">
            <v>28581.81818181818</v>
          </cell>
          <cell r="D129">
            <v>971823.29299600795</v>
          </cell>
        </row>
        <row r="130">
          <cell r="A130">
            <v>37469</v>
          </cell>
          <cell r="B130">
            <v>31567.30025</v>
          </cell>
          <cell r="C130">
            <v>28697.545681818181</v>
          </cell>
          <cell r="D130">
            <v>972795</v>
          </cell>
        </row>
        <row r="131">
          <cell r="A131">
            <v>37500</v>
          </cell>
          <cell r="B131">
            <v>31635.800309999999</v>
          </cell>
          <cell r="C131">
            <v>28759.818463636359</v>
          </cell>
          <cell r="D131">
            <v>976686</v>
          </cell>
        </row>
        <row r="132">
          <cell r="A132">
            <v>37530</v>
          </cell>
          <cell r="B132">
            <v>31740.799889999998</v>
          </cell>
          <cell r="C132">
            <v>28855.272627272723</v>
          </cell>
          <cell r="D132">
            <v>987430</v>
          </cell>
        </row>
        <row r="133">
          <cell r="A133">
            <v>37561</v>
          </cell>
          <cell r="B133">
            <v>31842.39935</v>
          </cell>
          <cell r="C133">
            <v>28947.63577272727</v>
          </cell>
          <cell r="D133">
            <v>1003229</v>
          </cell>
        </row>
        <row r="134">
          <cell r="A134">
            <v>37591</v>
          </cell>
          <cell r="B134">
            <v>31784.400249999999</v>
          </cell>
          <cell r="C134">
            <v>28894.909318181813</v>
          </cell>
          <cell r="D134">
            <v>1018277.4349999999</v>
          </cell>
        </row>
        <row r="135">
          <cell r="A135">
            <v>37622</v>
          </cell>
          <cell r="B135">
            <v>31822.2</v>
          </cell>
          <cell r="C135">
            <v>28929.272727272724</v>
          </cell>
          <cell r="D135">
            <v>1018277.4349999999</v>
          </cell>
        </row>
        <row r="136">
          <cell r="A136">
            <v>37653</v>
          </cell>
          <cell r="B136">
            <v>31576.2</v>
          </cell>
          <cell r="C136">
            <v>28705.63636363636</v>
          </cell>
          <cell r="D136">
            <v>1018277.4349999999</v>
          </cell>
        </row>
        <row r="137">
          <cell r="A137">
            <v>37681</v>
          </cell>
          <cell r="B137">
            <v>31380.5</v>
          </cell>
          <cell r="C137">
            <v>28527.727272727272</v>
          </cell>
          <cell r="D137">
            <v>1018277.4349999999</v>
          </cell>
        </row>
        <row r="138">
          <cell r="A138">
            <v>37712</v>
          </cell>
          <cell r="B138">
            <v>31100</v>
          </cell>
          <cell r="C138">
            <v>28272.727272727272</v>
          </cell>
          <cell r="D138">
            <v>1018277.4349999999</v>
          </cell>
        </row>
        <row r="139">
          <cell r="A139">
            <v>37742</v>
          </cell>
          <cell r="B139">
            <v>30709</v>
          </cell>
          <cell r="C139">
            <v>27917.272727272724</v>
          </cell>
          <cell r="D139">
            <v>1018277.4349999999</v>
          </cell>
        </row>
        <row r="140">
          <cell r="A140">
            <v>37773</v>
          </cell>
          <cell r="B140">
            <v>30348.3</v>
          </cell>
          <cell r="C140">
            <v>27589.363636363632</v>
          </cell>
          <cell r="D140">
            <v>1018277.4349999999</v>
          </cell>
        </row>
        <row r="141">
          <cell r="A141">
            <v>37803</v>
          </cell>
          <cell r="B141">
            <v>30259.599999999999</v>
          </cell>
          <cell r="C141">
            <v>27508.727272727268</v>
          </cell>
          <cell r="D141">
            <v>1018277.4349999999</v>
          </cell>
        </row>
        <row r="142">
          <cell r="A142">
            <v>37834</v>
          </cell>
          <cell r="B142">
            <v>30503.599999999999</v>
          </cell>
          <cell r="C142">
            <v>27730.545454545452</v>
          </cell>
          <cell r="D142">
            <v>1018277.4349999999</v>
          </cell>
        </row>
        <row r="143">
          <cell r="A143">
            <v>37865</v>
          </cell>
          <cell r="B143">
            <v>30611.9</v>
          </cell>
          <cell r="C143">
            <v>27829</v>
          </cell>
          <cell r="D143">
            <v>1018277.4349999999</v>
          </cell>
        </row>
        <row r="144">
          <cell r="A144">
            <v>37895</v>
          </cell>
          <cell r="B144">
            <v>29858.400000000001</v>
          </cell>
          <cell r="C144">
            <v>27144</v>
          </cell>
          <cell r="D144">
            <v>1018277.4349999999</v>
          </cell>
        </row>
        <row r="145">
          <cell r="A145">
            <v>37926</v>
          </cell>
          <cell r="B145">
            <v>29738.7</v>
          </cell>
          <cell r="C145">
            <v>27035.181818181816</v>
          </cell>
          <cell r="D145">
            <v>1018277.4349999999</v>
          </cell>
        </row>
        <row r="146">
          <cell r="A146">
            <v>37956</v>
          </cell>
          <cell r="B146">
            <v>29454.5</v>
          </cell>
          <cell r="C146">
            <v>26776.81818181818</v>
          </cell>
          <cell r="D146">
            <v>1018277.4349999999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nrol list"/>
      <sheetName val="SASA"/>
      <sheetName val="Metachem"/>
      <sheetName val="Analysis"/>
      <sheetName val="PFK"/>
      <sheetName val="Bucim"/>
      <sheetName val="DCF_Buchim_FA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nrol list"/>
      <sheetName val="SASA"/>
      <sheetName val="Analysis"/>
      <sheetName val="PFK"/>
      <sheetName val="DCF_Buchim_FA"/>
      <sheetName val="Metachim"/>
      <sheetName val="DCF_Total"/>
      <sheetName val="Производство удобрений"/>
      <sheetName val="Производство флюсов и цемента"/>
      <sheetName val="Производство серной кислоты"/>
      <sheetName val="Производство полифосфатов"/>
      <sheetName val="Производство Соды и Поташа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nrol list"/>
      <sheetName val="PFK"/>
      <sheetName val="Bucim"/>
      <sheetName val="SASA"/>
      <sheetName val="Metachim"/>
      <sheetName val="Others"/>
      <sheetName val="Total"/>
      <sheetName val="Analysis"/>
      <sheetName val="Balance KPMG"/>
      <sheetName val="P&amp;L (2006)"/>
      <sheetName val="Bucim, PFK, SASA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 (2)"/>
    </sheetNames>
    <sheetDataSet>
      <sheetData sheetId="0" refreshError="1">
        <row r="45">
          <cell r="B45">
            <v>70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nrol list"/>
      <sheetName val="Cash"/>
      <sheetName val="Main"/>
      <sheetName val="Mining&amp;Production Plan"/>
      <sheetName val="capex"/>
      <sheetName val="Direct"/>
      <sheetName val="Summary"/>
      <sheetName val="Labor"/>
      <sheetName val="ConsumablesInputs"/>
      <sheetName val="ReagentSummary"/>
      <sheetName val="Maintenance"/>
    </sheetNames>
    <sheetDataSet>
      <sheetData sheetId="0"/>
      <sheetData sheetId="1">
        <row r="28">
          <cell r="F28">
            <v>0</v>
          </cell>
        </row>
      </sheetData>
      <sheetData sheetId="2" refreshError="1"/>
      <sheetData sheetId="3"/>
      <sheetData sheetId="4"/>
      <sheetData sheetId="5">
        <row r="55">
          <cell r="L55">
            <v>23638896.577679202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Total"/>
      <sheetName val="Conrol list"/>
      <sheetName val="PFK+ZBG"/>
      <sheetName val="Bucim"/>
      <sheetName val="SASA"/>
      <sheetName val="Fenix Cash Flow Summary "/>
      <sheetName val="Fenix"/>
      <sheetName val="Indonesia Aquila"/>
      <sheetName val="Ore sales summary"/>
      <sheetName val="Indonesia Bahomoahi"/>
      <sheetName val="Indonesia Sorowalio"/>
      <sheetName val="Real Estate"/>
      <sheetName val="Total Chemical"/>
      <sheetName val="Metachem (3)"/>
      <sheetName val="Soda"/>
      <sheetName val="Commodities_prices"/>
    </sheetNames>
    <sheetDataSet>
      <sheetData sheetId="0" refreshError="1"/>
      <sheetData sheetId="1" refreshError="1"/>
      <sheetData sheetId="2" refreshError="1">
        <row r="32">
          <cell r="F3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GS"/>
      <sheetName val="Oper_analsysis"/>
      <sheetName val="Cost of packaging"/>
      <sheetName val="Cost of sweets"/>
      <sheetName val="Scenario drivers"/>
      <sheetName val="P&amp;L2"/>
      <sheetName val="P&amp;L"/>
      <sheetName val="Assumptions"/>
      <sheetName val="Model"/>
      <sheetName val="Analytica"/>
      <sheetName val="Analysis for banks"/>
      <sheetName val="Delta"/>
      <sheetName val="Inputs for scenario d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01">
          <cell r="AA101">
            <v>108</v>
          </cell>
        </row>
      </sheetData>
      <sheetData sheetId="11"/>
      <sheetData sheetId="1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"/>
      <sheetName val="YTD"/>
      <sheetName val="Summary1"/>
      <sheetName val="Total VDUK"/>
      <sheetName val="An-124"/>
      <sheetName val="Il-76"/>
      <sheetName val="SUB-AN124"/>
      <sheetName val="SUB-IL"/>
      <sheetName val="Cert"/>
      <sheetName val="Department"/>
      <sheetName val="totalpl"/>
      <sheetName val="Flights"/>
      <sheetName val="antonovpl"/>
      <sheetName val="ilpl"/>
      <sheetName val="Scheduled"/>
      <sheetName val="CHARTPL-AN"/>
      <sheetName val="CHARTERPL-IL"/>
      <sheetName val="certpl"/>
      <sheetName val="scheduledp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code</v>
          </cell>
          <cell r="D14" t="str">
            <v>JAN</v>
          </cell>
          <cell r="E14" t="str">
            <v>FEB</v>
          </cell>
          <cell r="F14" t="str">
            <v>MAR</v>
          </cell>
          <cell r="G14" t="str">
            <v>APR</v>
          </cell>
          <cell r="H14" t="str">
            <v>MAY</v>
          </cell>
          <cell r="I14" t="str">
            <v>JUNE</v>
          </cell>
          <cell r="J14" t="str">
            <v>JULY</v>
          </cell>
          <cell r="K14" t="str">
            <v>AUG</v>
          </cell>
          <cell r="L14" t="str">
            <v>SEPT</v>
          </cell>
          <cell r="M14" t="str">
            <v>OCT</v>
          </cell>
          <cell r="N14" t="str">
            <v>NOV</v>
          </cell>
          <cell r="O14" t="str">
            <v>DEC</v>
          </cell>
          <cell r="P14" t="str">
            <v>Y T D</v>
          </cell>
          <cell r="Q14" t="str">
            <v>YEAR</v>
          </cell>
          <cell r="R14" t="str">
            <v xml:space="preserve">  </v>
          </cell>
          <cell r="S14" t="str">
            <v>JAN</v>
          </cell>
          <cell r="T14" t="str">
            <v>FEB</v>
          </cell>
          <cell r="U14" t="str">
            <v>MAR</v>
          </cell>
          <cell r="V14" t="str">
            <v>APR</v>
          </cell>
          <cell r="W14" t="str">
            <v>MAY</v>
          </cell>
          <cell r="X14" t="str">
            <v>JUNE</v>
          </cell>
          <cell r="Y14" t="str">
            <v>JULY</v>
          </cell>
          <cell r="Z14" t="str">
            <v>AUG</v>
          </cell>
          <cell r="AA14" t="str">
            <v>SEPT</v>
          </cell>
          <cell r="AB14" t="str">
            <v>OCT</v>
          </cell>
          <cell r="AC14" t="str">
            <v>NOV</v>
          </cell>
          <cell r="AD14" t="str">
            <v>DEC</v>
          </cell>
          <cell r="AE14" t="str">
            <v>Y T D</v>
          </cell>
          <cell r="AG14" t="str">
            <v>F/c</v>
          </cell>
        </row>
        <row r="16">
          <cell r="C16" t="str">
            <v>y</v>
          </cell>
          <cell r="AE16">
            <v>0</v>
          </cell>
          <cell r="AG16">
            <v>0</v>
          </cell>
        </row>
        <row r="18">
          <cell r="C18" t="str">
            <v>code</v>
          </cell>
          <cell r="D18" t="str">
            <v>JAN</v>
          </cell>
          <cell r="E18" t="str">
            <v>FEB</v>
          </cell>
          <cell r="F18" t="str">
            <v>MAR</v>
          </cell>
          <cell r="G18" t="str">
            <v>APR</v>
          </cell>
          <cell r="H18" t="str">
            <v>MAY</v>
          </cell>
          <cell r="I18" t="str">
            <v>JUNE</v>
          </cell>
          <cell r="J18" t="str">
            <v>JULY</v>
          </cell>
          <cell r="K18" t="str">
            <v>AUG</v>
          </cell>
          <cell r="L18" t="str">
            <v>SEPT</v>
          </cell>
          <cell r="M18" t="str">
            <v>OCT</v>
          </cell>
          <cell r="N18" t="str">
            <v>NOV</v>
          </cell>
          <cell r="O18" t="str">
            <v>DEC</v>
          </cell>
          <cell r="P18" t="str">
            <v>Y T D</v>
          </cell>
          <cell r="Q18" t="str">
            <v>YEAR</v>
          </cell>
          <cell r="R18" t="str">
            <v xml:space="preserve">  </v>
          </cell>
          <cell r="S18" t="str">
            <v>JAN</v>
          </cell>
          <cell r="T18" t="str">
            <v>FEB</v>
          </cell>
          <cell r="U18" t="str">
            <v>MAR</v>
          </cell>
          <cell r="V18" t="str">
            <v>APR</v>
          </cell>
          <cell r="W18" t="str">
            <v>MAY</v>
          </cell>
          <cell r="X18" t="str">
            <v>JUNE</v>
          </cell>
          <cell r="Y18" t="str">
            <v>JULY</v>
          </cell>
          <cell r="Z18" t="str">
            <v>AUG</v>
          </cell>
          <cell r="AA18" t="str">
            <v>SEPT</v>
          </cell>
          <cell r="AB18" t="str">
            <v>OCT</v>
          </cell>
          <cell r="AC18" t="str">
            <v>NOV</v>
          </cell>
          <cell r="AD18" t="str">
            <v>DEC</v>
          </cell>
          <cell r="AE18" t="str">
            <v>Y T D</v>
          </cell>
          <cell r="AG18" t="str">
            <v>F/c</v>
          </cell>
        </row>
        <row r="20">
          <cell r="C20" t="str">
            <v>y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</sheetData>
      <sheetData sheetId="1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Adj"/>
      <sheetName val="A2"/>
      <sheetName val="A2_KGOK"/>
      <sheetName val="Accounts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Control"/>
      <sheetName val="Scenarios"/>
      <sheetName val="Production Investment"/>
      <sheetName val="Production Costs"/>
      <sheetName val="Marketing and Admin"/>
      <sheetName val="Financing"/>
      <sheetName val="Reports"/>
      <sheetName val="WACC"/>
      <sheetName val="Output"/>
      <sheetName val="1470 Tables"/>
      <sheetName val="Additional Graphs"/>
      <sheetName val="Sensitivity"/>
      <sheetName val="BP Forms"/>
    </sheetNames>
    <sheetDataSet>
      <sheetData sheetId="0" refreshError="1"/>
      <sheetData sheetId="1" refreshError="1"/>
      <sheetData sheetId="2" refreshError="1">
        <row r="24">
          <cell r="K24">
            <v>28.5</v>
          </cell>
        </row>
        <row r="25">
          <cell r="K25">
            <v>0.01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4"/>
      <sheetName val="31.12.2003"/>
      <sheetName val="Accounts"/>
      <sheetName val="2004 (2)"/>
      <sheetName val="Info"/>
      <sheetName val="Grouplist"/>
      <sheetName val="Control"/>
      <sheetName val="A1"/>
      <sheetName val="A2"/>
      <sheetName val="A3"/>
      <sheetName val="A4"/>
      <sheetName val="A5"/>
      <sheetName val="A6"/>
      <sheetName val="O1"/>
      <sheetName val="O2"/>
      <sheetName val="O3"/>
      <sheetName val="O4"/>
      <sheetName val="K1"/>
      <sheetName val="K2"/>
      <sheetName val="P1"/>
      <sheetName val="P2"/>
      <sheetName val="P3"/>
      <sheetName val="C1"/>
      <sheetName val="C2"/>
      <sheetName val="C3"/>
      <sheetName val="C4"/>
      <sheetName val="C5"/>
      <sheetName val="C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ER1001</v>
          </cell>
          <cell r="B2" t="str">
            <v>ОАО Евразруда</v>
          </cell>
          <cell r="D2" t="str">
            <v>ER1001</v>
          </cell>
        </row>
        <row r="3">
          <cell r="A3" t="str">
            <v>ER1002</v>
          </cell>
          <cell r="B3" t="str">
            <v>ООО Альфа Сервис Клаб</v>
          </cell>
          <cell r="D3" t="str">
            <v>ER1002</v>
          </cell>
        </row>
        <row r="4">
          <cell r="A4" t="str">
            <v>ER1003</v>
          </cell>
          <cell r="B4" t="str">
            <v>ООО Кузнецкий ГОК</v>
          </cell>
          <cell r="D4" t="str">
            <v>ER1003</v>
          </cell>
        </row>
        <row r="5">
          <cell r="A5" t="str">
            <v>ER1004</v>
          </cell>
          <cell r="B5" t="str">
            <v>ООО Гурьевский рудник</v>
          </cell>
          <cell r="D5" t="str">
            <v>ER1004</v>
          </cell>
        </row>
        <row r="6">
          <cell r="A6" t="str">
            <v>ER1005</v>
          </cell>
          <cell r="B6" t="str">
            <v>ЗАО Тейский рудник</v>
          </cell>
          <cell r="D6" t="str">
            <v>ER1005</v>
          </cell>
        </row>
        <row r="7">
          <cell r="A7" t="str">
            <v>ER1006</v>
          </cell>
          <cell r="B7" t="str">
            <v>ЗАО Рудник Теи</v>
          </cell>
          <cell r="D7" t="str">
            <v>ER1006</v>
          </cell>
        </row>
        <row r="8">
          <cell r="A8" t="str">
            <v>ER1007</v>
          </cell>
          <cell r="B8" t="str">
            <v>ООО Тейские Энергосети</v>
          </cell>
          <cell r="D8" t="str">
            <v>ER1007</v>
          </cell>
        </row>
        <row r="9">
          <cell r="A9" t="str">
            <v>ER1008</v>
          </cell>
          <cell r="B9" t="str">
            <v>ООО Ирбинские энергосети</v>
          </cell>
          <cell r="D9" t="str">
            <v>ER1008</v>
          </cell>
        </row>
        <row r="10">
          <cell r="A10" t="str">
            <v>ER1009</v>
          </cell>
          <cell r="B10" t="str">
            <v>ООО Ирбинский хлебозавод</v>
          </cell>
          <cell r="D10" t="str">
            <v>ER1009</v>
          </cell>
        </row>
        <row r="11">
          <cell r="A11" t="str">
            <v>ER1010</v>
          </cell>
          <cell r="B11" t="str">
            <v>ООО ОРС Ирбинского РУ</v>
          </cell>
          <cell r="D11" t="str">
            <v>ER1010</v>
          </cell>
        </row>
        <row r="12">
          <cell r="A12" t="str">
            <v>ER1011</v>
          </cell>
          <cell r="B12" t="str">
            <v>ООО Шория</v>
          </cell>
          <cell r="D12" t="str">
            <v>ER1011</v>
          </cell>
        </row>
        <row r="13">
          <cell r="A13" t="str">
            <v>ER1012</v>
          </cell>
          <cell r="B13" t="str">
            <v>ООО Шерегеш-Энерго</v>
          </cell>
          <cell r="D13" t="str">
            <v>ER1012</v>
          </cell>
        </row>
        <row r="14">
          <cell r="A14" t="str">
            <v>ER1013</v>
          </cell>
          <cell r="B14" t="str">
            <v>Шория-Тур-Союз</v>
          </cell>
          <cell r="D14" t="str">
            <v>ER1013</v>
          </cell>
        </row>
        <row r="15">
          <cell r="A15" t="str">
            <v>ER1014</v>
          </cell>
          <cell r="B15" t="str">
            <v>ООО Компаньон</v>
          </cell>
          <cell r="D15" t="str">
            <v>ER1014</v>
          </cell>
        </row>
        <row r="16">
          <cell r="A16" t="str">
            <v>ER1015</v>
          </cell>
          <cell r="B16" t="str">
            <v>ОАО Санаторий Алтай-Вест</v>
          </cell>
          <cell r="D16" t="str">
            <v>ER1015</v>
          </cell>
        </row>
        <row r="17">
          <cell r="A17" t="str">
            <v>ER1016</v>
          </cell>
          <cell r="B17" t="str">
            <v>ООО Тейский ГОК</v>
          </cell>
          <cell r="D17" t="str">
            <v>ER1016</v>
          </cell>
        </row>
        <row r="18">
          <cell r="A18" t="str">
            <v>ER1017</v>
          </cell>
          <cell r="B18" t="str">
            <v>Прочие дочерние компании ОАО Евразруда</v>
          </cell>
          <cell r="D18" t="str">
            <v>ER1017</v>
          </cell>
        </row>
        <row r="19">
          <cell r="A19" t="str">
            <v>ER1018</v>
          </cell>
          <cell r="B19" t="str">
            <v>Прочие зависимые компании ОАО Евразруда</v>
          </cell>
          <cell r="D19" t="str">
            <v>ER1018</v>
          </cell>
        </row>
        <row r="20">
          <cell r="A20" t="str">
            <v>ER1019</v>
          </cell>
          <cell r="B20" t="str">
            <v>Прочие компании группы Евразхолдинг</v>
          </cell>
          <cell r="D20" t="str">
            <v>ER1019</v>
          </cell>
        </row>
        <row r="21">
          <cell r="A21" t="str">
            <v>ER1020</v>
          </cell>
          <cell r="B21" t="str">
            <v>ЗАО Казский рудник</v>
          </cell>
          <cell r="D21" t="str">
            <v>ER1020</v>
          </cell>
        </row>
        <row r="22">
          <cell r="A22" t="str">
            <v>ER1021</v>
          </cell>
          <cell r="B22" t="str">
            <v>ЗАО Казское рудоуправление</v>
          </cell>
          <cell r="D22" t="str">
            <v>ER1021</v>
          </cell>
        </row>
        <row r="23">
          <cell r="A23" t="str">
            <v>ER1022</v>
          </cell>
          <cell r="B23" t="str">
            <v>ООО Темирский рудник</v>
          </cell>
          <cell r="D23" t="str">
            <v>ER1022</v>
          </cell>
        </row>
        <row r="24">
          <cell r="A24" t="str">
            <v>ER1023</v>
          </cell>
          <cell r="B24" t="str">
            <v>ООО Мундыбашская ОФ</v>
          </cell>
          <cell r="D24" t="str">
            <v>ER1023</v>
          </cell>
        </row>
        <row r="25">
          <cell r="A25" t="str">
            <v>ER1024</v>
          </cell>
          <cell r="B25" t="str">
            <v>ООО Абаканское РУ</v>
          </cell>
          <cell r="D25" t="str">
            <v>ER1024</v>
          </cell>
        </row>
        <row r="26">
          <cell r="A26" t="str">
            <v>ER1025</v>
          </cell>
          <cell r="D26" t="str">
            <v>ER1025</v>
          </cell>
        </row>
        <row r="27">
          <cell r="A27" t="str">
            <v>ER1026</v>
          </cell>
          <cell r="D27" t="str">
            <v>ER1026</v>
          </cell>
        </row>
        <row r="28">
          <cell r="A28" t="str">
            <v>ER1027</v>
          </cell>
          <cell r="D28" t="str">
            <v>ER1027</v>
          </cell>
        </row>
        <row r="29">
          <cell r="A29" t="str">
            <v>ER1028</v>
          </cell>
          <cell r="D29" t="str">
            <v>ER1028</v>
          </cell>
        </row>
        <row r="30">
          <cell r="A30" t="str">
            <v>ER1029</v>
          </cell>
          <cell r="B30" t="str">
            <v>`</v>
          </cell>
          <cell r="D30" t="str">
            <v>ER1029</v>
          </cell>
        </row>
        <row r="31">
          <cell r="A31" t="str">
            <v>ER1030</v>
          </cell>
          <cell r="D31" t="str">
            <v>ER1030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0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0</v>
          </cell>
        </row>
        <row r="38">
          <cell r="D38">
            <v>0</v>
          </cell>
        </row>
        <row r="39">
          <cell r="D39">
            <v>0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  <row r="45">
          <cell r="D45">
            <v>0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0</v>
          </cell>
        </row>
        <row r="49">
          <cell r="D49">
            <v>0</v>
          </cell>
        </row>
        <row r="50">
          <cell r="D50">
            <v>0</v>
          </cell>
        </row>
        <row r="51">
          <cell r="D51">
            <v>0</v>
          </cell>
        </row>
        <row r="52">
          <cell r="D52">
            <v>0</v>
          </cell>
        </row>
        <row r="53">
          <cell r="D53">
            <v>0</v>
          </cell>
        </row>
        <row r="54">
          <cell r="D54">
            <v>0</v>
          </cell>
        </row>
        <row r="55">
          <cell r="D55">
            <v>0</v>
          </cell>
        </row>
        <row r="56">
          <cell r="D56">
            <v>0</v>
          </cell>
        </row>
        <row r="57">
          <cell r="D57">
            <v>0</v>
          </cell>
        </row>
        <row r="58">
          <cell r="D58">
            <v>0</v>
          </cell>
        </row>
        <row r="59">
          <cell r="D59">
            <v>0</v>
          </cell>
        </row>
        <row r="60">
          <cell r="D60">
            <v>0</v>
          </cell>
        </row>
        <row r="61">
          <cell r="D61">
            <v>0</v>
          </cell>
        </row>
        <row r="62">
          <cell r="D62">
            <v>0</v>
          </cell>
        </row>
        <row r="63">
          <cell r="D63">
            <v>0</v>
          </cell>
        </row>
        <row r="64">
          <cell r="D64">
            <v>0</v>
          </cell>
        </row>
        <row r="65">
          <cell r="D65">
            <v>0</v>
          </cell>
        </row>
        <row r="66">
          <cell r="D66">
            <v>0</v>
          </cell>
        </row>
        <row r="67">
          <cell r="D67">
            <v>0</v>
          </cell>
        </row>
        <row r="68">
          <cell r="D68">
            <v>0</v>
          </cell>
        </row>
        <row r="69">
          <cell r="D69">
            <v>0</v>
          </cell>
        </row>
        <row r="70">
          <cell r="D70">
            <v>0</v>
          </cell>
        </row>
        <row r="71">
          <cell r="D71">
            <v>0</v>
          </cell>
        </row>
        <row r="72">
          <cell r="D72">
            <v>0</v>
          </cell>
        </row>
        <row r="73">
          <cell r="D73">
            <v>0</v>
          </cell>
        </row>
        <row r="74">
          <cell r="D74">
            <v>0</v>
          </cell>
        </row>
        <row r="75">
          <cell r="D75">
            <v>0</v>
          </cell>
        </row>
        <row r="76">
          <cell r="D76">
            <v>0</v>
          </cell>
        </row>
        <row r="77">
          <cell r="D77">
            <v>0</v>
          </cell>
        </row>
        <row r="78">
          <cell r="D78">
            <v>0</v>
          </cell>
        </row>
        <row r="79">
          <cell r="D79">
            <v>0</v>
          </cell>
        </row>
        <row r="80">
          <cell r="D80">
            <v>0</v>
          </cell>
        </row>
        <row r="81">
          <cell r="D81">
            <v>0</v>
          </cell>
        </row>
        <row r="82">
          <cell r="D82">
            <v>0</v>
          </cell>
        </row>
        <row r="83">
          <cell r="D83">
            <v>0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"/>
      <sheetName val="procure-Equip"/>
      <sheetName val="procure-Contracts"/>
      <sheetName val="expedite"/>
      <sheetName val="Pkgs"/>
      <sheetName val="inspect"/>
      <sheetName val="procchart"/>
      <sheetName val="expedchart"/>
      <sheetName val="Sheet1"/>
      <sheetName val="inspectchart"/>
      <sheetName val="procure-Mining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sdsummary"/>
      <sheetName val="freight"/>
      <sheetName val="rechg"/>
      <sheetName val="commis"/>
      <sheetName val="charter"/>
      <sheetName val="fuel"/>
      <sheetName val="park"/>
      <sheetName val="oil"/>
      <sheetName val="land"/>
      <sheetName val="hand"/>
      <sheetName val="navig"/>
      <sheetName val="drc"/>
      <sheetName val="CABOT"/>
      <sheetName val="plan"/>
      <sheetName val="trfag"/>
      <sheetName val="royal"/>
      <sheetName val="visas"/>
      <sheetName val="warins"/>
      <sheetName val="allow"/>
      <sheetName val="hotac"/>
      <sheetName val="posit"/>
      <sheetName val="cater"/>
      <sheetName val="phone"/>
      <sheetName val="ACCRUAL"/>
      <sheetName val="DEFER"/>
      <sheetName val="journals"/>
      <sheetName val="APR03dloads"/>
    </sheetNames>
    <sheetDataSet>
      <sheetData sheetId="0" refreshError="1">
        <row r="1">
          <cell r="A1" t="str">
            <v>JOB0500</v>
          </cell>
        </row>
        <row r="2">
          <cell r="A2" t="str">
            <v>JOB0522</v>
          </cell>
        </row>
        <row r="3">
          <cell r="A3" t="str">
            <v>JOB0573</v>
          </cell>
        </row>
        <row r="4">
          <cell r="A4" t="str">
            <v>JOB0575</v>
          </cell>
        </row>
        <row r="5">
          <cell r="A5" t="str">
            <v>JOB0579</v>
          </cell>
        </row>
        <row r="6">
          <cell r="A6" t="str">
            <v>JOB0580</v>
          </cell>
        </row>
        <row r="7">
          <cell r="A7" t="str">
            <v>JOB0581</v>
          </cell>
        </row>
        <row r="8">
          <cell r="A8" t="str">
            <v>JOB0582</v>
          </cell>
        </row>
        <row r="9">
          <cell r="A9" t="str">
            <v>JOB0583</v>
          </cell>
        </row>
        <row r="10">
          <cell r="A10" t="str">
            <v>JOB0584</v>
          </cell>
        </row>
        <row r="11">
          <cell r="A11" t="str">
            <v>JOB0585</v>
          </cell>
        </row>
        <row r="12">
          <cell r="A12" t="str">
            <v>JOB0588</v>
          </cell>
        </row>
        <row r="13">
          <cell r="A13" t="str">
            <v>JOB0594</v>
          </cell>
        </row>
        <row r="14">
          <cell r="A14" t="str">
            <v>JOB0595</v>
          </cell>
        </row>
        <row r="15">
          <cell r="A15" t="str">
            <v>JOB0596</v>
          </cell>
        </row>
        <row r="16">
          <cell r="A16" t="str">
            <v>JOB0597</v>
          </cell>
        </row>
        <row r="17">
          <cell r="A17" t="str">
            <v>JOB0598</v>
          </cell>
        </row>
        <row r="18">
          <cell r="A18" t="str">
            <v>JOB0599</v>
          </cell>
        </row>
        <row r="19">
          <cell r="A19" t="str">
            <v>JOB0600</v>
          </cell>
        </row>
        <row r="20">
          <cell r="A20" t="str">
            <v>JOB0601</v>
          </cell>
        </row>
        <row r="21">
          <cell r="A21" t="str">
            <v>JOB0602</v>
          </cell>
        </row>
        <row r="22">
          <cell r="A22" t="str">
            <v>JOB0603</v>
          </cell>
        </row>
        <row r="23">
          <cell r="A23" t="str">
            <v>JOB0604</v>
          </cell>
        </row>
        <row r="24">
          <cell r="A24" t="str">
            <v>JOB0605</v>
          </cell>
        </row>
        <row r="25">
          <cell r="A25" t="str">
            <v>JOB0606</v>
          </cell>
        </row>
        <row r="26">
          <cell r="A26" t="str">
            <v>JOB0607</v>
          </cell>
        </row>
        <row r="27">
          <cell r="A27" t="str">
            <v>JOB0611</v>
          </cell>
        </row>
        <row r="28">
          <cell r="A28" t="str">
            <v>JOB0612</v>
          </cell>
        </row>
        <row r="29">
          <cell r="A29" t="str">
            <v>JOB0613</v>
          </cell>
        </row>
        <row r="30">
          <cell r="A30" t="str">
            <v>JOB0614</v>
          </cell>
        </row>
        <row r="31">
          <cell r="A31" t="str">
            <v>JOB0615</v>
          </cell>
        </row>
        <row r="32">
          <cell r="A32" t="str">
            <v>JOB0616</v>
          </cell>
        </row>
        <row r="33">
          <cell r="A33" t="str">
            <v>JOB0617</v>
          </cell>
        </row>
        <row r="34">
          <cell r="A34" t="str">
            <v>JOB0618</v>
          </cell>
        </row>
        <row r="35">
          <cell r="A35" t="str">
            <v>JOB0619</v>
          </cell>
        </row>
        <row r="36">
          <cell r="A36" t="str">
            <v>JOB0621</v>
          </cell>
        </row>
        <row r="37">
          <cell r="A37" t="str">
            <v>JOB0622</v>
          </cell>
        </row>
        <row r="38">
          <cell r="A38" t="str">
            <v>JOB0623</v>
          </cell>
        </row>
        <row r="39">
          <cell r="A39" t="str">
            <v>JOB0625</v>
          </cell>
        </row>
        <row r="40">
          <cell r="A40" t="str">
            <v>JOB0626</v>
          </cell>
        </row>
        <row r="41">
          <cell r="A41" t="str">
            <v>JOB0627</v>
          </cell>
        </row>
        <row r="42">
          <cell r="A42" t="str">
            <v>JOB0628</v>
          </cell>
        </row>
        <row r="43">
          <cell r="A43" t="str">
            <v>JOB0629</v>
          </cell>
        </row>
        <row r="44">
          <cell r="A44" t="str">
            <v>JOB0630</v>
          </cell>
        </row>
        <row r="45">
          <cell r="A45" t="str">
            <v>JOB0631</v>
          </cell>
        </row>
        <row r="46">
          <cell r="A46" t="str">
            <v>JOB0632</v>
          </cell>
        </row>
        <row r="47">
          <cell r="A47" t="str">
            <v>JOB0634</v>
          </cell>
        </row>
        <row r="48">
          <cell r="A48" t="str">
            <v>JOB0635</v>
          </cell>
        </row>
        <row r="49">
          <cell r="A49" t="str">
            <v>JOB0636</v>
          </cell>
        </row>
        <row r="50">
          <cell r="A50" t="str">
            <v>JOB0637</v>
          </cell>
        </row>
        <row r="51">
          <cell r="A51" t="str">
            <v>JOB0638</v>
          </cell>
        </row>
        <row r="52">
          <cell r="A52" t="str">
            <v>JOB0639</v>
          </cell>
        </row>
        <row r="53">
          <cell r="A53" t="str">
            <v>JOB0640</v>
          </cell>
        </row>
        <row r="54">
          <cell r="A54" t="str">
            <v>JOB0641</v>
          </cell>
        </row>
        <row r="55">
          <cell r="A55" t="str">
            <v>JOB0642</v>
          </cell>
        </row>
        <row r="56">
          <cell r="A56" t="str">
            <v>JOB0643</v>
          </cell>
        </row>
        <row r="57">
          <cell r="A57" t="str">
            <v>JOB0644</v>
          </cell>
        </row>
        <row r="58">
          <cell r="A58" t="str">
            <v>JOB0645</v>
          </cell>
        </row>
        <row r="59">
          <cell r="A59" t="str">
            <v>JOB0646</v>
          </cell>
        </row>
        <row r="60">
          <cell r="A60" t="str">
            <v>JOB0647</v>
          </cell>
        </row>
        <row r="61">
          <cell r="A61" t="str">
            <v>JOB0648</v>
          </cell>
        </row>
        <row r="62">
          <cell r="A62" t="str">
            <v>JOB0649</v>
          </cell>
        </row>
        <row r="63">
          <cell r="A63" t="str">
            <v>JOB0650</v>
          </cell>
        </row>
        <row r="64">
          <cell r="A64" t="str">
            <v>JOB0651</v>
          </cell>
        </row>
        <row r="65">
          <cell r="A65" t="str">
            <v>JOB0652</v>
          </cell>
        </row>
        <row r="66">
          <cell r="A66" t="str">
            <v>JOB0653</v>
          </cell>
        </row>
        <row r="67">
          <cell r="A67" t="str">
            <v>JOB0654</v>
          </cell>
        </row>
        <row r="68">
          <cell r="A68" t="str">
            <v>JOB0655</v>
          </cell>
        </row>
        <row r="69">
          <cell r="A69" t="str">
            <v>JOB0656</v>
          </cell>
        </row>
        <row r="70">
          <cell r="A70" t="str">
            <v>JOB0657</v>
          </cell>
        </row>
        <row r="71">
          <cell r="A71" t="str">
            <v>JOB0658</v>
          </cell>
        </row>
        <row r="72">
          <cell r="A72" t="str">
            <v>JOB0659</v>
          </cell>
        </row>
        <row r="73">
          <cell r="A73" t="str">
            <v>JOB0660</v>
          </cell>
        </row>
        <row r="74">
          <cell r="A74" t="str">
            <v>JOB0661</v>
          </cell>
        </row>
        <row r="75">
          <cell r="A75" t="str">
            <v>JOB0662</v>
          </cell>
        </row>
        <row r="76">
          <cell r="A76" t="str">
            <v>JOB0663</v>
          </cell>
        </row>
        <row r="77">
          <cell r="A77" t="str">
            <v>JOB0664</v>
          </cell>
        </row>
        <row r="78">
          <cell r="A78" t="str">
            <v>JOB0665</v>
          </cell>
        </row>
        <row r="79">
          <cell r="A79" t="str">
            <v>JOB0666</v>
          </cell>
        </row>
        <row r="80">
          <cell r="A80" t="str">
            <v>JOB0667</v>
          </cell>
        </row>
        <row r="81">
          <cell r="A81" t="str">
            <v>JOB0668</v>
          </cell>
        </row>
        <row r="82">
          <cell r="A82" t="str">
            <v>JOB0669</v>
          </cell>
        </row>
        <row r="83">
          <cell r="A83" t="str">
            <v>JOB0670</v>
          </cell>
        </row>
        <row r="84">
          <cell r="A84" t="str">
            <v>JOB0671</v>
          </cell>
        </row>
        <row r="85">
          <cell r="A85" t="str">
            <v>JOB0672</v>
          </cell>
        </row>
        <row r="86">
          <cell r="A86" t="str">
            <v>JOB0673</v>
          </cell>
        </row>
        <row r="87">
          <cell r="A87" t="str">
            <v>JOB0674</v>
          </cell>
        </row>
        <row r="88">
          <cell r="A88" t="str">
            <v>JOB0676</v>
          </cell>
        </row>
        <row r="89">
          <cell r="A89" t="str">
            <v>JOB0677</v>
          </cell>
        </row>
        <row r="90">
          <cell r="A90" t="str">
            <v>JOB0678</v>
          </cell>
        </row>
        <row r="91">
          <cell r="A91" t="str">
            <v>JOB0679</v>
          </cell>
        </row>
        <row r="92">
          <cell r="A92" t="str">
            <v>JOB0681</v>
          </cell>
        </row>
        <row r="93">
          <cell r="A93" t="str">
            <v>JOB0682</v>
          </cell>
        </row>
        <row r="94">
          <cell r="A94" t="str">
            <v>JOB0683</v>
          </cell>
        </row>
        <row r="95">
          <cell r="A95" t="str">
            <v>JOB0684</v>
          </cell>
        </row>
        <row r="96">
          <cell r="A96" t="str">
            <v>JOB0685</v>
          </cell>
        </row>
        <row r="97">
          <cell r="A97" t="str">
            <v>JOB0686</v>
          </cell>
        </row>
        <row r="98">
          <cell r="A98" t="str">
            <v>JOB0687</v>
          </cell>
        </row>
        <row r="99">
          <cell r="A99" t="str">
            <v>JOB0688</v>
          </cell>
        </row>
        <row r="100">
          <cell r="A100" t="str">
            <v>JOB0689</v>
          </cell>
        </row>
        <row r="101">
          <cell r="A101" t="str">
            <v>JOB0690</v>
          </cell>
        </row>
        <row r="102">
          <cell r="A102" t="str">
            <v>JOB0691</v>
          </cell>
        </row>
        <row r="103">
          <cell r="A103" t="str">
            <v>JOB0692</v>
          </cell>
        </row>
        <row r="104">
          <cell r="A104" t="str">
            <v>JOB0693</v>
          </cell>
        </row>
        <row r="105">
          <cell r="A105" t="str">
            <v>JOB0694</v>
          </cell>
        </row>
        <row r="106">
          <cell r="A106" t="str">
            <v>JOB0695</v>
          </cell>
        </row>
        <row r="107">
          <cell r="A107" t="str">
            <v>JOB0696</v>
          </cell>
        </row>
        <row r="108">
          <cell r="A108" t="str">
            <v>JOB0697</v>
          </cell>
        </row>
        <row r="109">
          <cell r="A109" t="str">
            <v>JOB0698</v>
          </cell>
        </row>
        <row r="110">
          <cell r="A110" t="str">
            <v>JOB0699</v>
          </cell>
        </row>
        <row r="111">
          <cell r="A111" t="str">
            <v>JOB0701</v>
          </cell>
        </row>
        <row r="112">
          <cell r="A112" t="str">
            <v>JOB0703</v>
          </cell>
        </row>
        <row r="113">
          <cell r="A113" t="str">
            <v>JOB0704</v>
          </cell>
        </row>
        <row r="114">
          <cell r="A114" t="str">
            <v>JOB0705</v>
          </cell>
        </row>
        <row r="115">
          <cell r="A115" t="str">
            <v>JOB0706</v>
          </cell>
        </row>
        <row r="116">
          <cell r="A116" t="str">
            <v>JOB0707</v>
          </cell>
        </row>
        <row r="117">
          <cell r="A117" t="str">
            <v>JOB0708</v>
          </cell>
        </row>
        <row r="118">
          <cell r="A118" t="str">
            <v>JOB0709</v>
          </cell>
        </row>
        <row r="119">
          <cell r="A119" t="str">
            <v>JOB0710</v>
          </cell>
        </row>
        <row r="120">
          <cell r="A120" t="str">
            <v>JOB0711</v>
          </cell>
        </row>
        <row r="121">
          <cell r="A121" t="str">
            <v>JOB0712</v>
          </cell>
        </row>
        <row r="122">
          <cell r="A122" t="str">
            <v>JOB0713</v>
          </cell>
        </row>
        <row r="123">
          <cell r="A123" t="str">
            <v>JOB0714</v>
          </cell>
        </row>
        <row r="124">
          <cell r="A124" t="str">
            <v>JOB0715</v>
          </cell>
        </row>
        <row r="125">
          <cell r="A125" t="str">
            <v>JOB0716</v>
          </cell>
        </row>
        <row r="126">
          <cell r="A126" t="str">
            <v>JOB0717</v>
          </cell>
        </row>
        <row r="127">
          <cell r="A127" t="str">
            <v>JOB0718</v>
          </cell>
        </row>
        <row r="128">
          <cell r="A128" t="str">
            <v>JOB0719</v>
          </cell>
        </row>
        <row r="129">
          <cell r="A129" t="str">
            <v>JOB0720</v>
          </cell>
        </row>
        <row r="130">
          <cell r="A130" t="str">
            <v>JOB0721</v>
          </cell>
        </row>
        <row r="131">
          <cell r="A131" t="str">
            <v>JOB0722</v>
          </cell>
        </row>
        <row r="132">
          <cell r="A132" t="str">
            <v>JOB0723</v>
          </cell>
        </row>
        <row r="133">
          <cell r="A133" t="str">
            <v>JOB0724</v>
          </cell>
        </row>
        <row r="134">
          <cell r="A134" t="str">
            <v>JOB0725</v>
          </cell>
        </row>
        <row r="135">
          <cell r="A135" t="str">
            <v>JOB0726</v>
          </cell>
        </row>
        <row r="136">
          <cell r="A136" t="str">
            <v>JOB0727</v>
          </cell>
        </row>
        <row r="137">
          <cell r="A137" t="str">
            <v>JOB0728</v>
          </cell>
        </row>
        <row r="138">
          <cell r="A138" t="str">
            <v>JOB0729</v>
          </cell>
        </row>
        <row r="139">
          <cell r="A139" t="str">
            <v>JOB0730</v>
          </cell>
        </row>
        <row r="140">
          <cell r="A140" t="str">
            <v>JOB0731</v>
          </cell>
        </row>
        <row r="141">
          <cell r="A141" t="str">
            <v>JOB0732</v>
          </cell>
        </row>
        <row r="142">
          <cell r="A142" t="str">
            <v>JOB0733</v>
          </cell>
        </row>
        <row r="143">
          <cell r="A143" t="str">
            <v>JOB0734</v>
          </cell>
        </row>
        <row r="144">
          <cell r="A144" t="str">
            <v>JOB0735</v>
          </cell>
        </row>
        <row r="145">
          <cell r="A145" t="str">
            <v>JOB0736</v>
          </cell>
        </row>
        <row r="146">
          <cell r="A146" t="str">
            <v>JOB0737</v>
          </cell>
        </row>
        <row r="147">
          <cell r="A147" t="str">
            <v>JOB0738</v>
          </cell>
        </row>
        <row r="148">
          <cell r="A148" t="str">
            <v>JOB0739</v>
          </cell>
        </row>
        <row r="149">
          <cell r="A149" t="str">
            <v>JOB0740</v>
          </cell>
        </row>
        <row r="150">
          <cell r="A150" t="str">
            <v>JOB0741</v>
          </cell>
        </row>
        <row r="151">
          <cell r="A151" t="str">
            <v>JOB0742</v>
          </cell>
        </row>
        <row r="152">
          <cell r="A152" t="str">
            <v>JOB0743</v>
          </cell>
        </row>
        <row r="153">
          <cell r="A153" t="str">
            <v>JOB0744</v>
          </cell>
        </row>
        <row r="154">
          <cell r="A154" t="str">
            <v>JOB0745</v>
          </cell>
        </row>
        <row r="155">
          <cell r="A155" t="str">
            <v>JOB0746</v>
          </cell>
        </row>
        <row r="156">
          <cell r="A156" t="str">
            <v>JOB0747</v>
          </cell>
        </row>
        <row r="157">
          <cell r="A157" t="str">
            <v>JOB0748</v>
          </cell>
        </row>
        <row r="158">
          <cell r="A158" t="str">
            <v>JOB0749</v>
          </cell>
        </row>
        <row r="159">
          <cell r="A159" t="str">
            <v>JOB0750</v>
          </cell>
        </row>
        <row r="160">
          <cell r="A160" t="str">
            <v>JOB0751</v>
          </cell>
        </row>
        <row r="161">
          <cell r="A161" t="str">
            <v>JOB0752</v>
          </cell>
        </row>
        <row r="162">
          <cell r="A162" t="str">
            <v>JOB0753</v>
          </cell>
        </row>
        <row r="163">
          <cell r="A163" t="str">
            <v>JOB0754</v>
          </cell>
        </row>
        <row r="164">
          <cell r="A164" t="str">
            <v>JOB0755</v>
          </cell>
        </row>
        <row r="165">
          <cell r="A165" t="str">
            <v>JOB0756</v>
          </cell>
        </row>
        <row r="166">
          <cell r="A166" t="str">
            <v>JOB0757</v>
          </cell>
        </row>
        <row r="167">
          <cell r="A167" t="str">
            <v>JOB0758</v>
          </cell>
        </row>
        <row r="168">
          <cell r="A168" t="str">
            <v>JOB0759</v>
          </cell>
        </row>
        <row r="169">
          <cell r="A169" t="str">
            <v>JOB0760</v>
          </cell>
        </row>
        <row r="170">
          <cell r="A170" t="str">
            <v>JOB0761</v>
          </cell>
        </row>
        <row r="171">
          <cell r="A171" t="str">
            <v>JOB0762</v>
          </cell>
        </row>
        <row r="172">
          <cell r="A172" t="str">
            <v>JOB0763</v>
          </cell>
        </row>
        <row r="173">
          <cell r="A173" t="str">
            <v>JOB0764</v>
          </cell>
        </row>
        <row r="174">
          <cell r="A174" t="str">
            <v>JOB0765</v>
          </cell>
        </row>
        <row r="175">
          <cell r="A175" t="str">
            <v>JOB0766</v>
          </cell>
        </row>
        <row r="176">
          <cell r="A176" t="str">
            <v>JOB0767</v>
          </cell>
        </row>
        <row r="177">
          <cell r="A177" t="str">
            <v>JOB0768</v>
          </cell>
        </row>
        <row r="178">
          <cell r="A178" t="str">
            <v>JOB0769</v>
          </cell>
        </row>
        <row r="179">
          <cell r="A179" t="str">
            <v>JOB0770</v>
          </cell>
        </row>
        <row r="180">
          <cell r="A180" t="str">
            <v>JOB0771</v>
          </cell>
        </row>
        <row r="181">
          <cell r="A181" t="str">
            <v>JOB0772</v>
          </cell>
        </row>
        <row r="182">
          <cell r="A182" t="str">
            <v>JOB0773</v>
          </cell>
        </row>
        <row r="183">
          <cell r="A183" t="str">
            <v>JOB0774</v>
          </cell>
        </row>
        <row r="184">
          <cell r="A184" t="str">
            <v>JOB0775</v>
          </cell>
        </row>
        <row r="185">
          <cell r="A185" t="str">
            <v>JOB0776</v>
          </cell>
        </row>
        <row r="186">
          <cell r="A186" t="str">
            <v>JOB0777</v>
          </cell>
        </row>
        <row r="187">
          <cell r="A187" t="str">
            <v>JOB0778</v>
          </cell>
        </row>
        <row r="188">
          <cell r="A188" t="str">
            <v>JOB0779</v>
          </cell>
        </row>
        <row r="189">
          <cell r="A189" t="str">
            <v>JOB0780</v>
          </cell>
        </row>
        <row r="190">
          <cell r="A190" t="str">
            <v>JOB0781</v>
          </cell>
        </row>
        <row r="191">
          <cell r="A191" t="str">
            <v>JOB0782</v>
          </cell>
        </row>
        <row r="192">
          <cell r="A192" t="str">
            <v>JOB0783</v>
          </cell>
        </row>
        <row r="193">
          <cell r="A193" t="str">
            <v>JOB0784</v>
          </cell>
        </row>
        <row r="194">
          <cell r="A194" t="str">
            <v>JOB0785</v>
          </cell>
        </row>
        <row r="195">
          <cell r="A195" t="str">
            <v>JOB0786</v>
          </cell>
        </row>
        <row r="196">
          <cell r="A196" t="str">
            <v>JOB0787</v>
          </cell>
        </row>
        <row r="197">
          <cell r="A197" t="str">
            <v>JOB0789</v>
          </cell>
        </row>
        <row r="198">
          <cell r="A198" t="str">
            <v>JOB0790</v>
          </cell>
        </row>
        <row r="199">
          <cell r="A199" t="str">
            <v>JOB0791</v>
          </cell>
        </row>
        <row r="200">
          <cell r="A200" t="str">
            <v>JOB0792</v>
          </cell>
        </row>
        <row r="201">
          <cell r="A201" t="str">
            <v>JOB0793</v>
          </cell>
        </row>
        <row r="202">
          <cell r="A202" t="str">
            <v>JOB0794</v>
          </cell>
        </row>
        <row r="203">
          <cell r="A203" t="str">
            <v>JOB0795</v>
          </cell>
        </row>
        <row r="204">
          <cell r="A204" t="str">
            <v>JOB0796</v>
          </cell>
        </row>
        <row r="205">
          <cell r="A205" t="str">
            <v>JOB0797</v>
          </cell>
        </row>
        <row r="206">
          <cell r="A206" t="str">
            <v>JOB0798</v>
          </cell>
        </row>
        <row r="207">
          <cell r="A207" t="str">
            <v>JOB0799</v>
          </cell>
        </row>
        <row r="208">
          <cell r="A208" t="str">
            <v>JOB0800</v>
          </cell>
        </row>
        <row r="209">
          <cell r="A209" t="str">
            <v>JOB0801</v>
          </cell>
        </row>
        <row r="210">
          <cell r="A210" t="str">
            <v>JOB0802</v>
          </cell>
        </row>
        <row r="211">
          <cell r="A211" t="str">
            <v>JOB0803</v>
          </cell>
        </row>
        <row r="212">
          <cell r="A212" t="str">
            <v>JOB0804</v>
          </cell>
        </row>
        <row r="213">
          <cell r="A213" t="str">
            <v>JOB0805</v>
          </cell>
        </row>
        <row r="214">
          <cell r="A214" t="str">
            <v>JOB0806</v>
          </cell>
        </row>
        <row r="215">
          <cell r="A215" t="str">
            <v>JOB0807</v>
          </cell>
        </row>
        <row r="216">
          <cell r="A216" t="str">
            <v>JOB0808</v>
          </cell>
        </row>
        <row r="217">
          <cell r="A217" t="str">
            <v>JOB0809</v>
          </cell>
        </row>
        <row r="218">
          <cell r="A218" t="str">
            <v>JOB0810</v>
          </cell>
        </row>
        <row r="219">
          <cell r="A219" t="str">
            <v>JOB0811</v>
          </cell>
        </row>
        <row r="220">
          <cell r="A220" t="str">
            <v>JOB0812</v>
          </cell>
        </row>
        <row r="221">
          <cell r="A221" t="str">
            <v>JOB0813</v>
          </cell>
        </row>
        <row r="222">
          <cell r="A222" t="str">
            <v>JOB0814</v>
          </cell>
        </row>
        <row r="223">
          <cell r="A223" t="str">
            <v>JOB0815</v>
          </cell>
        </row>
        <row r="224">
          <cell r="A224" t="str">
            <v>JOB0816</v>
          </cell>
        </row>
        <row r="225">
          <cell r="A225" t="str">
            <v>JOB0817</v>
          </cell>
        </row>
        <row r="226">
          <cell r="A226" t="str">
            <v>JOB0818</v>
          </cell>
        </row>
        <row r="227">
          <cell r="A227" t="str">
            <v>JOB0819</v>
          </cell>
        </row>
        <row r="228">
          <cell r="A228" t="str">
            <v>JOB0820</v>
          </cell>
        </row>
        <row r="229">
          <cell r="A229" t="str">
            <v>JOB0821</v>
          </cell>
        </row>
        <row r="230">
          <cell r="A230" t="str">
            <v>JOB0822</v>
          </cell>
        </row>
        <row r="231">
          <cell r="A231" t="str">
            <v>JOB0823</v>
          </cell>
        </row>
        <row r="232">
          <cell r="A232" t="str">
            <v>JOB0824</v>
          </cell>
        </row>
        <row r="233">
          <cell r="A233" t="str">
            <v>JOB0825</v>
          </cell>
        </row>
        <row r="234">
          <cell r="A234" t="str">
            <v>JOB0827</v>
          </cell>
        </row>
        <row r="235">
          <cell r="A235" t="str">
            <v>JOB0828</v>
          </cell>
        </row>
        <row r="236">
          <cell r="A236" t="str">
            <v>JOB0829</v>
          </cell>
        </row>
        <row r="237">
          <cell r="A237" t="str">
            <v>JOB0830</v>
          </cell>
        </row>
        <row r="238">
          <cell r="A238" t="str">
            <v>JOB0831</v>
          </cell>
        </row>
        <row r="239">
          <cell r="A239" t="str">
            <v>JOB0832</v>
          </cell>
        </row>
        <row r="240">
          <cell r="A240" t="str">
            <v>JOB0833</v>
          </cell>
        </row>
        <row r="241">
          <cell r="A241" t="str">
            <v>JOB0834</v>
          </cell>
        </row>
        <row r="242">
          <cell r="A242" t="str">
            <v>JOB0836</v>
          </cell>
        </row>
        <row r="243">
          <cell r="A243" t="str">
            <v>JOB0837</v>
          </cell>
        </row>
        <row r="244">
          <cell r="A244" t="str">
            <v>JOB0840</v>
          </cell>
        </row>
        <row r="245">
          <cell r="A245" t="str">
            <v>JOB0841</v>
          </cell>
        </row>
        <row r="246">
          <cell r="A246" t="str">
            <v>JOB0842</v>
          </cell>
        </row>
        <row r="247">
          <cell r="A247" t="str">
            <v>JOB0843</v>
          </cell>
        </row>
        <row r="248">
          <cell r="A248" t="str">
            <v>JOB0844</v>
          </cell>
        </row>
        <row r="249">
          <cell r="A249" t="str">
            <v>JOB0845</v>
          </cell>
        </row>
        <row r="250">
          <cell r="A250" t="str">
            <v>JOB0846</v>
          </cell>
        </row>
        <row r="251">
          <cell r="A251" t="str">
            <v>JOB0847</v>
          </cell>
        </row>
        <row r="252">
          <cell r="A252" t="str">
            <v>JOB0848</v>
          </cell>
        </row>
        <row r="253">
          <cell r="A253" t="str">
            <v>JOB0849</v>
          </cell>
        </row>
        <row r="254">
          <cell r="A254" t="str">
            <v>JOB0850</v>
          </cell>
        </row>
        <row r="255">
          <cell r="A255" t="str">
            <v>JOB0851</v>
          </cell>
        </row>
        <row r="256">
          <cell r="A256" t="str">
            <v>JOB0852</v>
          </cell>
        </row>
        <row r="257">
          <cell r="A257" t="str">
            <v>JOB0853</v>
          </cell>
        </row>
        <row r="258">
          <cell r="A258" t="str">
            <v>JOB0854</v>
          </cell>
        </row>
        <row r="259">
          <cell r="A259" t="str">
            <v>JOB0855</v>
          </cell>
        </row>
        <row r="260">
          <cell r="A260" t="str">
            <v>JOB0856</v>
          </cell>
        </row>
        <row r="261">
          <cell r="A261" t="str">
            <v>JOB0857</v>
          </cell>
        </row>
        <row r="262">
          <cell r="A262" t="str">
            <v>JOB0858</v>
          </cell>
        </row>
        <row r="263">
          <cell r="A263" t="str">
            <v>JOB0859</v>
          </cell>
        </row>
        <row r="264">
          <cell r="A264" t="str">
            <v>JOB0860</v>
          </cell>
        </row>
        <row r="265">
          <cell r="A265" t="str">
            <v>JOB0861</v>
          </cell>
        </row>
        <row r="266">
          <cell r="A266" t="str">
            <v>JOB0862</v>
          </cell>
        </row>
        <row r="267">
          <cell r="A267" t="str">
            <v>JOB0863</v>
          </cell>
        </row>
        <row r="268">
          <cell r="A268" t="str">
            <v>JOB0864</v>
          </cell>
        </row>
        <row r="269">
          <cell r="A269" t="str">
            <v>JOB0865</v>
          </cell>
        </row>
        <row r="270">
          <cell r="A270" t="str">
            <v>JOB0866</v>
          </cell>
        </row>
        <row r="271">
          <cell r="A271" t="str">
            <v>JOB0867</v>
          </cell>
        </row>
        <row r="272">
          <cell r="A272" t="str">
            <v>JOB0868</v>
          </cell>
        </row>
        <row r="273">
          <cell r="A273" t="str">
            <v>JOB0869</v>
          </cell>
        </row>
        <row r="274">
          <cell r="A274" t="str">
            <v>JOB0870</v>
          </cell>
        </row>
        <row r="275">
          <cell r="A275" t="str">
            <v>JOB0871</v>
          </cell>
        </row>
        <row r="276">
          <cell r="A276" t="str">
            <v>JOB0872</v>
          </cell>
        </row>
        <row r="277">
          <cell r="A277" t="str">
            <v>JOB0873</v>
          </cell>
        </row>
        <row r="278">
          <cell r="A278" t="str">
            <v>JOB0874</v>
          </cell>
        </row>
        <row r="279">
          <cell r="A279" t="str">
            <v>JOB0875</v>
          </cell>
        </row>
        <row r="280">
          <cell r="A280" t="str">
            <v>JOB0876</v>
          </cell>
        </row>
        <row r="281">
          <cell r="A281" t="str">
            <v>JOB0877</v>
          </cell>
        </row>
        <row r="282">
          <cell r="A282" t="str">
            <v>JOB0878</v>
          </cell>
        </row>
        <row r="283">
          <cell r="A283" t="str">
            <v>JOB0879</v>
          </cell>
        </row>
        <row r="284">
          <cell r="A284" t="str">
            <v>JOB0880</v>
          </cell>
        </row>
        <row r="285">
          <cell r="A285" t="str">
            <v>JOB0881</v>
          </cell>
        </row>
        <row r="286">
          <cell r="A286" t="str">
            <v>JOB0882</v>
          </cell>
        </row>
        <row r="287">
          <cell r="A287" t="str">
            <v>JOB0883</v>
          </cell>
        </row>
        <row r="288">
          <cell r="A288" t="str">
            <v>JOB0884</v>
          </cell>
        </row>
        <row r="289">
          <cell r="A289" t="str">
            <v>JOB0885</v>
          </cell>
        </row>
        <row r="290">
          <cell r="A290" t="str">
            <v>JOB0886</v>
          </cell>
        </row>
        <row r="291">
          <cell r="A291" t="str">
            <v>JOB0887</v>
          </cell>
        </row>
        <row r="292">
          <cell r="A292" t="str">
            <v>JOB0888</v>
          </cell>
        </row>
        <row r="293">
          <cell r="A293" t="str">
            <v>JOB0889</v>
          </cell>
        </row>
        <row r="294">
          <cell r="A294" t="str">
            <v>JOB0890</v>
          </cell>
        </row>
        <row r="295">
          <cell r="A295" t="str">
            <v>JOB0891</v>
          </cell>
        </row>
        <row r="296">
          <cell r="A296" t="str">
            <v>JOB0892</v>
          </cell>
        </row>
        <row r="297">
          <cell r="A297" t="str">
            <v>JOB0893</v>
          </cell>
        </row>
        <row r="298">
          <cell r="A298" t="str">
            <v>JOB0894</v>
          </cell>
        </row>
        <row r="299">
          <cell r="A299" t="str">
            <v>JOB0895</v>
          </cell>
        </row>
        <row r="300">
          <cell r="A300" t="str">
            <v>JOB0896</v>
          </cell>
        </row>
        <row r="301">
          <cell r="A301" t="str">
            <v>JOB0897</v>
          </cell>
        </row>
        <row r="302">
          <cell r="A302" t="str">
            <v>JOB0898</v>
          </cell>
        </row>
        <row r="303">
          <cell r="A303" t="str">
            <v>JOB0899</v>
          </cell>
        </row>
        <row r="304">
          <cell r="A304" t="str">
            <v>JOB0900</v>
          </cell>
        </row>
        <row r="305">
          <cell r="A305" t="str">
            <v>JOB0901</v>
          </cell>
        </row>
        <row r="306">
          <cell r="A306" t="str">
            <v>JOB0902</v>
          </cell>
        </row>
        <row r="307">
          <cell r="A307" t="str">
            <v>JOB0903</v>
          </cell>
        </row>
        <row r="308">
          <cell r="A308" t="str">
            <v>JOB0904</v>
          </cell>
        </row>
        <row r="309">
          <cell r="A309" t="str">
            <v>JOB0905</v>
          </cell>
        </row>
        <row r="310">
          <cell r="A310" t="str">
            <v>JOB0906</v>
          </cell>
        </row>
        <row r="311">
          <cell r="A311" t="str">
            <v>JOB0907</v>
          </cell>
        </row>
        <row r="312">
          <cell r="A312" t="str">
            <v>JOB0908</v>
          </cell>
        </row>
        <row r="313">
          <cell r="A313" t="str">
            <v>JOB0910</v>
          </cell>
        </row>
        <row r="314">
          <cell r="A314" t="str">
            <v>JOB0912</v>
          </cell>
        </row>
        <row r="315">
          <cell r="A315" t="str">
            <v>JOB0913</v>
          </cell>
        </row>
        <row r="316">
          <cell r="A316" t="str">
            <v>JOB0914</v>
          </cell>
        </row>
        <row r="317">
          <cell r="A317" t="str">
            <v>JOB0915</v>
          </cell>
        </row>
        <row r="318">
          <cell r="A318" t="str">
            <v>JOB0916</v>
          </cell>
        </row>
        <row r="319">
          <cell r="A319" t="str">
            <v>JOB0917</v>
          </cell>
        </row>
        <row r="320">
          <cell r="A320" t="str">
            <v>JOB0918</v>
          </cell>
        </row>
        <row r="321">
          <cell r="A321" t="str">
            <v>JOB0919</v>
          </cell>
        </row>
        <row r="322">
          <cell r="A322" t="str">
            <v>JOB0920</v>
          </cell>
        </row>
        <row r="323">
          <cell r="A323" t="str">
            <v>JOB0922</v>
          </cell>
        </row>
        <row r="324">
          <cell r="A324" t="str">
            <v>JOB0923</v>
          </cell>
        </row>
        <row r="325">
          <cell r="A325" t="str">
            <v>JOB0924</v>
          </cell>
        </row>
        <row r="326">
          <cell r="A326" t="str">
            <v>JOB0925</v>
          </cell>
        </row>
        <row r="327">
          <cell r="A327" t="str">
            <v>JOB0926</v>
          </cell>
        </row>
        <row r="328">
          <cell r="A328" t="str">
            <v>JOB0927</v>
          </cell>
        </row>
        <row r="329">
          <cell r="A329" t="str">
            <v>JOB0928</v>
          </cell>
        </row>
        <row r="330">
          <cell r="A330" t="str">
            <v>JOB0929</v>
          </cell>
        </row>
        <row r="331">
          <cell r="A331" t="str">
            <v>JOB0930</v>
          </cell>
        </row>
        <row r="332">
          <cell r="A332" t="str">
            <v>JOB0931</v>
          </cell>
        </row>
        <row r="333">
          <cell r="A333" t="str">
            <v>JOB0932</v>
          </cell>
        </row>
        <row r="334">
          <cell r="A334" t="str">
            <v>JOB0933</v>
          </cell>
        </row>
        <row r="335">
          <cell r="A335" t="str">
            <v>JOB0934</v>
          </cell>
        </row>
        <row r="336">
          <cell r="A336" t="str">
            <v>JOB0935</v>
          </cell>
        </row>
        <row r="337">
          <cell r="A337" t="str">
            <v>JOB0936</v>
          </cell>
        </row>
        <row r="338">
          <cell r="A338" t="str">
            <v>JOB0937</v>
          </cell>
        </row>
        <row r="339">
          <cell r="A339" t="str">
            <v>JOB0938</v>
          </cell>
        </row>
        <row r="340">
          <cell r="A340" t="str">
            <v>JOB0939</v>
          </cell>
        </row>
        <row r="341">
          <cell r="A341" t="str">
            <v>JOB0940</v>
          </cell>
        </row>
        <row r="342">
          <cell r="A342" t="str">
            <v>JOB0941</v>
          </cell>
        </row>
        <row r="343">
          <cell r="A343" t="str">
            <v>JOB0942</v>
          </cell>
        </row>
        <row r="344">
          <cell r="A344" t="str">
            <v>JOB0943</v>
          </cell>
        </row>
        <row r="345">
          <cell r="A345" t="str">
            <v>JOB0944</v>
          </cell>
        </row>
        <row r="346">
          <cell r="A346" t="str">
            <v>JOB0945</v>
          </cell>
        </row>
        <row r="347">
          <cell r="A347" t="str">
            <v>JOB0946</v>
          </cell>
        </row>
        <row r="348">
          <cell r="A348" t="str">
            <v>JOB0947</v>
          </cell>
        </row>
        <row r="349">
          <cell r="A349" t="str">
            <v>JOB0948</v>
          </cell>
        </row>
        <row r="350">
          <cell r="A350" t="str">
            <v>JOB0949</v>
          </cell>
        </row>
        <row r="351">
          <cell r="A351" t="str">
            <v>JOB0950</v>
          </cell>
        </row>
        <row r="352">
          <cell r="A352" t="str">
            <v>JOB0951</v>
          </cell>
        </row>
        <row r="353">
          <cell r="A353" t="str">
            <v>JOB0952</v>
          </cell>
        </row>
        <row r="354">
          <cell r="A354" t="str">
            <v>JOB0953</v>
          </cell>
        </row>
        <row r="355">
          <cell r="A355" t="str">
            <v>JOB0954</v>
          </cell>
        </row>
        <row r="356">
          <cell r="A356" t="str">
            <v>JOB0955</v>
          </cell>
        </row>
        <row r="357">
          <cell r="A357" t="str">
            <v>JOB0956</v>
          </cell>
        </row>
        <row r="358">
          <cell r="A358" t="str">
            <v>JOB0957</v>
          </cell>
        </row>
        <row r="359">
          <cell r="A359" t="str">
            <v>JOB0958</v>
          </cell>
        </row>
        <row r="360">
          <cell r="A360" t="str">
            <v>JOB0959</v>
          </cell>
        </row>
        <row r="361">
          <cell r="A361" t="str">
            <v>JOB0960</v>
          </cell>
        </row>
        <row r="362">
          <cell r="A362" t="str">
            <v>JOB0961</v>
          </cell>
        </row>
        <row r="363">
          <cell r="A363" t="str">
            <v>JOB0962</v>
          </cell>
        </row>
        <row r="364">
          <cell r="A364" t="str">
            <v>JOB0963</v>
          </cell>
        </row>
        <row r="365">
          <cell r="A365" t="str">
            <v>JOB0964</v>
          </cell>
        </row>
        <row r="366">
          <cell r="A366" t="str">
            <v>JOB0965</v>
          </cell>
        </row>
        <row r="367">
          <cell r="A367" t="str">
            <v>JOB0966</v>
          </cell>
        </row>
        <row r="368">
          <cell r="A368" t="str">
            <v>JOB0967</v>
          </cell>
        </row>
        <row r="369">
          <cell r="A369" t="str">
            <v>JOB0968</v>
          </cell>
        </row>
        <row r="370">
          <cell r="A370" t="str">
            <v>JOB0969</v>
          </cell>
        </row>
        <row r="371">
          <cell r="A371" t="str">
            <v>JOB0970</v>
          </cell>
        </row>
        <row r="372">
          <cell r="A372" t="str">
            <v>JOB0971</v>
          </cell>
        </row>
        <row r="373">
          <cell r="A373" t="str">
            <v>JOB0972</v>
          </cell>
        </row>
        <row r="374">
          <cell r="A374" t="str">
            <v>JOB0973</v>
          </cell>
        </row>
        <row r="375">
          <cell r="A375" t="str">
            <v>JOB0974</v>
          </cell>
        </row>
        <row r="376">
          <cell r="A376" t="str">
            <v>JOB0975</v>
          </cell>
        </row>
        <row r="377">
          <cell r="A377" t="str">
            <v>JOB0976</v>
          </cell>
        </row>
        <row r="378">
          <cell r="A378" t="str">
            <v>JOB0977</v>
          </cell>
        </row>
        <row r="379">
          <cell r="A379" t="str">
            <v>JOB0978</v>
          </cell>
        </row>
        <row r="380">
          <cell r="A380" t="str">
            <v>JOB0979</v>
          </cell>
        </row>
        <row r="381">
          <cell r="A381" t="str">
            <v>JOB0980</v>
          </cell>
        </row>
        <row r="382">
          <cell r="A382" t="str">
            <v>JOB0981</v>
          </cell>
        </row>
        <row r="383">
          <cell r="A383" t="str">
            <v>JOB0982</v>
          </cell>
        </row>
        <row r="384">
          <cell r="A384" t="str">
            <v>JOB0983</v>
          </cell>
        </row>
        <row r="385">
          <cell r="A385" t="str">
            <v>JOB0984</v>
          </cell>
        </row>
        <row r="386">
          <cell r="A386" t="str">
            <v>JOB0985</v>
          </cell>
        </row>
        <row r="387">
          <cell r="A387" t="str">
            <v>JOB0986</v>
          </cell>
        </row>
        <row r="388">
          <cell r="A388" t="str">
            <v>JOB0987</v>
          </cell>
        </row>
        <row r="389">
          <cell r="A389" t="str">
            <v>JOB0988</v>
          </cell>
        </row>
        <row r="390">
          <cell r="A390" t="str">
            <v>JOB0989</v>
          </cell>
        </row>
        <row r="391">
          <cell r="A391" t="str">
            <v>JOB0990</v>
          </cell>
        </row>
        <row r="392">
          <cell r="A392" t="str">
            <v>JOB0991</v>
          </cell>
        </row>
        <row r="393">
          <cell r="A393" t="str">
            <v>JOB0992</v>
          </cell>
        </row>
        <row r="394">
          <cell r="A394" t="str">
            <v>JOB0993</v>
          </cell>
        </row>
        <row r="395">
          <cell r="A395" t="str">
            <v>JOB0994</v>
          </cell>
        </row>
        <row r="396">
          <cell r="A396" t="str">
            <v>JOB0995</v>
          </cell>
        </row>
        <row r="397">
          <cell r="A397" t="str">
            <v>JOB0998</v>
          </cell>
        </row>
        <row r="398">
          <cell r="A398" t="str">
            <v>JOB0999</v>
          </cell>
        </row>
        <row r="399">
          <cell r="A399" t="str">
            <v>JOB1000</v>
          </cell>
        </row>
        <row r="400">
          <cell r="A400" t="str">
            <v>JOB1001</v>
          </cell>
        </row>
        <row r="401">
          <cell r="A401" t="str">
            <v>JOB1001</v>
          </cell>
        </row>
        <row r="402">
          <cell r="A402" t="str">
            <v>JOB1001</v>
          </cell>
        </row>
        <row r="403">
          <cell r="A403" t="str">
            <v>JOB1001</v>
          </cell>
        </row>
        <row r="404">
          <cell r="A404" t="str">
            <v>JOB1002</v>
          </cell>
        </row>
        <row r="405">
          <cell r="A405" t="str">
            <v>JOB1003</v>
          </cell>
        </row>
        <row r="406">
          <cell r="A406" t="str">
            <v>JOB1004</v>
          </cell>
        </row>
        <row r="407">
          <cell r="A407" t="str">
            <v>JOB1005</v>
          </cell>
        </row>
        <row r="408">
          <cell r="A408" t="str">
            <v>JOB1006</v>
          </cell>
        </row>
        <row r="409">
          <cell r="A409" t="str">
            <v>JOB1007</v>
          </cell>
        </row>
        <row r="410">
          <cell r="A410" t="str">
            <v>JOB1008</v>
          </cell>
        </row>
        <row r="411">
          <cell r="A411" t="str">
            <v>JOB1009</v>
          </cell>
        </row>
        <row r="412">
          <cell r="A412" t="str">
            <v>JOB1010</v>
          </cell>
        </row>
        <row r="413">
          <cell r="A413" t="str">
            <v>JOB1012</v>
          </cell>
        </row>
        <row r="414">
          <cell r="A414" t="str">
            <v>JOB1013</v>
          </cell>
        </row>
        <row r="415">
          <cell r="A415" t="str">
            <v>JOB1014</v>
          </cell>
        </row>
        <row r="416">
          <cell r="A416" t="str">
            <v>JOB1015</v>
          </cell>
        </row>
        <row r="417">
          <cell r="A417" t="str">
            <v>JOB1016</v>
          </cell>
        </row>
        <row r="418">
          <cell r="A418" t="str">
            <v>JOB1018</v>
          </cell>
        </row>
        <row r="419">
          <cell r="A419" t="str">
            <v>JOB1019</v>
          </cell>
        </row>
        <row r="420">
          <cell r="A420" t="str">
            <v>JOB1020</v>
          </cell>
        </row>
        <row r="421">
          <cell r="A421" t="str">
            <v>JOB1021</v>
          </cell>
        </row>
        <row r="422">
          <cell r="A422" t="str">
            <v>JOB1022</v>
          </cell>
        </row>
        <row r="423">
          <cell r="A423" t="str">
            <v>JOB1023</v>
          </cell>
        </row>
        <row r="424">
          <cell r="A424" t="str">
            <v>JOB1025</v>
          </cell>
        </row>
        <row r="425">
          <cell r="A425" t="str">
            <v>JOB1026</v>
          </cell>
        </row>
        <row r="426">
          <cell r="A426" t="str">
            <v>JOB1027</v>
          </cell>
        </row>
        <row r="427">
          <cell r="A427" t="str">
            <v>JOB1028</v>
          </cell>
        </row>
        <row r="428">
          <cell r="A428" t="str">
            <v>JOB1029</v>
          </cell>
        </row>
        <row r="429">
          <cell r="A429" t="str">
            <v>JOB1030</v>
          </cell>
        </row>
        <row r="430">
          <cell r="A430" t="str">
            <v>JOB1031</v>
          </cell>
        </row>
        <row r="431">
          <cell r="A431" t="str">
            <v>JOB1032</v>
          </cell>
        </row>
        <row r="432">
          <cell r="A432" t="str">
            <v>JOB1033</v>
          </cell>
        </row>
        <row r="433">
          <cell r="A433" t="str">
            <v>JOB1034</v>
          </cell>
        </row>
        <row r="434">
          <cell r="A434" t="str">
            <v>JOB1035</v>
          </cell>
        </row>
        <row r="435">
          <cell r="A435" t="str">
            <v>JOB1036</v>
          </cell>
        </row>
        <row r="436">
          <cell r="A436" t="str">
            <v>JOB1037</v>
          </cell>
        </row>
        <row r="437">
          <cell r="A437" t="str">
            <v>JOB1038</v>
          </cell>
        </row>
        <row r="438">
          <cell r="A438" t="str">
            <v>JOB1039</v>
          </cell>
        </row>
        <row r="439">
          <cell r="A439" t="str">
            <v>JOB1040</v>
          </cell>
        </row>
        <row r="440">
          <cell r="A440" t="str">
            <v>JOB1041</v>
          </cell>
        </row>
        <row r="441">
          <cell r="A441" t="str">
            <v>JOB1043</v>
          </cell>
        </row>
        <row r="442">
          <cell r="A442" t="str">
            <v>JOB1044</v>
          </cell>
        </row>
        <row r="443">
          <cell r="A443" t="str">
            <v>JOB1045</v>
          </cell>
        </row>
        <row r="444">
          <cell r="A444" t="str">
            <v>JOB1046</v>
          </cell>
        </row>
        <row r="445">
          <cell r="A445" t="str">
            <v>JOB1047</v>
          </cell>
        </row>
        <row r="446">
          <cell r="A446" t="str">
            <v>JOB1048</v>
          </cell>
        </row>
        <row r="447">
          <cell r="A447" t="str">
            <v>JOB1049</v>
          </cell>
        </row>
        <row r="448">
          <cell r="A448" t="str">
            <v>JOB1050</v>
          </cell>
        </row>
        <row r="449">
          <cell r="A449" t="str">
            <v>JOB1051</v>
          </cell>
        </row>
        <row r="450">
          <cell r="A450" t="str">
            <v>JOB1052</v>
          </cell>
        </row>
        <row r="451">
          <cell r="A451" t="str">
            <v>JOB1053</v>
          </cell>
        </row>
        <row r="452">
          <cell r="A452" t="str">
            <v>JOB1054</v>
          </cell>
        </row>
        <row r="453">
          <cell r="A453" t="str">
            <v>JOB1055</v>
          </cell>
        </row>
        <row r="454">
          <cell r="A454" t="str">
            <v>JOB1057</v>
          </cell>
        </row>
        <row r="455">
          <cell r="A455" t="str">
            <v>JOB1058</v>
          </cell>
        </row>
        <row r="456">
          <cell r="A456" t="str">
            <v>JOB1059</v>
          </cell>
        </row>
        <row r="457">
          <cell r="A457" t="str">
            <v>JOB1060</v>
          </cell>
        </row>
        <row r="458">
          <cell r="A458" t="str">
            <v>JOB1061</v>
          </cell>
        </row>
        <row r="459">
          <cell r="A459" t="str">
            <v>JOB1062</v>
          </cell>
        </row>
        <row r="460">
          <cell r="A460" t="str">
            <v>JOB1063</v>
          </cell>
        </row>
        <row r="461">
          <cell r="A461" t="str">
            <v>JOB1064</v>
          </cell>
        </row>
        <row r="462">
          <cell r="A462" t="str">
            <v>JOB1065</v>
          </cell>
        </row>
        <row r="463">
          <cell r="A463" t="str">
            <v>JOB1066</v>
          </cell>
        </row>
        <row r="464">
          <cell r="A464" t="str">
            <v>JOB1067</v>
          </cell>
        </row>
        <row r="465">
          <cell r="A465" t="str">
            <v>JOB1068</v>
          </cell>
        </row>
        <row r="466">
          <cell r="A466" t="str">
            <v>JOB1069</v>
          </cell>
        </row>
        <row r="467">
          <cell r="A467" t="str">
            <v>JOB1070</v>
          </cell>
        </row>
        <row r="468">
          <cell r="A468" t="str">
            <v>JOB1072</v>
          </cell>
        </row>
        <row r="469">
          <cell r="A469" t="str">
            <v>JOB1073</v>
          </cell>
        </row>
        <row r="470">
          <cell r="A470" t="str">
            <v>JOB1074</v>
          </cell>
        </row>
        <row r="471">
          <cell r="A471" t="str">
            <v>JOB1075</v>
          </cell>
        </row>
        <row r="472">
          <cell r="A472" t="str">
            <v>JOB1076</v>
          </cell>
        </row>
        <row r="473">
          <cell r="A473" t="str">
            <v>JOB1077</v>
          </cell>
        </row>
        <row r="474">
          <cell r="A474" t="str">
            <v>JOB1078</v>
          </cell>
        </row>
        <row r="475">
          <cell r="A475" t="str">
            <v>JOB1079</v>
          </cell>
        </row>
        <row r="476">
          <cell r="A476" t="str">
            <v>JOB1080</v>
          </cell>
        </row>
        <row r="477">
          <cell r="A477" t="str">
            <v>JOB1081</v>
          </cell>
        </row>
        <row r="478">
          <cell r="A478" t="str">
            <v>JOB1082</v>
          </cell>
        </row>
        <row r="479">
          <cell r="A479" t="str">
            <v>JOB1083</v>
          </cell>
        </row>
        <row r="480">
          <cell r="A480" t="str">
            <v>JOB1084</v>
          </cell>
        </row>
        <row r="481">
          <cell r="A481" t="str">
            <v>JOB1085</v>
          </cell>
        </row>
        <row r="482">
          <cell r="A482" t="str">
            <v>JOB1086</v>
          </cell>
        </row>
        <row r="483">
          <cell r="A483" t="str">
            <v>JOB1087</v>
          </cell>
        </row>
        <row r="484">
          <cell r="A484" t="str">
            <v>JOB1088</v>
          </cell>
        </row>
        <row r="485">
          <cell r="A485" t="str">
            <v>JOB1089</v>
          </cell>
        </row>
        <row r="486">
          <cell r="A486" t="str">
            <v>JOB1090</v>
          </cell>
        </row>
        <row r="487">
          <cell r="A487" t="str">
            <v>JOB1091</v>
          </cell>
        </row>
        <row r="488">
          <cell r="A488" t="str">
            <v>JOB1092</v>
          </cell>
        </row>
        <row r="489">
          <cell r="A489" t="str">
            <v>JOB1093</v>
          </cell>
        </row>
        <row r="490">
          <cell r="A490" t="str">
            <v>JOB1094</v>
          </cell>
        </row>
        <row r="491">
          <cell r="A491" t="str">
            <v>JOB1095</v>
          </cell>
        </row>
        <row r="492">
          <cell r="A492" t="str">
            <v>JOB1096</v>
          </cell>
        </row>
        <row r="493">
          <cell r="A493" t="str">
            <v>JOB1097</v>
          </cell>
        </row>
        <row r="494">
          <cell r="A494" t="str">
            <v>JOB1098</v>
          </cell>
        </row>
        <row r="495">
          <cell r="A495" t="str">
            <v>JOB1099</v>
          </cell>
        </row>
        <row r="496">
          <cell r="A496" t="str">
            <v>JOB1100</v>
          </cell>
        </row>
        <row r="497">
          <cell r="A497" t="str">
            <v>JOB1101</v>
          </cell>
        </row>
        <row r="498">
          <cell r="A498" t="str">
            <v>JOB1102</v>
          </cell>
        </row>
        <row r="499">
          <cell r="A499" t="str">
            <v>JOB1103</v>
          </cell>
        </row>
        <row r="500">
          <cell r="A500" t="str">
            <v>JOB1104</v>
          </cell>
        </row>
        <row r="501">
          <cell r="A501" t="str">
            <v>JOB1105</v>
          </cell>
        </row>
        <row r="502">
          <cell r="A502" t="str">
            <v>JOB1106</v>
          </cell>
        </row>
        <row r="503">
          <cell r="A503" t="str">
            <v>JOB1107</v>
          </cell>
        </row>
        <row r="504">
          <cell r="A504" t="str">
            <v>JOB1108</v>
          </cell>
        </row>
        <row r="505">
          <cell r="A505" t="str">
            <v>JOB1109</v>
          </cell>
        </row>
        <row r="506">
          <cell r="A506" t="str">
            <v>JOB1110</v>
          </cell>
        </row>
        <row r="507">
          <cell r="A507" t="str">
            <v>JOB1111</v>
          </cell>
        </row>
        <row r="508">
          <cell r="A508" t="str">
            <v>JOB1112</v>
          </cell>
        </row>
        <row r="509">
          <cell r="A509" t="str">
            <v>JOB1113</v>
          </cell>
        </row>
        <row r="510">
          <cell r="A510" t="str">
            <v>JOB1114</v>
          </cell>
        </row>
        <row r="511">
          <cell r="A511" t="str">
            <v>JOB1115</v>
          </cell>
        </row>
        <row r="512">
          <cell r="A512" t="str">
            <v>JOB1116</v>
          </cell>
        </row>
        <row r="513">
          <cell r="A513" t="str">
            <v>JOB1117</v>
          </cell>
        </row>
        <row r="514">
          <cell r="A514" t="str">
            <v>JOB1118</v>
          </cell>
        </row>
        <row r="515">
          <cell r="A515" t="str">
            <v>JOB1119</v>
          </cell>
        </row>
        <row r="516">
          <cell r="A516" t="str">
            <v>JOB1120</v>
          </cell>
        </row>
        <row r="517">
          <cell r="A517" t="str">
            <v>JOB1121</v>
          </cell>
        </row>
        <row r="518">
          <cell r="A518" t="str">
            <v>JOB1126</v>
          </cell>
        </row>
        <row r="519">
          <cell r="A519" t="str">
            <v>JOB1127</v>
          </cell>
        </row>
        <row r="520">
          <cell r="A520" t="str">
            <v>JOB1128</v>
          </cell>
        </row>
        <row r="521">
          <cell r="A521" t="str">
            <v>JOB1129</v>
          </cell>
        </row>
        <row r="522">
          <cell r="A522" t="str">
            <v>JOB1130</v>
          </cell>
        </row>
        <row r="523">
          <cell r="A523" t="str">
            <v>JOB1131</v>
          </cell>
        </row>
        <row r="524">
          <cell r="A524" t="str">
            <v>JOB1132</v>
          </cell>
        </row>
        <row r="525">
          <cell r="A525" t="str">
            <v>JOB1133</v>
          </cell>
        </row>
        <row r="526">
          <cell r="A526" t="str">
            <v>JOB1134</v>
          </cell>
        </row>
        <row r="527">
          <cell r="A527" t="str">
            <v>JOB1135</v>
          </cell>
        </row>
        <row r="528">
          <cell r="A528" t="str">
            <v>JOB1136</v>
          </cell>
        </row>
        <row r="529">
          <cell r="A529" t="str">
            <v>JOB1137</v>
          </cell>
        </row>
        <row r="530">
          <cell r="A530" t="str">
            <v>JOB1139</v>
          </cell>
        </row>
        <row r="531">
          <cell r="A531" t="str">
            <v>JOB1140</v>
          </cell>
        </row>
        <row r="532">
          <cell r="A532" t="str">
            <v>JOB1141</v>
          </cell>
        </row>
        <row r="533">
          <cell r="A533" t="str">
            <v>JOB1142</v>
          </cell>
        </row>
        <row r="534">
          <cell r="A534" t="str">
            <v>JOB1143</v>
          </cell>
        </row>
        <row r="535">
          <cell r="A535" t="str">
            <v>JOB1144</v>
          </cell>
        </row>
        <row r="536">
          <cell r="A536" t="str">
            <v>JOB1145</v>
          </cell>
        </row>
        <row r="537">
          <cell r="A537" t="str">
            <v>JOB1147</v>
          </cell>
        </row>
        <row r="538">
          <cell r="A538" t="str">
            <v>JOB1148</v>
          </cell>
        </row>
        <row r="539">
          <cell r="A539" t="str">
            <v>JOB1149</v>
          </cell>
        </row>
        <row r="540">
          <cell r="A540" t="str">
            <v>JOB1150</v>
          </cell>
        </row>
        <row r="541">
          <cell r="A541" t="str">
            <v>JOB1151</v>
          </cell>
        </row>
        <row r="542">
          <cell r="A542" t="str">
            <v>JOB1152</v>
          </cell>
        </row>
        <row r="543">
          <cell r="A543" t="str">
            <v>JOB1153</v>
          </cell>
        </row>
        <row r="544">
          <cell r="A544" t="str">
            <v>JOB1154</v>
          </cell>
        </row>
        <row r="545">
          <cell r="A545" t="str">
            <v>JOB1155</v>
          </cell>
        </row>
        <row r="546">
          <cell r="A546" t="str">
            <v>JOB1156</v>
          </cell>
        </row>
        <row r="547">
          <cell r="A547" t="str">
            <v>JOB1157</v>
          </cell>
        </row>
        <row r="548">
          <cell r="A548" t="str">
            <v>JOB1158</v>
          </cell>
        </row>
        <row r="549">
          <cell r="A549" t="str">
            <v>JOB1159</v>
          </cell>
        </row>
        <row r="550">
          <cell r="A550" t="str">
            <v>JOB1160</v>
          </cell>
        </row>
        <row r="551">
          <cell r="A551" t="str">
            <v>JOB1161</v>
          </cell>
        </row>
        <row r="552">
          <cell r="A552" t="str">
            <v>JOB1162</v>
          </cell>
        </row>
        <row r="553">
          <cell r="A553" t="str">
            <v>JOB1163</v>
          </cell>
        </row>
        <row r="554">
          <cell r="A554" t="str">
            <v>JOB1164</v>
          </cell>
        </row>
        <row r="555">
          <cell r="A555" t="str">
            <v>JOB1165</v>
          </cell>
        </row>
        <row r="556">
          <cell r="A556" t="str">
            <v>JOB1166</v>
          </cell>
        </row>
        <row r="557">
          <cell r="A557" t="str">
            <v>JOB1167</v>
          </cell>
        </row>
        <row r="558">
          <cell r="A558" t="str">
            <v>JOB1168</v>
          </cell>
        </row>
        <row r="559">
          <cell r="A559" t="str">
            <v>JOB1169</v>
          </cell>
        </row>
        <row r="560">
          <cell r="A560" t="str">
            <v>JOB1170</v>
          </cell>
        </row>
        <row r="561">
          <cell r="A561" t="str">
            <v>JOB1171</v>
          </cell>
        </row>
        <row r="562">
          <cell r="A562" t="str">
            <v>JOB1172</v>
          </cell>
        </row>
        <row r="563">
          <cell r="A563" t="str">
            <v>JOB1173</v>
          </cell>
        </row>
        <row r="564">
          <cell r="A564" t="str">
            <v>JOB1174</v>
          </cell>
        </row>
        <row r="565">
          <cell r="A565" t="str">
            <v>JOB1175</v>
          </cell>
        </row>
        <row r="566">
          <cell r="A566" t="str">
            <v>JOB1176</v>
          </cell>
        </row>
        <row r="567">
          <cell r="A567" t="str">
            <v>JOB1177</v>
          </cell>
        </row>
        <row r="568">
          <cell r="A568" t="str">
            <v>JOB1178</v>
          </cell>
        </row>
        <row r="569">
          <cell r="A569" t="str">
            <v>JOB1179</v>
          </cell>
        </row>
        <row r="570">
          <cell r="A570" t="str">
            <v>JOB1180</v>
          </cell>
        </row>
        <row r="571">
          <cell r="A571" t="str">
            <v>JOB1181</v>
          </cell>
        </row>
        <row r="572">
          <cell r="A572" t="str">
            <v>JOB1182</v>
          </cell>
        </row>
        <row r="573">
          <cell r="A573" t="str">
            <v>JOB1183</v>
          </cell>
        </row>
        <row r="574">
          <cell r="A574" t="str">
            <v>JOB1184</v>
          </cell>
        </row>
        <row r="575">
          <cell r="A575" t="str">
            <v>JOB1185</v>
          </cell>
        </row>
        <row r="576">
          <cell r="A576" t="str">
            <v>JOB1186</v>
          </cell>
        </row>
        <row r="577">
          <cell r="A577" t="str">
            <v>JOB1187</v>
          </cell>
        </row>
        <row r="578">
          <cell r="A578" t="str">
            <v>JOB1189</v>
          </cell>
        </row>
        <row r="579">
          <cell r="A579" t="str">
            <v>JOB1190</v>
          </cell>
        </row>
        <row r="580">
          <cell r="A580" t="str">
            <v>JOB1191</v>
          </cell>
        </row>
        <row r="581">
          <cell r="A581" t="str">
            <v>JOB1192</v>
          </cell>
        </row>
        <row r="582">
          <cell r="A582" t="str">
            <v>JOB1193</v>
          </cell>
        </row>
        <row r="583">
          <cell r="A583" t="str">
            <v>JOB1194</v>
          </cell>
        </row>
        <row r="584">
          <cell r="A584" t="str">
            <v>JOB1195</v>
          </cell>
        </row>
        <row r="585">
          <cell r="A585" t="str">
            <v>JOB1196</v>
          </cell>
        </row>
        <row r="586">
          <cell r="A586" t="str">
            <v>JOB1197</v>
          </cell>
        </row>
        <row r="587">
          <cell r="A587" t="str">
            <v>JOB1198</v>
          </cell>
        </row>
        <row r="588">
          <cell r="A588" t="str">
            <v>JOB1199</v>
          </cell>
        </row>
        <row r="589">
          <cell r="A589" t="str">
            <v>JOB1200</v>
          </cell>
        </row>
        <row r="590">
          <cell r="A590" t="str">
            <v>JOB1201</v>
          </cell>
        </row>
        <row r="591">
          <cell r="A591" t="str">
            <v>JOB1202</v>
          </cell>
        </row>
        <row r="592">
          <cell r="A592" t="str">
            <v>JOB1203</v>
          </cell>
        </row>
        <row r="593">
          <cell r="A593" t="str">
            <v>JOB1204</v>
          </cell>
        </row>
        <row r="594">
          <cell r="A594" t="str">
            <v>JOB1205</v>
          </cell>
        </row>
        <row r="595">
          <cell r="A595" t="str">
            <v>JOB1206</v>
          </cell>
        </row>
        <row r="596">
          <cell r="A596" t="str">
            <v>JOB1207</v>
          </cell>
        </row>
        <row r="597">
          <cell r="A597" t="str">
            <v>JOB1208</v>
          </cell>
        </row>
        <row r="598">
          <cell r="A598" t="str">
            <v>JOB1209</v>
          </cell>
        </row>
        <row r="599">
          <cell r="A599" t="str">
            <v>JOB1210</v>
          </cell>
        </row>
        <row r="600">
          <cell r="A600" t="str">
            <v>JOB1211</v>
          </cell>
        </row>
        <row r="601">
          <cell r="A601" t="str">
            <v>JOB1212</v>
          </cell>
        </row>
        <row r="602">
          <cell r="A602" t="str">
            <v>JOB1213</v>
          </cell>
        </row>
        <row r="603">
          <cell r="A603" t="str">
            <v>JOB1214</v>
          </cell>
        </row>
        <row r="604">
          <cell r="A604" t="str">
            <v>JOB1215</v>
          </cell>
        </row>
        <row r="605">
          <cell r="A605" t="str">
            <v>JOB1216</v>
          </cell>
        </row>
        <row r="606">
          <cell r="A606" t="str">
            <v>JOB1217</v>
          </cell>
        </row>
        <row r="607">
          <cell r="A607" t="str">
            <v>JOB1218</v>
          </cell>
        </row>
        <row r="608">
          <cell r="A608" t="str">
            <v>JOB1219</v>
          </cell>
        </row>
        <row r="609">
          <cell r="A609" t="str">
            <v>JOB1220</v>
          </cell>
        </row>
        <row r="610">
          <cell r="A610" t="str">
            <v>JOB1221</v>
          </cell>
        </row>
        <row r="611">
          <cell r="A611" t="str">
            <v>JOB1222</v>
          </cell>
        </row>
        <row r="612">
          <cell r="A612" t="str">
            <v>JOB1223</v>
          </cell>
        </row>
        <row r="613">
          <cell r="A613" t="str">
            <v>JOB1224</v>
          </cell>
        </row>
        <row r="614">
          <cell r="A614" t="str">
            <v>JOB1225</v>
          </cell>
        </row>
        <row r="615">
          <cell r="A615" t="str">
            <v>JOB1226</v>
          </cell>
        </row>
        <row r="616">
          <cell r="A616" t="str">
            <v>JOB1227</v>
          </cell>
        </row>
        <row r="617">
          <cell r="A617" t="str">
            <v>JOB1229</v>
          </cell>
        </row>
        <row r="618">
          <cell r="A618" t="str">
            <v>JOB1230</v>
          </cell>
        </row>
        <row r="619">
          <cell r="A619" t="str">
            <v>JOB1231</v>
          </cell>
        </row>
        <row r="620">
          <cell r="A620" t="str">
            <v>JOB1232</v>
          </cell>
        </row>
        <row r="621">
          <cell r="A621" t="str">
            <v>JOB1233</v>
          </cell>
        </row>
        <row r="622">
          <cell r="A622" t="str">
            <v>JOB1234</v>
          </cell>
        </row>
        <row r="623">
          <cell r="A623" t="str">
            <v>JOB1235</v>
          </cell>
        </row>
        <row r="624">
          <cell r="A624" t="str">
            <v>JOB1236</v>
          </cell>
        </row>
        <row r="625">
          <cell r="A625" t="str">
            <v>JOB1238</v>
          </cell>
        </row>
        <row r="626">
          <cell r="A626" t="str">
            <v>JOB1239</v>
          </cell>
        </row>
        <row r="627">
          <cell r="A627" t="str">
            <v>JOB1240</v>
          </cell>
        </row>
        <row r="628">
          <cell r="A628" t="str">
            <v>JOB1241</v>
          </cell>
        </row>
        <row r="629">
          <cell r="A629" t="str">
            <v>JOB1242</v>
          </cell>
        </row>
        <row r="630">
          <cell r="A630" t="str">
            <v>JOB1243</v>
          </cell>
        </row>
        <row r="631">
          <cell r="A631" t="str">
            <v>JOB1244</v>
          </cell>
        </row>
        <row r="632">
          <cell r="A632" t="str">
            <v>JOB1245</v>
          </cell>
        </row>
        <row r="633">
          <cell r="A633" t="str">
            <v>JOB1246</v>
          </cell>
        </row>
        <row r="634">
          <cell r="A634" t="str">
            <v>JOB1247</v>
          </cell>
        </row>
        <row r="635">
          <cell r="A635" t="str">
            <v>JOB1248</v>
          </cell>
        </row>
        <row r="636">
          <cell r="A636" t="str">
            <v>JOB1256</v>
          </cell>
        </row>
        <row r="637">
          <cell r="A637" t="str">
            <v>JOB1257</v>
          </cell>
        </row>
        <row r="638">
          <cell r="A638" t="str">
            <v>JOB1258</v>
          </cell>
        </row>
        <row r="639">
          <cell r="A639" t="str">
            <v>JOB1259</v>
          </cell>
        </row>
        <row r="640">
          <cell r="A640" t="str">
            <v>JOB1260</v>
          </cell>
        </row>
        <row r="641">
          <cell r="A641" t="str">
            <v>JOB1261</v>
          </cell>
        </row>
        <row r="642">
          <cell r="A642" t="str">
            <v>JOB1262</v>
          </cell>
        </row>
        <row r="643">
          <cell r="A643" t="str">
            <v>JOB1265</v>
          </cell>
        </row>
        <row r="644">
          <cell r="A644" t="str">
            <v>JOB1266</v>
          </cell>
        </row>
        <row r="645">
          <cell r="A645" t="str">
            <v>JOB1267</v>
          </cell>
        </row>
        <row r="646">
          <cell r="A646" t="str">
            <v>JOB1268</v>
          </cell>
        </row>
        <row r="647">
          <cell r="A647" t="str">
            <v>JOB1269</v>
          </cell>
        </row>
        <row r="648">
          <cell r="A648" t="str">
            <v>JOB1270</v>
          </cell>
        </row>
        <row r="649">
          <cell r="A649" t="str">
            <v>JOB1271</v>
          </cell>
        </row>
        <row r="650">
          <cell r="A650" t="str">
            <v>JOB1272</v>
          </cell>
        </row>
        <row r="651">
          <cell r="A651" t="str">
            <v>JOB1273</v>
          </cell>
        </row>
        <row r="652">
          <cell r="A652" t="str">
            <v>JOB1274</v>
          </cell>
        </row>
        <row r="653">
          <cell r="A653" t="str">
            <v>JOB1275</v>
          </cell>
        </row>
        <row r="654">
          <cell r="A654" t="str">
            <v>JOB1276</v>
          </cell>
        </row>
        <row r="655">
          <cell r="A655" t="str">
            <v>JOB1277</v>
          </cell>
        </row>
        <row r="656">
          <cell r="A656" t="str">
            <v>JOB1278</v>
          </cell>
        </row>
        <row r="657">
          <cell r="A657" t="str">
            <v>JOB1279</v>
          </cell>
        </row>
        <row r="658">
          <cell r="A658" t="str">
            <v>JOB1280</v>
          </cell>
        </row>
        <row r="659">
          <cell r="A659" t="str">
            <v>JOB1281</v>
          </cell>
        </row>
        <row r="660">
          <cell r="A660" t="str">
            <v>JOB1282</v>
          </cell>
        </row>
        <row r="661">
          <cell r="A661" t="str">
            <v>JOB1283</v>
          </cell>
        </row>
        <row r="662">
          <cell r="A662" t="str">
            <v>JOB1284</v>
          </cell>
        </row>
        <row r="663">
          <cell r="A663" t="str">
            <v>JOB1285</v>
          </cell>
        </row>
        <row r="664">
          <cell r="A664" t="str">
            <v>JOB1286</v>
          </cell>
        </row>
        <row r="665">
          <cell r="A665" t="str">
            <v>JOB1287</v>
          </cell>
        </row>
        <row r="666">
          <cell r="A666" t="str">
            <v>JOB1288</v>
          </cell>
        </row>
        <row r="667">
          <cell r="A667" t="str">
            <v>JOB1289</v>
          </cell>
        </row>
        <row r="668">
          <cell r="A668" t="str">
            <v>JOB1290</v>
          </cell>
        </row>
        <row r="669">
          <cell r="A669" t="str">
            <v>JOB1291</v>
          </cell>
        </row>
        <row r="670">
          <cell r="A670" t="str">
            <v>JOB1292</v>
          </cell>
        </row>
        <row r="671">
          <cell r="A671" t="str">
            <v>JOB1293</v>
          </cell>
        </row>
        <row r="672">
          <cell r="A672" t="str">
            <v>JOB1294</v>
          </cell>
        </row>
        <row r="673">
          <cell r="A673" t="str">
            <v>JOB1295</v>
          </cell>
        </row>
        <row r="674">
          <cell r="A674" t="str">
            <v>JOB1296</v>
          </cell>
        </row>
        <row r="675">
          <cell r="A675" t="str">
            <v>JOB1297</v>
          </cell>
        </row>
        <row r="676">
          <cell r="A676" t="str">
            <v>JOB1298</v>
          </cell>
        </row>
        <row r="677">
          <cell r="A677" t="str">
            <v>JOB1299</v>
          </cell>
        </row>
        <row r="678">
          <cell r="A678" t="str">
            <v>JOB1300</v>
          </cell>
        </row>
        <row r="679">
          <cell r="A679" t="str">
            <v>JOB1301</v>
          </cell>
        </row>
        <row r="680">
          <cell r="A680" t="str">
            <v>JOB1302</v>
          </cell>
        </row>
        <row r="681">
          <cell r="A681" t="str">
            <v>JOB1303</v>
          </cell>
        </row>
        <row r="682">
          <cell r="A682" t="str">
            <v>JOB1304</v>
          </cell>
        </row>
        <row r="683">
          <cell r="A683" t="str">
            <v>JOB1306</v>
          </cell>
        </row>
        <row r="684">
          <cell r="A684" t="str">
            <v>JOB1307</v>
          </cell>
        </row>
        <row r="685">
          <cell r="A685" t="str">
            <v>JOB1308</v>
          </cell>
        </row>
        <row r="686">
          <cell r="A686" t="str">
            <v>JOB1309</v>
          </cell>
        </row>
        <row r="687">
          <cell r="A687" t="str">
            <v>JOB1310</v>
          </cell>
        </row>
        <row r="688">
          <cell r="A688" t="str">
            <v>JOB1311</v>
          </cell>
        </row>
        <row r="689">
          <cell r="A689" t="str">
            <v>JOB1313</v>
          </cell>
        </row>
        <row r="690">
          <cell r="A690" t="str">
            <v>JOB1314</v>
          </cell>
        </row>
        <row r="691">
          <cell r="A691" t="str">
            <v>JOB1315</v>
          </cell>
        </row>
        <row r="692">
          <cell r="A692" t="str">
            <v>JOB1316</v>
          </cell>
        </row>
        <row r="693">
          <cell r="A693" t="str">
            <v>JOB1317</v>
          </cell>
        </row>
        <row r="694">
          <cell r="A694" t="str">
            <v>JOB1318</v>
          </cell>
        </row>
        <row r="695">
          <cell r="A695" t="str">
            <v>JOB1319</v>
          </cell>
        </row>
        <row r="696">
          <cell r="A696" t="str">
            <v>JOB1320</v>
          </cell>
        </row>
        <row r="697">
          <cell r="A697" t="str">
            <v>JOB1321</v>
          </cell>
        </row>
        <row r="698">
          <cell r="A698" t="str">
            <v>JOB1322</v>
          </cell>
        </row>
        <row r="699">
          <cell r="A699" t="str">
            <v>JOB1323</v>
          </cell>
        </row>
        <row r="700">
          <cell r="A700" t="str">
            <v>JOB1324</v>
          </cell>
        </row>
        <row r="701">
          <cell r="A701" t="str">
            <v>JOB1325</v>
          </cell>
        </row>
        <row r="702">
          <cell r="A702" t="str">
            <v>JOB1326</v>
          </cell>
        </row>
        <row r="703">
          <cell r="A703" t="str">
            <v>JOB1327</v>
          </cell>
        </row>
        <row r="704">
          <cell r="A704" t="str">
            <v>JOB1328</v>
          </cell>
        </row>
        <row r="705">
          <cell r="A705" t="str">
            <v>JOB1329</v>
          </cell>
        </row>
        <row r="706">
          <cell r="A706" t="str">
            <v>JOB1330</v>
          </cell>
        </row>
        <row r="707">
          <cell r="A707" t="str">
            <v>JOB1331</v>
          </cell>
        </row>
        <row r="708">
          <cell r="A708" t="str">
            <v>JOB1332</v>
          </cell>
        </row>
        <row r="709">
          <cell r="A709" t="str">
            <v>JOB1333</v>
          </cell>
        </row>
        <row r="710">
          <cell r="A710" t="str">
            <v>JOB1334</v>
          </cell>
        </row>
        <row r="711">
          <cell r="A711" t="str">
            <v>JOB1335</v>
          </cell>
        </row>
        <row r="712">
          <cell r="A712" t="str">
            <v>JOB1336</v>
          </cell>
        </row>
        <row r="713">
          <cell r="A713" t="str">
            <v>JOB1337</v>
          </cell>
        </row>
        <row r="714">
          <cell r="A714" t="str">
            <v>JOB1338</v>
          </cell>
        </row>
        <row r="715">
          <cell r="A715" t="str">
            <v>JOB1339</v>
          </cell>
        </row>
        <row r="716">
          <cell r="A716" t="str">
            <v>JOB1340</v>
          </cell>
        </row>
        <row r="717">
          <cell r="A717" t="str">
            <v>JOB1341</v>
          </cell>
        </row>
        <row r="718">
          <cell r="A718" t="str">
            <v>JOB1343</v>
          </cell>
        </row>
        <row r="719">
          <cell r="A719" t="str">
            <v>JOB1344</v>
          </cell>
        </row>
        <row r="720">
          <cell r="A720" t="str">
            <v>JOB1345</v>
          </cell>
        </row>
        <row r="721">
          <cell r="A721" t="str">
            <v>JOB1346</v>
          </cell>
        </row>
        <row r="722">
          <cell r="A722" t="str">
            <v>JOB1346</v>
          </cell>
        </row>
        <row r="723">
          <cell r="A723" t="str">
            <v>JOB1347</v>
          </cell>
        </row>
        <row r="724">
          <cell r="A724" t="str">
            <v>JOB1350</v>
          </cell>
        </row>
        <row r="725">
          <cell r="A725" t="str">
            <v>JOB1351</v>
          </cell>
        </row>
        <row r="726">
          <cell r="A726" t="str">
            <v>JOB1352</v>
          </cell>
        </row>
        <row r="727">
          <cell r="A727" t="str">
            <v>JOB1353</v>
          </cell>
        </row>
        <row r="728">
          <cell r="A728" t="str">
            <v>JOB1354</v>
          </cell>
        </row>
        <row r="729">
          <cell r="A729" t="str">
            <v>JOB1355</v>
          </cell>
        </row>
        <row r="730">
          <cell r="A730" t="str">
            <v>JOB1356</v>
          </cell>
        </row>
        <row r="731">
          <cell r="A731" t="str">
            <v>JOB1357</v>
          </cell>
        </row>
        <row r="732">
          <cell r="A732" t="str">
            <v>JOB1358</v>
          </cell>
        </row>
        <row r="733">
          <cell r="A733" t="str">
            <v>JOB1359</v>
          </cell>
        </row>
        <row r="734">
          <cell r="A734" t="str">
            <v>JOB1360</v>
          </cell>
        </row>
        <row r="735">
          <cell r="A735" t="str">
            <v>JOB1361</v>
          </cell>
        </row>
        <row r="736">
          <cell r="A736" t="str">
            <v>JOB1362</v>
          </cell>
        </row>
        <row r="737">
          <cell r="A737" t="str">
            <v>JOB1363</v>
          </cell>
        </row>
        <row r="738">
          <cell r="A738" t="str">
            <v>JOB1364</v>
          </cell>
        </row>
        <row r="739">
          <cell r="A739" t="str">
            <v>JOB1365</v>
          </cell>
        </row>
        <row r="740">
          <cell r="A740" t="str">
            <v>JOB1366</v>
          </cell>
        </row>
        <row r="741">
          <cell r="A741" t="str">
            <v>JOB1367</v>
          </cell>
        </row>
        <row r="742">
          <cell r="A742" t="str">
            <v>JOB1368</v>
          </cell>
        </row>
        <row r="743">
          <cell r="A743" t="str">
            <v>JOB1369</v>
          </cell>
        </row>
        <row r="744">
          <cell r="A744" t="str">
            <v>JOB1370</v>
          </cell>
        </row>
        <row r="745">
          <cell r="A745" t="str">
            <v>JOB1371</v>
          </cell>
        </row>
        <row r="746">
          <cell r="A746" t="str">
            <v>JOB1372</v>
          </cell>
        </row>
        <row r="747">
          <cell r="A747" t="str">
            <v>JOB1373</v>
          </cell>
        </row>
        <row r="748">
          <cell r="A748" t="str">
            <v>JOB1374</v>
          </cell>
        </row>
        <row r="749">
          <cell r="A749" t="str">
            <v>JOB1375</v>
          </cell>
        </row>
        <row r="750">
          <cell r="A750" t="str">
            <v>JOB1376</v>
          </cell>
        </row>
        <row r="751">
          <cell r="A751" t="str">
            <v>JOB1377</v>
          </cell>
        </row>
        <row r="752">
          <cell r="A752" t="str">
            <v>JOB1378</v>
          </cell>
        </row>
        <row r="753">
          <cell r="A753" t="str">
            <v>JOB1379</v>
          </cell>
        </row>
        <row r="754">
          <cell r="A754" t="str">
            <v>JOB1380</v>
          </cell>
        </row>
        <row r="755">
          <cell r="A755" t="str">
            <v>JOB1381</v>
          </cell>
        </row>
        <row r="756">
          <cell r="A756" t="str">
            <v>JOB1382</v>
          </cell>
        </row>
        <row r="757">
          <cell r="A757" t="str">
            <v>JOB1383</v>
          </cell>
        </row>
        <row r="758">
          <cell r="A758" t="str">
            <v>JOB1384</v>
          </cell>
        </row>
        <row r="759">
          <cell r="A759" t="str">
            <v>JOB1385</v>
          </cell>
        </row>
        <row r="760">
          <cell r="A760" t="str">
            <v>JOB1386</v>
          </cell>
        </row>
        <row r="761">
          <cell r="A761" t="str">
            <v>JOB1387</v>
          </cell>
        </row>
        <row r="762">
          <cell r="A762" t="str">
            <v>JOB1389</v>
          </cell>
        </row>
        <row r="763">
          <cell r="A763" t="str">
            <v>JOB1390</v>
          </cell>
        </row>
        <row r="764">
          <cell r="A764" t="str">
            <v>JOB1391</v>
          </cell>
        </row>
        <row r="765">
          <cell r="A765" t="str">
            <v>JOB1392</v>
          </cell>
        </row>
        <row r="766">
          <cell r="A766" t="str">
            <v>JOB1393</v>
          </cell>
        </row>
        <row r="767">
          <cell r="A767" t="str">
            <v>JOB1394</v>
          </cell>
        </row>
        <row r="768">
          <cell r="A768" t="str">
            <v>JOB1395</v>
          </cell>
        </row>
        <row r="769">
          <cell r="A769" t="str">
            <v>JOB1396</v>
          </cell>
        </row>
        <row r="770">
          <cell r="A770" t="str">
            <v>JOB1397</v>
          </cell>
        </row>
        <row r="771">
          <cell r="A771" t="str">
            <v>JOB1398</v>
          </cell>
        </row>
        <row r="772">
          <cell r="A772" t="str">
            <v>JOB1399</v>
          </cell>
        </row>
        <row r="773">
          <cell r="A773" t="str">
            <v>JOB1400</v>
          </cell>
        </row>
        <row r="774">
          <cell r="A774" t="str">
            <v>JOB1401</v>
          </cell>
        </row>
        <row r="775">
          <cell r="A775" t="str">
            <v>JOB1402</v>
          </cell>
        </row>
        <row r="776">
          <cell r="A776" t="str">
            <v>JOB1403</v>
          </cell>
        </row>
        <row r="777">
          <cell r="A777" t="str">
            <v>JOB1404</v>
          </cell>
        </row>
        <row r="778">
          <cell r="A778" t="str">
            <v>JOB1405</v>
          </cell>
        </row>
        <row r="779">
          <cell r="A779" t="str">
            <v>JOB1406</v>
          </cell>
        </row>
        <row r="780">
          <cell r="A780" t="str">
            <v>JOB1407</v>
          </cell>
        </row>
        <row r="781">
          <cell r="A781" t="str">
            <v>JOB1408</v>
          </cell>
        </row>
        <row r="782">
          <cell r="A782" t="str">
            <v>JOB1409</v>
          </cell>
        </row>
        <row r="783">
          <cell r="A783" t="str">
            <v>JOB1410</v>
          </cell>
        </row>
        <row r="784">
          <cell r="A784" t="str">
            <v>JOB1411</v>
          </cell>
        </row>
        <row r="785">
          <cell r="A785" t="str">
            <v>JOB1412</v>
          </cell>
        </row>
        <row r="786">
          <cell r="A786" t="str">
            <v>JOB1413</v>
          </cell>
        </row>
        <row r="787">
          <cell r="A787" t="str">
            <v>JOB1415</v>
          </cell>
        </row>
        <row r="788">
          <cell r="A788" t="str">
            <v>JOB1416</v>
          </cell>
        </row>
        <row r="789">
          <cell r="A789" t="str">
            <v>JOB1417</v>
          </cell>
        </row>
        <row r="790">
          <cell r="A790" t="str">
            <v>JOB1418</v>
          </cell>
        </row>
        <row r="791">
          <cell r="A791" t="str">
            <v>JOB1419</v>
          </cell>
        </row>
        <row r="792">
          <cell r="A792" t="str">
            <v>JOB1420</v>
          </cell>
        </row>
        <row r="793">
          <cell r="A793" t="str">
            <v>JOB1421</v>
          </cell>
        </row>
        <row r="794">
          <cell r="A794" t="str">
            <v>JOB1422</v>
          </cell>
        </row>
        <row r="795">
          <cell r="A795" t="str">
            <v>JOB1423</v>
          </cell>
        </row>
        <row r="796">
          <cell r="A796" t="str">
            <v>JOB1424</v>
          </cell>
        </row>
        <row r="797">
          <cell r="A797" t="str">
            <v>JOB1425</v>
          </cell>
        </row>
        <row r="798">
          <cell r="A798" t="str">
            <v>JOB1426</v>
          </cell>
        </row>
        <row r="799">
          <cell r="A799" t="str">
            <v>JOB1427</v>
          </cell>
        </row>
        <row r="800">
          <cell r="A800" t="str">
            <v>JOB1428</v>
          </cell>
        </row>
        <row r="801">
          <cell r="A801" t="str">
            <v>JOB1429</v>
          </cell>
        </row>
        <row r="802">
          <cell r="A802" t="str">
            <v>JOB1430</v>
          </cell>
        </row>
        <row r="803">
          <cell r="A803" t="str">
            <v>JOB1431</v>
          </cell>
        </row>
        <row r="804">
          <cell r="A804" t="str">
            <v>JOB1433</v>
          </cell>
        </row>
        <row r="805">
          <cell r="A805" t="str">
            <v>JOB1434</v>
          </cell>
        </row>
        <row r="806">
          <cell r="A806" t="str">
            <v>JOB1435</v>
          </cell>
        </row>
        <row r="807">
          <cell r="A807" t="str">
            <v>JOB1436</v>
          </cell>
        </row>
        <row r="808">
          <cell r="A808" t="str">
            <v>JOB1437</v>
          </cell>
        </row>
        <row r="809">
          <cell r="A809" t="str">
            <v>JOB1438</v>
          </cell>
        </row>
        <row r="810">
          <cell r="A810" t="str">
            <v>JOB1439</v>
          </cell>
        </row>
        <row r="811">
          <cell r="A811" t="str">
            <v>JOB1440</v>
          </cell>
        </row>
        <row r="812">
          <cell r="A812" t="str">
            <v>JOB1443</v>
          </cell>
        </row>
        <row r="813">
          <cell r="A813" t="str">
            <v>JOB1444</v>
          </cell>
        </row>
        <row r="814">
          <cell r="A814" t="str">
            <v>JOB1456</v>
          </cell>
        </row>
        <row r="815">
          <cell r="A815" t="str">
            <v>JOB1457</v>
          </cell>
        </row>
        <row r="816">
          <cell r="A816" t="str">
            <v>JOB1458</v>
          </cell>
        </row>
        <row r="817">
          <cell r="A817" t="str">
            <v>JOB1459</v>
          </cell>
        </row>
        <row r="818">
          <cell r="A818" t="str">
            <v>JOB1460</v>
          </cell>
        </row>
        <row r="819">
          <cell r="A819" t="str">
            <v>JOB1461</v>
          </cell>
        </row>
        <row r="820">
          <cell r="A820" t="str">
            <v>JOB1462</v>
          </cell>
        </row>
        <row r="821">
          <cell r="A821" t="str">
            <v>JOB1463</v>
          </cell>
        </row>
        <row r="822">
          <cell r="A822" t="str">
            <v>JOB1465</v>
          </cell>
        </row>
        <row r="823">
          <cell r="A823" t="str">
            <v>JOB1466</v>
          </cell>
        </row>
        <row r="824">
          <cell r="A824" t="str">
            <v>JOB1467</v>
          </cell>
        </row>
        <row r="825">
          <cell r="A825" t="str">
            <v>JOB1468</v>
          </cell>
        </row>
        <row r="826">
          <cell r="A826" t="str">
            <v>JOB1469</v>
          </cell>
        </row>
        <row r="827">
          <cell r="A827" t="str">
            <v>JOB1470</v>
          </cell>
        </row>
        <row r="828">
          <cell r="A828" t="str">
            <v>JOB1471</v>
          </cell>
        </row>
        <row r="829">
          <cell r="A829" t="str">
            <v>JOB1472</v>
          </cell>
        </row>
        <row r="830">
          <cell r="A830" t="str">
            <v>JOB1473</v>
          </cell>
        </row>
        <row r="831">
          <cell r="A831" t="str">
            <v>JOB1474</v>
          </cell>
        </row>
        <row r="832">
          <cell r="A832" t="str">
            <v>JOB1475</v>
          </cell>
        </row>
        <row r="833">
          <cell r="A833" t="str">
            <v>JOB1476</v>
          </cell>
        </row>
        <row r="834">
          <cell r="A834" t="str">
            <v>JOB1477</v>
          </cell>
        </row>
        <row r="835">
          <cell r="A835" t="str">
            <v>JOB1479</v>
          </cell>
        </row>
        <row r="836">
          <cell r="A836" t="str">
            <v>JOB1480</v>
          </cell>
        </row>
        <row r="837">
          <cell r="A837" t="str">
            <v>JOB1481</v>
          </cell>
        </row>
        <row r="838">
          <cell r="A838" t="str">
            <v>JOB1482</v>
          </cell>
        </row>
        <row r="839">
          <cell r="A839" t="str">
            <v>JOB1483</v>
          </cell>
        </row>
        <row r="840">
          <cell r="A840" t="str">
            <v>JOB1484</v>
          </cell>
        </row>
        <row r="841">
          <cell r="A841" t="str">
            <v>JOB1485</v>
          </cell>
        </row>
        <row r="842">
          <cell r="A842" t="str">
            <v>JOB1486</v>
          </cell>
        </row>
        <row r="843">
          <cell r="A843" t="str">
            <v>JOB1487</v>
          </cell>
        </row>
        <row r="844">
          <cell r="A844" t="str">
            <v>JOB1488</v>
          </cell>
        </row>
        <row r="845">
          <cell r="A845" t="str">
            <v>JOB1489</v>
          </cell>
        </row>
        <row r="846">
          <cell r="A846" t="str">
            <v>JOB1490</v>
          </cell>
        </row>
        <row r="847">
          <cell r="A847" t="str">
            <v>JOB1491</v>
          </cell>
        </row>
        <row r="848">
          <cell r="A848" t="str">
            <v>JOB1492</v>
          </cell>
        </row>
        <row r="849">
          <cell r="A849" t="str">
            <v>JOB1493</v>
          </cell>
        </row>
        <row r="850">
          <cell r="A850" t="str">
            <v>JOB1494</v>
          </cell>
        </row>
        <row r="851">
          <cell r="A851" t="str">
            <v>JOB1495</v>
          </cell>
        </row>
        <row r="852">
          <cell r="A852" t="str">
            <v>JOB1496</v>
          </cell>
        </row>
        <row r="853">
          <cell r="A853" t="str">
            <v>JOB1497</v>
          </cell>
        </row>
        <row r="854">
          <cell r="A854" t="str">
            <v>JOB1498</v>
          </cell>
        </row>
        <row r="855">
          <cell r="A855" t="str">
            <v>JOB1499</v>
          </cell>
        </row>
        <row r="856">
          <cell r="A856" t="str">
            <v>JOB1500</v>
          </cell>
        </row>
        <row r="857">
          <cell r="A857" t="str">
            <v>JOB1501</v>
          </cell>
        </row>
        <row r="858">
          <cell r="A858" t="str">
            <v>JOB1502</v>
          </cell>
        </row>
        <row r="859">
          <cell r="A859" t="str">
            <v>JOB1503</v>
          </cell>
        </row>
        <row r="860">
          <cell r="A860" t="str">
            <v>JOB1504</v>
          </cell>
        </row>
        <row r="861">
          <cell r="A861" t="str">
            <v>JOB1505</v>
          </cell>
        </row>
        <row r="862">
          <cell r="A862" t="str">
            <v>JOB1506</v>
          </cell>
        </row>
        <row r="863">
          <cell r="A863" t="str">
            <v>JOB1507</v>
          </cell>
        </row>
        <row r="864">
          <cell r="A864" t="str">
            <v>JOB1508</v>
          </cell>
        </row>
        <row r="865">
          <cell r="A865" t="str">
            <v>JOB1509</v>
          </cell>
        </row>
        <row r="866">
          <cell r="A866" t="str">
            <v>JOB1510</v>
          </cell>
        </row>
        <row r="867">
          <cell r="A867" t="str">
            <v>JOB1511</v>
          </cell>
        </row>
        <row r="868">
          <cell r="A868" t="str">
            <v>JOB1512</v>
          </cell>
        </row>
        <row r="869">
          <cell r="A869" t="str">
            <v>JOB1513</v>
          </cell>
        </row>
        <row r="870">
          <cell r="A870" t="str">
            <v>JOB1514</v>
          </cell>
        </row>
        <row r="871">
          <cell r="A871" t="str">
            <v>JOB1515</v>
          </cell>
        </row>
        <row r="872">
          <cell r="A872" t="str">
            <v>JOB1516</v>
          </cell>
        </row>
        <row r="873">
          <cell r="A873" t="str">
            <v>JOB1517</v>
          </cell>
        </row>
        <row r="874">
          <cell r="A874" t="str">
            <v>JOB1518</v>
          </cell>
        </row>
        <row r="875">
          <cell r="A875" t="str">
            <v>JOB1519</v>
          </cell>
        </row>
        <row r="876">
          <cell r="A876" t="str">
            <v>JOB1520</v>
          </cell>
        </row>
        <row r="877">
          <cell r="A877" t="str">
            <v>JOB1522</v>
          </cell>
        </row>
        <row r="878">
          <cell r="A878" t="str">
            <v>JOB1525</v>
          </cell>
        </row>
        <row r="879">
          <cell r="A879" t="str">
            <v>JOB1526</v>
          </cell>
        </row>
        <row r="880">
          <cell r="A880" t="str">
            <v>JOB1527</v>
          </cell>
        </row>
        <row r="881">
          <cell r="A881" t="str">
            <v>JOB1528</v>
          </cell>
        </row>
        <row r="882">
          <cell r="A882" t="str">
            <v>JOB1530</v>
          </cell>
        </row>
        <row r="883">
          <cell r="A883" t="str">
            <v>JOB1531</v>
          </cell>
        </row>
        <row r="884">
          <cell r="A884" t="str">
            <v>JOB1533</v>
          </cell>
        </row>
        <row r="885">
          <cell r="A885" t="str">
            <v>JOB1535</v>
          </cell>
        </row>
        <row r="886">
          <cell r="A886" t="str">
            <v>JOB1536</v>
          </cell>
        </row>
        <row r="887">
          <cell r="A887" t="str">
            <v>JOB1537</v>
          </cell>
        </row>
        <row r="888">
          <cell r="A888" t="str">
            <v>JOB1538</v>
          </cell>
        </row>
        <row r="889">
          <cell r="A889" t="str">
            <v>JOB1539</v>
          </cell>
        </row>
        <row r="890">
          <cell r="A890" t="str">
            <v>JOB1540</v>
          </cell>
        </row>
        <row r="891">
          <cell r="A891" t="str">
            <v>JOB1541</v>
          </cell>
        </row>
        <row r="892">
          <cell r="A892" t="str">
            <v>JOB1542</v>
          </cell>
        </row>
        <row r="893">
          <cell r="A893" t="str">
            <v>JOB1543</v>
          </cell>
        </row>
        <row r="894">
          <cell r="A894" t="str">
            <v>JOB1544</v>
          </cell>
        </row>
        <row r="895">
          <cell r="A895" t="str">
            <v>JOB1545</v>
          </cell>
        </row>
        <row r="896">
          <cell r="A896" t="str">
            <v>JOB1546</v>
          </cell>
        </row>
        <row r="897">
          <cell r="A897" t="str">
            <v>JOB1547</v>
          </cell>
        </row>
        <row r="898">
          <cell r="A898" t="str">
            <v>JOB1548</v>
          </cell>
        </row>
        <row r="899">
          <cell r="A899" t="str">
            <v>JOB1549</v>
          </cell>
        </row>
        <row r="900">
          <cell r="A900" t="str">
            <v>JOB1550</v>
          </cell>
        </row>
        <row r="901">
          <cell r="A901" t="str">
            <v>JOB1551</v>
          </cell>
        </row>
        <row r="902">
          <cell r="A902" t="str">
            <v>JOB1553</v>
          </cell>
        </row>
        <row r="903">
          <cell r="A903" t="str">
            <v>JOB1554</v>
          </cell>
        </row>
        <row r="904">
          <cell r="A904" t="str">
            <v>JOB1555</v>
          </cell>
        </row>
        <row r="905">
          <cell r="A905" t="str">
            <v>JOB1556</v>
          </cell>
        </row>
        <row r="906">
          <cell r="A906" t="str">
            <v>JOB1559</v>
          </cell>
        </row>
        <row r="907">
          <cell r="A907" t="str">
            <v>JOB1560</v>
          </cell>
        </row>
        <row r="908">
          <cell r="A908" t="str">
            <v>JOB1562</v>
          </cell>
        </row>
        <row r="909">
          <cell r="A909" t="str">
            <v>JOB1563</v>
          </cell>
        </row>
        <row r="910">
          <cell r="A910" t="str">
            <v>JOB1564</v>
          </cell>
        </row>
        <row r="911">
          <cell r="A911" t="str">
            <v>JOB1565</v>
          </cell>
        </row>
        <row r="912">
          <cell r="A912" t="str">
            <v>JOB1569</v>
          </cell>
        </row>
        <row r="913">
          <cell r="A913" t="str">
            <v>JOB1570</v>
          </cell>
        </row>
        <row r="914">
          <cell r="A914" t="str">
            <v>JOB1571</v>
          </cell>
        </row>
        <row r="915">
          <cell r="A915" t="str">
            <v>JOB1572</v>
          </cell>
        </row>
        <row r="916">
          <cell r="A916" t="str">
            <v>JOB1576</v>
          </cell>
        </row>
        <row r="917">
          <cell r="A917" t="str">
            <v>JOB1577</v>
          </cell>
        </row>
        <row r="918">
          <cell r="A918" t="str">
            <v>JOB1578</v>
          </cell>
        </row>
        <row r="919">
          <cell r="A919" t="str">
            <v>JOB1579</v>
          </cell>
        </row>
        <row r="920">
          <cell r="A920" t="str">
            <v>JOB1581</v>
          </cell>
        </row>
        <row r="921">
          <cell r="A921" t="str">
            <v>JOB1582</v>
          </cell>
        </row>
        <row r="922">
          <cell r="A922" t="str">
            <v>JOB1583</v>
          </cell>
        </row>
        <row r="923">
          <cell r="A923" t="str">
            <v>JOB1584</v>
          </cell>
        </row>
        <row r="924">
          <cell r="A924" t="str">
            <v>JOB1585</v>
          </cell>
        </row>
        <row r="925">
          <cell r="A925" t="str">
            <v>JOB1588</v>
          </cell>
        </row>
        <row r="926">
          <cell r="A926" t="str">
            <v>JOB1590</v>
          </cell>
        </row>
        <row r="927">
          <cell r="A927" t="str">
            <v>JOB1592</v>
          </cell>
        </row>
        <row r="928">
          <cell r="A928" t="str">
            <v>JOB1594</v>
          </cell>
        </row>
        <row r="929">
          <cell r="A929" t="str">
            <v>JOB1600</v>
          </cell>
        </row>
        <row r="930">
          <cell r="A930" t="str">
            <v>prepay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sdsummary"/>
      <sheetName val="freight"/>
      <sheetName val="rechg"/>
      <sheetName val="commis"/>
      <sheetName val="charter"/>
      <sheetName val="fuel"/>
      <sheetName val="park"/>
      <sheetName val="oil"/>
      <sheetName val="land"/>
      <sheetName val="hand"/>
      <sheetName val="navig"/>
      <sheetName val="drc"/>
      <sheetName val="CABOT"/>
      <sheetName val="plan"/>
      <sheetName val="trfag"/>
      <sheetName val="royal"/>
      <sheetName val="visas"/>
      <sheetName val="warins"/>
      <sheetName val="allow"/>
      <sheetName val="hotac"/>
      <sheetName val="posit"/>
      <sheetName val="cater"/>
      <sheetName val="phone"/>
      <sheetName val="ACCRUAL"/>
      <sheetName val="DEFER"/>
      <sheetName val="journals"/>
      <sheetName val="APR03dloads"/>
    </sheetNames>
    <sheetDataSet>
      <sheetData sheetId="0" refreshError="1">
        <row r="1">
          <cell r="A1" t="str">
            <v>JOB0500</v>
          </cell>
        </row>
        <row r="2">
          <cell r="A2" t="str">
            <v>JOB0522</v>
          </cell>
        </row>
        <row r="3">
          <cell r="A3" t="str">
            <v>JOB0573</v>
          </cell>
        </row>
        <row r="4">
          <cell r="A4" t="str">
            <v>JOB0575</v>
          </cell>
        </row>
        <row r="5">
          <cell r="A5" t="str">
            <v>JOB0579</v>
          </cell>
        </row>
        <row r="6">
          <cell r="A6" t="str">
            <v>JOB0580</v>
          </cell>
        </row>
        <row r="7">
          <cell r="A7" t="str">
            <v>JOB0581</v>
          </cell>
        </row>
        <row r="8">
          <cell r="A8" t="str">
            <v>JOB0582</v>
          </cell>
        </row>
        <row r="9">
          <cell r="A9" t="str">
            <v>JOB0583</v>
          </cell>
        </row>
        <row r="10">
          <cell r="A10" t="str">
            <v>JOB0584</v>
          </cell>
        </row>
        <row r="11">
          <cell r="A11" t="str">
            <v>JOB0585</v>
          </cell>
        </row>
        <row r="12">
          <cell r="A12" t="str">
            <v>JOB0588</v>
          </cell>
        </row>
        <row r="13">
          <cell r="A13" t="str">
            <v>JOB0594</v>
          </cell>
        </row>
        <row r="14">
          <cell r="A14" t="str">
            <v>JOB0595</v>
          </cell>
        </row>
        <row r="15">
          <cell r="A15" t="str">
            <v>JOB0596</v>
          </cell>
        </row>
        <row r="16">
          <cell r="A16" t="str">
            <v>JOB0597</v>
          </cell>
        </row>
        <row r="17">
          <cell r="A17" t="str">
            <v>JOB0598</v>
          </cell>
        </row>
        <row r="18">
          <cell r="A18" t="str">
            <v>JOB0599</v>
          </cell>
        </row>
        <row r="19">
          <cell r="A19" t="str">
            <v>JOB0600</v>
          </cell>
        </row>
        <row r="20">
          <cell r="A20" t="str">
            <v>JOB0601</v>
          </cell>
        </row>
        <row r="21">
          <cell r="A21" t="str">
            <v>JOB0602</v>
          </cell>
        </row>
        <row r="22">
          <cell r="A22" t="str">
            <v>JOB0603</v>
          </cell>
        </row>
        <row r="23">
          <cell r="A23" t="str">
            <v>JOB0604</v>
          </cell>
        </row>
        <row r="24">
          <cell r="A24" t="str">
            <v>JOB0605</v>
          </cell>
        </row>
        <row r="25">
          <cell r="A25" t="str">
            <v>JOB0606</v>
          </cell>
        </row>
        <row r="26">
          <cell r="A26" t="str">
            <v>JOB0607</v>
          </cell>
        </row>
        <row r="27">
          <cell r="A27" t="str">
            <v>JOB0611</v>
          </cell>
        </row>
        <row r="28">
          <cell r="A28" t="str">
            <v>JOB0612</v>
          </cell>
        </row>
        <row r="29">
          <cell r="A29" t="str">
            <v>JOB0613</v>
          </cell>
        </row>
        <row r="30">
          <cell r="A30" t="str">
            <v>JOB0614</v>
          </cell>
        </row>
        <row r="31">
          <cell r="A31" t="str">
            <v>JOB0615</v>
          </cell>
        </row>
        <row r="32">
          <cell r="A32" t="str">
            <v>JOB0616</v>
          </cell>
        </row>
        <row r="33">
          <cell r="A33" t="str">
            <v>JOB0617</v>
          </cell>
        </row>
        <row r="34">
          <cell r="A34" t="str">
            <v>JOB0618</v>
          </cell>
        </row>
        <row r="35">
          <cell r="A35" t="str">
            <v>JOB0619</v>
          </cell>
        </row>
        <row r="36">
          <cell r="A36" t="str">
            <v>JOB0621</v>
          </cell>
        </row>
        <row r="37">
          <cell r="A37" t="str">
            <v>JOB0622</v>
          </cell>
        </row>
        <row r="38">
          <cell r="A38" t="str">
            <v>JOB0623</v>
          </cell>
        </row>
        <row r="39">
          <cell r="A39" t="str">
            <v>JOB0625</v>
          </cell>
        </row>
        <row r="40">
          <cell r="A40" t="str">
            <v>JOB0626</v>
          </cell>
        </row>
        <row r="41">
          <cell r="A41" t="str">
            <v>JOB0627</v>
          </cell>
        </row>
        <row r="42">
          <cell r="A42" t="str">
            <v>JOB0628</v>
          </cell>
        </row>
        <row r="43">
          <cell r="A43" t="str">
            <v>JOB0629</v>
          </cell>
        </row>
        <row r="44">
          <cell r="A44" t="str">
            <v>JOB0630</v>
          </cell>
        </row>
        <row r="45">
          <cell r="A45" t="str">
            <v>JOB0631</v>
          </cell>
        </row>
        <row r="46">
          <cell r="A46" t="str">
            <v>JOB0632</v>
          </cell>
        </row>
        <row r="47">
          <cell r="A47" t="str">
            <v>JOB0634</v>
          </cell>
        </row>
        <row r="48">
          <cell r="A48" t="str">
            <v>JOB0635</v>
          </cell>
        </row>
        <row r="49">
          <cell r="A49" t="str">
            <v>JOB0636</v>
          </cell>
        </row>
        <row r="50">
          <cell r="A50" t="str">
            <v>JOB0637</v>
          </cell>
        </row>
        <row r="51">
          <cell r="A51" t="str">
            <v>JOB0638</v>
          </cell>
        </row>
        <row r="52">
          <cell r="A52" t="str">
            <v>JOB0639</v>
          </cell>
        </row>
        <row r="53">
          <cell r="A53" t="str">
            <v>JOB0640</v>
          </cell>
        </row>
        <row r="54">
          <cell r="A54" t="str">
            <v>JOB0641</v>
          </cell>
        </row>
        <row r="55">
          <cell r="A55" t="str">
            <v>JOB0642</v>
          </cell>
        </row>
        <row r="56">
          <cell r="A56" t="str">
            <v>JOB0643</v>
          </cell>
        </row>
        <row r="57">
          <cell r="A57" t="str">
            <v>JOB0644</v>
          </cell>
        </row>
        <row r="58">
          <cell r="A58" t="str">
            <v>JOB0645</v>
          </cell>
        </row>
        <row r="59">
          <cell r="A59" t="str">
            <v>JOB0646</v>
          </cell>
        </row>
        <row r="60">
          <cell r="A60" t="str">
            <v>JOB0647</v>
          </cell>
        </row>
        <row r="61">
          <cell r="A61" t="str">
            <v>JOB0648</v>
          </cell>
        </row>
        <row r="62">
          <cell r="A62" t="str">
            <v>JOB0649</v>
          </cell>
        </row>
        <row r="63">
          <cell r="A63" t="str">
            <v>JOB0650</v>
          </cell>
        </row>
        <row r="64">
          <cell r="A64" t="str">
            <v>JOB0651</v>
          </cell>
        </row>
        <row r="65">
          <cell r="A65" t="str">
            <v>JOB0652</v>
          </cell>
        </row>
        <row r="66">
          <cell r="A66" t="str">
            <v>JOB0653</v>
          </cell>
        </row>
        <row r="67">
          <cell r="A67" t="str">
            <v>JOB0654</v>
          </cell>
        </row>
        <row r="68">
          <cell r="A68" t="str">
            <v>JOB0655</v>
          </cell>
        </row>
        <row r="69">
          <cell r="A69" t="str">
            <v>JOB0656</v>
          </cell>
        </row>
        <row r="70">
          <cell r="A70" t="str">
            <v>JOB0657</v>
          </cell>
        </row>
        <row r="71">
          <cell r="A71" t="str">
            <v>JOB0658</v>
          </cell>
        </row>
        <row r="72">
          <cell r="A72" t="str">
            <v>JOB0659</v>
          </cell>
        </row>
        <row r="73">
          <cell r="A73" t="str">
            <v>JOB0660</v>
          </cell>
        </row>
        <row r="74">
          <cell r="A74" t="str">
            <v>JOB0661</v>
          </cell>
        </row>
        <row r="75">
          <cell r="A75" t="str">
            <v>JOB0662</v>
          </cell>
        </row>
        <row r="76">
          <cell r="A76" t="str">
            <v>JOB0663</v>
          </cell>
        </row>
        <row r="77">
          <cell r="A77" t="str">
            <v>JOB0664</v>
          </cell>
        </row>
        <row r="78">
          <cell r="A78" t="str">
            <v>JOB0665</v>
          </cell>
        </row>
        <row r="79">
          <cell r="A79" t="str">
            <v>JOB0666</v>
          </cell>
        </row>
        <row r="80">
          <cell r="A80" t="str">
            <v>JOB0667</v>
          </cell>
        </row>
        <row r="81">
          <cell r="A81" t="str">
            <v>JOB0668</v>
          </cell>
        </row>
        <row r="82">
          <cell r="A82" t="str">
            <v>JOB0669</v>
          </cell>
        </row>
        <row r="83">
          <cell r="A83" t="str">
            <v>JOB0670</v>
          </cell>
        </row>
        <row r="84">
          <cell r="A84" t="str">
            <v>JOB0671</v>
          </cell>
        </row>
        <row r="85">
          <cell r="A85" t="str">
            <v>JOB0672</v>
          </cell>
        </row>
        <row r="86">
          <cell r="A86" t="str">
            <v>JOB0673</v>
          </cell>
        </row>
        <row r="87">
          <cell r="A87" t="str">
            <v>JOB0674</v>
          </cell>
        </row>
        <row r="88">
          <cell r="A88" t="str">
            <v>JOB0676</v>
          </cell>
        </row>
        <row r="89">
          <cell r="A89" t="str">
            <v>JOB0677</v>
          </cell>
        </row>
        <row r="90">
          <cell r="A90" t="str">
            <v>JOB0678</v>
          </cell>
        </row>
        <row r="91">
          <cell r="A91" t="str">
            <v>JOB0679</v>
          </cell>
        </row>
        <row r="92">
          <cell r="A92" t="str">
            <v>JOB0681</v>
          </cell>
        </row>
        <row r="93">
          <cell r="A93" t="str">
            <v>JOB0682</v>
          </cell>
        </row>
        <row r="94">
          <cell r="A94" t="str">
            <v>JOB0683</v>
          </cell>
        </row>
        <row r="95">
          <cell r="A95" t="str">
            <v>JOB0684</v>
          </cell>
        </row>
        <row r="96">
          <cell r="A96" t="str">
            <v>JOB0685</v>
          </cell>
        </row>
        <row r="97">
          <cell r="A97" t="str">
            <v>JOB0686</v>
          </cell>
        </row>
        <row r="98">
          <cell r="A98" t="str">
            <v>JOB0687</v>
          </cell>
        </row>
        <row r="99">
          <cell r="A99" t="str">
            <v>JOB0688</v>
          </cell>
        </row>
        <row r="100">
          <cell r="A100" t="str">
            <v>JOB0689</v>
          </cell>
        </row>
        <row r="101">
          <cell r="A101" t="str">
            <v>JOB0690</v>
          </cell>
        </row>
        <row r="102">
          <cell r="A102" t="str">
            <v>JOB0691</v>
          </cell>
        </row>
        <row r="103">
          <cell r="A103" t="str">
            <v>JOB0692</v>
          </cell>
        </row>
        <row r="104">
          <cell r="A104" t="str">
            <v>JOB0693</v>
          </cell>
        </row>
        <row r="105">
          <cell r="A105" t="str">
            <v>JOB0694</v>
          </cell>
        </row>
        <row r="106">
          <cell r="A106" t="str">
            <v>JOB0695</v>
          </cell>
        </row>
        <row r="107">
          <cell r="A107" t="str">
            <v>JOB0696</v>
          </cell>
        </row>
        <row r="108">
          <cell r="A108" t="str">
            <v>JOB0697</v>
          </cell>
        </row>
        <row r="109">
          <cell r="A109" t="str">
            <v>JOB0698</v>
          </cell>
        </row>
        <row r="110">
          <cell r="A110" t="str">
            <v>JOB0699</v>
          </cell>
        </row>
        <row r="111">
          <cell r="A111" t="str">
            <v>JOB0701</v>
          </cell>
        </row>
        <row r="112">
          <cell r="A112" t="str">
            <v>JOB0703</v>
          </cell>
        </row>
        <row r="113">
          <cell r="A113" t="str">
            <v>JOB0704</v>
          </cell>
        </row>
        <row r="114">
          <cell r="A114" t="str">
            <v>JOB0705</v>
          </cell>
        </row>
        <row r="115">
          <cell r="A115" t="str">
            <v>JOB0706</v>
          </cell>
        </row>
        <row r="116">
          <cell r="A116" t="str">
            <v>JOB0707</v>
          </cell>
        </row>
        <row r="117">
          <cell r="A117" t="str">
            <v>JOB0708</v>
          </cell>
        </row>
        <row r="118">
          <cell r="A118" t="str">
            <v>JOB0709</v>
          </cell>
        </row>
        <row r="119">
          <cell r="A119" t="str">
            <v>JOB0710</v>
          </cell>
        </row>
        <row r="120">
          <cell r="A120" t="str">
            <v>JOB0711</v>
          </cell>
        </row>
        <row r="121">
          <cell r="A121" t="str">
            <v>JOB0712</v>
          </cell>
        </row>
        <row r="122">
          <cell r="A122" t="str">
            <v>JOB0713</v>
          </cell>
        </row>
        <row r="123">
          <cell r="A123" t="str">
            <v>JOB0714</v>
          </cell>
        </row>
        <row r="124">
          <cell r="A124" t="str">
            <v>JOB0715</v>
          </cell>
        </row>
        <row r="125">
          <cell r="A125" t="str">
            <v>JOB0716</v>
          </cell>
        </row>
        <row r="126">
          <cell r="A126" t="str">
            <v>JOB0717</v>
          </cell>
        </row>
        <row r="127">
          <cell r="A127" t="str">
            <v>JOB0718</v>
          </cell>
        </row>
        <row r="128">
          <cell r="A128" t="str">
            <v>JOB0719</v>
          </cell>
        </row>
        <row r="129">
          <cell r="A129" t="str">
            <v>JOB0720</v>
          </cell>
        </row>
        <row r="130">
          <cell r="A130" t="str">
            <v>JOB0721</v>
          </cell>
        </row>
        <row r="131">
          <cell r="A131" t="str">
            <v>JOB0722</v>
          </cell>
        </row>
        <row r="132">
          <cell r="A132" t="str">
            <v>JOB0723</v>
          </cell>
        </row>
        <row r="133">
          <cell r="A133" t="str">
            <v>JOB0724</v>
          </cell>
        </row>
        <row r="134">
          <cell r="A134" t="str">
            <v>JOB0725</v>
          </cell>
        </row>
        <row r="135">
          <cell r="A135" t="str">
            <v>JOB0726</v>
          </cell>
        </row>
        <row r="136">
          <cell r="A136" t="str">
            <v>JOB0727</v>
          </cell>
        </row>
        <row r="137">
          <cell r="A137" t="str">
            <v>JOB0728</v>
          </cell>
        </row>
        <row r="138">
          <cell r="A138" t="str">
            <v>JOB0729</v>
          </cell>
        </row>
        <row r="139">
          <cell r="A139" t="str">
            <v>JOB0730</v>
          </cell>
        </row>
        <row r="140">
          <cell r="A140" t="str">
            <v>JOB0731</v>
          </cell>
        </row>
        <row r="141">
          <cell r="A141" t="str">
            <v>JOB0732</v>
          </cell>
        </row>
        <row r="142">
          <cell r="A142" t="str">
            <v>JOB0733</v>
          </cell>
        </row>
        <row r="143">
          <cell r="A143" t="str">
            <v>JOB0734</v>
          </cell>
        </row>
        <row r="144">
          <cell r="A144" t="str">
            <v>JOB0735</v>
          </cell>
        </row>
        <row r="145">
          <cell r="A145" t="str">
            <v>JOB0736</v>
          </cell>
        </row>
        <row r="146">
          <cell r="A146" t="str">
            <v>JOB0737</v>
          </cell>
        </row>
        <row r="147">
          <cell r="A147" t="str">
            <v>JOB0738</v>
          </cell>
        </row>
        <row r="148">
          <cell r="A148" t="str">
            <v>JOB0739</v>
          </cell>
        </row>
        <row r="149">
          <cell r="A149" t="str">
            <v>JOB0740</v>
          </cell>
        </row>
        <row r="150">
          <cell r="A150" t="str">
            <v>JOB0741</v>
          </cell>
        </row>
        <row r="151">
          <cell r="A151" t="str">
            <v>JOB0742</v>
          </cell>
        </row>
        <row r="152">
          <cell r="A152" t="str">
            <v>JOB0743</v>
          </cell>
        </row>
        <row r="153">
          <cell r="A153" t="str">
            <v>JOB0744</v>
          </cell>
        </row>
        <row r="154">
          <cell r="A154" t="str">
            <v>JOB0745</v>
          </cell>
        </row>
        <row r="155">
          <cell r="A155" t="str">
            <v>JOB0746</v>
          </cell>
        </row>
        <row r="156">
          <cell r="A156" t="str">
            <v>JOB0747</v>
          </cell>
        </row>
        <row r="157">
          <cell r="A157" t="str">
            <v>JOB0748</v>
          </cell>
        </row>
        <row r="158">
          <cell r="A158" t="str">
            <v>JOB0749</v>
          </cell>
        </row>
        <row r="159">
          <cell r="A159" t="str">
            <v>JOB0750</v>
          </cell>
        </row>
        <row r="160">
          <cell r="A160" t="str">
            <v>JOB0751</v>
          </cell>
        </row>
        <row r="161">
          <cell r="A161" t="str">
            <v>JOB0752</v>
          </cell>
        </row>
        <row r="162">
          <cell r="A162" t="str">
            <v>JOB0753</v>
          </cell>
        </row>
        <row r="163">
          <cell r="A163" t="str">
            <v>JOB0754</v>
          </cell>
        </row>
        <row r="164">
          <cell r="A164" t="str">
            <v>JOB0755</v>
          </cell>
        </row>
        <row r="165">
          <cell r="A165" t="str">
            <v>JOB0756</v>
          </cell>
        </row>
        <row r="166">
          <cell r="A166" t="str">
            <v>JOB0757</v>
          </cell>
        </row>
        <row r="167">
          <cell r="A167" t="str">
            <v>JOB0758</v>
          </cell>
        </row>
        <row r="168">
          <cell r="A168" t="str">
            <v>JOB0759</v>
          </cell>
        </row>
        <row r="169">
          <cell r="A169" t="str">
            <v>JOB0760</v>
          </cell>
        </row>
        <row r="170">
          <cell r="A170" t="str">
            <v>JOB0761</v>
          </cell>
        </row>
        <row r="171">
          <cell r="A171" t="str">
            <v>JOB0762</v>
          </cell>
        </row>
        <row r="172">
          <cell r="A172" t="str">
            <v>JOB0763</v>
          </cell>
        </row>
        <row r="173">
          <cell r="A173" t="str">
            <v>JOB0764</v>
          </cell>
        </row>
        <row r="174">
          <cell r="A174" t="str">
            <v>JOB0765</v>
          </cell>
        </row>
        <row r="175">
          <cell r="A175" t="str">
            <v>JOB0766</v>
          </cell>
        </row>
        <row r="176">
          <cell r="A176" t="str">
            <v>JOB0767</v>
          </cell>
        </row>
        <row r="177">
          <cell r="A177" t="str">
            <v>JOB0768</v>
          </cell>
        </row>
        <row r="178">
          <cell r="A178" t="str">
            <v>JOB0769</v>
          </cell>
        </row>
        <row r="179">
          <cell r="A179" t="str">
            <v>JOB0770</v>
          </cell>
        </row>
        <row r="180">
          <cell r="A180" t="str">
            <v>JOB0771</v>
          </cell>
        </row>
        <row r="181">
          <cell r="A181" t="str">
            <v>JOB0772</v>
          </cell>
        </row>
        <row r="182">
          <cell r="A182" t="str">
            <v>JOB0773</v>
          </cell>
        </row>
        <row r="183">
          <cell r="A183" t="str">
            <v>JOB0774</v>
          </cell>
        </row>
        <row r="184">
          <cell r="A184" t="str">
            <v>JOB0775</v>
          </cell>
        </row>
        <row r="185">
          <cell r="A185" t="str">
            <v>JOB0776</v>
          </cell>
        </row>
        <row r="186">
          <cell r="A186" t="str">
            <v>JOB0777</v>
          </cell>
        </row>
        <row r="187">
          <cell r="A187" t="str">
            <v>JOB0778</v>
          </cell>
        </row>
        <row r="188">
          <cell r="A188" t="str">
            <v>JOB0779</v>
          </cell>
        </row>
        <row r="189">
          <cell r="A189" t="str">
            <v>JOB0780</v>
          </cell>
        </row>
        <row r="190">
          <cell r="A190" t="str">
            <v>JOB0781</v>
          </cell>
        </row>
        <row r="191">
          <cell r="A191" t="str">
            <v>JOB0782</v>
          </cell>
        </row>
        <row r="192">
          <cell r="A192" t="str">
            <v>JOB0783</v>
          </cell>
        </row>
        <row r="193">
          <cell r="A193" t="str">
            <v>JOB0784</v>
          </cell>
        </row>
        <row r="194">
          <cell r="A194" t="str">
            <v>JOB0785</v>
          </cell>
        </row>
        <row r="195">
          <cell r="A195" t="str">
            <v>JOB0786</v>
          </cell>
        </row>
        <row r="196">
          <cell r="A196" t="str">
            <v>JOB0787</v>
          </cell>
        </row>
        <row r="197">
          <cell r="A197" t="str">
            <v>JOB0789</v>
          </cell>
        </row>
        <row r="198">
          <cell r="A198" t="str">
            <v>JOB0790</v>
          </cell>
        </row>
        <row r="199">
          <cell r="A199" t="str">
            <v>JOB0791</v>
          </cell>
        </row>
        <row r="200">
          <cell r="A200" t="str">
            <v>JOB0792</v>
          </cell>
        </row>
        <row r="201">
          <cell r="A201" t="str">
            <v>JOB0793</v>
          </cell>
        </row>
        <row r="202">
          <cell r="A202" t="str">
            <v>JOB0794</v>
          </cell>
        </row>
        <row r="203">
          <cell r="A203" t="str">
            <v>JOB0795</v>
          </cell>
        </row>
        <row r="204">
          <cell r="A204" t="str">
            <v>JOB0796</v>
          </cell>
        </row>
        <row r="205">
          <cell r="A205" t="str">
            <v>JOB0797</v>
          </cell>
        </row>
        <row r="206">
          <cell r="A206" t="str">
            <v>JOB0798</v>
          </cell>
        </row>
        <row r="207">
          <cell r="A207" t="str">
            <v>JOB0799</v>
          </cell>
        </row>
        <row r="208">
          <cell r="A208" t="str">
            <v>JOB0800</v>
          </cell>
        </row>
        <row r="209">
          <cell r="A209" t="str">
            <v>JOB0801</v>
          </cell>
        </row>
        <row r="210">
          <cell r="A210" t="str">
            <v>JOB0802</v>
          </cell>
        </row>
        <row r="211">
          <cell r="A211" t="str">
            <v>JOB0803</v>
          </cell>
        </row>
        <row r="212">
          <cell r="A212" t="str">
            <v>JOB0804</v>
          </cell>
        </row>
        <row r="213">
          <cell r="A213" t="str">
            <v>JOB0805</v>
          </cell>
        </row>
        <row r="214">
          <cell r="A214" t="str">
            <v>JOB0806</v>
          </cell>
        </row>
        <row r="215">
          <cell r="A215" t="str">
            <v>JOB0807</v>
          </cell>
        </row>
        <row r="216">
          <cell r="A216" t="str">
            <v>JOB0808</v>
          </cell>
        </row>
        <row r="217">
          <cell r="A217" t="str">
            <v>JOB0809</v>
          </cell>
        </row>
        <row r="218">
          <cell r="A218" t="str">
            <v>JOB0810</v>
          </cell>
        </row>
        <row r="219">
          <cell r="A219" t="str">
            <v>JOB0811</v>
          </cell>
        </row>
        <row r="220">
          <cell r="A220" t="str">
            <v>JOB0812</v>
          </cell>
        </row>
        <row r="221">
          <cell r="A221" t="str">
            <v>JOB0813</v>
          </cell>
        </row>
        <row r="222">
          <cell r="A222" t="str">
            <v>JOB0814</v>
          </cell>
        </row>
        <row r="223">
          <cell r="A223" t="str">
            <v>JOB0815</v>
          </cell>
        </row>
        <row r="224">
          <cell r="A224" t="str">
            <v>JOB0816</v>
          </cell>
        </row>
        <row r="225">
          <cell r="A225" t="str">
            <v>JOB0817</v>
          </cell>
        </row>
        <row r="226">
          <cell r="A226" t="str">
            <v>JOB0818</v>
          </cell>
        </row>
        <row r="227">
          <cell r="A227" t="str">
            <v>JOB0819</v>
          </cell>
        </row>
        <row r="228">
          <cell r="A228" t="str">
            <v>JOB0820</v>
          </cell>
        </row>
        <row r="229">
          <cell r="A229" t="str">
            <v>JOB0821</v>
          </cell>
        </row>
        <row r="230">
          <cell r="A230" t="str">
            <v>JOB0822</v>
          </cell>
        </row>
        <row r="231">
          <cell r="A231" t="str">
            <v>JOB0823</v>
          </cell>
        </row>
        <row r="232">
          <cell r="A232" t="str">
            <v>JOB0824</v>
          </cell>
        </row>
        <row r="233">
          <cell r="A233" t="str">
            <v>JOB0825</v>
          </cell>
        </row>
        <row r="234">
          <cell r="A234" t="str">
            <v>JOB0827</v>
          </cell>
        </row>
        <row r="235">
          <cell r="A235" t="str">
            <v>JOB0828</v>
          </cell>
        </row>
        <row r="236">
          <cell r="A236" t="str">
            <v>JOB0829</v>
          </cell>
        </row>
        <row r="237">
          <cell r="A237" t="str">
            <v>JOB0830</v>
          </cell>
        </row>
        <row r="238">
          <cell r="A238" t="str">
            <v>JOB0831</v>
          </cell>
        </row>
        <row r="239">
          <cell r="A239" t="str">
            <v>JOB0832</v>
          </cell>
        </row>
        <row r="240">
          <cell r="A240" t="str">
            <v>JOB0833</v>
          </cell>
        </row>
        <row r="241">
          <cell r="A241" t="str">
            <v>JOB0834</v>
          </cell>
        </row>
        <row r="242">
          <cell r="A242" t="str">
            <v>JOB0836</v>
          </cell>
        </row>
        <row r="243">
          <cell r="A243" t="str">
            <v>JOB0837</v>
          </cell>
        </row>
        <row r="244">
          <cell r="A244" t="str">
            <v>JOB0840</v>
          </cell>
        </row>
        <row r="245">
          <cell r="A245" t="str">
            <v>JOB0841</v>
          </cell>
        </row>
        <row r="246">
          <cell r="A246" t="str">
            <v>JOB0842</v>
          </cell>
        </row>
        <row r="247">
          <cell r="A247" t="str">
            <v>JOB0843</v>
          </cell>
        </row>
        <row r="248">
          <cell r="A248" t="str">
            <v>JOB0844</v>
          </cell>
        </row>
        <row r="249">
          <cell r="A249" t="str">
            <v>JOB0845</v>
          </cell>
        </row>
        <row r="250">
          <cell r="A250" t="str">
            <v>JOB0846</v>
          </cell>
        </row>
        <row r="251">
          <cell r="A251" t="str">
            <v>JOB0847</v>
          </cell>
        </row>
        <row r="252">
          <cell r="A252" t="str">
            <v>JOB0848</v>
          </cell>
        </row>
        <row r="253">
          <cell r="A253" t="str">
            <v>JOB0849</v>
          </cell>
        </row>
        <row r="254">
          <cell r="A254" t="str">
            <v>JOB0850</v>
          </cell>
        </row>
        <row r="255">
          <cell r="A255" t="str">
            <v>JOB0851</v>
          </cell>
        </row>
        <row r="256">
          <cell r="A256" t="str">
            <v>JOB0852</v>
          </cell>
        </row>
        <row r="257">
          <cell r="A257" t="str">
            <v>JOB0853</v>
          </cell>
        </row>
        <row r="258">
          <cell r="A258" t="str">
            <v>JOB0854</v>
          </cell>
        </row>
        <row r="259">
          <cell r="A259" t="str">
            <v>JOB0855</v>
          </cell>
        </row>
        <row r="260">
          <cell r="A260" t="str">
            <v>JOB0856</v>
          </cell>
        </row>
        <row r="261">
          <cell r="A261" t="str">
            <v>JOB0857</v>
          </cell>
        </row>
        <row r="262">
          <cell r="A262" t="str">
            <v>JOB0858</v>
          </cell>
        </row>
        <row r="263">
          <cell r="A263" t="str">
            <v>JOB0859</v>
          </cell>
        </row>
        <row r="264">
          <cell r="A264" t="str">
            <v>JOB0860</v>
          </cell>
        </row>
        <row r="265">
          <cell r="A265" t="str">
            <v>JOB0861</v>
          </cell>
        </row>
        <row r="266">
          <cell r="A266" t="str">
            <v>JOB0862</v>
          </cell>
        </row>
        <row r="267">
          <cell r="A267" t="str">
            <v>JOB0863</v>
          </cell>
        </row>
        <row r="268">
          <cell r="A268" t="str">
            <v>JOB0864</v>
          </cell>
        </row>
        <row r="269">
          <cell r="A269" t="str">
            <v>JOB0865</v>
          </cell>
        </row>
        <row r="270">
          <cell r="A270" t="str">
            <v>JOB0866</v>
          </cell>
        </row>
        <row r="271">
          <cell r="A271" t="str">
            <v>JOB0867</v>
          </cell>
        </row>
        <row r="272">
          <cell r="A272" t="str">
            <v>JOB0868</v>
          </cell>
        </row>
        <row r="273">
          <cell r="A273" t="str">
            <v>JOB0869</v>
          </cell>
        </row>
        <row r="274">
          <cell r="A274" t="str">
            <v>JOB0870</v>
          </cell>
        </row>
        <row r="275">
          <cell r="A275" t="str">
            <v>JOB0871</v>
          </cell>
        </row>
        <row r="276">
          <cell r="A276" t="str">
            <v>JOB0872</v>
          </cell>
        </row>
        <row r="277">
          <cell r="A277" t="str">
            <v>JOB0873</v>
          </cell>
        </row>
        <row r="278">
          <cell r="A278" t="str">
            <v>JOB0874</v>
          </cell>
        </row>
        <row r="279">
          <cell r="A279" t="str">
            <v>JOB0875</v>
          </cell>
        </row>
        <row r="280">
          <cell r="A280" t="str">
            <v>JOB0876</v>
          </cell>
        </row>
        <row r="281">
          <cell r="A281" t="str">
            <v>JOB0877</v>
          </cell>
        </row>
        <row r="282">
          <cell r="A282" t="str">
            <v>JOB0878</v>
          </cell>
        </row>
        <row r="283">
          <cell r="A283" t="str">
            <v>JOB0879</v>
          </cell>
        </row>
        <row r="284">
          <cell r="A284" t="str">
            <v>JOB0880</v>
          </cell>
        </row>
        <row r="285">
          <cell r="A285" t="str">
            <v>JOB0881</v>
          </cell>
        </row>
        <row r="286">
          <cell r="A286" t="str">
            <v>JOB0882</v>
          </cell>
        </row>
        <row r="287">
          <cell r="A287" t="str">
            <v>JOB0883</v>
          </cell>
        </row>
        <row r="288">
          <cell r="A288" t="str">
            <v>JOB0884</v>
          </cell>
        </row>
        <row r="289">
          <cell r="A289" t="str">
            <v>JOB0885</v>
          </cell>
        </row>
        <row r="290">
          <cell r="A290" t="str">
            <v>JOB0886</v>
          </cell>
        </row>
        <row r="291">
          <cell r="A291" t="str">
            <v>JOB0887</v>
          </cell>
        </row>
        <row r="292">
          <cell r="A292" t="str">
            <v>JOB0888</v>
          </cell>
        </row>
        <row r="293">
          <cell r="A293" t="str">
            <v>JOB0889</v>
          </cell>
        </row>
        <row r="294">
          <cell r="A294" t="str">
            <v>JOB0890</v>
          </cell>
        </row>
        <row r="295">
          <cell r="A295" t="str">
            <v>JOB0891</v>
          </cell>
        </row>
        <row r="296">
          <cell r="A296" t="str">
            <v>JOB0892</v>
          </cell>
        </row>
        <row r="297">
          <cell r="A297" t="str">
            <v>JOB0893</v>
          </cell>
        </row>
        <row r="298">
          <cell r="A298" t="str">
            <v>JOB0894</v>
          </cell>
        </row>
        <row r="299">
          <cell r="A299" t="str">
            <v>JOB0895</v>
          </cell>
        </row>
        <row r="300">
          <cell r="A300" t="str">
            <v>JOB0896</v>
          </cell>
        </row>
        <row r="301">
          <cell r="A301" t="str">
            <v>JOB0897</v>
          </cell>
        </row>
        <row r="302">
          <cell r="A302" t="str">
            <v>JOB0898</v>
          </cell>
        </row>
        <row r="303">
          <cell r="A303" t="str">
            <v>JOB0899</v>
          </cell>
        </row>
        <row r="304">
          <cell r="A304" t="str">
            <v>JOB0900</v>
          </cell>
        </row>
        <row r="305">
          <cell r="A305" t="str">
            <v>JOB0901</v>
          </cell>
        </row>
        <row r="306">
          <cell r="A306" t="str">
            <v>JOB0902</v>
          </cell>
        </row>
        <row r="307">
          <cell r="A307" t="str">
            <v>JOB0903</v>
          </cell>
        </row>
        <row r="308">
          <cell r="A308" t="str">
            <v>JOB0904</v>
          </cell>
        </row>
        <row r="309">
          <cell r="A309" t="str">
            <v>JOB0905</v>
          </cell>
        </row>
        <row r="310">
          <cell r="A310" t="str">
            <v>JOB0906</v>
          </cell>
        </row>
        <row r="311">
          <cell r="A311" t="str">
            <v>JOB0907</v>
          </cell>
        </row>
        <row r="312">
          <cell r="A312" t="str">
            <v>JOB0908</v>
          </cell>
        </row>
        <row r="313">
          <cell r="A313" t="str">
            <v>JOB0910</v>
          </cell>
        </row>
        <row r="314">
          <cell r="A314" t="str">
            <v>JOB0912</v>
          </cell>
        </row>
        <row r="315">
          <cell r="A315" t="str">
            <v>JOB0913</v>
          </cell>
        </row>
        <row r="316">
          <cell r="A316" t="str">
            <v>JOB0914</v>
          </cell>
        </row>
        <row r="317">
          <cell r="A317" t="str">
            <v>JOB0915</v>
          </cell>
        </row>
        <row r="318">
          <cell r="A318" t="str">
            <v>JOB0916</v>
          </cell>
        </row>
        <row r="319">
          <cell r="A319" t="str">
            <v>JOB0917</v>
          </cell>
        </row>
        <row r="320">
          <cell r="A320" t="str">
            <v>JOB0918</v>
          </cell>
        </row>
        <row r="321">
          <cell r="A321" t="str">
            <v>JOB0919</v>
          </cell>
        </row>
        <row r="322">
          <cell r="A322" t="str">
            <v>JOB0920</v>
          </cell>
        </row>
        <row r="323">
          <cell r="A323" t="str">
            <v>JOB0922</v>
          </cell>
        </row>
        <row r="324">
          <cell r="A324" t="str">
            <v>JOB0923</v>
          </cell>
        </row>
        <row r="325">
          <cell r="A325" t="str">
            <v>JOB0924</v>
          </cell>
        </row>
        <row r="326">
          <cell r="A326" t="str">
            <v>JOB0925</v>
          </cell>
        </row>
        <row r="327">
          <cell r="A327" t="str">
            <v>JOB0926</v>
          </cell>
        </row>
        <row r="328">
          <cell r="A328" t="str">
            <v>JOB0927</v>
          </cell>
        </row>
        <row r="329">
          <cell r="A329" t="str">
            <v>JOB0928</v>
          </cell>
        </row>
        <row r="330">
          <cell r="A330" t="str">
            <v>JOB0929</v>
          </cell>
        </row>
        <row r="331">
          <cell r="A331" t="str">
            <v>JOB0930</v>
          </cell>
        </row>
        <row r="332">
          <cell r="A332" t="str">
            <v>JOB0931</v>
          </cell>
        </row>
        <row r="333">
          <cell r="A333" t="str">
            <v>JOB0932</v>
          </cell>
        </row>
        <row r="334">
          <cell r="A334" t="str">
            <v>JOB0933</v>
          </cell>
        </row>
        <row r="335">
          <cell r="A335" t="str">
            <v>JOB0934</v>
          </cell>
        </row>
        <row r="336">
          <cell r="A336" t="str">
            <v>JOB0935</v>
          </cell>
        </row>
        <row r="337">
          <cell r="A337" t="str">
            <v>JOB0936</v>
          </cell>
        </row>
        <row r="338">
          <cell r="A338" t="str">
            <v>JOB0937</v>
          </cell>
        </row>
        <row r="339">
          <cell r="A339" t="str">
            <v>JOB0938</v>
          </cell>
        </row>
        <row r="340">
          <cell r="A340" t="str">
            <v>JOB0939</v>
          </cell>
        </row>
        <row r="341">
          <cell r="A341" t="str">
            <v>JOB0940</v>
          </cell>
        </row>
        <row r="342">
          <cell r="A342" t="str">
            <v>JOB0941</v>
          </cell>
        </row>
        <row r="343">
          <cell r="A343" t="str">
            <v>JOB0942</v>
          </cell>
        </row>
        <row r="344">
          <cell r="A344" t="str">
            <v>JOB0943</v>
          </cell>
        </row>
        <row r="345">
          <cell r="A345" t="str">
            <v>JOB0944</v>
          </cell>
        </row>
        <row r="346">
          <cell r="A346" t="str">
            <v>JOB0945</v>
          </cell>
        </row>
        <row r="347">
          <cell r="A347" t="str">
            <v>JOB0946</v>
          </cell>
        </row>
        <row r="348">
          <cell r="A348" t="str">
            <v>JOB0947</v>
          </cell>
        </row>
        <row r="349">
          <cell r="A349" t="str">
            <v>JOB0948</v>
          </cell>
        </row>
        <row r="350">
          <cell r="A350" t="str">
            <v>JOB0949</v>
          </cell>
        </row>
        <row r="351">
          <cell r="A351" t="str">
            <v>JOB0950</v>
          </cell>
        </row>
        <row r="352">
          <cell r="A352" t="str">
            <v>JOB0951</v>
          </cell>
        </row>
        <row r="353">
          <cell r="A353" t="str">
            <v>JOB0952</v>
          </cell>
        </row>
        <row r="354">
          <cell r="A354" t="str">
            <v>JOB0953</v>
          </cell>
        </row>
        <row r="355">
          <cell r="A355" t="str">
            <v>JOB0954</v>
          </cell>
        </row>
        <row r="356">
          <cell r="A356" t="str">
            <v>JOB0955</v>
          </cell>
        </row>
        <row r="357">
          <cell r="A357" t="str">
            <v>JOB0956</v>
          </cell>
        </row>
        <row r="358">
          <cell r="A358" t="str">
            <v>JOB0957</v>
          </cell>
        </row>
        <row r="359">
          <cell r="A359" t="str">
            <v>JOB0958</v>
          </cell>
        </row>
        <row r="360">
          <cell r="A360" t="str">
            <v>JOB0959</v>
          </cell>
        </row>
        <row r="361">
          <cell r="A361" t="str">
            <v>JOB0960</v>
          </cell>
        </row>
        <row r="362">
          <cell r="A362" t="str">
            <v>JOB0961</v>
          </cell>
        </row>
        <row r="363">
          <cell r="A363" t="str">
            <v>JOB0962</v>
          </cell>
        </row>
        <row r="364">
          <cell r="A364" t="str">
            <v>JOB0963</v>
          </cell>
        </row>
        <row r="365">
          <cell r="A365" t="str">
            <v>JOB0964</v>
          </cell>
        </row>
        <row r="366">
          <cell r="A366" t="str">
            <v>JOB0965</v>
          </cell>
        </row>
        <row r="367">
          <cell r="A367" t="str">
            <v>JOB0966</v>
          </cell>
        </row>
        <row r="368">
          <cell r="A368" t="str">
            <v>JOB0967</v>
          </cell>
        </row>
        <row r="369">
          <cell r="A369" t="str">
            <v>JOB0968</v>
          </cell>
        </row>
        <row r="370">
          <cell r="A370" t="str">
            <v>JOB0969</v>
          </cell>
        </row>
        <row r="371">
          <cell r="A371" t="str">
            <v>JOB0970</v>
          </cell>
        </row>
        <row r="372">
          <cell r="A372" t="str">
            <v>JOB0971</v>
          </cell>
        </row>
        <row r="373">
          <cell r="A373" t="str">
            <v>JOB0972</v>
          </cell>
        </row>
        <row r="374">
          <cell r="A374" t="str">
            <v>JOB0973</v>
          </cell>
        </row>
        <row r="375">
          <cell r="A375" t="str">
            <v>JOB0974</v>
          </cell>
        </row>
        <row r="376">
          <cell r="A376" t="str">
            <v>JOB0975</v>
          </cell>
        </row>
        <row r="377">
          <cell r="A377" t="str">
            <v>JOB0976</v>
          </cell>
        </row>
        <row r="378">
          <cell r="A378" t="str">
            <v>JOB0977</v>
          </cell>
        </row>
        <row r="379">
          <cell r="A379" t="str">
            <v>JOB0978</v>
          </cell>
        </row>
        <row r="380">
          <cell r="A380" t="str">
            <v>JOB0979</v>
          </cell>
        </row>
        <row r="381">
          <cell r="A381" t="str">
            <v>JOB0980</v>
          </cell>
        </row>
        <row r="382">
          <cell r="A382" t="str">
            <v>JOB0981</v>
          </cell>
        </row>
        <row r="383">
          <cell r="A383" t="str">
            <v>JOB0982</v>
          </cell>
        </row>
        <row r="384">
          <cell r="A384" t="str">
            <v>JOB0983</v>
          </cell>
        </row>
        <row r="385">
          <cell r="A385" t="str">
            <v>JOB0984</v>
          </cell>
        </row>
        <row r="386">
          <cell r="A386" t="str">
            <v>JOB0985</v>
          </cell>
        </row>
        <row r="387">
          <cell r="A387" t="str">
            <v>JOB0986</v>
          </cell>
        </row>
        <row r="388">
          <cell r="A388" t="str">
            <v>JOB0987</v>
          </cell>
        </row>
        <row r="389">
          <cell r="A389" t="str">
            <v>JOB0988</v>
          </cell>
        </row>
        <row r="390">
          <cell r="A390" t="str">
            <v>JOB0989</v>
          </cell>
        </row>
        <row r="391">
          <cell r="A391" t="str">
            <v>JOB0990</v>
          </cell>
        </row>
        <row r="392">
          <cell r="A392" t="str">
            <v>JOB0991</v>
          </cell>
        </row>
        <row r="393">
          <cell r="A393" t="str">
            <v>JOB0992</v>
          </cell>
        </row>
        <row r="394">
          <cell r="A394" t="str">
            <v>JOB0993</v>
          </cell>
        </row>
        <row r="395">
          <cell r="A395" t="str">
            <v>JOB0994</v>
          </cell>
        </row>
        <row r="396">
          <cell r="A396" t="str">
            <v>JOB0995</v>
          </cell>
        </row>
        <row r="397">
          <cell r="A397" t="str">
            <v>JOB0998</v>
          </cell>
        </row>
        <row r="398">
          <cell r="A398" t="str">
            <v>JOB0999</v>
          </cell>
        </row>
        <row r="399">
          <cell r="A399" t="str">
            <v>JOB1000</v>
          </cell>
        </row>
        <row r="400">
          <cell r="A400" t="str">
            <v>JOB1001</v>
          </cell>
        </row>
        <row r="401">
          <cell r="A401" t="str">
            <v>JOB1001</v>
          </cell>
        </row>
        <row r="402">
          <cell r="A402" t="str">
            <v>JOB1001</v>
          </cell>
        </row>
        <row r="403">
          <cell r="A403" t="str">
            <v>JOB1001</v>
          </cell>
        </row>
        <row r="404">
          <cell r="A404" t="str">
            <v>JOB1002</v>
          </cell>
        </row>
        <row r="405">
          <cell r="A405" t="str">
            <v>JOB1003</v>
          </cell>
        </row>
        <row r="406">
          <cell r="A406" t="str">
            <v>JOB1004</v>
          </cell>
        </row>
        <row r="407">
          <cell r="A407" t="str">
            <v>JOB1005</v>
          </cell>
        </row>
        <row r="408">
          <cell r="A408" t="str">
            <v>JOB1006</v>
          </cell>
        </row>
        <row r="409">
          <cell r="A409" t="str">
            <v>JOB1007</v>
          </cell>
        </row>
        <row r="410">
          <cell r="A410" t="str">
            <v>JOB1008</v>
          </cell>
        </row>
        <row r="411">
          <cell r="A411" t="str">
            <v>JOB1009</v>
          </cell>
        </row>
        <row r="412">
          <cell r="A412" t="str">
            <v>JOB1010</v>
          </cell>
        </row>
        <row r="413">
          <cell r="A413" t="str">
            <v>JOB1012</v>
          </cell>
        </row>
        <row r="414">
          <cell r="A414" t="str">
            <v>JOB1013</v>
          </cell>
        </row>
        <row r="415">
          <cell r="A415" t="str">
            <v>JOB1014</v>
          </cell>
        </row>
        <row r="416">
          <cell r="A416" t="str">
            <v>JOB1015</v>
          </cell>
        </row>
        <row r="417">
          <cell r="A417" t="str">
            <v>JOB1016</v>
          </cell>
        </row>
        <row r="418">
          <cell r="A418" t="str">
            <v>JOB1018</v>
          </cell>
        </row>
        <row r="419">
          <cell r="A419" t="str">
            <v>JOB1019</v>
          </cell>
        </row>
        <row r="420">
          <cell r="A420" t="str">
            <v>JOB1020</v>
          </cell>
        </row>
        <row r="421">
          <cell r="A421" t="str">
            <v>JOB1021</v>
          </cell>
        </row>
        <row r="422">
          <cell r="A422" t="str">
            <v>JOB1022</v>
          </cell>
        </row>
        <row r="423">
          <cell r="A423" t="str">
            <v>JOB1023</v>
          </cell>
        </row>
        <row r="424">
          <cell r="A424" t="str">
            <v>JOB1025</v>
          </cell>
        </row>
        <row r="425">
          <cell r="A425" t="str">
            <v>JOB1026</v>
          </cell>
        </row>
        <row r="426">
          <cell r="A426" t="str">
            <v>JOB1027</v>
          </cell>
        </row>
        <row r="427">
          <cell r="A427" t="str">
            <v>JOB1028</v>
          </cell>
        </row>
        <row r="428">
          <cell r="A428" t="str">
            <v>JOB1029</v>
          </cell>
        </row>
        <row r="429">
          <cell r="A429" t="str">
            <v>JOB1030</v>
          </cell>
        </row>
        <row r="430">
          <cell r="A430" t="str">
            <v>JOB1031</v>
          </cell>
        </row>
        <row r="431">
          <cell r="A431" t="str">
            <v>JOB1032</v>
          </cell>
        </row>
        <row r="432">
          <cell r="A432" t="str">
            <v>JOB1033</v>
          </cell>
        </row>
        <row r="433">
          <cell r="A433" t="str">
            <v>JOB1034</v>
          </cell>
        </row>
        <row r="434">
          <cell r="A434" t="str">
            <v>JOB1035</v>
          </cell>
        </row>
        <row r="435">
          <cell r="A435" t="str">
            <v>JOB1036</v>
          </cell>
        </row>
        <row r="436">
          <cell r="A436" t="str">
            <v>JOB1037</v>
          </cell>
        </row>
        <row r="437">
          <cell r="A437" t="str">
            <v>JOB1038</v>
          </cell>
        </row>
        <row r="438">
          <cell r="A438" t="str">
            <v>JOB1039</v>
          </cell>
        </row>
        <row r="439">
          <cell r="A439" t="str">
            <v>JOB1040</v>
          </cell>
        </row>
        <row r="440">
          <cell r="A440" t="str">
            <v>JOB1041</v>
          </cell>
        </row>
        <row r="441">
          <cell r="A441" t="str">
            <v>JOB1043</v>
          </cell>
        </row>
        <row r="442">
          <cell r="A442" t="str">
            <v>JOB1044</v>
          </cell>
        </row>
        <row r="443">
          <cell r="A443" t="str">
            <v>JOB1045</v>
          </cell>
        </row>
        <row r="444">
          <cell r="A444" t="str">
            <v>JOB1046</v>
          </cell>
        </row>
        <row r="445">
          <cell r="A445" t="str">
            <v>JOB1047</v>
          </cell>
        </row>
        <row r="446">
          <cell r="A446" t="str">
            <v>JOB1048</v>
          </cell>
        </row>
        <row r="447">
          <cell r="A447" t="str">
            <v>JOB1049</v>
          </cell>
        </row>
        <row r="448">
          <cell r="A448" t="str">
            <v>JOB1050</v>
          </cell>
        </row>
        <row r="449">
          <cell r="A449" t="str">
            <v>JOB1051</v>
          </cell>
        </row>
        <row r="450">
          <cell r="A450" t="str">
            <v>JOB1052</v>
          </cell>
        </row>
        <row r="451">
          <cell r="A451" t="str">
            <v>JOB1053</v>
          </cell>
        </row>
        <row r="452">
          <cell r="A452" t="str">
            <v>JOB1054</v>
          </cell>
        </row>
        <row r="453">
          <cell r="A453" t="str">
            <v>JOB1055</v>
          </cell>
        </row>
        <row r="454">
          <cell r="A454" t="str">
            <v>JOB1057</v>
          </cell>
        </row>
        <row r="455">
          <cell r="A455" t="str">
            <v>JOB1058</v>
          </cell>
        </row>
        <row r="456">
          <cell r="A456" t="str">
            <v>JOB1059</v>
          </cell>
        </row>
        <row r="457">
          <cell r="A457" t="str">
            <v>JOB1060</v>
          </cell>
        </row>
        <row r="458">
          <cell r="A458" t="str">
            <v>JOB1061</v>
          </cell>
        </row>
        <row r="459">
          <cell r="A459" t="str">
            <v>JOB1062</v>
          </cell>
        </row>
        <row r="460">
          <cell r="A460" t="str">
            <v>JOB1063</v>
          </cell>
        </row>
        <row r="461">
          <cell r="A461" t="str">
            <v>JOB1064</v>
          </cell>
        </row>
        <row r="462">
          <cell r="A462" t="str">
            <v>JOB1065</v>
          </cell>
        </row>
        <row r="463">
          <cell r="A463" t="str">
            <v>JOB1066</v>
          </cell>
        </row>
        <row r="464">
          <cell r="A464" t="str">
            <v>JOB1067</v>
          </cell>
        </row>
        <row r="465">
          <cell r="A465" t="str">
            <v>JOB1068</v>
          </cell>
        </row>
        <row r="466">
          <cell r="A466" t="str">
            <v>JOB1069</v>
          </cell>
        </row>
        <row r="467">
          <cell r="A467" t="str">
            <v>JOB1070</v>
          </cell>
        </row>
        <row r="468">
          <cell r="A468" t="str">
            <v>JOB1072</v>
          </cell>
        </row>
        <row r="469">
          <cell r="A469" t="str">
            <v>JOB1073</v>
          </cell>
        </row>
        <row r="470">
          <cell r="A470" t="str">
            <v>JOB1074</v>
          </cell>
        </row>
        <row r="471">
          <cell r="A471" t="str">
            <v>JOB1075</v>
          </cell>
        </row>
        <row r="472">
          <cell r="A472" t="str">
            <v>JOB1076</v>
          </cell>
        </row>
        <row r="473">
          <cell r="A473" t="str">
            <v>JOB1077</v>
          </cell>
        </row>
        <row r="474">
          <cell r="A474" t="str">
            <v>JOB1078</v>
          </cell>
        </row>
        <row r="475">
          <cell r="A475" t="str">
            <v>JOB1079</v>
          </cell>
        </row>
        <row r="476">
          <cell r="A476" t="str">
            <v>JOB1080</v>
          </cell>
        </row>
        <row r="477">
          <cell r="A477" t="str">
            <v>JOB1081</v>
          </cell>
        </row>
        <row r="478">
          <cell r="A478" t="str">
            <v>JOB1082</v>
          </cell>
        </row>
        <row r="479">
          <cell r="A479" t="str">
            <v>JOB1083</v>
          </cell>
        </row>
        <row r="480">
          <cell r="A480" t="str">
            <v>JOB1084</v>
          </cell>
        </row>
        <row r="481">
          <cell r="A481" t="str">
            <v>JOB1085</v>
          </cell>
        </row>
        <row r="482">
          <cell r="A482" t="str">
            <v>JOB1086</v>
          </cell>
        </row>
        <row r="483">
          <cell r="A483" t="str">
            <v>JOB1087</v>
          </cell>
        </row>
        <row r="484">
          <cell r="A484" t="str">
            <v>JOB1088</v>
          </cell>
        </row>
        <row r="485">
          <cell r="A485" t="str">
            <v>JOB1089</v>
          </cell>
        </row>
        <row r="486">
          <cell r="A486" t="str">
            <v>JOB1090</v>
          </cell>
        </row>
        <row r="487">
          <cell r="A487" t="str">
            <v>JOB1091</v>
          </cell>
        </row>
        <row r="488">
          <cell r="A488" t="str">
            <v>JOB1092</v>
          </cell>
        </row>
        <row r="489">
          <cell r="A489" t="str">
            <v>JOB1093</v>
          </cell>
        </row>
        <row r="490">
          <cell r="A490" t="str">
            <v>JOB1094</v>
          </cell>
        </row>
        <row r="491">
          <cell r="A491" t="str">
            <v>JOB1095</v>
          </cell>
        </row>
        <row r="492">
          <cell r="A492" t="str">
            <v>JOB1096</v>
          </cell>
        </row>
        <row r="493">
          <cell r="A493" t="str">
            <v>JOB1097</v>
          </cell>
        </row>
        <row r="494">
          <cell r="A494" t="str">
            <v>JOB1098</v>
          </cell>
        </row>
        <row r="495">
          <cell r="A495" t="str">
            <v>JOB1099</v>
          </cell>
        </row>
        <row r="496">
          <cell r="A496" t="str">
            <v>JOB1100</v>
          </cell>
        </row>
        <row r="497">
          <cell r="A497" t="str">
            <v>JOB1101</v>
          </cell>
        </row>
        <row r="498">
          <cell r="A498" t="str">
            <v>JOB1102</v>
          </cell>
        </row>
        <row r="499">
          <cell r="A499" t="str">
            <v>JOB1103</v>
          </cell>
        </row>
        <row r="500">
          <cell r="A500" t="str">
            <v>JOB1104</v>
          </cell>
        </row>
        <row r="501">
          <cell r="A501" t="str">
            <v>JOB1105</v>
          </cell>
        </row>
        <row r="502">
          <cell r="A502" t="str">
            <v>JOB1106</v>
          </cell>
        </row>
        <row r="503">
          <cell r="A503" t="str">
            <v>JOB1107</v>
          </cell>
        </row>
        <row r="504">
          <cell r="A504" t="str">
            <v>JOB1108</v>
          </cell>
        </row>
        <row r="505">
          <cell r="A505" t="str">
            <v>JOB1109</v>
          </cell>
        </row>
        <row r="506">
          <cell r="A506" t="str">
            <v>JOB1110</v>
          </cell>
        </row>
        <row r="507">
          <cell r="A507" t="str">
            <v>JOB1111</v>
          </cell>
        </row>
        <row r="508">
          <cell r="A508" t="str">
            <v>JOB1112</v>
          </cell>
        </row>
        <row r="509">
          <cell r="A509" t="str">
            <v>JOB1113</v>
          </cell>
        </row>
        <row r="510">
          <cell r="A510" t="str">
            <v>JOB1114</v>
          </cell>
        </row>
        <row r="511">
          <cell r="A511" t="str">
            <v>JOB1115</v>
          </cell>
        </row>
        <row r="512">
          <cell r="A512" t="str">
            <v>JOB1116</v>
          </cell>
        </row>
        <row r="513">
          <cell r="A513" t="str">
            <v>JOB1117</v>
          </cell>
        </row>
        <row r="514">
          <cell r="A514" t="str">
            <v>JOB1118</v>
          </cell>
        </row>
        <row r="515">
          <cell r="A515" t="str">
            <v>JOB1119</v>
          </cell>
        </row>
        <row r="516">
          <cell r="A516" t="str">
            <v>JOB1120</v>
          </cell>
        </row>
        <row r="517">
          <cell r="A517" t="str">
            <v>JOB1121</v>
          </cell>
        </row>
        <row r="518">
          <cell r="A518" t="str">
            <v>JOB1126</v>
          </cell>
        </row>
        <row r="519">
          <cell r="A519" t="str">
            <v>JOB1127</v>
          </cell>
        </row>
        <row r="520">
          <cell r="A520" t="str">
            <v>JOB1128</v>
          </cell>
        </row>
        <row r="521">
          <cell r="A521" t="str">
            <v>JOB1129</v>
          </cell>
        </row>
        <row r="522">
          <cell r="A522" t="str">
            <v>JOB1130</v>
          </cell>
        </row>
        <row r="523">
          <cell r="A523" t="str">
            <v>JOB1131</v>
          </cell>
        </row>
        <row r="524">
          <cell r="A524" t="str">
            <v>JOB1132</v>
          </cell>
        </row>
        <row r="525">
          <cell r="A525" t="str">
            <v>JOB1133</v>
          </cell>
        </row>
        <row r="526">
          <cell r="A526" t="str">
            <v>JOB1134</v>
          </cell>
        </row>
        <row r="527">
          <cell r="A527" t="str">
            <v>JOB1135</v>
          </cell>
        </row>
        <row r="528">
          <cell r="A528" t="str">
            <v>JOB1136</v>
          </cell>
        </row>
        <row r="529">
          <cell r="A529" t="str">
            <v>JOB1137</v>
          </cell>
        </row>
        <row r="530">
          <cell r="A530" t="str">
            <v>JOB1139</v>
          </cell>
        </row>
        <row r="531">
          <cell r="A531" t="str">
            <v>JOB1140</v>
          </cell>
        </row>
        <row r="532">
          <cell r="A532" t="str">
            <v>JOB1141</v>
          </cell>
        </row>
        <row r="533">
          <cell r="A533" t="str">
            <v>JOB1142</v>
          </cell>
        </row>
        <row r="534">
          <cell r="A534" t="str">
            <v>JOB1143</v>
          </cell>
        </row>
        <row r="535">
          <cell r="A535" t="str">
            <v>JOB1144</v>
          </cell>
        </row>
        <row r="536">
          <cell r="A536" t="str">
            <v>JOB1145</v>
          </cell>
        </row>
        <row r="537">
          <cell r="A537" t="str">
            <v>JOB1147</v>
          </cell>
        </row>
        <row r="538">
          <cell r="A538" t="str">
            <v>JOB1148</v>
          </cell>
        </row>
        <row r="539">
          <cell r="A539" t="str">
            <v>JOB1149</v>
          </cell>
        </row>
        <row r="540">
          <cell r="A540" t="str">
            <v>JOB1150</v>
          </cell>
        </row>
        <row r="541">
          <cell r="A541" t="str">
            <v>JOB1151</v>
          </cell>
        </row>
        <row r="542">
          <cell r="A542" t="str">
            <v>JOB1152</v>
          </cell>
        </row>
        <row r="543">
          <cell r="A543" t="str">
            <v>JOB1153</v>
          </cell>
        </row>
        <row r="544">
          <cell r="A544" t="str">
            <v>JOB1154</v>
          </cell>
        </row>
        <row r="545">
          <cell r="A545" t="str">
            <v>JOB1155</v>
          </cell>
        </row>
        <row r="546">
          <cell r="A546" t="str">
            <v>JOB1156</v>
          </cell>
        </row>
        <row r="547">
          <cell r="A547" t="str">
            <v>JOB1157</v>
          </cell>
        </row>
        <row r="548">
          <cell r="A548" t="str">
            <v>JOB1158</v>
          </cell>
        </row>
        <row r="549">
          <cell r="A549" t="str">
            <v>JOB1159</v>
          </cell>
        </row>
        <row r="550">
          <cell r="A550" t="str">
            <v>JOB1160</v>
          </cell>
        </row>
        <row r="551">
          <cell r="A551" t="str">
            <v>JOB1161</v>
          </cell>
        </row>
        <row r="552">
          <cell r="A552" t="str">
            <v>JOB1162</v>
          </cell>
        </row>
        <row r="553">
          <cell r="A553" t="str">
            <v>JOB1163</v>
          </cell>
        </row>
        <row r="554">
          <cell r="A554" t="str">
            <v>JOB1164</v>
          </cell>
        </row>
        <row r="555">
          <cell r="A555" t="str">
            <v>JOB1165</v>
          </cell>
        </row>
        <row r="556">
          <cell r="A556" t="str">
            <v>JOB1166</v>
          </cell>
        </row>
        <row r="557">
          <cell r="A557" t="str">
            <v>JOB1167</v>
          </cell>
        </row>
        <row r="558">
          <cell r="A558" t="str">
            <v>JOB1168</v>
          </cell>
        </row>
        <row r="559">
          <cell r="A559" t="str">
            <v>JOB1169</v>
          </cell>
        </row>
        <row r="560">
          <cell r="A560" t="str">
            <v>JOB1170</v>
          </cell>
        </row>
        <row r="561">
          <cell r="A561" t="str">
            <v>JOB1171</v>
          </cell>
        </row>
        <row r="562">
          <cell r="A562" t="str">
            <v>JOB1172</v>
          </cell>
        </row>
        <row r="563">
          <cell r="A563" t="str">
            <v>JOB1173</v>
          </cell>
        </row>
        <row r="564">
          <cell r="A564" t="str">
            <v>JOB1174</v>
          </cell>
        </row>
        <row r="565">
          <cell r="A565" t="str">
            <v>JOB1175</v>
          </cell>
        </row>
        <row r="566">
          <cell r="A566" t="str">
            <v>JOB1176</v>
          </cell>
        </row>
        <row r="567">
          <cell r="A567" t="str">
            <v>JOB1177</v>
          </cell>
        </row>
        <row r="568">
          <cell r="A568" t="str">
            <v>JOB1178</v>
          </cell>
        </row>
        <row r="569">
          <cell r="A569" t="str">
            <v>JOB1179</v>
          </cell>
        </row>
        <row r="570">
          <cell r="A570" t="str">
            <v>JOB1180</v>
          </cell>
        </row>
        <row r="571">
          <cell r="A571" t="str">
            <v>JOB1181</v>
          </cell>
        </row>
        <row r="572">
          <cell r="A572" t="str">
            <v>JOB1182</v>
          </cell>
        </row>
        <row r="573">
          <cell r="A573" t="str">
            <v>JOB1183</v>
          </cell>
        </row>
        <row r="574">
          <cell r="A574" t="str">
            <v>JOB1184</v>
          </cell>
        </row>
        <row r="575">
          <cell r="A575" t="str">
            <v>JOB1185</v>
          </cell>
        </row>
        <row r="576">
          <cell r="A576" t="str">
            <v>JOB1186</v>
          </cell>
        </row>
        <row r="577">
          <cell r="A577" t="str">
            <v>JOB1187</v>
          </cell>
        </row>
        <row r="578">
          <cell r="A578" t="str">
            <v>JOB1189</v>
          </cell>
        </row>
        <row r="579">
          <cell r="A579" t="str">
            <v>JOB1190</v>
          </cell>
        </row>
        <row r="580">
          <cell r="A580" t="str">
            <v>JOB1191</v>
          </cell>
        </row>
        <row r="581">
          <cell r="A581" t="str">
            <v>JOB1192</v>
          </cell>
        </row>
        <row r="582">
          <cell r="A582" t="str">
            <v>JOB1193</v>
          </cell>
        </row>
        <row r="583">
          <cell r="A583" t="str">
            <v>JOB1194</v>
          </cell>
        </row>
        <row r="584">
          <cell r="A584" t="str">
            <v>JOB1195</v>
          </cell>
        </row>
        <row r="585">
          <cell r="A585" t="str">
            <v>JOB1196</v>
          </cell>
        </row>
        <row r="586">
          <cell r="A586" t="str">
            <v>JOB1197</v>
          </cell>
        </row>
        <row r="587">
          <cell r="A587" t="str">
            <v>JOB1198</v>
          </cell>
        </row>
        <row r="588">
          <cell r="A588" t="str">
            <v>JOB1199</v>
          </cell>
        </row>
        <row r="589">
          <cell r="A589" t="str">
            <v>JOB1200</v>
          </cell>
        </row>
        <row r="590">
          <cell r="A590" t="str">
            <v>JOB1201</v>
          </cell>
        </row>
        <row r="591">
          <cell r="A591" t="str">
            <v>JOB1202</v>
          </cell>
        </row>
        <row r="592">
          <cell r="A592" t="str">
            <v>JOB1203</v>
          </cell>
        </row>
        <row r="593">
          <cell r="A593" t="str">
            <v>JOB1204</v>
          </cell>
        </row>
        <row r="594">
          <cell r="A594" t="str">
            <v>JOB1205</v>
          </cell>
        </row>
        <row r="595">
          <cell r="A595" t="str">
            <v>JOB1206</v>
          </cell>
        </row>
        <row r="596">
          <cell r="A596" t="str">
            <v>JOB1207</v>
          </cell>
        </row>
        <row r="597">
          <cell r="A597" t="str">
            <v>JOB1208</v>
          </cell>
        </row>
        <row r="598">
          <cell r="A598" t="str">
            <v>JOB1209</v>
          </cell>
        </row>
        <row r="599">
          <cell r="A599" t="str">
            <v>JOB1210</v>
          </cell>
        </row>
        <row r="600">
          <cell r="A600" t="str">
            <v>JOB1211</v>
          </cell>
        </row>
        <row r="601">
          <cell r="A601" t="str">
            <v>JOB1212</v>
          </cell>
        </row>
        <row r="602">
          <cell r="A602" t="str">
            <v>JOB1213</v>
          </cell>
        </row>
        <row r="603">
          <cell r="A603" t="str">
            <v>JOB1214</v>
          </cell>
        </row>
        <row r="604">
          <cell r="A604" t="str">
            <v>JOB1215</v>
          </cell>
        </row>
        <row r="605">
          <cell r="A605" t="str">
            <v>JOB1216</v>
          </cell>
        </row>
        <row r="606">
          <cell r="A606" t="str">
            <v>JOB1217</v>
          </cell>
        </row>
        <row r="607">
          <cell r="A607" t="str">
            <v>JOB1218</v>
          </cell>
        </row>
        <row r="608">
          <cell r="A608" t="str">
            <v>JOB1219</v>
          </cell>
        </row>
        <row r="609">
          <cell r="A609" t="str">
            <v>JOB1220</v>
          </cell>
        </row>
        <row r="610">
          <cell r="A610" t="str">
            <v>JOB1221</v>
          </cell>
        </row>
        <row r="611">
          <cell r="A611" t="str">
            <v>JOB1222</v>
          </cell>
        </row>
        <row r="612">
          <cell r="A612" t="str">
            <v>JOB1223</v>
          </cell>
        </row>
        <row r="613">
          <cell r="A613" t="str">
            <v>JOB1224</v>
          </cell>
        </row>
        <row r="614">
          <cell r="A614" t="str">
            <v>JOB1225</v>
          </cell>
        </row>
        <row r="615">
          <cell r="A615" t="str">
            <v>JOB1226</v>
          </cell>
        </row>
        <row r="616">
          <cell r="A616" t="str">
            <v>JOB1227</v>
          </cell>
        </row>
        <row r="617">
          <cell r="A617" t="str">
            <v>JOB1229</v>
          </cell>
        </row>
        <row r="618">
          <cell r="A618" t="str">
            <v>JOB1230</v>
          </cell>
        </row>
        <row r="619">
          <cell r="A619" t="str">
            <v>JOB1231</v>
          </cell>
        </row>
        <row r="620">
          <cell r="A620" t="str">
            <v>JOB1232</v>
          </cell>
        </row>
        <row r="621">
          <cell r="A621" t="str">
            <v>JOB1233</v>
          </cell>
        </row>
        <row r="622">
          <cell r="A622" t="str">
            <v>JOB1234</v>
          </cell>
        </row>
        <row r="623">
          <cell r="A623" t="str">
            <v>JOB1235</v>
          </cell>
        </row>
        <row r="624">
          <cell r="A624" t="str">
            <v>JOB1236</v>
          </cell>
        </row>
        <row r="625">
          <cell r="A625" t="str">
            <v>JOB1238</v>
          </cell>
        </row>
        <row r="626">
          <cell r="A626" t="str">
            <v>JOB1239</v>
          </cell>
        </row>
        <row r="627">
          <cell r="A627" t="str">
            <v>JOB1240</v>
          </cell>
        </row>
        <row r="628">
          <cell r="A628" t="str">
            <v>JOB1241</v>
          </cell>
        </row>
        <row r="629">
          <cell r="A629" t="str">
            <v>JOB1242</v>
          </cell>
        </row>
        <row r="630">
          <cell r="A630" t="str">
            <v>JOB1243</v>
          </cell>
        </row>
        <row r="631">
          <cell r="A631" t="str">
            <v>JOB1244</v>
          </cell>
        </row>
        <row r="632">
          <cell r="A632" t="str">
            <v>JOB1245</v>
          </cell>
        </row>
        <row r="633">
          <cell r="A633" t="str">
            <v>JOB1246</v>
          </cell>
        </row>
        <row r="634">
          <cell r="A634" t="str">
            <v>JOB1247</v>
          </cell>
        </row>
        <row r="635">
          <cell r="A635" t="str">
            <v>JOB1248</v>
          </cell>
        </row>
        <row r="636">
          <cell r="A636" t="str">
            <v>JOB1256</v>
          </cell>
        </row>
        <row r="637">
          <cell r="A637" t="str">
            <v>JOB1257</v>
          </cell>
        </row>
        <row r="638">
          <cell r="A638" t="str">
            <v>JOB1258</v>
          </cell>
        </row>
        <row r="639">
          <cell r="A639" t="str">
            <v>JOB1259</v>
          </cell>
        </row>
        <row r="640">
          <cell r="A640" t="str">
            <v>JOB1260</v>
          </cell>
        </row>
        <row r="641">
          <cell r="A641" t="str">
            <v>JOB1261</v>
          </cell>
        </row>
        <row r="642">
          <cell r="A642" t="str">
            <v>JOB1262</v>
          </cell>
        </row>
        <row r="643">
          <cell r="A643" t="str">
            <v>JOB1265</v>
          </cell>
        </row>
        <row r="644">
          <cell r="A644" t="str">
            <v>JOB1266</v>
          </cell>
        </row>
        <row r="645">
          <cell r="A645" t="str">
            <v>JOB1267</v>
          </cell>
        </row>
        <row r="646">
          <cell r="A646" t="str">
            <v>JOB1268</v>
          </cell>
        </row>
        <row r="647">
          <cell r="A647" t="str">
            <v>JOB1269</v>
          </cell>
        </row>
        <row r="648">
          <cell r="A648" t="str">
            <v>JOB1270</v>
          </cell>
        </row>
        <row r="649">
          <cell r="A649" t="str">
            <v>JOB1271</v>
          </cell>
        </row>
        <row r="650">
          <cell r="A650" t="str">
            <v>JOB1272</v>
          </cell>
        </row>
        <row r="651">
          <cell r="A651" t="str">
            <v>JOB1273</v>
          </cell>
        </row>
        <row r="652">
          <cell r="A652" t="str">
            <v>JOB1274</v>
          </cell>
        </row>
        <row r="653">
          <cell r="A653" t="str">
            <v>JOB1275</v>
          </cell>
        </row>
        <row r="654">
          <cell r="A654" t="str">
            <v>JOB1276</v>
          </cell>
        </row>
        <row r="655">
          <cell r="A655" t="str">
            <v>JOB1277</v>
          </cell>
        </row>
        <row r="656">
          <cell r="A656" t="str">
            <v>JOB1278</v>
          </cell>
        </row>
        <row r="657">
          <cell r="A657" t="str">
            <v>JOB1279</v>
          </cell>
        </row>
        <row r="658">
          <cell r="A658" t="str">
            <v>JOB1280</v>
          </cell>
        </row>
        <row r="659">
          <cell r="A659" t="str">
            <v>JOB1281</v>
          </cell>
        </row>
        <row r="660">
          <cell r="A660" t="str">
            <v>JOB1282</v>
          </cell>
        </row>
        <row r="661">
          <cell r="A661" t="str">
            <v>JOB1283</v>
          </cell>
        </row>
        <row r="662">
          <cell r="A662" t="str">
            <v>JOB1284</v>
          </cell>
        </row>
        <row r="663">
          <cell r="A663" t="str">
            <v>JOB1285</v>
          </cell>
        </row>
        <row r="664">
          <cell r="A664" t="str">
            <v>JOB1286</v>
          </cell>
        </row>
        <row r="665">
          <cell r="A665" t="str">
            <v>JOB1287</v>
          </cell>
        </row>
        <row r="666">
          <cell r="A666" t="str">
            <v>JOB1288</v>
          </cell>
        </row>
        <row r="667">
          <cell r="A667" t="str">
            <v>JOB1289</v>
          </cell>
        </row>
        <row r="668">
          <cell r="A668" t="str">
            <v>JOB1290</v>
          </cell>
        </row>
        <row r="669">
          <cell r="A669" t="str">
            <v>JOB1291</v>
          </cell>
        </row>
        <row r="670">
          <cell r="A670" t="str">
            <v>JOB1292</v>
          </cell>
        </row>
        <row r="671">
          <cell r="A671" t="str">
            <v>JOB1293</v>
          </cell>
        </row>
        <row r="672">
          <cell r="A672" t="str">
            <v>JOB1294</v>
          </cell>
        </row>
        <row r="673">
          <cell r="A673" t="str">
            <v>JOB1295</v>
          </cell>
        </row>
        <row r="674">
          <cell r="A674" t="str">
            <v>JOB1296</v>
          </cell>
        </row>
        <row r="675">
          <cell r="A675" t="str">
            <v>JOB1297</v>
          </cell>
        </row>
        <row r="676">
          <cell r="A676" t="str">
            <v>JOB1298</v>
          </cell>
        </row>
        <row r="677">
          <cell r="A677" t="str">
            <v>JOB1299</v>
          </cell>
        </row>
        <row r="678">
          <cell r="A678" t="str">
            <v>JOB1300</v>
          </cell>
        </row>
        <row r="679">
          <cell r="A679" t="str">
            <v>JOB1301</v>
          </cell>
        </row>
        <row r="680">
          <cell r="A680" t="str">
            <v>JOB1302</v>
          </cell>
        </row>
        <row r="681">
          <cell r="A681" t="str">
            <v>JOB1303</v>
          </cell>
        </row>
        <row r="682">
          <cell r="A682" t="str">
            <v>JOB1304</v>
          </cell>
        </row>
        <row r="683">
          <cell r="A683" t="str">
            <v>JOB1306</v>
          </cell>
        </row>
        <row r="684">
          <cell r="A684" t="str">
            <v>JOB1307</v>
          </cell>
        </row>
        <row r="685">
          <cell r="A685" t="str">
            <v>JOB1308</v>
          </cell>
        </row>
        <row r="686">
          <cell r="A686" t="str">
            <v>JOB1309</v>
          </cell>
        </row>
        <row r="687">
          <cell r="A687" t="str">
            <v>JOB1310</v>
          </cell>
        </row>
        <row r="688">
          <cell r="A688" t="str">
            <v>JOB1311</v>
          </cell>
        </row>
        <row r="689">
          <cell r="A689" t="str">
            <v>JOB1313</v>
          </cell>
        </row>
        <row r="690">
          <cell r="A690" t="str">
            <v>JOB1314</v>
          </cell>
        </row>
        <row r="691">
          <cell r="A691" t="str">
            <v>JOB1315</v>
          </cell>
        </row>
        <row r="692">
          <cell r="A692" t="str">
            <v>JOB1316</v>
          </cell>
        </row>
        <row r="693">
          <cell r="A693" t="str">
            <v>JOB1317</v>
          </cell>
        </row>
        <row r="694">
          <cell r="A694" t="str">
            <v>JOB1318</v>
          </cell>
        </row>
        <row r="695">
          <cell r="A695" t="str">
            <v>JOB1319</v>
          </cell>
        </row>
        <row r="696">
          <cell r="A696" t="str">
            <v>JOB1320</v>
          </cell>
        </row>
        <row r="697">
          <cell r="A697" t="str">
            <v>JOB1321</v>
          </cell>
        </row>
        <row r="698">
          <cell r="A698" t="str">
            <v>JOB1322</v>
          </cell>
        </row>
        <row r="699">
          <cell r="A699" t="str">
            <v>JOB1323</v>
          </cell>
        </row>
        <row r="700">
          <cell r="A700" t="str">
            <v>JOB1324</v>
          </cell>
        </row>
        <row r="701">
          <cell r="A701" t="str">
            <v>JOB1325</v>
          </cell>
        </row>
        <row r="702">
          <cell r="A702" t="str">
            <v>JOB1326</v>
          </cell>
        </row>
        <row r="703">
          <cell r="A703" t="str">
            <v>JOB1327</v>
          </cell>
        </row>
        <row r="704">
          <cell r="A704" t="str">
            <v>JOB1328</v>
          </cell>
        </row>
        <row r="705">
          <cell r="A705" t="str">
            <v>JOB1329</v>
          </cell>
        </row>
        <row r="706">
          <cell r="A706" t="str">
            <v>JOB1330</v>
          </cell>
        </row>
        <row r="707">
          <cell r="A707" t="str">
            <v>JOB1331</v>
          </cell>
        </row>
        <row r="708">
          <cell r="A708" t="str">
            <v>JOB1332</v>
          </cell>
        </row>
        <row r="709">
          <cell r="A709" t="str">
            <v>JOB1333</v>
          </cell>
        </row>
        <row r="710">
          <cell r="A710" t="str">
            <v>JOB1334</v>
          </cell>
        </row>
        <row r="711">
          <cell r="A711" t="str">
            <v>JOB1335</v>
          </cell>
        </row>
        <row r="712">
          <cell r="A712" t="str">
            <v>JOB1336</v>
          </cell>
        </row>
        <row r="713">
          <cell r="A713" t="str">
            <v>JOB1337</v>
          </cell>
        </row>
        <row r="714">
          <cell r="A714" t="str">
            <v>JOB1338</v>
          </cell>
        </row>
        <row r="715">
          <cell r="A715" t="str">
            <v>JOB1339</v>
          </cell>
        </row>
        <row r="716">
          <cell r="A716" t="str">
            <v>JOB1340</v>
          </cell>
        </row>
        <row r="717">
          <cell r="A717" t="str">
            <v>JOB1341</v>
          </cell>
        </row>
        <row r="718">
          <cell r="A718" t="str">
            <v>JOB1343</v>
          </cell>
        </row>
        <row r="719">
          <cell r="A719" t="str">
            <v>JOB1344</v>
          </cell>
        </row>
        <row r="720">
          <cell r="A720" t="str">
            <v>JOB1345</v>
          </cell>
        </row>
        <row r="721">
          <cell r="A721" t="str">
            <v>JOB1346</v>
          </cell>
        </row>
        <row r="722">
          <cell r="A722" t="str">
            <v>JOB1346</v>
          </cell>
        </row>
        <row r="723">
          <cell r="A723" t="str">
            <v>JOB1347</v>
          </cell>
        </row>
        <row r="724">
          <cell r="A724" t="str">
            <v>JOB1350</v>
          </cell>
        </row>
        <row r="725">
          <cell r="A725" t="str">
            <v>JOB1351</v>
          </cell>
        </row>
        <row r="726">
          <cell r="A726" t="str">
            <v>JOB1352</v>
          </cell>
        </row>
        <row r="727">
          <cell r="A727" t="str">
            <v>JOB1353</v>
          </cell>
        </row>
        <row r="728">
          <cell r="A728" t="str">
            <v>JOB1354</v>
          </cell>
        </row>
        <row r="729">
          <cell r="A729" t="str">
            <v>JOB1355</v>
          </cell>
        </row>
        <row r="730">
          <cell r="A730" t="str">
            <v>JOB1356</v>
          </cell>
        </row>
        <row r="731">
          <cell r="A731" t="str">
            <v>JOB1357</v>
          </cell>
        </row>
        <row r="732">
          <cell r="A732" t="str">
            <v>JOB1358</v>
          </cell>
        </row>
        <row r="733">
          <cell r="A733" t="str">
            <v>JOB1359</v>
          </cell>
        </row>
        <row r="734">
          <cell r="A734" t="str">
            <v>JOB1360</v>
          </cell>
        </row>
        <row r="735">
          <cell r="A735" t="str">
            <v>JOB1361</v>
          </cell>
        </row>
        <row r="736">
          <cell r="A736" t="str">
            <v>JOB1362</v>
          </cell>
        </row>
        <row r="737">
          <cell r="A737" t="str">
            <v>JOB1363</v>
          </cell>
        </row>
        <row r="738">
          <cell r="A738" t="str">
            <v>JOB1364</v>
          </cell>
        </row>
        <row r="739">
          <cell r="A739" t="str">
            <v>JOB1365</v>
          </cell>
        </row>
        <row r="740">
          <cell r="A740" t="str">
            <v>JOB1366</v>
          </cell>
        </row>
        <row r="741">
          <cell r="A741" t="str">
            <v>JOB1367</v>
          </cell>
        </row>
        <row r="742">
          <cell r="A742" t="str">
            <v>JOB1368</v>
          </cell>
        </row>
        <row r="743">
          <cell r="A743" t="str">
            <v>JOB1369</v>
          </cell>
        </row>
        <row r="744">
          <cell r="A744" t="str">
            <v>JOB1370</v>
          </cell>
        </row>
        <row r="745">
          <cell r="A745" t="str">
            <v>JOB1371</v>
          </cell>
        </row>
        <row r="746">
          <cell r="A746" t="str">
            <v>JOB1372</v>
          </cell>
        </row>
        <row r="747">
          <cell r="A747" t="str">
            <v>JOB1373</v>
          </cell>
        </row>
        <row r="748">
          <cell r="A748" t="str">
            <v>JOB1374</v>
          </cell>
        </row>
        <row r="749">
          <cell r="A749" t="str">
            <v>JOB1375</v>
          </cell>
        </row>
        <row r="750">
          <cell r="A750" t="str">
            <v>JOB1376</v>
          </cell>
        </row>
        <row r="751">
          <cell r="A751" t="str">
            <v>JOB1377</v>
          </cell>
        </row>
        <row r="752">
          <cell r="A752" t="str">
            <v>JOB1378</v>
          </cell>
        </row>
        <row r="753">
          <cell r="A753" t="str">
            <v>JOB1379</v>
          </cell>
        </row>
        <row r="754">
          <cell r="A754" t="str">
            <v>JOB1380</v>
          </cell>
        </row>
        <row r="755">
          <cell r="A755" t="str">
            <v>JOB1381</v>
          </cell>
        </row>
        <row r="756">
          <cell r="A756" t="str">
            <v>JOB1382</v>
          </cell>
        </row>
        <row r="757">
          <cell r="A757" t="str">
            <v>JOB1383</v>
          </cell>
        </row>
        <row r="758">
          <cell r="A758" t="str">
            <v>JOB1384</v>
          </cell>
        </row>
        <row r="759">
          <cell r="A759" t="str">
            <v>JOB1385</v>
          </cell>
        </row>
        <row r="760">
          <cell r="A760" t="str">
            <v>JOB1386</v>
          </cell>
        </row>
        <row r="761">
          <cell r="A761" t="str">
            <v>JOB1387</v>
          </cell>
        </row>
        <row r="762">
          <cell r="A762" t="str">
            <v>JOB1389</v>
          </cell>
        </row>
        <row r="763">
          <cell r="A763" t="str">
            <v>JOB1390</v>
          </cell>
        </row>
        <row r="764">
          <cell r="A764" t="str">
            <v>JOB1391</v>
          </cell>
        </row>
        <row r="765">
          <cell r="A765" t="str">
            <v>JOB1392</v>
          </cell>
        </row>
        <row r="766">
          <cell r="A766" t="str">
            <v>JOB1393</v>
          </cell>
        </row>
        <row r="767">
          <cell r="A767" t="str">
            <v>JOB1394</v>
          </cell>
        </row>
        <row r="768">
          <cell r="A768" t="str">
            <v>JOB1395</v>
          </cell>
        </row>
        <row r="769">
          <cell r="A769" t="str">
            <v>JOB1396</v>
          </cell>
        </row>
        <row r="770">
          <cell r="A770" t="str">
            <v>JOB1397</v>
          </cell>
        </row>
        <row r="771">
          <cell r="A771" t="str">
            <v>JOB1398</v>
          </cell>
        </row>
        <row r="772">
          <cell r="A772" t="str">
            <v>JOB1399</v>
          </cell>
        </row>
        <row r="773">
          <cell r="A773" t="str">
            <v>JOB1400</v>
          </cell>
        </row>
        <row r="774">
          <cell r="A774" t="str">
            <v>JOB1401</v>
          </cell>
        </row>
        <row r="775">
          <cell r="A775" t="str">
            <v>JOB1402</v>
          </cell>
        </row>
        <row r="776">
          <cell r="A776" t="str">
            <v>JOB1403</v>
          </cell>
        </row>
        <row r="777">
          <cell r="A777" t="str">
            <v>JOB1404</v>
          </cell>
        </row>
        <row r="778">
          <cell r="A778" t="str">
            <v>JOB1405</v>
          </cell>
        </row>
        <row r="779">
          <cell r="A779" t="str">
            <v>JOB1406</v>
          </cell>
        </row>
        <row r="780">
          <cell r="A780" t="str">
            <v>JOB1407</v>
          </cell>
        </row>
        <row r="781">
          <cell r="A781" t="str">
            <v>JOB1408</v>
          </cell>
        </row>
        <row r="782">
          <cell r="A782" t="str">
            <v>JOB1409</v>
          </cell>
        </row>
        <row r="783">
          <cell r="A783" t="str">
            <v>JOB1410</v>
          </cell>
        </row>
        <row r="784">
          <cell r="A784" t="str">
            <v>JOB1411</v>
          </cell>
        </row>
        <row r="785">
          <cell r="A785" t="str">
            <v>JOB1412</v>
          </cell>
        </row>
        <row r="786">
          <cell r="A786" t="str">
            <v>JOB1413</v>
          </cell>
        </row>
        <row r="787">
          <cell r="A787" t="str">
            <v>JOB1415</v>
          </cell>
        </row>
        <row r="788">
          <cell r="A788" t="str">
            <v>JOB1416</v>
          </cell>
        </row>
        <row r="789">
          <cell r="A789" t="str">
            <v>JOB1417</v>
          </cell>
        </row>
        <row r="790">
          <cell r="A790" t="str">
            <v>JOB1418</v>
          </cell>
        </row>
        <row r="791">
          <cell r="A791" t="str">
            <v>JOB1419</v>
          </cell>
        </row>
        <row r="792">
          <cell r="A792" t="str">
            <v>JOB1420</v>
          </cell>
        </row>
        <row r="793">
          <cell r="A793" t="str">
            <v>JOB1421</v>
          </cell>
        </row>
        <row r="794">
          <cell r="A794" t="str">
            <v>JOB1422</v>
          </cell>
        </row>
        <row r="795">
          <cell r="A795" t="str">
            <v>JOB1423</v>
          </cell>
        </row>
        <row r="796">
          <cell r="A796" t="str">
            <v>JOB1424</v>
          </cell>
        </row>
        <row r="797">
          <cell r="A797" t="str">
            <v>JOB1425</v>
          </cell>
        </row>
        <row r="798">
          <cell r="A798" t="str">
            <v>JOB1426</v>
          </cell>
        </row>
        <row r="799">
          <cell r="A799" t="str">
            <v>JOB1427</v>
          </cell>
        </row>
        <row r="800">
          <cell r="A800" t="str">
            <v>JOB1428</v>
          </cell>
        </row>
        <row r="801">
          <cell r="A801" t="str">
            <v>JOB1429</v>
          </cell>
        </row>
        <row r="802">
          <cell r="A802" t="str">
            <v>JOB1430</v>
          </cell>
        </row>
        <row r="803">
          <cell r="A803" t="str">
            <v>JOB1431</v>
          </cell>
        </row>
        <row r="804">
          <cell r="A804" t="str">
            <v>JOB1433</v>
          </cell>
        </row>
        <row r="805">
          <cell r="A805" t="str">
            <v>JOB1434</v>
          </cell>
        </row>
        <row r="806">
          <cell r="A806" t="str">
            <v>JOB1435</v>
          </cell>
        </row>
        <row r="807">
          <cell r="A807" t="str">
            <v>JOB1436</v>
          </cell>
        </row>
        <row r="808">
          <cell r="A808" t="str">
            <v>JOB1437</v>
          </cell>
        </row>
        <row r="809">
          <cell r="A809" t="str">
            <v>JOB1438</v>
          </cell>
        </row>
        <row r="810">
          <cell r="A810" t="str">
            <v>JOB1439</v>
          </cell>
        </row>
        <row r="811">
          <cell r="A811" t="str">
            <v>JOB1440</v>
          </cell>
        </row>
        <row r="812">
          <cell r="A812" t="str">
            <v>JOB1443</v>
          </cell>
        </row>
        <row r="813">
          <cell r="A813" t="str">
            <v>JOB1444</v>
          </cell>
        </row>
        <row r="814">
          <cell r="A814" t="str">
            <v>JOB1456</v>
          </cell>
        </row>
        <row r="815">
          <cell r="A815" t="str">
            <v>JOB1457</v>
          </cell>
        </row>
        <row r="816">
          <cell r="A816" t="str">
            <v>JOB1458</v>
          </cell>
        </row>
        <row r="817">
          <cell r="A817" t="str">
            <v>JOB1459</v>
          </cell>
        </row>
        <row r="818">
          <cell r="A818" t="str">
            <v>JOB1460</v>
          </cell>
        </row>
        <row r="819">
          <cell r="A819" t="str">
            <v>JOB1461</v>
          </cell>
        </row>
        <row r="820">
          <cell r="A820" t="str">
            <v>JOB1462</v>
          </cell>
        </row>
        <row r="821">
          <cell r="A821" t="str">
            <v>JOB1463</v>
          </cell>
        </row>
        <row r="822">
          <cell r="A822" t="str">
            <v>JOB1465</v>
          </cell>
        </row>
        <row r="823">
          <cell r="A823" t="str">
            <v>JOB1466</v>
          </cell>
        </row>
        <row r="824">
          <cell r="A824" t="str">
            <v>JOB1467</v>
          </cell>
        </row>
        <row r="825">
          <cell r="A825" t="str">
            <v>JOB1468</v>
          </cell>
        </row>
        <row r="826">
          <cell r="A826" t="str">
            <v>JOB1469</v>
          </cell>
        </row>
        <row r="827">
          <cell r="A827" t="str">
            <v>JOB1470</v>
          </cell>
        </row>
        <row r="828">
          <cell r="A828" t="str">
            <v>JOB1471</v>
          </cell>
        </row>
        <row r="829">
          <cell r="A829" t="str">
            <v>JOB1472</v>
          </cell>
        </row>
        <row r="830">
          <cell r="A830" t="str">
            <v>JOB1473</v>
          </cell>
        </row>
        <row r="831">
          <cell r="A831" t="str">
            <v>JOB1474</v>
          </cell>
        </row>
        <row r="832">
          <cell r="A832" t="str">
            <v>JOB1475</v>
          </cell>
        </row>
        <row r="833">
          <cell r="A833" t="str">
            <v>JOB1476</v>
          </cell>
        </row>
        <row r="834">
          <cell r="A834" t="str">
            <v>JOB1477</v>
          </cell>
        </row>
        <row r="835">
          <cell r="A835" t="str">
            <v>JOB1479</v>
          </cell>
        </row>
        <row r="836">
          <cell r="A836" t="str">
            <v>JOB1480</v>
          </cell>
        </row>
        <row r="837">
          <cell r="A837" t="str">
            <v>JOB1481</v>
          </cell>
        </row>
        <row r="838">
          <cell r="A838" t="str">
            <v>JOB1482</v>
          </cell>
        </row>
        <row r="839">
          <cell r="A839" t="str">
            <v>JOB1483</v>
          </cell>
        </row>
        <row r="840">
          <cell r="A840" t="str">
            <v>JOB1484</v>
          </cell>
        </row>
        <row r="841">
          <cell r="A841" t="str">
            <v>JOB1485</v>
          </cell>
        </row>
        <row r="842">
          <cell r="A842" t="str">
            <v>JOB1486</v>
          </cell>
        </row>
        <row r="843">
          <cell r="A843" t="str">
            <v>JOB1487</v>
          </cell>
        </row>
        <row r="844">
          <cell r="A844" t="str">
            <v>JOB1488</v>
          </cell>
        </row>
        <row r="845">
          <cell r="A845" t="str">
            <v>JOB1489</v>
          </cell>
        </row>
        <row r="846">
          <cell r="A846" t="str">
            <v>JOB1490</v>
          </cell>
        </row>
        <row r="847">
          <cell r="A847" t="str">
            <v>JOB1491</v>
          </cell>
        </row>
        <row r="848">
          <cell r="A848" t="str">
            <v>JOB1492</v>
          </cell>
        </row>
        <row r="849">
          <cell r="A849" t="str">
            <v>JOB1493</v>
          </cell>
        </row>
        <row r="850">
          <cell r="A850" t="str">
            <v>JOB1494</v>
          </cell>
        </row>
        <row r="851">
          <cell r="A851" t="str">
            <v>JOB1495</v>
          </cell>
        </row>
        <row r="852">
          <cell r="A852" t="str">
            <v>JOB1496</v>
          </cell>
        </row>
        <row r="853">
          <cell r="A853" t="str">
            <v>JOB1497</v>
          </cell>
        </row>
        <row r="854">
          <cell r="A854" t="str">
            <v>JOB1498</v>
          </cell>
        </row>
        <row r="855">
          <cell r="A855" t="str">
            <v>JOB1499</v>
          </cell>
        </row>
        <row r="856">
          <cell r="A856" t="str">
            <v>JOB1500</v>
          </cell>
        </row>
        <row r="857">
          <cell r="A857" t="str">
            <v>JOB1501</v>
          </cell>
        </row>
        <row r="858">
          <cell r="A858" t="str">
            <v>JOB1502</v>
          </cell>
        </row>
        <row r="859">
          <cell r="A859" t="str">
            <v>JOB1503</v>
          </cell>
        </row>
        <row r="860">
          <cell r="A860" t="str">
            <v>JOB1504</v>
          </cell>
        </row>
        <row r="861">
          <cell r="A861" t="str">
            <v>JOB1505</v>
          </cell>
        </row>
        <row r="862">
          <cell r="A862" t="str">
            <v>JOB1506</v>
          </cell>
        </row>
        <row r="863">
          <cell r="A863" t="str">
            <v>JOB1507</v>
          </cell>
        </row>
        <row r="864">
          <cell r="A864" t="str">
            <v>JOB1508</v>
          </cell>
        </row>
        <row r="865">
          <cell r="A865" t="str">
            <v>JOB1509</v>
          </cell>
        </row>
        <row r="866">
          <cell r="A866" t="str">
            <v>JOB1510</v>
          </cell>
        </row>
        <row r="867">
          <cell r="A867" t="str">
            <v>JOB1511</v>
          </cell>
        </row>
        <row r="868">
          <cell r="A868" t="str">
            <v>JOB1512</v>
          </cell>
        </row>
        <row r="869">
          <cell r="A869" t="str">
            <v>JOB1513</v>
          </cell>
        </row>
        <row r="870">
          <cell r="A870" t="str">
            <v>JOB1514</v>
          </cell>
        </row>
        <row r="871">
          <cell r="A871" t="str">
            <v>JOB1515</v>
          </cell>
        </row>
        <row r="872">
          <cell r="A872" t="str">
            <v>JOB1516</v>
          </cell>
        </row>
        <row r="873">
          <cell r="A873" t="str">
            <v>JOB1517</v>
          </cell>
        </row>
        <row r="874">
          <cell r="A874" t="str">
            <v>JOB1518</v>
          </cell>
        </row>
        <row r="875">
          <cell r="A875" t="str">
            <v>JOB1519</v>
          </cell>
        </row>
        <row r="876">
          <cell r="A876" t="str">
            <v>JOB1520</v>
          </cell>
        </row>
        <row r="877">
          <cell r="A877" t="str">
            <v>JOB1522</v>
          </cell>
        </row>
        <row r="878">
          <cell r="A878" t="str">
            <v>JOB1525</v>
          </cell>
        </row>
        <row r="879">
          <cell r="A879" t="str">
            <v>JOB1526</v>
          </cell>
        </row>
        <row r="880">
          <cell r="A880" t="str">
            <v>JOB1527</v>
          </cell>
        </row>
        <row r="881">
          <cell r="A881" t="str">
            <v>JOB1528</v>
          </cell>
        </row>
        <row r="882">
          <cell r="A882" t="str">
            <v>JOB1530</v>
          </cell>
        </row>
        <row r="883">
          <cell r="A883" t="str">
            <v>JOB1531</v>
          </cell>
        </row>
        <row r="884">
          <cell r="A884" t="str">
            <v>JOB1533</v>
          </cell>
        </row>
        <row r="885">
          <cell r="A885" t="str">
            <v>JOB1535</v>
          </cell>
        </row>
        <row r="886">
          <cell r="A886" t="str">
            <v>JOB1536</v>
          </cell>
        </row>
        <row r="887">
          <cell r="A887" t="str">
            <v>JOB1537</v>
          </cell>
        </row>
        <row r="888">
          <cell r="A888" t="str">
            <v>JOB1538</v>
          </cell>
        </row>
        <row r="889">
          <cell r="A889" t="str">
            <v>JOB1539</v>
          </cell>
        </row>
        <row r="890">
          <cell r="A890" t="str">
            <v>JOB1540</v>
          </cell>
        </row>
        <row r="891">
          <cell r="A891" t="str">
            <v>JOB1541</v>
          </cell>
        </row>
        <row r="892">
          <cell r="A892" t="str">
            <v>JOB1542</v>
          </cell>
        </row>
        <row r="893">
          <cell r="A893" t="str">
            <v>JOB1543</v>
          </cell>
        </row>
        <row r="894">
          <cell r="A894" t="str">
            <v>JOB1544</v>
          </cell>
        </row>
        <row r="895">
          <cell r="A895" t="str">
            <v>JOB1545</v>
          </cell>
        </row>
        <row r="896">
          <cell r="A896" t="str">
            <v>JOB1546</v>
          </cell>
        </row>
        <row r="897">
          <cell r="A897" t="str">
            <v>JOB1547</v>
          </cell>
        </row>
        <row r="898">
          <cell r="A898" t="str">
            <v>JOB1548</v>
          </cell>
        </row>
        <row r="899">
          <cell r="A899" t="str">
            <v>JOB1549</v>
          </cell>
        </row>
        <row r="900">
          <cell r="A900" t="str">
            <v>JOB1550</v>
          </cell>
        </row>
        <row r="901">
          <cell r="A901" t="str">
            <v>JOB1551</v>
          </cell>
        </row>
        <row r="902">
          <cell r="A902" t="str">
            <v>JOB1553</v>
          </cell>
        </row>
        <row r="903">
          <cell r="A903" t="str">
            <v>JOB1554</v>
          </cell>
        </row>
        <row r="904">
          <cell r="A904" t="str">
            <v>JOB1555</v>
          </cell>
        </row>
        <row r="905">
          <cell r="A905" t="str">
            <v>JOB1556</v>
          </cell>
        </row>
        <row r="906">
          <cell r="A906" t="str">
            <v>JOB1559</v>
          </cell>
        </row>
        <row r="907">
          <cell r="A907" t="str">
            <v>JOB1560</v>
          </cell>
        </row>
        <row r="908">
          <cell r="A908" t="str">
            <v>JOB1562</v>
          </cell>
        </row>
        <row r="909">
          <cell r="A909" t="str">
            <v>JOB1563</v>
          </cell>
        </row>
        <row r="910">
          <cell r="A910" t="str">
            <v>JOB1564</v>
          </cell>
        </row>
        <row r="911">
          <cell r="A911" t="str">
            <v>JOB1565</v>
          </cell>
        </row>
        <row r="912">
          <cell r="A912" t="str">
            <v>JOB1569</v>
          </cell>
        </row>
        <row r="913">
          <cell r="A913" t="str">
            <v>JOB1570</v>
          </cell>
        </row>
        <row r="914">
          <cell r="A914" t="str">
            <v>JOB1571</v>
          </cell>
        </row>
        <row r="915">
          <cell r="A915" t="str">
            <v>JOB1572</v>
          </cell>
        </row>
        <row r="916">
          <cell r="A916" t="str">
            <v>JOB1576</v>
          </cell>
        </row>
        <row r="917">
          <cell r="A917" t="str">
            <v>JOB1577</v>
          </cell>
        </row>
        <row r="918">
          <cell r="A918" t="str">
            <v>JOB1578</v>
          </cell>
        </row>
        <row r="919">
          <cell r="A919" t="str">
            <v>JOB1579</v>
          </cell>
        </row>
        <row r="920">
          <cell r="A920" t="str">
            <v>JOB1581</v>
          </cell>
        </row>
        <row r="921">
          <cell r="A921" t="str">
            <v>JOB1582</v>
          </cell>
        </row>
        <row r="922">
          <cell r="A922" t="str">
            <v>JOB1583</v>
          </cell>
        </row>
        <row r="923">
          <cell r="A923" t="str">
            <v>JOB1584</v>
          </cell>
        </row>
        <row r="924">
          <cell r="A924" t="str">
            <v>JOB1585</v>
          </cell>
        </row>
        <row r="925">
          <cell r="A925" t="str">
            <v>JOB1588</v>
          </cell>
        </row>
        <row r="926">
          <cell r="A926" t="str">
            <v>JOB1590</v>
          </cell>
        </row>
        <row r="927">
          <cell r="A927" t="str">
            <v>JOB1592</v>
          </cell>
        </row>
        <row r="928">
          <cell r="A928" t="str">
            <v>JOB1594</v>
          </cell>
        </row>
        <row r="929">
          <cell r="A929" t="str">
            <v>JOB1600</v>
          </cell>
        </row>
        <row r="930">
          <cell r="A930" t="str">
            <v>prepay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PB"/>
      <sheetName val="DCF1"/>
      <sheetName val="DCF2"/>
    </sheetNames>
    <sheetDataSet>
      <sheetData sheetId="0" refreshError="1">
        <row r="3">
          <cell r="C3" t="str">
            <v>Campbell Soup Company</v>
          </cell>
        </row>
        <row r="5">
          <cell r="C5" t="str">
            <v>Dollars in Millions, except per share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PB"/>
      <sheetName val="DCF1"/>
      <sheetName val="DCF2"/>
    </sheetNames>
    <sheetDataSet>
      <sheetData sheetId="0" refreshError="1">
        <row r="3">
          <cell r="C3" t="str">
            <v>Campbell Soup Company</v>
          </cell>
        </row>
        <row r="5">
          <cell r="C5" t="str">
            <v>Dollars in Millions, except per share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 Summary "/>
      <sheetName val="Sensitivity Analysis"/>
      <sheetName val="Prodn Costs per lb"/>
      <sheetName val="Key Assumptions "/>
      <sheetName val="Inco Payments"/>
      <sheetName val="Taxation "/>
      <sheetName val="Depreciation IUSI"/>
      <sheetName val="Depreciation"/>
      <sheetName val="Capital Costs "/>
      <sheetName val="CAPEX Interface"/>
      <sheetName val="Site Operating Costs"/>
      <sheetName val="Working Capital "/>
      <sheetName val="Shipping and Revenue"/>
      <sheetName val="Mine Plan Interface "/>
      <sheetName val="Mine and Plant Production"/>
      <sheetName val="Process Plant Interface"/>
      <sheetName val="Process Plant Consumables "/>
      <sheetName val="Power Plant Interface"/>
      <sheetName val="Labour "/>
      <sheetName val="Labour Interface"/>
      <sheetName val="Power &amp; Process Plant Lockup"/>
      <sheetName val="Cost of Consumables Interface"/>
      <sheetName val="Closure Cost"/>
      <sheetName val="Salaries Interface"/>
      <sheetName val="Update Interfaces"/>
      <sheetName val="Graphs"/>
      <sheetName val="Data for Report"/>
    </sheetNames>
    <sheetDataSet>
      <sheetData sheetId="0" refreshError="1"/>
      <sheetData sheetId="1" refreshError="1">
        <row r="96">
          <cell r="D96">
            <v>1</v>
          </cell>
          <cell r="E96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 Summary "/>
      <sheetName val="Sensitivity Analysis"/>
      <sheetName val="Prodn Costs per lb"/>
      <sheetName val="Key Assumptions "/>
      <sheetName val="Inco Payments"/>
      <sheetName val="Taxation "/>
      <sheetName val="Depreciation IUSI"/>
      <sheetName val="Depreciation"/>
      <sheetName val="Capital Costs "/>
      <sheetName val="CAPEX Interface"/>
      <sheetName val="Site Operating Costs"/>
      <sheetName val="Working Capital "/>
      <sheetName val="Shipping and Revenue"/>
      <sheetName val="Mine Plan Interface "/>
      <sheetName val="Mine and Plant Production"/>
      <sheetName val="Process Plant Interface"/>
      <sheetName val="Process Plant Consumables "/>
      <sheetName val="Power Plant Interface"/>
      <sheetName val="Labour "/>
      <sheetName val="Labour Interface"/>
      <sheetName val="Power &amp; Process Plant Lockup"/>
      <sheetName val="Cost of Consumables Interface"/>
      <sheetName val="Closure Cost"/>
      <sheetName val="Salaries Interface"/>
      <sheetName val="Update Interfaces"/>
      <sheetName val="Graphs"/>
      <sheetName val="Data for Report"/>
    </sheetNames>
    <sheetDataSet>
      <sheetData sheetId="0"/>
      <sheetData sheetId="1">
        <row r="96">
          <cell r="D96">
            <v>1</v>
          </cell>
          <cell r="E96">
            <v>1</v>
          </cell>
        </row>
      </sheetData>
      <sheetData sheetId="2" refreshError="1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/>
      <sheetData sheetId="11"/>
      <sheetData sheetId="12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Fiscal Payments"/>
      <sheetName val="Assumptions"/>
      <sheetName val="Capital Costs"/>
      <sheetName val="Product Supply Agreement"/>
      <sheetName val="Mining"/>
      <sheetName val="Processing"/>
      <sheetName val="Utilities and Infrastructure"/>
      <sheetName val="Administration and General"/>
      <sheetName val="Intermediate Inputs"/>
      <sheetName val="Input Interface"/>
      <sheetName val="Schedule Scenarios"/>
      <sheetName val="Schedule Factors"/>
      <sheetName val="Risk Assump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F1">
            <v>0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 KLCH 2005 Transf sched (BS)"/>
      <sheetName val="PYA VDA Transform sched 2004"/>
      <sheetName val="KLCH=&gt;"/>
      <sheetName val="Ф2"/>
      <sheetName val="2005"/>
      <sheetName val="Deff Tax"/>
      <sheetName val="A4.97 DT Footnote"/>
      <sheetName val="A4.97 DT Footnote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ЭШ ЗАТРАТЫ и др."/>
      <sheetName val="Платежный баланс"/>
      <sheetName val="прогноз"/>
      <sheetName val="Дт 19(Дт68)"/>
      <sheetName val="Свод по Контрагентам (2)"/>
      <sheetName val="Кт 76(68)"/>
      <sheetName val="Свод по Контрагентам"/>
      <sheetName val="Свод по Контрагентам (3)"/>
      <sheetName val="Баланс по металлопрокату"/>
      <sheetName val="Баланс по сырью"/>
      <sheetName val="Покупки-Продажи"/>
      <sheetName val="Расчеты с контрагентами"/>
      <sheetName val="Дебиторы-Кредиторы"/>
      <sheetName val="Календар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">
          <cell r="K8">
            <v>9916.2500000000055</v>
          </cell>
          <cell r="N8">
            <v>107914265.95599999</v>
          </cell>
          <cell r="P8">
            <v>10416.250000000004</v>
          </cell>
        </row>
        <row r="9">
          <cell r="B9" t="str">
            <v>Металлопрокат</v>
          </cell>
          <cell r="K9">
            <v>9.33</v>
          </cell>
          <cell r="N9">
            <v>210921.44399999999</v>
          </cell>
          <cell r="O9" t="str">
            <v>ВМЗ КО</v>
          </cell>
          <cell r="P9">
            <v>9.33</v>
          </cell>
          <cell r="S9">
            <v>239034.6</v>
          </cell>
          <cell r="T9" t="str">
            <v>10 ГПЗ</v>
          </cell>
        </row>
        <row r="10">
          <cell r="B10" t="str">
            <v>Металлопрокат</v>
          </cell>
          <cell r="K10">
            <v>9.99</v>
          </cell>
          <cell r="N10">
            <v>74661.26400000001</v>
          </cell>
          <cell r="O10" t="str">
            <v>ВМЗ КО</v>
          </cell>
          <cell r="P10">
            <v>9.99</v>
          </cell>
          <cell r="S10">
            <v>84875.040000000008</v>
          </cell>
          <cell r="T10" t="str">
            <v>10 ГПЗ</v>
          </cell>
        </row>
        <row r="11">
          <cell r="B11" t="str">
            <v>Металлопрокат</v>
          </cell>
          <cell r="K11">
            <v>3.7</v>
          </cell>
          <cell r="N11">
            <v>28029.72</v>
          </cell>
          <cell r="O11" t="str">
            <v>ВМЗ КО</v>
          </cell>
          <cell r="P11">
            <v>3.7</v>
          </cell>
          <cell r="S11">
            <v>33921.599999999999</v>
          </cell>
          <cell r="T11" t="str">
            <v>10 ГПЗ</v>
          </cell>
        </row>
        <row r="12">
          <cell r="B12" t="str">
            <v>Металлопрокат</v>
          </cell>
          <cell r="K12">
            <v>48.58</v>
          </cell>
          <cell r="N12">
            <v>353623.53599999996</v>
          </cell>
          <cell r="O12" t="str">
            <v>ВМЗ КО</v>
          </cell>
          <cell r="P12">
            <v>48.58</v>
          </cell>
          <cell r="S12">
            <v>401076.47999999998</v>
          </cell>
          <cell r="T12" t="str">
            <v>10 ГПЗ</v>
          </cell>
        </row>
        <row r="13">
          <cell r="B13" t="str">
            <v>Металлопрокат</v>
          </cell>
          <cell r="K13">
            <v>19.36</v>
          </cell>
          <cell r="N13">
            <v>147314.11199999999</v>
          </cell>
          <cell r="O13" t="str">
            <v>ВМЗ КО</v>
          </cell>
          <cell r="P13">
            <v>19.36</v>
          </cell>
          <cell r="S13">
            <v>180512.63999999998</v>
          </cell>
          <cell r="T13" t="str">
            <v>10 ГПЗ</v>
          </cell>
        </row>
        <row r="14">
          <cell r="B14" t="str">
            <v>Металлопрокат</v>
          </cell>
          <cell r="K14">
            <v>13.36</v>
          </cell>
          <cell r="N14">
            <v>129522.52799999999</v>
          </cell>
          <cell r="O14" t="str">
            <v>ВМЗ КО</v>
          </cell>
          <cell r="P14">
            <v>13.36</v>
          </cell>
          <cell r="S14">
            <v>224608.31999999998</v>
          </cell>
          <cell r="T14" t="str">
            <v>10 ГПЗ</v>
          </cell>
        </row>
        <row r="15">
          <cell r="B15" t="str">
            <v>Металлопрокат</v>
          </cell>
          <cell r="K15">
            <v>7.13</v>
          </cell>
          <cell r="N15">
            <v>69149.59199999999</v>
          </cell>
          <cell r="O15" t="str">
            <v>ВМЗ КО</v>
          </cell>
          <cell r="P15">
            <v>7.13</v>
          </cell>
          <cell r="S15">
            <v>119869.56</v>
          </cell>
          <cell r="T15" t="str">
            <v>10 ГПЗ</v>
          </cell>
        </row>
        <row r="16">
          <cell r="B16" t="str">
            <v>Металлопрокат</v>
          </cell>
          <cell r="K16">
            <v>2.52</v>
          </cell>
          <cell r="N16">
            <v>24439.968000000001</v>
          </cell>
          <cell r="O16" t="str">
            <v>ВМЗ КО</v>
          </cell>
          <cell r="P16">
            <v>2.52</v>
          </cell>
          <cell r="S16">
            <v>42366.239999999998</v>
          </cell>
          <cell r="T16" t="str">
            <v>10 ГПЗ</v>
          </cell>
        </row>
        <row r="17">
          <cell r="B17" t="str">
            <v>Металлопрокат</v>
          </cell>
          <cell r="K17">
            <v>2.5</v>
          </cell>
          <cell r="N17">
            <v>20274</v>
          </cell>
          <cell r="O17" t="str">
            <v>ВМЗ КО</v>
          </cell>
          <cell r="P17">
            <v>2.5</v>
          </cell>
          <cell r="S17">
            <v>26250</v>
          </cell>
          <cell r="T17" t="str">
            <v>10 ГПЗ</v>
          </cell>
        </row>
        <row r="18">
          <cell r="B18" t="str">
            <v>Металлопрокат</v>
          </cell>
          <cell r="K18">
            <v>3.09</v>
          </cell>
          <cell r="N18">
            <v>26219.268</v>
          </cell>
          <cell r="O18" t="str">
            <v>ВМЗ КО</v>
          </cell>
          <cell r="P18">
            <v>3.09</v>
          </cell>
          <cell r="S18">
            <v>33742.799999999996</v>
          </cell>
          <cell r="T18" t="str">
            <v>10 ГПЗ</v>
          </cell>
        </row>
        <row r="19">
          <cell r="B19" t="str">
            <v>Металлопрокат</v>
          </cell>
          <cell r="K19">
            <v>4.7300000000000004</v>
          </cell>
          <cell r="N19">
            <v>40952.340000000004</v>
          </cell>
          <cell r="O19" t="str">
            <v>ВМЗ КО</v>
          </cell>
          <cell r="P19">
            <v>4.7300000000000004</v>
          </cell>
          <cell r="S19">
            <v>51651.600000000006</v>
          </cell>
          <cell r="T19" t="str">
            <v>10 ГПЗ</v>
          </cell>
        </row>
        <row r="20">
          <cell r="B20" t="str">
            <v>Металлопрокат</v>
          </cell>
          <cell r="K20">
            <v>13.25</v>
          </cell>
          <cell r="N20">
            <v>113987.09999999999</v>
          </cell>
          <cell r="O20" t="str">
            <v>ВМЗ КО</v>
          </cell>
          <cell r="P20">
            <v>13.25</v>
          </cell>
          <cell r="S20">
            <v>143895</v>
          </cell>
          <cell r="T20" t="str">
            <v>10 ГПЗ</v>
          </cell>
        </row>
        <row r="21">
          <cell r="B21" t="str">
            <v>Металлопрокат</v>
          </cell>
          <cell r="K21">
            <v>26.4</v>
          </cell>
          <cell r="N21">
            <v>222583.67999999999</v>
          </cell>
          <cell r="O21" t="str">
            <v>ВМЗ КО</v>
          </cell>
          <cell r="P21">
            <v>26.4</v>
          </cell>
          <cell r="S21">
            <v>286704</v>
          </cell>
          <cell r="T21" t="str">
            <v>10 ГПЗ</v>
          </cell>
        </row>
        <row r="22">
          <cell r="B22" t="str">
            <v>Металлопрокат</v>
          </cell>
          <cell r="K22">
            <v>27.62</v>
          </cell>
          <cell r="N22">
            <v>239133.96000000002</v>
          </cell>
          <cell r="O22" t="str">
            <v>ВМЗ КО</v>
          </cell>
          <cell r="P22">
            <v>27.62</v>
          </cell>
          <cell r="S22">
            <v>301610.40000000002</v>
          </cell>
          <cell r="T22" t="str">
            <v>10 ГПЗ</v>
          </cell>
        </row>
        <row r="23">
          <cell r="B23" t="str">
            <v>Металлопрокат</v>
          </cell>
          <cell r="K23">
            <v>3</v>
          </cell>
          <cell r="N23">
            <v>25455.600000000002</v>
          </cell>
          <cell r="O23" t="str">
            <v>ВМЗ КО</v>
          </cell>
          <cell r="P23">
            <v>3</v>
          </cell>
          <cell r="S23">
            <v>32760</v>
          </cell>
          <cell r="T23" t="str">
            <v>10 ГПЗ</v>
          </cell>
        </row>
        <row r="24">
          <cell r="B24" t="str">
            <v>Металлопрокат</v>
          </cell>
          <cell r="K24">
            <v>5</v>
          </cell>
          <cell r="N24">
            <v>43014</v>
          </cell>
          <cell r="O24" t="str">
            <v>ВМЗ КО</v>
          </cell>
          <cell r="P24">
            <v>5</v>
          </cell>
          <cell r="S24">
            <v>54300</v>
          </cell>
          <cell r="T24" t="str">
            <v>10 ГПЗ</v>
          </cell>
        </row>
        <row r="25">
          <cell r="B25" t="str">
            <v>Металлопрокат</v>
          </cell>
          <cell r="K25">
            <v>10</v>
          </cell>
          <cell r="N25">
            <v>77172</v>
          </cell>
          <cell r="O25" t="str">
            <v>ВМЗ КО</v>
          </cell>
          <cell r="P25">
            <v>10</v>
          </cell>
          <cell r="S25">
            <v>85740</v>
          </cell>
          <cell r="T25" t="str">
            <v>Агропромстройобеспечение</v>
          </cell>
        </row>
        <row r="26">
          <cell r="B26" t="str">
            <v>Металлопрокат</v>
          </cell>
          <cell r="K26">
            <v>18.760000000000002</v>
          </cell>
          <cell r="N26">
            <v>162424.08000000002</v>
          </cell>
          <cell r="O26" t="str">
            <v>ВМЗ КО</v>
          </cell>
          <cell r="P26">
            <v>18.760000000000002</v>
          </cell>
          <cell r="S26">
            <v>180478.704</v>
          </cell>
          <cell r="T26" t="str">
            <v>Агропромцентр</v>
          </cell>
        </row>
        <row r="27">
          <cell r="B27" t="str">
            <v>Металлопрокат</v>
          </cell>
          <cell r="K27">
            <v>23.7</v>
          </cell>
          <cell r="N27">
            <v>203914.8</v>
          </cell>
          <cell r="O27" t="str">
            <v>ВМЗ КО</v>
          </cell>
          <cell r="P27">
            <v>23.7</v>
          </cell>
          <cell r="S27">
            <v>224676</v>
          </cell>
          <cell r="T27" t="str">
            <v>Агропромцентр</v>
          </cell>
        </row>
        <row r="28">
          <cell r="B28" t="str">
            <v>Металлопрокат</v>
          </cell>
          <cell r="K28">
            <v>26</v>
          </cell>
          <cell r="N28">
            <v>225108</v>
          </cell>
          <cell r="O28" t="str">
            <v>ВМЗ КО</v>
          </cell>
          <cell r="P28">
            <v>26</v>
          </cell>
          <cell r="S28">
            <v>250130.4</v>
          </cell>
          <cell r="T28" t="str">
            <v>Агропромцентр</v>
          </cell>
        </row>
        <row r="29">
          <cell r="B29" t="str">
            <v>Металлопрокат</v>
          </cell>
          <cell r="K29">
            <v>3.5</v>
          </cell>
          <cell r="N29">
            <v>26220.600000000002</v>
          </cell>
          <cell r="O29" t="str">
            <v>ВМЗ КО</v>
          </cell>
          <cell r="P29">
            <v>3.5</v>
          </cell>
          <cell r="S29">
            <v>29148</v>
          </cell>
          <cell r="T29" t="str">
            <v>Артания-Континенталь</v>
          </cell>
        </row>
        <row r="30">
          <cell r="B30" t="str">
            <v>Металлопрокат</v>
          </cell>
          <cell r="K30">
            <v>0.65</v>
          </cell>
          <cell r="N30">
            <v>18415.02</v>
          </cell>
          <cell r="O30" t="str">
            <v>ВМЗ КО</v>
          </cell>
          <cell r="P30">
            <v>0.65</v>
          </cell>
          <cell r="S30">
            <v>20463.3</v>
          </cell>
          <cell r="T30" t="str">
            <v>Артания-Континенталь</v>
          </cell>
        </row>
        <row r="31">
          <cell r="B31" t="str">
            <v>Металлопрокат</v>
          </cell>
          <cell r="K31">
            <v>5</v>
          </cell>
          <cell r="N31">
            <v>72600</v>
          </cell>
          <cell r="O31" t="str">
            <v>ВМЗ КО</v>
          </cell>
          <cell r="P31">
            <v>5</v>
          </cell>
          <cell r="S31">
            <v>80700</v>
          </cell>
          <cell r="T31" t="str">
            <v>Артания-Континенталь</v>
          </cell>
        </row>
        <row r="32">
          <cell r="B32" t="str">
            <v>Металлопрокат</v>
          </cell>
          <cell r="K32">
            <v>2.5</v>
          </cell>
          <cell r="N32">
            <v>27990</v>
          </cell>
          <cell r="O32" t="str">
            <v>ВМЗ КО</v>
          </cell>
          <cell r="P32">
            <v>2.5</v>
          </cell>
          <cell r="S32">
            <v>31110</v>
          </cell>
          <cell r="T32" t="str">
            <v>БАМ-Актив</v>
          </cell>
        </row>
        <row r="33">
          <cell r="B33" t="str">
            <v>Металлопрокат</v>
          </cell>
          <cell r="K33">
            <v>4.6500000000000004</v>
          </cell>
          <cell r="N33">
            <v>46927.8</v>
          </cell>
          <cell r="O33" t="str">
            <v>ВМЗ КО</v>
          </cell>
          <cell r="P33">
            <v>4.6500000000000004</v>
          </cell>
          <cell r="S33">
            <v>52173.000000000007</v>
          </cell>
          <cell r="T33" t="str">
            <v>Баррикады ООО</v>
          </cell>
        </row>
        <row r="34">
          <cell r="B34" t="str">
            <v>Металлопрокат</v>
          </cell>
          <cell r="K34">
            <v>40</v>
          </cell>
          <cell r="N34">
            <v>502848</v>
          </cell>
          <cell r="O34" t="str">
            <v>ВМЗ КО</v>
          </cell>
          <cell r="P34">
            <v>40</v>
          </cell>
          <cell r="S34">
            <v>558720</v>
          </cell>
          <cell r="T34" t="str">
            <v>Баррикады ООО</v>
          </cell>
        </row>
        <row r="35">
          <cell r="B35" t="str">
            <v>Металлопрокат</v>
          </cell>
          <cell r="K35">
            <v>26</v>
          </cell>
          <cell r="N35">
            <v>326851.20000000001</v>
          </cell>
          <cell r="O35" t="str">
            <v>ВМЗ КО</v>
          </cell>
          <cell r="P35">
            <v>26</v>
          </cell>
          <cell r="S35">
            <v>363168</v>
          </cell>
          <cell r="T35" t="str">
            <v>Баррикады ООО</v>
          </cell>
        </row>
        <row r="36">
          <cell r="B36" t="str">
            <v>Металлопрокат</v>
          </cell>
          <cell r="K36">
            <v>60</v>
          </cell>
          <cell r="N36">
            <v>325944</v>
          </cell>
          <cell r="O36" t="str">
            <v>ВМЗ КО</v>
          </cell>
          <cell r="P36">
            <v>60</v>
          </cell>
          <cell r="S36">
            <v>362160</v>
          </cell>
          <cell r="T36" t="str">
            <v>Баррикады ООО</v>
          </cell>
        </row>
        <row r="37">
          <cell r="B37" t="str">
            <v>Металлопрокат</v>
          </cell>
          <cell r="K37">
            <v>5</v>
          </cell>
          <cell r="N37">
            <v>33780</v>
          </cell>
          <cell r="O37" t="str">
            <v>ВМЗ КО</v>
          </cell>
          <cell r="P37">
            <v>5</v>
          </cell>
          <cell r="S37">
            <v>37560</v>
          </cell>
          <cell r="T37" t="str">
            <v>Белэнергомаш</v>
          </cell>
        </row>
        <row r="38">
          <cell r="B38" t="str">
            <v>Металлопрокат</v>
          </cell>
          <cell r="K38">
            <v>62.96</v>
          </cell>
          <cell r="N38">
            <v>1295339.04</v>
          </cell>
          <cell r="O38" t="str">
            <v>ВМЗ КО</v>
          </cell>
          <cell r="P38">
            <v>62.96</v>
          </cell>
          <cell r="S38">
            <v>1439265.6</v>
          </cell>
          <cell r="T38" t="str">
            <v>Бетатехно</v>
          </cell>
        </row>
        <row r="39">
          <cell r="B39" t="str">
            <v>Металлопрокат</v>
          </cell>
          <cell r="K39">
            <v>66.599999999999994</v>
          </cell>
          <cell r="N39">
            <v>1224534.24</v>
          </cell>
          <cell r="O39" t="str">
            <v>ВМЗ КО</v>
          </cell>
          <cell r="P39">
            <v>66.599999999999994</v>
          </cell>
          <cell r="S39">
            <v>1606391.9999999998</v>
          </cell>
          <cell r="T39" t="str">
            <v>Бетатехно</v>
          </cell>
        </row>
        <row r="40">
          <cell r="B40" t="str">
            <v>Металлопрокат</v>
          </cell>
          <cell r="K40">
            <v>15</v>
          </cell>
          <cell r="N40">
            <v>242676</v>
          </cell>
          <cell r="O40" t="str">
            <v>ВМЗ КО</v>
          </cell>
          <cell r="P40">
            <v>15</v>
          </cell>
          <cell r="S40">
            <v>269640</v>
          </cell>
          <cell r="T40" t="str">
            <v>Векта</v>
          </cell>
        </row>
        <row r="41">
          <cell r="B41" t="str">
            <v>Металлопрокат</v>
          </cell>
          <cell r="K41">
            <v>5</v>
          </cell>
          <cell r="N41">
            <v>80892</v>
          </cell>
          <cell r="O41" t="str">
            <v>ВМЗ КО</v>
          </cell>
          <cell r="P41">
            <v>5</v>
          </cell>
          <cell r="S41">
            <v>89880</v>
          </cell>
          <cell r="T41" t="str">
            <v>Векта</v>
          </cell>
        </row>
        <row r="42">
          <cell r="B42" t="str">
            <v>Металлопрокат</v>
          </cell>
          <cell r="K42">
            <v>6.49</v>
          </cell>
          <cell r="N42">
            <v>46953.852000000006</v>
          </cell>
          <cell r="O42" t="str">
            <v>ВМЗ КО</v>
          </cell>
          <cell r="P42">
            <v>6.49</v>
          </cell>
          <cell r="S42">
            <v>52171.812000000005</v>
          </cell>
          <cell r="T42" t="str">
            <v>Векта</v>
          </cell>
        </row>
        <row r="43">
          <cell r="B43" t="str">
            <v>Металлопрокат</v>
          </cell>
          <cell r="K43">
            <v>5</v>
          </cell>
          <cell r="N43">
            <v>79110</v>
          </cell>
          <cell r="O43" t="str">
            <v>ВМЗ КО</v>
          </cell>
          <cell r="P43">
            <v>5</v>
          </cell>
          <cell r="S43">
            <v>87900</v>
          </cell>
          <cell r="T43" t="str">
            <v>Векта</v>
          </cell>
        </row>
        <row r="44">
          <cell r="B44" t="str">
            <v>Металлопрокат</v>
          </cell>
          <cell r="K44">
            <v>5</v>
          </cell>
          <cell r="N44">
            <v>79110</v>
          </cell>
          <cell r="O44" t="str">
            <v>ВМЗ КО</v>
          </cell>
          <cell r="P44">
            <v>5</v>
          </cell>
          <cell r="S44">
            <v>87900</v>
          </cell>
          <cell r="T44" t="str">
            <v>Векта</v>
          </cell>
        </row>
        <row r="45">
          <cell r="B45" t="str">
            <v>Металлопрокат</v>
          </cell>
          <cell r="K45">
            <v>5</v>
          </cell>
          <cell r="N45">
            <v>79110</v>
          </cell>
          <cell r="O45" t="str">
            <v>ВМЗ КО</v>
          </cell>
          <cell r="P45">
            <v>5</v>
          </cell>
          <cell r="S45">
            <v>87900</v>
          </cell>
          <cell r="T45" t="str">
            <v>Векта</v>
          </cell>
        </row>
        <row r="46">
          <cell r="B46" t="str">
            <v>Металлопрокат</v>
          </cell>
          <cell r="K46">
            <v>3.35</v>
          </cell>
          <cell r="N46">
            <v>42708.479999999996</v>
          </cell>
          <cell r="O46" t="str">
            <v>ВМЗ КО</v>
          </cell>
          <cell r="P46">
            <v>3.35</v>
          </cell>
          <cell r="S46">
            <v>47452.08</v>
          </cell>
          <cell r="T46" t="str">
            <v>Векта</v>
          </cell>
        </row>
        <row r="47">
          <cell r="B47" t="str">
            <v>Металлопрокат</v>
          </cell>
          <cell r="K47">
            <v>9.6</v>
          </cell>
          <cell r="N47">
            <v>70778.880000000005</v>
          </cell>
          <cell r="O47" t="str">
            <v>ВМЗ КО</v>
          </cell>
          <cell r="P47">
            <v>9.6</v>
          </cell>
          <cell r="S47">
            <v>78647.039999999994</v>
          </cell>
          <cell r="T47" t="str">
            <v>Векта</v>
          </cell>
        </row>
        <row r="48">
          <cell r="B48" t="str">
            <v>Металлопрокат</v>
          </cell>
          <cell r="K48">
            <v>10</v>
          </cell>
          <cell r="N48">
            <v>70872</v>
          </cell>
          <cell r="O48" t="str">
            <v>ВМЗ КО</v>
          </cell>
          <cell r="P48">
            <v>10</v>
          </cell>
          <cell r="S48">
            <v>78744</v>
          </cell>
          <cell r="T48" t="str">
            <v>Векта</v>
          </cell>
        </row>
        <row r="49">
          <cell r="B49" t="str">
            <v>Металлопрокат</v>
          </cell>
          <cell r="K49">
            <v>9.59</v>
          </cell>
          <cell r="N49">
            <v>67966.247999999992</v>
          </cell>
          <cell r="O49" t="str">
            <v>ВМЗ КО</v>
          </cell>
          <cell r="P49">
            <v>9.59</v>
          </cell>
          <cell r="S49">
            <v>75515.495999999999</v>
          </cell>
          <cell r="T49" t="str">
            <v>Векта</v>
          </cell>
        </row>
        <row r="50">
          <cell r="B50" t="str">
            <v>Металлопрокат</v>
          </cell>
          <cell r="K50">
            <v>31.52</v>
          </cell>
          <cell r="N50">
            <v>221119.10399999999</v>
          </cell>
          <cell r="O50" t="str">
            <v>ВМЗ КО</v>
          </cell>
          <cell r="P50">
            <v>31.52</v>
          </cell>
          <cell r="S50">
            <v>245704.704</v>
          </cell>
          <cell r="T50" t="str">
            <v>Векта</v>
          </cell>
        </row>
        <row r="51">
          <cell r="B51" t="str">
            <v>Металлопрокат</v>
          </cell>
          <cell r="K51">
            <v>6.43</v>
          </cell>
          <cell r="N51">
            <v>59559.803999999989</v>
          </cell>
          <cell r="O51" t="str">
            <v>ВМЗ КО</v>
          </cell>
          <cell r="P51">
            <v>6.43</v>
          </cell>
          <cell r="S51">
            <v>66025.811999999991</v>
          </cell>
          <cell r="T51" t="str">
            <v>Векта</v>
          </cell>
        </row>
        <row r="52">
          <cell r="B52" t="str">
            <v>Металлопрокат</v>
          </cell>
          <cell r="K52">
            <v>10</v>
          </cell>
          <cell r="N52">
            <v>112752</v>
          </cell>
          <cell r="O52" t="str">
            <v>ВМЗ КО</v>
          </cell>
          <cell r="P52">
            <v>10</v>
          </cell>
          <cell r="S52">
            <v>125280</v>
          </cell>
          <cell r="T52" t="str">
            <v>Векта</v>
          </cell>
        </row>
        <row r="53">
          <cell r="B53" t="str">
            <v>Металлопрокат</v>
          </cell>
          <cell r="K53">
            <v>10</v>
          </cell>
          <cell r="N53">
            <v>112752</v>
          </cell>
          <cell r="O53" t="str">
            <v>ВМЗ КО</v>
          </cell>
          <cell r="P53">
            <v>10</v>
          </cell>
          <cell r="S53">
            <v>125280</v>
          </cell>
          <cell r="T53" t="str">
            <v>Векта</v>
          </cell>
        </row>
        <row r="54">
          <cell r="B54" t="str">
            <v>Металлопрокат</v>
          </cell>
          <cell r="K54">
            <v>4.3499999999999996</v>
          </cell>
          <cell r="N54">
            <v>36205.919999999998</v>
          </cell>
          <cell r="O54" t="str">
            <v>ВМЗ КО</v>
          </cell>
          <cell r="P54">
            <v>4.3499999999999996</v>
          </cell>
          <cell r="S54">
            <v>40642.92</v>
          </cell>
          <cell r="T54" t="str">
            <v>ВЗТДиН</v>
          </cell>
        </row>
        <row r="55">
          <cell r="B55" t="str">
            <v>Металлопрокат</v>
          </cell>
          <cell r="K55">
            <v>19.649999999999999</v>
          </cell>
          <cell r="N55">
            <v>160320.41999999998</v>
          </cell>
          <cell r="O55" t="str">
            <v>ВМЗ КО</v>
          </cell>
          <cell r="P55">
            <v>19.649999999999999</v>
          </cell>
          <cell r="S55">
            <v>179986.13999999998</v>
          </cell>
          <cell r="T55" t="str">
            <v>ВЗТДиН</v>
          </cell>
        </row>
        <row r="56">
          <cell r="B56" t="str">
            <v>Металлопрокат</v>
          </cell>
          <cell r="K56">
            <v>1.22</v>
          </cell>
          <cell r="N56">
            <v>13657.655999999999</v>
          </cell>
          <cell r="O56" t="str">
            <v>ВМЗ КО</v>
          </cell>
          <cell r="P56">
            <v>1.22</v>
          </cell>
          <cell r="S56">
            <v>15175.173333333332</v>
          </cell>
          <cell r="T56" t="str">
            <v>ВЗТДиН</v>
          </cell>
        </row>
        <row r="57">
          <cell r="B57" t="str">
            <v>Металлопрокат</v>
          </cell>
          <cell r="K57">
            <v>8.4499999999999993</v>
          </cell>
          <cell r="N57">
            <v>94596.059999999983</v>
          </cell>
          <cell r="O57" t="str">
            <v>ВМЗ КО</v>
          </cell>
          <cell r="P57">
            <v>8.4499999999999993</v>
          </cell>
          <cell r="S57">
            <v>105101.09999999999</v>
          </cell>
          <cell r="T57" t="str">
            <v>ВЗТДиН</v>
          </cell>
        </row>
        <row r="58">
          <cell r="B58" t="str">
            <v>Металлопрокат</v>
          </cell>
          <cell r="K58">
            <v>5</v>
          </cell>
          <cell r="N58">
            <v>55974</v>
          </cell>
          <cell r="O58" t="str">
            <v>ВМЗ КО</v>
          </cell>
          <cell r="P58">
            <v>5</v>
          </cell>
          <cell r="S58">
            <v>62193.333333333328</v>
          </cell>
          <cell r="T58" t="str">
            <v>ВЗТДиН</v>
          </cell>
        </row>
        <row r="59">
          <cell r="B59" t="str">
            <v>Металлопрокат</v>
          </cell>
          <cell r="K59">
            <v>4.2</v>
          </cell>
          <cell r="N59">
            <v>47018.159999999996</v>
          </cell>
          <cell r="O59" t="str">
            <v>ВМЗ КО</v>
          </cell>
          <cell r="P59">
            <v>4.2</v>
          </cell>
          <cell r="S59">
            <v>52239.600000000006</v>
          </cell>
          <cell r="T59" t="str">
            <v>ВЗТДиН</v>
          </cell>
        </row>
        <row r="60">
          <cell r="B60" t="str">
            <v>Металлопрокат</v>
          </cell>
          <cell r="K60">
            <v>40</v>
          </cell>
          <cell r="N60">
            <v>525936</v>
          </cell>
          <cell r="O60" t="str">
            <v>ВМЗ КО</v>
          </cell>
          <cell r="P60">
            <v>40</v>
          </cell>
          <cell r="S60">
            <v>584373.33333333326</v>
          </cell>
          <cell r="T60" t="str">
            <v>ВЗТДиН</v>
          </cell>
        </row>
        <row r="61">
          <cell r="B61" t="str">
            <v>Металлопрокат</v>
          </cell>
          <cell r="K61">
            <v>50</v>
          </cell>
          <cell r="N61">
            <v>322000</v>
          </cell>
          <cell r="O61" t="str">
            <v>ВМЗ КО</v>
          </cell>
          <cell r="P61">
            <v>50</v>
          </cell>
          <cell r="S61">
            <v>357777.77777777781</v>
          </cell>
          <cell r="T61" t="str">
            <v>Виницкий завод тракторных агрегатов</v>
          </cell>
        </row>
        <row r="62">
          <cell r="B62" t="str">
            <v>Металлопрокат</v>
          </cell>
          <cell r="K62">
            <v>8.92</v>
          </cell>
          <cell r="N62">
            <v>57444.800000000003</v>
          </cell>
          <cell r="O62" t="str">
            <v>ВМЗ КО</v>
          </cell>
          <cell r="P62">
            <v>8.92</v>
          </cell>
          <cell r="S62">
            <v>63827.555555555555</v>
          </cell>
          <cell r="T62" t="str">
            <v>Виницкий завод тракторных агрегатов</v>
          </cell>
        </row>
        <row r="63">
          <cell r="B63" t="str">
            <v>Металлопрокат</v>
          </cell>
          <cell r="K63">
            <v>224.52</v>
          </cell>
          <cell r="N63">
            <v>1445908.8</v>
          </cell>
          <cell r="O63" t="str">
            <v>ВМЗ КО</v>
          </cell>
          <cell r="P63">
            <v>224.52</v>
          </cell>
          <cell r="S63">
            <v>2271244.3200000003</v>
          </cell>
          <cell r="T63" t="str">
            <v>Виницкий завод тракторных агрегатов</v>
          </cell>
        </row>
        <row r="64">
          <cell r="B64" t="str">
            <v>Металлопрокат</v>
          </cell>
          <cell r="K64">
            <v>50</v>
          </cell>
          <cell r="N64">
            <v>307000</v>
          </cell>
          <cell r="O64" t="str">
            <v>ВМЗ КО</v>
          </cell>
          <cell r="P64">
            <v>50</v>
          </cell>
          <cell r="S64">
            <v>421500</v>
          </cell>
          <cell r="T64" t="str">
            <v>Виницкий завод тракторных агрегатов</v>
          </cell>
        </row>
        <row r="65">
          <cell r="B65" t="str">
            <v>Металлопрокат</v>
          </cell>
          <cell r="K65">
            <v>30</v>
          </cell>
          <cell r="N65">
            <v>168900</v>
          </cell>
          <cell r="O65" t="str">
            <v>ВМЗ КО</v>
          </cell>
          <cell r="P65">
            <v>30</v>
          </cell>
          <cell r="S65">
            <v>236100</v>
          </cell>
          <cell r="T65" t="str">
            <v>Виницкий завод тракторных агрегатов</v>
          </cell>
        </row>
        <row r="66">
          <cell r="B66" t="str">
            <v>Металлопрокат</v>
          </cell>
          <cell r="K66">
            <v>2</v>
          </cell>
          <cell r="N66">
            <v>19276.8</v>
          </cell>
          <cell r="O66" t="str">
            <v>ВМЗ КО</v>
          </cell>
          <cell r="P66">
            <v>2</v>
          </cell>
          <cell r="S66">
            <v>21432</v>
          </cell>
          <cell r="T66" t="str">
            <v>Волгамет</v>
          </cell>
        </row>
        <row r="67">
          <cell r="B67" t="str">
            <v>Металлопрокат</v>
          </cell>
          <cell r="K67">
            <v>2</v>
          </cell>
          <cell r="N67">
            <v>19276.8</v>
          </cell>
          <cell r="O67" t="str">
            <v>ВМЗ КО</v>
          </cell>
          <cell r="P67">
            <v>2</v>
          </cell>
          <cell r="S67">
            <v>21432</v>
          </cell>
          <cell r="T67" t="str">
            <v>Волгамет</v>
          </cell>
        </row>
        <row r="68">
          <cell r="B68" t="str">
            <v>Металлопрокат</v>
          </cell>
          <cell r="K68">
            <v>1.6</v>
          </cell>
          <cell r="N68">
            <v>11905.6</v>
          </cell>
          <cell r="O68" t="str">
            <v>ВМЗ КО</v>
          </cell>
          <cell r="P68">
            <v>1.6</v>
          </cell>
          <cell r="S68">
            <v>13121.279999999999</v>
          </cell>
          <cell r="T68" t="str">
            <v>ВолгаСталь</v>
          </cell>
        </row>
        <row r="69">
          <cell r="B69" t="str">
            <v>Металлопрокат</v>
          </cell>
          <cell r="K69">
            <v>8.5500000000000007</v>
          </cell>
          <cell r="N69">
            <v>63099.000000000007</v>
          </cell>
          <cell r="O69" t="str">
            <v>ВМЗ КО</v>
          </cell>
          <cell r="P69">
            <v>8.5500000000000007</v>
          </cell>
          <cell r="S69">
            <v>70116.84</v>
          </cell>
          <cell r="T69" t="str">
            <v>ВолгаСталь</v>
          </cell>
        </row>
        <row r="70">
          <cell r="B70" t="str">
            <v>Металлопрокат</v>
          </cell>
          <cell r="K70">
            <v>3.16</v>
          </cell>
          <cell r="N70">
            <v>22865.760000000002</v>
          </cell>
          <cell r="O70" t="str">
            <v>ВМЗ КО</v>
          </cell>
          <cell r="P70">
            <v>3.16</v>
          </cell>
          <cell r="S70">
            <v>25406.400000000001</v>
          </cell>
          <cell r="T70" t="str">
            <v>ВолгаСталь</v>
          </cell>
        </row>
        <row r="71">
          <cell r="B71" t="str">
            <v>Металлопрокат</v>
          </cell>
          <cell r="K71">
            <v>27.74</v>
          </cell>
          <cell r="N71">
            <v>201947.19999999998</v>
          </cell>
          <cell r="O71" t="str">
            <v>ВМЗ КО</v>
          </cell>
          <cell r="P71">
            <v>27.74</v>
          </cell>
          <cell r="S71">
            <v>223029.59999999998</v>
          </cell>
          <cell r="T71" t="str">
            <v>ВолгаСталь</v>
          </cell>
        </row>
        <row r="72">
          <cell r="B72" t="str">
            <v>Металлопрокат</v>
          </cell>
          <cell r="K72">
            <v>2.4</v>
          </cell>
          <cell r="N72">
            <v>16560</v>
          </cell>
          <cell r="O72" t="str">
            <v>ВМЗ КО</v>
          </cell>
          <cell r="P72">
            <v>2.4</v>
          </cell>
          <cell r="S72">
            <v>18400.32</v>
          </cell>
          <cell r="T72" t="str">
            <v>ВолгаСталь</v>
          </cell>
        </row>
        <row r="73">
          <cell r="B73" t="str">
            <v>Металлопрокат</v>
          </cell>
          <cell r="K73">
            <v>4.6500000000000004</v>
          </cell>
          <cell r="N73">
            <v>34149.600000000006</v>
          </cell>
          <cell r="O73" t="str">
            <v>ВМЗ КО</v>
          </cell>
          <cell r="P73">
            <v>4.6500000000000004</v>
          </cell>
          <cell r="S73">
            <v>37944</v>
          </cell>
          <cell r="T73" t="str">
            <v>ВолгаСталь</v>
          </cell>
        </row>
        <row r="74">
          <cell r="B74" t="str">
            <v>Металлопрокат</v>
          </cell>
          <cell r="K74">
            <v>5.0999999999999996</v>
          </cell>
          <cell r="N74">
            <v>69094.799999999988</v>
          </cell>
          <cell r="O74" t="str">
            <v>ВМЗ КО</v>
          </cell>
          <cell r="P74">
            <v>5.0999999999999996</v>
          </cell>
          <cell r="S74">
            <v>92130.48</v>
          </cell>
          <cell r="T74" t="str">
            <v>ВолгаСталь</v>
          </cell>
        </row>
        <row r="75">
          <cell r="B75" t="str">
            <v>Металлопрокат</v>
          </cell>
          <cell r="K75">
            <v>5.0999999999999996</v>
          </cell>
          <cell r="N75">
            <v>69094.799999999988</v>
          </cell>
          <cell r="O75" t="str">
            <v>ВМЗ КО</v>
          </cell>
          <cell r="P75">
            <v>5.0999999999999996</v>
          </cell>
          <cell r="S75">
            <v>92130.48</v>
          </cell>
          <cell r="T75" t="str">
            <v>ВолгаСталь</v>
          </cell>
        </row>
        <row r="76">
          <cell r="B76" t="str">
            <v>Металлопрокат</v>
          </cell>
          <cell r="K76">
            <v>40</v>
          </cell>
          <cell r="N76">
            <v>250992</v>
          </cell>
          <cell r="O76" t="str">
            <v>ВМЗ КО</v>
          </cell>
          <cell r="P76">
            <v>40</v>
          </cell>
          <cell r="S76">
            <v>278880</v>
          </cell>
          <cell r="T76" t="str">
            <v>ВолгаСталь</v>
          </cell>
        </row>
        <row r="77">
          <cell r="B77" t="str">
            <v>Металлопрокат</v>
          </cell>
          <cell r="K77">
            <v>17.97</v>
          </cell>
          <cell r="N77">
            <v>170980.95599999998</v>
          </cell>
          <cell r="O77" t="str">
            <v>ВМЗ КО</v>
          </cell>
          <cell r="P77">
            <v>17.97</v>
          </cell>
          <cell r="S77">
            <v>189978.84</v>
          </cell>
          <cell r="T77" t="str">
            <v>ВолгаСталь</v>
          </cell>
        </row>
        <row r="78">
          <cell r="B78" t="str">
            <v>Металлопрокат</v>
          </cell>
          <cell r="K78">
            <v>8</v>
          </cell>
          <cell r="N78">
            <v>78643.199999999997</v>
          </cell>
          <cell r="O78" t="str">
            <v>ВМЗ КО</v>
          </cell>
          <cell r="P78">
            <v>8</v>
          </cell>
          <cell r="S78">
            <v>87381.333333333328</v>
          </cell>
          <cell r="T78" t="str">
            <v>ВолгаСталь</v>
          </cell>
        </row>
        <row r="79">
          <cell r="B79" t="str">
            <v>Металлопрокат</v>
          </cell>
          <cell r="K79">
            <v>1.05</v>
          </cell>
          <cell r="N79">
            <v>7018.2000000000007</v>
          </cell>
          <cell r="O79" t="str">
            <v>ВМЗ КО</v>
          </cell>
          <cell r="P79">
            <v>1.05</v>
          </cell>
          <cell r="S79">
            <v>7812</v>
          </cell>
          <cell r="T79" t="str">
            <v>Волга-траст ПКФ</v>
          </cell>
        </row>
        <row r="80">
          <cell r="B80" t="str">
            <v>Металлопрокат</v>
          </cell>
          <cell r="K80">
            <v>0.76</v>
          </cell>
          <cell r="N80">
            <v>10387.68</v>
          </cell>
          <cell r="O80" t="str">
            <v>ВМЗ КО</v>
          </cell>
          <cell r="P80">
            <v>0.76</v>
          </cell>
          <cell r="S80">
            <v>11545.92</v>
          </cell>
          <cell r="T80" t="str">
            <v>Волгограднефтемаш</v>
          </cell>
        </row>
        <row r="81">
          <cell r="B81" t="str">
            <v>Металлопрокат</v>
          </cell>
          <cell r="K81">
            <v>20</v>
          </cell>
          <cell r="N81">
            <v>176880</v>
          </cell>
          <cell r="O81" t="str">
            <v>ВМЗ КО</v>
          </cell>
          <cell r="P81">
            <v>20</v>
          </cell>
          <cell r="S81">
            <v>191760</v>
          </cell>
          <cell r="T81" t="str">
            <v>Волгограднефтемаш</v>
          </cell>
        </row>
        <row r="82">
          <cell r="B82" t="str">
            <v>Металлопрокат</v>
          </cell>
          <cell r="K82">
            <v>7</v>
          </cell>
          <cell r="N82">
            <v>123144</v>
          </cell>
          <cell r="O82" t="str">
            <v>ВМЗ КО</v>
          </cell>
          <cell r="P82">
            <v>7</v>
          </cell>
          <cell r="S82">
            <v>136836</v>
          </cell>
          <cell r="T82" t="str">
            <v>Волгограднефтемаш</v>
          </cell>
        </row>
        <row r="83">
          <cell r="B83" t="str">
            <v>Металлопрокат</v>
          </cell>
          <cell r="K83">
            <v>10</v>
          </cell>
          <cell r="N83">
            <v>174840</v>
          </cell>
          <cell r="O83" t="str">
            <v>ВМЗ КО</v>
          </cell>
          <cell r="P83">
            <v>10</v>
          </cell>
          <cell r="S83">
            <v>95880</v>
          </cell>
          <cell r="T83" t="str">
            <v>Волгограднефтемаш</v>
          </cell>
        </row>
        <row r="84">
          <cell r="B84" t="str">
            <v>Металлопрокат</v>
          </cell>
          <cell r="K84">
            <v>8</v>
          </cell>
          <cell r="N84">
            <v>218592</v>
          </cell>
          <cell r="O84" t="str">
            <v>ВМЗ КО</v>
          </cell>
          <cell r="P84">
            <v>8</v>
          </cell>
          <cell r="S84">
            <v>242880</v>
          </cell>
          <cell r="T84" t="str">
            <v>Волгограднефтемаш</v>
          </cell>
        </row>
        <row r="85">
          <cell r="B85" t="str">
            <v>Металлопрокат</v>
          </cell>
          <cell r="K85">
            <v>42.24</v>
          </cell>
          <cell r="N85">
            <v>422737.92000000004</v>
          </cell>
          <cell r="O85" t="str">
            <v>ВМЗ КО</v>
          </cell>
          <cell r="P85">
            <v>42.24</v>
          </cell>
          <cell r="S85">
            <v>466329.60000000003</v>
          </cell>
          <cell r="T85" t="str">
            <v>Волгометснаб</v>
          </cell>
        </row>
        <row r="86">
          <cell r="B86" t="str">
            <v>Металлопрокат</v>
          </cell>
          <cell r="K86">
            <v>5</v>
          </cell>
          <cell r="N86">
            <v>43614</v>
          </cell>
          <cell r="O86" t="str">
            <v>ВМЗ КО</v>
          </cell>
          <cell r="P86">
            <v>5</v>
          </cell>
          <cell r="S86">
            <v>48480</v>
          </cell>
          <cell r="T86" t="str">
            <v>Волгоремстрой</v>
          </cell>
        </row>
        <row r="87">
          <cell r="B87" t="str">
            <v>Металлопрокат</v>
          </cell>
          <cell r="K87">
            <v>10</v>
          </cell>
          <cell r="N87">
            <v>86352</v>
          </cell>
          <cell r="O87" t="str">
            <v>ВМЗ КО</v>
          </cell>
          <cell r="P87">
            <v>10</v>
          </cell>
          <cell r="S87">
            <v>95940</v>
          </cell>
          <cell r="T87" t="str">
            <v>Волгоремстрой</v>
          </cell>
        </row>
        <row r="88">
          <cell r="B88" t="str">
            <v>Металлопрокат</v>
          </cell>
          <cell r="K88">
            <v>12</v>
          </cell>
          <cell r="N88">
            <v>102945.59999999999</v>
          </cell>
          <cell r="O88" t="str">
            <v>ВМЗ КО</v>
          </cell>
          <cell r="P88">
            <v>12</v>
          </cell>
          <cell r="S88">
            <v>114408</v>
          </cell>
          <cell r="T88" t="str">
            <v>Волгоремстрой</v>
          </cell>
        </row>
        <row r="89">
          <cell r="B89" t="str">
            <v>Металлопрокат</v>
          </cell>
          <cell r="K89">
            <v>6</v>
          </cell>
          <cell r="N89">
            <v>50464.799999999996</v>
          </cell>
          <cell r="O89" t="str">
            <v>ВМЗ КО</v>
          </cell>
          <cell r="P89">
            <v>6</v>
          </cell>
          <cell r="S89">
            <v>56088</v>
          </cell>
          <cell r="T89" t="str">
            <v>Волгоремстрой</v>
          </cell>
        </row>
        <row r="90">
          <cell r="B90" t="str">
            <v>Металлопрокат</v>
          </cell>
          <cell r="K90">
            <v>4.51</v>
          </cell>
          <cell r="N90">
            <v>32634.359999999997</v>
          </cell>
          <cell r="O90" t="str">
            <v>ВМЗ КО</v>
          </cell>
          <cell r="P90">
            <v>4.51</v>
          </cell>
          <cell r="S90">
            <v>36260.400000000001</v>
          </cell>
          <cell r="T90" t="str">
            <v>Волгоремстрой</v>
          </cell>
        </row>
        <row r="91">
          <cell r="B91" t="str">
            <v>Металлопрокат</v>
          </cell>
          <cell r="K91">
            <v>15</v>
          </cell>
          <cell r="N91">
            <v>102168</v>
          </cell>
          <cell r="O91" t="str">
            <v>ВМЗ КО</v>
          </cell>
          <cell r="P91">
            <v>15</v>
          </cell>
          <cell r="S91">
            <v>113580</v>
          </cell>
          <cell r="T91" t="str">
            <v>Волгоремстрой</v>
          </cell>
        </row>
        <row r="92">
          <cell r="B92" t="str">
            <v>Металлопрокат</v>
          </cell>
          <cell r="K92">
            <v>0.35</v>
          </cell>
          <cell r="N92">
            <v>3080.2799999999997</v>
          </cell>
          <cell r="O92" t="str">
            <v>ВМЗ КО</v>
          </cell>
          <cell r="P92">
            <v>0.35</v>
          </cell>
          <cell r="S92">
            <v>3695.9999999999995</v>
          </cell>
          <cell r="T92" t="str">
            <v>Волгоремстрой</v>
          </cell>
        </row>
        <row r="93">
          <cell r="B93" t="str">
            <v>Металлопрокат</v>
          </cell>
          <cell r="K93">
            <v>2</v>
          </cell>
          <cell r="N93">
            <v>19550.400000000001</v>
          </cell>
          <cell r="O93" t="str">
            <v>ВМЗ КО</v>
          </cell>
          <cell r="P93">
            <v>2</v>
          </cell>
          <cell r="S93">
            <v>21732</v>
          </cell>
          <cell r="T93" t="str">
            <v>Волгоремстрой</v>
          </cell>
        </row>
        <row r="94">
          <cell r="B94" t="str">
            <v>Металлопрокат</v>
          </cell>
          <cell r="K94">
            <v>15</v>
          </cell>
          <cell r="N94">
            <v>133992</v>
          </cell>
          <cell r="O94" t="str">
            <v>ВМЗ КО</v>
          </cell>
          <cell r="P94">
            <v>15</v>
          </cell>
          <cell r="S94">
            <v>183600</v>
          </cell>
          <cell r="T94" t="str">
            <v>Вологодский вагоноремонтный завод</v>
          </cell>
        </row>
        <row r="95">
          <cell r="B95" t="str">
            <v>Металлопрокат</v>
          </cell>
          <cell r="K95">
            <v>5.17</v>
          </cell>
          <cell r="N95">
            <v>139850.568</v>
          </cell>
          <cell r="O95" t="str">
            <v>ВМЗ КО</v>
          </cell>
          <cell r="P95">
            <v>5.17</v>
          </cell>
          <cell r="S95">
            <v>155410.20000000001</v>
          </cell>
          <cell r="T95" t="str">
            <v>Воронежхимсервис-99</v>
          </cell>
        </row>
        <row r="96">
          <cell r="B96" t="str">
            <v>Металлопрокат</v>
          </cell>
          <cell r="K96">
            <v>10</v>
          </cell>
          <cell r="N96">
            <v>275856</v>
          </cell>
          <cell r="O96" t="str">
            <v>ВМЗ КО</v>
          </cell>
          <cell r="P96">
            <v>10</v>
          </cell>
          <cell r="S96">
            <v>306600</v>
          </cell>
          <cell r="T96" t="str">
            <v>Воронежхимсервис-99</v>
          </cell>
        </row>
        <row r="97">
          <cell r="B97" t="str">
            <v>Металлопрокат</v>
          </cell>
          <cell r="K97">
            <v>61</v>
          </cell>
          <cell r="N97">
            <v>477849.60000000003</v>
          </cell>
          <cell r="O97" t="str">
            <v>ВМЗ КО</v>
          </cell>
          <cell r="P97">
            <v>61</v>
          </cell>
          <cell r="S97">
            <v>519354</v>
          </cell>
          <cell r="T97" t="str">
            <v>Воронежхимсервис-99</v>
          </cell>
        </row>
        <row r="98">
          <cell r="B98" t="str">
            <v>Металлопрокат</v>
          </cell>
          <cell r="K98">
            <v>16</v>
          </cell>
          <cell r="N98">
            <v>122937.60000000001</v>
          </cell>
          <cell r="O98" t="str">
            <v>ВМЗ КО</v>
          </cell>
          <cell r="P98">
            <v>16</v>
          </cell>
          <cell r="S98">
            <v>133632</v>
          </cell>
          <cell r="T98" t="str">
            <v>Воронежхимсервис-99</v>
          </cell>
        </row>
        <row r="99">
          <cell r="B99" t="str">
            <v>Металлопрокат</v>
          </cell>
          <cell r="K99">
            <v>10</v>
          </cell>
          <cell r="N99">
            <v>131652</v>
          </cell>
          <cell r="O99" t="str">
            <v>ВМЗ КО</v>
          </cell>
          <cell r="P99">
            <v>10</v>
          </cell>
          <cell r="S99">
            <v>152400</v>
          </cell>
          <cell r="T99" t="str">
            <v>ВПЗ</v>
          </cell>
        </row>
        <row r="100">
          <cell r="B100" t="str">
            <v>Металлопрокат</v>
          </cell>
          <cell r="K100">
            <v>10</v>
          </cell>
          <cell r="N100">
            <v>130452</v>
          </cell>
          <cell r="O100" t="str">
            <v>ВМЗ КО</v>
          </cell>
          <cell r="P100">
            <v>10</v>
          </cell>
          <cell r="S100">
            <v>151080</v>
          </cell>
          <cell r="T100" t="str">
            <v>ВПЗ</v>
          </cell>
        </row>
        <row r="101">
          <cell r="B101" t="str">
            <v>Металлопрокат</v>
          </cell>
          <cell r="K101">
            <v>15</v>
          </cell>
          <cell r="N101">
            <v>193860</v>
          </cell>
          <cell r="O101" t="str">
            <v>ВМЗ КО</v>
          </cell>
          <cell r="P101">
            <v>15</v>
          </cell>
          <cell r="S101">
            <v>224460</v>
          </cell>
          <cell r="T101" t="str">
            <v>ВПЗ</v>
          </cell>
        </row>
        <row r="102">
          <cell r="B102" t="str">
            <v>Металлопрокат</v>
          </cell>
          <cell r="K102">
            <v>3</v>
          </cell>
          <cell r="N102">
            <v>38772</v>
          </cell>
          <cell r="O102" t="str">
            <v>ВМЗ КО</v>
          </cell>
          <cell r="P102">
            <v>3</v>
          </cell>
          <cell r="S102">
            <v>44892</v>
          </cell>
          <cell r="T102" t="str">
            <v>ВПЗ</v>
          </cell>
        </row>
        <row r="103">
          <cell r="B103" t="str">
            <v>Металлопрокат</v>
          </cell>
          <cell r="K103">
            <v>15</v>
          </cell>
          <cell r="N103">
            <v>188424</v>
          </cell>
          <cell r="O103" t="str">
            <v>ВМЗ КО</v>
          </cell>
          <cell r="P103">
            <v>15</v>
          </cell>
          <cell r="S103">
            <v>218160</v>
          </cell>
          <cell r="T103" t="str">
            <v>ВПЗ</v>
          </cell>
        </row>
        <row r="104">
          <cell r="B104" t="str">
            <v>Металлопрокат</v>
          </cell>
          <cell r="K104">
            <v>15</v>
          </cell>
          <cell r="N104">
            <v>190242</v>
          </cell>
          <cell r="O104" t="str">
            <v>ВМЗ КО</v>
          </cell>
          <cell r="P104">
            <v>15</v>
          </cell>
          <cell r="S104">
            <v>220320</v>
          </cell>
          <cell r="T104" t="str">
            <v>ВПЗ</v>
          </cell>
        </row>
        <row r="105">
          <cell r="B105" t="str">
            <v>Металлопрокат</v>
          </cell>
          <cell r="K105">
            <v>5</v>
          </cell>
          <cell r="N105">
            <v>62202</v>
          </cell>
          <cell r="O105" t="str">
            <v>ВМЗ КО</v>
          </cell>
          <cell r="P105">
            <v>5</v>
          </cell>
          <cell r="S105">
            <v>72000</v>
          </cell>
          <cell r="T105" t="str">
            <v>ВПЗ</v>
          </cell>
        </row>
        <row r="106">
          <cell r="B106" t="str">
            <v>Металлопрокат</v>
          </cell>
          <cell r="K106">
            <v>15</v>
          </cell>
          <cell r="N106">
            <v>186606</v>
          </cell>
          <cell r="O106" t="str">
            <v>ВМЗ КО</v>
          </cell>
          <cell r="P106">
            <v>15</v>
          </cell>
          <cell r="S106">
            <v>216000</v>
          </cell>
          <cell r="T106" t="str">
            <v>ВПЗ</v>
          </cell>
        </row>
        <row r="107">
          <cell r="B107" t="str">
            <v>Металлопрокат</v>
          </cell>
          <cell r="K107">
            <v>10</v>
          </cell>
          <cell r="N107">
            <v>519048</v>
          </cell>
          <cell r="O107" t="str">
            <v>ВМЗ КО</v>
          </cell>
          <cell r="P107">
            <v>10</v>
          </cell>
          <cell r="S107">
            <v>547200</v>
          </cell>
          <cell r="T107" t="str">
            <v>ВТЗ</v>
          </cell>
        </row>
        <row r="108">
          <cell r="B108" t="str">
            <v>Металлопрокат</v>
          </cell>
          <cell r="K108">
            <v>15</v>
          </cell>
          <cell r="N108">
            <v>778572</v>
          </cell>
          <cell r="O108" t="str">
            <v>ВМЗ КО</v>
          </cell>
          <cell r="P108">
            <v>15</v>
          </cell>
          <cell r="S108">
            <v>820800</v>
          </cell>
          <cell r="T108" t="str">
            <v>ВТЗ</v>
          </cell>
        </row>
        <row r="109">
          <cell r="B109" t="str">
            <v>Металлопрокат</v>
          </cell>
          <cell r="K109">
            <v>15</v>
          </cell>
          <cell r="N109">
            <v>778572</v>
          </cell>
          <cell r="O109" t="str">
            <v>ВМЗ КО</v>
          </cell>
          <cell r="P109">
            <v>15</v>
          </cell>
          <cell r="S109">
            <v>820800</v>
          </cell>
          <cell r="T109" t="str">
            <v>ВТЗ</v>
          </cell>
        </row>
        <row r="110">
          <cell r="B110" t="str">
            <v>Металлопрокат</v>
          </cell>
          <cell r="K110">
            <v>5</v>
          </cell>
          <cell r="N110">
            <v>259524</v>
          </cell>
          <cell r="O110" t="str">
            <v>ВМЗ КО</v>
          </cell>
          <cell r="P110">
            <v>5</v>
          </cell>
          <cell r="S110">
            <v>273600</v>
          </cell>
          <cell r="T110" t="str">
            <v>ВТЗ</v>
          </cell>
        </row>
        <row r="111">
          <cell r="B111" t="str">
            <v>Металлопрокат</v>
          </cell>
          <cell r="K111">
            <v>9</v>
          </cell>
          <cell r="N111">
            <v>133066.80000000002</v>
          </cell>
          <cell r="O111" t="str">
            <v>ВМЗ КО</v>
          </cell>
          <cell r="P111">
            <v>9</v>
          </cell>
          <cell r="S111">
            <v>122580</v>
          </cell>
          <cell r="T111" t="str">
            <v>ВТЗ</v>
          </cell>
        </row>
        <row r="112">
          <cell r="B112" t="str">
            <v>Металлопрокат</v>
          </cell>
          <cell r="K112">
            <v>9</v>
          </cell>
          <cell r="N112">
            <v>137624.4</v>
          </cell>
          <cell r="O112" t="str">
            <v>ВМЗ КО</v>
          </cell>
          <cell r="P112">
            <v>9</v>
          </cell>
          <cell r="S112">
            <v>122580</v>
          </cell>
          <cell r="T112" t="str">
            <v>ВТЗ</v>
          </cell>
        </row>
        <row r="113">
          <cell r="B113" t="str">
            <v>Металлопрокат</v>
          </cell>
          <cell r="K113">
            <v>10</v>
          </cell>
          <cell r="N113">
            <v>81372</v>
          </cell>
          <cell r="O113" t="str">
            <v>ВМЗ КО</v>
          </cell>
          <cell r="P113">
            <v>10</v>
          </cell>
          <cell r="S113">
            <v>81960</v>
          </cell>
          <cell r="T113" t="str">
            <v>ВТЗ</v>
          </cell>
        </row>
        <row r="114">
          <cell r="B114" t="str">
            <v>Металлопрокат</v>
          </cell>
          <cell r="K114">
            <v>25</v>
          </cell>
          <cell r="N114">
            <v>203430</v>
          </cell>
          <cell r="O114" t="str">
            <v>ВМЗ КО</v>
          </cell>
          <cell r="P114">
            <v>25</v>
          </cell>
          <cell r="S114">
            <v>204900</v>
          </cell>
          <cell r="T114" t="str">
            <v>ВТЗ</v>
          </cell>
        </row>
        <row r="115">
          <cell r="B115" t="str">
            <v>Металлопрокат</v>
          </cell>
          <cell r="K115">
            <v>66</v>
          </cell>
          <cell r="N115">
            <v>516225.60000000003</v>
          </cell>
          <cell r="O115" t="str">
            <v>ВМЗ КО</v>
          </cell>
          <cell r="P115">
            <v>66</v>
          </cell>
          <cell r="S115">
            <v>561132</v>
          </cell>
          <cell r="T115" t="str">
            <v>ВТЗ</v>
          </cell>
        </row>
        <row r="116">
          <cell r="B116" t="str">
            <v>Металлопрокат</v>
          </cell>
          <cell r="K116">
            <v>15.72</v>
          </cell>
          <cell r="N116">
            <v>122955.55200000001</v>
          </cell>
          <cell r="O116" t="str">
            <v>ВМЗ КО</v>
          </cell>
          <cell r="P116">
            <v>15.72</v>
          </cell>
          <cell r="S116">
            <v>133651.44</v>
          </cell>
          <cell r="T116" t="str">
            <v>ВТЗ</v>
          </cell>
        </row>
        <row r="117">
          <cell r="B117" t="str">
            <v>Металлопрокат</v>
          </cell>
          <cell r="K117">
            <v>40</v>
          </cell>
          <cell r="N117">
            <v>337440</v>
          </cell>
          <cell r="O117" t="str">
            <v>ВМЗ КО</v>
          </cell>
          <cell r="P117">
            <v>40</v>
          </cell>
          <cell r="S117">
            <v>336000</v>
          </cell>
          <cell r="T117" t="str">
            <v>ВТЗ</v>
          </cell>
        </row>
        <row r="118">
          <cell r="B118" t="str">
            <v>Металлопрокат</v>
          </cell>
          <cell r="K118">
            <v>65</v>
          </cell>
          <cell r="N118">
            <v>409578</v>
          </cell>
          <cell r="O118" t="str">
            <v>ВМЗ КО</v>
          </cell>
          <cell r="P118">
            <v>65</v>
          </cell>
          <cell r="S118">
            <v>436800</v>
          </cell>
          <cell r="T118" t="str">
            <v>ВТЗ</v>
          </cell>
        </row>
        <row r="119">
          <cell r="B119" t="str">
            <v>Металлопрокат</v>
          </cell>
          <cell r="K119">
            <v>5</v>
          </cell>
          <cell r="N119">
            <v>37290</v>
          </cell>
          <cell r="O119" t="str">
            <v>ВМЗ КО</v>
          </cell>
          <cell r="P119">
            <v>5</v>
          </cell>
          <cell r="S119">
            <v>37800</v>
          </cell>
          <cell r="T119" t="str">
            <v>ВТЗ</v>
          </cell>
        </row>
        <row r="120">
          <cell r="B120" t="str">
            <v>Металлопрокат</v>
          </cell>
          <cell r="K120">
            <v>4.4000000000000004</v>
          </cell>
          <cell r="N120">
            <v>32815.200000000004</v>
          </cell>
          <cell r="O120" t="str">
            <v>ВМЗ КО</v>
          </cell>
          <cell r="P120">
            <v>4.4000000000000004</v>
          </cell>
          <cell r="S120">
            <v>33264</v>
          </cell>
          <cell r="T120" t="str">
            <v>ВТЗ</v>
          </cell>
        </row>
        <row r="121">
          <cell r="B121" t="str">
            <v>Металлопрокат</v>
          </cell>
          <cell r="K121">
            <v>60</v>
          </cell>
          <cell r="N121">
            <v>447480</v>
          </cell>
          <cell r="O121" t="str">
            <v>ВМЗ КО</v>
          </cell>
          <cell r="P121">
            <v>60</v>
          </cell>
          <cell r="S121">
            <v>453600</v>
          </cell>
          <cell r="T121" t="str">
            <v>ВТЗ</v>
          </cell>
        </row>
        <row r="122">
          <cell r="B122" t="str">
            <v>Металлопрокат</v>
          </cell>
          <cell r="K122">
            <v>60</v>
          </cell>
          <cell r="N122">
            <v>447480</v>
          </cell>
          <cell r="O122" t="str">
            <v>ВМЗ КО</v>
          </cell>
          <cell r="P122">
            <v>60</v>
          </cell>
          <cell r="S122">
            <v>453600</v>
          </cell>
          <cell r="T122" t="str">
            <v>ВТЗ</v>
          </cell>
        </row>
        <row r="123">
          <cell r="B123" t="str">
            <v>Металлопрокат</v>
          </cell>
          <cell r="K123">
            <v>65</v>
          </cell>
          <cell r="N123">
            <v>484770</v>
          </cell>
          <cell r="O123" t="str">
            <v>ВМЗ КО</v>
          </cell>
          <cell r="P123">
            <v>65</v>
          </cell>
          <cell r="S123">
            <v>491400</v>
          </cell>
          <cell r="T123" t="str">
            <v>ВТЗ</v>
          </cell>
        </row>
        <row r="124">
          <cell r="B124" t="str">
            <v>Металлопрокат</v>
          </cell>
          <cell r="K124">
            <v>65</v>
          </cell>
          <cell r="N124">
            <v>920556</v>
          </cell>
          <cell r="O124" t="str">
            <v>ВМЗ КО</v>
          </cell>
          <cell r="P124">
            <v>65</v>
          </cell>
          <cell r="S124">
            <v>911820</v>
          </cell>
          <cell r="T124" t="str">
            <v>ВТЗ</v>
          </cell>
        </row>
        <row r="125">
          <cell r="B125" t="str">
            <v>Металлопрокат</v>
          </cell>
          <cell r="K125">
            <v>113</v>
          </cell>
          <cell r="N125">
            <v>942148.8</v>
          </cell>
          <cell r="O125" t="str">
            <v>ВМЗ КО</v>
          </cell>
          <cell r="P125">
            <v>113</v>
          </cell>
          <cell r="S125">
            <v>949200</v>
          </cell>
          <cell r="T125" t="str">
            <v>ВТЗ</v>
          </cell>
        </row>
        <row r="126">
          <cell r="B126" t="str">
            <v>Металлопрокат</v>
          </cell>
          <cell r="K126">
            <v>60</v>
          </cell>
          <cell r="N126">
            <v>500256</v>
          </cell>
          <cell r="O126" t="str">
            <v>ВМЗ КО</v>
          </cell>
          <cell r="P126">
            <v>60</v>
          </cell>
          <cell r="S126">
            <v>504000</v>
          </cell>
          <cell r="T126" t="str">
            <v>ВТЗ</v>
          </cell>
        </row>
        <row r="127">
          <cell r="B127" t="str">
            <v>Металлопрокат</v>
          </cell>
          <cell r="K127">
            <v>60</v>
          </cell>
          <cell r="N127">
            <v>500256</v>
          </cell>
          <cell r="O127" t="str">
            <v>ВМЗ КО</v>
          </cell>
          <cell r="P127">
            <v>60</v>
          </cell>
          <cell r="S127">
            <v>504000</v>
          </cell>
          <cell r="T127" t="str">
            <v>ВТЗ</v>
          </cell>
        </row>
        <row r="128">
          <cell r="B128" t="str">
            <v>Металлопрокат</v>
          </cell>
          <cell r="K128">
            <v>15</v>
          </cell>
          <cell r="N128">
            <v>124794</v>
          </cell>
          <cell r="O128" t="str">
            <v>ВМЗ КО</v>
          </cell>
          <cell r="P128">
            <v>15</v>
          </cell>
          <cell r="S128">
            <v>126000</v>
          </cell>
          <cell r="T128" t="str">
            <v>ВТЗ</v>
          </cell>
        </row>
        <row r="129">
          <cell r="B129" t="str">
            <v>Металлопрокат</v>
          </cell>
          <cell r="K129">
            <v>30</v>
          </cell>
          <cell r="N129">
            <v>250128</v>
          </cell>
          <cell r="O129" t="str">
            <v>ВМЗ КО</v>
          </cell>
          <cell r="P129">
            <v>30</v>
          </cell>
          <cell r="S129">
            <v>252000</v>
          </cell>
          <cell r="T129" t="str">
            <v>ВТЗ</v>
          </cell>
        </row>
        <row r="130">
          <cell r="B130" t="str">
            <v>Металлопрокат</v>
          </cell>
          <cell r="K130">
            <v>13</v>
          </cell>
          <cell r="N130">
            <v>217074</v>
          </cell>
          <cell r="O130" t="str">
            <v>ВМЗ КО</v>
          </cell>
          <cell r="P130">
            <v>13</v>
          </cell>
          <cell r="S130">
            <v>187200</v>
          </cell>
          <cell r="T130" t="str">
            <v>ВТЗ</v>
          </cell>
        </row>
        <row r="131">
          <cell r="B131" t="str">
            <v>Металлопрокат</v>
          </cell>
          <cell r="K131">
            <v>13</v>
          </cell>
          <cell r="N131">
            <v>217074</v>
          </cell>
          <cell r="O131" t="str">
            <v>ВМЗ КО</v>
          </cell>
          <cell r="P131">
            <v>13</v>
          </cell>
          <cell r="S131">
            <v>187200</v>
          </cell>
          <cell r="T131" t="str">
            <v>ВТЗ</v>
          </cell>
        </row>
        <row r="132">
          <cell r="B132" t="str">
            <v>Металлопрокат</v>
          </cell>
          <cell r="K132">
            <v>13</v>
          </cell>
          <cell r="N132">
            <v>217074</v>
          </cell>
          <cell r="O132" t="str">
            <v>ВМЗ КО</v>
          </cell>
          <cell r="P132">
            <v>13</v>
          </cell>
          <cell r="S132">
            <v>187200</v>
          </cell>
          <cell r="T132" t="str">
            <v>ВТЗ</v>
          </cell>
        </row>
        <row r="133">
          <cell r="B133" t="str">
            <v>Металлопрокат</v>
          </cell>
          <cell r="K133">
            <v>1</v>
          </cell>
          <cell r="N133">
            <v>52008</v>
          </cell>
          <cell r="O133" t="str">
            <v>ВМЗ КО</v>
          </cell>
          <cell r="P133">
            <v>1</v>
          </cell>
          <cell r="S133">
            <v>55476</v>
          </cell>
          <cell r="T133" t="str">
            <v>Втормет</v>
          </cell>
        </row>
        <row r="134">
          <cell r="B134" t="str">
            <v>Металлопрокат</v>
          </cell>
          <cell r="K134">
            <v>2</v>
          </cell>
          <cell r="N134">
            <v>104016</v>
          </cell>
          <cell r="O134" t="str">
            <v>ВМЗ КО</v>
          </cell>
          <cell r="P134">
            <v>2</v>
          </cell>
          <cell r="S134">
            <v>110952</v>
          </cell>
          <cell r="T134" t="str">
            <v>Втормет</v>
          </cell>
        </row>
        <row r="135">
          <cell r="B135" t="str">
            <v>Металлопрокат</v>
          </cell>
          <cell r="K135">
            <v>6</v>
          </cell>
          <cell r="N135">
            <v>312048</v>
          </cell>
          <cell r="O135" t="str">
            <v>ВМЗ КО</v>
          </cell>
          <cell r="P135">
            <v>6</v>
          </cell>
          <cell r="S135">
            <v>332856</v>
          </cell>
          <cell r="T135" t="str">
            <v>Втормет</v>
          </cell>
        </row>
        <row r="136">
          <cell r="B136" t="str">
            <v>Металлопрокат</v>
          </cell>
          <cell r="K136">
            <v>9.1300000000000008</v>
          </cell>
          <cell r="N136">
            <v>68036.760000000009</v>
          </cell>
          <cell r="O136" t="str">
            <v>ВМЗ КО</v>
          </cell>
          <cell r="P136">
            <v>9.1300000000000008</v>
          </cell>
          <cell r="S136">
            <v>75596.400000000009</v>
          </cell>
          <cell r="T136" t="str">
            <v>Втормет</v>
          </cell>
        </row>
        <row r="137">
          <cell r="B137" t="str">
            <v>Металлопрокат</v>
          </cell>
          <cell r="K137">
            <v>2.1</v>
          </cell>
          <cell r="N137">
            <v>52592.4</v>
          </cell>
          <cell r="O137" t="str">
            <v>ВМЗ КО</v>
          </cell>
          <cell r="P137">
            <v>2.1</v>
          </cell>
          <cell r="S137">
            <v>56120.4</v>
          </cell>
          <cell r="T137" t="str">
            <v>Втормет</v>
          </cell>
        </row>
        <row r="138">
          <cell r="B138" t="str">
            <v>Металлопрокат</v>
          </cell>
          <cell r="K138">
            <v>5.71</v>
          </cell>
          <cell r="N138">
            <v>143001.24</v>
          </cell>
          <cell r="O138" t="str">
            <v>ВМЗ КО</v>
          </cell>
          <cell r="P138">
            <v>5.71</v>
          </cell>
          <cell r="S138">
            <v>152594.04</v>
          </cell>
          <cell r="T138" t="str">
            <v>Втормет</v>
          </cell>
        </row>
        <row r="139">
          <cell r="B139" t="str">
            <v>Металлопрокат</v>
          </cell>
          <cell r="K139">
            <v>11.6</v>
          </cell>
          <cell r="N139">
            <v>290510.39999999997</v>
          </cell>
          <cell r="O139" t="str">
            <v>ВМЗ КО</v>
          </cell>
          <cell r="P139">
            <v>11.6</v>
          </cell>
          <cell r="S139">
            <v>309998.39999999997</v>
          </cell>
          <cell r="T139" t="str">
            <v>Втормет</v>
          </cell>
        </row>
        <row r="140">
          <cell r="B140" t="str">
            <v>Металлопрокат</v>
          </cell>
          <cell r="K140">
            <v>1</v>
          </cell>
          <cell r="N140">
            <v>25296</v>
          </cell>
          <cell r="O140" t="str">
            <v>ВМЗ КО</v>
          </cell>
          <cell r="P140">
            <v>1</v>
          </cell>
          <cell r="S140">
            <v>28680</v>
          </cell>
          <cell r="T140" t="str">
            <v>Втормет</v>
          </cell>
        </row>
        <row r="141">
          <cell r="B141" t="str">
            <v>Металлопрокат</v>
          </cell>
          <cell r="K141">
            <v>15</v>
          </cell>
          <cell r="N141">
            <v>111780</v>
          </cell>
          <cell r="O141" t="str">
            <v>ВМЗ КО</v>
          </cell>
          <cell r="P141">
            <v>15</v>
          </cell>
          <cell r="S141">
            <v>124200</v>
          </cell>
          <cell r="T141" t="str">
            <v>Втормет</v>
          </cell>
        </row>
        <row r="142">
          <cell r="B142" t="str">
            <v>Металлопрокат</v>
          </cell>
          <cell r="K142">
            <v>41.91</v>
          </cell>
          <cell r="N142">
            <v>312313.31999999995</v>
          </cell>
          <cell r="O142" t="str">
            <v>ВМЗ КО</v>
          </cell>
          <cell r="P142">
            <v>41.91</v>
          </cell>
          <cell r="S142">
            <v>347014.8</v>
          </cell>
          <cell r="T142" t="str">
            <v>Втормет</v>
          </cell>
        </row>
        <row r="143">
          <cell r="B143" t="str">
            <v>Металлопрокат</v>
          </cell>
          <cell r="K143">
            <v>7.99</v>
          </cell>
          <cell r="N143">
            <v>59541.48</v>
          </cell>
          <cell r="O143" t="str">
            <v>ВМЗ КО</v>
          </cell>
          <cell r="P143">
            <v>7.99</v>
          </cell>
          <cell r="S143">
            <v>66157.2</v>
          </cell>
          <cell r="T143" t="str">
            <v>Втормет</v>
          </cell>
        </row>
        <row r="144">
          <cell r="B144" t="str">
            <v>Металлопрокат</v>
          </cell>
          <cell r="K144">
            <v>10</v>
          </cell>
          <cell r="N144">
            <v>71520</v>
          </cell>
          <cell r="O144" t="str">
            <v>ВМЗ КО</v>
          </cell>
          <cell r="P144">
            <v>10</v>
          </cell>
          <cell r="S144">
            <v>79560</v>
          </cell>
          <cell r="T144" t="str">
            <v>Втормет</v>
          </cell>
        </row>
        <row r="145">
          <cell r="B145" t="str">
            <v>Металлопрокат</v>
          </cell>
          <cell r="K145">
            <v>2.2599999999999998</v>
          </cell>
          <cell r="N145">
            <v>15458.399999999998</v>
          </cell>
          <cell r="O145" t="str">
            <v>ВМЗ КО</v>
          </cell>
          <cell r="P145">
            <v>2.2599999999999998</v>
          </cell>
          <cell r="S145">
            <v>17194.079999999998</v>
          </cell>
          <cell r="T145" t="str">
            <v>Втормет</v>
          </cell>
        </row>
        <row r="146">
          <cell r="B146" t="str">
            <v>Металлопрокат</v>
          </cell>
          <cell r="K146">
            <v>22.61</v>
          </cell>
          <cell r="N146">
            <v>154652.4</v>
          </cell>
          <cell r="O146" t="str">
            <v>ВМЗ КО</v>
          </cell>
          <cell r="P146">
            <v>22.61</v>
          </cell>
          <cell r="S146">
            <v>172016.88</v>
          </cell>
          <cell r="T146" t="str">
            <v>Втормет</v>
          </cell>
        </row>
        <row r="147">
          <cell r="B147" t="str">
            <v>Металлопрокат</v>
          </cell>
          <cell r="K147">
            <v>20.420000000000002</v>
          </cell>
          <cell r="N147">
            <v>139672.80000000002</v>
          </cell>
          <cell r="O147" t="str">
            <v>ВМЗ КО</v>
          </cell>
          <cell r="P147">
            <v>20.420000000000002</v>
          </cell>
          <cell r="S147">
            <v>155355.36000000002</v>
          </cell>
          <cell r="T147" t="str">
            <v>Втормет</v>
          </cell>
        </row>
        <row r="148">
          <cell r="B148" t="str">
            <v>Металлопрокат</v>
          </cell>
          <cell r="K148">
            <v>33.15</v>
          </cell>
          <cell r="N148">
            <v>216005.4</v>
          </cell>
          <cell r="O148" t="str">
            <v>ВМЗ КО</v>
          </cell>
          <cell r="P148">
            <v>33.15</v>
          </cell>
          <cell r="S148">
            <v>240271.19999999998</v>
          </cell>
          <cell r="T148" t="str">
            <v>Втормет</v>
          </cell>
        </row>
        <row r="149">
          <cell r="B149" t="str">
            <v>Металлопрокат</v>
          </cell>
          <cell r="K149">
            <v>40</v>
          </cell>
          <cell r="N149">
            <v>273600</v>
          </cell>
          <cell r="O149" t="str">
            <v>ВМЗ КО</v>
          </cell>
          <cell r="P149">
            <v>40</v>
          </cell>
          <cell r="S149">
            <v>304320</v>
          </cell>
          <cell r="T149" t="str">
            <v>Втормет</v>
          </cell>
        </row>
        <row r="150">
          <cell r="B150" t="str">
            <v>Металлопрокат</v>
          </cell>
          <cell r="K150">
            <v>5</v>
          </cell>
          <cell r="N150">
            <v>57828</v>
          </cell>
          <cell r="O150" t="str">
            <v>ВМЗ КО</v>
          </cell>
          <cell r="P150">
            <v>5</v>
          </cell>
          <cell r="S150">
            <v>64260</v>
          </cell>
          <cell r="T150" t="str">
            <v>Геллиос Трейдинг</v>
          </cell>
        </row>
        <row r="151">
          <cell r="B151" t="str">
            <v>Металлопрокат</v>
          </cell>
          <cell r="K151">
            <v>30</v>
          </cell>
          <cell r="N151">
            <v>343584</v>
          </cell>
          <cell r="O151" t="str">
            <v>ВМЗ КО</v>
          </cell>
          <cell r="P151">
            <v>30</v>
          </cell>
          <cell r="S151">
            <v>381780</v>
          </cell>
          <cell r="T151" t="str">
            <v>Геллиос Трейдинг</v>
          </cell>
        </row>
        <row r="152">
          <cell r="B152" t="str">
            <v>Металлопрокат</v>
          </cell>
          <cell r="K152">
            <v>94</v>
          </cell>
          <cell r="N152">
            <v>1058740.8</v>
          </cell>
          <cell r="O152" t="str">
            <v>ВМЗ КО</v>
          </cell>
          <cell r="P152">
            <v>94</v>
          </cell>
          <cell r="S152">
            <v>1176504</v>
          </cell>
          <cell r="T152" t="str">
            <v>Геллиос Трейдинг</v>
          </cell>
        </row>
        <row r="153">
          <cell r="B153" t="str">
            <v>Металлопрокат</v>
          </cell>
          <cell r="K153">
            <v>6</v>
          </cell>
          <cell r="N153">
            <v>67579.200000000012</v>
          </cell>
          <cell r="O153" t="str">
            <v>ВМЗ КО</v>
          </cell>
          <cell r="P153">
            <v>6</v>
          </cell>
          <cell r="S153">
            <v>75096</v>
          </cell>
          <cell r="T153" t="str">
            <v>Геллиос Трейдинг</v>
          </cell>
        </row>
        <row r="154">
          <cell r="B154" t="str">
            <v>Металлопрокат</v>
          </cell>
          <cell r="K154">
            <v>15.25</v>
          </cell>
          <cell r="N154">
            <v>157105.5</v>
          </cell>
          <cell r="O154" t="str">
            <v>ВМЗ КО</v>
          </cell>
          <cell r="P154">
            <v>15.25</v>
          </cell>
          <cell r="S154">
            <v>174582</v>
          </cell>
          <cell r="T154" t="str">
            <v>Дармакс</v>
          </cell>
        </row>
        <row r="155">
          <cell r="B155" t="str">
            <v>Металлопрокат</v>
          </cell>
          <cell r="K155">
            <v>3.15</v>
          </cell>
          <cell r="N155">
            <v>32451.3</v>
          </cell>
          <cell r="O155" t="str">
            <v>ВМЗ КО</v>
          </cell>
          <cell r="P155">
            <v>3.15</v>
          </cell>
          <cell r="S155">
            <v>36061.199999999997</v>
          </cell>
          <cell r="T155" t="str">
            <v>ДарМакс</v>
          </cell>
        </row>
        <row r="156">
          <cell r="B156" t="str">
            <v>Металлопрокат</v>
          </cell>
          <cell r="K156">
            <v>9.1999999999999993</v>
          </cell>
          <cell r="N156">
            <v>94778.4</v>
          </cell>
          <cell r="O156" t="str">
            <v>ВМЗ КО</v>
          </cell>
          <cell r="P156">
            <v>9.1999999999999993</v>
          </cell>
          <cell r="S156">
            <v>105321.59999999999</v>
          </cell>
          <cell r="T156" t="str">
            <v>Дармакс</v>
          </cell>
        </row>
        <row r="157">
          <cell r="B157" t="str">
            <v>Металлопрокат</v>
          </cell>
          <cell r="K157">
            <v>9.1999999999999993</v>
          </cell>
          <cell r="N157">
            <v>87768</v>
          </cell>
          <cell r="O157" t="str">
            <v>ВМЗ КО</v>
          </cell>
          <cell r="P157">
            <v>9.1999999999999993</v>
          </cell>
          <cell r="S157">
            <v>97538.4</v>
          </cell>
          <cell r="T157" t="str">
            <v>Дармакс</v>
          </cell>
        </row>
        <row r="158">
          <cell r="B158" t="str">
            <v>Металлопрокат</v>
          </cell>
          <cell r="K158">
            <v>1.94</v>
          </cell>
          <cell r="N158">
            <v>48073.2</v>
          </cell>
          <cell r="O158" t="str">
            <v>ВМЗ КО</v>
          </cell>
          <cell r="P158">
            <v>1.94</v>
          </cell>
          <cell r="S158">
            <v>53415.96</v>
          </cell>
          <cell r="T158" t="str">
            <v>Дармакс</v>
          </cell>
        </row>
        <row r="159">
          <cell r="B159" t="str">
            <v>Металлопрокат</v>
          </cell>
          <cell r="K159">
            <v>13</v>
          </cell>
          <cell r="N159">
            <v>118716</v>
          </cell>
          <cell r="O159" t="str">
            <v>ВМЗ КО</v>
          </cell>
          <cell r="P159">
            <v>13</v>
          </cell>
          <cell r="S159">
            <v>127920</v>
          </cell>
          <cell r="T159" t="str">
            <v>Дизель-МТС</v>
          </cell>
        </row>
        <row r="160">
          <cell r="B160" t="str">
            <v>Металлопрокат</v>
          </cell>
          <cell r="K160">
            <v>5</v>
          </cell>
          <cell r="N160">
            <v>55404</v>
          </cell>
          <cell r="O160" t="str">
            <v>ВМЗ КО</v>
          </cell>
          <cell r="P160">
            <v>5</v>
          </cell>
          <cell r="S160">
            <v>61560</v>
          </cell>
          <cell r="T160" t="str">
            <v>Дизель-МТС</v>
          </cell>
        </row>
        <row r="161">
          <cell r="B161" t="str">
            <v>Металлопрокат</v>
          </cell>
          <cell r="K161">
            <v>20</v>
          </cell>
          <cell r="N161">
            <v>184488</v>
          </cell>
          <cell r="O161" t="str">
            <v>ВМЗ КО</v>
          </cell>
          <cell r="P161">
            <v>20</v>
          </cell>
          <cell r="S161">
            <v>198720</v>
          </cell>
          <cell r="T161" t="str">
            <v>Дизель-МТС</v>
          </cell>
        </row>
        <row r="162">
          <cell r="B162" t="str">
            <v>Металлопрокат</v>
          </cell>
          <cell r="K162">
            <v>4.92</v>
          </cell>
          <cell r="N162">
            <v>44929.440000000002</v>
          </cell>
          <cell r="O162" t="str">
            <v>ВМЗ КО</v>
          </cell>
          <cell r="P162">
            <v>4.92</v>
          </cell>
          <cell r="S162">
            <v>48708</v>
          </cell>
          <cell r="T162" t="str">
            <v>Дизель-МТС</v>
          </cell>
        </row>
        <row r="163">
          <cell r="B163" t="str">
            <v>Металлопрокат</v>
          </cell>
          <cell r="K163">
            <v>2.1</v>
          </cell>
          <cell r="N163">
            <v>19177.2</v>
          </cell>
          <cell r="O163" t="str">
            <v>ВМЗ КО</v>
          </cell>
          <cell r="P163">
            <v>2.1</v>
          </cell>
          <cell r="S163">
            <v>20790</v>
          </cell>
          <cell r="T163" t="str">
            <v>Дизель-МТС</v>
          </cell>
        </row>
        <row r="164">
          <cell r="B164" t="str">
            <v>Металлопрокат</v>
          </cell>
          <cell r="K164">
            <v>3</v>
          </cell>
          <cell r="N164">
            <v>115617.59999999999</v>
          </cell>
          <cell r="O164" t="str">
            <v>ВМЗ КО</v>
          </cell>
          <cell r="P164">
            <v>3</v>
          </cell>
          <cell r="S164">
            <v>122544</v>
          </cell>
          <cell r="T164" t="str">
            <v>Дизель-МТС</v>
          </cell>
        </row>
        <row r="165">
          <cell r="B165" t="str">
            <v>Металлопрокат</v>
          </cell>
          <cell r="K165">
            <v>26.71</v>
          </cell>
          <cell r="N165">
            <v>1029382.032</v>
          </cell>
          <cell r="O165" t="str">
            <v>ВМЗ КО</v>
          </cell>
          <cell r="P165">
            <v>26.71</v>
          </cell>
          <cell r="S165">
            <v>1091050.08</v>
          </cell>
          <cell r="T165" t="str">
            <v>Дизель-МТС</v>
          </cell>
        </row>
        <row r="166">
          <cell r="B166" t="str">
            <v>Металлопрокат</v>
          </cell>
          <cell r="K166">
            <v>35</v>
          </cell>
          <cell r="N166">
            <v>225246</v>
          </cell>
          <cell r="O166" t="str">
            <v>ВМЗ КО</v>
          </cell>
          <cell r="P166">
            <v>35</v>
          </cell>
          <cell r="S166">
            <v>264600</v>
          </cell>
          <cell r="T166" t="str">
            <v>Дизель-МТС</v>
          </cell>
        </row>
        <row r="167">
          <cell r="B167" t="str">
            <v>Металлопрокат</v>
          </cell>
          <cell r="K167">
            <v>5</v>
          </cell>
          <cell r="N167">
            <v>141804</v>
          </cell>
          <cell r="O167" t="str">
            <v>ВМЗ КО</v>
          </cell>
          <cell r="P167">
            <v>5</v>
          </cell>
          <cell r="S167">
            <v>161802</v>
          </cell>
          <cell r="T167" t="str">
            <v>Дизель-МТС</v>
          </cell>
        </row>
        <row r="168">
          <cell r="B168" t="str">
            <v>Металлопрокат</v>
          </cell>
          <cell r="K168">
            <v>40</v>
          </cell>
          <cell r="N168">
            <v>568896</v>
          </cell>
          <cell r="O168" t="str">
            <v>ВМЗ КО</v>
          </cell>
          <cell r="P168">
            <v>40</v>
          </cell>
          <cell r="S168">
            <v>656640</v>
          </cell>
          <cell r="T168" t="str">
            <v>Дизель-МТС</v>
          </cell>
        </row>
        <row r="169">
          <cell r="B169" t="str">
            <v>Металлопрокат</v>
          </cell>
          <cell r="K169">
            <v>50</v>
          </cell>
          <cell r="N169">
            <v>711120</v>
          </cell>
          <cell r="O169" t="str">
            <v>ВМЗ КО</v>
          </cell>
          <cell r="P169">
            <v>50</v>
          </cell>
          <cell r="S169">
            <v>816000</v>
          </cell>
          <cell r="T169" t="str">
            <v>Дизель-МТС</v>
          </cell>
        </row>
        <row r="170">
          <cell r="B170" t="str">
            <v>Металлопрокат</v>
          </cell>
          <cell r="K170">
            <v>49.58</v>
          </cell>
          <cell r="N170">
            <v>705146.59199999995</v>
          </cell>
          <cell r="O170" t="str">
            <v>ВМЗ КО</v>
          </cell>
          <cell r="P170">
            <v>49.58</v>
          </cell>
          <cell r="S170">
            <v>809145.6</v>
          </cell>
          <cell r="T170" t="str">
            <v>Дизель-МТС</v>
          </cell>
        </row>
        <row r="171">
          <cell r="B171" t="str">
            <v>Металлопрокат</v>
          </cell>
          <cell r="K171">
            <v>31.87</v>
          </cell>
          <cell r="N171">
            <v>305875.51200000005</v>
          </cell>
          <cell r="O171" t="str">
            <v>ВМЗ КО</v>
          </cell>
          <cell r="P171">
            <v>31.87</v>
          </cell>
          <cell r="S171">
            <v>363318</v>
          </cell>
          <cell r="T171" t="str">
            <v>Дизель-МТС</v>
          </cell>
        </row>
        <row r="172">
          <cell r="B172" t="str">
            <v>Металлопрокат</v>
          </cell>
          <cell r="K172">
            <v>260</v>
          </cell>
          <cell r="N172">
            <v>1642056</v>
          </cell>
          <cell r="O172" t="str">
            <v>ВМЗ КО</v>
          </cell>
          <cell r="P172">
            <v>260</v>
          </cell>
          <cell r="S172">
            <v>1896960</v>
          </cell>
          <cell r="T172" t="str">
            <v>Дизель-МТС</v>
          </cell>
        </row>
        <row r="173">
          <cell r="B173" t="str">
            <v>Металлопрокат</v>
          </cell>
          <cell r="K173">
            <v>3.5</v>
          </cell>
          <cell r="N173">
            <v>34230</v>
          </cell>
          <cell r="O173" t="str">
            <v>ВМЗ КО</v>
          </cell>
          <cell r="P173">
            <v>3.5</v>
          </cell>
          <cell r="S173">
            <v>36540</v>
          </cell>
          <cell r="T173" t="str">
            <v>Дизель-МТС</v>
          </cell>
        </row>
        <row r="174">
          <cell r="B174" t="str">
            <v>Металлопрокат</v>
          </cell>
          <cell r="K174">
            <v>12</v>
          </cell>
          <cell r="N174">
            <v>108619.20000000001</v>
          </cell>
          <cell r="O174" t="str">
            <v>ВМЗ КО</v>
          </cell>
          <cell r="P174">
            <v>12</v>
          </cell>
          <cell r="S174">
            <v>120744</v>
          </cell>
          <cell r="T174" t="str">
            <v>Дизель-МТС</v>
          </cell>
        </row>
        <row r="175">
          <cell r="B175" t="str">
            <v>Металлопрокат</v>
          </cell>
          <cell r="K175">
            <v>4.1500000000000004</v>
          </cell>
          <cell r="N175">
            <v>52215.3</v>
          </cell>
          <cell r="O175" t="str">
            <v>ВМЗ КО</v>
          </cell>
          <cell r="P175">
            <v>4.1500000000000004</v>
          </cell>
          <cell r="S175">
            <v>57021.000000000007</v>
          </cell>
          <cell r="T175" t="str">
            <v>Дизель-МТС</v>
          </cell>
        </row>
        <row r="176">
          <cell r="B176" t="str">
            <v>Металлопрокат</v>
          </cell>
          <cell r="K176">
            <v>10.5</v>
          </cell>
          <cell r="N176">
            <v>80501.400000000009</v>
          </cell>
          <cell r="O176" t="str">
            <v>ВМЗ КО</v>
          </cell>
          <cell r="P176">
            <v>10.5</v>
          </cell>
          <cell r="S176">
            <v>89447.4</v>
          </cell>
          <cell r="T176" t="str">
            <v>Дизельспецкомплект</v>
          </cell>
        </row>
        <row r="177">
          <cell r="B177" t="str">
            <v>Металлопрокат</v>
          </cell>
          <cell r="K177">
            <v>36.81</v>
          </cell>
          <cell r="N177">
            <v>328683.85200000007</v>
          </cell>
          <cell r="O177" t="str">
            <v>ВМЗ КО</v>
          </cell>
          <cell r="P177">
            <v>36.81</v>
          </cell>
          <cell r="S177">
            <v>534481.20000000007</v>
          </cell>
          <cell r="T177" t="str">
            <v>Дрогобычский долотный завод</v>
          </cell>
        </row>
        <row r="178">
          <cell r="B178" t="str">
            <v>Металлопрокат</v>
          </cell>
          <cell r="K178">
            <v>10</v>
          </cell>
          <cell r="N178">
            <v>72800</v>
          </cell>
          <cell r="O178" t="str">
            <v>ВМЗ КО</v>
          </cell>
          <cell r="P178">
            <v>10</v>
          </cell>
          <cell r="S178">
            <v>123000</v>
          </cell>
          <cell r="T178" t="str">
            <v>Дрогобычский долотный завод</v>
          </cell>
        </row>
        <row r="179">
          <cell r="B179" t="str">
            <v>Металлопрокат</v>
          </cell>
          <cell r="K179">
            <v>10.26</v>
          </cell>
          <cell r="N179">
            <v>118318.31999999999</v>
          </cell>
          <cell r="O179" t="str">
            <v>ВМЗ КО</v>
          </cell>
          <cell r="P179">
            <v>10.26</v>
          </cell>
          <cell r="S179">
            <v>142757.63999999998</v>
          </cell>
          <cell r="T179" t="str">
            <v>Завод им Серго</v>
          </cell>
        </row>
        <row r="180">
          <cell r="B180" t="str">
            <v>Металлопрокат</v>
          </cell>
          <cell r="K180">
            <v>6.72</v>
          </cell>
          <cell r="N180">
            <v>82696.319999999992</v>
          </cell>
          <cell r="O180" t="str">
            <v>ВМЗ КО</v>
          </cell>
          <cell r="P180">
            <v>6.72</v>
          </cell>
          <cell r="S180">
            <v>101122.56</v>
          </cell>
          <cell r="T180" t="str">
            <v>ЗЗГТ</v>
          </cell>
        </row>
        <row r="181">
          <cell r="B181" t="str">
            <v>Металлопрокат</v>
          </cell>
          <cell r="K181">
            <v>8</v>
          </cell>
          <cell r="N181">
            <v>98448</v>
          </cell>
          <cell r="O181" t="str">
            <v>ВМЗ КО</v>
          </cell>
          <cell r="P181">
            <v>8</v>
          </cell>
          <cell r="S181">
            <v>120384</v>
          </cell>
          <cell r="T181" t="str">
            <v>ЗЗГТ</v>
          </cell>
        </row>
        <row r="182">
          <cell r="B182" t="str">
            <v>Металлопрокат</v>
          </cell>
          <cell r="K182">
            <v>20</v>
          </cell>
          <cell r="N182">
            <v>264912</v>
          </cell>
          <cell r="O182" t="str">
            <v>ВМЗ КО</v>
          </cell>
          <cell r="P182">
            <v>20</v>
          </cell>
          <cell r="S182">
            <v>294360</v>
          </cell>
          <cell r="T182" t="str">
            <v>Интел гарант ХХI век</v>
          </cell>
        </row>
        <row r="183">
          <cell r="B183" t="str">
            <v>Металлопрокат</v>
          </cell>
          <cell r="K183">
            <v>20</v>
          </cell>
          <cell r="N183">
            <v>264912</v>
          </cell>
          <cell r="O183" t="str">
            <v>ВМЗ КО</v>
          </cell>
          <cell r="P183">
            <v>20</v>
          </cell>
          <cell r="S183">
            <v>294360</v>
          </cell>
          <cell r="T183" t="str">
            <v>Интел гарант ХХI век</v>
          </cell>
        </row>
        <row r="184">
          <cell r="B184" t="str">
            <v>Металлопрокат</v>
          </cell>
          <cell r="K184">
            <v>10</v>
          </cell>
          <cell r="N184">
            <v>132456</v>
          </cell>
          <cell r="O184" t="str">
            <v>ВМЗ КО</v>
          </cell>
          <cell r="P184">
            <v>10</v>
          </cell>
          <cell r="S184">
            <v>147180</v>
          </cell>
          <cell r="T184" t="str">
            <v>Интел гарант ХХI век</v>
          </cell>
        </row>
        <row r="185">
          <cell r="B185" t="str">
            <v>Металлопрокат</v>
          </cell>
          <cell r="K185">
            <v>27</v>
          </cell>
          <cell r="N185">
            <v>156200.4</v>
          </cell>
          <cell r="O185" t="str">
            <v>ВМЗ КО</v>
          </cell>
          <cell r="P185">
            <v>27</v>
          </cell>
          <cell r="S185">
            <v>173566.8</v>
          </cell>
          <cell r="T185" t="str">
            <v>Интерметалл</v>
          </cell>
        </row>
        <row r="186">
          <cell r="B186" t="str">
            <v>Металлопрокат</v>
          </cell>
          <cell r="K186">
            <v>10</v>
          </cell>
          <cell r="N186">
            <v>289680</v>
          </cell>
          <cell r="O186" t="str">
            <v>ВМЗ КО</v>
          </cell>
          <cell r="P186">
            <v>10</v>
          </cell>
          <cell r="S186">
            <v>309324</v>
          </cell>
          <cell r="T186" t="str">
            <v>Интерсфера-Холдинг</v>
          </cell>
        </row>
        <row r="187">
          <cell r="B187" t="str">
            <v>Металлопрокат</v>
          </cell>
          <cell r="K187">
            <v>16.72</v>
          </cell>
          <cell r="N187">
            <v>472908.48</v>
          </cell>
          <cell r="O187" t="str">
            <v>ВМЗ КО</v>
          </cell>
          <cell r="P187">
            <v>16.72</v>
          </cell>
          <cell r="S187">
            <v>525676.79999999993</v>
          </cell>
          <cell r="T187" t="str">
            <v>Камышинский завод бурового инструмента</v>
          </cell>
        </row>
        <row r="188">
          <cell r="B188" t="str">
            <v>Металлопрокат</v>
          </cell>
          <cell r="K188">
            <v>35</v>
          </cell>
          <cell r="N188">
            <v>740712</v>
          </cell>
          <cell r="O188" t="str">
            <v>ВМЗ КО</v>
          </cell>
          <cell r="P188">
            <v>35</v>
          </cell>
          <cell r="S188">
            <v>805686</v>
          </cell>
          <cell r="T188" t="str">
            <v>Камышинский завод бурового инструмента</v>
          </cell>
        </row>
        <row r="189">
          <cell r="B189" t="str">
            <v>Металлопрокат</v>
          </cell>
          <cell r="K189">
            <v>1</v>
          </cell>
          <cell r="N189">
            <v>20820</v>
          </cell>
          <cell r="O189" t="str">
            <v>ВМЗ КО</v>
          </cell>
          <cell r="P189">
            <v>1</v>
          </cell>
          <cell r="S189">
            <v>23132.400000000001</v>
          </cell>
          <cell r="T189" t="str">
            <v>Камышинский завод бурового инструмента</v>
          </cell>
        </row>
        <row r="190">
          <cell r="B190" t="str">
            <v>Металлопрокат</v>
          </cell>
          <cell r="K190">
            <v>21.9</v>
          </cell>
          <cell r="N190">
            <v>174656.87999999998</v>
          </cell>
          <cell r="O190" t="str">
            <v>ВМЗ КО</v>
          </cell>
          <cell r="P190">
            <v>21.9</v>
          </cell>
          <cell r="S190">
            <v>209188.8</v>
          </cell>
          <cell r="T190" t="str">
            <v>КМЗ</v>
          </cell>
        </row>
        <row r="191">
          <cell r="B191" t="str">
            <v>Металлопрокат</v>
          </cell>
          <cell r="K191">
            <v>40</v>
          </cell>
          <cell r="N191">
            <v>318240</v>
          </cell>
          <cell r="O191" t="str">
            <v>ВМЗ КО</v>
          </cell>
          <cell r="P191">
            <v>40</v>
          </cell>
          <cell r="S191">
            <v>382080</v>
          </cell>
          <cell r="T191" t="str">
            <v>КМЗ</v>
          </cell>
        </row>
        <row r="192">
          <cell r="B192" t="str">
            <v>Металлопрокат</v>
          </cell>
          <cell r="K192">
            <v>11.15</v>
          </cell>
          <cell r="N192">
            <v>76292.759999999995</v>
          </cell>
          <cell r="O192" t="str">
            <v>ВМЗ КО</v>
          </cell>
          <cell r="P192">
            <v>11.15</v>
          </cell>
          <cell r="S192">
            <v>86006.640000000014</v>
          </cell>
          <cell r="T192" t="str">
            <v>Коламбия ООО</v>
          </cell>
        </row>
        <row r="193">
          <cell r="B193" t="str">
            <v>Металлопрокат</v>
          </cell>
          <cell r="K193">
            <v>8.3000000000000007</v>
          </cell>
          <cell r="N193">
            <v>52529.040000000008</v>
          </cell>
          <cell r="O193" t="str">
            <v>ВМЗ КО</v>
          </cell>
          <cell r="P193">
            <v>8.3000000000000007</v>
          </cell>
          <cell r="S193">
            <v>56612.640000000007</v>
          </cell>
          <cell r="T193" t="str">
            <v>Коламбия ООО</v>
          </cell>
        </row>
        <row r="194">
          <cell r="B194" t="str">
            <v>Металлопрокат</v>
          </cell>
          <cell r="K194">
            <v>5</v>
          </cell>
          <cell r="N194">
            <v>31542</v>
          </cell>
          <cell r="O194" t="str">
            <v>ВМЗ КО</v>
          </cell>
          <cell r="P194">
            <v>5</v>
          </cell>
          <cell r="S194">
            <v>33996</v>
          </cell>
          <cell r="T194" t="str">
            <v>Коламбия ООО</v>
          </cell>
        </row>
        <row r="195">
          <cell r="B195" t="str">
            <v>Металлопрокат</v>
          </cell>
          <cell r="K195">
            <v>3</v>
          </cell>
          <cell r="N195">
            <v>81039.600000000006</v>
          </cell>
          <cell r="O195" t="str">
            <v>ВМЗ КО</v>
          </cell>
          <cell r="P195">
            <v>3</v>
          </cell>
          <cell r="S195">
            <v>87343.200000000012</v>
          </cell>
          <cell r="T195" t="str">
            <v>Коламбия ООО</v>
          </cell>
        </row>
        <row r="196">
          <cell r="B196" t="str">
            <v>Металлопрокат</v>
          </cell>
          <cell r="K196">
            <v>3</v>
          </cell>
          <cell r="N196">
            <v>79466.399999999994</v>
          </cell>
          <cell r="O196" t="str">
            <v>ВМЗ КО</v>
          </cell>
          <cell r="P196">
            <v>3</v>
          </cell>
          <cell r="S196">
            <v>86493.6</v>
          </cell>
          <cell r="T196" t="str">
            <v>Коламбия ООО</v>
          </cell>
        </row>
        <row r="197">
          <cell r="B197" t="str">
            <v>Металлопрокат</v>
          </cell>
          <cell r="K197">
            <v>3</v>
          </cell>
          <cell r="N197">
            <v>80251.200000000012</v>
          </cell>
          <cell r="O197" t="str">
            <v>ВМЗ КО</v>
          </cell>
          <cell r="P197">
            <v>3</v>
          </cell>
          <cell r="S197">
            <v>85647.6</v>
          </cell>
          <cell r="T197" t="str">
            <v>Коламбия ООО</v>
          </cell>
        </row>
        <row r="198">
          <cell r="B198" t="str">
            <v>Металлопрокат</v>
          </cell>
          <cell r="K198">
            <v>5</v>
          </cell>
          <cell r="N198">
            <v>132360</v>
          </cell>
          <cell r="O198" t="str">
            <v>ВМЗ КО</v>
          </cell>
          <cell r="P198">
            <v>5</v>
          </cell>
          <cell r="S198">
            <v>142656</v>
          </cell>
          <cell r="T198" t="str">
            <v>Коламбия ООО</v>
          </cell>
        </row>
        <row r="199">
          <cell r="B199" t="str">
            <v>Металлопрокат</v>
          </cell>
          <cell r="K199">
            <v>10</v>
          </cell>
          <cell r="N199">
            <v>252468</v>
          </cell>
          <cell r="O199" t="str">
            <v>ВМЗ КО</v>
          </cell>
          <cell r="P199">
            <v>10</v>
          </cell>
          <cell r="S199">
            <v>272100</v>
          </cell>
          <cell r="T199" t="str">
            <v>Коламбия ООО</v>
          </cell>
        </row>
        <row r="200">
          <cell r="B200" t="str">
            <v>Металлопрокат</v>
          </cell>
          <cell r="K200">
            <v>4</v>
          </cell>
          <cell r="N200">
            <v>215318.39999999999</v>
          </cell>
          <cell r="O200" t="str">
            <v>ВМЗ КО</v>
          </cell>
          <cell r="P200">
            <v>4</v>
          </cell>
          <cell r="S200">
            <v>212534.39999999999</v>
          </cell>
          <cell r="T200" t="str">
            <v>Коламбия ООО</v>
          </cell>
        </row>
        <row r="201">
          <cell r="B201" t="str">
            <v>Металлопрокат</v>
          </cell>
          <cell r="K201">
            <v>5</v>
          </cell>
          <cell r="N201">
            <v>35040</v>
          </cell>
          <cell r="O201" t="str">
            <v>ВМЗ КО</v>
          </cell>
          <cell r="P201">
            <v>5</v>
          </cell>
          <cell r="S201">
            <v>37770</v>
          </cell>
          <cell r="T201" t="str">
            <v>Коламбия ООО</v>
          </cell>
        </row>
        <row r="202">
          <cell r="B202" t="str">
            <v>Металлопрокат</v>
          </cell>
          <cell r="K202">
            <v>5</v>
          </cell>
          <cell r="N202">
            <v>31662</v>
          </cell>
          <cell r="O202" t="str">
            <v>ВМЗ КО</v>
          </cell>
          <cell r="P202">
            <v>5</v>
          </cell>
          <cell r="S202">
            <v>33138</v>
          </cell>
          <cell r="T202" t="str">
            <v>Коламбия ООО</v>
          </cell>
        </row>
        <row r="203">
          <cell r="B203" t="str">
            <v>Металлопрокат</v>
          </cell>
          <cell r="K203">
            <v>58.33</v>
          </cell>
          <cell r="N203">
            <v>361249.35599999997</v>
          </cell>
          <cell r="O203" t="str">
            <v>ВМЗ КО</v>
          </cell>
          <cell r="P203">
            <v>58.33</v>
          </cell>
          <cell r="S203">
            <v>389317.75199999998</v>
          </cell>
          <cell r="T203" t="str">
            <v>Коламбия ООО</v>
          </cell>
        </row>
        <row r="204">
          <cell r="B204" t="str">
            <v>Металлопрокат</v>
          </cell>
          <cell r="K204">
            <v>4.7</v>
          </cell>
          <cell r="N204">
            <v>29970.960000000003</v>
          </cell>
          <cell r="O204" t="str">
            <v>ВМЗ КО</v>
          </cell>
          <cell r="P204">
            <v>4.7</v>
          </cell>
          <cell r="S204">
            <v>32305.920000000002</v>
          </cell>
          <cell r="T204" t="str">
            <v>Коламбия ООО</v>
          </cell>
        </row>
        <row r="205">
          <cell r="B205" t="str">
            <v>Металлопрокат</v>
          </cell>
          <cell r="K205">
            <v>60</v>
          </cell>
          <cell r="N205">
            <v>1012608</v>
          </cell>
          <cell r="O205" t="str">
            <v>ВМЗ КО</v>
          </cell>
          <cell r="P205">
            <v>60</v>
          </cell>
          <cell r="S205">
            <v>1091376</v>
          </cell>
          <cell r="T205" t="str">
            <v>Коламбия ООО</v>
          </cell>
        </row>
        <row r="206">
          <cell r="B206" t="str">
            <v>Металлопрокат</v>
          </cell>
          <cell r="K206">
            <v>5</v>
          </cell>
          <cell r="N206">
            <v>554256</v>
          </cell>
          <cell r="O206" t="str">
            <v>ВМЗ КО</v>
          </cell>
          <cell r="P206">
            <v>5</v>
          </cell>
          <cell r="S206">
            <v>578886</v>
          </cell>
          <cell r="T206" t="str">
            <v>Коламбия ООО</v>
          </cell>
        </row>
        <row r="207">
          <cell r="B207" t="str">
            <v>Металлопрокат</v>
          </cell>
          <cell r="K207">
            <v>40</v>
          </cell>
          <cell r="N207">
            <v>260496</v>
          </cell>
          <cell r="O207" t="str">
            <v>ВМЗ КО</v>
          </cell>
          <cell r="P207">
            <v>40</v>
          </cell>
          <cell r="S207">
            <v>280752</v>
          </cell>
          <cell r="T207" t="str">
            <v>Коламбия ООО</v>
          </cell>
        </row>
        <row r="208">
          <cell r="B208" t="str">
            <v>Металлопрокат</v>
          </cell>
          <cell r="K208">
            <v>57.44</v>
          </cell>
          <cell r="N208">
            <v>515581.44</v>
          </cell>
          <cell r="O208" t="str">
            <v>ВМЗ КО</v>
          </cell>
          <cell r="P208">
            <v>57.44</v>
          </cell>
          <cell r="S208">
            <v>624625.53599999996</v>
          </cell>
          <cell r="T208" t="str">
            <v>Коламбия ООО</v>
          </cell>
        </row>
        <row r="209">
          <cell r="B209" t="str">
            <v>Металлопрокат</v>
          </cell>
          <cell r="K209">
            <v>5.27</v>
          </cell>
          <cell r="N209">
            <v>37634.123999999996</v>
          </cell>
          <cell r="O209" t="str">
            <v>ВМЗ КО</v>
          </cell>
          <cell r="P209">
            <v>5.27</v>
          </cell>
          <cell r="S209">
            <v>40562.135999999999</v>
          </cell>
          <cell r="T209" t="str">
            <v>Коламбия ООО</v>
          </cell>
        </row>
        <row r="210">
          <cell r="B210" t="str">
            <v>Металлопрокат</v>
          </cell>
          <cell r="K210">
            <v>20</v>
          </cell>
          <cell r="N210">
            <v>141360</v>
          </cell>
          <cell r="O210" t="str">
            <v>ВМЗ КО</v>
          </cell>
          <cell r="P210">
            <v>20</v>
          </cell>
          <cell r="S210">
            <v>152376</v>
          </cell>
          <cell r="T210" t="str">
            <v>Коламбия ООО</v>
          </cell>
        </row>
        <row r="211">
          <cell r="B211" t="str">
            <v>Металлопрокат</v>
          </cell>
          <cell r="K211">
            <v>5</v>
          </cell>
          <cell r="N211">
            <v>34428</v>
          </cell>
          <cell r="O211" t="str">
            <v>ВМЗ КО</v>
          </cell>
          <cell r="P211">
            <v>5</v>
          </cell>
          <cell r="S211">
            <v>37110</v>
          </cell>
          <cell r="T211" t="str">
            <v>Коламбия ООО</v>
          </cell>
        </row>
        <row r="212">
          <cell r="B212" t="str">
            <v>Металлопрокат</v>
          </cell>
          <cell r="K212">
            <v>65</v>
          </cell>
          <cell r="N212">
            <v>576498</v>
          </cell>
          <cell r="O212" t="str">
            <v>ВМЗ КО</v>
          </cell>
          <cell r="P212">
            <v>65</v>
          </cell>
          <cell r="S212">
            <v>621348</v>
          </cell>
          <cell r="T212" t="str">
            <v>Коламбия ООО</v>
          </cell>
        </row>
        <row r="213">
          <cell r="B213" t="str">
            <v>Металлопрокат</v>
          </cell>
          <cell r="K213">
            <v>17.22</v>
          </cell>
          <cell r="N213">
            <v>143676.79199999999</v>
          </cell>
          <cell r="O213" t="str">
            <v>ВМЗ КО</v>
          </cell>
          <cell r="P213">
            <v>17.22</v>
          </cell>
          <cell r="S213">
            <v>154856.01599999997</v>
          </cell>
          <cell r="T213" t="str">
            <v>Коламбия ООО</v>
          </cell>
        </row>
        <row r="214">
          <cell r="B214" t="str">
            <v>Металлопрокат</v>
          </cell>
          <cell r="K214">
            <v>65</v>
          </cell>
          <cell r="N214">
            <v>460278</v>
          </cell>
          <cell r="O214" t="str">
            <v>ВМЗ КО</v>
          </cell>
          <cell r="P214">
            <v>65</v>
          </cell>
          <cell r="S214">
            <v>496158</v>
          </cell>
          <cell r="T214" t="str">
            <v>Коламбия ООО</v>
          </cell>
        </row>
        <row r="215">
          <cell r="B215" t="str">
            <v>Металлопрокат</v>
          </cell>
          <cell r="K215">
            <v>30</v>
          </cell>
          <cell r="N215">
            <v>199044</v>
          </cell>
          <cell r="O215" t="str">
            <v>ВМЗ КО</v>
          </cell>
          <cell r="P215">
            <v>30</v>
          </cell>
          <cell r="S215">
            <v>214524</v>
          </cell>
          <cell r="T215" t="str">
            <v>Коламбия ООО</v>
          </cell>
        </row>
        <row r="216">
          <cell r="B216" t="str">
            <v>Металлопрокат</v>
          </cell>
          <cell r="K216">
            <v>10</v>
          </cell>
          <cell r="N216">
            <v>61932</v>
          </cell>
          <cell r="O216" t="str">
            <v>ВМЗ КО</v>
          </cell>
          <cell r="P216">
            <v>10</v>
          </cell>
          <cell r="S216">
            <v>66744</v>
          </cell>
          <cell r="T216" t="str">
            <v>Коламбия ООО</v>
          </cell>
        </row>
        <row r="217">
          <cell r="B217" t="str">
            <v>Металлопрокат</v>
          </cell>
          <cell r="K217">
            <v>20</v>
          </cell>
          <cell r="N217">
            <v>122976</v>
          </cell>
          <cell r="O217" t="str">
            <v>ВМЗ КО</v>
          </cell>
          <cell r="P217">
            <v>20</v>
          </cell>
          <cell r="S217">
            <v>132552</v>
          </cell>
          <cell r="T217" t="str">
            <v>Коламбия ООО</v>
          </cell>
        </row>
        <row r="218">
          <cell r="B218" t="str">
            <v>Металлопрокат</v>
          </cell>
          <cell r="K218">
            <v>10</v>
          </cell>
          <cell r="N218">
            <v>62748</v>
          </cell>
          <cell r="O218" t="str">
            <v>ВМЗ КО</v>
          </cell>
          <cell r="P218">
            <v>10</v>
          </cell>
          <cell r="S218">
            <v>67620</v>
          </cell>
          <cell r="T218" t="str">
            <v>Коламбия ООО</v>
          </cell>
        </row>
        <row r="219">
          <cell r="B219" t="str">
            <v>Металлопрокат</v>
          </cell>
          <cell r="K219">
            <v>30</v>
          </cell>
          <cell r="N219">
            <v>184464</v>
          </cell>
          <cell r="O219" t="str">
            <v>ВМЗ КО</v>
          </cell>
          <cell r="P219">
            <v>30</v>
          </cell>
          <cell r="S219">
            <v>198828</v>
          </cell>
          <cell r="T219" t="str">
            <v>Коламбия ООО</v>
          </cell>
        </row>
        <row r="220">
          <cell r="B220" t="str">
            <v>Металлопрокат</v>
          </cell>
          <cell r="K220">
            <v>7.6</v>
          </cell>
          <cell r="N220">
            <v>48126.239999999998</v>
          </cell>
          <cell r="O220" t="str">
            <v>ВМЗ КО</v>
          </cell>
          <cell r="P220">
            <v>7.6</v>
          </cell>
          <cell r="S220">
            <v>51874.559999999998</v>
          </cell>
          <cell r="T220" t="str">
            <v>Коламбия ООО</v>
          </cell>
        </row>
        <row r="221">
          <cell r="B221" t="str">
            <v>Металлопрокат</v>
          </cell>
          <cell r="K221">
            <v>5</v>
          </cell>
          <cell r="N221">
            <v>31278</v>
          </cell>
          <cell r="O221" t="str">
            <v>ВМЗ КО</v>
          </cell>
          <cell r="P221">
            <v>5</v>
          </cell>
          <cell r="S221">
            <v>33714</v>
          </cell>
          <cell r="T221" t="str">
            <v>Коламбия ООО</v>
          </cell>
        </row>
        <row r="222">
          <cell r="B222" t="str">
            <v>Металлопрокат</v>
          </cell>
          <cell r="K222">
            <v>65</v>
          </cell>
          <cell r="N222">
            <v>459420</v>
          </cell>
          <cell r="O222" t="str">
            <v>ВМЗ КО</v>
          </cell>
          <cell r="P222">
            <v>65</v>
          </cell>
          <cell r="S222">
            <v>495222</v>
          </cell>
          <cell r="T222" t="str">
            <v>Коламбия ООО</v>
          </cell>
        </row>
        <row r="223">
          <cell r="B223" t="str">
            <v>Металлопрокат</v>
          </cell>
          <cell r="K223">
            <v>5</v>
          </cell>
          <cell r="N223">
            <v>33456</v>
          </cell>
          <cell r="O223" t="str">
            <v>ВМЗ КО</v>
          </cell>
          <cell r="P223">
            <v>5</v>
          </cell>
          <cell r="S223">
            <v>36060</v>
          </cell>
          <cell r="T223" t="str">
            <v>Коламбия ООО</v>
          </cell>
        </row>
        <row r="224">
          <cell r="B224" t="str">
            <v>Металлопрокат</v>
          </cell>
          <cell r="K224">
            <v>5</v>
          </cell>
          <cell r="N224">
            <v>34428</v>
          </cell>
          <cell r="O224" t="str">
            <v>ВМЗ КО</v>
          </cell>
          <cell r="P224">
            <v>5</v>
          </cell>
          <cell r="S224">
            <v>37110</v>
          </cell>
          <cell r="T224" t="str">
            <v>Коламбия ООО</v>
          </cell>
        </row>
        <row r="225">
          <cell r="B225" t="str">
            <v>Металлопрокат</v>
          </cell>
          <cell r="K225">
            <v>10</v>
          </cell>
          <cell r="N225">
            <v>67536</v>
          </cell>
          <cell r="O225" t="str">
            <v>ВМЗ КО</v>
          </cell>
          <cell r="P225">
            <v>10</v>
          </cell>
          <cell r="S225">
            <v>77136</v>
          </cell>
          <cell r="T225" t="str">
            <v>Коламбия ООО</v>
          </cell>
        </row>
        <row r="226">
          <cell r="B226" t="str">
            <v>Металлопрокат</v>
          </cell>
          <cell r="K226">
            <v>5</v>
          </cell>
          <cell r="N226">
            <v>31860</v>
          </cell>
          <cell r="O226" t="str">
            <v>ВМЗ КО</v>
          </cell>
          <cell r="P226">
            <v>5</v>
          </cell>
          <cell r="S226">
            <v>34338</v>
          </cell>
          <cell r="T226" t="str">
            <v>Коламбия ООО</v>
          </cell>
        </row>
        <row r="227">
          <cell r="B227" t="str">
            <v>Металлопрокат</v>
          </cell>
          <cell r="K227">
            <v>15</v>
          </cell>
          <cell r="N227">
            <v>93672</v>
          </cell>
          <cell r="O227" t="str">
            <v>ВМЗ КО</v>
          </cell>
          <cell r="P227">
            <v>15</v>
          </cell>
          <cell r="S227">
            <v>100962</v>
          </cell>
          <cell r="T227" t="str">
            <v>Коламбия ООО</v>
          </cell>
        </row>
        <row r="228">
          <cell r="B228" t="str">
            <v>Металлопрокат</v>
          </cell>
          <cell r="K228">
            <v>15</v>
          </cell>
          <cell r="N228">
            <v>93690</v>
          </cell>
          <cell r="O228" t="str">
            <v>ВМЗ КО</v>
          </cell>
          <cell r="P228">
            <v>15</v>
          </cell>
          <cell r="S228">
            <v>100962</v>
          </cell>
          <cell r="T228" t="str">
            <v>Коламбия ООО</v>
          </cell>
        </row>
        <row r="229">
          <cell r="B229" t="str">
            <v>Металлопрокат</v>
          </cell>
          <cell r="K229">
            <v>5</v>
          </cell>
          <cell r="N229">
            <v>31644</v>
          </cell>
          <cell r="O229" t="str">
            <v>ВМЗ КО</v>
          </cell>
          <cell r="P229">
            <v>5</v>
          </cell>
          <cell r="S229">
            <v>34104</v>
          </cell>
          <cell r="T229" t="str">
            <v>Коламбия ООО</v>
          </cell>
        </row>
        <row r="230">
          <cell r="B230" t="str">
            <v>Металлопрокат</v>
          </cell>
          <cell r="K230">
            <v>10.119999999999999</v>
          </cell>
          <cell r="N230">
            <v>132406.03200000001</v>
          </cell>
          <cell r="O230" t="str">
            <v>ВМЗ КО</v>
          </cell>
          <cell r="P230">
            <v>10.119999999999999</v>
          </cell>
          <cell r="S230">
            <v>142704.144</v>
          </cell>
          <cell r="T230" t="str">
            <v>Коламбия ООО</v>
          </cell>
        </row>
        <row r="231">
          <cell r="B231" t="str">
            <v>Металлопрокат</v>
          </cell>
          <cell r="K231">
            <v>3.05</v>
          </cell>
          <cell r="N231">
            <v>39904.979999999996</v>
          </cell>
          <cell r="O231" t="str">
            <v>ВМЗ КО</v>
          </cell>
          <cell r="P231">
            <v>3.05</v>
          </cell>
          <cell r="S231">
            <v>43008.659999999996</v>
          </cell>
          <cell r="T231" t="str">
            <v>Коламбия ООО</v>
          </cell>
        </row>
        <row r="232">
          <cell r="B232" t="str">
            <v>Металлопрокат</v>
          </cell>
          <cell r="K232">
            <v>4.9000000000000004</v>
          </cell>
          <cell r="N232">
            <v>36491.279999999999</v>
          </cell>
          <cell r="O232" t="str">
            <v>ВМЗ КО</v>
          </cell>
          <cell r="P232">
            <v>4.9000000000000004</v>
          </cell>
          <cell r="S232">
            <v>39325.440000000002</v>
          </cell>
          <cell r="T232" t="str">
            <v>Коламбия ООО</v>
          </cell>
        </row>
        <row r="233">
          <cell r="B233" t="str">
            <v>Металлопрокат</v>
          </cell>
          <cell r="K233">
            <v>50</v>
          </cell>
          <cell r="N233">
            <v>408780</v>
          </cell>
          <cell r="O233" t="str">
            <v>ВМЗ КО</v>
          </cell>
          <cell r="P233">
            <v>50</v>
          </cell>
          <cell r="S233">
            <v>440580</v>
          </cell>
          <cell r="T233" t="str">
            <v>Коламбия ООО</v>
          </cell>
        </row>
        <row r="234">
          <cell r="B234" t="str">
            <v>Металлопрокат</v>
          </cell>
          <cell r="K234">
            <v>30</v>
          </cell>
          <cell r="N234">
            <v>243576</v>
          </cell>
          <cell r="O234" t="str">
            <v>ВМЗ КО</v>
          </cell>
          <cell r="P234">
            <v>30</v>
          </cell>
          <cell r="S234">
            <v>262512</v>
          </cell>
          <cell r="T234" t="str">
            <v>Коламбия ООО</v>
          </cell>
        </row>
        <row r="235">
          <cell r="B235" t="str">
            <v>Металлопрокат</v>
          </cell>
          <cell r="K235">
            <v>63</v>
          </cell>
          <cell r="N235">
            <v>509922</v>
          </cell>
          <cell r="O235" t="str">
            <v>ВМЗ КО</v>
          </cell>
          <cell r="P235">
            <v>63</v>
          </cell>
          <cell r="S235">
            <v>549612</v>
          </cell>
          <cell r="T235" t="str">
            <v>Коламбия ООО</v>
          </cell>
        </row>
        <row r="236">
          <cell r="B236" t="str">
            <v>Металлопрокат</v>
          </cell>
          <cell r="K236">
            <v>4.84</v>
          </cell>
          <cell r="N236">
            <v>148789.34399999998</v>
          </cell>
          <cell r="O236" t="str">
            <v>ВМЗ КО</v>
          </cell>
          <cell r="P236">
            <v>4.84</v>
          </cell>
          <cell r="S236">
            <v>175285.44</v>
          </cell>
          <cell r="T236" t="str">
            <v>Коломенский завод</v>
          </cell>
        </row>
        <row r="237">
          <cell r="B237" t="str">
            <v>Металлопрокат</v>
          </cell>
          <cell r="K237">
            <v>3.14</v>
          </cell>
          <cell r="N237">
            <v>25641.24</v>
          </cell>
          <cell r="O237" t="str">
            <v>ВМЗ КО</v>
          </cell>
          <cell r="P237">
            <v>3.14</v>
          </cell>
          <cell r="S237">
            <v>28523.760000000002</v>
          </cell>
          <cell r="T237" t="str">
            <v>Комметпром</v>
          </cell>
        </row>
        <row r="238">
          <cell r="B238" t="str">
            <v>Металлопрокат</v>
          </cell>
          <cell r="K238">
            <v>3.45</v>
          </cell>
          <cell r="N238">
            <v>28172.7</v>
          </cell>
          <cell r="O238" t="str">
            <v>ВМЗ КО</v>
          </cell>
          <cell r="P238">
            <v>3.45</v>
          </cell>
          <cell r="S238">
            <v>31339.800000000003</v>
          </cell>
          <cell r="T238" t="str">
            <v>Комметпром</v>
          </cell>
        </row>
        <row r="239">
          <cell r="B239" t="str">
            <v>Металлопрокат</v>
          </cell>
          <cell r="K239">
            <v>3.5</v>
          </cell>
          <cell r="N239">
            <v>28581</v>
          </cell>
          <cell r="O239" t="str">
            <v>ВМЗ КО</v>
          </cell>
          <cell r="P239">
            <v>3.5</v>
          </cell>
          <cell r="S239">
            <v>31794</v>
          </cell>
          <cell r="T239" t="str">
            <v>Комметпром</v>
          </cell>
        </row>
        <row r="240">
          <cell r="B240" t="str">
            <v>Металлопрокат</v>
          </cell>
          <cell r="K240">
            <v>2.9</v>
          </cell>
          <cell r="N240">
            <v>23472.6</v>
          </cell>
          <cell r="O240" t="str">
            <v>ВМЗ КО</v>
          </cell>
          <cell r="P240">
            <v>2.9</v>
          </cell>
          <cell r="S240">
            <v>26100</v>
          </cell>
          <cell r="T240" t="str">
            <v>Комметпром</v>
          </cell>
        </row>
        <row r="241">
          <cell r="B241" t="str">
            <v>Металлопрокат</v>
          </cell>
          <cell r="K241">
            <v>3.35</v>
          </cell>
          <cell r="N241">
            <v>25326</v>
          </cell>
          <cell r="O241" t="str">
            <v>ВМЗ КО</v>
          </cell>
          <cell r="P241">
            <v>3.35</v>
          </cell>
          <cell r="S241">
            <v>28140</v>
          </cell>
          <cell r="T241" t="str">
            <v>Комметпром</v>
          </cell>
        </row>
        <row r="242">
          <cell r="B242" t="str">
            <v>Металлопрокат</v>
          </cell>
          <cell r="K242">
            <v>4.21</v>
          </cell>
          <cell r="N242">
            <v>45417.48</v>
          </cell>
          <cell r="O242" t="str">
            <v>ВМЗ КО</v>
          </cell>
          <cell r="P242">
            <v>4.21</v>
          </cell>
          <cell r="S242">
            <v>53551.199999999997</v>
          </cell>
          <cell r="T242" t="str">
            <v>Комметпром</v>
          </cell>
        </row>
        <row r="243">
          <cell r="B243" t="str">
            <v>Металлопрокат</v>
          </cell>
          <cell r="K243">
            <v>4.47</v>
          </cell>
          <cell r="N243">
            <v>48222.36</v>
          </cell>
          <cell r="O243" t="str">
            <v>ВМЗ КО</v>
          </cell>
          <cell r="P243">
            <v>4.47</v>
          </cell>
          <cell r="S243">
            <v>56858.399999999994</v>
          </cell>
          <cell r="T243" t="str">
            <v>Комметпром</v>
          </cell>
        </row>
        <row r="244">
          <cell r="B244" t="str">
            <v>Металлопрокат</v>
          </cell>
          <cell r="K244">
            <v>5.63</v>
          </cell>
          <cell r="N244">
            <v>60736.44</v>
          </cell>
          <cell r="O244" t="str">
            <v>ВМЗ КО</v>
          </cell>
          <cell r="P244">
            <v>5.63</v>
          </cell>
          <cell r="S244">
            <v>71613.600000000006</v>
          </cell>
          <cell r="T244" t="str">
            <v>Комметпром</v>
          </cell>
        </row>
        <row r="245">
          <cell r="B245" t="str">
            <v>Металлопрокат</v>
          </cell>
          <cell r="K245">
            <v>4.78</v>
          </cell>
          <cell r="N245">
            <v>51050.400000000001</v>
          </cell>
          <cell r="O245" t="str">
            <v>ВМЗ КО</v>
          </cell>
          <cell r="P245">
            <v>4.78</v>
          </cell>
          <cell r="S245">
            <v>60228</v>
          </cell>
          <cell r="T245" t="str">
            <v>Комметпром</v>
          </cell>
        </row>
        <row r="246">
          <cell r="B246" t="str">
            <v>Металлопрокат</v>
          </cell>
          <cell r="K246">
            <v>5.32</v>
          </cell>
          <cell r="N246">
            <v>53114.880000000005</v>
          </cell>
          <cell r="O246" t="str">
            <v>ВМЗ КО</v>
          </cell>
          <cell r="P246">
            <v>5.32</v>
          </cell>
          <cell r="S246">
            <v>63840</v>
          </cell>
          <cell r="T246" t="str">
            <v>Комметпром</v>
          </cell>
        </row>
        <row r="247">
          <cell r="B247" t="str">
            <v>Металлопрокат</v>
          </cell>
          <cell r="K247">
            <v>4.9000000000000004</v>
          </cell>
          <cell r="N247">
            <v>50862.000000000007</v>
          </cell>
          <cell r="O247" t="str">
            <v>ВМЗ КО</v>
          </cell>
          <cell r="P247">
            <v>4.9000000000000004</v>
          </cell>
          <cell r="S247">
            <v>61034.400000000001</v>
          </cell>
          <cell r="T247" t="str">
            <v>Комметпром</v>
          </cell>
        </row>
        <row r="248">
          <cell r="B248" t="str">
            <v>Металлопрокат</v>
          </cell>
          <cell r="K248">
            <v>15.3</v>
          </cell>
          <cell r="N248">
            <v>105276.24</v>
          </cell>
          <cell r="O248" t="str">
            <v>ВМЗ КО</v>
          </cell>
          <cell r="P248">
            <v>15.3</v>
          </cell>
          <cell r="S248">
            <v>116971.56</v>
          </cell>
          <cell r="T248" t="str">
            <v>Компания АГА</v>
          </cell>
        </row>
        <row r="249">
          <cell r="B249" t="str">
            <v>Металлопрокат</v>
          </cell>
          <cell r="K249">
            <v>40.299999999999997</v>
          </cell>
          <cell r="N249">
            <v>353995.19999999995</v>
          </cell>
          <cell r="O249" t="str">
            <v>ВМЗ КО</v>
          </cell>
          <cell r="P249">
            <v>40.299999999999997</v>
          </cell>
          <cell r="S249">
            <v>393650.39999999997</v>
          </cell>
          <cell r="T249" t="str">
            <v>Комтекс</v>
          </cell>
        </row>
        <row r="250">
          <cell r="B250" t="str">
            <v>Металлопрокат</v>
          </cell>
          <cell r="K250">
            <v>14.9</v>
          </cell>
          <cell r="N250">
            <v>130881.60000000001</v>
          </cell>
          <cell r="O250" t="str">
            <v>ВМЗ КО</v>
          </cell>
          <cell r="P250">
            <v>14.9</v>
          </cell>
          <cell r="S250">
            <v>145543.20000000001</v>
          </cell>
          <cell r="T250" t="str">
            <v>Комтекс</v>
          </cell>
        </row>
        <row r="251">
          <cell r="B251" t="str">
            <v>Металлопрокат</v>
          </cell>
          <cell r="K251">
            <v>20</v>
          </cell>
          <cell r="N251">
            <v>175680</v>
          </cell>
          <cell r="O251" t="str">
            <v>ВМЗ КО</v>
          </cell>
          <cell r="P251">
            <v>20</v>
          </cell>
          <cell r="S251">
            <v>195360</v>
          </cell>
          <cell r="T251" t="str">
            <v>Комтекс</v>
          </cell>
        </row>
        <row r="252">
          <cell r="B252" t="str">
            <v>Металлопрокат</v>
          </cell>
          <cell r="K252">
            <v>10.4</v>
          </cell>
          <cell r="N252">
            <v>95097.600000000006</v>
          </cell>
          <cell r="O252" t="str">
            <v>ВМЗ КО</v>
          </cell>
          <cell r="P252">
            <v>10.4</v>
          </cell>
          <cell r="S252">
            <v>105705.60000000001</v>
          </cell>
          <cell r="T252" t="str">
            <v>Комтекс</v>
          </cell>
        </row>
        <row r="253">
          <cell r="B253" t="str">
            <v>Металлопрокат</v>
          </cell>
          <cell r="K253">
            <v>66.900000000000006</v>
          </cell>
          <cell r="N253">
            <v>527439.60000000009</v>
          </cell>
          <cell r="O253" t="str">
            <v>ВМЗ КО</v>
          </cell>
          <cell r="P253">
            <v>66.900000000000006</v>
          </cell>
          <cell r="S253">
            <v>586044</v>
          </cell>
          <cell r="T253" t="str">
            <v>Комтекс</v>
          </cell>
        </row>
        <row r="254">
          <cell r="B254" t="str">
            <v>Металлопрокат</v>
          </cell>
          <cell r="K254">
            <v>4.3099999999999996</v>
          </cell>
          <cell r="N254">
            <v>36928.079999999994</v>
          </cell>
          <cell r="O254" t="str">
            <v>ВМЗ КО</v>
          </cell>
          <cell r="P254">
            <v>4.3099999999999996</v>
          </cell>
          <cell r="S254">
            <v>41375.999999999993</v>
          </cell>
          <cell r="T254" t="str">
            <v>Комтекс</v>
          </cell>
        </row>
        <row r="255">
          <cell r="B255" t="str">
            <v>Металлопрокат</v>
          </cell>
          <cell r="K255">
            <v>5</v>
          </cell>
          <cell r="N255">
            <v>73440</v>
          </cell>
          <cell r="O255" t="str">
            <v>ВМЗ КО</v>
          </cell>
          <cell r="P255">
            <v>5</v>
          </cell>
          <cell r="S255">
            <v>81600</v>
          </cell>
          <cell r="T255" t="str">
            <v>Комтекс</v>
          </cell>
        </row>
        <row r="256">
          <cell r="B256" t="str">
            <v>Металлопрокат</v>
          </cell>
          <cell r="K256">
            <v>5.55</v>
          </cell>
          <cell r="N256">
            <v>55411.199999999997</v>
          </cell>
          <cell r="O256" t="str">
            <v>ВМЗ КО</v>
          </cell>
          <cell r="P256">
            <v>5.55</v>
          </cell>
          <cell r="S256">
            <v>61605</v>
          </cell>
          <cell r="T256" t="str">
            <v>Комтекс</v>
          </cell>
        </row>
        <row r="257">
          <cell r="B257" t="str">
            <v>Металлопрокат</v>
          </cell>
          <cell r="K257">
            <v>4.7</v>
          </cell>
          <cell r="N257">
            <v>40269.599999999999</v>
          </cell>
          <cell r="O257" t="str">
            <v>ВМЗ КО</v>
          </cell>
          <cell r="P257">
            <v>4.7</v>
          </cell>
          <cell r="S257">
            <v>45120</v>
          </cell>
          <cell r="T257" t="str">
            <v>Комтекс</v>
          </cell>
        </row>
        <row r="258">
          <cell r="B258" t="str">
            <v>Металлопрокат</v>
          </cell>
          <cell r="K258">
            <v>65</v>
          </cell>
          <cell r="N258">
            <v>512460</v>
          </cell>
          <cell r="O258" t="str">
            <v>ВМЗ КО</v>
          </cell>
          <cell r="P258">
            <v>65</v>
          </cell>
          <cell r="S258">
            <v>569400</v>
          </cell>
          <cell r="T258" t="str">
            <v>Комтекс</v>
          </cell>
        </row>
        <row r="259">
          <cell r="B259" t="str">
            <v>Металлопрокат</v>
          </cell>
          <cell r="K259">
            <v>65</v>
          </cell>
          <cell r="N259">
            <v>512460</v>
          </cell>
          <cell r="O259" t="str">
            <v>ВМЗ КО</v>
          </cell>
          <cell r="P259">
            <v>65</v>
          </cell>
          <cell r="S259">
            <v>569400</v>
          </cell>
          <cell r="T259" t="str">
            <v>Комтекс</v>
          </cell>
        </row>
        <row r="260">
          <cell r="B260" t="str">
            <v>Металлопрокат</v>
          </cell>
          <cell r="K260">
            <v>5</v>
          </cell>
          <cell r="N260">
            <v>66480</v>
          </cell>
          <cell r="O260" t="str">
            <v>ВМЗ КО</v>
          </cell>
          <cell r="P260">
            <v>5</v>
          </cell>
          <cell r="S260">
            <v>73920</v>
          </cell>
          <cell r="T260" t="str">
            <v>Комтекс</v>
          </cell>
        </row>
        <row r="261">
          <cell r="B261" t="str">
            <v>Металлопрокат</v>
          </cell>
          <cell r="K261">
            <v>30</v>
          </cell>
          <cell r="N261">
            <v>411480</v>
          </cell>
          <cell r="O261" t="str">
            <v>ВМЗ КО</v>
          </cell>
          <cell r="P261">
            <v>30</v>
          </cell>
          <cell r="S261">
            <v>457200</v>
          </cell>
          <cell r="T261" t="str">
            <v>Комтекс</v>
          </cell>
        </row>
        <row r="262">
          <cell r="B262" t="str">
            <v>Металлопрокат</v>
          </cell>
          <cell r="K262">
            <v>10</v>
          </cell>
          <cell r="N262">
            <v>131640</v>
          </cell>
          <cell r="O262" t="str">
            <v>ВМЗ КО</v>
          </cell>
          <cell r="P262">
            <v>10</v>
          </cell>
          <cell r="S262">
            <v>146280</v>
          </cell>
          <cell r="T262" t="str">
            <v>Комтекс</v>
          </cell>
        </row>
        <row r="263">
          <cell r="B263" t="str">
            <v>Металлопрокат</v>
          </cell>
          <cell r="K263">
            <v>10.199999999999999</v>
          </cell>
          <cell r="N263">
            <v>67772.87999999999</v>
          </cell>
          <cell r="O263" t="str">
            <v>ВМЗ КО</v>
          </cell>
          <cell r="P263">
            <v>10.199999999999999</v>
          </cell>
          <cell r="S263">
            <v>82864.799999999988</v>
          </cell>
          <cell r="T263" t="str">
            <v>Кранэкс</v>
          </cell>
        </row>
        <row r="264">
          <cell r="B264" t="str">
            <v>Металлопрокат</v>
          </cell>
          <cell r="K264">
            <v>9.9</v>
          </cell>
          <cell r="N264">
            <v>67074.48</v>
          </cell>
          <cell r="O264" t="str">
            <v>ВМЗ КО</v>
          </cell>
          <cell r="P264">
            <v>9.9</v>
          </cell>
          <cell r="S264">
            <v>81972</v>
          </cell>
          <cell r="T264" t="str">
            <v>Кранэкс</v>
          </cell>
        </row>
        <row r="265">
          <cell r="B265" t="str">
            <v>Металлопрокат</v>
          </cell>
          <cell r="K265">
            <v>10.199999999999999</v>
          </cell>
          <cell r="N265">
            <v>69107.039999999994</v>
          </cell>
          <cell r="O265" t="str">
            <v>ВМЗ КО</v>
          </cell>
          <cell r="P265">
            <v>10.199999999999999</v>
          </cell>
          <cell r="S265">
            <v>84456</v>
          </cell>
          <cell r="T265" t="str">
            <v>Кранэкс</v>
          </cell>
        </row>
        <row r="266">
          <cell r="B266" t="str">
            <v>Металлопрокат</v>
          </cell>
          <cell r="K266">
            <v>37.369999999999997</v>
          </cell>
          <cell r="N266">
            <v>234578.96399999998</v>
          </cell>
          <cell r="O266" t="str">
            <v>ВМЗ КО</v>
          </cell>
          <cell r="P266">
            <v>37.369999999999997</v>
          </cell>
          <cell r="S266">
            <v>264579.59999999998</v>
          </cell>
          <cell r="T266" t="str">
            <v>Кранэкс</v>
          </cell>
        </row>
        <row r="267">
          <cell r="B267" t="str">
            <v>Металлопрокат</v>
          </cell>
          <cell r="K267">
            <v>6</v>
          </cell>
          <cell r="N267">
            <v>73296</v>
          </cell>
          <cell r="O267" t="str">
            <v>ВМЗ КО</v>
          </cell>
          <cell r="P267">
            <v>6</v>
          </cell>
          <cell r="S267">
            <v>81504</v>
          </cell>
          <cell r="T267" t="str">
            <v>Красный Котельщик</v>
          </cell>
        </row>
        <row r="268">
          <cell r="B268" t="str">
            <v>Металлопрокат</v>
          </cell>
          <cell r="K268">
            <v>6</v>
          </cell>
          <cell r="N268">
            <v>73296</v>
          </cell>
          <cell r="O268" t="str">
            <v>ВМЗ КО</v>
          </cell>
          <cell r="P268">
            <v>6</v>
          </cell>
          <cell r="S268">
            <v>81504</v>
          </cell>
          <cell r="T268" t="str">
            <v>Красный Котельщик</v>
          </cell>
        </row>
        <row r="269">
          <cell r="B269" t="str">
            <v>Металлопрокат</v>
          </cell>
          <cell r="K269">
            <v>16.059999999999999</v>
          </cell>
          <cell r="N269">
            <v>183276.71999999997</v>
          </cell>
          <cell r="O269" t="str">
            <v>ВМЗ КО</v>
          </cell>
          <cell r="P269">
            <v>16.059999999999999</v>
          </cell>
          <cell r="S269">
            <v>203705.03999999998</v>
          </cell>
          <cell r="T269" t="str">
            <v>Кубаньагротехсервис</v>
          </cell>
        </row>
        <row r="270">
          <cell r="B270" t="str">
            <v>Металлопрокат</v>
          </cell>
          <cell r="K270">
            <v>11.3</v>
          </cell>
          <cell r="N270">
            <v>67854.240000000005</v>
          </cell>
          <cell r="O270" t="str">
            <v>ВМЗ КО</v>
          </cell>
          <cell r="P270">
            <v>11.3</v>
          </cell>
          <cell r="S270">
            <v>75393.600000000006</v>
          </cell>
          <cell r="T270" t="str">
            <v>Кэнтри</v>
          </cell>
        </row>
        <row r="271">
          <cell r="B271" t="str">
            <v>Металлопрокат</v>
          </cell>
          <cell r="K271">
            <v>21</v>
          </cell>
          <cell r="N271">
            <v>671252.4</v>
          </cell>
          <cell r="O271" t="str">
            <v>ВМЗ КО</v>
          </cell>
          <cell r="P271">
            <v>21</v>
          </cell>
          <cell r="S271">
            <v>745844.4</v>
          </cell>
          <cell r="T271" t="str">
            <v>Кэнтри</v>
          </cell>
        </row>
        <row r="272">
          <cell r="B272" t="str">
            <v>Металлопрокат</v>
          </cell>
          <cell r="K272">
            <v>5</v>
          </cell>
          <cell r="N272">
            <v>44388</v>
          </cell>
          <cell r="O272" t="str">
            <v>ВМЗ КО</v>
          </cell>
          <cell r="P272">
            <v>5</v>
          </cell>
          <cell r="S272">
            <v>49320</v>
          </cell>
          <cell r="T272" t="str">
            <v>Кэнтри</v>
          </cell>
        </row>
        <row r="273">
          <cell r="B273" t="str">
            <v>Металлопрокат</v>
          </cell>
          <cell r="K273">
            <v>1.72</v>
          </cell>
          <cell r="N273">
            <v>11411.856</v>
          </cell>
          <cell r="O273" t="str">
            <v>ВМЗ КО</v>
          </cell>
          <cell r="P273">
            <v>1.72</v>
          </cell>
          <cell r="S273">
            <v>12679.152</v>
          </cell>
          <cell r="T273" t="str">
            <v>Кэнтри</v>
          </cell>
        </row>
        <row r="274">
          <cell r="B274" t="str">
            <v>Металлопрокат</v>
          </cell>
          <cell r="K274">
            <v>3.65</v>
          </cell>
          <cell r="N274">
            <v>23060.7</v>
          </cell>
          <cell r="O274" t="str">
            <v>ВМЗ КО</v>
          </cell>
          <cell r="P274">
            <v>3.65</v>
          </cell>
          <cell r="S274">
            <v>25623</v>
          </cell>
          <cell r="T274" t="str">
            <v>Кэнтри</v>
          </cell>
        </row>
        <row r="275">
          <cell r="B275" t="str">
            <v>Металлопрокат</v>
          </cell>
          <cell r="K275">
            <v>8</v>
          </cell>
          <cell r="N275">
            <v>76291.199999999997</v>
          </cell>
          <cell r="O275" t="str">
            <v>ВМЗ КО</v>
          </cell>
          <cell r="P275">
            <v>8</v>
          </cell>
          <cell r="S275">
            <v>84768</v>
          </cell>
          <cell r="T275" t="str">
            <v>Кэнтри</v>
          </cell>
        </row>
        <row r="276">
          <cell r="B276" t="str">
            <v>Металлопрокат</v>
          </cell>
          <cell r="K276">
            <v>4</v>
          </cell>
          <cell r="N276">
            <v>38145.599999999999</v>
          </cell>
          <cell r="O276" t="str">
            <v>ВМЗ КО</v>
          </cell>
          <cell r="P276">
            <v>4</v>
          </cell>
          <cell r="S276">
            <v>41534.400000000001</v>
          </cell>
          <cell r="T276" t="str">
            <v>Кэнтри</v>
          </cell>
        </row>
        <row r="277">
          <cell r="B277" t="str">
            <v>Металлопрокат</v>
          </cell>
          <cell r="K277">
            <v>4</v>
          </cell>
          <cell r="N277">
            <v>31800</v>
          </cell>
          <cell r="O277" t="str">
            <v>ВМЗ КО</v>
          </cell>
          <cell r="P277">
            <v>4</v>
          </cell>
          <cell r="S277">
            <v>35332.800000000003</v>
          </cell>
          <cell r="T277" t="str">
            <v>Кэнтри</v>
          </cell>
        </row>
        <row r="278">
          <cell r="B278" t="str">
            <v>Металлопрокат</v>
          </cell>
          <cell r="K278">
            <v>5</v>
          </cell>
          <cell r="N278">
            <v>129978</v>
          </cell>
          <cell r="O278" t="str">
            <v>ВМЗ КО</v>
          </cell>
          <cell r="P278">
            <v>5</v>
          </cell>
          <cell r="S278">
            <v>144420</v>
          </cell>
          <cell r="T278" t="str">
            <v>Кэнтри</v>
          </cell>
        </row>
        <row r="279">
          <cell r="B279" t="str">
            <v>Металлопрокат</v>
          </cell>
          <cell r="K279">
            <v>16</v>
          </cell>
          <cell r="N279">
            <v>407865.59999999998</v>
          </cell>
          <cell r="O279" t="str">
            <v>ВМЗ КО</v>
          </cell>
          <cell r="P279">
            <v>16</v>
          </cell>
          <cell r="S279">
            <v>453177.59999999998</v>
          </cell>
          <cell r="T279" t="str">
            <v>Кэнтри</v>
          </cell>
        </row>
        <row r="280">
          <cell r="B280" t="str">
            <v>Металлопрокат</v>
          </cell>
          <cell r="K280">
            <v>10</v>
          </cell>
          <cell r="N280">
            <v>247800</v>
          </cell>
          <cell r="O280" t="str">
            <v>ВМЗ КО</v>
          </cell>
          <cell r="P280">
            <v>10</v>
          </cell>
          <cell r="S280">
            <v>275328</v>
          </cell>
          <cell r="T280" t="str">
            <v>Кэнтри</v>
          </cell>
        </row>
        <row r="281">
          <cell r="B281" t="str">
            <v>Металлопрокат</v>
          </cell>
          <cell r="K281">
            <v>5</v>
          </cell>
          <cell r="N281">
            <v>49356</v>
          </cell>
          <cell r="O281" t="str">
            <v>ВМЗ КО</v>
          </cell>
          <cell r="P281">
            <v>5</v>
          </cell>
          <cell r="S281">
            <v>54840</v>
          </cell>
          <cell r="T281" t="str">
            <v>Кэнтри</v>
          </cell>
        </row>
        <row r="282">
          <cell r="B282" t="str">
            <v>Металлопрокат</v>
          </cell>
          <cell r="K282">
            <v>8.31</v>
          </cell>
          <cell r="N282">
            <v>231101.1</v>
          </cell>
          <cell r="O282" t="str">
            <v>ВМЗ КО</v>
          </cell>
          <cell r="P282">
            <v>8.31</v>
          </cell>
          <cell r="S282">
            <v>256779.00000000003</v>
          </cell>
          <cell r="T282" t="str">
            <v>Лемет</v>
          </cell>
        </row>
        <row r="283">
          <cell r="B283" t="str">
            <v>Металлопрокат</v>
          </cell>
          <cell r="K283">
            <v>5.3</v>
          </cell>
          <cell r="N283">
            <v>144531</v>
          </cell>
          <cell r="O283" t="str">
            <v>ВМЗ КО</v>
          </cell>
          <cell r="P283">
            <v>5.3</v>
          </cell>
          <cell r="S283">
            <v>160590</v>
          </cell>
          <cell r="T283" t="str">
            <v>Лемет</v>
          </cell>
        </row>
        <row r="284">
          <cell r="B284" t="str">
            <v>Металлопрокат</v>
          </cell>
          <cell r="K284">
            <v>3.1</v>
          </cell>
          <cell r="N284">
            <v>85448.400000000009</v>
          </cell>
          <cell r="O284" t="str">
            <v>ВМЗ КО</v>
          </cell>
          <cell r="P284">
            <v>3.1</v>
          </cell>
          <cell r="S284">
            <v>94953</v>
          </cell>
          <cell r="T284" t="str">
            <v>Лемет</v>
          </cell>
        </row>
        <row r="285">
          <cell r="B285" t="str">
            <v>Металлопрокат</v>
          </cell>
          <cell r="K285">
            <v>5.41</v>
          </cell>
          <cell r="N285">
            <v>150517.01999999999</v>
          </cell>
          <cell r="O285" t="str">
            <v>ВМЗ КО</v>
          </cell>
          <cell r="P285">
            <v>5.41</v>
          </cell>
          <cell r="S285">
            <v>167266.38</v>
          </cell>
          <cell r="T285" t="str">
            <v>Лемет</v>
          </cell>
        </row>
        <row r="286">
          <cell r="B286" t="str">
            <v>Металлопрокат</v>
          </cell>
          <cell r="K286">
            <v>2.5</v>
          </cell>
          <cell r="N286">
            <v>69525</v>
          </cell>
          <cell r="O286" t="str">
            <v>ВМЗ КО</v>
          </cell>
          <cell r="P286">
            <v>2.5</v>
          </cell>
          <cell r="S286">
            <v>77250</v>
          </cell>
          <cell r="T286" t="str">
            <v>Лемет</v>
          </cell>
        </row>
        <row r="287">
          <cell r="B287" t="str">
            <v>Металлопрокат</v>
          </cell>
          <cell r="K287">
            <v>3</v>
          </cell>
          <cell r="N287">
            <v>83466</v>
          </cell>
          <cell r="O287" t="str">
            <v>ВМЗ КО</v>
          </cell>
          <cell r="P287">
            <v>3</v>
          </cell>
          <cell r="S287">
            <v>92754</v>
          </cell>
          <cell r="T287" t="str">
            <v>Лемет</v>
          </cell>
        </row>
        <row r="288">
          <cell r="B288" t="str">
            <v>Металлопрокат</v>
          </cell>
          <cell r="K288">
            <v>3</v>
          </cell>
          <cell r="N288">
            <v>83466</v>
          </cell>
          <cell r="O288" t="str">
            <v>ВМЗ КО</v>
          </cell>
          <cell r="P288">
            <v>3</v>
          </cell>
          <cell r="S288">
            <v>92754</v>
          </cell>
          <cell r="T288" t="str">
            <v>Лемет</v>
          </cell>
        </row>
        <row r="289">
          <cell r="B289" t="str">
            <v>Металлопрокат</v>
          </cell>
          <cell r="K289">
            <v>9.2799999999999994</v>
          </cell>
          <cell r="N289">
            <v>323834.88</v>
          </cell>
          <cell r="O289" t="str">
            <v>ВМЗ КО</v>
          </cell>
          <cell r="P289">
            <v>9.2799999999999994</v>
          </cell>
          <cell r="S289">
            <v>359915.51999999996</v>
          </cell>
          <cell r="T289" t="str">
            <v>Лемет</v>
          </cell>
        </row>
        <row r="290">
          <cell r="B290" t="str">
            <v>Металлопрокат</v>
          </cell>
          <cell r="K290">
            <v>3.18</v>
          </cell>
          <cell r="N290">
            <v>109862.64</v>
          </cell>
          <cell r="O290" t="str">
            <v>ВМЗ КО</v>
          </cell>
          <cell r="P290">
            <v>3.18</v>
          </cell>
          <cell r="S290">
            <v>122073.84000000001</v>
          </cell>
          <cell r="T290" t="str">
            <v>Лемет</v>
          </cell>
        </row>
        <row r="291">
          <cell r="B291" t="str">
            <v>Металлопрокат</v>
          </cell>
          <cell r="K291">
            <v>4.55</v>
          </cell>
          <cell r="N291">
            <v>148157.1</v>
          </cell>
          <cell r="O291" t="str">
            <v>ВМЗ КО</v>
          </cell>
          <cell r="P291">
            <v>4.55</v>
          </cell>
          <cell r="S291">
            <v>164619</v>
          </cell>
          <cell r="T291" t="str">
            <v>Лемет</v>
          </cell>
        </row>
        <row r="292">
          <cell r="B292" t="str">
            <v>Металлопрокат</v>
          </cell>
          <cell r="K292">
            <v>5.42</v>
          </cell>
          <cell r="N292">
            <v>176486.04</v>
          </cell>
          <cell r="O292" t="str">
            <v>ВМЗ КО</v>
          </cell>
          <cell r="P292">
            <v>5.42</v>
          </cell>
          <cell r="S292">
            <v>196095.6</v>
          </cell>
          <cell r="T292" t="str">
            <v>Лемет</v>
          </cell>
        </row>
        <row r="293">
          <cell r="B293" t="str">
            <v>Металлопрокат</v>
          </cell>
          <cell r="K293">
            <v>6.85</v>
          </cell>
          <cell r="N293">
            <v>206527.5</v>
          </cell>
          <cell r="O293" t="str">
            <v>ВМЗ КО</v>
          </cell>
          <cell r="P293">
            <v>6.85</v>
          </cell>
          <cell r="S293">
            <v>229502.4</v>
          </cell>
          <cell r="T293" t="str">
            <v>Лемет</v>
          </cell>
        </row>
        <row r="294">
          <cell r="B294" t="str">
            <v>Металлопрокат</v>
          </cell>
          <cell r="K294">
            <v>8.35</v>
          </cell>
          <cell r="N294">
            <v>259317.59999999998</v>
          </cell>
          <cell r="O294" t="str">
            <v>ВМЗ КО</v>
          </cell>
          <cell r="P294">
            <v>8.35</v>
          </cell>
          <cell r="S294">
            <v>288175.2</v>
          </cell>
          <cell r="T294" t="str">
            <v>Лемет</v>
          </cell>
        </row>
        <row r="295">
          <cell r="B295" t="str">
            <v>Металлопрокат</v>
          </cell>
          <cell r="K295">
            <v>6</v>
          </cell>
          <cell r="N295">
            <v>217980</v>
          </cell>
          <cell r="O295" t="str">
            <v>ВМЗ КО</v>
          </cell>
          <cell r="P295">
            <v>6</v>
          </cell>
          <cell r="S295">
            <v>242208</v>
          </cell>
          <cell r="T295" t="str">
            <v>Лемет</v>
          </cell>
        </row>
        <row r="296">
          <cell r="B296" t="str">
            <v>Металлопрокат</v>
          </cell>
          <cell r="K296">
            <v>5</v>
          </cell>
          <cell r="N296">
            <v>178110</v>
          </cell>
          <cell r="O296" t="str">
            <v>ВМЗ КО</v>
          </cell>
          <cell r="P296">
            <v>5</v>
          </cell>
          <cell r="S296">
            <v>197910</v>
          </cell>
          <cell r="T296" t="str">
            <v>Лемет</v>
          </cell>
        </row>
        <row r="297">
          <cell r="B297" t="str">
            <v>Металлопрокат</v>
          </cell>
          <cell r="K297">
            <v>2.5</v>
          </cell>
          <cell r="N297">
            <v>86370</v>
          </cell>
          <cell r="O297" t="str">
            <v>ВМЗ КО</v>
          </cell>
          <cell r="P297">
            <v>2.5</v>
          </cell>
          <cell r="S297">
            <v>95970</v>
          </cell>
          <cell r="T297" t="str">
            <v>Лемет</v>
          </cell>
        </row>
        <row r="298">
          <cell r="B298" t="str">
            <v>Металлопрокат</v>
          </cell>
          <cell r="K298">
            <v>1</v>
          </cell>
          <cell r="N298">
            <v>35268</v>
          </cell>
          <cell r="O298" t="str">
            <v>ВМЗ КО</v>
          </cell>
          <cell r="P298">
            <v>1</v>
          </cell>
          <cell r="S298">
            <v>39192</v>
          </cell>
          <cell r="T298" t="str">
            <v>Лемет</v>
          </cell>
        </row>
        <row r="299">
          <cell r="B299" t="str">
            <v>Металлопрокат</v>
          </cell>
          <cell r="K299">
            <v>1</v>
          </cell>
          <cell r="N299">
            <v>32562</v>
          </cell>
          <cell r="O299" t="str">
            <v>ВМЗ КО</v>
          </cell>
          <cell r="P299">
            <v>1</v>
          </cell>
          <cell r="S299">
            <v>36180</v>
          </cell>
          <cell r="T299" t="str">
            <v>Лемет</v>
          </cell>
        </row>
        <row r="300">
          <cell r="B300" t="str">
            <v>Металлопрокат</v>
          </cell>
          <cell r="K300">
            <v>2</v>
          </cell>
          <cell r="N300">
            <v>66480</v>
          </cell>
          <cell r="O300" t="str">
            <v>ВМЗ КО</v>
          </cell>
          <cell r="P300">
            <v>2</v>
          </cell>
          <cell r="S300">
            <v>73872</v>
          </cell>
          <cell r="T300" t="str">
            <v>Лемет</v>
          </cell>
        </row>
        <row r="301">
          <cell r="B301" t="str">
            <v>Металлопрокат</v>
          </cell>
          <cell r="K301">
            <v>0.59</v>
          </cell>
          <cell r="N301">
            <v>19211.579999999998</v>
          </cell>
          <cell r="O301" t="str">
            <v>ВМЗ КО</v>
          </cell>
          <cell r="P301">
            <v>0.59</v>
          </cell>
          <cell r="S301">
            <v>21346.199999999997</v>
          </cell>
          <cell r="T301" t="str">
            <v>Лемет</v>
          </cell>
        </row>
        <row r="302">
          <cell r="B302" t="str">
            <v>Металлопрокат</v>
          </cell>
          <cell r="K302">
            <v>1.94</v>
          </cell>
          <cell r="N302">
            <v>60248.639999999999</v>
          </cell>
          <cell r="O302" t="str">
            <v>ВМЗ КО</v>
          </cell>
          <cell r="P302">
            <v>1.94</v>
          </cell>
          <cell r="S302">
            <v>66953.279999999999</v>
          </cell>
          <cell r="T302" t="str">
            <v>Лемет</v>
          </cell>
        </row>
        <row r="303">
          <cell r="B303" t="str">
            <v>Металлопрокат</v>
          </cell>
          <cell r="K303">
            <v>3</v>
          </cell>
          <cell r="N303">
            <v>75726</v>
          </cell>
          <cell r="O303" t="str">
            <v>ВМЗ КО</v>
          </cell>
          <cell r="P303">
            <v>3</v>
          </cell>
          <cell r="S303">
            <v>84150</v>
          </cell>
          <cell r="T303" t="str">
            <v>Лемет</v>
          </cell>
        </row>
        <row r="304">
          <cell r="B304" t="str">
            <v>Металлопрокат</v>
          </cell>
          <cell r="K304">
            <v>5</v>
          </cell>
          <cell r="N304">
            <v>123900</v>
          </cell>
          <cell r="O304" t="str">
            <v>ВМЗ КО</v>
          </cell>
          <cell r="P304">
            <v>5</v>
          </cell>
          <cell r="S304">
            <v>137670</v>
          </cell>
          <cell r="T304" t="str">
            <v>Лемет</v>
          </cell>
        </row>
        <row r="305">
          <cell r="B305" t="str">
            <v>Металлопрокат</v>
          </cell>
          <cell r="K305">
            <v>5</v>
          </cell>
          <cell r="N305">
            <v>123900</v>
          </cell>
          <cell r="O305" t="str">
            <v>ВМЗ КО</v>
          </cell>
          <cell r="P305">
            <v>5</v>
          </cell>
          <cell r="S305">
            <v>137670</v>
          </cell>
          <cell r="T305" t="str">
            <v>Лемет</v>
          </cell>
        </row>
        <row r="306">
          <cell r="B306" t="str">
            <v>Металлопрокат</v>
          </cell>
          <cell r="K306">
            <v>3</v>
          </cell>
          <cell r="N306">
            <v>73656</v>
          </cell>
          <cell r="O306" t="str">
            <v>ВМЗ КО</v>
          </cell>
          <cell r="P306">
            <v>3</v>
          </cell>
          <cell r="S306">
            <v>81846</v>
          </cell>
          <cell r="T306" t="str">
            <v>Лемет</v>
          </cell>
        </row>
        <row r="307">
          <cell r="B307" t="str">
            <v>Металлопрокат</v>
          </cell>
          <cell r="K307">
            <v>8.64</v>
          </cell>
          <cell r="N307">
            <v>57303.936000000002</v>
          </cell>
          <cell r="O307" t="str">
            <v>ВМЗ КО</v>
          </cell>
          <cell r="P307">
            <v>8.64</v>
          </cell>
          <cell r="S307">
            <v>66873.600000000006</v>
          </cell>
          <cell r="T307" t="str">
            <v>Лемет</v>
          </cell>
        </row>
        <row r="308">
          <cell r="B308" t="str">
            <v>Металлопрокат</v>
          </cell>
          <cell r="K308">
            <v>3.54</v>
          </cell>
          <cell r="N308">
            <v>23024.16</v>
          </cell>
          <cell r="O308" t="str">
            <v>ВМЗ КО</v>
          </cell>
          <cell r="P308">
            <v>3.54</v>
          </cell>
          <cell r="S308">
            <v>26847.360000000001</v>
          </cell>
          <cell r="T308" t="str">
            <v>Лемет</v>
          </cell>
        </row>
        <row r="309">
          <cell r="B309" t="str">
            <v>Металлопрокат</v>
          </cell>
          <cell r="K309">
            <v>9.8800000000000008</v>
          </cell>
          <cell r="N309">
            <v>63844.560000000005</v>
          </cell>
          <cell r="O309" t="str">
            <v>ВМЗ КО</v>
          </cell>
          <cell r="P309">
            <v>9.8800000000000008</v>
          </cell>
          <cell r="S309">
            <v>74455.680000000008</v>
          </cell>
          <cell r="T309" t="str">
            <v>Лемет</v>
          </cell>
        </row>
        <row r="310">
          <cell r="B310" t="str">
            <v>Металлопрокат</v>
          </cell>
          <cell r="K310">
            <v>9.81</v>
          </cell>
          <cell r="N310">
            <v>62156.160000000003</v>
          </cell>
          <cell r="O310" t="str">
            <v>ВМЗ КО</v>
          </cell>
          <cell r="P310">
            <v>9.81</v>
          </cell>
          <cell r="S310">
            <v>72397.8</v>
          </cell>
          <cell r="T310" t="str">
            <v>Лемет</v>
          </cell>
        </row>
        <row r="311">
          <cell r="B311" t="str">
            <v>Металлопрокат</v>
          </cell>
          <cell r="K311">
            <v>9.93</v>
          </cell>
          <cell r="N311">
            <v>62916.479999999996</v>
          </cell>
          <cell r="O311" t="str">
            <v>ВМЗ КО</v>
          </cell>
          <cell r="P311">
            <v>9.93</v>
          </cell>
          <cell r="S311">
            <v>73283.399999999994</v>
          </cell>
          <cell r="T311" t="str">
            <v>Лемет</v>
          </cell>
        </row>
        <row r="312">
          <cell r="B312" t="str">
            <v>Металлопрокат</v>
          </cell>
          <cell r="K312">
            <v>3.01</v>
          </cell>
          <cell r="N312">
            <v>18150.3</v>
          </cell>
          <cell r="O312" t="str">
            <v>ВМЗ КО</v>
          </cell>
          <cell r="P312">
            <v>3.01</v>
          </cell>
          <cell r="S312">
            <v>21166.32</v>
          </cell>
          <cell r="T312" t="str">
            <v>Лемет</v>
          </cell>
        </row>
        <row r="313">
          <cell r="B313" t="str">
            <v>Металлопрокат</v>
          </cell>
          <cell r="K313">
            <v>10.5</v>
          </cell>
          <cell r="N313">
            <v>63315</v>
          </cell>
          <cell r="O313" t="str">
            <v>ВМЗ КО</v>
          </cell>
          <cell r="P313">
            <v>10.5</v>
          </cell>
          <cell r="S313">
            <v>73836</v>
          </cell>
          <cell r="T313" t="str">
            <v>Лемет</v>
          </cell>
        </row>
        <row r="314">
          <cell r="B314" t="str">
            <v>Металлопрокат</v>
          </cell>
          <cell r="K314">
            <v>11.72</v>
          </cell>
          <cell r="N314">
            <v>70671.600000000006</v>
          </cell>
          <cell r="O314" t="str">
            <v>ВМЗ КО</v>
          </cell>
          <cell r="P314">
            <v>11.72</v>
          </cell>
          <cell r="S314">
            <v>82415.040000000008</v>
          </cell>
          <cell r="T314" t="str">
            <v>Лемет</v>
          </cell>
        </row>
        <row r="315">
          <cell r="B315" t="str">
            <v>Металлопрокат</v>
          </cell>
          <cell r="K315">
            <v>10</v>
          </cell>
          <cell r="N315">
            <v>82044</v>
          </cell>
          <cell r="O315" t="str">
            <v>ВМЗ КО</v>
          </cell>
          <cell r="P315">
            <v>10</v>
          </cell>
          <cell r="S315">
            <v>91200</v>
          </cell>
          <cell r="T315" t="str">
            <v>МБК</v>
          </cell>
        </row>
        <row r="316">
          <cell r="B316" t="str">
            <v>Металлопрокат</v>
          </cell>
          <cell r="K316">
            <v>10</v>
          </cell>
          <cell r="N316">
            <v>81792</v>
          </cell>
          <cell r="O316" t="str">
            <v>ВМЗ КО</v>
          </cell>
          <cell r="P316">
            <v>10</v>
          </cell>
          <cell r="S316">
            <v>90900</v>
          </cell>
          <cell r="T316" t="str">
            <v>МБК</v>
          </cell>
        </row>
        <row r="317">
          <cell r="B317" t="str">
            <v>Металлопрокат</v>
          </cell>
          <cell r="K317">
            <v>10</v>
          </cell>
          <cell r="N317">
            <v>69024</v>
          </cell>
          <cell r="O317" t="str">
            <v>ВМЗ КО</v>
          </cell>
          <cell r="P317">
            <v>10</v>
          </cell>
          <cell r="S317">
            <v>76800</v>
          </cell>
          <cell r="T317" t="str">
            <v>МБК</v>
          </cell>
        </row>
        <row r="318">
          <cell r="B318" t="str">
            <v>Металлопрокат</v>
          </cell>
          <cell r="K318">
            <v>2.5</v>
          </cell>
          <cell r="N318">
            <v>20493</v>
          </cell>
          <cell r="O318" t="str">
            <v>ВМЗ КО</v>
          </cell>
          <cell r="P318">
            <v>2.5</v>
          </cell>
          <cell r="S318">
            <v>22770</v>
          </cell>
          <cell r="T318" t="str">
            <v>МБК</v>
          </cell>
        </row>
        <row r="319">
          <cell r="B319" t="str">
            <v>Металлопрокат</v>
          </cell>
          <cell r="K319">
            <v>2.5</v>
          </cell>
          <cell r="N319">
            <v>20493</v>
          </cell>
          <cell r="O319" t="str">
            <v>ВМЗ КО</v>
          </cell>
          <cell r="P319">
            <v>2.5</v>
          </cell>
          <cell r="S319">
            <v>22770</v>
          </cell>
          <cell r="T319" t="str">
            <v>МБК</v>
          </cell>
        </row>
        <row r="320">
          <cell r="B320" t="str">
            <v>Металлопрокат</v>
          </cell>
          <cell r="K320">
            <v>34</v>
          </cell>
          <cell r="N320">
            <v>276175.2</v>
          </cell>
          <cell r="O320" t="str">
            <v>ВМЗ КО</v>
          </cell>
          <cell r="P320">
            <v>34</v>
          </cell>
          <cell r="S320">
            <v>306861.33333333337</v>
          </cell>
          <cell r="T320" t="str">
            <v>Металлкомплект</v>
          </cell>
        </row>
        <row r="321">
          <cell r="B321" t="str">
            <v>Металлопрокат</v>
          </cell>
          <cell r="K321">
            <v>86</v>
          </cell>
          <cell r="N321">
            <v>684628.8</v>
          </cell>
          <cell r="O321" t="str">
            <v>ВМЗ КО</v>
          </cell>
          <cell r="P321">
            <v>86</v>
          </cell>
          <cell r="S321">
            <v>760698.66666666674</v>
          </cell>
          <cell r="T321" t="str">
            <v>Металлкомплект</v>
          </cell>
        </row>
        <row r="322">
          <cell r="B322" t="str">
            <v>Металлопрокат</v>
          </cell>
          <cell r="K322">
            <v>7</v>
          </cell>
          <cell r="N322">
            <v>392506.8</v>
          </cell>
          <cell r="O322" t="str">
            <v>ВМЗ КО</v>
          </cell>
          <cell r="P322">
            <v>7</v>
          </cell>
          <cell r="S322">
            <v>392002.8</v>
          </cell>
          <cell r="T322" t="str">
            <v>Металлоснабжение-Спецстали</v>
          </cell>
        </row>
        <row r="323">
          <cell r="B323" t="str">
            <v>Металлопрокат</v>
          </cell>
          <cell r="K323">
            <v>7</v>
          </cell>
          <cell r="N323">
            <v>385534.8</v>
          </cell>
          <cell r="O323" t="str">
            <v>ВМЗ КО</v>
          </cell>
          <cell r="P323">
            <v>7</v>
          </cell>
          <cell r="S323">
            <v>392002.8</v>
          </cell>
          <cell r="T323" t="str">
            <v>Металлоснабжение-Спецстали</v>
          </cell>
        </row>
        <row r="324">
          <cell r="B324" t="str">
            <v>Металлопрокат</v>
          </cell>
          <cell r="K324">
            <v>7</v>
          </cell>
          <cell r="N324">
            <v>385534.8</v>
          </cell>
          <cell r="O324" t="str">
            <v>ВМЗ КО</v>
          </cell>
          <cell r="P324">
            <v>7</v>
          </cell>
          <cell r="S324">
            <v>392002.8</v>
          </cell>
          <cell r="T324" t="str">
            <v>Металлоснабжение-Спецстали</v>
          </cell>
        </row>
        <row r="325">
          <cell r="B325" t="str">
            <v>Металлопрокат</v>
          </cell>
          <cell r="K325">
            <v>7</v>
          </cell>
          <cell r="N325">
            <v>385534.8</v>
          </cell>
          <cell r="O325" t="str">
            <v>ВМЗ КО</v>
          </cell>
          <cell r="P325">
            <v>7</v>
          </cell>
          <cell r="S325">
            <v>392002.8</v>
          </cell>
          <cell r="T325" t="str">
            <v>Металлоснабжение-Спецстали</v>
          </cell>
        </row>
        <row r="326">
          <cell r="B326" t="str">
            <v>Металлопрокат</v>
          </cell>
          <cell r="K326">
            <v>6</v>
          </cell>
          <cell r="N326">
            <v>294566.40000000002</v>
          </cell>
          <cell r="O326" t="str">
            <v>ВМЗ КО</v>
          </cell>
          <cell r="P326">
            <v>6</v>
          </cell>
          <cell r="S326">
            <v>336002.4</v>
          </cell>
          <cell r="T326" t="str">
            <v>Металлоснабжение-Спецстали</v>
          </cell>
        </row>
        <row r="327">
          <cell r="B327" t="str">
            <v>Металлопрокат</v>
          </cell>
          <cell r="K327">
            <v>6</v>
          </cell>
          <cell r="N327">
            <v>294566.40000000002</v>
          </cell>
          <cell r="O327" t="str">
            <v>ВМЗ КО</v>
          </cell>
          <cell r="P327">
            <v>6</v>
          </cell>
          <cell r="S327">
            <v>336002.4</v>
          </cell>
          <cell r="T327" t="str">
            <v>Металлоснабжение-Спецстали</v>
          </cell>
        </row>
        <row r="328">
          <cell r="B328" t="str">
            <v>Металлопрокат</v>
          </cell>
          <cell r="K328">
            <v>4</v>
          </cell>
          <cell r="N328">
            <v>196377.60000000001</v>
          </cell>
          <cell r="O328" t="str">
            <v>ВМЗ КО</v>
          </cell>
          <cell r="P328">
            <v>4</v>
          </cell>
          <cell r="S328">
            <v>224001.6</v>
          </cell>
          <cell r="T328" t="str">
            <v>Металлоснабжение-Спецстали</v>
          </cell>
        </row>
        <row r="329">
          <cell r="B329" t="str">
            <v>Металлопрокат</v>
          </cell>
          <cell r="K329">
            <v>7</v>
          </cell>
          <cell r="N329">
            <v>120951.59999999999</v>
          </cell>
          <cell r="O329" t="str">
            <v>ВМЗ КО</v>
          </cell>
          <cell r="P329">
            <v>7</v>
          </cell>
          <cell r="S329">
            <v>147000</v>
          </cell>
          <cell r="T329" t="str">
            <v>Металлоснабжение-Спецстали</v>
          </cell>
        </row>
        <row r="330">
          <cell r="B330" t="str">
            <v>Металлопрокат</v>
          </cell>
          <cell r="K330">
            <v>5</v>
          </cell>
          <cell r="N330">
            <v>34200</v>
          </cell>
          <cell r="O330" t="str">
            <v>ВМЗ КО</v>
          </cell>
          <cell r="P330">
            <v>5</v>
          </cell>
          <cell r="S330">
            <v>37290</v>
          </cell>
          <cell r="T330" t="str">
            <v>Металлсодружество</v>
          </cell>
        </row>
        <row r="331">
          <cell r="B331" t="str">
            <v>Металлопрокат</v>
          </cell>
          <cell r="K331">
            <v>5</v>
          </cell>
          <cell r="N331">
            <v>34200</v>
          </cell>
          <cell r="O331" t="str">
            <v>ВМЗ КО</v>
          </cell>
          <cell r="P331">
            <v>5</v>
          </cell>
          <cell r="S331">
            <v>37290</v>
          </cell>
          <cell r="T331" t="str">
            <v>Металлсодружество</v>
          </cell>
        </row>
        <row r="332">
          <cell r="B332" t="str">
            <v>Металлопрокат</v>
          </cell>
          <cell r="K332">
            <v>5</v>
          </cell>
          <cell r="N332">
            <v>34200</v>
          </cell>
          <cell r="O332" t="str">
            <v>ВМЗ КО</v>
          </cell>
          <cell r="P332">
            <v>5</v>
          </cell>
          <cell r="S332">
            <v>37290</v>
          </cell>
          <cell r="T332" t="str">
            <v>Металлсодружество</v>
          </cell>
        </row>
        <row r="333">
          <cell r="B333" t="str">
            <v>Металлопрокат</v>
          </cell>
          <cell r="K333">
            <v>5</v>
          </cell>
          <cell r="N333">
            <v>34200</v>
          </cell>
          <cell r="O333" t="str">
            <v>ВМЗ КО</v>
          </cell>
          <cell r="P333">
            <v>5</v>
          </cell>
          <cell r="S333">
            <v>37290</v>
          </cell>
          <cell r="T333" t="str">
            <v>Металлсодружество</v>
          </cell>
        </row>
        <row r="334">
          <cell r="B334" t="str">
            <v>Металлопрокат</v>
          </cell>
          <cell r="K334">
            <v>5</v>
          </cell>
          <cell r="N334">
            <v>34110</v>
          </cell>
          <cell r="O334" t="str">
            <v>ВМЗ КО</v>
          </cell>
          <cell r="P334">
            <v>5</v>
          </cell>
          <cell r="S334">
            <v>37290</v>
          </cell>
          <cell r="T334" t="str">
            <v>Металлсодружество</v>
          </cell>
        </row>
        <row r="335">
          <cell r="B335" t="str">
            <v>Металлопрокат</v>
          </cell>
          <cell r="K335">
            <v>5</v>
          </cell>
          <cell r="N335">
            <v>31650</v>
          </cell>
          <cell r="O335" t="str">
            <v>ВМЗ КО</v>
          </cell>
          <cell r="P335">
            <v>5</v>
          </cell>
          <cell r="S335">
            <v>34470</v>
          </cell>
          <cell r="T335" t="str">
            <v>Металлсодружество</v>
          </cell>
        </row>
        <row r="336">
          <cell r="B336" t="str">
            <v>Металлопрокат</v>
          </cell>
          <cell r="K336">
            <v>15</v>
          </cell>
          <cell r="N336">
            <v>115200</v>
          </cell>
          <cell r="O336" t="str">
            <v>ВМЗ КО</v>
          </cell>
          <cell r="P336">
            <v>15</v>
          </cell>
          <cell r="S336">
            <v>123030</v>
          </cell>
          <cell r="T336" t="str">
            <v>Металлсодружество</v>
          </cell>
        </row>
        <row r="337">
          <cell r="B337" t="str">
            <v>Металлопрокат</v>
          </cell>
          <cell r="K337">
            <v>5</v>
          </cell>
          <cell r="N337">
            <v>31590</v>
          </cell>
          <cell r="O337" t="str">
            <v>ВМЗ КО</v>
          </cell>
          <cell r="P337">
            <v>5</v>
          </cell>
          <cell r="S337">
            <v>34410</v>
          </cell>
          <cell r="T337" t="str">
            <v>Металлсодружество</v>
          </cell>
        </row>
        <row r="338">
          <cell r="B338" t="str">
            <v>Металлопрокат</v>
          </cell>
          <cell r="K338">
            <v>10</v>
          </cell>
          <cell r="N338">
            <v>74520</v>
          </cell>
          <cell r="O338" t="str">
            <v>ВМЗ КО</v>
          </cell>
          <cell r="P338">
            <v>10</v>
          </cell>
          <cell r="S338">
            <v>81600</v>
          </cell>
          <cell r="T338" t="str">
            <v>Металлсодружество</v>
          </cell>
        </row>
        <row r="339">
          <cell r="B339" t="str">
            <v>Металлопрокат</v>
          </cell>
          <cell r="K339">
            <v>10</v>
          </cell>
          <cell r="N339">
            <v>74520</v>
          </cell>
          <cell r="O339" t="str">
            <v>ВМЗ КО</v>
          </cell>
          <cell r="P339">
            <v>10</v>
          </cell>
          <cell r="S339">
            <v>81600</v>
          </cell>
          <cell r="T339" t="str">
            <v>Металлсодружество</v>
          </cell>
        </row>
        <row r="340">
          <cell r="B340" t="str">
            <v>Металлопрокат</v>
          </cell>
          <cell r="K340">
            <v>10</v>
          </cell>
          <cell r="N340">
            <v>78000</v>
          </cell>
          <cell r="O340" t="str">
            <v>ВМЗ КО</v>
          </cell>
          <cell r="P340">
            <v>10</v>
          </cell>
          <cell r="S340">
            <v>85200</v>
          </cell>
          <cell r="T340" t="str">
            <v>Металлсодружество</v>
          </cell>
        </row>
        <row r="341">
          <cell r="B341" t="str">
            <v>Металлопрокат</v>
          </cell>
          <cell r="K341">
            <v>10</v>
          </cell>
          <cell r="N341">
            <v>78000</v>
          </cell>
          <cell r="O341" t="str">
            <v>ВМЗ КО</v>
          </cell>
          <cell r="P341">
            <v>10</v>
          </cell>
          <cell r="S341">
            <v>85200</v>
          </cell>
          <cell r="T341" t="str">
            <v>Металлсодружество</v>
          </cell>
        </row>
        <row r="342">
          <cell r="B342" t="str">
            <v>Металлопрокат</v>
          </cell>
          <cell r="K342">
            <v>10</v>
          </cell>
          <cell r="N342">
            <v>77460</v>
          </cell>
          <cell r="O342" t="str">
            <v>ВМЗ КО</v>
          </cell>
          <cell r="P342">
            <v>10</v>
          </cell>
          <cell r="S342">
            <v>84600</v>
          </cell>
          <cell r="T342" t="str">
            <v>Металлсодружество</v>
          </cell>
        </row>
        <row r="343">
          <cell r="B343" t="str">
            <v>Металлопрокат</v>
          </cell>
          <cell r="K343">
            <v>10</v>
          </cell>
          <cell r="N343">
            <v>81000</v>
          </cell>
          <cell r="O343" t="str">
            <v>ВМЗ КО</v>
          </cell>
          <cell r="P343">
            <v>10</v>
          </cell>
          <cell r="S343">
            <v>91200</v>
          </cell>
          <cell r="T343" t="str">
            <v>Металлсодружество</v>
          </cell>
        </row>
        <row r="344">
          <cell r="B344" t="str">
            <v>Металлопрокат</v>
          </cell>
          <cell r="K344">
            <v>30</v>
          </cell>
          <cell r="N344">
            <v>241380</v>
          </cell>
          <cell r="O344" t="str">
            <v>ВМЗ КО</v>
          </cell>
          <cell r="P344">
            <v>30</v>
          </cell>
          <cell r="S344">
            <v>259200</v>
          </cell>
          <cell r="T344" t="str">
            <v>Металлсодружество</v>
          </cell>
        </row>
        <row r="345">
          <cell r="B345" t="str">
            <v>Металлопрокат</v>
          </cell>
          <cell r="K345">
            <v>2</v>
          </cell>
          <cell r="N345">
            <v>58356</v>
          </cell>
          <cell r="O345" t="str">
            <v>ВМЗ КО</v>
          </cell>
          <cell r="P345">
            <v>2</v>
          </cell>
          <cell r="S345">
            <v>64848</v>
          </cell>
          <cell r="T345" t="str">
            <v>Метапласт</v>
          </cell>
        </row>
        <row r="346">
          <cell r="B346" t="str">
            <v>Металлопрокат</v>
          </cell>
          <cell r="K346">
            <v>30</v>
          </cell>
          <cell r="N346">
            <v>786960</v>
          </cell>
          <cell r="O346" t="str">
            <v>ВМЗ КО</v>
          </cell>
          <cell r="P346">
            <v>30</v>
          </cell>
          <cell r="S346">
            <v>867600</v>
          </cell>
          <cell r="T346" t="str">
            <v>Метосфера</v>
          </cell>
        </row>
        <row r="347">
          <cell r="B347" t="str">
            <v>Металлопрокат</v>
          </cell>
          <cell r="K347">
            <v>60</v>
          </cell>
          <cell r="N347">
            <v>741888</v>
          </cell>
          <cell r="O347" t="str">
            <v>ВМЗ КО</v>
          </cell>
          <cell r="P347">
            <v>60</v>
          </cell>
          <cell r="S347">
            <v>792000</v>
          </cell>
          <cell r="T347" t="str">
            <v>Метосфера</v>
          </cell>
        </row>
        <row r="348">
          <cell r="B348" t="str">
            <v>Металлопрокат</v>
          </cell>
          <cell r="K348">
            <v>15.17</v>
          </cell>
          <cell r="N348">
            <v>158702.47200000001</v>
          </cell>
          <cell r="O348" t="str">
            <v>ВМЗ КО</v>
          </cell>
          <cell r="P348">
            <v>15.17</v>
          </cell>
          <cell r="S348">
            <v>184770.6</v>
          </cell>
          <cell r="T348" t="str">
            <v>Метосфера</v>
          </cell>
        </row>
        <row r="349">
          <cell r="B349" t="str">
            <v>Металлопрокат</v>
          </cell>
          <cell r="K349">
            <v>32.520000000000003</v>
          </cell>
          <cell r="N349">
            <v>340211.23200000002</v>
          </cell>
          <cell r="O349" t="str">
            <v>ВМЗ КО</v>
          </cell>
          <cell r="P349">
            <v>32.520000000000003</v>
          </cell>
          <cell r="S349">
            <v>396093.60000000003</v>
          </cell>
          <cell r="T349" t="str">
            <v>Метосфера</v>
          </cell>
        </row>
        <row r="350">
          <cell r="B350" t="str">
            <v>Металлопрокат</v>
          </cell>
          <cell r="K350">
            <v>7.1</v>
          </cell>
          <cell r="N350">
            <v>74277.36</v>
          </cell>
          <cell r="O350" t="str">
            <v>ВМЗ КО</v>
          </cell>
          <cell r="P350">
            <v>7.1</v>
          </cell>
          <cell r="S350">
            <v>84348</v>
          </cell>
          <cell r="T350" t="str">
            <v>Метосфера</v>
          </cell>
        </row>
        <row r="351">
          <cell r="B351" t="str">
            <v>Металлопрокат</v>
          </cell>
          <cell r="K351">
            <v>1.4</v>
          </cell>
          <cell r="N351">
            <v>14338.8</v>
          </cell>
          <cell r="O351" t="str">
            <v>ВМЗ КО</v>
          </cell>
          <cell r="P351">
            <v>1.4</v>
          </cell>
          <cell r="S351">
            <v>16800</v>
          </cell>
          <cell r="T351" t="str">
            <v>Метпромэкс</v>
          </cell>
        </row>
        <row r="352">
          <cell r="B352" t="str">
            <v>Металлопрокат</v>
          </cell>
          <cell r="K352">
            <v>4.12</v>
          </cell>
          <cell r="N352">
            <v>42197.04</v>
          </cell>
          <cell r="O352" t="str">
            <v>ВМЗ КО</v>
          </cell>
          <cell r="P352">
            <v>4.12</v>
          </cell>
          <cell r="S352">
            <v>49440</v>
          </cell>
          <cell r="T352" t="str">
            <v>Метпромэкс</v>
          </cell>
        </row>
        <row r="353">
          <cell r="B353" t="str">
            <v>Металлопрокат</v>
          </cell>
          <cell r="K353">
            <v>6.64</v>
          </cell>
          <cell r="N353">
            <v>67369.440000000002</v>
          </cell>
          <cell r="O353" t="str">
            <v>ВМЗ КО</v>
          </cell>
          <cell r="P353">
            <v>6.64</v>
          </cell>
          <cell r="S353">
            <v>79680</v>
          </cell>
          <cell r="T353" t="str">
            <v>Метпромэкс</v>
          </cell>
        </row>
        <row r="354">
          <cell r="B354" t="str">
            <v>Металлопрокат</v>
          </cell>
          <cell r="K354">
            <v>4.7</v>
          </cell>
          <cell r="N354">
            <v>44584.200000000004</v>
          </cell>
          <cell r="O354" t="str">
            <v>ВМЗ КО</v>
          </cell>
          <cell r="P354">
            <v>4.7</v>
          </cell>
          <cell r="S354">
            <v>51888</v>
          </cell>
          <cell r="T354" t="str">
            <v>Метпромэкс</v>
          </cell>
        </row>
        <row r="355">
          <cell r="B355" t="str">
            <v>Металлопрокат</v>
          </cell>
          <cell r="K355">
            <v>1.35</v>
          </cell>
          <cell r="N355">
            <v>12806.1</v>
          </cell>
          <cell r="O355" t="str">
            <v>ВМЗ КО</v>
          </cell>
          <cell r="P355">
            <v>1.35</v>
          </cell>
          <cell r="S355">
            <v>14904.000000000002</v>
          </cell>
          <cell r="T355" t="str">
            <v>Метпромэкс</v>
          </cell>
        </row>
        <row r="356">
          <cell r="B356" t="str">
            <v>Металлопрокат</v>
          </cell>
          <cell r="K356">
            <v>5.9</v>
          </cell>
          <cell r="N356">
            <v>57631.200000000004</v>
          </cell>
          <cell r="O356" t="str">
            <v>ВМЗ КО</v>
          </cell>
          <cell r="P356">
            <v>5.9</v>
          </cell>
          <cell r="S356">
            <v>67260</v>
          </cell>
          <cell r="T356" t="str">
            <v>Метпромэкс</v>
          </cell>
        </row>
        <row r="357">
          <cell r="B357" t="str">
            <v>Металлопрокат</v>
          </cell>
          <cell r="K357">
            <v>0.85</v>
          </cell>
          <cell r="N357">
            <v>8302.7999999999993</v>
          </cell>
          <cell r="O357" t="str">
            <v>ВМЗ КО</v>
          </cell>
          <cell r="P357">
            <v>0.85</v>
          </cell>
          <cell r="S357">
            <v>9690</v>
          </cell>
          <cell r="T357" t="str">
            <v>Метпромэкс</v>
          </cell>
        </row>
        <row r="358">
          <cell r="B358" t="str">
            <v>Металлопрокат</v>
          </cell>
          <cell r="K358">
            <v>5.54</v>
          </cell>
          <cell r="N358">
            <v>54646.559999999998</v>
          </cell>
          <cell r="O358" t="str">
            <v>ВМЗ КО</v>
          </cell>
          <cell r="P358">
            <v>5.54</v>
          </cell>
          <cell r="S358">
            <v>63156</v>
          </cell>
          <cell r="T358" t="str">
            <v>Метпромэкс</v>
          </cell>
        </row>
        <row r="359">
          <cell r="B359" t="str">
            <v>Металлопрокат</v>
          </cell>
          <cell r="K359">
            <v>2.97</v>
          </cell>
          <cell r="N359">
            <v>29296.080000000002</v>
          </cell>
          <cell r="O359" t="str">
            <v>ВМЗ КО</v>
          </cell>
          <cell r="P359">
            <v>2.97</v>
          </cell>
          <cell r="S359">
            <v>33858</v>
          </cell>
          <cell r="T359" t="str">
            <v>Метпромэкс</v>
          </cell>
        </row>
        <row r="360">
          <cell r="B360" t="str">
            <v>Металлопрокат</v>
          </cell>
          <cell r="K360">
            <v>5.87</v>
          </cell>
          <cell r="N360">
            <v>57901.68</v>
          </cell>
          <cell r="O360" t="str">
            <v>ВМЗ КО</v>
          </cell>
          <cell r="P360">
            <v>5.87</v>
          </cell>
          <cell r="S360">
            <v>66918</v>
          </cell>
          <cell r="T360" t="str">
            <v>Метпромэкс</v>
          </cell>
        </row>
        <row r="361">
          <cell r="B361" t="str">
            <v>Металлопрокат</v>
          </cell>
          <cell r="K361">
            <v>4.76</v>
          </cell>
          <cell r="N361">
            <v>40041.119999999995</v>
          </cell>
          <cell r="O361" t="str">
            <v>ВМЗ КО</v>
          </cell>
          <cell r="P361">
            <v>4.76</v>
          </cell>
          <cell r="S361">
            <v>44496.479999999996</v>
          </cell>
          <cell r="T361" t="str">
            <v>Метхимпром</v>
          </cell>
        </row>
        <row r="362">
          <cell r="B362" t="str">
            <v>Металлопрокат</v>
          </cell>
          <cell r="K362">
            <v>9.69</v>
          </cell>
          <cell r="N362">
            <v>78489</v>
          </cell>
          <cell r="O362" t="str">
            <v>ВМЗ КО</v>
          </cell>
          <cell r="P362">
            <v>9.69</v>
          </cell>
          <cell r="S362">
            <v>87210</v>
          </cell>
          <cell r="T362" t="str">
            <v>Минимакс</v>
          </cell>
        </row>
        <row r="363">
          <cell r="B363" t="str">
            <v>Металлопрокат</v>
          </cell>
          <cell r="K363">
            <v>5</v>
          </cell>
          <cell r="N363">
            <v>38076</v>
          </cell>
          <cell r="O363" t="str">
            <v>ВМЗ КО</v>
          </cell>
          <cell r="P363">
            <v>5</v>
          </cell>
          <cell r="S363">
            <v>42306.666666666672</v>
          </cell>
          <cell r="T363" t="str">
            <v>Минимакс</v>
          </cell>
        </row>
        <row r="364">
          <cell r="B364" t="str">
            <v>Металлопрокат</v>
          </cell>
          <cell r="K364">
            <v>5</v>
          </cell>
          <cell r="N364">
            <v>37830</v>
          </cell>
          <cell r="O364" t="str">
            <v>ВМЗ КО</v>
          </cell>
          <cell r="P364">
            <v>5</v>
          </cell>
          <cell r="S364">
            <v>42033.333333333328</v>
          </cell>
          <cell r="T364" t="str">
            <v>Минимакс</v>
          </cell>
        </row>
        <row r="365">
          <cell r="B365" t="str">
            <v>Металлопрокат</v>
          </cell>
          <cell r="K365">
            <v>5</v>
          </cell>
          <cell r="N365">
            <v>45618</v>
          </cell>
          <cell r="O365" t="str">
            <v>ВМЗ КО</v>
          </cell>
          <cell r="P365">
            <v>5</v>
          </cell>
          <cell r="S365">
            <v>50688</v>
          </cell>
          <cell r="T365" t="str">
            <v>Минимакс</v>
          </cell>
        </row>
        <row r="366">
          <cell r="B366" t="str">
            <v>Металлопрокат</v>
          </cell>
          <cell r="K366">
            <v>4.38</v>
          </cell>
          <cell r="N366">
            <v>39561.911999999997</v>
          </cell>
          <cell r="O366" t="str">
            <v>ВМЗ КО</v>
          </cell>
          <cell r="P366">
            <v>4.38</v>
          </cell>
          <cell r="S366">
            <v>43955.928</v>
          </cell>
          <cell r="T366" t="str">
            <v>Минимакс</v>
          </cell>
        </row>
        <row r="367">
          <cell r="B367" t="str">
            <v>Металлопрокат</v>
          </cell>
          <cell r="K367">
            <v>9.75</v>
          </cell>
          <cell r="N367">
            <v>88065.9</v>
          </cell>
          <cell r="O367" t="str">
            <v>ВМЗ КО</v>
          </cell>
          <cell r="P367">
            <v>9.75</v>
          </cell>
          <cell r="S367">
            <v>97847.1</v>
          </cell>
          <cell r="T367" t="str">
            <v>Минимакс</v>
          </cell>
        </row>
        <row r="368">
          <cell r="B368" t="str">
            <v>Металлопрокат</v>
          </cell>
          <cell r="K368">
            <v>8.9</v>
          </cell>
          <cell r="N368">
            <v>79865.040000000008</v>
          </cell>
          <cell r="O368" t="str">
            <v>ВМЗ КО</v>
          </cell>
          <cell r="P368">
            <v>8.9</v>
          </cell>
          <cell r="S368">
            <v>88740.12</v>
          </cell>
          <cell r="T368" t="str">
            <v>Минимакс</v>
          </cell>
        </row>
        <row r="369">
          <cell r="B369" t="str">
            <v>Металлопрокат</v>
          </cell>
          <cell r="K369">
            <v>3.96</v>
          </cell>
          <cell r="N369">
            <v>34836.912000000004</v>
          </cell>
          <cell r="O369" t="str">
            <v>ВМЗ КО</v>
          </cell>
          <cell r="P369">
            <v>3.96</v>
          </cell>
          <cell r="S369">
            <v>38709.792000000001</v>
          </cell>
          <cell r="T369" t="str">
            <v>Минимакс</v>
          </cell>
        </row>
        <row r="370">
          <cell r="B370" t="str">
            <v>Металлопрокат</v>
          </cell>
          <cell r="K370">
            <v>10.84</v>
          </cell>
          <cell r="N370">
            <v>137754.72</v>
          </cell>
          <cell r="O370" t="str">
            <v>ВМЗ КО</v>
          </cell>
          <cell r="P370">
            <v>10.84</v>
          </cell>
          <cell r="S370">
            <v>153065.136</v>
          </cell>
          <cell r="T370" t="str">
            <v>Минимакс</v>
          </cell>
        </row>
        <row r="371">
          <cell r="B371" t="str">
            <v>Металлопрокат</v>
          </cell>
          <cell r="K371">
            <v>2.9</v>
          </cell>
          <cell r="N371">
            <v>26395.8</v>
          </cell>
          <cell r="O371" t="str">
            <v>ВМЗ КО</v>
          </cell>
          <cell r="P371">
            <v>2.9</v>
          </cell>
          <cell r="S371">
            <v>29332.92</v>
          </cell>
          <cell r="T371" t="str">
            <v>Минимакс</v>
          </cell>
        </row>
        <row r="372">
          <cell r="B372" t="str">
            <v>Металлопрокат</v>
          </cell>
          <cell r="K372">
            <v>5</v>
          </cell>
          <cell r="N372">
            <v>67314</v>
          </cell>
          <cell r="O372" t="str">
            <v>ВМЗ КО</v>
          </cell>
          <cell r="P372">
            <v>5</v>
          </cell>
          <cell r="S372">
            <v>74793.333333333314</v>
          </cell>
          <cell r="T372" t="str">
            <v>Минимакс</v>
          </cell>
        </row>
        <row r="373">
          <cell r="B373" t="str">
            <v>Металлопрокат</v>
          </cell>
          <cell r="K373">
            <v>5</v>
          </cell>
          <cell r="N373">
            <v>64164</v>
          </cell>
          <cell r="O373" t="str">
            <v>ВМЗ КО</v>
          </cell>
          <cell r="P373">
            <v>5</v>
          </cell>
          <cell r="S373">
            <v>71293.333333333328</v>
          </cell>
          <cell r="T373" t="str">
            <v>Минимакс</v>
          </cell>
        </row>
        <row r="374">
          <cell r="B374" t="str">
            <v>Металлопрокат</v>
          </cell>
          <cell r="K374">
            <v>5</v>
          </cell>
          <cell r="N374">
            <v>64794</v>
          </cell>
          <cell r="O374" t="str">
            <v>ВМЗ КО</v>
          </cell>
          <cell r="P374">
            <v>5</v>
          </cell>
          <cell r="S374">
            <v>71993.333333333328</v>
          </cell>
          <cell r="T374" t="str">
            <v>Минимакс</v>
          </cell>
        </row>
        <row r="375">
          <cell r="B375" t="str">
            <v>Металлопрокат</v>
          </cell>
          <cell r="K375">
            <v>5</v>
          </cell>
          <cell r="N375">
            <v>64164</v>
          </cell>
          <cell r="O375" t="str">
            <v>ВМЗ КО</v>
          </cell>
          <cell r="P375">
            <v>5</v>
          </cell>
          <cell r="S375">
            <v>71293.333333333328</v>
          </cell>
          <cell r="T375" t="str">
            <v>Минимакс</v>
          </cell>
        </row>
        <row r="376">
          <cell r="B376" t="str">
            <v>Металлопрокат</v>
          </cell>
          <cell r="K376">
            <v>18</v>
          </cell>
          <cell r="N376">
            <v>152301.6</v>
          </cell>
          <cell r="O376" t="str">
            <v>ВМЗ КО</v>
          </cell>
          <cell r="P376">
            <v>18</v>
          </cell>
          <cell r="S376">
            <v>169128</v>
          </cell>
          <cell r="T376" t="str">
            <v>МПО по вып. алмазного инструмента</v>
          </cell>
        </row>
        <row r="377">
          <cell r="B377" t="str">
            <v>Металлопрокат</v>
          </cell>
          <cell r="K377">
            <v>59.13</v>
          </cell>
          <cell r="N377">
            <v>537846.48</v>
          </cell>
          <cell r="O377" t="str">
            <v>ВМЗ КО</v>
          </cell>
          <cell r="P377">
            <v>59.13</v>
          </cell>
          <cell r="S377">
            <v>598159.08000000007</v>
          </cell>
          <cell r="T377" t="str">
            <v>Нефтехим ООО</v>
          </cell>
        </row>
        <row r="378">
          <cell r="B378" t="str">
            <v>Металлопрокат</v>
          </cell>
          <cell r="K378">
            <v>22.35</v>
          </cell>
          <cell r="N378">
            <v>379771.2</v>
          </cell>
          <cell r="O378" t="str">
            <v>ВМЗ КО</v>
          </cell>
          <cell r="P378">
            <v>22.35</v>
          </cell>
          <cell r="S378">
            <v>422146.80000000005</v>
          </cell>
          <cell r="T378" t="str">
            <v>Нефтехим ООО</v>
          </cell>
        </row>
        <row r="379">
          <cell r="B379" t="str">
            <v>Металлопрокат</v>
          </cell>
          <cell r="K379">
            <v>21.84</v>
          </cell>
          <cell r="N379">
            <v>343586.88</v>
          </cell>
          <cell r="O379" t="str">
            <v>ВМЗ КО</v>
          </cell>
          <cell r="P379">
            <v>21.84</v>
          </cell>
          <cell r="S379">
            <v>381850.56</v>
          </cell>
          <cell r="T379" t="str">
            <v>Нефтехим ООО</v>
          </cell>
        </row>
        <row r="380">
          <cell r="B380" t="str">
            <v>Металлопрокат</v>
          </cell>
          <cell r="K380">
            <v>10</v>
          </cell>
          <cell r="N380">
            <v>209040</v>
          </cell>
          <cell r="O380" t="str">
            <v>ВМЗ КО</v>
          </cell>
          <cell r="P380">
            <v>10</v>
          </cell>
          <cell r="S380">
            <v>232320</v>
          </cell>
          <cell r="T380" t="str">
            <v>Нефтехим ООО</v>
          </cell>
        </row>
        <row r="381">
          <cell r="B381" t="str">
            <v>Металлопрокат</v>
          </cell>
          <cell r="K381">
            <v>11</v>
          </cell>
          <cell r="N381">
            <v>229944</v>
          </cell>
          <cell r="O381" t="str">
            <v>ВМЗ КО</v>
          </cell>
          <cell r="P381">
            <v>11</v>
          </cell>
          <cell r="S381">
            <v>255552</v>
          </cell>
          <cell r="T381" t="str">
            <v>Нефтехим ООО</v>
          </cell>
        </row>
        <row r="382">
          <cell r="B382" t="str">
            <v>Металлопрокат</v>
          </cell>
          <cell r="K382">
            <v>0.59</v>
          </cell>
          <cell r="N382">
            <v>5366.6399999999994</v>
          </cell>
          <cell r="O382" t="str">
            <v>ВМЗ КО</v>
          </cell>
          <cell r="P382">
            <v>0.59</v>
          </cell>
          <cell r="S382">
            <v>5968.44</v>
          </cell>
          <cell r="T382" t="str">
            <v>Нефтехим ООО</v>
          </cell>
        </row>
        <row r="383">
          <cell r="B383" t="str">
            <v>Металлопрокат</v>
          </cell>
          <cell r="K383">
            <v>20</v>
          </cell>
          <cell r="N383">
            <v>1044240</v>
          </cell>
          <cell r="O383" t="str">
            <v>ВМЗ КО</v>
          </cell>
          <cell r="P383">
            <v>20</v>
          </cell>
          <cell r="S383">
            <v>1160400</v>
          </cell>
          <cell r="T383" t="str">
            <v>Нефтехим ООО</v>
          </cell>
        </row>
        <row r="384">
          <cell r="B384" t="str">
            <v>Металлопрокат</v>
          </cell>
          <cell r="K384">
            <v>3.4</v>
          </cell>
          <cell r="N384">
            <v>55977.599999999999</v>
          </cell>
          <cell r="O384" t="str">
            <v>ВМЗ КО</v>
          </cell>
          <cell r="P384">
            <v>3.4</v>
          </cell>
          <cell r="S384">
            <v>69237.599999999991</v>
          </cell>
          <cell r="T384" t="str">
            <v>Нефтехимсервис</v>
          </cell>
        </row>
        <row r="385">
          <cell r="B385" t="str">
            <v>Металлопрокат</v>
          </cell>
          <cell r="K385">
            <v>4</v>
          </cell>
          <cell r="N385">
            <v>66504</v>
          </cell>
          <cell r="O385" t="str">
            <v>ВМЗ КО</v>
          </cell>
          <cell r="P385">
            <v>4</v>
          </cell>
          <cell r="S385">
            <v>82224</v>
          </cell>
          <cell r="T385" t="str">
            <v>Нефтехимсервис</v>
          </cell>
        </row>
        <row r="386">
          <cell r="B386" t="str">
            <v>Металлопрокат</v>
          </cell>
          <cell r="K386">
            <v>5</v>
          </cell>
          <cell r="N386">
            <v>41880</v>
          </cell>
          <cell r="O386" t="str">
            <v>ВМЗ КО</v>
          </cell>
          <cell r="P386">
            <v>5</v>
          </cell>
          <cell r="S386">
            <v>46524</v>
          </cell>
          <cell r="T386" t="str">
            <v>Нижневолжскхимресурс</v>
          </cell>
        </row>
        <row r="387">
          <cell r="B387" t="str">
            <v>Металлопрокат</v>
          </cell>
          <cell r="K387">
            <v>30.75</v>
          </cell>
          <cell r="N387">
            <v>198153</v>
          </cell>
          <cell r="O387" t="str">
            <v>ВМЗ КО</v>
          </cell>
          <cell r="P387">
            <v>30.75</v>
          </cell>
          <cell r="S387">
            <v>235089.9</v>
          </cell>
          <cell r="T387" t="str">
            <v>Нижневолжскхимресурс</v>
          </cell>
        </row>
        <row r="388">
          <cell r="B388" t="str">
            <v>Металлопрокат</v>
          </cell>
          <cell r="K388">
            <v>5.2</v>
          </cell>
          <cell r="N388">
            <v>35780.160000000003</v>
          </cell>
          <cell r="O388" t="str">
            <v>ВМЗ КО</v>
          </cell>
          <cell r="P388">
            <v>5.2</v>
          </cell>
          <cell r="S388">
            <v>39755.040000000001</v>
          </cell>
          <cell r="T388" t="str">
            <v>Нижневолжскхимресурс</v>
          </cell>
        </row>
        <row r="389">
          <cell r="B389" t="str">
            <v>Металлопрокат</v>
          </cell>
          <cell r="K389">
            <v>5.7</v>
          </cell>
          <cell r="N389">
            <v>73564.2</v>
          </cell>
          <cell r="O389" t="str">
            <v>ВМЗ КО</v>
          </cell>
          <cell r="P389">
            <v>5.7</v>
          </cell>
          <cell r="S389">
            <v>82080</v>
          </cell>
          <cell r="T389" t="str">
            <v>Нижневолжскхимресурс</v>
          </cell>
        </row>
        <row r="390">
          <cell r="B390" t="str">
            <v>Металлопрокат</v>
          </cell>
          <cell r="K390">
            <v>13.5</v>
          </cell>
          <cell r="N390">
            <v>173016</v>
          </cell>
          <cell r="O390" t="str">
            <v>ВМЗ КО</v>
          </cell>
          <cell r="P390">
            <v>13.5</v>
          </cell>
          <cell r="S390">
            <v>194400</v>
          </cell>
          <cell r="T390" t="str">
            <v>Нижневолжскхимресурс</v>
          </cell>
        </row>
        <row r="391">
          <cell r="B391" t="str">
            <v>Металлопрокат</v>
          </cell>
          <cell r="K391">
            <v>5.05</v>
          </cell>
          <cell r="N391">
            <v>64720.799999999996</v>
          </cell>
          <cell r="O391" t="str">
            <v>ВМЗ КО</v>
          </cell>
          <cell r="P391">
            <v>5.05</v>
          </cell>
          <cell r="S391">
            <v>72720</v>
          </cell>
          <cell r="T391" t="str">
            <v>Нижневолжскхимресурс</v>
          </cell>
        </row>
        <row r="392">
          <cell r="B392" t="str">
            <v>Металлопрокат</v>
          </cell>
          <cell r="K392">
            <v>4.95</v>
          </cell>
          <cell r="N392">
            <v>63439.200000000004</v>
          </cell>
          <cell r="O392" t="str">
            <v>ВМЗ КО</v>
          </cell>
          <cell r="P392">
            <v>4.95</v>
          </cell>
          <cell r="S392">
            <v>71280</v>
          </cell>
          <cell r="T392" t="str">
            <v>Нижневолжскхимресурс</v>
          </cell>
        </row>
        <row r="393">
          <cell r="B393" t="str">
            <v>Металлопрокат</v>
          </cell>
          <cell r="K393">
            <v>4.1500000000000004</v>
          </cell>
          <cell r="N393">
            <v>53027.040000000008</v>
          </cell>
          <cell r="O393" t="str">
            <v>ВМЗ КО</v>
          </cell>
          <cell r="P393">
            <v>4.1500000000000004</v>
          </cell>
          <cell r="S393">
            <v>59760.000000000007</v>
          </cell>
          <cell r="T393" t="str">
            <v>Нижневолжскхимресурс</v>
          </cell>
        </row>
        <row r="394">
          <cell r="B394" t="str">
            <v>Металлопрокат</v>
          </cell>
          <cell r="K394">
            <v>5.04</v>
          </cell>
          <cell r="N394">
            <v>56427.840000000004</v>
          </cell>
          <cell r="O394" t="str">
            <v>ВМЗ КО</v>
          </cell>
          <cell r="P394">
            <v>5.04</v>
          </cell>
          <cell r="S394">
            <v>62717.760000000002</v>
          </cell>
          <cell r="T394" t="str">
            <v>НьюМакСтрой</v>
          </cell>
        </row>
        <row r="395">
          <cell r="B395" t="str">
            <v>Металлопрокат</v>
          </cell>
          <cell r="K395">
            <v>3</v>
          </cell>
          <cell r="N395">
            <v>33588</v>
          </cell>
          <cell r="O395" t="str">
            <v>ВМЗ КО</v>
          </cell>
          <cell r="P395">
            <v>3</v>
          </cell>
          <cell r="S395">
            <v>37332</v>
          </cell>
          <cell r="T395" t="str">
            <v>НьюМакСтрой</v>
          </cell>
        </row>
        <row r="396">
          <cell r="B396" t="str">
            <v>Металлопрокат</v>
          </cell>
          <cell r="K396">
            <v>1.85</v>
          </cell>
          <cell r="N396">
            <v>20712.600000000002</v>
          </cell>
          <cell r="O396" t="str">
            <v>ВМЗ КО</v>
          </cell>
          <cell r="P396">
            <v>1.85</v>
          </cell>
          <cell r="S396">
            <v>23021.4</v>
          </cell>
          <cell r="T396" t="str">
            <v>НьюМакСтрой</v>
          </cell>
        </row>
        <row r="397">
          <cell r="B397" t="str">
            <v>Металлопрокат</v>
          </cell>
          <cell r="K397">
            <v>6</v>
          </cell>
          <cell r="N397">
            <v>48528</v>
          </cell>
          <cell r="O397" t="str">
            <v>ВМЗ КО</v>
          </cell>
          <cell r="P397">
            <v>6</v>
          </cell>
          <cell r="S397">
            <v>53928</v>
          </cell>
          <cell r="T397" t="str">
            <v>НьюМакСтрой</v>
          </cell>
        </row>
        <row r="398">
          <cell r="B398" t="str">
            <v>Металлопрокат</v>
          </cell>
          <cell r="K398">
            <v>8.4</v>
          </cell>
          <cell r="N398">
            <v>150393.60000000001</v>
          </cell>
          <cell r="O398" t="str">
            <v>ВМЗ КО</v>
          </cell>
          <cell r="P398">
            <v>8.4</v>
          </cell>
          <cell r="S398">
            <v>167126.39999999999</v>
          </cell>
          <cell r="T398" t="str">
            <v>Обуховский завод</v>
          </cell>
        </row>
        <row r="399">
          <cell r="B399" t="str">
            <v>Металлопрокат</v>
          </cell>
          <cell r="K399">
            <v>8.31</v>
          </cell>
          <cell r="N399">
            <v>150278.04</v>
          </cell>
          <cell r="O399" t="str">
            <v>ВМЗ КО</v>
          </cell>
          <cell r="P399">
            <v>8.31</v>
          </cell>
          <cell r="S399">
            <v>167031</v>
          </cell>
          <cell r="T399" t="str">
            <v>Обуховский завод</v>
          </cell>
        </row>
        <row r="400">
          <cell r="B400" t="str">
            <v>Металлопрокат</v>
          </cell>
          <cell r="K400">
            <v>27.37</v>
          </cell>
          <cell r="N400">
            <v>199253.6</v>
          </cell>
          <cell r="O400" t="str">
            <v>ВМЗ КО</v>
          </cell>
          <cell r="P400">
            <v>27.37</v>
          </cell>
          <cell r="S400">
            <v>240418.08000000002</v>
          </cell>
          <cell r="T400" t="str">
            <v>Павловский автобус</v>
          </cell>
        </row>
        <row r="401">
          <cell r="B401" t="str">
            <v>Металлопрокат</v>
          </cell>
          <cell r="K401">
            <v>3.08</v>
          </cell>
          <cell r="N401">
            <v>39876.144</v>
          </cell>
          <cell r="O401" t="str">
            <v>ВМЗ КО</v>
          </cell>
          <cell r="P401">
            <v>3.08</v>
          </cell>
          <cell r="S401">
            <v>45239.040000000001</v>
          </cell>
          <cell r="T401" t="str">
            <v>ПЗ-34</v>
          </cell>
        </row>
        <row r="402">
          <cell r="B402" t="str">
            <v>Металлопрокат</v>
          </cell>
          <cell r="K402">
            <v>5</v>
          </cell>
          <cell r="N402">
            <v>64734</v>
          </cell>
          <cell r="O402" t="str">
            <v>ВМЗ КО</v>
          </cell>
          <cell r="P402">
            <v>5</v>
          </cell>
          <cell r="S402">
            <v>73440</v>
          </cell>
          <cell r="T402" t="str">
            <v>ПЗ-34</v>
          </cell>
        </row>
        <row r="403">
          <cell r="B403" t="str">
            <v>Металлопрокат</v>
          </cell>
          <cell r="K403">
            <v>5</v>
          </cell>
          <cell r="N403">
            <v>538320</v>
          </cell>
          <cell r="O403" t="str">
            <v>ВМЗ КО</v>
          </cell>
          <cell r="P403">
            <v>5</v>
          </cell>
          <cell r="S403">
            <v>598140</v>
          </cell>
          <cell r="T403" t="str">
            <v>Промвек</v>
          </cell>
        </row>
        <row r="404">
          <cell r="B404" t="str">
            <v>Металлопрокат</v>
          </cell>
          <cell r="K404">
            <v>5</v>
          </cell>
          <cell r="N404">
            <v>49590</v>
          </cell>
          <cell r="O404" t="str">
            <v>ВМЗ КО</v>
          </cell>
          <cell r="P404">
            <v>5</v>
          </cell>
          <cell r="S404">
            <v>55110</v>
          </cell>
          <cell r="T404" t="str">
            <v>Промвек</v>
          </cell>
        </row>
        <row r="405">
          <cell r="B405" t="str">
            <v>Металлопрокат</v>
          </cell>
          <cell r="K405">
            <v>1</v>
          </cell>
          <cell r="N405">
            <v>9918</v>
          </cell>
          <cell r="O405" t="str">
            <v>ВМЗ КО</v>
          </cell>
          <cell r="P405">
            <v>1</v>
          </cell>
          <cell r="S405">
            <v>11022</v>
          </cell>
          <cell r="T405" t="str">
            <v>Промвек</v>
          </cell>
        </row>
        <row r="406">
          <cell r="B406" t="str">
            <v>Металлопрокат</v>
          </cell>
          <cell r="K406">
            <v>2</v>
          </cell>
          <cell r="N406">
            <v>18372</v>
          </cell>
          <cell r="O406" t="str">
            <v>ВМЗ КО</v>
          </cell>
          <cell r="P406">
            <v>2</v>
          </cell>
          <cell r="S406">
            <v>20424</v>
          </cell>
          <cell r="T406" t="str">
            <v>Промвек</v>
          </cell>
        </row>
        <row r="407">
          <cell r="B407" t="str">
            <v>Металлопрокат</v>
          </cell>
          <cell r="K407">
            <v>15</v>
          </cell>
          <cell r="N407">
            <v>388314</v>
          </cell>
          <cell r="O407" t="str">
            <v>ВМЗ КО</v>
          </cell>
          <cell r="P407">
            <v>15</v>
          </cell>
          <cell r="S407">
            <v>431460</v>
          </cell>
          <cell r="T407" t="str">
            <v>Промвек</v>
          </cell>
        </row>
        <row r="408">
          <cell r="B408" t="str">
            <v>Металлопрокат</v>
          </cell>
          <cell r="K408">
            <v>70</v>
          </cell>
          <cell r="N408">
            <v>814800</v>
          </cell>
          <cell r="O408" t="str">
            <v>ВМЗ КО</v>
          </cell>
          <cell r="P408">
            <v>70</v>
          </cell>
          <cell r="S408">
            <v>905520</v>
          </cell>
          <cell r="T408" t="str">
            <v>Промвек</v>
          </cell>
        </row>
        <row r="409">
          <cell r="B409" t="str">
            <v>Металлопрокат</v>
          </cell>
          <cell r="K409">
            <v>17.77</v>
          </cell>
          <cell r="N409">
            <v>206842.8</v>
          </cell>
          <cell r="O409" t="str">
            <v>ВМЗ КО</v>
          </cell>
          <cell r="P409">
            <v>17.77</v>
          </cell>
          <cell r="S409">
            <v>229872.72</v>
          </cell>
          <cell r="T409" t="str">
            <v>Промвек</v>
          </cell>
        </row>
        <row r="410">
          <cell r="B410" t="str">
            <v>Металлопрокат</v>
          </cell>
          <cell r="K410">
            <v>127.43</v>
          </cell>
          <cell r="N410">
            <v>1207271.82</v>
          </cell>
          <cell r="O410" t="str">
            <v>ВМЗ КО</v>
          </cell>
          <cell r="P410">
            <v>127.43</v>
          </cell>
          <cell r="S410">
            <v>1324252.56</v>
          </cell>
          <cell r="T410" t="str">
            <v>Промет</v>
          </cell>
        </row>
        <row r="411">
          <cell r="B411" t="str">
            <v>Металлопрокат</v>
          </cell>
          <cell r="K411">
            <v>4.6500000000000004</v>
          </cell>
          <cell r="N411">
            <v>66178.8</v>
          </cell>
          <cell r="O411" t="str">
            <v>ВМЗ КО</v>
          </cell>
          <cell r="P411">
            <v>4.6500000000000004</v>
          </cell>
          <cell r="S411">
            <v>73544.400000000009</v>
          </cell>
          <cell r="T411" t="str">
            <v>Промторгстрой</v>
          </cell>
        </row>
        <row r="412">
          <cell r="B412" t="str">
            <v>Металлопрокат</v>
          </cell>
          <cell r="K412">
            <v>10</v>
          </cell>
          <cell r="N412">
            <v>84924</v>
          </cell>
          <cell r="O412" t="str">
            <v>ВМЗ КО</v>
          </cell>
          <cell r="P412">
            <v>10</v>
          </cell>
          <cell r="S412">
            <v>96720</v>
          </cell>
          <cell r="T412" t="str">
            <v>Роза Мира</v>
          </cell>
        </row>
        <row r="413">
          <cell r="B413" t="str">
            <v>Металлопрокат</v>
          </cell>
          <cell r="K413">
            <v>86.38</v>
          </cell>
          <cell r="N413">
            <v>618515.35199999996</v>
          </cell>
          <cell r="O413" t="str">
            <v>ВМЗ КО</v>
          </cell>
          <cell r="P413">
            <v>86.38</v>
          </cell>
          <cell r="S413">
            <v>749640.19199999992</v>
          </cell>
          <cell r="T413" t="str">
            <v>Росжелдорснаб</v>
          </cell>
        </row>
        <row r="414">
          <cell r="B414" t="str">
            <v>Металлопрокат</v>
          </cell>
          <cell r="K414">
            <v>10.67</v>
          </cell>
          <cell r="N414">
            <v>67528.296000000002</v>
          </cell>
          <cell r="O414" t="str">
            <v>ВМЗ КО</v>
          </cell>
          <cell r="P414">
            <v>10.67</v>
          </cell>
          <cell r="S414">
            <v>75031.44</v>
          </cell>
          <cell r="T414" t="str">
            <v>Самарский ПЗ</v>
          </cell>
        </row>
        <row r="415">
          <cell r="B415" t="str">
            <v>Металлопрокат</v>
          </cell>
          <cell r="K415">
            <v>9.75</v>
          </cell>
          <cell r="N415">
            <v>61705.8</v>
          </cell>
          <cell r="O415" t="str">
            <v>ВМЗ КО</v>
          </cell>
          <cell r="P415">
            <v>9.75</v>
          </cell>
          <cell r="S415">
            <v>68562</v>
          </cell>
          <cell r="T415" t="str">
            <v>Самарский ПЗ</v>
          </cell>
        </row>
        <row r="416">
          <cell r="B416" t="str">
            <v>Металлопрокат</v>
          </cell>
          <cell r="K416">
            <v>20</v>
          </cell>
          <cell r="N416">
            <v>381456</v>
          </cell>
          <cell r="O416" t="str">
            <v>ВМЗ КО</v>
          </cell>
          <cell r="P416">
            <v>20</v>
          </cell>
          <cell r="S416">
            <v>470928</v>
          </cell>
          <cell r="T416" t="str">
            <v>Самарский ПЗ</v>
          </cell>
        </row>
        <row r="417">
          <cell r="B417" t="str">
            <v>Металлопрокат</v>
          </cell>
          <cell r="K417">
            <v>21.1</v>
          </cell>
          <cell r="N417">
            <v>399650.88</v>
          </cell>
          <cell r="O417" t="str">
            <v>ВМЗ КО</v>
          </cell>
          <cell r="P417">
            <v>21.1</v>
          </cell>
          <cell r="S417">
            <v>478978.44000000006</v>
          </cell>
          <cell r="T417" t="str">
            <v>Самарский ПЗ</v>
          </cell>
        </row>
        <row r="418">
          <cell r="B418" t="str">
            <v>Металлопрокат</v>
          </cell>
          <cell r="K418">
            <v>10</v>
          </cell>
          <cell r="N418">
            <v>193608</v>
          </cell>
          <cell r="O418" t="str">
            <v>ВМЗ КО</v>
          </cell>
          <cell r="P418">
            <v>10</v>
          </cell>
          <cell r="S418">
            <v>233820</v>
          </cell>
          <cell r="T418" t="str">
            <v>Самарский ПЗ</v>
          </cell>
        </row>
        <row r="419">
          <cell r="B419" t="str">
            <v>Металлопрокат</v>
          </cell>
          <cell r="K419">
            <v>16.3</v>
          </cell>
          <cell r="N419">
            <v>332285.27999999997</v>
          </cell>
          <cell r="O419" t="str">
            <v>ВМЗ КО</v>
          </cell>
          <cell r="P419">
            <v>16.3</v>
          </cell>
          <cell r="S419">
            <v>398261.16000000003</v>
          </cell>
          <cell r="T419" t="str">
            <v>Самарский ПЗ</v>
          </cell>
        </row>
        <row r="420">
          <cell r="B420" t="str">
            <v>Металлопрокат</v>
          </cell>
          <cell r="K420">
            <v>79.8</v>
          </cell>
          <cell r="N420">
            <v>1626770.88</v>
          </cell>
          <cell r="O420" t="str">
            <v>ВМЗ КО</v>
          </cell>
          <cell r="P420">
            <v>79.8</v>
          </cell>
          <cell r="S420">
            <v>1949769.36</v>
          </cell>
          <cell r="T420" t="str">
            <v>Самарский ПЗ</v>
          </cell>
        </row>
        <row r="421">
          <cell r="B421" t="str">
            <v>Металлопрокат</v>
          </cell>
          <cell r="K421">
            <v>50.26</v>
          </cell>
          <cell r="N421">
            <v>973073.80799999996</v>
          </cell>
          <cell r="O421" t="str">
            <v>ВМЗ КО</v>
          </cell>
          <cell r="P421">
            <v>50.26</v>
          </cell>
          <cell r="S421">
            <v>1228012.632</v>
          </cell>
          <cell r="T421" t="str">
            <v>Самарский ПЗ</v>
          </cell>
        </row>
        <row r="422">
          <cell r="B422" t="str">
            <v>Металлопрокат</v>
          </cell>
          <cell r="K422">
            <v>8.15</v>
          </cell>
          <cell r="N422">
            <v>65418.420000000006</v>
          </cell>
          <cell r="O422" t="str">
            <v>ВМЗ КО</v>
          </cell>
          <cell r="P422">
            <v>8.15</v>
          </cell>
          <cell r="S422">
            <v>73545.600000000006</v>
          </cell>
          <cell r="T422" t="str">
            <v>Самарский ПЗ</v>
          </cell>
        </row>
        <row r="423">
          <cell r="B423" t="str">
            <v>Металлопрокат</v>
          </cell>
          <cell r="K423">
            <v>5.82</v>
          </cell>
          <cell r="N423">
            <v>46715.976000000002</v>
          </cell>
          <cell r="O423" t="str">
            <v>ВМЗ КО</v>
          </cell>
          <cell r="P423">
            <v>5.82</v>
          </cell>
          <cell r="S423">
            <v>52519.68</v>
          </cell>
          <cell r="T423" t="str">
            <v>Самарский ПЗ</v>
          </cell>
        </row>
        <row r="424">
          <cell r="B424" t="str">
            <v>Металлопрокат</v>
          </cell>
          <cell r="K424">
            <v>36</v>
          </cell>
          <cell r="N424">
            <v>288964.8</v>
          </cell>
          <cell r="O424" t="str">
            <v>ВМЗ КО</v>
          </cell>
          <cell r="P424">
            <v>36</v>
          </cell>
          <cell r="S424">
            <v>324864</v>
          </cell>
          <cell r="T424" t="str">
            <v>Самарский ПЗ</v>
          </cell>
        </row>
        <row r="425">
          <cell r="B425" t="str">
            <v>Металлопрокат</v>
          </cell>
          <cell r="K425">
            <v>46.62</v>
          </cell>
          <cell r="N425">
            <v>350153.49599999998</v>
          </cell>
          <cell r="O425" t="str">
            <v>ВМЗ КО</v>
          </cell>
          <cell r="P425">
            <v>46.62</v>
          </cell>
          <cell r="S425">
            <v>386013.6</v>
          </cell>
          <cell r="T425" t="str">
            <v>Самарский ПЗ</v>
          </cell>
        </row>
        <row r="426">
          <cell r="B426" t="str">
            <v>Металлопрокат</v>
          </cell>
          <cell r="K426">
            <v>70</v>
          </cell>
          <cell r="N426">
            <v>587916</v>
          </cell>
          <cell r="O426" t="str">
            <v>ВМЗ КО</v>
          </cell>
          <cell r="P426">
            <v>70</v>
          </cell>
          <cell r="S426">
            <v>644280</v>
          </cell>
          <cell r="T426" t="str">
            <v>Самарский ПЗ</v>
          </cell>
        </row>
        <row r="427">
          <cell r="B427" t="str">
            <v>Металлопрокат</v>
          </cell>
          <cell r="K427">
            <v>86</v>
          </cell>
          <cell r="N427">
            <v>645928.80000000005</v>
          </cell>
          <cell r="O427" t="str">
            <v>ВМЗ КО</v>
          </cell>
          <cell r="P427">
            <v>86</v>
          </cell>
          <cell r="S427">
            <v>712080</v>
          </cell>
          <cell r="T427" t="str">
            <v>Самарский ПЗ</v>
          </cell>
        </row>
        <row r="428">
          <cell r="B428" t="str">
            <v>Металлопрокат</v>
          </cell>
          <cell r="K428">
            <v>15</v>
          </cell>
          <cell r="N428">
            <v>121410</v>
          </cell>
          <cell r="O428" t="str">
            <v>ВМЗ КО</v>
          </cell>
          <cell r="P428">
            <v>15</v>
          </cell>
          <cell r="S428">
            <v>138060</v>
          </cell>
          <cell r="T428" t="str">
            <v>Самарский ПЗ</v>
          </cell>
        </row>
        <row r="429">
          <cell r="B429" t="str">
            <v>Металлопрокат</v>
          </cell>
          <cell r="O429" t="str">
            <v>ВМЗ КО</v>
          </cell>
          <cell r="P429">
            <v>500</v>
          </cell>
          <cell r="S429">
            <v>7405000</v>
          </cell>
          <cell r="T429" t="str">
            <v>Склад Волгоград</v>
          </cell>
        </row>
        <row r="430">
          <cell r="B430" t="str">
            <v>Металлопрокат</v>
          </cell>
          <cell r="K430">
            <v>9.4</v>
          </cell>
          <cell r="N430">
            <v>61927.200000000004</v>
          </cell>
          <cell r="O430" t="str">
            <v>ВМЗ КО</v>
          </cell>
          <cell r="P430">
            <v>9.4</v>
          </cell>
          <cell r="S430">
            <v>68808</v>
          </cell>
          <cell r="T430" t="str">
            <v>СМК- Волгоград</v>
          </cell>
        </row>
        <row r="431">
          <cell r="B431" t="str">
            <v>Металлопрокат</v>
          </cell>
          <cell r="K431">
            <v>8.6</v>
          </cell>
          <cell r="N431">
            <v>454719.83999999997</v>
          </cell>
          <cell r="O431" t="str">
            <v>ВМЗ КО</v>
          </cell>
          <cell r="P431">
            <v>8.6</v>
          </cell>
          <cell r="S431">
            <v>505246.55999999994</v>
          </cell>
          <cell r="T431" t="str">
            <v>СпецСтальТрейд</v>
          </cell>
        </row>
        <row r="432">
          <cell r="B432" t="str">
            <v>Металлопрокат</v>
          </cell>
          <cell r="K432">
            <v>3.68</v>
          </cell>
          <cell r="N432">
            <v>194577.79200000002</v>
          </cell>
          <cell r="O432" t="str">
            <v>ВМЗ КО</v>
          </cell>
          <cell r="P432">
            <v>3.68</v>
          </cell>
          <cell r="S432">
            <v>216198.52799999999</v>
          </cell>
          <cell r="T432" t="str">
            <v>СпецСтальТрейд</v>
          </cell>
        </row>
        <row r="433">
          <cell r="B433" t="str">
            <v>Металлопрокат</v>
          </cell>
          <cell r="K433">
            <v>14.55</v>
          </cell>
          <cell r="N433">
            <v>769322.52</v>
          </cell>
          <cell r="O433" t="str">
            <v>ВМЗ КО</v>
          </cell>
          <cell r="P433">
            <v>14.55</v>
          </cell>
          <cell r="S433">
            <v>854806.68</v>
          </cell>
          <cell r="T433" t="str">
            <v>СпецСтальТрейд</v>
          </cell>
        </row>
        <row r="434">
          <cell r="B434" t="str">
            <v>Металлопрокат</v>
          </cell>
          <cell r="K434">
            <v>37.03</v>
          </cell>
          <cell r="N434">
            <v>1941231.0959999999</v>
          </cell>
          <cell r="O434" t="str">
            <v>ВМЗ КО</v>
          </cell>
          <cell r="P434">
            <v>37.03</v>
          </cell>
          <cell r="S434">
            <v>2156923.44</v>
          </cell>
          <cell r="T434" t="str">
            <v>СпецСтальТрейд</v>
          </cell>
        </row>
        <row r="435">
          <cell r="B435" t="str">
            <v>Металлопрокат</v>
          </cell>
          <cell r="K435">
            <v>6.34</v>
          </cell>
          <cell r="N435">
            <v>70199.016000000003</v>
          </cell>
          <cell r="O435" t="str">
            <v>ВМЗ КО</v>
          </cell>
          <cell r="P435">
            <v>6.34</v>
          </cell>
          <cell r="S435">
            <v>78004.824000000008</v>
          </cell>
          <cell r="T435" t="str">
            <v>СпецСтальТрейд</v>
          </cell>
        </row>
        <row r="436">
          <cell r="B436" t="str">
            <v>Металлопрокат</v>
          </cell>
          <cell r="K436">
            <v>17.93</v>
          </cell>
          <cell r="N436">
            <v>198528.13199999998</v>
          </cell>
          <cell r="O436" t="str">
            <v>ВМЗ КО</v>
          </cell>
          <cell r="P436">
            <v>17.93</v>
          </cell>
          <cell r="S436">
            <v>220603.54800000001</v>
          </cell>
          <cell r="T436" t="str">
            <v>СпецСтальТрейд</v>
          </cell>
        </row>
        <row r="437">
          <cell r="B437" t="str">
            <v>Металлопрокат</v>
          </cell>
          <cell r="K437">
            <v>5.17</v>
          </cell>
          <cell r="N437">
            <v>112304.808</v>
          </cell>
          <cell r="O437" t="str">
            <v>ВМЗ КО</v>
          </cell>
          <cell r="P437">
            <v>5.17</v>
          </cell>
          <cell r="S437">
            <v>114774</v>
          </cell>
          <cell r="T437" t="str">
            <v>СпецСтальТрейд</v>
          </cell>
        </row>
        <row r="438">
          <cell r="B438" t="str">
            <v>Металлопрокат</v>
          </cell>
          <cell r="K438">
            <v>14.74</v>
          </cell>
          <cell r="N438">
            <v>300236.11199999996</v>
          </cell>
          <cell r="O438" t="str">
            <v>ВМЗ КО</v>
          </cell>
          <cell r="P438">
            <v>14.74</v>
          </cell>
          <cell r="S438">
            <v>359066.4</v>
          </cell>
          <cell r="T438" t="str">
            <v>Стальснаб 2000</v>
          </cell>
        </row>
        <row r="439">
          <cell r="B439" t="str">
            <v>Металлопрокат</v>
          </cell>
          <cell r="K439">
            <v>3</v>
          </cell>
          <cell r="N439">
            <v>29480.399999999998</v>
          </cell>
          <cell r="O439" t="str">
            <v>ВМЗ КО</v>
          </cell>
          <cell r="P439">
            <v>3</v>
          </cell>
          <cell r="S439">
            <v>38412</v>
          </cell>
          <cell r="T439" t="str">
            <v>Стальснаб 2000</v>
          </cell>
        </row>
        <row r="440">
          <cell r="B440" t="str">
            <v>Металлопрокат</v>
          </cell>
          <cell r="K440">
            <v>3</v>
          </cell>
          <cell r="N440">
            <v>38332.800000000003</v>
          </cell>
          <cell r="O440" t="str">
            <v>ВМЗ КО</v>
          </cell>
          <cell r="P440">
            <v>3</v>
          </cell>
          <cell r="S440">
            <v>49932</v>
          </cell>
          <cell r="T440" t="str">
            <v>Стальснаб 2000</v>
          </cell>
        </row>
        <row r="441">
          <cell r="B441" t="str">
            <v>Металлопрокат</v>
          </cell>
          <cell r="K441">
            <v>0.95</v>
          </cell>
          <cell r="N441">
            <v>26384.16</v>
          </cell>
          <cell r="O441" t="str">
            <v>ВМЗ КО</v>
          </cell>
          <cell r="P441">
            <v>0.95</v>
          </cell>
          <cell r="S441">
            <v>32056.799999999999</v>
          </cell>
          <cell r="T441" t="str">
            <v>Стальснаб 2000</v>
          </cell>
        </row>
        <row r="442">
          <cell r="B442" t="str">
            <v>Металлопрокат</v>
          </cell>
          <cell r="K442">
            <v>35</v>
          </cell>
          <cell r="N442">
            <v>972048</v>
          </cell>
          <cell r="O442" t="str">
            <v>ВМЗ КО</v>
          </cell>
          <cell r="P442">
            <v>35</v>
          </cell>
          <cell r="S442">
            <v>1181040</v>
          </cell>
          <cell r="T442" t="str">
            <v>Стальснаб 2000</v>
          </cell>
        </row>
        <row r="443">
          <cell r="B443" t="str">
            <v>Металлопрокат</v>
          </cell>
          <cell r="K443">
            <v>30</v>
          </cell>
          <cell r="N443">
            <v>760680</v>
          </cell>
          <cell r="O443" t="str">
            <v>ВМЗ КО</v>
          </cell>
          <cell r="P443">
            <v>30</v>
          </cell>
          <cell r="S443">
            <v>1012320</v>
          </cell>
          <cell r="T443" t="str">
            <v>Стальснаб 2000</v>
          </cell>
        </row>
        <row r="444">
          <cell r="B444" t="str">
            <v>Металлопрокат</v>
          </cell>
          <cell r="K444">
            <v>5</v>
          </cell>
          <cell r="N444">
            <v>135300</v>
          </cell>
          <cell r="O444" t="str">
            <v>ВМЗ КО</v>
          </cell>
          <cell r="P444">
            <v>5</v>
          </cell>
          <cell r="S444">
            <v>154740</v>
          </cell>
          <cell r="T444" t="str">
            <v>Сталь-Эскорт</v>
          </cell>
        </row>
        <row r="445">
          <cell r="B445" t="str">
            <v>Металлопрокат</v>
          </cell>
          <cell r="K445">
            <v>0.6</v>
          </cell>
          <cell r="N445">
            <v>45244.799999999996</v>
          </cell>
          <cell r="O445" t="str">
            <v>ВМЗ КО</v>
          </cell>
          <cell r="P445">
            <v>0.6</v>
          </cell>
          <cell r="S445">
            <v>50277.599999999999</v>
          </cell>
          <cell r="T445" t="str">
            <v>Старт-Ресурс</v>
          </cell>
        </row>
        <row r="446">
          <cell r="B446" t="str">
            <v>Металлопрокат</v>
          </cell>
          <cell r="K446">
            <v>1.3</v>
          </cell>
          <cell r="N446">
            <v>91618.8</v>
          </cell>
          <cell r="O446" t="str">
            <v>ВМЗ КО</v>
          </cell>
          <cell r="P446">
            <v>1.3</v>
          </cell>
          <cell r="S446">
            <v>101805.6</v>
          </cell>
          <cell r="T446" t="str">
            <v>Старт-Ресурс</v>
          </cell>
        </row>
        <row r="447">
          <cell r="B447" t="str">
            <v>Металлопрокат</v>
          </cell>
          <cell r="K447">
            <v>2.5</v>
          </cell>
          <cell r="N447">
            <v>181500</v>
          </cell>
          <cell r="O447" t="str">
            <v>ВМЗ КО</v>
          </cell>
          <cell r="P447">
            <v>2.5</v>
          </cell>
          <cell r="S447">
            <v>201690</v>
          </cell>
          <cell r="T447" t="str">
            <v>Старт-Ресурс</v>
          </cell>
        </row>
        <row r="448">
          <cell r="B448" t="str">
            <v>Металлопрокат</v>
          </cell>
          <cell r="K448">
            <v>10</v>
          </cell>
          <cell r="N448">
            <v>726000</v>
          </cell>
          <cell r="O448" t="str">
            <v>ВМЗ КО</v>
          </cell>
          <cell r="P448">
            <v>10</v>
          </cell>
          <cell r="S448">
            <v>806760</v>
          </cell>
          <cell r="T448" t="str">
            <v>Старт-Ресурс</v>
          </cell>
        </row>
        <row r="449">
          <cell r="B449" t="str">
            <v>Металлопрокат</v>
          </cell>
          <cell r="K449">
            <v>7</v>
          </cell>
          <cell r="N449">
            <v>210672</v>
          </cell>
          <cell r="O449" t="str">
            <v>ВМЗ КО</v>
          </cell>
          <cell r="P449">
            <v>7</v>
          </cell>
          <cell r="S449">
            <v>236376</v>
          </cell>
          <cell r="T449" t="str">
            <v>Стройинтерснаб</v>
          </cell>
        </row>
        <row r="450">
          <cell r="B450" t="str">
            <v>Металлопрокат</v>
          </cell>
          <cell r="K450">
            <v>3</v>
          </cell>
          <cell r="N450">
            <v>90288</v>
          </cell>
          <cell r="O450" t="str">
            <v>ВМЗ КО</v>
          </cell>
          <cell r="P450">
            <v>3</v>
          </cell>
          <cell r="S450">
            <v>100332</v>
          </cell>
          <cell r="T450" t="str">
            <v>Стройинтерснаб</v>
          </cell>
        </row>
        <row r="451">
          <cell r="B451" t="str">
            <v>Металлопрокат</v>
          </cell>
          <cell r="K451">
            <v>8</v>
          </cell>
          <cell r="N451">
            <v>101088</v>
          </cell>
          <cell r="O451" t="str">
            <v>ВМЗ КО</v>
          </cell>
          <cell r="P451">
            <v>8</v>
          </cell>
          <cell r="S451">
            <v>112320</v>
          </cell>
          <cell r="T451" t="str">
            <v>Стройинтерснаб</v>
          </cell>
        </row>
        <row r="452">
          <cell r="B452" t="str">
            <v>Металлопрокат</v>
          </cell>
          <cell r="K452">
            <v>10</v>
          </cell>
          <cell r="N452">
            <v>93000</v>
          </cell>
          <cell r="O452" t="str">
            <v>ВМЗ КО</v>
          </cell>
          <cell r="P452">
            <v>10</v>
          </cell>
          <cell r="S452">
            <v>103440</v>
          </cell>
          <cell r="T452" t="str">
            <v>Стройинтерснаб</v>
          </cell>
        </row>
        <row r="453">
          <cell r="B453" t="str">
            <v>Металлопрокат</v>
          </cell>
          <cell r="K453">
            <v>7</v>
          </cell>
          <cell r="N453">
            <v>113652</v>
          </cell>
          <cell r="O453" t="str">
            <v>ВМЗ КО</v>
          </cell>
          <cell r="P453">
            <v>7</v>
          </cell>
          <cell r="S453">
            <v>126336</v>
          </cell>
          <cell r="T453" t="str">
            <v>Стройинтерснаб</v>
          </cell>
        </row>
        <row r="454">
          <cell r="B454" t="str">
            <v>Металлопрокат</v>
          </cell>
          <cell r="K454">
            <v>21.7</v>
          </cell>
          <cell r="N454">
            <v>352321.2</v>
          </cell>
          <cell r="O454" t="str">
            <v>ВМЗ КО</v>
          </cell>
          <cell r="P454">
            <v>21.7</v>
          </cell>
          <cell r="S454">
            <v>391641.59999999998</v>
          </cell>
          <cell r="T454" t="str">
            <v>Стройинтерснаб</v>
          </cell>
        </row>
        <row r="455">
          <cell r="B455" t="str">
            <v>Металлопрокат</v>
          </cell>
          <cell r="K455">
            <v>55.27</v>
          </cell>
          <cell r="N455">
            <v>860155.95600000001</v>
          </cell>
          <cell r="O455" t="str">
            <v>ВМЗ КО</v>
          </cell>
          <cell r="P455">
            <v>55.27</v>
          </cell>
          <cell r="S455">
            <v>955728.84000000008</v>
          </cell>
          <cell r="T455" t="str">
            <v>Стройинтерснаб</v>
          </cell>
        </row>
        <row r="456">
          <cell r="B456" t="str">
            <v>Металлопрокат</v>
          </cell>
          <cell r="K456">
            <v>61.96</v>
          </cell>
          <cell r="N456">
            <v>945013.92</v>
          </cell>
          <cell r="O456" t="str">
            <v>ВМЗ КО</v>
          </cell>
          <cell r="P456">
            <v>61.96</v>
          </cell>
          <cell r="S456">
            <v>1050593.76</v>
          </cell>
          <cell r="T456" t="str">
            <v>Стройинтерснаб</v>
          </cell>
        </row>
        <row r="457">
          <cell r="B457" t="str">
            <v>Металлопрокат</v>
          </cell>
          <cell r="K457">
            <v>23.76</v>
          </cell>
          <cell r="N457">
            <v>173638.08000000002</v>
          </cell>
          <cell r="O457" t="str">
            <v>ВМЗ КО</v>
          </cell>
          <cell r="P457">
            <v>23.76</v>
          </cell>
          <cell r="S457">
            <v>193026.24000000002</v>
          </cell>
          <cell r="T457" t="str">
            <v>Стройинтерснаб</v>
          </cell>
        </row>
        <row r="458">
          <cell r="B458" t="str">
            <v>Металлопрокат</v>
          </cell>
          <cell r="K458">
            <v>18</v>
          </cell>
          <cell r="N458">
            <v>123832.8</v>
          </cell>
          <cell r="O458" t="str">
            <v>ВМЗ КО</v>
          </cell>
          <cell r="P458">
            <v>18</v>
          </cell>
          <cell r="S458">
            <v>161611.19999999998</v>
          </cell>
          <cell r="T458" t="str">
            <v>Стройинтерснаб</v>
          </cell>
        </row>
        <row r="459">
          <cell r="B459" t="str">
            <v>Металлопрокат</v>
          </cell>
          <cell r="K459">
            <v>50.5</v>
          </cell>
          <cell r="N459">
            <v>1034623.7999999999</v>
          </cell>
          <cell r="O459" t="str">
            <v>ВМЗ КО</v>
          </cell>
          <cell r="P459">
            <v>50.5</v>
          </cell>
          <cell r="S459">
            <v>1124736</v>
          </cell>
          <cell r="T459" t="str">
            <v>Стройформ-К</v>
          </cell>
        </row>
        <row r="460">
          <cell r="B460" t="str">
            <v>Металлопрокат</v>
          </cell>
          <cell r="K460">
            <v>16.93</v>
          </cell>
          <cell r="N460">
            <v>111026.94</v>
          </cell>
          <cell r="O460" t="str">
            <v>ВМЗ КО</v>
          </cell>
          <cell r="P460">
            <v>16.93</v>
          </cell>
          <cell r="S460">
            <v>123358.75199999999</v>
          </cell>
          <cell r="T460" t="str">
            <v>Технодорс</v>
          </cell>
        </row>
        <row r="461">
          <cell r="B461" t="str">
            <v>Металлопрокат</v>
          </cell>
          <cell r="K461">
            <v>5.3</v>
          </cell>
          <cell r="N461">
            <v>33536.28</v>
          </cell>
          <cell r="O461" t="str">
            <v>ВМЗ КО</v>
          </cell>
          <cell r="P461">
            <v>5.3</v>
          </cell>
          <cell r="S461">
            <v>37263.24</v>
          </cell>
          <cell r="T461" t="str">
            <v>Технодорс</v>
          </cell>
        </row>
        <row r="462">
          <cell r="B462" t="str">
            <v>Металлопрокат</v>
          </cell>
          <cell r="K462">
            <v>4.7</v>
          </cell>
          <cell r="N462">
            <v>29739.72</v>
          </cell>
          <cell r="O462" t="str">
            <v>ВМЗ КО</v>
          </cell>
          <cell r="P462">
            <v>4.7</v>
          </cell>
          <cell r="S462">
            <v>33044.76</v>
          </cell>
          <cell r="T462" t="str">
            <v>Технодорс</v>
          </cell>
        </row>
        <row r="463">
          <cell r="B463" t="str">
            <v>Металлопрокат</v>
          </cell>
          <cell r="K463">
            <v>10.1</v>
          </cell>
          <cell r="N463">
            <v>60284.88</v>
          </cell>
          <cell r="O463" t="str">
            <v>ВМЗ КО</v>
          </cell>
          <cell r="P463">
            <v>10.1</v>
          </cell>
          <cell r="S463">
            <v>66987.239999999991</v>
          </cell>
          <cell r="T463" t="str">
            <v>Технодорс</v>
          </cell>
        </row>
        <row r="464">
          <cell r="B464" t="str">
            <v>Металлопрокат</v>
          </cell>
          <cell r="K464">
            <v>9.75</v>
          </cell>
          <cell r="N464">
            <v>60524.100000000006</v>
          </cell>
          <cell r="O464" t="str">
            <v>ВМЗ КО</v>
          </cell>
          <cell r="P464">
            <v>9.75</v>
          </cell>
          <cell r="S464">
            <v>67251.600000000006</v>
          </cell>
          <cell r="T464" t="str">
            <v>Технодорс</v>
          </cell>
        </row>
        <row r="465">
          <cell r="B465" t="str">
            <v>Металлопрокат</v>
          </cell>
          <cell r="K465">
            <v>18.45</v>
          </cell>
          <cell r="N465">
            <v>277015.67999999999</v>
          </cell>
          <cell r="O465" t="str">
            <v>ВМЗ КО</v>
          </cell>
          <cell r="P465">
            <v>18.45</v>
          </cell>
          <cell r="S465">
            <v>307790.28000000003</v>
          </cell>
          <cell r="T465" t="str">
            <v>Технодорс</v>
          </cell>
        </row>
        <row r="466">
          <cell r="B466" t="str">
            <v>Металлопрокат</v>
          </cell>
          <cell r="K466">
            <v>10.6</v>
          </cell>
          <cell r="N466">
            <v>64503.119999999995</v>
          </cell>
          <cell r="O466" t="str">
            <v>ВМЗ КО</v>
          </cell>
          <cell r="P466">
            <v>10.6</v>
          </cell>
          <cell r="S466">
            <v>71677.2</v>
          </cell>
          <cell r="T466" t="str">
            <v>Техснаб-ресурс</v>
          </cell>
        </row>
        <row r="467">
          <cell r="B467" t="str">
            <v>Металлопрокат</v>
          </cell>
          <cell r="K467">
            <v>4.5</v>
          </cell>
          <cell r="N467">
            <v>29505.600000000002</v>
          </cell>
          <cell r="O467" t="str">
            <v>ВМЗ КО</v>
          </cell>
          <cell r="P467">
            <v>4.5</v>
          </cell>
          <cell r="S467">
            <v>32805</v>
          </cell>
          <cell r="T467" t="str">
            <v>Техснаб-ресурс</v>
          </cell>
        </row>
        <row r="468">
          <cell r="B468" t="str">
            <v>Металлопрокат</v>
          </cell>
          <cell r="K468">
            <v>5.47</v>
          </cell>
          <cell r="N468">
            <v>35865.695999999996</v>
          </cell>
          <cell r="O468" t="str">
            <v>ВМЗ КО</v>
          </cell>
          <cell r="P468">
            <v>5.47</v>
          </cell>
          <cell r="S468">
            <v>39876.299999999996</v>
          </cell>
          <cell r="T468" t="str">
            <v>Техснаб-ресурс</v>
          </cell>
        </row>
        <row r="469">
          <cell r="B469" t="str">
            <v>Металлопрокат</v>
          </cell>
          <cell r="K469">
            <v>9.1999999999999993</v>
          </cell>
          <cell r="N469">
            <v>61691.519999999997</v>
          </cell>
          <cell r="O469" t="str">
            <v>ВМЗ КО</v>
          </cell>
          <cell r="P469">
            <v>9.1999999999999993</v>
          </cell>
          <cell r="S469">
            <v>68558.399999999994</v>
          </cell>
          <cell r="T469" t="str">
            <v>Техснаб-ресурс</v>
          </cell>
        </row>
        <row r="470">
          <cell r="B470" t="str">
            <v>Металлопрокат</v>
          </cell>
          <cell r="K470">
            <v>5.24</v>
          </cell>
          <cell r="N470">
            <v>34357.632000000005</v>
          </cell>
          <cell r="O470" t="str">
            <v>ВМЗ КО</v>
          </cell>
          <cell r="P470">
            <v>5.24</v>
          </cell>
          <cell r="S470">
            <v>45839.520000000004</v>
          </cell>
          <cell r="T470" t="str">
            <v>Техснаб-ресурс</v>
          </cell>
        </row>
        <row r="471">
          <cell r="B471" t="str">
            <v>Металлопрокат</v>
          </cell>
          <cell r="K471">
            <v>15</v>
          </cell>
          <cell r="N471">
            <v>93672</v>
          </cell>
          <cell r="O471" t="str">
            <v>ВМЗ КО</v>
          </cell>
          <cell r="P471">
            <v>15</v>
          </cell>
          <cell r="S471">
            <v>104130</v>
          </cell>
          <cell r="T471" t="str">
            <v>Техснаб-ресурс</v>
          </cell>
        </row>
        <row r="472">
          <cell r="B472" t="str">
            <v>Металлопрокат</v>
          </cell>
          <cell r="K472">
            <v>8.25</v>
          </cell>
          <cell r="N472">
            <v>54707.4</v>
          </cell>
          <cell r="O472" t="str">
            <v>ВМЗ КО</v>
          </cell>
          <cell r="P472">
            <v>8.25</v>
          </cell>
          <cell r="S472">
            <v>60786</v>
          </cell>
          <cell r="T472" t="str">
            <v>Техснаб-ресурс</v>
          </cell>
        </row>
        <row r="473">
          <cell r="B473" t="str">
            <v>Металлопрокат</v>
          </cell>
          <cell r="K473">
            <v>9.9</v>
          </cell>
          <cell r="N473">
            <v>64377.72</v>
          </cell>
          <cell r="O473" t="str">
            <v>ВМЗ КО</v>
          </cell>
          <cell r="P473">
            <v>9.9</v>
          </cell>
          <cell r="S473">
            <v>71517.600000000006</v>
          </cell>
          <cell r="T473" t="str">
            <v>Техснаб-ресурс</v>
          </cell>
        </row>
        <row r="474">
          <cell r="B474" t="str">
            <v>Металлопрокат</v>
          </cell>
          <cell r="K474">
            <v>9.9499999999999993</v>
          </cell>
          <cell r="N474">
            <v>64702.86</v>
          </cell>
          <cell r="O474" t="str">
            <v>ВМЗ КО</v>
          </cell>
          <cell r="P474">
            <v>9.9499999999999993</v>
          </cell>
          <cell r="S474">
            <v>71878.799999999988</v>
          </cell>
          <cell r="T474" t="str">
            <v>Техснаб-ресурс</v>
          </cell>
        </row>
        <row r="475">
          <cell r="B475" t="str">
            <v>Металлопрокат</v>
          </cell>
          <cell r="K475">
            <v>15.4</v>
          </cell>
          <cell r="N475">
            <v>95356.800000000003</v>
          </cell>
          <cell r="O475" t="str">
            <v>ВМЗ КО</v>
          </cell>
          <cell r="P475">
            <v>15.4</v>
          </cell>
          <cell r="S475">
            <v>105982.8</v>
          </cell>
          <cell r="T475" t="str">
            <v>Техснаб-ресурс</v>
          </cell>
        </row>
        <row r="476">
          <cell r="B476" t="str">
            <v>Металлопрокат</v>
          </cell>
          <cell r="K476">
            <v>21.5</v>
          </cell>
          <cell r="N476">
            <v>133128</v>
          </cell>
          <cell r="O476" t="str">
            <v>ВМЗ КО</v>
          </cell>
          <cell r="P476">
            <v>21.5</v>
          </cell>
          <cell r="S476">
            <v>147963</v>
          </cell>
          <cell r="T476" t="str">
            <v>Техснаб-ресурс</v>
          </cell>
        </row>
        <row r="477">
          <cell r="B477" t="str">
            <v>Металлопрокат</v>
          </cell>
          <cell r="K477">
            <v>10.79</v>
          </cell>
          <cell r="N477">
            <v>66345.551999999996</v>
          </cell>
          <cell r="O477" t="str">
            <v>ВМЗ КО</v>
          </cell>
          <cell r="P477">
            <v>10.79</v>
          </cell>
          <cell r="S477">
            <v>73803.599999999991</v>
          </cell>
          <cell r="T477" t="str">
            <v>Техснаб-ресурс</v>
          </cell>
        </row>
        <row r="478">
          <cell r="B478" t="str">
            <v>Металлопрокат</v>
          </cell>
          <cell r="K478">
            <v>10.56</v>
          </cell>
          <cell r="N478">
            <v>64931.328000000009</v>
          </cell>
          <cell r="O478" t="str">
            <v>ВМЗ КО</v>
          </cell>
          <cell r="P478">
            <v>10.56</v>
          </cell>
          <cell r="S478">
            <v>72230.400000000009</v>
          </cell>
          <cell r="T478" t="str">
            <v>Техснаб-ресурс</v>
          </cell>
        </row>
        <row r="479">
          <cell r="B479" t="str">
            <v>Металлопрокат</v>
          </cell>
          <cell r="K479">
            <v>16.899999999999999</v>
          </cell>
          <cell r="N479">
            <v>121193.27999999998</v>
          </cell>
          <cell r="O479" t="str">
            <v>ВМЗ КО</v>
          </cell>
          <cell r="P479">
            <v>16.899999999999999</v>
          </cell>
          <cell r="S479">
            <v>134659.19999999998</v>
          </cell>
          <cell r="T479" t="str">
            <v>Тинарт</v>
          </cell>
        </row>
        <row r="480">
          <cell r="B480" t="str">
            <v>Металлопрокат</v>
          </cell>
          <cell r="K480">
            <v>8.8000000000000007</v>
          </cell>
          <cell r="N480">
            <v>63106.560000000005</v>
          </cell>
          <cell r="O480" t="str">
            <v>ВМЗ КО</v>
          </cell>
          <cell r="P480">
            <v>8.8000000000000007</v>
          </cell>
          <cell r="S480">
            <v>70118.400000000009</v>
          </cell>
          <cell r="T480" t="str">
            <v>Тинарт</v>
          </cell>
        </row>
        <row r="481">
          <cell r="B481" t="str">
            <v>Металлопрокат</v>
          </cell>
          <cell r="K481">
            <v>9.3000000000000007</v>
          </cell>
          <cell r="N481">
            <v>66714.48000000001</v>
          </cell>
          <cell r="O481" t="str">
            <v>ВМЗ КО</v>
          </cell>
          <cell r="P481">
            <v>9.3000000000000007</v>
          </cell>
          <cell r="S481">
            <v>74102.400000000009</v>
          </cell>
          <cell r="T481" t="str">
            <v>Тинарт</v>
          </cell>
        </row>
        <row r="482">
          <cell r="B482" t="str">
            <v>Металлопрокат</v>
          </cell>
          <cell r="K482">
            <v>3.3</v>
          </cell>
          <cell r="N482">
            <v>23664.959999999999</v>
          </cell>
          <cell r="O482" t="str">
            <v>ВМЗ КО</v>
          </cell>
          <cell r="P482">
            <v>3.3</v>
          </cell>
          <cell r="S482">
            <v>26294.399999999998</v>
          </cell>
          <cell r="T482" t="str">
            <v>Тинарт</v>
          </cell>
        </row>
        <row r="483">
          <cell r="B483" t="str">
            <v>Металлопрокат</v>
          </cell>
          <cell r="K483">
            <v>26.4</v>
          </cell>
          <cell r="N483">
            <v>188020.8</v>
          </cell>
          <cell r="O483" t="str">
            <v>ВМЗ КО</v>
          </cell>
          <cell r="P483">
            <v>26.4</v>
          </cell>
          <cell r="S483">
            <v>209088</v>
          </cell>
          <cell r="T483" t="str">
            <v>Тинарт</v>
          </cell>
        </row>
        <row r="484">
          <cell r="B484" t="str">
            <v>Металлопрокат</v>
          </cell>
          <cell r="K484">
            <v>7</v>
          </cell>
          <cell r="N484">
            <v>61580.400000000009</v>
          </cell>
          <cell r="O484" t="str">
            <v>ВМЗ КО</v>
          </cell>
          <cell r="P484">
            <v>7</v>
          </cell>
          <cell r="S484">
            <v>94080</v>
          </cell>
          <cell r="T484" t="str">
            <v>Тмилостройсервис</v>
          </cell>
        </row>
        <row r="485">
          <cell r="B485" t="str">
            <v>Металлопрокат</v>
          </cell>
          <cell r="K485">
            <v>12.57</v>
          </cell>
          <cell r="N485">
            <v>110580.80400000002</v>
          </cell>
          <cell r="O485" t="str">
            <v>ВМЗ КО</v>
          </cell>
          <cell r="P485">
            <v>12.57</v>
          </cell>
          <cell r="S485">
            <v>153856.80000000002</v>
          </cell>
          <cell r="T485" t="str">
            <v>Тмилостройсервис</v>
          </cell>
        </row>
        <row r="486">
          <cell r="B486" t="str">
            <v>Металлопрокат</v>
          </cell>
          <cell r="K486">
            <v>37.04</v>
          </cell>
          <cell r="N486">
            <v>325848.288</v>
          </cell>
          <cell r="O486" t="str">
            <v>ВМЗ КО</v>
          </cell>
          <cell r="P486">
            <v>37.04</v>
          </cell>
          <cell r="S486">
            <v>453369.59999999998</v>
          </cell>
          <cell r="T486" t="str">
            <v>Тмилостройсервис</v>
          </cell>
        </row>
        <row r="487">
          <cell r="B487" t="str">
            <v>Металлопрокат</v>
          </cell>
          <cell r="K487">
            <v>8.3000000000000007</v>
          </cell>
          <cell r="N487">
            <v>110346.84</v>
          </cell>
          <cell r="O487" t="str">
            <v>ВМЗ КО</v>
          </cell>
          <cell r="P487">
            <v>8.3000000000000007</v>
          </cell>
          <cell r="S487">
            <v>122607.6</v>
          </cell>
          <cell r="T487" t="str">
            <v>Тмилостройсервис</v>
          </cell>
        </row>
        <row r="488">
          <cell r="B488" t="str">
            <v>Металлопрокат</v>
          </cell>
          <cell r="K488">
            <v>5</v>
          </cell>
          <cell r="N488">
            <v>41586</v>
          </cell>
          <cell r="O488" t="str">
            <v>ВМЗ КО</v>
          </cell>
          <cell r="P488">
            <v>5</v>
          </cell>
          <cell r="S488">
            <v>46620</v>
          </cell>
          <cell r="T488" t="str">
            <v>Торговля и Сервис</v>
          </cell>
        </row>
        <row r="489">
          <cell r="B489" t="str">
            <v>Металлопрокат</v>
          </cell>
          <cell r="K489">
            <v>20</v>
          </cell>
          <cell r="N489">
            <v>139632</v>
          </cell>
          <cell r="O489" t="str">
            <v>ВМЗ КО</v>
          </cell>
          <cell r="P489">
            <v>20</v>
          </cell>
          <cell r="S489">
            <v>162000</v>
          </cell>
          <cell r="T489" t="str">
            <v>Торговый дом нефтепромыслового оборудования</v>
          </cell>
        </row>
        <row r="490">
          <cell r="B490" t="str">
            <v>Металлопрокат</v>
          </cell>
          <cell r="K490">
            <v>20</v>
          </cell>
          <cell r="N490">
            <v>139632</v>
          </cell>
          <cell r="O490" t="str">
            <v>ВМЗ КО</v>
          </cell>
          <cell r="P490">
            <v>20</v>
          </cell>
          <cell r="S490">
            <v>162000</v>
          </cell>
          <cell r="T490" t="str">
            <v>Торговый дом нефтепромыслового оборудования</v>
          </cell>
        </row>
        <row r="491">
          <cell r="B491" t="str">
            <v>Металлопрокат</v>
          </cell>
          <cell r="K491">
            <v>4</v>
          </cell>
          <cell r="N491">
            <v>27926.400000000001</v>
          </cell>
          <cell r="O491" t="str">
            <v>ВМЗ КО</v>
          </cell>
          <cell r="P491">
            <v>4</v>
          </cell>
          <cell r="S491">
            <v>32400</v>
          </cell>
          <cell r="T491" t="str">
            <v>Торговый дом нефтепромыслового оборудования</v>
          </cell>
        </row>
        <row r="492">
          <cell r="B492" t="str">
            <v>Металлопрокат</v>
          </cell>
          <cell r="K492">
            <v>30</v>
          </cell>
          <cell r="N492">
            <v>209448</v>
          </cell>
          <cell r="O492" t="str">
            <v>ВМЗ КО</v>
          </cell>
          <cell r="P492">
            <v>30</v>
          </cell>
          <cell r="S492">
            <v>243000</v>
          </cell>
          <cell r="T492" t="str">
            <v>Торговый дом нефтепромыслового оборудования</v>
          </cell>
        </row>
        <row r="493">
          <cell r="B493" t="str">
            <v>Металлопрокат</v>
          </cell>
          <cell r="K493">
            <v>35</v>
          </cell>
          <cell r="N493">
            <v>244356</v>
          </cell>
          <cell r="O493" t="str">
            <v>ВМЗ КО</v>
          </cell>
          <cell r="P493">
            <v>35</v>
          </cell>
          <cell r="S493">
            <v>283500</v>
          </cell>
          <cell r="T493" t="str">
            <v>Торговый дом нефтепромыслового оборудования</v>
          </cell>
        </row>
        <row r="494">
          <cell r="B494" t="str">
            <v>Металлопрокат</v>
          </cell>
          <cell r="K494">
            <v>15</v>
          </cell>
          <cell r="N494">
            <v>96174</v>
          </cell>
          <cell r="O494" t="str">
            <v>ВМЗ КО</v>
          </cell>
          <cell r="P494">
            <v>15</v>
          </cell>
          <cell r="S494">
            <v>121500</v>
          </cell>
          <cell r="T494" t="str">
            <v>Торговый дом нефтепромыслового оборудования</v>
          </cell>
        </row>
        <row r="495">
          <cell r="B495" t="str">
            <v>Металлопрокат</v>
          </cell>
          <cell r="K495">
            <v>10</v>
          </cell>
          <cell r="N495">
            <v>64116</v>
          </cell>
          <cell r="O495" t="str">
            <v>ВМЗ КО</v>
          </cell>
          <cell r="P495">
            <v>10</v>
          </cell>
          <cell r="S495">
            <v>81000</v>
          </cell>
          <cell r="T495" t="str">
            <v>Торговый дом нефтепромыслового оборудования</v>
          </cell>
        </row>
        <row r="496">
          <cell r="B496" t="str">
            <v>Металлопрокат</v>
          </cell>
          <cell r="K496">
            <v>33</v>
          </cell>
          <cell r="N496">
            <v>208494</v>
          </cell>
          <cell r="O496" t="str">
            <v>ВМЗ КО</v>
          </cell>
          <cell r="P496">
            <v>33</v>
          </cell>
          <cell r="S496">
            <v>220077</v>
          </cell>
          <cell r="T496" t="str">
            <v>ТрейдАгент</v>
          </cell>
        </row>
        <row r="497">
          <cell r="B497" t="str">
            <v>Металлопрокат</v>
          </cell>
          <cell r="K497">
            <v>33</v>
          </cell>
          <cell r="N497">
            <v>207068.4</v>
          </cell>
          <cell r="O497" t="str">
            <v>ВМЗ КО</v>
          </cell>
          <cell r="P497">
            <v>33</v>
          </cell>
          <cell r="S497">
            <v>218536.56</v>
          </cell>
          <cell r="T497" t="str">
            <v>ТрейдАгент</v>
          </cell>
        </row>
        <row r="498">
          <cell r="B498" t="str">
            <v>Металлопрокат</v>
          </cell>
          <cell r="K498">
            <v>33</v>
          </cell>
          <cell r="N498">
            <v>207068.4</v>
          </cell>
          <cell r="O498" t="str">
            <v>ВМЗ КО</v>
          </cell>
          <cell r="P498">
            <v>33</v>
          </cell>
          <cell r="S498">
            <v>218536.56</v>
          </cell>
          <cell r="T498" t="str">
            <v>ТрейдАгент</v>
          </cell>
        </row>
        <row r="499">
          <cell r="B499" t="str">
            <v>Металлопрокат</v>
          </cell>
          <cell r="K499">
            <v>33</v>
          </cell>
          <cell r="N499">
            <v>206434.80000000002</v>
          </cell>
          <cell r="O499" t="str">
            <v>ВМЗ КО</v>
          </cell>
          <cell r="P499">
            <v>33</v>
          </cell>
          <cell r="S499">
            <v>217895.04000000001</v>
          </cell>
          <cell r="T499" t="str">
            <v>ТрейдАгент</v>
          </cell>
        </row>
        <row r="500">
          <cell r="B500" t="str">
            <v>Металлопрокат</v>
          </cell>
          <cell r="K500">
            <v>8</v>
          </cell>
          <cell r="N500">
            <v>57456</v>
          </cell>
          <cell r="O500" t="str">
            <v>ВМЗ КО</v>
          </cell>
          <cell r="P500">
            <v>8</v>
          </cell>
          <cell r="S500">
            <v>62880</v>
          </cell>
          <cell r="T500" t="str">
            <v>Трио-сервис</v>
          </cell>
        </row>
        <row r="501">
          <cell r="B501" t="str">
            <v>Металлопрокат</v>
          </cell>
          <cell r="K501">
            <v>3.74</v>
          </cell>
          <cell r="N501">
            <v>26165.040000000001</v>
          </cell>
          <cell r="O501" t="str">
            <v>ВМЗ КО</v>
          </cell>
          <cell r="P501">
            <v>3.74</v>
          </cell>
          <cell r="S501">
            <v>28637.928</v>
          </cell>
          <cell r="T501" t="str">
            <v>Трио-Сервис</v>
          </cell>
        </row>
        <row r="502">
          <cell r="B502" t="str">
            <v>Металлопрокат</v>
          </cell>
          <cell r="K502">
            <v>3.52</v>
          </cell>
          <cell r="N502">
            <v>36778.368000000002</v>
          </cell>
          <cell r="O502" t="str">
            <v>ВМЗ КО</v>
          </cell>
          <cell r="P502">
            <v>3.52</v>
          </cell>
          <cell r="S502">
            <v>40254.720000000001</v>
          </cell>
          <cell r="T502" t="str">
            <v>Трио-Сервис</v>
          </cell>
        </row>
        <row r="503">
          <cell r="B503" t="str">
            <v>Металлопрокат</v>
          </cell>
          <cell r="K503">
            <v>18.7</v>
          </cell>
          <cell r="N503">
            <v>130668.12</v>
          </cell>
          <cell r="O503" t="str">
            <v>ВМЗ КО</v>
          </cell>
          <cell r="P503">
            <v>18.7</v>
          </cell>
          <cell r="S503">
            <v>143010.12</v>
          </cell>
          <cell r="T503" t="str">
            <v>Трио-Сервис</v>
          </cell>
        </row>
        <row r="504">
          <cell r="B504" t="str">
            <v>Металлопрокат</v>
          </cell>
          <cell r="K504">
            <v>22.2</v>
          </cell>
          <cell r="N504">
            <v>163329.84</v>
          </cell>
          <cell r="O504" t="str">
            <v>ВМЗ КО</v>
          </cell>
          <cell r="P504">
            <v>22.2</v>
          </cell>
          <cell r="S504">
            <v>178781.03999999998</v>
          </cell>
          <cell r="T504" t="str">
            <v>Трио-Сервис</v>
          </cell>
        </row>
        <row r="505">
          <cell r="B505" t="str">
            <v>Металлопрокат</v>
          </cell>
          <cell r="K505">
            <v>10</v>
          </cell>
          <cell r="N505">
            <v>65424</v>
          </cell>
          <cell r="O505" t="str">
            <v>ВМЗ КО</v>
          </cell>
          <cell r="P505">
            <v>10</v>
          </cell>
          <cell r="S505">
            <v>71640</v>
          </cell>
          <cell r="T505" t="str">
            <v>Трио-Сервис</v>
          </cell>
        </row>
        <row r="506">
          <cell r="B506" t="str">
            <v>Металлопрокат</v>
          </cell>
          <cell r="K506">
            <v>5</v>
          </cell>
          <cell r="N506">
            <v>75588</v>
          </cell>
          <cell r="O506" t="str">
            <v>ВМЗ КО</v>
          </cell>
          <cell r="P506">
            <v>5</v>
          </cell>
          <cell r="S506">
            <v>82728</v>
          </cell>
          <cell r="T506" t="str">
            <v>Трио-сервис</v>
          </cell>
        </row>
        <row r="507">
          <cell r="B507" t="str">
            <v>Металлопрокат</v>
          </cell>
          <cell r="K507">
            <v>10</v>
          </cell>
          <cell r="N507">
            <v>150192</v>
          </cell>
          <cell r="O507" t="str">
            <v>ВМЗ КО</v>
          </cell>
          <cell r="P507">
            <v>10</v>
          </cell>
          <cell r="S507">
            <v>164376</v>
          </cell>
          <cell r="T507" t="str">
            <v>Трио-сервис</v>
          </cell>
        </row>
        <row r="508">
          <cell r="B508" t="str">
            <v>Металлопрокат</v>
          </cell>
          <cell r="K508">
            <v>5</v>
          </cell>
          <cell r="N508">
            <v>73626</v>
          </cell>
          <cell r="O508" t="str">
            <v>ВМЗ КО</v>
          </cell>
          <cell r="P508">
            <v>5</v>
          </cell>
          <cell r="S508">
            <v>80580</v>
          </cell>
          <cell r="T508" t="str">
            <v>Трио-сервис</v>
          </cell>
        </row>
        <row r="509">
          <cell r="B509" t="str">
            <v>Металлопрокат</v>
          </cell>
          <cell r="K509">
            <v>20</v>
          </cell>
          <cell r="N509">
            <v>137160</v>
          </cell>
          <cell r="O509" t="str">
            <v>ВМЗ КО</v>
          </cell>
          <cell r="P509">
            <v>20</v>
          </cell>
          <cell r="S509">
            <v>152400</v>
          </cell>
          <cell r="T509" t="str">
            <v>Триумф</v>
          </cell>
        </row>
        <row r="510">
          <cell r="B510" t="str">
            <v>Металлопрокат</v>
          </cell>
          <cell r="K510">
            <v>20</v>
          </cell>
          <cell r="N510">
            <v>143040</v>
          </cell>
          <cell r="O510" t="str">
            <v>ВМЗ КО</v>
          </cell>
          <cell r="P510">
            <v>20</v>
          </cell>
          <cell r="S510">
            <v>159120</v>
          </cell>
          <cell r="T510" t="str">
            <v>Триумф</v>
          </cell>
        </row>
        <row r="511">
          <cell r="B511" t="str">
            <v>Металлопрокат</v>
          </cell>
          <cell r="K511">
            <v>15</v>
          </cell>
          <cell r="N511">
            <v>107280</v>
          </cell>
          <cell r="O511" t="str">
            <v>ВМЗ КО</v>
          </cell>
          <cell r="P511">
            <v>15</v>
          </cell>
          <cell r="S511">
            <v>119340</v>
          </cell>
          <cell r="T511" t="str">
            <v>Триумф</v>
          </cell>
        </row>
        <row r="512">
          <cell r="B512" t="str">
            <v>Металлопрокат</v>
          </cell>
          <cell r="K512">
            <v>35</v>
          </cell>
          <cell r="N512">
            <v>250320</v>
          </cell>
          <cell r="O512" t="str">
            <v>ВМЗ КО</v>
          </cell>
          <cell r="P512">
            <v>35</v>
          </cell>
          <cell r="S512">
            <v>278460</v>
          </cell>
          <cell r="T512" t="str">
            <v>Триумф</v>
          </cell>
        </row>
        <row r="513">
          <cell r="B513" t="str">
            <v>Металлопрокат</v>
          </cell>
          <cell r="K513">
            <v>65</v>
          </cell>
          <cell r="N513">
            <v>442728</v>
          </cell>
          <cell r="O513" t="str">
            <v>ВМЗ КО</v>
          </cell>
          <cell r="P513">
            <v>65</v>
          </cell>
          <cell r="S513">
            <v>492180</v>
          </cell>
          <cell r="T513" t="str">
            <v>Триумф</v>
          </cell>
        </row>
        <row r="514">
          <cell r="B514" t="str">
            <v>Металлопрокат</v>
          </cell>
          <cell r="K514">
            <v>4.07</v>
          </cell>
          <cell r="N514">
            <v>28590.936000000002</v>
          </cell>
          <cell r="O514" t="str">
            <v>ВМЗ КО</v>
          </cell>
          <cell r="P514">
            <v>4.07</v>
          </cell>
          <cell r="S514">
            <v>31765.536000000004</v>
          </cell>
          <cell r="T514" t="str">
            <v>Универ-Стиль</v>
          </cell>
        </row>
        <row r="515">
          <cell r="B515" t="str">
            <v>Металлопрокат</v>
          </cell>
          <cell r="K515">
            <v>4.62</v>
          </cell>
          <cell r="N515">
            <v>29438.639999999999</v>
          </cell>
          <cell r="O515" t="str">
            <v>ВМЗ КО</v>
          </cell>
          <cell r="P515">
            <v>4.62</v>
          </cell>
          <cell r="S515">
            <v>32709.600000000002</v>
          </cell>
          <cell r="T515" t="str">
            <v>Универ-Стиль</v>
          </cell>
        </row>
        <row r="516">
          <cell r="B516" t="str">
            <v>Металлопрокат</v>
          </cell>
          <cell r="K516">
            <v>4.9000000000000004</v>
          </cell>
          <cell r="N516">
            <v>31222.800000000003</v>
          </cell>
          <cell r="O516" t="str">
            <v>ВМЗ КО</v>
          </cell>
          <cell r="P516">
            <v>4.9000000000000004</v>
          </cell>
          <cell r="S516">
            <v>34692</v>
          </cell>
          <cell r="T516" t="str">
            <v>Универ-Стиль</v>
          </cell>
        </row>
        <row r="517">
          <cell r="B517" t="str">
            <v>Металлопрокат</v>
          </cell>
          <cell r="K517">
            <v>6</v>
          </cell>
          <cell r="N517">
            <v>242625.59999999998</v>
          </cell>
          <cell r="O517" t="str">
            <v>ВМЗ КО</v>
          </cell>
          <cell r="P517">
            <v>6</v>
          </cell>
          <cell r="S517">
            <v>291168</v>
          </cell>
          <cell r="T517" t="str">
            <v>Уралэлектротяжмаш</v>
          </cell>
        </row>
        <row r="518">
          <cell r="B518" t="str">
            <v>Металлопрокат</v>
          </cell>
          <cell r="K518">
            <v>6</v>
          </cell>
          <cell r="N518">
            <v>240379.19999999998</v>
          </cell>
          <cell r="O518" t="str">
            <v>ВМЗ КО</v>
          </cell>
          <cell r="P518">
            <v>6</v>
          </cell>
          <cell r="S518">
            <v>291168</v>
          </cell>
          <cell r="T518" t="str">
            <v>Уралэлектротяжмаш</v>
          </cell>
        </row>
        <row r="519">
          <cell r="B519" t="str">
            <v>Металлопрокат</v>
          </cell>
          <cell r="K519">
            <v>6</v>
          </cell>
          <cell r="N519">
            <v>224654.40000000002</v>
          </cell>
          <cell r="O519" t="str">
            <v>ВМЗ КО</v>
          </cell>
          <cell r="P519">
            <v>6</v>
          </cell>
          <cell r="S519">
            <v>291168</v>
          </cell>
          <cell r="T519" t="str">
            <v>Уралэлектротяжмаш</v>
          </cell>
        </row>
        <row r="520">
          <cell r="B520" t="str">
            <v>Металлопрокат</v>
          </cell>
          <cell r="K520">
            <v>30</v>
          </cell>
          <cell r="N520">
            <v>211716</v>
          </cell>
          <cell r="O520" t="str">
            <v>ВМЗ КО</v>
          </cell>
          <cell r="P520">
            <v>30</v>
          </cell>
          <cell r="S520">
            <v>240480</v>
          </cell>
          <cell r="T520" t="str">
            <v>Центрстальторг</v>
          </cell>
        </row>
        <row r="521">
          <cell r="B521" t="str">
            <v>Металлопрокат</v>
          </cell>
          <cell r="K521">
            <v>30</v>
          </cell>
          <cell r="N521">
            <v>211716</v>
          </cell>
          <cell r="O521" t="str">
            <v>ВМЗ КО</v>
          </cell>
          <cell r="P521">
            <v>30</v>
          </cell>
          <cell r="S521">
            <v>240480</v>
          </cell>
          <cell r="T521" t="str">
            <v>Центрстальторг</v>
          </cell>
        </row>
        <row r="522">
          <cell r="B522" t="str">
            <v>Металлопрокат</v>
          </cell>
          <cell r="K522">
            <v>30</v>
          </cell>
          <cell r="N522">
            <v>206208</v>
          </cell>
          <cell r="O522" t="str">
            <v>ВМЗ КО</v>
          </cell>
          <cell r="P522">
            <v>30</v>
          </cell>
          <cell r="S522">
            <v>234000</v>
          </cell>
          <cell r="T522" t="str">
            <v>Центрстальторг</v>
          </cell>
        </row>
        <row r="523">
          <cell r="B523" t="str">
            <v>Металлопрокат</v>
          </cell>
          <cell r="K523">
            <v>30</v>
          </cell>
          <cell r="N523">
            <v>206208</v>
          </cell>
          <cell r="O523" t="str">
            <v>ВМЗ КО</v>
          </cell>
          <cell r="P523">
            <v>30</v>
          </cell>
          <cell r="S523">
            <v>234000</v>
          </cell>
          <cell r="T523" t="str">
            <v>Центрстальторг</v>
          </cell>
        </row>
        <row r="524">
          <cell r="B524" t="str">
            <v>Металлопрокат</v>
          </cell>
          <cell r="K524">
            <v>30</v>
          </cell>
          <cell r="N524">
            <v>196380</v>
          </cell>
          <cell r="O524" t="str">
            <v>ВМЗ КО</v>
          </cell>
          <cell r="P524">
            <v>30</v>
          </cell>
          <cell r="S524">
            <v>222840</v>
          </cell>
          <cell r="T524" t="str">
            <v>Центрстальторг</v>
          </cell>
        </row>
        <row r="525">
          <cell r="B525" t="str">
            <v>Металлопрокат</v>
          </cell>
          <cell r="K525">
            <v>30</v>
          </cell>
          <cell r="N525">
            <v>195012</v>
          </cell>
          <cell r="O525" t="str">
            <v>ВМЗ КО</v>
          </cell>
          <cell r="P525">
            <v>30</v>
          </cell>
          <cell r="S525">
            <v>221400</v>
          </cell>
          <cell r="T525" t="str">
            <v>Центрстальторг</v>
          </cell>
        </row>
        <row r="526">
          <cell r="B526" t="str">
            <v>Металлопрокат</v>
          </cell>
          <cell r="K526">
            <v>30</v>
          </cell>
          <cell r="N526">
            <v>195012</v>
          </cell>
          <cell r="O526" t="str">
            <v>ВМЗ КО</v>
          </cell>
          <cell r="P526">
            <v>30</v>
          </cell>
          <cell r="S526">
            <v>221400</v>
          </cell>
          <cell r="T526" t="str">
            <v>Центрстальторг</v>
          </cell>
        </row>
        <row r="527">
          <cell r="B527" t="str">
            <v>Металлопрокат</v>
          </cell>
          <cell r="K527">
            <v>20</v>
          </cell>
          <cell r="N527">
            <v>132336</v>
          </cell>
          <cell r="O527" t="str">
            <v>ВМЗ КО</v>
          </cell>
          <cell r="P527">
            <v>20</v>
          </cell>
          <cell r="S527">
            <v>147120</v>
          </cell>
          <cell r="T527" t="str">
            <v>Центрстальторг</v>
          </cell>
        </row>
        <row r="528">
          <cell r="B528" t="str">
            <v>Металлопрокат</v>
          </cell>
          <cell r="K528">
            <v>30</v>
          </cell>
          <cell r="N528">
            <v>194400</v>
          </cell>
          <cell r="O528" t="str">
            <v>ВМЗ КО</v>
          </cell>
          <cell r="P528">
            <v>30</v>
          </cell>
          <cell r="S528">
            <v>220680</v>
          </cell>
          <cell r="T528" t="str">
            <v>Центрстальторг</v>
          </cell>
        </row>
        <row r="529">
          <cell r="B529" t="str">
            <v>Металлопрокат</v>
          </cell>
          <cell r="K529">
            <v>30</v>
          </cell>
          <cell r="N529">
            <v>192852</v>
          </cell>
          <cell r="O529" t="str">
            <v>ВМЗ КО</v>
          </cell>
          <cell r="P529">
            <v>30</v>
          </cell>
          <cell r="S529">
            <v>218880</v>
          </cell>
          <cell r="T529" t="str">
            <v>Центрстальторг</v>
          </cell>
        </row>
        <row r="530">
          <cell r="B530" t="str">
            <v>Металлопрокат</v>
          </cell>
          <cell r="K530">
            <v>30</v>
          </cell>
          <cell r="N530">
            <v>183852</v>
          </cell>
          <cell r="O530" t="str">
            <v>ВМЗ КО</v>
          </cell>
          <cell r="P530">
            <v>30</v>
          </cell>
          <cell r="S530">
            <v>204480</v>
          </cell>
          <cell r="T530" t="str">
            <v>Центрстальторг</v>
          </cell>
        </row>
        <row r="531">
          <cell r="B531" t="str">
            <v>Металлопрокат</v>
          </cell>
          <cell r="K531">
            <v>30</v>
          </cell>
          <cell r="N531">
            <v>178812</v>
          </cell>
          <cell r="O531" t="str">
            <v>ВМЗ КО</v>
          </cell>
          <cell r="P531">
            <v>30</v>
          </cell>
          <cell r="S531">
            <v>203040</v>
          </cell>
          <cell r="T531" t="str">
            <v>Центрстальторг</v>
          </cell>
        </row>
        <row r="532">
          <cell r="B532" t="str">
            <v>Металлопрокат</v>
          </cell>
          <cell r="K532">
            <v>30</v>
          </cell>
          <cell r="N532">
            <v>210708</v>
          </cell>
          <cell r="O532" t="str">
            <v>ВМЗ КО</v>
          </cell>
          <cell r="P532">
            <v>30</v>
          </cell>
          <cell r="S532">
            <v>239040</v>
          </cell>
          <cell r="T532" t="str">
            <v>Центрстальторг</v>
          </cell>
        </row>
        <row r="533">
          <cell r="B533" t="str">
            <v>Металлопрокат</v>
          </cell>
          <cell r="K533">
            <v>32.409999999999997</v>
          </cell>
          <cell r="N533">
            <v>230901.80399999997</v>
          </cell>
          <cell r="O533" t="str">
            <v>ВМЗ КО</v>
          </cell>
          <cell r="P533">
            <v>32.409999999999997</v>
          </cell>
          <cell r="S533">
            <v>256687.19999999998</v>
          </cell>
          <cell r="T533" t="str">
            <v>Центрстальторг</v>
          </cell>
        </row>
        <row r="534">
          <cell r="B534" t="str">
            <v>Металлопрокат</v>
          </cell>
          <cell r="K534">
            <v>28</v>
          </cell>
          <cell r="N534">
            <v>195585.6</v>
          </cell>
          <cell r="O534" t="str">
            <v>ВМЗ КО</v>
          </cell>
          <cell r="P534">
            <v>28</v>
          </cell>
          <cell r="S534">
            <v>217392</v>
          </cell>
          <cell r="T534" t="str">
            <v>Центрстальторг</v>
          </cell>
        </row>
        <row r="535">
          <cell r="B535" t="str">
            <v>Металлопрокат</v>
          </cell>
          <cell r="K535">
            <v>20.6</v>
          </cell>
          <cell r="N535">
            <v>137047.68000000002</v>
          </cell>
          <cell r="O535" t="str">
            <v>ВМЗ КО</v>
          </cell>
          <cell r="P535">
            <v>20.6</v>
          </cell>
          <cell r="S535">
            <v>152275.20000000001</v>
          </cell>
          <cell r="T535" t="str">
            <v>Центрстальторг</v>
          </cell>
        </row>
        <row r="536">
          <cell r="B536" t="str">
            <v>Металлопрокат</v>
          </cell>
          <cell r="K536">
            <v>30</v>
          </cell>
          <cell r="N536">
            <v>195444</v>
          </cell>
          <cell r="O536" t="str">
            <v>ВМЗ КО</v>
          </cell>
          <cell r="P536">
            <v>30</v>
          </cell>
          <cell r="S536">
            <v>221760</v>
          </cell>
          <cell r="T536" t="str">
            <v>Центрстальторг</v>
          </cell>
        </row>
        <row r="537">
          <cell r="B537" t="str">
            <v>Металлопрокат</v>
          </cell>
          <cell r="K537">
            <v>30</v>
          </cell>
          <cell r="N537">
            <v>195444</v>
          </cell>
          <cell r="O537" t="str">
            <v>ВМЗ КО</v>
          </cell>
          <cell r="P537">
            <v>30</v>
          </cell>
          <cell r="S537">
            <v>221760</v>
          </cell>
          <cell r="T537" t="str">
            <v>Центрстальторг</v>
          </cell>
        </row>
        <row r="538">
          <cell r="B538" t="str">
            <v>Металлопрокат</v>
          </cell>
          <cell r="K538">
            <v>30</v>
          </cell>
          <cell r="N538">
            <v>195444</v>
          </cell>
          <cell r="O538" t="str">
            <v>ВМЗ КО</v>
          </cell>
          <cell r="P538">
            <v>30</v>
          </cell>
          <cell r="S538">
            <v>221760</v>
          </cell>
          <cell r="T538" t="str">
            <v>Центрстальторг</v>
          </cell>
        </row>
        <row r="539">
          <cell r="B539" t="str">
            <v>Металлопрокат</v>
          </cell>
          <cell r="K539">
            <v>30</v>
          </cell>
          <cell r="N539">
            <v>194112</v>
          </cell>
          <cell r="O539" t="str">
            <v>ВМЗ КО</v>
          </cell>
          <cell r="P539">
            <v>30</v>
          </cell>
          <cell r="S539">
            <v>220320</v>
          </cell>
          <cell r="T539" t="str">
            <v>Центрстальторг</v>
          </cell>
        </row>
        <row r="540">
          <cell r="B540" t="str">
            <v>Металлопрокат</v>
          </cell>
          <cell r="K540">
            <v>30</v>
          </cell>
          <cell r="N540">
            <v>194112</v>
          </cell>
          <cell r="O540" t="str">
            <v>ВМЗ КО</v>
          </cell>
          <cell r="P540">
            <v>30</v>
          </cell>
          <cell r="S540">
            <v>220320</v>
          </cell>
          <cell r="T540" t="str">
            <v>Центрстальторг</v>
          </cell>
        </row>
        <row r="541">
          <cell r="B541" t="str">
            <v>Металлопрокат</v>
          </cell>
          <cell r="K541">
            <v>9.81</v>
          </cell>
          <cell r="N541">
            <v>81744.767999999996</v>
          </cell>
          <cell r="O541" t="str">
            <v>ВМЗ КО</v>
          </cell>
          <cell r="P541">
            <v>9.81</v>
          </cell>
          <cell r="S541">
            <v>90879.840000000011</v>
          </cell>
          <cell r="T541" t="str">
            <v>Центрстальторг</v>
          </cell>
        </row>
        <row r="542">
          <cell r="B542" t="str">
            <v>Металлопрокат</v>
          </cell>
          <cell r="K542">
            <v>30</v>
          </cell>
          <cell r="N542">
            <v>194112</v>
          </cell>
          <cell r="O542" t="str">
            <v>ВМЗ КО</v>
          </cell>
          <cell r="P542">
            <v>30</v>
          </cell>
          <cell r="S542">
            <v>220320</v>
          </cell>
          <cell r="T542" t="str">
            <v>Центрстальторг</v>
          </cell>
        </row>
        <row r="543">
          <cell r="B543" t="str">
            <v>Металлопрокат</v>
          </cell>
          <cell r="K543">
            <v>30</v>
          </cell>
          <cell r="N543">
            <v>192852</v>
          </cell>
          <cell r="O543" t="str">
            <v>ВМЗ КО</v>
          </cell>
          <cell r="P543">
            <v>30</v>
          </cell>
          <cell r="S543">
            <v>218880</v>
          </cell>
          <cell r="T543" t="str">
            <v>Центрстальторг</v>
          </cell>
        </row>
        <row r="544">
          <cell r="B544" t="str">
            <v>Металлопрокат</v>
          </cell>
          <cell r="K544">
            <v>30</v>
          </cell>
          <cell r="N544">
            <v>189072</v>
          </cell>
          <cell r="O544" t="str">
            <v>ВМЗ КО</v>
          </cell>
          <cell r="P544">
            <v>30</v>
          </cell>
          <cell r="S544">
            <v>214560</v>
          </cell>
          <cell r="T544" t="str">
            <v>Центрстальторг</v>
          </cell>
        </row>
        <row r="545">
          <cell r="B545" t="str">
            <v>Металлопрокат</v>
          </cell>
          <cell r="K545">
            <v>27.74</v>
          </cell>
          <cell r="N545">
            <v>178523.54399999999</v>
          </cell>
          <cell r="O545" t="str">
            <v>ВМЗ КО</v>
          </cell>
          <cell r="P545">
            <v>27.74</v>
          </cell>
          <cell r="S545">
            <v>198396.47999999998</v>
          </cell>
          <cell r="T545" t="str">
            <v>Центрстальторг</v>
          </cell>
        </row>
        <row r="546">
          <cell r="B546" t="str">
            <v>Металлопрокат</v>
          </cell>
          <cell r="K546">
            <v>24.38</v>
          </cell>
          <cell r="N546">
            <v>156899.92800000001</v>
          </cell>
          <cell r="O546" t="str">
            <v>ВМЗ КО</v>
          </cell>
          <cell r="P546">
            <v>24.38</v>
          </cell>
          <cell r="S546">
            <v>174365.75999999998</v>
          </cell>
          <cell r="T546" t="str">
            <v>Центрстальторг</v>
          </cell>
        </row>
        <row r="547">
          <cell r="B547" t="str">
            <v>Металлопрокат</v>
          </cell>
          <cell r="K547">
            <v>30</v>
          </cell>
          <cell r="N547">
            <v>180072</v>
          </cell>
          <cell r="O547" t="str">
            <v>ВМЗ КО</v>
          </cell>
          <cell r="P547">
            <v>30</v>
          </cell>
          <cell r="S547">
            <v>204480</v>
          </cell>
          <cell r="T547" t="str">
            <v>Центрстальторг</v>
          </cell>
        </row>
        <row r="548">
          <cell r="B548" t="str">
            <v>Металлопрокат</v>
          </cell>
          <cell r="K548">
            <v>30</v>
          </cell>
          <cell r="N548">
            <v>180072</v>
          </cell>
          <cell r="O548" t="str">
            <v>ВМЗ КО</v>
          </cell>
          <cell r="P548">
            <v>30</v>
          </cell>
          <cell r="S548">
            <v>204480</v>
          </cell>
          <cell r="T548" t="str">
            <v>Центрстальторг</v>
          </cell>
        </row>
        <row r="549">
          <cell r="B549" t="str">
            <v>Металлопрокат</v>
          </cell>
          <cell r="K549">
            <v>30</v>
          </cell>
          <cell r="N549">
            <v>180072</v>
          </cell>
          <cell r="O549" t="str">
            <v>ВМЗ КО</v>
          </cell>
          <cell r="P549">
            <v>30</v>
          </cell>
          <cell r="S549">
            <v>204480</v>
          </cell>
          <cell r="T549" t="str">
            <v>Центрстальторг</v>
          </cell>
        </row>
        <row r="550">
          <cell r="B550" t="str">
            <v>Металлопрокат</v>
          </cell>
          <cell r="K550">
            <v>30</v>
          </cell>
          <cell r="N550">
            <v>180072</v>
          </cell>
          <cell r="O550" t="str">
            <v>ВМЗ КО</v>
          </cell>
          <cell r="P550">
            <v>30</v>
          </cell>
          <cell r="S550">
            <v>204480</v>
          </cell>
          <cell r="T550" t="str">
            <v>Центрстальторг</v>
          </cell>
        </row>
        <row r="551">
          <cell r="B551" t="str">
            <v>Металлопрокат</v>
          </cell>
          <cell r="K551">
            <v>30</v>
          </cell>
          <cell r="N551">
            <v>180072</v>
          </cell>
          <cell r="O551" t="str">
            <v>ВМЗ КО</v>
          </cell>
          <cell r="P551">
            <v>30</v>
          </cell>
          <cell r="S551">
            <v>204480</v>
          </cell>
          <cell r="T551" t="str">
            <v>Центрстальторг</v>
          </cell>
        </row>
        <row r="552">
          <cell r="B552" t="str">
            <v>Металлопрокат</v>
          </cell>
          <cell r="K552">
            <v>30</v>
          </cell>
          <cell r="N552">
            <v>180072</v>
          </cell>
          <cell r="O552" t="str">
            <v>ВМЗ КО</v>
          </cell>
          <cell r="P552">
            <v>30</v>
          </cell>
          <cell r="S552">
            <v>204480</v>
          </cell>
          <cell r="T552" t="str">
            <v>Центрстальторг</v>
          </cell>
        </row>
        <row r="553">
          <cell r="B553" t="str">
            <v>Металлопрокат</v>
          </cell>
          <cell r="K553">
            <v>40.08</v>
          </cell>
          <cell r="N553">
            <v>260055.07199999999</v>
          </cell>
          <cell r="O553" t="str">
            <v>ВМЗ КО</v>
          </cell>
          <cell r="P553">
            <v>40.08</v>
          </cell>
          <cell r="S553">
            <v>273185.27999999997</v>
          </cell>
          <cell r="T553" t="str">
            <v>Центрстальторг</v>
          </cell>
        </row>
        <row r="554">
          <cell r="B554" t="str">
            <v>Металлопрокат</v>
          </cell>
          <cell r="K554">
            <v>9</v>
          </cell>
          <cell r="N554">
            <v>54766.799999999996</v>
          </cell>
          <cell r="O554" t="str">
            <v>ВМЗ КО</v>
          </cell>
          <cell r="P554">
            <v>9</v>
          </cell>
          <cell r="S554">
            <v>60912</v>
          </cell>
          <cell r="T554" t="str">
            <v>Центрстальторг</v>
          </cell>
        </row>
        <row r="555">
          <cell r="B555" t="str">
            <v>Металлопрокат</v>
          </cell>
          <cell r="K555">
            <v>8</v>
          </cell>
          <cell r="N555">
            <v>48681.599999999999</v>
          </cell>
          <cell r="O555" t="str">
            <v>ВМЗ КО</v>
          </cell>
          <cell r="P555">
            <v>8</v>
          </cell>
          <cell r="S555">
            <v>54144</v>
          </cell>
          <cell r="T555" t="str">
            <v>Центрстальторг</v>
          </cell>
        </row>
        <row r="556">
          <cell r="B556" t="str">
            <v>Металлопрокат</v>
          </cell>
          <cell r="K556">
            <v>30</v>
          </cell>
          <cell r="N556">
            <v>178812</v>
          </cell>
          <cell r="O556" t="str">
            <v>ВМЗ КО</v>
          </cell>
          <cell r="P556">
            <v>30</v>
          </cell>
          <cell r="S556">
            <v>203040</v>
          </cell>
          <cell r="T556" t="str">
            <v>Центрстальторг</v>
          </cell>
        </row>
        <row r="557">
          <cell r="B557" t="str">
            <v>Металлопрокат</v>
          </cell>
          <cell r="K557">
            <v>30</v>
          </cell>
          <cell r="N557">
            <v>178812</v>
          </cell>
          <cell r="O557" t="str">
            <v>ВМЗ КО</v>
          </cell>
          <cell r="P557">
            <v>30</v>
          </cell>
          <cell r="S557">
            <v>203040</v>
          </cell>
          <cell r="T557" t="str">
            <v>Центрстальторг</v>
          </cell>
        </row>
        <row r="558">
          <cell r="B558" t="str">
            <v>Металлопрокат</v>
          </cell>
          <cell r="K558">
            <v>30</v>
          </cell>
          <cell r="N558">
            <v>178812</v>
          </cell>
          <cell r="O558" t="str">
            <v>ВМЗ КО</v>
          </cell>
          <cell r="P558">
            <v>30</v>
          </cell>
          <cell r="S558">
            <v>203040</v>
          </cell>
          <cell r="T558" t="str">
            <v>Центрстальторг</v>
          </cell>
        </row>
        <row r="559">
          <cell r="B559" t="str">
            <v>Металлопрокат</v>
          </cell>
          <cell r="K559">
            <v>50</v>
          </cell>
          <cell r="N559">
            <v>298020</v>
          </cell>
          <cell r="O559" t="str">
            <v>ВМЗ КО</v>
          </cell>
          <cell r="P559">
            <v>50</v>
          </cell>
          <cell r="S559">
            <v>338400</v>
          </cell>
          <cell r="T559" t="str">
            <v>Центрстальторг</v>
          </cell>
        </row>
        <row r="560">
          <cell r="B560" t="str">
            <v>Металлопрокат</v>
          </cell>
          <cell r="K560">
            <v>30</v>
          </cell>
          <cell r="N560">
            <v>178812</v>
          </cell>
          <cell r="O560" t="str">
            <v>ВМЗ КО</v>
          </cell>
          <cell r="P560">
            <v>30</v>
          </cell>
          <cell r="S560">
            <v>203040</v>
          </cell>
          <cell r="T560" t="str">
            <v>Центрстальторг</v>
          </cell>
        </row>
        <row r="561">
          <cell r="B561" t="str">
            <v>Металлопрокат</v>
          </cell>
          <cell r="K561">
            <v>30</v>
          </cell>
          <cell r="N561">
            <v>178812</v>
          </cell>
          <cell r="O561" t="str">
            <v>ВМЗ КО</v>
          </cell>
          <cell r="P561">
            <v>30</v>
          </cell>
          <cell r="S561">
            <v>203040</v>
          </cell>
          <cell r="T561" t="str">
            <v>Центрстальторг</v>
          </cell>
        </row>
        <row r="562">
          <cell r="B562" t="str">
            <v>Металлопрокат</v>
          </cell>
          <cell r="K562">
            <v>30</v>
          </cell>
          <cell r="N562">
            <v>178812</v>
          </cell>
          <cell r="O562" t="str">
            <v>ВМЗ КО</v>
          </cell>
          <cell r="P562">
            <v>30</v>
          </cell>
          <cell r="S562">
            <v>203040</v>
          </cell>
          <cell r="T562" t="str">
            <v>Центрстальторг</v>
          </cell>
        </row>
        <row r="563">
          <cell r="B563" t="str">
            <v>Металлопрокат</v>
          </cell>
          <cell r="K563">
            <v>30</v>
          </cell>
          <cell r="N563">
            <v>178272</v>
          </cell>
          <cell r="O563" t="str">
            <v>ВМЗ КО</v>
          </cell>
          <cell r="P563">
            <v>30</v>
          </cell>
          <cell r="S563">
            <v>202320</v>
          </cell>
          <cell r="T563" t="str">
            <v>Центрстальторг</v>
          </cell>
        </row>
        <row r="564">
          <cell r="B564" t="str">
            <v>Металлопрокат</v>
          </cell>
          <cell r="K564">
            <v>30</v>
          </cell>
          <cell r="N564">
            <v>178272</v>
          </cell>
          <cell r="O564" t="str">
            <v>ВМЗ КО</v>
          </cell>
          <cell r="P564">
            <v>30</v>
          </cell>
          <cell r="S564">
            <v>202320</v>
          </cell>
          <cell r="T564" t="str">
            <v>Центрстальторг</v>
          </cell>
        </row>
        <row r="565">
          <cell r="B565" t="str">
            <v>Металлопрокат</v>
          </cell>
          <cell r="K565">
            <v>30</v>
          </cell>
          <cell r="N565">
            <v>178272</v>
          </cell>
          <cell r="O565" t="str">
            <v>ВМЗ КО</v>
          </cell>
          <cell r="P565">
            <v>30</v>
          </cell>
          <cell r="S565">
            <v>202320</v>
          </cell>
          <cell r="T565" t="str">
            <v>Центрстальторг</v>
          </cell>
        </row>
        <row r="566">
          <cell r="B566" t="str">
            <v>Металлопрокат</v>
          </cell>
          <cell r="K566">
            <v>30</v>
          </cell>
          <cell r="N566">
            <v>178272</v>
          </cell>
          <cell r="O566" t="str">
            <v>ВМЗ КО</v>
          </cell>
          <cell r="P566">
            <v>30</v>
          </cell>
          <cell r="S566">
            <v>202320</v>
          </cell>
          <cell r="T566" t="str">
            <v>Центрстальторг</v>
          </cell>
        </row>
        <row r="567">
          <cell r="B567" t="str">
            <v>Металлопрокат</v>
          </cell>
          <cell r="K567">
            <v>5</v>
          </cell>
          <cell r="N567">
            <v>37950</v>
          </cell>
          <cell r="O567" t="str">
            <v>ВМЗ КО</v>
          </cell>
          <cell r="P567">
            <v>5</v>
          </cell>
          <cell r="S567">
            <v>42180</v>
          </cell>
          <cell r="T567" t="str">
            <v>Центрстальторг</v>
          </cell>
        </row>
        <row r="568">
          <cell r="B568" t="str">
            <v>Металлопрокат</v>
          </cell>
          <cell r="K568">
            <v>5</v>
          </cell>
          <cell r="N568">
            <v>37950</v>
          </cell>
          <cell r="O568" t="str">
            <v>ВМЗ КО</v>
          </cell>
          <cell r="P568">
            <v>5</v>
          </cell>
          <cell r="S568">
            <v>42180</v>
          </cell>
          <cell r="T568" t="str">
            <v>Центрстальторг</v>
          </cell>
        </row>
        <row r="569">
          <cell r="B569" t="str">
            <v>Металлопрокат</v>
          </cell>
          <cell r="K569">
            <v>5</v>
          </cell>
          <cell r="N569">
            <v>36144</v>
          </cell>
          <cell r="O569" t="str">
            <v>ВМЗ КО</v>
          </cell>
          <cell r="P569">
            <v>5</v>
          </cell>
          <cell r="S569">
            <v>40020</v>
          </cell>
          <cell r="T569" t="str">
            <v>Центрстальторг</v>
          </cell>
        </row>
        <row r="570">
          <cell r="B570" t="str">
            <v>Металлопрокат</v>
          </cell>
          <cell r="K570">
            <v>10</v>
          </cell>
          <cell r="N570">
            <v>72288</v>
          </cell>
          <cell r="O570" t="str">
            <v>ВМЗ КО</v>
          </cell>
          <cell r="P570">
            <v>10</v>
          </cell>
          <cell r="S570">
            <v>80040</v>
          </cell>
          <cell r="T570" t="str">
            <v>Центрстальторг</v>
          </cell>
        </row>
        <row r="571">
          <cell r="B571" t="str">
            <v>Металлопрокат</v>
          </cell>
          <cell r="K571">
            <v>10</v>
          </cell>
          <cell r="N571">
            <v>71784</v>
          </cell>
          <cell r="O571" t="str">
            <v>ВМЗ КО</v>
          </cell>
          <cell r="P571">
            <v>10</v>
          </cell>
          <cell r="S571">
            <v>79800</v>
          </cell>
          <cell r="T571" t="str">
            <v>Центрстальторг</v>
          </cell>
        </row>
        <row r="572">
          <cell r="B572" t="str">
            <v>Металлопрокат</v>
          </cell>
          <cell r="K572">
            <v>10</v>
          </cell>
          <cell r="N572">
            <v>91404</v>
          </cell>
          <cell r="O572" t="str">
            <v>ВМЗ КО</v>
          </cell>
          <cell r="P572">
            <v>10</v>
          </cell>
          <cell r="S572">
            <v>101580</v>
          </cell>
          <cell r="T572" t="str">
            <v>Эра</v>
          </cell>
        </row>
        <row r="573">
          <cell r="B573" t="str">
            <v>Металлопрокат</v>
          </cell>
          <cell r="K573">
            <v>13</v>
          </cell>
          <cell r="N573">
            <v>110042.4</v>
          </cell>
          <cell r="O573" t="str">
            <v>ВМЗ КО</v>
          </cell>
          <cell r="P573">
            <v>13</v>
          </cell>
          <cell r="S573">
            <v>137904</v>
          </cell>
          <cell r="T573" t="str">
            <v>Эра</v>
          </cell>
        </row>
        <row r="574">
          <cell r="B574" t="str">
            <v>Металлопрокат</v>
          </cell>
          <cell r="K574">
            <v>10</v>
          </cell>
          <cell r="N574">
            <v>75564</v>
          </cell>
          <cell r="O574" t="str">
            <v>ВМЗ КО</v>
          </cell>
          <cell r="P574">
            <v>10</v>
          </cell>
          <cell r="S574">
            <v>84000</v>
          </cell>
          <cell r="T574" t="str">
            <v>Эра</v>
          </cell>
        </row>
        <row r="575">
          <cell r="B575" t="str">
            <v>Металлопрокат</v>
          </cell>
          <cell r="K575">
            <v>15</v>
          </cell>
          <cell r="N575">
            <v>113346</v>
          </cell>
          <cell r="O575" t="str">
            <v>ВМЗ КО</v>
          </cell>
          <cell r="P575">
            <v>15</v>
          </cell>
          <cell r="S575">
            <v>126000</v>
          </cell>
          <cell r="T575" t="str">
            <v>Эра</v>
          </cell>
        </row>
        <row r="576">
          <cell r="B576" t="str">
            <v>Металлопрокат</v>
          </cell>
          <cell r="K576">
            <v>5</v>
          </cell>
          <cell r="N576">
            <v>39270</v>
          </cell>
          <cell r="O576" t="str">
            <v>ВМЗ КО</v>
          </cell>
          <cell r="P576">
            <v>5</v>
          </cell>
          <cell r="S576">
            <v>43650</v>
          </cell>
          <cell r="T576" t="str">
            <v>Эра</v>
          </cell>
        </row>
        <row r="577">
          <cell r="B577" t="str">
            <v>Металлопрокат</v>
          </cell>
          <cell r="K577">
            <v>7.99</v>
          </cell>
          <cell r="N577">
            <v>94345.919999999998</v>
          </cell>
          <cell r="O577" t="str">
            <v>ВМЗ КО</v>
          </cell>
          <cell r="P577">
            <v>7.99</v>
          </cell>
          <cell r="S577">
            <v>104844.78</v>
          </cell>
          <cell r="T577" t="str">
            <v>Эталон</v>
          </cell>
        </row>
        <row r="578">
          <cell r="B578" t="str">
            <v>Огнеупоры</v>
          </cell>
          <cell r="K578">
            <v>20.059999999999999</v>
          </cell>
          <cell r="N578">
            <v>79943.111999999994</v>
          </cell>
          <cell r="O578" t="str">
            <v>Огнеупоркомплект</v>
          </cell>
          <cell r="P578">
            <v>20.059999999999999</v>
          </cell>
          <cell r="S578">
            <v>91642.103999999992</v>
          </cell>
          <cell r="T578" t="str">
            <v>ВМЗ КО</v>
          </cell>
        </row>
        <row r="579">
          <cell r="B579" t="str">
            <v>Огнеупоры</v>
          </cell>
          <cell r="K579">
            <v>0</v>
          </cell>
          <cell r="N579">
            <v>0</v>
          </cell>
          <cell r="O579" t="str">
            <v>Огнеупоркомплект</v>
          </cell>
          <cell r="P579">
            <v>0</v>
          </cell>
          <cell r="S579">
            <v>0</v>
          </cell>
          <cell r="T579" t="str">
            <v>ВМЗ КО</v>
          </cell>
        </row>
        <row r="580">
          <cell r="B580" t="str">
            <v>Огнеупоры</v>
          </cell>
          <cell r="K580">
            <v>15.266999999999999</v>
          </cell>
          <cell r="N580">
            <v>78447.952799999985</v>
          </cell>
          <cell r="O580" t="str">
            <v>Огнеупоркомплект</v>
          </cell>
          <cell r="P580">
            <v>15.266999999999999</v>
          </cell>
          <cell r="S580">
            <v>87516.550799999997</v>
          </cell>
          <cell r="T580" t="str">
            <v>ВМЗ КО</v>
          </cell>
        </row>
        <row r="581">
          <cell r="B581" t="str">
            <v>Огнеупоры</v>
          </cell>
          <cell r="K581">
            <v>6.98</v>
          </cell>
          <cell r="N581">
            <v>40782.744000000006</v>
          </cell>
          <cell r="O581" t="str">
            <v>Огнеупоркомплект</v>
          </cell>
          <cell r="P581">
            <v>6.98</v>
          </cell>
          <cell r="S581">
            <v>44912.112000000001</v>
          </cell>
          <cell r="T581" t="str">
            <v>ВМЗ КО</v>
          </cell>
        </row>
        <row r="582">
          <cell r="B582" t="str">
            <v>Огнеупоры</v>
          </cell>
          <cell r="K582">
            <v>115.45699999999999</v>
          </cell>
          <cell r="N582">
            <v>526483.91999999993</v>
          </cell>
          <cell r="O582" t="str">
            <v>Огнеупоркомплект</v>
          </cell>
          <cell r="P582">
            <v>115.45699999999999</v>
          </cell>
          <cell r="S582">
            <v>592571.50679999997</v>
          </cell>
          <cell r="T582" t="str">
            <v>ВМЗ КО</v>
          </cell>
        </row>
        <row r="583">
          <cell r="B583" t="str">
            <v>Огнеупоры</v>
          </cell>
          <cell r="K583">
            <v>0</v>
          </cell>
          <cell r="N583">
            <v>0</v>
          </cell>
          <cell r="O583" t="str">
            <v>Огнеупоркомплект</v>
          </cell>
          <cell r="P583">
            <v>0</v>
          </cell>
          <cell r="S583">
            <v>0</v>
          </cell>
          <cell r="T583" t="str">
            <v>ВМЗ КО</v>
          </cell>
        </row>
        <row r="584">
          <cell r="B584" t="str">
            <v>Огнеупоры</v>
          </cell>
          <cell r="K584">
            <v>4.7270000000000003</v>
          </cell>
          <cell r="N584">
            <v>20250.468000000001</v>
          </cell>
          <cell r="O584" t="str">
            <v>Огнеупоркомплект</v>
          </cell>
          <cell r="P584">
            <v>4.7270000000000003</v>
          </cell>
          <cell r="S584">
            <v>24090.682799999999</v>
          </cell>
          <cell r="T584" t="str">
            <v>ВМЗ КО</v>
          </cell>
        </row>
        <row r="585">
          <cell r="B585" t="str">
            <v>Огнеупоры</v>
          </cell>
          <cell r="K585">
            <v>72.959999999999994</v>
          </cell>
          <cell r="N585">
            <v>285594.62399999995</v>
          </cell>
          <cell r="O585" t="str">
            <v>Огнеупоркомплект</v>
          </cell>
          <cell r="P585">
            <v>72.959999999999994</v>
          </cell>
          <cell r="S585">
            <v>328495.10399999993</v>
          </cell>
          <cell r="T585" t="str">
            <v>ВМЗ КО</v>
          </cell>
        </row>
        <row r="586">
          <cell r="B586" t="str">
            <v>Огнеупоры</v>
          </cell>
          <cell r="K586">
            <v>0</v>
          </cell>
          <cell r="N586">
            <v>0</v>
          </cell>
          <cell r="O586" t="str">
            <v>Воронежхимсервис</v>
          </cell>
          <cell r="P586">
            <v>0</v>
          </cell>
          <cell r="S586">
            <v>0</v>
          </cell>
          <cell r="T586" t="str">
            <v>ВМЗ КО</v>
          </cell>
        </row>
        <row r="587">
          <cell r="B587" t="str">
            <v>Огнеупоры</v>
          </cell>
          <cell r="K587">
            <v>82.513000000000005</v>
          </cell>
          <cell r="N587">
            <v>1514443.6020000002</v>
          </cell>
          <cell r="O587" t="str">
            <v>Воронежхимсервис</v>
          </cell>
          <cell r="P587">
            <v>82.513000000000005</v>
          </cell>
          <cell r="S587">
            <v>1566129.7452</v>
          </cell>
          <cell r="T587" t="str">
            <v>ВМЗ КО</v>
          </cell>
        </row>
        <row r="588">
          <cell r="B588" t="str">
            <v>Огнеупоры</v>
          </cell>
          <cell r="K588">
            <v>38.052999999999997</v>
          </cell>
          <cell r="N588">
            <v>698424.76199999999</v>
          </cell>
          <cell r="O588" t="str">
            <v>Воронежхимсервис</v>
          </cell>
          <cell r="P588">
            <v>38.052999999999997</v>
          </cell>
          <cell r="S588">
            <v>722261.16119999986</v>
          </cell>
          <cell r="T588" t="str">
            <v>ВМЗ КО</v>
          </cell>
        </row>
        <row r="589">
          <cell r="B589" t="str">
            <v>Огнеупоры</v>
          </cell>
          <cell r="K589">
            <v>34.162999999999997</v>
          </cell>
          <cell r="N589">
            <v>627027.70199999993</v>
          </cell>
          <cell r="O589" t="str">
            <v>Воронежхимсервис</v>
          </cell>
          <cell r="P589">
            <v>34.162999999999997</v>
          </cell>
          <cell r="S589">
            <v>648427.40519999992</v>
          </cell>
          <cell r="T589" t="str">
            <v>ВМЗ КО</v>
          </cell>
        </row>
        <row r="590">
          <cell r="B590" t="str">
            <v>Огнеупоры</v>
          </cell>
          <cell r="K590">
            <v>4.8</v>
          </cell>
          <cell r="N590">
            <v>82742.399999999994</v>
          </cell>
          <cell r="O590" t="str">
            <v>Воронежхимсервис</v>
          </cell>
          <cell r="P590">
            <v>4.8</v>
          </cell>
          <cell r="S590">
            <v>85489.919999999984</v>
          </cell>
          <cell r="T590" t="str">
            <v>ВМЗ КО</v>
          </cell>
        </row>
        <row r="591">
          <cell r="B591" t="str">
            <v>Огнеупоры</v>
          </cell>
          <cell r="K591">
            <v>3.677</v>
          </cell>
          <cell r="N591">
            <v>63384.126000000004</v>
          </cell>
          <cell r="O591" t="str">
            <v>Воронежхимсервис</v>
          </cell>
          <cell r="P591">
            <v>3.677</v>
          </cell>
          <cell r="S591">
            <v>65488.840799999991</v>
          </cell>
          <cell r="T591" t="str">
            <v>ВМЗ КО</v>
          </cell>
        </row>
        <row r="592">
          <cell r="B592" t="str">
            <v>Огнеупоры</v>
          </cell>
          <cell r="K592">
            <v>72.91</v>
          </cell>
          <cell r="N592">
            <v>962412</v>
          </cell>
          <cell r="O592" t="str">
            <v>Огнеупорсбыт</v>
          </cell>
          <cell r="P592">
            <v>72.91</v>
          </cell>
          <cell r="S592">
            <v>1007207.904</v>
          </cell>
          <cell r="T592" t="str">
            <v>ВМЗ КО</v>
          </cell>
        </row>
        <row r="593">
          <cell r="B593" t="str">
            <v>Огнеупоры</v>
          </cell>
          <cell r="K593">
            <v>6.19</v>
          </cell>
          <cell r="N593">
            <v>81708</v>
          </cell>
          <cell r="O593" t="str">
            <v>Огнеупорсбыт</v>
          </cell>
          <cell r="P593">
            <v>6.19</v>
          </cell>
          <cell r="S593">
            <v>85511.135999999999</v>
          </cell>
          <cell r="T593" t="str">
            <v>ВМЗ КО</v>
          </cell>
        </row>
        <row r="594">
          <cell r="B594" t="str">
            <v>Огнеупоры</v>
          </cell>
          <cell r="K594">
            <v>33.162999999999997</v>
          </cell>
          <cell r="N594">
            <v>129813.24719999997</v>
          </cell>
          <cell r="O594" t="str">
            <v>Огнеупорсбыт</v>
          </cell>
          <cell r="P594">
            <v>33.162999999999997</v>
          </cell>
          <cell r="S594">
            <v>149313.09119999997</v>
          </cell>
          <cell r="T594" t="str">
            <v>ВМЗ КО</v>
          </cell>
        </row>
        <row r="595">
          <cell r="B595" t="str">
            <v>Огнеупоры</v>
          </cell>
          <cell r="K595">
            <v>13.643000000000001</v>
          </cell>
          <cell r="N595">
            <v>88210.180800000002</v>
          </cell>
          <cell r="O595" t="str">
            <v>Огнеупоркомплект</v>
          </cell>
          <cell r="P595">
            <v>13.643000000000001</v>
          </cell>
          <cell r="S595">
            <v>96379.609200000006</v>
          </cell>
          <cell r="T595" t="str">
            <v>ВМЗ КО</v>
          </cell>
        </row>
        <row r="596">
          <cell r="B596" t="str">
            <v>Огнеупоры</v>
          </cell>
          <cell r="K596">
            <v>2.0299999999999998</v>
          </cell>
          <cell r="N596">
            <v>23824.079999999998</v>
          </cell>
          <cell r="O596" t="str">
            <v>Огнеупоркомплект</v>
          </cell>
          <cell r="P596">
            <v>2.0299999999999998</v>
          </cell>
          <cell r="S596">
            <v>25059.131999999998</v>
          </cell>
          <cell r="T596" t="str">
            <v>ВМЗ КО</v>
          </cell>
        </row>
        <row r="597">
          <cell r="B597" t="str">
            <v>Огнеупоры</v>
          </cell>
          <cell r="K597">
            <v>0</v>
          </cell>
          <cell r="N597">
            <v>0</v>
          </cell>
          <cell r="O597" t="str">
            <v>Огнеупорсбыт</v>
          </cell>
          <cell r="P597">
            <v>0</v>
          </cell>
          <cell r="S597">
            <v>0</v>
          </cell>
          <cell r="T597" t="str">
            <v>ВМЗ КО</v>
          </cell>
        </row>
        <row r="598">
          <cell r="B598" t="str">
            <v>Огнеупоры</v>
          </cell>
          <cell r="K598">
            <v>60.942999999999998</v>
          </cell>
          <cell r="N598">
            <v>1865367.7211999998</v>
          </cell>
          <cell r="O598" t="str">
            <v>Ферро</v>
          </cell>
          <cell r="P598">
            <v>60.942999999999998</v>
          </cell>
          <cell r="S598">
            <v>1869024.3011999999</v>
          </cell>
          <cell r="T598" t="str">
            <v>ВМЗ КО</v>
          </cell>
        </row>
        <row r="599">
          <cell r="B599" t="str">
            <v>Огнеупоры</v>
          </cell>
          <cell r="K599">
            <v>20.327000000000002</v>
          </cell>
          <cell r="N599">
            <v>297148.21679999999</v>
          </cell>
          <cell r="O599" t="str">
            <v>Ферро</v>
          </cell>
          <cell r="P599">
            <v>20.327000000000002</v>
          </cell>
          <cell r="S599">
            <v>309710.3028</v>
          </cell>
          <cell r="T599" t="str">
            <v>ВМЗ КО</v>
          </cell>
        </row>
        <row r="600">
          <cell r="B600" t="str">
            <v>Огнеупоры</v>
          </cell>
          <cell r="K600">
            <v>3.0369999999999999</v>
          </cell>
          <cell r="N600">
            <v>47522.976000000002</v>
          </cell>
          <cell r="O600" t="str">
            <v>Огнеупорсбыт</v>
          </cell>
          <cell r="P600">
            <v>3.0369999999999999</v>
          </cell>
          <cell r="S600">
            <v>49261.354800000001</v>
          </cell>
          <cell r="T600" t="str">
            <v>ВМЗ КО</v>
          </cell>
        </row>
        <row r="601">
          <cell r="B601" t="str">
            <v>Огнеупоры</v>
          </cell>
          <cell r="K601">
            <v>0</v>
          </cell>
          <cell r="N601">
            <v>0</v>
          </cell>
          <cell r="O601" t="str">
            <v>БКО ТД</v>
          </cell>
          <cell r="P601">
            <v>0</v>
          </cell>
          <cell r="S601">
            <v>0</v>
          </cell>
          <cell r="T601" t="str">
            <v>ВМЗ КО</v>
          </cell>
        </row>
        <row r="602">
          <cell r="B602" t="str">
            <v>Огнеупоры</v>
          </cell>
          <cell r="K602">
            <v>0.47</v>
          </cell>
          <cell r="N602">
            <v>7601.0279999999993</v>
          </cell>
          <cell r="O602" t="str">
            <v>Огнеупорсбыт</v>
          </cell>
          <cell r="P602">
            <v>0.47</v>
          </cell>
          <cell r="S602">
            <v>7736.3879999999981</v>
          </cell>
          <cell r="T602" t="str">
            <v>ВМЗ КО</v>
          </cell>
        </row>
        <row r="603">
          <cell r="B603" t="str">
            <v>Огнеупоры</v>
          </cell>
          <cell r="K603">
            <v>104.217</v>
          </cell>
          <cell r="N603">
            <v>228860.53200000001</v>
          </cell>
          <cell r="O603" t="str">
            <v>Воронежхимсервис</v>
          </cell>
          <cell r="P603">
            <v>104.217</v>
          </cell>
          <cell r="S603">
            <v>228860.53200000001</v>
          </cell>
          <cell r="T603" t="str">
            <v>ВМЗ КО</v>
          </cell>
        </row>
        <row r="604">
          <cell r="B604" t="str">
            <v>Огнеупоры</v>
          </cell>
          <cell r="K604">
            <v>3.81</v>
          </cell>
          <cell r="N604">
            <v>6739.1279999999997</v>
          </cell>
          <cell r="O604" t="str">
            <v>Воронежхимсервис</v>
          </cell>
          <cell r="P604">
            <v>3.81</v>
          </cell>
          <cell r="S604">
            <v>8796.5279999999984</v>
          </cell>
          <cell r="T604" t="str">
            <v>ВМЗ КО</v>
          </cell>
        </row>
        <row r="605">
          <cell r="B605" t="str">
            <v>Огнеупоры</v>
          </cell>
          <cell r="K605">
            <v>0</v>
          </cell>
          <cell r="N605">
            <v>0</v>
          </cell>
          <cell r="O605" t="str">
            <v>БКО ТД</v>
          </cell>
          <cell r="P605">
            <v>0</v>
          </cell>
          <cell r="S605">
            <v>0</v>
          </cell>
          <cell r="T605" t="str">
            <v>ВМЗ КО</v>
          </cell>
        </row>
        <row r="606">
          <cell r="B606" t="str">
            <v>Огнеупоры</v>
          </cell>
          <cell r="K606">
            <v>0</v>
          </cell>
          <cell r="N606">
            <v>0</v>
          </cell>
          <cell r="O606" t="str">
            <v>БКО ТД</v>
          </cell>
          <cell r="P606">
            <v>0</v>
          </cell>
          <cell r="S606">
            <v>0</v>
          </cell>
          <cell r="T606" t="str">
            <v>ВМЗ КО</v>
          </cell>
        </row>
        <row r="607">
          <cell r="B607" t="str">
            <v>Огнеупоры</v>
          </cell>
          <cell r="K607">
            <v>3.907</v>
          </cell>
          <cell r="N607">
            <v>13390.070399999999</v>
          </cell>
          <cell r="O607" t="str">
            <v>огнеупоркомплект</v>
          </cell>
          <cell r="P607">
            <v>3.907</v>
          </cell>
          <cell r="S607">
            <v>15668.632799999999</v>
          </cell>
          <cell r="T607" t="str">
            <v>ВМЗ КО</v>
          </cell>
        </row>
        <row r="608">
          <cell r="B608" t="str">
            <v>Огнеупоры</v>
          </cell>
          <cell r="K608">
            <v>0</v>
          </cell>
          <cell r="N608">
            <v>0</v>
          </cell>
          <cell r="O608" t="str">
            <v>огнеупоркомплект</v>
          </cell>
          <cell r="P608">
            <v>0</v>
          </cell>
          <cell r="S608">
            <v>0</v>
          </cell>
          <cell r="T608" t="str">
            <v>ВМЗ КО</v>
          </cell>
        </row>
        <row r="609">
          <cell r="B609" t="str">
            <v>Огнеупоры</v>
          </cell>
          <cell r="K609">
            <v>7.68</v>
          </cell>
          <cell r="N609">
            <v>26320.895999999997</v>
          </cell>
          <cell r="O609" t="str">
            <v>огнеупоркомплект</v>
          </cell>
          <cell r="P609">
            <v>7.68</v>
          </cell>
          <cell r="S609">
            <v>30799.871999999996</v>
          </cell>
          <cell r="T609" t="str">
            <v>ВМЗ КО</v>
          </cell>
        </row>
        <row r="610">
          <cell r="B610" t="str">
            <v>Огнеупоры</v>
          </cell>
          <cell r="K610">
            <v>3.0870000000000002</v>
          </cell>
          <cell r="N610">
            <v>10187.1</v>
          </cell>
          <cell r="O610" t="str">
            <v>огнеупоркомплект</v>
          </cell>
          <cell r="P610">
            <v>3.0870000000000002</v>
          </cell>
          <cell r="S610">
            <v>11991.1428</v>
          </cell>
          <cell r="T610" t="str">
            <v>ВМЗ КО</v>
          </cell>
        </row>
        <row r="611">
          <cell r="B611" t="str">
            <v>Огнеупоры</v>
          </cell>
          <cell r="K611">
            <v>0.83699999999999997</v>
          </cell>
          <cell r="N611">
            <v>2762.1</v>
          </cell>
          <cell r="O611" t="str">
            <v>огнеупоркомплект</v>
          </cell>
          <cell r="P611">
            <v>0.83699999999999997</v>
          </cell>
          <cell r="S611">
            <v>3251.2427999999995</v>
          </cell>
          <cell r="T611" t="str">
            <v>ВМЗ КО</v>
          </cell>
        </row>
        <row r="612">
          <cell r="B612" t="str">
            <v>Огнеупоры</v>
          </cell>
          <cell r="K612">
            <v>10.24</v>
          </cell>
          <cell r="N612">
            <v>28262.400000000001</v>
          </cell>
          <cell r="O612" t="str">
            <v>БКО ТД</v>
          </cell>
          <cell r="P612">
            <v>10.24</v>
          </cell>
          <cell r="S612">
            <v>34246.656000000003</v>
          </cell>
          <cell r="T612" t="str">
            <v>ВМЗ КО</v>
          </cell>
        </row>
        <row r="613">
          <cell r="B613" t="str">
            <v>Огнеупоры</v>
          </cell>
          <cell r="K613">
            <v>0</v>
          </cell>
          <cell r="N613">
            <v>0</v>
          </cell>
          <cell r="O613" t="str">
            <v>огнеупоркомплект</v>
          </cell>
          <cell r="P613">
            <v>0</v>
          </cell>
          <cell r="S613">
            <v>0</v>
          </cell>
          <cell r="T613" t="str">
            <v>ВМЗ КО</v>
          </cell>
        </row>
        <row r="614">
          <cell r="B614" t="str">
            <v>Огнеупоры</v>
          </cell>
          <cell r="K614">
            <v>0</v>
          </cell>
          <cell r="N614">
            <v>0</v>
          </cell>
          <cell r="O614" t="str">
            <v>Воронежхимсервис</v>
          </cell>
          <cell r="P614">
            <v>0</v>
          </cell>
          <cell r="S614">
            <v>0</v>
          </cell>
          <cell r="T614" t="str">
            <v>ВМЗ КО</v>
          </cell>
        </row>
        <row r="615">
          <cell r="B615" t="str">
            <v>Огнеупоры</v>
          </cell>
          <cell r="K615">
            <v>0</v>
          </cell>
          <cell r="N615">
            <v>0</v>
          </cell>
          <cell r="O615" t="str">
            <v>Огнеупорсбыт</v>
          </cell>
          <cell r="P615">
            <v>0</v>
          </cell>
          <cell r="S615">
            <v>0</v>
          </cell>
          <cell r="T615" t="str">
            <v>ВМЗ КО</v>
          </cell>
        </row>
        <row r="616">
          <cell r="B616" t="str">
            <v>Огнеупоры</v>
          </cell>
          <cell r="K616">
            <v>0</v>
          </cell>
          <cell r="N616">
            <v>0</v>
          </cell>
          <cell r="O616" t="str">
            <v>Огнеупорсбыт</v>
          </cell>
          <cell r="P616">
            <v>0</v>
          </cell>
          <cell r="S616">
            <v>0</v>
          </cell>
          <cell r="T616" t="str">
            <v>ВМЗ КО</v>
          </cell>
        </row>
        <row r="617">
          <cell r="B617" t="str">
            <v>Огнеупоры</v>
          </cell>
          <cell r="K617">
            <v>2</v>
          </cell>
          <cell r="N617">
            <v>19440</v>
          </cell>
          <cell r="O617" t="str">
            <v>Огнеупорсбыт</v>
          </cell>
          <cell r="P617">
            <v>2</v>
          </cell>
          <cell r="S617">
            <v>20644.8</v>
          </cell>
          <cell r="T617" t="str">
            <v>ВМЗ КО</v>
          </cell>
        </row>
        <row r="618">
          <cell r="B618" t="str">
            <v>Огнеупоры</v>
          </cell>
          <cell r="K618">
            <v>0</v>
          </cell>
          <cell r="N618">
            <v>0</v>
          </cell>
          <cell r="O618" t="str">
            <v>Огнеупорсбыт</v>
          </cell>
          <cell r="P618">
            <v>0</v>
          </cell>
          <cell r="S618">
            <v>0</v>
          </cell>
          <cell r="T618" t="str">
            <v>ВМЗ КО</v>
          </cell>
        </row>
        <row r="619">
          <cell r="B619" t="str">
            <v>Огнеупоры</v>
          </cell>
          <cell r="K619">
            <v>0</v>
          </cell>
          <cell r="N619">
            <v>0</v>
          </cell>
          <cell r="O619" t="str">
            <v>Огнеупорсбыт</v>
          </cell>
          <cell r="P619">
            <v>0</v>
          </cell>
          <cell r="S619">
            <v>0</v>
          </cell>
          <cell r="T619" t="str">
            <v>ВМЗ КО</v>
          </cell>
        </row>
        <row r="620">
          <cell r="B620" t="str">
            <v>Огнеупоры</v>
          </cell>
          <cell r="K620">
            <v>0</v>
          </cell>
          <cell r="N620">
            <v>0</v>
          </cell>
          <cell r="O620" t="str">
            <v>Огнеупорсбыт</v>
          </cell>
          <cell r="P620">
            <v>0</v>
          </cell>
          <cell r="S620">
            <v>0</v>
          </cell>
          <cell r="T620" t="str">
            <v>ВМЗ КО</v>
          </cell>
        </row>
        <row r="621">
          <cell r="B621" t="str">
            <v>Огнеупоры</v>
          </cell>
          <cell r="K621">
            <v>0</v>
          </cell>
          <cell r="N621">
            <v>0</v>
          </cell>
          <cell r="O621" t="str">
            <v>Огнеупорсбыт</v>
          </cell>
          <cell r="P621">
            <v>0</v>
          </cell>
          <cell r="S621">
            <v>0</v>
          </cell>
          <cell r="T621" t="str">
            <v>ВМЗ КО</v>
          </cell>
        </row>
        <row r="622">
          <cell r="B622" t="str">
            <v>Огнеупоры</v>
          </cell>
          <cell r="K622">
            <v>0</v>
          </cell>
          <cell r="N622">
            <v>0</v>
          </cell>
          <cell r="O622" t="str">
            <v>Огнеупорсбыт</v>
          </cell>
          <cell r="P622">
            <v>0</v>
          </cell>
          <cell r="S622">
            <v>0</v>
          </cell>
          <cell r="T622" t="str">
            <v>ВМЗ КО</v>
          </cell>
        </row>
        <row r="623">
          <cell r="B623" t="str">
            <v>Огнеупоры</v>
          </cell>
          <cell r="K623">
            <v>0</v>
          </cell>
          <cell r="N623">
            <v>0</v>
          </cell>
          <cell r="O623" t="str">
            <v>Огнеупорсбыт</v>
          </cell>
          <cell r="P623">
            <v>0</v>
          </cell>
          <cell r="S623">
            <v>0</v>
          </cell>
          <cell r="T623" t="str">
            <v>ВМЗ КО</v>
          </cell>
        </row>
        <row r="624">
          <cell r="B624" t="str">
            <v>Огнеупоры</v>
          </cell>
          <cell r="K624">
            <v>0</v>
          </cell>
          <cell r="N624">
            <v>0</v>
          </cell>
          <cell r="O624" t="str">
            <v>Огнеупорсбыт</v>
          </cell>
          <cell r="P624">
            <v>0</v>
          </cell>
          <cell r="S624">
            <v>0</v>
          </cell>
          <cell r="T624" t="str">
            <v>ВМЗ КО</v>
          </cell>
        </row>
        <row r="625">
          <cell r="B625" t="str">
            <v>Огнеупоры</v>
          </cell>
          <cell r="K625">
            <v>0</v>
          </cell>
          <cell r="N625">
            <v>0</v>
          </cell>
          <cell r="O625" t="str">
            <v>Огнеупорсбыт</v>
          </cell>
          <cell r="P625">
            <v>0</v>
          </cell>
          <cell r="S625">
            <v>0</v>
          </cell>
          <cell r="T625" t="str">
            <v>ВМЗ КО</v>
          </cell>
        </row>
        <row r="626">
          <cell r="B626" t="str">
            <v>Огнеупоры</v>
          </cell>
          <cell r="K626">
            <v>0</v>
          </cell>
          <cell r="N626">
            <v>0</v>
          </cell>
          <cell r="O626" t="str">
            <v>Огнеупорсбыт</v>
          </cell>
          <cell r="P626">
            <v>0</v>
          </cell>
          <cell r="S626">
            <v>0</v>
          </cell>
          <cell r="T626" t="str">
            <v>ВМЗ КО</v>
          </cell>
        </row>
        <row r="627">
          <cell r="B627" t="str">
            <v>Огнеупоры</v>
          </cell>
          <cell r="K627">
            <v>0</v>
          </cell>
          <cell r="N627">
            <v>0</v>
          </cell>
          <cell r="O627" t="str">
            <v>Огнеупорсбыт</v>
          </cell>
          <cell r="P627">
            <v>0</v>
          </cell>
          <cell r="S627">
            <v>0</v>
          </cell>
          <cell r="T627" t="str">
            <v>ВМЗ КО</v>
          </cell>
        </row>
        <row r="628">
          <cell r="B628" t="str">
            <v>Огнеупоры</v>
          </cell>
          <cell r="K628">
            <v>0</v>
          </cell>
          <cell r="N628">
            <v>0</v>
          </cell>
          <cell r="O628" t="str">
            <v>Огнеупорсбыт</v>
          </cell>
          <cell r="P628">
            <v>0</v>
          </cell>
          <cell r="S628">
            <v>0</v>
          </cell>
          <cell r="T628" t="str">
            <v>ВМЗ КО</v>
          </cell>
        </row>
        <row r="629">
          <cell r="B629" t="str">
            <v>Огнеупоры</v>
          </cell>
          <cell r="K629">
            <v>0</v>
          </cell>
          <cell r="N629">
            <v>0</v>
          </cell>
          <cell r="O629" t="str">
            <v>Огнеупорсбыт</v>
          </cell>
          <cell r="P629">
            <v>0</v>
          </cell>
          <cell r="S629">
            <v>0</v>
          </cell>
          <cell r="T629" t="str">
            <v>ВМЗ КО</v>
          </cell>
        </row>
        <row r="630">
          <cell r="B630" t="str">
            <v>Огнеупоры</v>
          </cell>
          <cell r="K630">
            <v>0</v>
          </cell>
          <cell r="N630">
            <v>0</v>
          </cell>
          <cell r="O630" t="str">
            <v>Огнеупорсбыт</v>
          </cell>
          <cell r="P630">
            <v>0</v>
          </cell>
          <cell r="S630">
            <v>0</v>
          </cell>
          <cell r="T630" t="str">
            <v>ВМЗ КО</v>
          </cell>
        </row>
        <row r="631">
          <cell r="B631" t="str">
            <v>Огнеупоры</v>
          </cell>
          <cell r="K631">
            <v>0</v>
          </cell>
          <cell r="N631">
            <v>0</v>
          </cell>
          <cell r="O631" t="str">
            <v>Огнеупорсбыт</v>
          </cell>
          <cell r="P631">
            <v>0</v>
          </cell>
          <cell r="S631">
            <v>0</v>
          </cell>
          <cell r="T631" t="str">
            <v>ВМЗ КО</v>
          </cell>
        </row>
        <row r="632">
          <cell r="B632" t="str">
            <v>Огнеупоры</v>
          </cell>
          <cell r="K632">
            <v>0</v>
          </cell>
          <cell r="N632">
            <v>0</v>
          </cell>
          <cell r="O632" t="str">
            <v>Огнеупорсбыт</v>
          </cell>
          <cell r="P632">
            <v>0</v>
          </cell>
          <cell r="S632">
            <v>0</v>
          </cell>
          <cell r="T632" t="str">
            <v>ВМЗ КО</v>
          </cell>
        </row>
        <row r="633">
          <cell r="B633" t="str">
            <v>Огнеупоры</v>
          </cell>
          <cell r="K633">
            <v>0</v>
          </cell>
          <cell r="N633">
            <v>0</v>
          </cell>
          <cell r="O633" t="str">
            <v>БКО ТД</v>
          </cell>
          <cell r="P633">
            <v>0</v>
          </cell>
          <cell r="S633">
            <v>0</v>
          </cell>
          <cell r="T633" t="str">
            <v>ВМЗ КО</v>
          </cell>
        </row>
        <row r="634">
          <cell r="B634" t="str">
            <v>Огнеупоры</v>
          </cell>
          <cell r="K634">
            <v>0</v>
          </cell>
          <cell r="N634">
            <v>0</v>
          </cell>
          <cell r="O634" t="str">
            <v>фирма ТЭК</v>
          </cell>
          <cell r="P634">
            <v>0</v>
          </cell>
          <cell r="S634">
            <v>0</v>
          </cell>
          <cell r="T634" t="str">
            <v>ВМЗ КО</v>
          </cell>
        </row>
        <row r="635">
          <cell r="B635" t="str">
            <v>Огнеупоры</v>
          </cell>
          <cell r="K635">
            <v>0</v>
          </cell>
          <cell r="N635">
            <v>0</v>
          </cell>
          <cell r="O635" t="str">
            <v>фирма ТЭК</v>
          </cell>
          <cell r="P635">
            <v>0</v>
          </cell>
          <cell r="S635">
            <v>0</v>
          </cell>
          <cell r="T635" t="str">
            <v>ВМЗ КО</v>
          </cell>
        </row>
        <row r="636">
          <cell r="B636" t="str">
            <v>Огнеупоры</v>
          </cell>
          <cell r="K636">
            <v>0</v>
          </cell>
          <cell r="N636">
            <v>0</v>
          </cell>
          <cell r="O636" t="str">
            <v>фирма ТЭК</v>
          </cell>
          <cell r="P636">
            <v>0</v>
          </cell>
          <cell r="S636">
            <v>0</v>
          </cell>
          <cell r="T636" t="str">
            <v>ВМЗ КО</v>
          </cell>
        </row>
        <row r="637">
          <cell r="B637" t="str">
            <v>Огнеупоры</v>
          </cell>
          <cell r="K637">
            <v>0</v>
          </cell>
          <cell r="N637">
            <v>0</v>
          </cell>
          <cell r="O637" t="str">
            <v>фирма ТЭК</v>
          </cell>
          <cell r="P637">
            <v>0</v>
          </cell>
          <cell r="S637">
            <v>0</v>
          </cell>
          <cell r="T637" t="str">
            <v>ВМЗ КО</v>
          </cell>
        </row>
        <row r="638">
          <cell r="B638" t="str">
            <v>Огнеупоры</v>
          </cell>
          <cell r="K638">
            <v>0</v>
          </cell>
          <cell r="N638">
            <v>0</v>
          </cell>
          <cell r="P638">
            <v>0</v>
          </cell>
          <cell r="S638">
            <v>0</v>
          </cell>
          <cell r="T638" t="str">
            <v>ВМЗ КО</v>
          </cell>
        </row>
        <row r="639">
          <cell r="B639" t="str">
            <v>Огнеупоры</v>
          </cell>
          <cell r="K639">
            <v>0</v>
          </cell>
          <cell r="N639">
            <v>0</v>
          </cell>
          <cell r="P639">
            <v>0</v>
          </cell>
          <cell r="S639">
            <v>0</v>
          </cell>
          <cell r="T639" t="str">
            <v>ВМЗ КО</v>
          </cell>
        </row>
        <row r="640">
          <cell r="B640" t="str">
            <v>Огнеупоры</v>
          </cell>
          <cell r="K640">
            <v>0</v>
          </cell>
          <cell r="N640">
            <v>0</v>
          </cell>
          <cell r="P640">
            <v>0</v>
          </cell>
          <cell r="S640">
            <v>0</v>
          </cell>
          <cell r="T640" t="str">
            <v>ВМЗ КО</v>
          </cell>
        </row>
        <row r="641">
          <cell r="B641" t="str">
            <v>Огнеупоры</v>
          </cell>
          <cell r="K641">
            <v>0</v>
          </cell>
          <cell r="N641">
            <v>0</v>
          </cell>
          <cell r="P641">
            <v>0</v>
          </cell>
          <cell r="S641">
            <v>0</v>
          </cell>
          <cell r="T641" t="str">
            <v>ВМЗ КО</v>
          </cell>
        </row>
        <row r="642">
          <cell r="B642" t="str">
            <v>Огнеупоры</v>
          </cell>
          <cell r="K642">
            <v>0</v>
          </cell>
          <cell r="N642">
            <v>0</v>
          </cell>
          <cell r="P642">
            <v>0</v>
          </cell>
          <cell r="S642">
            <v>0</v>
          </cell>
          <cell r="T642" t="str">
            <v>ВМЗ КО</v>
          </cell>
        </row>
        <row r="643">
          <cell r="B643" t="str">
            <v>Огнеупоры</v>
          </cell>
          <cell r="K643">
            <v>0</v>
          </cell>
          <cell r="N643">
            <v>0</v>
          </cell>
          <cell r="P643">
            <v>0</v>
          </cell>
          <cell r="S643">
            <v>0</v>
          </cell>
          <cell r="T643" t="str">
            <v>ВМЗ КО</v>
          </cell>
        </row>
        <row r="644">
          <cell r="B644" t="str">
            <v>Огнеупоры</v>
          </cell>
          <cell r="K644">
            <v>0</v>
          </cell>
          <cell r="N644">
            <v>0</v>
          </cell>
          <cell r="P644">
            <v>0</v>
          </cell>
          <cell r="S644">
            <v>0</v>
          </cell>
          <cell r="T644" t="str">
            <v>ВМЗ КО</v>
          </cell>
        </row>
        <row r="645">
          <cell r="B645" t="str">
            <v>Огнеупоры</v>
          </cell>
          <cell r="K645">
            <v>0</v>
          </cell>
          <cell r="N645">
            <v>0</v>
          </cell>
          <cell r="P645">
            <v>0</v>
          </cell>
          <cell r="S645">
            <v>0</v>
          </cell>
          <cell r="T645" t="str">
            <v>ВМЗ КО</v>
          </cell>
        </row>
        <row r="646">
          <cell r="B646" t="str">
            <v>Огнеупоры</v>
          </cell>
          <cell r="K646">
            <v>0</v>
          </cell>
          <cell r="N646">
            <v>0</v>
          </cell>
          <cell r="P646">
            <v>0</v>
          </cell>
          <cell r="S646">
            <v>0</v>
          </cell>
          <cell r="T646" t="str">
            <v>ВМЗ КО</v>
          </cell>
        </row>
        <row r="647">
          <cell r="B647" t="str">
            <v>Огнеупоры</v>
          </cell>
          <cell r="K647">
            <v>0</v>
          </cell>
          <cell r="N647">
            <v>0</v>
          </cell>
          <cell r="P647">
            <v>0</v>
          </cell>
          <cell r="S647">
            <v>0</v>
          </cell>
          <cell r="T647" t="str">
            <v>ВМЗ КО</v>
          </cell>
        </row>
        <row r="648">
          <cell r="B648" t="str">
            <v>Огнеупоры</v>
          </cell>
          <cell r="K648">
            <v>0</v>
          </cell>
          <cell r="N648">
            <v>0</v>
          </cell>
          <cell r="P648">
            <v>0</v>
          </cell>
          <cell r="S648">
            <v>0</v>
          </cell>
          <cell r="T648" t="str">
            <v>ВМЗ КО</v>
          </cell>
        </row>
        <row r="649">
          <cell r="B649" t="str">
            <v>Огнеупоры</v>
          </cell>
          <cell r="K649">
            <v>0</v>
          </cell>
          <cell r="N649">
            <v>0</v>
          </cell>
          <cell r="P649">
            <v>0</v>
          </cell>
          <cell r="S649">
            <v>0</v>
          </cell>
          <cell r="T649" t="str">
            <v>ВМЗ КО</v>
          </cell>
        </row>
        <row r="650">
          <cell r="B650" t="str">
            <v>Огнеупоры</v>
          </cell>
          <cell r="K650">
            <v>0</v>
          </cell>
          <cell r="N650">
            <v>0</v>
          </cell>
          <cell r="P650">
            <v>0</v>
          </cell>
          <cell r="S650">
            <v>0</v>
          </cell>
          <cell r="T650" t="str">
            <v>ВМЗ КО</v>
          </cell>
        </row>
        <row r="651">
          <cell r="B651" t="str">
            <v>Огнеупоры</v>
          </cell>
          <cell r="K651">
            <v>5</v>
          </cell>
          <cell r="N651">
            <v>33600</v>
          </cell>
          <cell r="O651" t="str">
            <v>огнеупоркомплект</v>
          </cell>
          <cell r="P651">
            <v>5</v>
          </cell>
          <cell r="S651">
            <v>33600</v>
          </cell>
          <cell r="T651" t="str">
            <v>ВМЗ КО</v>
          </cell>
        </row>
        <row r="652">
          <cell r="B652" t="str">
            <v>Огнеупоры</v>
          </cell>
          <cell r="K652">
            <v>0</v>
          </cell>
          <cell r="N652">
            <v>0</v>
          </cell>
          <cell r="P652">
            <v>0</v>
          </cell>
          <cell r="S652">
            <v>0</v>
          </cell>
          <cell r="T652" t="str">
            <v>ВМЗ КО</v>
          </cell>
        </row>
        <row r="653">
          <cell r="B653" t="str">
            <v>Огнеупоры</v>
          </cell>
          <cell r="K653">
            <v>0</v>
          </cell>
          <cell r="N653">
            <v>0</v>
          </cell>
          <cell r="P653">
            <v>0</v>
          </cell>
          <cell r="S653">
            <v>0</v>
          </cell>
          <cell r="T653" t="str">
            <v>ВМЗ КО</v>
          </cell>
        </row>
        <row r="654">
          <cell r="B654" t="str">
            <v>Огнеупоры</v>
          </cell>
          <cell r="K654">
            <v>0</v>
          </cell>
          <cell r="N654">
            <v>0</v>
          </cell>
          <cell r="P654">
            <v>0</v>
          </cell>
          <cell r="S654">
            <v>0</v>
          </cell>
          <cell r="T654" t="str">
            <v>ВМЗ КО</v>
          </cell>
        </row>
        <row r="655">
          <cell r="B655" t="str">
            <v>Огнеупоры</v>
          </cell>
          <cell r="K655">
            <v>0</v>
          </cell>
          <cell r="N655">
            <v>0</v>
          </cell>
          <cell r="P655">
            <v>0</v>
          </cell>
          <cell r="S655">
            <v>0</v>
          </cell>
          <cell r="T655" t="str">
            <v>ВМЗ КО</v>
          </cell>
        </row>
        <row r="656">
          <cell r="B656" t="str">
            <v>Огнеупоры</v>
          </cell>
          <cell r="K656">
            <v>0</v>
          </cell>
          <cell r="N656">
            <v>0</v>
          </cell>
          <cell r="P656">
            <v>0</v>
          </cell>
          <cell r="S656">
            <v>0</v>
          </cell>
          <cell r="T656" t="str">
            <v>ВМЗ КО</v>
          </cell>
        </row>
        <row r="657">
          <cell r="B657" t="str">
            <v>Огнеупоры</v>
          </cell>
          <cell r="K657">
            <v>0</v>
          </cell>
          <cell r="N657">
            <v>0</v>
          </cell>
          <cell r="P657">
            <v>0</v>
          </cell>
          <cell r="S657">
            <v>0</v>
          </cell>
          <cell r="T657" t="str">
            <v>ВМЗ КО</v>
          </cell>
        </row>
        <row r="658">
          <cell r="B658" t="str">
            <v>Огнеупоры</v>
          </cell>
          <cell r="K658">
            <v>0</v>
          </cell>
          <cell r="N658">
            <v>0</v>
          </cell>
          <cell r="P658">
            <v>0</v>
          </cell>
          <cell r="S658">
            <v>0</v>
          </cell>
          <cell r="T658" t="str">
            <v>ВМЗ КО</v>
          </cell>
        </row>
        <row r="659">
          <cell r="B659" t="str">
            <v>Огнеупоры</v>
          </cell>
          <cell r="K659">
            <v>0</v>
          </cell>
          <cell r="N659">
            <v>0</v>
          </cell>
          <cell r="P659">
            <v>0</v>
          </cell>
          <cell r="S659">
            <v>0</v>
          </cell>
          <cell r="T659" t="str">
            <v>ВМЗ КО</v>
          </cell>
        </row>
        <row r="660">
          <cell r="B660" t="str">
            <v>Огнеупоры</v>
          </cell>
          <cell r="K660">
            <v>0</v>
          </cell>
          <cell r="N660">
            <v>0</v>
          </cell>
          <cell r="P660">
            <v>0</v>
          </cell>
          <cell r="S660">
            <v>0</v>
          </cell>
          <cell r="T660" t="str">
            <v>ВМЗ КО</v>
          </cell>
        </row>
        <row r="661">
          <cell r="B661" t="str">
            <v>Огнеупоры</v>
          </cell>
          <cell r="K661">
            <v>0</v>
          </cell>
          <cell r="N661">
            <v>0</v>
          </cell>
          <cell r="P661">
            <v>0</v>
          </cell>
          <cell r="S661">
            <v>0</v>
          </cell>
          <cell r="T661" t="str">
            <v>ВМЗ КО</v>
          </cell>
        </row>
        <row r="662">
          <cell r="B662" t="str">
            <v>Огнеупоры</v>
          </cell>
          <cell r="K662">
            <v>0</v>
          </cell>
          <cell r="N662">
            <v>0</v>
          </cell>
          <cell r="P662">
            <v>0</v>
          </cell>
          <cell r="S662">
            <v>0</v>
          </cell>
          <cell r="T662" t="str">
            <v>ВМЗ КО</v>
          </cell>
        </row>
        <row r="663">
          <cell r="B663" t="str">
            <v>Огнеупоры</v>
          </cell>
          <cell r="K663">
            <v>0</v>
          </cell>
          <cell r="N663">
            <v>0</v>
          </cell>
          <cell r="P663">
            <v>0</v>
          </cell>
          <cell r="S663">
            <v>0</v>
          </cell>
          <cell r="T663" t="str">
            <v>ВМЗ КО</v>
          </cell>
        </row>
        <row r="664">
          <cell r="B664" t="str">
            <v>Огнеупоры</v>
          </cell>
          <cell r="K664">
            <v>0</v>
          </cell>
          <cell r="N664">
            <v>0</v>
          </cell>
          <cell r="P664">
            <v>0</v>
          </cell>
          <cell r="S664">
            <v>0</v>
          </cell>
          <cell r="T664" t="str">
            <v>ВМЗ КО</v>
          </cell>
        </row>
        <row r="665">
          <cell r="B665" t="str">
            <v>Огнеупоры</v>
          </cell>
          <cell r="K665">
            <v>0</v>
          </cell>
          <cell r="N665">
            <v>0</v>
          </cell>
          <cell r="P665">
            <v>0</v>
          </cell>
          <cell r="S665">
            <v>0</v>
          </cell>
          <cell r="T665" t="str">
            <v>ВМЗ КО</v>
          </cell>
        </row>
        <row r="666">
          <cell r="B666" t="str">
            <v>Огнеупоры</v>
          </cell>
          <cell r="K666">
            <v>0</v>
          </cell>
          <cell r="N666">
            <v>0</v>
          </cell>
          <cell r="P666">
            <v>0</v>
          </cell>
          <cell r="S666">
            <v>0</v>
          </cell>
          <cell r="T666" t="str">
            <v>ВМЗ КО</v>
          </cell>
        </row>
        <row r="667">
          <cell r="B667" t="str">
            <v>Огнеупоры</v>
          </cell>
          <cell r="K667">
            <v>0</v>
          </cell>
          <cell r="N667">
            <v>0</v>
          </cell>
          <cell r="P667">
            <v>0</v>
          </cell>
          <cell r="S667">
            <v>0</v>
          </cell>
          <cell r="T667" t="str">
            <v>ВМЗ КО</v>
          </cell>
        </row>
        <row r="668">
          <cell r="B668" t="str">
            <v>Огнеупоры</v>
          </cell>
          <cell r="K668">
            <v>0</v>
          </cell>
          <cell r="N668">
            <v>0</v>
          </cell>
          <cell r="P668">
            <v>0</v>
          </cell>
          <cell r="S668">
            <v>0</v>
          </cell>
          <cell r="T668" t="str">
            <v>ВМЗ КО</v>
          </cell>
        </row>
        <row r="669">
          <cell r="B669" t="str">
            <v>Огнеупоры</v>
          </cell>
          <cell r="K669">
            <v>0</v>
          </cell>
          <cell r="N669">
            <v>0</v>
          </cell>
          <cell r="P669">
            <v>0</v>
          </cell>
          <cell r="S669">
            <v>0</v>
          </cell>
          <cell r="T669" t="str">
            <v>ВМЗ КО</v>
          </cell>
        </row>
        <row r="670">
          <cell r="B670" t="str">
            <v>Огнеупоры</v>
          </cell>
          <cell r="K670">
            <v>0</v>
          </cell>
          <cell r="N670">
            <v>0</v>
          </cell>
          <cell r="P670">
            <v>0</v>
          </cell>
          <cell r="S670">
            <v>0</v>
          </cell>
          <cell r="T670" t="str">
            <v>ВМЗ КО</v>
          </cell>
        </row>
        <row r="671">
          <cell r="B671" t="str">
            <v>Огнеупоры</v>
          </cell>
          <cell r="K671">
            <v>0</v>
          </cell>
          <cell r="N671">
            <v>0</v>
          </cell>
          <cell r="P671">
            <v>0</v>
          </cell>
          <cell r="S671">
            <v>0</v>
          </cell>
          <cell r="T671" t="str">
            <v>ВМЗ КО</v>
          </cell>
        </row>
        <row r="672">
          <cell r="B672" t="str">
            <v>Огнеупоры</v>
          </cell>
          <cell r="K672">
            <v>0</v>
          </cell>
          <cell r="N672">
            <v>0</v>
          </cell>
          <cell r="P672">
            <v>0</v>
          </cell>
          <cell r="S672">
            <v>0</v>
          </cell>
          <cell r="T672" t="str">
            <v>ВМЗ КО</v>
          </cell>
        </row>
        <row r="673">
          <cell r="B673" t="str">
            <v>Огнеупоры</v>
          </cell>
          <cell r="K673">
            <v>0</v>
          </cell>
          <cell r="N673">
            <v>0</v>
          </cell>
          <cell r="P673">
            <v>0</v>
          </cell>
          <cell r="S673">
            <v>0</v>
          </cell>
          <cell r="T673" t="str">
            <v>ВМЗ КО</v>
          </cell>
        </row>
        <row r="674">
          <cell r="B674" t="str">
            <v>Огнеупоры</v>
          </cell>
          <cell r="K674">
            <v>0</v>
          </cell>
          <cell r="N674">
            <v>0</v>
          </cell>
          <cell r="P674">
            <v>0</v>
          </cell>
          <cell r="S674">
            <v>0</v>
          </cell>
          <cell r="T674" t="str">
            <v>ВМЗ КО</v>
          </cell>
        </row>
        <row r="675">
          <cell r="B675" t="str">
            <v>Огнеупоры</v>
          </cell>
          <cell r="K675">
            <v>0</v>
          </cell>
          <cell r="N675">
            <v>0</v>
          </cell>
          <cell r="P675">
            <v>0</v>
          </cell>
          <cell r="S675">
            <v>0</v>
          </cell>
          <cell r="T675" t="str">
            <v>ВМЗ КО</v>
          </cell>
        </row>
        <row r="676">
          <cell r="B676" t="str">
            <v>Огнеупоры</v>
          </cell>
          <cell r="K676">
            <v>0</v>
          </cell>
          <cell r="N676">
            <v>0</v>
          </cell>
          <cell r="P676">
            <v>0</v>
          </cell>
          <cell r="S676">
            <v>0</v>
          </cell>
          <cell r="T676" t="str">
            <v>ВМЗ КО</v>
          </cell>
        </row>
        <row r="677">
          <cell r="B677" t="str">
            <v>Огнеупоры</v>
          </cell>
          <cell r="K677">
            <v>0</v>
          </cell>
          <cell r="N677">
            <v>0</v>
          </cell>
          <cell r="P677">
            <v>0</v>
          </cell>
          <cell r="S677">
            <v>0</v>
          </cell>
          <cell r="T677" t="str">
            <v>ВМЗ КО</v>
          </cell>
        </row>
        <row r="678">
          <cell r="B678" t="str">
            <v>Огнеупоры</v>
          </cell>
          <cell r="K678">
            <v>0</v>
          </cell>
          <cell r="N678">
            <v>0</v>
          </cell>
          <cell r="P678">
            <v>0</v>
          </cell>
          <cell r="S678">
            <v>0</v>
          </cell>
          <cell r="T678" t="str">
            <v>ВМЗ КО</v>
          </cell>
        </row>
        <row r="679">
          <cell r="B679" t="str">
            <v>Огнеупоры</v>
          </cell>
          <cell r="K679">
            <v>0</v>
          </cell>
          <cell r="N679">
            <v>0</v>
          </cell>
          <cell r="P679">
            <v>0</v>
          </cell>
          <cell r="S679">
            <v>0</v>
          </cell>
          <cell r="T679" t="str">
            <v>ВМЗ КО</v>
          </cell>
        </row>
        <row r="680">
          <cell r="B680" t="str">
            <v>Огнеупоры</v>
          </cell>
          <cell r="K680">
            <v>0</v>
          </cell>
          <cell r="N680">
            <v>0</v>
          </cell>
          <cell r="P680">
            <v>0</v>
          </cell>
          <cell r="S680">
            <v>0</v>
          </cell>
          <cell r="T680" t="str">
            <v>ВМЗ КО</v>
          </cell>
        </row>
        <row r="681">
          <cell r="B681" t="str">
            <v>Огнеупоры</v>
          </cell>
          <cell r="K681">
            <v>0</v>
          </cell>
          <cell r="N681">
            <v>0</v>
          </cell>
          <cell r="P681">
            <v>0</v>
          </cell>
          <cell r="S681">
            <v>0</v>
          </cell>
          <cell r="T681" t="str">
            <v>ВМЗ КО</v>
          </cell>
        </row>
        <row r="682">
          <cell r="B682" t="str">
            <v>Огнеупоры</v>
          </cell>
          <cell r="K682">
            <v>0</v>
          </cell>
          <cell r="N682">
            <v>0</v>
          </cell>
          <cell r="P682">
            <v>0</v>
          </cell>
          <cell r="S682">
            <v>0</v>
          </cell>
          <cell r="T682" t="str">
            <v>ВМЗ КО</v>
          </cell>
        </row>
        <row r="683">
          <cell r="B683" t="str">
            <v>Огнеупоры</v>
          </cell>
          <cell r="K683">
            <v>0</v>
          </cell>
          <cell r="N683">
            <v>0</v>
          </cell>
          <cell r="P683">
            <v>0</v>
          </cell>
          <cell r="S683">
            <v>0</v>
          </cell>
          <cell r="T683" t="str">
            <v>ВМЗ КО</v>
          </cell>
        </row>
        <row r="684">
          <cell r="B684" t="str">
            <v>Огнеупоры</v>
          </cell>
          <cell r="K684">
            <v>10</v>
          </cell>
          <cell r="N684">
            <v>50724</v>
          </cell>
          <cell r="O684" t="str">
            <v>огнеупоркомплект</v>
          </cell>
          <cell r="P684">
            <v>10</v>
          </cell>
          <cell r="S684">
            <v>50724</v>
          </cell>
          <cell r="T684" t="str">
            <v>ВМЗ КО</v>
          </cell>
        </row>
        <row r="685">
          <cell r="B685" t="str">
            <v>Огнеупоры</v>
          </cell>
          <cell r="K685">
            <v>0</v>
          </cell>
          <cell r="N685">
            <v>0</v>
          </cell>
          <cell r="O685" t="str">
            <v>Огнеупорсбыт</v>
          </cell>
          <cell r="P685">
            <v>0</v>
          </cell>
          <cell r="S685">
            <v>0</v>
          </cell>
          <cell r="T685" t="str">
            <v>ВМЗ КО</v>
          </cell>
        </row>
        <row r="686">
          <cell r="B686" t="str">
            <v>Огнеупоры</v>
          </cell>
          <cell r="K686">
            <v>0</v>
          </cell>
          <cell r="N686">
            <v>0</v>
          </cell>
          <cell r="O686" t="str">
            <v>Огнеупорсбыт</v>
          </cell>
          <cell r="P686">
            <v>0</v>
          </cell>
          <cell r="S686">
            <v>0</v>
          </cell>
          <cell r="T686" t="str">
            <v>ВМЗ КО</v>
          </cell>
        </row>
        <row r="687">
          <cell r="B687" t="str">
            <v>Огнеупоры</v>
          </cell>
          <cell r="K687">
            <v>0</v>
          </cell>
          <cell r="N687">
            <v>0</v>
          </cell>
          <cell r="O687" t="str">
            <v>Огнеупорсбыт</v>
          </cell>
          <cell r="P687">
            <v>0</v>
          </cell>
          <cell r="S687">
            <v>0</v>
          </cell>
          <cell r="T687" t="str">
            <v>ВМЗ КО</v>
          </cell>
        </row>
        <row r="688">
          <cell r="B688" t="str">
            <v>Огнеупоры</v>
          </cell>
          <cell r="K688">
            <v>0</v>
          </cell>
          <cell r="N688">
            <v>0</v>
          </cell>
          <cell r="O688" t="str">
            <v>Огнеупорсбыт</v>
          </cell>
          <cell r="P688">
            <v>0</v>
          </cell>
          <cell r="S688">
            <v>0</v>
          </cell>
          <cell r="T688" t="str">
            <v>ВМЗ КО</v>
          </cell>
        </row>
        <row r="689">
          <cell r="B689" t="str">
            <v>Огнеупоры</v>
          </cell>
          <cell r="K689">
            <v>0</v>
          </cell>
          <cell r="N689">
            <v>0</v>
          </cell>
          <cell r="O689" t="str">
            <v>Огнеупорсбыт</v>
          </cell>
          <cell r="P689">
            <v>0</v>
          </cell>
          <cell r="S689">
            <v>0</v>
          </cell>
          <cell r="T689" t="str">
            <v>ВМЗ КО</v>
          </cell>
        </row>
        <row r="690">
          <cell r="B690" t="str">
            <v>Огнеупоры</v>
          </cell>
          <cell r="K690">
            <v>0</v>
          </cell>
          <cell r="N690">
            <v>0</v>
          </cell>
          <cell r="O690" t="str">
            <v>Огнеупорсбыт</v>
          </cell>
          <cell r="P690">
            <v>0</v>
          </cell>
          <cell r="S690">
            <v>0</v>
          </cell>
          <cell r="T690" t="str">
            <v>ВМЗ КО</v>
          </cell>
        </row>
        <row r="691">
          <cell r="B691" t="str">
            <v>Огнеупоры</v>
          </cell>
          <cell r="K691">
            <v>0</v>
          </cell>
          <cell r="N691">
            <v>0</v>
          </cell>
          <cell r="O691" t="str">
            <v>Воронежхимсервис</v>
          </cell>
          <cell r="P691">
            <v>0</v>
          </cell>
          <cell r="S691">
            <v>0</v>
          </cell>
          <cell r="T691" t="str">
            <v>ВМЗ КО</v>
          </cell>
        </row>
        <row r="692">
          <cell r="B692" t="str">
            <v>Огнеупоры</v>
          </cell>
          <cell r="K692">
            <v>0</v>
          </cell>
          <cell r="N692">
            <v>0</v>
          </cell>
          <cell r="O692" t="str">
            <v>Воронежхимсервис</v>
          </cell>
          <cell r="P692">
            <v>0</v>
          </cell>
          <cell r="S692">
            <v>0</v>
          </cell>
          <cell r="T692" t="str">
            <v>ВМЗ КО</v>
          </cell>
        </row>
        <row r="693">
          <cell r="B693" t="str">
            <v>Огнеупоры</v>
          </cell>
          <cell r="K693">
            <v>0</v>
          </cell>
          <cell r="N693">
            <v>0</v>
          </cell>
          <cell r="O693" t="str">
            <v>Воронежхимсервис</v>
          </cell>
          <cell r="P693">
            <v>0</v>
          </cell>
          <cell r="S693">
            <v>0</v>
          </cell>
          <cell r="T693" t="str">
            <v>ВМЗ КО</v>
          </cell>
        </row>
        <row r="694">
          <cell r="B694" t="str">
            <v>Огнеупоры</v>
          </cell>
          <cell r="K694">
            <v>3.92</v>
          </cell>
          <cell r="N694">
            <v>9050.4959999999992</v>
          </cell>
          <cell r="O694" t="str">
            <v>Воронежхимсервис</v>
          </cell>
          <cell r="P694">
            <v>3.92</v>
          </cell>
          <cell r="S694">
            <v>9050.4959999999992</v>
          </cell>
          <cell r="T694" t="str">
            <v>ВМЗ КО</v>
          </cell>
        </row>
        <row r="695">
          <cell r="B695" t="str">
            <v>Огнеупоры</v>
          </cell>
          <cell r="K695">
            <v>0</v>
          </cell>
          <cell r="N695">
            <v>0</v>
          </cell>
          <cell r="O695" t="str">
            <v>Воронежхимсервис</v>
          </cell>
          <cell r="P695">
            <v>0</v>
          </cell>
          <cell r="S695">
            <v>0</v>
          </cell>
          <cell r="T695" t="str">
            <v>ВМЗ КО</v>
          </cell>
        </row>
        <row r="696">
          <cell r="B696" t="str">
            <v>Огнеупоры</v>
          </cell>
          <cell r="K696">
            <v>0</v>
          </cell>
          <cell r="N696">
            <v>0</v>
          </cell>
          <cell r="O696" t="str">
            <v>Воронежхимсервис</v>
          </cell>
          <cell r="P696">
            <v>0</v>
          </cell>
          <cell r="S696">
            <v>0</v>
          </cell>
          <cell r="T696" t="str">
            <v>ВМЗ КО</v>
          </cell>
        </row>
        <row r="697">
          <cell r="B697" t="str">
            <v>Огнеупоры</v>
          </cell>
          <cell r="K697">
            <v>0</v>
          </cell>
          <cell r="N697">
            <v>0</v>
          </cell>
          <cell r="O697" t="str">
            <v>Воронежхимсервис</v>
          </cell>
          <cell r="P697">
            <v>0</v>
          </cell>
          <cell r="S697">
            <v>0</v>
          </cell>
          <cell r="T697" t="str">
            <v>ВМЗ КО</v>
          </cell>
        </row>
        <row r="698">
          <cell r="B698" t="str">
            <v>Огнеупоры</v>
          </cell>
          <cell r="K698">
            <v>0</v>
          </cell>
          <cell r="N698">
            <v>0</v>
          </cell>
          <cell r="O698" t="str">
            <v>Воронежхимсервис</v>
          </cell>
          <cell r="P698">
            <v>0</v>
          </cell>
          <cell r="S698">
            <v>0</v>
          </cell>
          <cell r="T698" t="str">
            <v>ВМЗ КО</v>
          </cell>
        </row>
        <row r="699">
          <cell r="B699" t="str">
            <v>Огнеупоры</v>
          </cell>
          <cell r="K699">
            <v>0</v>
          </cell>
          <cell r="N699">
            <v>0</v>
          </cell>
          <cell r="O699" t="str">
            <v>Воронежхимсервис</v>
          </cell>
          <cell r="P699">
            <v>0</v>
          </cell>
          <cell r="S699">
            <v>0</v>
          </cell>
          <cell r="T699" t="str">
            <v>ВМЗ КО</v>
          </cell>
        </row>
        <row r="700">
          <cell r="B700" t="str">
            <v>Огнеупоры</v>
          </cell>
          <cell r="K700">
            <v>0</v>
          </cell>
          <cell r="N700">
            <v>0</v>
          </cell>
          <cell r="O700" t="str">
            <v>Воронежхимсервис</v>
          </cell>
          <cell r="P700">
            <v>0</v>
          </cell>
          <cell r="S700">
            <v>0</v>
          </cell>
          <cell r="T700" t="str">
            <v>ВМЗ КО</v>
          </cell>
        </row>
        <row r="701">
          <cell r="B701" t="str">
            <v>Огнеупоры</v>
          </cell>
          <cell r="K701">
            <v>0</v>
          </cell>
          <cell r="N701">
            <v>0</v>
          </cell>
          <cell r="O701" t="str">
            <v>Воронежхимсервис</v>
          </cell>
          <cell r="P701">
            <v>0</v>
          </cell>
          <cell r="S701">
            <v>0</v>
          </cell>
          <cell r="T701" t="str">
            <v>ВМЗ КО</v>
          </cell>
        </row>
        <row r="702">
          <cell r="B702" t="str">
            <v>Огнеупоры</v>
          </cell>
          <cell r="K702">
            <v>0</v>
          </cell>
          <cell r="N702">
            <v>0</v>
          </cell>
          <cell r="O702" t="str">
            <v>Воронежхимсервис</v>
          </cell>
          <cell r="P702">
            <v>0</v>
          </cell>
          <cell r="S702">
            <v>0</v>
          </cell>
          <cell r="T702" t="str">
            <v>ВМЗ КО</v>
          </cell>
        </row>
        <row r="703">
          <cell r="B703" t="str">
            <v>Огнеупоры</v>
          </cell>
          <cell r="K703">
            <v>0</v>
          </cell>
          <cell r="N703">
            <v>0</v>
          </cell>
          <cell r="O703" t="str">
            <v>Воронежхимсервис</v>
          </cell>
          <cell r="P703">
            <v>0</v>
          </cell>
          <cell r="S703">
            <v>0</v>
          </cell>
          <cell r="T703" t="str">
            <v>ВМЗ КО</v>
          </cell>
        </row>
        <row r="704">
          <cell r="B704" t="str">
            <v>Огнеупоры</v>
          </cell>
          <cell r="K704">
            <v>10</v>
          </cell>
          <cell r="N704">
            <v>37440</v>
          </cell>
          <cell r="O704" t="str">
            <v>Воронежхимсервис</v>
          </cell>
          <cell r="P704">
            <v>10</v>
          </cell>
          <cell r="S704">
            <v>43284</v>
          </cell>
          <cell r="T704" t="str">
            <v>ВМЗ КО</v>
          </cell>
        </row>
        <row r="705">
          <cell r="B705" t="str">
            <v>Огнеупоры</v>
          </cell>
          <cell r="K705">
            <v>0</v>
          </cell>
          <cell r="N705">
            <v>0</v>
          </cell>
          <cell r="O705" t="str">
            <v>Воронежхимсервис</v>
          </cell>
          <cell r="P705">
            <v>0</v>
          </cell>
          <cell r="S705">
            <v>0</v>
          </cell>
          <cell r="T705" t="str">
            <v>ВМЗ КО</v>
          </cell>
        </row>
        <row r="706">
          <cell r="B706" t="str">
            <v>Огнеупоры</v>
          </cell>
          <cell r="K706">
            <v>0</v>
          </cell>
          <cell r="N706">
            <v>0</v>
          </cell>
          <cell r="O706" t="str">
            <v>Воронежхимсервис</v>
          </cell>
          <cell r="P706">
            <v>0</v>
          </cell>
          <cell r="S706">
            <v>0</v>
          </cell>
          <cell r="T706" t="str">
            <v>ВМЗ КО</v>
          </cell>
        </row>
        <row r="707">
          <cell r="B707" t="str">
            <v>Огнеупоры</v>
          </cell>
          <cell r="K707">
            <v>0</v>
          </cell>
          <cell r="N707">
            <v>0</v>
          </cell>
          <cell r="O707" t="str">
            <v>Воронежхимсервис</v>
          </cell>
          <cell r="P707">
            <v>0</v>
          </cell>
          <cell r="S707">
            <v>0</v>
          </cell>
          <cell r="T707" t="str">
            <v>ВМЗ КО</v>
          </cell>
        </row>
        <row r="708">
          <cell r="B708" t="str">
            <v>Огнеупоры</v>
          </cell>
          <cell r="K708">
            <v>0</v>
          </cell>
          <cell r="N708">
            <v>0</v>
          </cell>
          <cell r="O708" t="str">
            <v>Воронежхимсервис</v>
          </cell>
          <cell r="P708">
            <v>0</v>
          </cell>
          <cell r="S708">
            <v>0</v>
          </cell>
          <cell r="T708" t="str">
            <v>ВМЗ КО</v>
          </cell>
        </row>
        <row r="709">
          <cell r="B709" t="str">
            <v>Огнеупоры</v>
          </cell>
          <cell r="K709">
            <v>0</v>
          </cell>
          <cell r="N709">
            <v>0</v>
          </cell>
          <cell r="O709" t="str">
            <v>Воронежхимсервис</v>
          </cell>
          <cell r="P709">
            <v>0</v>
          </cell>
          <cell r="S709">
            <v>0</v>
          </cell>
          <cell r="T709" t="str">
            <v>ВМЗ КО</v>
          </cell>
        </row>
        <row r="710">
          <cell r="B710" t="str">
            <v>Огнеупоры</v>
          </cell>
          <cell r="K710">
            <v>0</v>
          </cell>
          <cell r="N710">
            <v>0</v>
          </cell>
          <cell r="O710" t="str">
            <v>Воронежхимсервис</v>
          </cell>
          <cell r="P710">
            <v>0</v>
          </cell>
          <cell r="S710">
            <v>0</v>
          </cell>
          <cell r="T710" t="str">
            <v>ВМЗ КО</v>
          </cell>
        </row>
        <row r="711">
          <cell r="B711" t="str">
            <v>Огнеупоры</v>
          </cell>
          <cell r="K711">
            <v>5</v>
          </cell>
          <cell r="N711">
            <v>52428</v>
          </cell>
          <cell r="O711" t="str">
            <v>Воронежхимсервис</v>
          </cell>
          <cell r="P711">
            <v>5</v>
          </cell>
          <cell r="S711">
            <v>52428</v>
          </cell>
          <cell r="T711" t="str">
            <v>ВМЗ КО</v>
          </cell>
        </row>
        <row r="712">
          <cell r="B712" t="str">
            <v>Огнеупоры</v>
          </cell>
          <cell r="K712">
            <v>0</v>
          </cell>
          <cell r="N712">
            <v>0</v>
          </cell>
          <cell r="O712" t="str">
            <v>Воронежхимсервис</v>
          </cell>
          <cell r="P712">
            <v>0</v>
          </cell>
          <cell r="S712">
            <v>0</v>
          </cell>
          <cell r="T712" t="str">
            <v>ВМЗ КО</v>
          </cell>
        </row>
        <row r="713">
          <cell r="B713" t="str">
            <v>Огнеупоры</v>
          </cell>
          <cell r="K713">
            <v>0</v>
          </cell>
          <cell r="N713">
            <v>0</v>
          </cell>
          <cell r="O713" t="str">
            <v>Воронежхимсервис</v>
          </cell>
          <cell r="P713">
            <v>0</v>
          </cell>
          <cell r="S713">
            <v>0</v>
          </cell>
          <cell r="T713" t="str">
            <v>ВМЗ КО</v>
          </cell>
        </row>
        <row r="714">
          <cell r="B714" t="str">
            <v>Огнеупоры</v>
          </cell>
          <cell r="K714">
            <v>0</v>
          </cell>
          <cell r="N714">
            <v>0</v>
          </cell>
          <cell r="O714" t="str">
            <v>Воронежхимсервис</v>
          </cell>
          <cell r="P714">
            <v>0</v>
          </cell>
          <cell r="S714">
            <v>0</v>
          </cell>
          <cell r="T714" t="str">
            <v>ВМЗ КО</v>
          </cell>
        </row>
        <row r="715">
          <cell r="B715" t="str">
            <v>Огнеупоры</v>
          </cell>
          <cell r="K715">
            <v>0</v>
          </cell>
          <cell r="N715">
            <v>0</v>
          </cell>
          <cell r="O715" t="str">
            <v>Воронежхимсервис</v>
          </cell>
          <cell r="P715">
            <v>0</v>
          </cell>
          <cell r="S715">
            <v>0</v>
          </cell>
          <cell r="T715" t="str">
            <v>ВМЗ КО</v>
          </cell>
        </row>
        <row r="716">
          <cell r="B716" t="str">
            <v>Огнеупоры</v>
          </cell>
          <cell r="K716">
            <v>0</v>
          </cell>
          <cell r="N716">
            <v>0</v>
          </cell>
          <cell r="O716" t="str">
            <v>Воронежхимсервис</v>
          </cell>
          <cell r="P716">
            <v>0</v>
          </cell>
          <cell r="S716">
            <v>0</v>
          </cell>
          <cell r="T716" t="str">
            <v>ВМЗ КО</v>
          </cell>
        </row>
        <row r="717">
          <cell r="B717" t="str">
            <v>Огнеупоры</v>
          </cell>
          <cell r="K717">
            <v>0</v>
          </cell>
          <cell r="N717">
            <v>0</v>
          </cell>
          <cell r="O717" t="str">
            <v>Воронежхимсервис</v>
          </cell>
          <cell r="P717">
            <v>0</v>
          </cell>
          <cell r="S717">
            <v>0</v>
          </cell>
          <cell r="T717" t="str">
            <v>ВМЗ КО</v>
          </cell>
        </row>
        <row r="718">
          <cell r="B718" t="str">
            <v>Огнеупоры</v>
          </cell>
          <cell r="K718">
            <v>0</v>
          </cell>
          <cell r="N718">
            <v>0</v>
          </cell>
          <cell r="O718" t="str">
            <v>Воронежхимсервис</v>
          </cell>
          <cell r="P718">
            <v>0</v>
          </cell>
          <cell r="S718">
            <v>0</v>
          </cell>
          <cell r="T718" t="str">
            <v>ВМЗ КО</v>
          </cell>
        </row>
        <row r="719">
          <cell r="B719" t="str">
            <v>Огнеупоры</v>
          </cell>
          <cell r="K719">
            <v>0</v>
          </cell>
          <cell r="N719">
            <v>0</v>
          </cell>
          <cell r="O719" t="str">
            <v>Воронежхимсервис</v>
          </cell>
          <cell r="P719">
            <v>0</v>
          </cell>
          <cell r="S719">
            <v>0</v>
          </cell>
          <cell r="T719" t="str">
            <v>ВМЗ КО</v>
          </cell>
        </row>
        <row r="720">
          <cell r="B720" t="str">
            <v>Огнеупоры</v>
          </cell>
          <cell r="K720">
            <v>14.27</v>
          </cell>
          <cell r="N720">
            <v>166222.66799999998</v>
          </cell>
          <cell r="O720" t="str">
            <v>Воронежхимсервис</v>
          </cell>
          <cell r="P720">
            <v>14.27</v>
          </cell>
          <cell r="S720">
            <v>166222.66799999998</v>
          </cell>
          <cell r="T720" t="str">
            <v>ВМЗ КО</v>
          </cell>
        </row>
        <row r="721">
          <cell r="B721" t="str">
            <v>Огнеупоры</v>
          </cell>
          <cell r="K721">
            <v>0</v>
          </cell>
          <cell r="N721">
            <v>0</v>
          </cell>
          <cell r="O721" t="str">
            <v>Воронежхимсервис</v>
          </cell>
          <cell r="P721">
            <v>0</v>
          </cell>
          <cell r="S721">
            <v>0</v>
          </cell>
          <cell r="T721" t="str">
            <v>ВМЗ КО</v>
          </cell>
        </row>
        <row r="722">
          <cell r="B722" t="str">
            <v>Огнеупоры</v>
          </cell>
          <cell r="K722">
            <v>0</v>
          </cell>
          <cell r="N722">
            <v>0</v>
          </cell>
          <cell r="O722" t="str">
            <v>Воронежхимсервис</v>
          </cell>
          <cell r="P722">
            <v>0</v>
          </cell>
          <cell r="S722">
            <v>0</v>
          </cell>
          <cell r="T722" t="str">
            <v>ВМЗ КО</v>
          </cell>
        </row>
        <row r="723">
          <cell r="B723" t="str">
            <v>Огнеупоры</v>
          </cell>
          <cell r="K723">
            <v>0</v>
          </cell>
          <cell r="N723">
            <v>0</v>
          </cell>
          <cell r="O723" t="str">
            <v>Воронежхимсервис</v>
          </cell>
          <cell r="P723">
            <v>0</v>
          </cell>
          <cell r="S723">
            <v>0</v>
          </cell>
          <cell r="T723" t="str">
            <v>ВМЗ КО</v>
          </cell>
        </row>
        <row r="724">
          <cell r="B724" t="str">
            <v>Огнеупоры</v>
          </cell>
          <cell r="K724">
            <v>0</v>
          </cell>
          <cell r="N724">
            <v>0</v>
          </cell>
          <cell r="O724" t="str">
            <v>Воронежхимсервис</v>
          </cell>
          <cell r="P724">
            <v>0</v>
          </cell>
          <cell r="S724">
            <v>0</v>
          </cell>
          <cell r="T724" t="str">
            <v>ВМЗ КО</v>
          </cell>
        </row>
        <row r="725">
          <cell r="B725" t="str">
            <v>Огнеупоры</v>
          </cell>
          <cell r="K725">
            <v>0</v>
          </cell>
          <cell r="N725">
            <v>0</v>
          </cell>
          <cell r="O725" t="str">
            <v>Воронежхимсервис</v>
          </cell>
          <cell r="P725">
            <v>0</v>
          </cell>
          <cell r="S725">
            <v>0</v>
          </cell>
          <cell r="T725" t="str">
            <v>ВМЗ КО</v>
          </cell>
        </row>
        <row r="726">
          <cell r="B726" t="str">
            <v>Огнеупоры</v>
          </cell>
          <cell r="K726">
            <v>5</v>
          </cell>
          <cell r="N726">
            <v>116921.99999999999</v>
          </cell>
          <cell r="O726" t="str">
            <v>Воронежхимсервис</v>
          </cell>
          <cell r="P726">
            <v>5</v>
          </cell>
          <cell r="S726">
            <v>116921.99999999999</v>
          </cell>
          <cell r="T726" t="str">
            <v>ВМЗ КО</v>
          </cell>
        </row>
        <row r="727">
          <cell r="B727" t="str">
            <v>Огнеупоры</v>
          </cell>
          <cell r="K727">
            <v>0</v>
          </cell>
          <cell r="N727">
            <v>0</v>
          </cell>
          <cell r="O727" t="str">
            <v>Воронежхимсервис</v>
          </cell>
          <cell r="P727">
            <v>0</v>
          </cell>
          <cell r="S727">
            <v>0</v>
          </cell>
          <cell r="T727" t="str">
            <v>ВМЗ КО</v>
          </cell>
        </row>
        <row r="728">
          <cell r="B728" t="str">
            <v>Огнеупоры</v>
          </cell>
          <cell r="K728">
            <v>0</v>
          </cell>
          <cell r="N728">
            <v>0</v>
          </cell>
          <cell r="O728" t="str">
            <v>Воронежхимсервис</v>
          </cell>
          <cell r="P728">
            <v>0</v>
          </cell>
          <cell r="S728">
            <v>0</v>
          </cell>
          <cell r="T728" t="str">
            <v>ВМЗ КО</v>
          </cell>
        </row>
        <row r="729">
          <cell r="B729" t="str">
            <v>Огнеупоры</v>
          </cell>
          <cell r="K729">
            <v>0</v>
          </cell>
          <cell r="N729">
            <v>0</v>
          </cell>
          <cell r="O729" t="str">
            <v>Воронежхимсервис</v>
          </cell>
          <cell r="P729">
            <v>0</v>
          </cell>
          <cell r="S729">
            <v>0</v>
          </cell>
          <cell r="T729" t="str">
            <v>ВМЗ КО</v>
          </cell>
        </row>
        <row r="730">
          <cell r="B730" t="str">
            <v>Огнеупоры</v>
          </cell>
          <cell r="K730">
            <v>20.683</v>
          </cell>
          <cell r="N730">
            <v>149091.33719999998</v>
          </cell>
          <cell r="O730" t="str">
            <v>Воронежхимсервис</v>
          </cell>
          <cell r="P730">
            <v>20.683</v>
          </cell>
          <cell r="S730">
            <v>149091.33719999998</v>
          </cell>
          <cell r="T730" t="str">
            <v>ВМЗ КО</v>
          </cell>
        </row>
        <row r="731">
          <cell r="B731" t="str">
            <v>Огнеупоры</v>
          </cell>
          <cell r="K731">
            <v>0</v>
          </cell>
          <cell r="N731">
            <v>0</v>
          </cell>
          <cell r="O731" t="str">
            <v>Воронежхимсервис</v>
          </cell>
          <cell r="P731">
            <v>0</v>
          </cell>
          <cell r="S731">
            <v>0</v>
          </cell>
          <cell r="T731" t="str">
            <v>ВМЗ КО</v>
          </cell>
        </row>
        <row r="732">
          <cell r="B732" t="str">
            <v>Огнеупоры</v>
          </cell>
          <cell r="K732">
            <v>0</v>
          </cell>
          <cell r="N732">
            <v>0</v>
          </cell>
          <cell r="O732" t="str">
            <v>Огнеупорсбыт</v>
          </cell>
          <cell r="P732">
            <v>0</v>
          </cell>
          <cell r="S732">
            <v>0</v>
          </cell>
          <cell r="T732" t="str">
            <v>ВМЗ КО</v>
          </cell>
        </row>
        <row r="733">
          <cell r="B733" t="str">
            <v>Огнеупоры</v>
          </cell>
          <cell r="K733">
            <v>0</v>
          </cell>
          <cell r="N733">
            <v>0</v>
          </cell>
          <cell r="O733" t="str">
            <v>Огнеупорсбыт</v>
          </cell>
          <cell r="P733">
            <v>0</v>
          </cell>
          <cell r="S733">
            <v>0</v>
          </cell>
          <cell r="T733" t="str">
            <v>ВМЗ КО</v>
          </cell>
        </row>
        <row r="734">
          <cell r="B734" t="str">
            <v>Огнеупоры</v>
          </cell>
          <cell r="K734">
            <v>0</v>
          </cell>
          <cell r="N734">
            <v>0</v>
          </cell>
          <cell r="O734" t="str">
            <v>Огнеупорсбыт</v>
          </cell>
          <cell r="P734">
            <v>0</v>
          </cell>
          <cell r="S734">
            <v>0</v>
          </cell>
          <cell r="T734" t="str">
            <v>ВМЗ КО</v>
          </cell>
        </row>
        <row r="735">
          <cell r="B735" t="str">
            <v>Огнеупоры</v>
          </cell>
          <cell r="K735">
            <v>0</v>
          </cell>
          <cell r="N735">
            <v>0</v>
          </cell>
          <cell r="O735" t="str">
            <v>Огнеупорсбыт</v>
          </cell>
          <cell r="P735">
            <v>0</v>
          </cell>
          <cell r="S735">
            <v>0</v>
          </cell>
          <cell r="T735" t="str">
            <v>ВМЗ КО</v>
          </cell>
        </row>
        <row r="736">
          <cell r="B736" t="str">
            <v>Огнеупоры</v>
          </cell>
          <cell r="K736">
            <v>0</v>
          </cell>
          <cell r="N736">
            <v>0</v>
          </cell>
          <cell r="O736" t="str">
            <v>Огнеупорсбыт</v>
          </cell>
          <cell r="P736">
            <v>0</v>
          </cell>
          <cell r="S736">
            <v>0</v>
          </cell>
          <cell r="T736" t="str">
            <v>ВМЗ КО</v>
          </cell>
        </row>
        <row r="737">
          <cell r="B737" t="str">
            <v>Огнеупоры</v>
          </cell>
          <cell r="K737">
            <v>0</v>
          </cell>
          <cell r="N737">
            <v>0</v>
          </cell>
          <cell r="O737" t="str">
            <v>Огнеупорсбыт</v>
          </cell>
          <cell r="P737">
            <v>0</v>
          </cell>
          <cell r="S737">
            <v>0</v>
          </cell>
          <cell r="T737" t="str">
            <v>ВМЗ КО</v>
          </cell>
        </row>
        <row r="738">
          <cell r="B738" t="str">
            <v>Огнеупоры</v>
          </cell>
          <cell r="K738">
            <v>0</v>
          </cell>
          <cell r="N738">
            <v>0</v>
          </cell>
          <cell r="O738" t="str">
            <v>Огнеупорсбыт</v>
          </cell>
          <cell r="P738">
            <v>0</v>
          </cell>
          <cell r="S738">
            <v>0</v>
          </cell>
          <cell r="T738" t="str">
            <v>ВМЗ КО</v>
          </cell>
        </row>
        <row r="739">
          <cell r="B739" t="str">
            <v>Огнеупоры</v>
          </cell>
          <cell r="K739">
            <v>0</v>
          </cell>
          <cell r="N739">
            <v>0</v>
          </cell>
          <cell r="O739" t="str">
            <v>Огнеупорсбыт</v>
          </cell>
          <cell r="P739">
            <v>0</v>
          </cell>
          <cell r="S739">
            <v>0</v>
          </cell>
          <cell r="T739" t="str">
            <v>ВМЗ КО</v>
          </cell>
        </row>
        <row r="740">
          <cell r="B740" t="str">
            <v>Огнеупоры</v>
          </cell>
          <cell r="K740">
            <v>0</v>
          </cell>
          <cell r="N740">
            <v>0</v>
          </cell>
          <cell r="O740" t="str">
            <v>Огнеупорсбыт</v>
          </cell>
          <cell r="P740">
            <v>0</v>
          </cell>
          <cell r="S740">
            <v>0</v>
          </cell>
          <cell r="T740" t="str">
            <v>ВМЗ КО</v>
          </cell>
        </row>
        <row r="741">
          <cell r="B741" t="str">
            <v>Огнеупоры</v>
          </cell>
          <cell r="K741">
            <v>0.97</v>
          </cell>
          <cell r="N741">
            <v>15966.587999999998</v>
          </cell>
          <cell r="O741" t="str">
            <v>Огнеупорсбыт</v>
          </cell>
          <cell r="P741">
            <v>0.97</v>
          </cell>
          <cell r="S741">
            <v>15966.587999999998</v>
          </cell>
          <cell r="T741" t="str">
            <v>ВМЗ КО</v>
          </cell>
        </row>
        <row r="742">
          <cell r="B742" t="str">
            <v>Огнеупоры</v>
          </cell>
          <cell r="K742">
            <v>0</v>
          </cell>
          <cell r="N742">
            <v>0</v>
          </cell>
          <cell r="O742" t="str">
            <v>Огнеупорсбыт</v>
          </cell>
          <cell r="P742">
            <v>0</v>
          </cell>
          <cell r="S742">
            <v>0</v>
          </cell>
          <cell r="T742" t="str">
            <v>ВМЗ КО</v>
          </cell>
        </row>
        <row r="743">
          <cell r="B743" t="str">
            <v>Огнеупоры</v>
          </cell>
          <cell r="K743">
            <v>1.84</v>
          </cell>
          <cell r="N743">
            <v>262807.2</v>
          </cell>
          <cell r="O743" t="str">
            <v>Спецоборудование и материалы</v>
          </cell>
          <cell r="P743">
            <v>1.84</v>
          </cell>
          <cell r="S743">
            <v>262807.2</v>
          </cell>
          <cell r="T743" t="str">
            <v>ВМЗ КО</v>
          </cell>
        </row>
        <row r="744">
          <cell r="B744" t="str">
            <v>Чугун</v>
          </cell>
          <cell r="K744">
            <v>1441.865</v>
          </cell>
          <cell r="N744">
            <v>4152571.2</v>
          </cell>
          <cell r="O744" t="str">
            <v>Свободный сокол</v>
          </cell>
          <cell r="P744">
            <v>1441.865</v>
          </cell>
          <cell r="S744">
            <v>5099011.3859999999</v>
          </cell>
          <cell r="T744" t="str">
            <v>ВМЗ КО</v>
          </cell>
        </row>
        <row r="745">
          <cell r="B745" t="str">
            <v>Чугун</v>
          </cell>
          <cell r="K745">
            <v>0</v>
          </cell>
          <cell r="N745">
            <v>0</v>
          </cell>
          <cell r="O745" t="str">
            <v>Мир-ЛК</v>
          </cell>
          <cell r="P745">
            <v>0</v>
          </cell>
          <cell r="S745">
            <v>0</v>
          </cell>
        </row>
        <row r="746">
          <cell r="B746" t="str">
            <v>Чугун</v>
          </cell>
          <cell r="K746">
            <v>190.13300000000001</v>
          </cell>
          <cell r="N746">
            <v>617171.71799999999</v>
          </cell>
          <cell r="O746" t="str">
            <v>Техснаб</v>
          </cell>
          <cell r="P746">
            <v>190.13300000000001</v>
          </cell>
          <cell r="S746">
            <v>750645.08400000003</v>
          </cell>
          <cell r="T746" t="str">
            <v>ВМЗ КО</v>
          </cell>
        </row>
        <row r="747">
          <cell r="B747" t="str">
            <v>Ферросплавы</v>
          </cell>
          <cell r="K747">
            <v>101.93600000000001</v>
          </cell>
          <cell r="N747">
            <v>1365126.912</v>
          </cell>
          <cell r="O747" t="str">
            <v>ТЭК</v>
          </cell>
          <cell r="P747">
            <v>101.93600000000001</v>
          </cell>
          <cell r="S747">
            <v>1470324.8640000001</v>
          </cell>
          <cell r="T747" t="str">
            <v>ВМЗ КО</v>
          </cell>
        </row>
        <row r="748">
          <cell r="B748" t="str">
            <v>Ферросплавы</v>
          </cell>
          <cell r="K748">
            <v>130</v>
          </cell>
          <cell r="N748">
            <v>1740960</v>
          </cell>
          <cell r="O748" t="str">
            <v>Промстальинвест</v>
          </cell>
          <cell r="P748">
            <v>130</v>
          </cell>
          <cell r="S748">
            <v>1841892</v>
          </cell>
          <cell r="T748" t="str">
            <v>ВМЗ КО</v>
          </cell>
        </row>
        <row r="749">
          <cell r="B749" t="str">
            <v>Ферросплавы</v>
          </cell>
          <cell r="K749">
            <v>0</v>
          </cell>
          <cell r="N749">
            <v>0</v>
          </cell>
          <cell r="O749" t="str">
            <v>Уралметресурс</v>
          </cell>
          <cell r="P749">
            <v>0</v>
          </cell>
          <cell r="S749">
            <v>0</v>
          </cell>
          <cell r="T749" t="str">
            <v>ВМЗ КО</v>
          </cell>
        </row>
        <row r="750">
          <cell r="B750" t="str">
            <v>Ферросплавы</v>
          </cell>
          <cell r="K750">
            <v>169.00700000000001</v>
          </cell>
          <cell r="N750">
            <v>1683309.72</v>
          </cell>
          <cell r="O750" t="str">
            <v>Векта</v>
          </cell>
          <cell r="P750">
            <v>169.00700000000001</v>
          </cell>
          <cell r="S750">
            <v>1894636.0728</v>
          </cell>
          <cell r="T750" t="str">
            <v>ВМЗ КО</v>
          </cell>
        </row>
        <row r="751">
          <cell r="B751" t="str">
            <v>Ферросплавы</v>
          </cell>
          <cell r="K751">
            <v>0</v>
          </cell>
          <cell r="N751">
            <v>0</v>
          </cell>
          <cell r="P751">
            <v>0</v>
          </cell>
          <cell r="S751">
            <v>0</v>
          </cell>
          <cell r="T751" t="str">
            <v>ВМЗ КО</v>
          </cell>
        </row>
        <row r="752">
          <cell r="B752" t="str">
            <v>Ферросплавы</v>
          </cell>
          <cell r="K752">
            <v>0</v>
          </cell>
          <cell r="N752">
            <v>0</v>
          </cell>
          <cell r="O752" t="str">
            <v>ТЭК</v>
          </cell>
          <cell r="P752">
            <v>0</v>
          </cell>
          <cell r="S752">
            <v>0</v>
          </cell>
          <cell r="T752" t="str">
            <v>ВМЗ КО</v>
          </cell>
        </row>
        <row r="753">
          <cell r="B753" t="str">
            <v>Ферросплавы</v>
          </cell>
          <cell r="K753">
            <v>0</v>
          </cell>
          <cell r="N753">
            <v>0</v>
          </cell>
          <cell r="O753" t="str">
            <v>Волгосталь</v>
          </cell>
          <cell r="P753">
            <v>0</v>
          </cell>
          <cell r="S753">
            <v>0</v>
          </cell>
          <cell r="T753" t="str">
            <v>ВМЗ КО</v>
          </cell>
        </row>
        <row r="754">
          <cell r="B754" t="str">
            <v>Ферросплавы</v>
          </cell>
          <cell r="K754">
            <v>0</v>
          </cell>
          <cell r="N754">
            <v>0</v>
          </cell>
          <cell r="O754" t="str">
            <v>Ферротек</v>
          </cell>
          <cell r="P754">
            <v>0</v>
          </cell>
          <cell r="S754">
            <v>0</v>
          </cell>
          <cell r="T754" t="str">
            <v>ВМЗ КО</v>
          </cell>
        </row>
        <row r="755">
          <cell r="B755" t="str">
            <v>Ферросплавы</v>
          </cell>
          <cell r="K755">
            <v>142.41800000000001</v>
          </cell>
          <cell r="N755">
            <v>2278118.3280000002</v>
          </cell>
          <cell r="O755" t="str">
            <v>Трансстройинвест</v>
          </cell>
          <cell r="P755">
            <v>142.41800000000001</v>
          </cell>
          <cell r="S755">
            <v>2457906.8111999999</v>
          </cell>
          <cell r="T755" t="str">
            <v>ВМЗ КО</v>
          </cell>
        </row>
        <row r="756">
          <cell r="B756" t="str">
            <v>Ферросплавы</v>
          </cell>
          <cell r="K756">
            <v>0</v>
          </cell>
          <cell r="N756">
            <v>0</v>
          </cell>
          <cell r="O756" t="str">
            <v>Артания континенталь</v>
          </cell>
          <cell r="P756">
            <v>0</v>
          </cell>
          <cell r="S756">
            <v>0</v>
          </cell>
          <cell r="T756" t="str">
            <v>ВМЗ КО</v>
          </cell>
        </row>
        <row r="757">
          <cell r="B757" t="str">
            <v>Ферросплавы</v>
          </cell>
          <cell r="K757">
            <v>19.236999999999998</v>
          </cell>
          <cell r="N757">
            <v>515243.80799999996</v>
          </cell>
          <cell r="O757" t="str">
            <v>Трансстройинвест</v>
          </cell>
          <cell r="P757">
            <v>19.236999999999998</v>
          </cell>
          <cell r="S757">
            <v>594100.11839999992</v>
          </cell>
          <cell r="T757" t="str">
            <v>ВМЗ КО</v>
          </cell>
        </row>
        <row r="758">
          <cell r="B758" t="str">
            <v>Ферросплавы</v>
          </cell>
          <cell r="K758">
            <v>0</v>
          </cell>
          <cell r="N758">
            <v>0</v>
          </cell>
          <cell r="O758" t="str">
            <v>Ферротранс</v>
          </cell>
          <cell r="P758">
            <v>0</v>
          </cell>
          <cell r="S758">
            <v>0</v>
          </cell>
          <cell r="T758" t="str">
            <v>ВМЗ КО</v>
          </cell>
        </row>
        <row r="759">
          <cell r="B759" t="str">
            <v>Ферросплавы</v>
          </cell>
          <cell r="K759">
            <v>16.329999999999998</v>
          </cell>
          <cell r="N759">
            <v>779587.66799999995</v>
          </cell>
          <cell r="O759" t="str">
            <v>Трансстройинвест</v>
          </cell>
          <cell r="P759">
            <v>16.329999999999998</v>
          </cell>
          <cell r="S759">
            <v>825305.13599999982</v>
          </cell>
          <cell r="T759" t="str">
            <v>ВМЗ КО</v>
          </cell>
        </row>
        <row r="760">
          <cell r="B760" t="str">
            <v>Ферросплавы</v>
          </cell>
          <cell r="K760">
            <v>46.290999999999997</v>
          </cell>
          <cell r="N760">
            <v>740470.83599999989</v>
          </cell>
          <cell r="O760" t="str">
            <v>Трансстройинвест</v>
          </cell>
          <cell r="P760">
            <v>46.290999999999997</v>
          </cell>
          <cell r="S760">
            <v>816406.59239999985</v>
          </cell>
          <cell r="T760" t="str">
            <v>ВМЗ КО</v>
          </cell>
        </row>
        <row r="761">
          <cell r="B761" t="str">
            <v>Ферросплавы</v>
          </cell>
          <cell r="K761">
            <v>0</v>
          </cell>
          <cell r="N761">
            <v>0</v>
          </cell>
          <cell r="O761" t="str">
            <v>Артания континенталь</v>
          </cell>
          <cell r="P761">
            <v>0</v>
          </cell>
          <cell r="S761">
            <v>0</v>
          </cell>
          <cell r="T761" t="str">
            <v>ВМЗ КО</v>
          </cell>
        </row>
        <row r="762">
          <cell r="B762" t="str">
            <v>Ферросплавы</v>
          </cell>
          <cell r="K762">
            <v>0</v>
          </cell>
          <cell r="N762">
            <v>0</v>
          </cell>
          <cell r="O762" t="str">
            <v>Волгосталь</v>
          </cell>
          <cell r="P762">
            <v>0</v>
          </cell>
          <cell r="S762">
            <v>0</v>
          </cell>
          <cell r="T762" t="str">
            <v>ВМЗ КО</v>
          </cell>
        </row>
        <row r="763">
          <cell r="B763" t="str">
            <v>Ферросплавы</v>
          </cell>
          <cell r="K763">
            <v>0</v>
          </cell>
          <cell r="N763">
            <v>0</v>
          </cell>
          <cell r="O763" t="str">
            <v>ТЭК</v>
          </cell>
          <cell r="P763">
            <v>0</v>
          </cell>
          <cell r="S763">
            <v>0</v>
          </cell>
          <cell r="T763" t="str">
            <v>ВМЗ КО</v>
          </cell>
        </row>
        <row r="764">
          <cell r="B764" t="str">
            <v>Ферросплавы</v>
          </cell>
          <cell r="K764">
            <v>0</v>
          </cell>
          <cell r="N764">
            <v>0</v>
          </cell>
          <cell r="O764" t="str">
            <v>ТЭК</v>
          </cell>
          <cell r="P764">
            <v>0</v>
          </cell>
          <cell r="S764">
            <v>0</v>
          </cell>
          <cell r="T764" t="str">
            <v>ВМЗ КО</v>
          </cell>
        </row>
        <row r="765">
          <cell r="B765" t="str">
            <v>Ферросплавы</v>
          </cell>
          <cell r="K765">
            <v>12.327999999999999</v>
          </cell>
          <cell r="N765">
            <v>399205.29599999997</v>
          </cell>
          <cell r="O765" t="str">
            <v>ТЭК</v>
          </cell>
          <cell r="P765">
            <v>12.327999999999999</v>
          </cell>
          <cell r="S765">
            <v>412001.75999999995</v>
          </cell>
          <cell r="T765" t="str">
            <v>ВМЗ КО</v>
          </cell>
        </row>
        <row r="766">
          <cell r="B766" t="str">
            <v>Ферросплавы</v>
          </cell>
          <cell r="K766">
            <v>0</v>
          </cell>
          <cell r="N766">
            <v>0</v>
          </cell>
          <cell r="O766" t="str">
            <v>ТЭК</v>
          </cell>
          <cell r="P766">
            <v>0</v>
          </cell>
          <cell r="S766">
            <v>0</v>
          </cell>
          <cell r="T766" t="str">
            <v>ВМЗ КО</v>
          </cell>
        </row>
        <row r="767">
          <cell r="B767" t="str">
            <v>Ферросплавы</v>
          </cell>
          <cell r="K767">
            <v>187.041</v>
          </cell>
          <cell r="N767">
            <v>5406307.8803999992</v>
          </cell>
          <cell r="O767" t="str">
            <v>ТЭК</v>
          </cell>
          <cell r="P767">
            <v>187.041</v>
          </cell>
          <cell r="S767">
            <v>5579133.7643999998</v>
          </cell>
          <cell r="T767" t="str">
            <v>ВМЗ КО</v>
          </cell>
        </row>
        <row r="768">
          <cell r="B768" t="str">
            <v>Ферросплавы</v>
          </cell>
          <cell r="K768">
            <v>157.41900000000001</v>
          </cell>
          <cell r="N768">
            <v>4274870.3640000001</v>
          </cell>
          <cell r="O768" t="str">
            <v>Серовский з-д ферросплавов</v>
          </cell>
          <cell r="P768">
            <v>157.41900000000001</v>
          </cell>
          <cell r="S768">
            <v>4576548.1355999997</v>
          </cell>
          <cell r="T768" t="str">
            <v>ВМЗ КО</v>
          </cell>
        </row>
        <row r="769">
          <cell r="B769" t="str">
            <v>Ферросплавы</v>
          </cell>
          <cell r="K769">
            <v>0</v>
          </cell>
          <cell r="N769">
            <v>0</v>
          </cell>
          <cell r="O769" t="str">
            <v>Трио сервис</v>
          </cell>
          <cell r="P769">
            <v>0</v>
          </cell>
          <cell r="S769">
            <v>0</v>
          </cell>
          <cell r="T769" t="str">
            <v>ВМЗ КО</v>
          </cell>
        </row>
        <row r="770">
          <cell r="B770" t="str">
            <v>Ферросплавы</v>
          </cell>
          <cell r="K770">
            <v>16.372</v>
          </cell>
          <cell r="N770">
            <v>419293.46879999997</v>
          </cell>
          <cell r="O770" t="str">
            <v>ТЭК</v>
          </cell>
          <cell r="P770">
            <v>16.372</v>
          </cell>
          <cell r="S770">
            <v>432653.02079999994</v>
          </cell>
          <cell r="T770" t="str">
            <v>ВМЗ КО</v>
          </cell>
        </row>
        <row r="771">
          <cell r="B771" t="str">
            <v>Ферросплавы</v>
          </cell>
          <cell r="K771">
            <v>179.904</v>
          </cell>
          <cell r="N771">
            <v>2978130.8160000001</v>
          </cell>
          <cell r="O771" t="str">
            <v>Трио сервис</v>
          </cell>
          <cell r="P771">
            <v>179.904</v>
          </cell>
          <cell r="S771">
            <v>3394140.8255999996</v>
          </cell>
          <cell r="T771" t="str">
            <v>ВМЗ КО</v>
          </cell>
        </row>
        <row r="772">
          <cell r="B772" t="str">
            <v>Ферросплавы</v>
          </cell>
          <cell r="K772">
            <v>0</v>
          </cell>
          <cell r="N772">
            <v>0</v>
          </cell>
          <cell r="O772" t="str">
            <v>Трио сервис</v>
          </cell>
          <cell r="P772">
            <v>0</v>
          </cell>
          <cell r="S772">
            <v>0</v>
          </cell>
          <cell r="T772" t="str">
            <v>ВМЗ КО</v>
          </cell>
        </row>
        <row r="773">
          <cell r="B773" t="str">
            <v>Ферросплавы</v>
          </cell>
          <cell r="K773">
            <v>0</v>
          </cell>
          <cell r="N773">
            <v>0</v>
          </cell>
          <cell r="P773">
            <v>0</v>
          </cell>
          <cell r="S773">
            <v>0</v>
          </cell>
          <cell r="T773" t="str">
            <v>ВМЗ КО</v>
          </cell>
        </row>
        <row r="774">
          <cell r="B774" t="str">
            <v>Ферросплавы</v>
          </cell>
          <cell r="K774">
            <v>1.0169999999999999</v>
          </cell>
          <cell r="N774">
            <v>17756.82</v>
          </cell>
          <cell r="O774" t="str">
            <v>Содействие</v>
          </cell>
          <cell r="P774">
            <v>1.0169999999999999</v>
          </cell>
          <cell r="S774">
            <v>17936.218799999995</v>
          </cell>
          <cell r="T774" t="str">
            <v>ВМЗ КО</v>
          </cell>
        </row>
        <row r="775">
          <cell r="B775" t="str">
            <v>Ферросплавы</v>
          </cell>
          <cell r="K775">
            <v>63.476999999999997</v>
          </cell>
          <cell r="N775">
            <v>1201391.0927999998</v>
          </cell>
          <cell r="O775" t="str">
            <v>Векта</v>
          </cell>
          <cell r="P775">
            <v>63.476999999999997</v>
          </cell>
          <cell r="S775">
            <v>1239477.2927999997</v>
          </cell>
          <cell r="T775" t="str">
            <v>ВМЗ КО</v>
          </cell>
        </row>
        <row r="776">
          <cell r="B776" t="str">
            <v>Ферросплавы</v>
          </cell>
          <cell r="K776">
            <v>6.444</v>
          </cell>
          <cell r="N776">
            <v>1018193.2416</v>
          </cell>
          <cell r="O776" t="str">
            <v>Стройинтерснаб</v>
          </cell>
          <cell r="P776">
            <v>6.444</v>
          </cell>
          <cell r="S776">
            <v>1027085.9615999999</v>
          </cell>
          <cell r="T776" t="str">
            <v>ВМЗ КО</v>
          </cell>
        </row>
        <row r="777">
          <cell r="B777" t="str">
            <v>Ферросплавы</v>
          </cell>
          <cell r="K777">
            <v>0</v>
          </cell>
          <cell r="N777">
            <v>0</v>
          </cell>
          <cell r="O777" t="str">
            <v>Скайн лайн</v>
          </cell>
          <cell r="P777">
            <v>0</v>
          </cell>
          <cell r="S777">
            <v>0</v>
          </cell>
          <cell r="T777" t="str">
            <v>ВМЗ КО</v>
          </cell>
        </row>
        <row r="778">
          <cell r="B778" t="str">
            <v>Ферросплавы</v>
          </cell>
          <cell r="K778">
            <v>0</v>
          </cell>
          <cell r="N778">
            <v>0</v>
          </cell>
          <cell r="O778" t="str">
            <v>Каскад АВС</v>
          </cell>
          <cell r="P778">
            <v>0</v>
          </cell>
          <cell r="S778">
            <v>0</v>
          </cell>
          <cell r="T778" t="str">
            <v>ВМЗ КО</v>
          </cell>
        </row>
        <row r="779">
          <cell r="B779" t="str">
            <v>Ферросплавы</v>
          </cell>
          <cell r="K779">
            <v>27.585999999999999</v>
          </cell>
          <cell r="N779">
            <v>2373135.3048</v>
          </cell>
          <cell r="O779" t="str">
            <v>Стройинтерснаб</v>
          </cell>
          <cell r="P779">
            <v>27.585999999999999</v>
          </cell>
          <cell r="S779">
            <v>2207056.5503999996</v>
          </cell>
          <cell r="T779" t="str">
            <v>ВМЗ КО</v>
          </cell>
        </row>
        <row r="780">
          <cell r="B780" t="str">
            <v>Ферросплавы</v>
          </cell>
          <cell r="K780">
            <v>0</v>
          </cell>
          <cell r="N780">
            <v>0</v>
          </cell>
          <cell r="P780">
            <v>0</v>
          </cell>
          <cell r="S780">
            <v>0</v>
          </cell>
          <cell r="T780" t="str">
            <v>ВМЗ КО</v>
          </cell>
        </row>
        <row r="781">
          <cell r="B781" t="str">
            <v>Никель</v>
          </cell>
          <cell r="K781">
            <v>63.503999999999991</v>
          </cell>
          <cell r="N781">
            <v>15545779.199999997</v>
          </cell>
          <cell r="O781" t="str">
            <v>Цвеметкомплектация</v>
          </cell>
          <cell r="P781">
            <v>63.503999999999991</v>
          </cell>
          <cell r="S781">
            <v>15926574.585599998</v>
          </cell>
          <cell r="T781" t="str">
            <v>ВМЗ КО</v>
          </cell>
        </row>
        <row r="782">
          <cell r="B782" t="str">
            <v>Никель</v>
          </cell>
          <cell r="K782">
            <v>60</v>
          </cell>
          <cell r="N782">
            <v>14688000</v>
          </cell>
          <cell r="O782" t="str">
            <v>Коламбия</v>
          </cell>
          <cell r="P782">
            <v>60</v>
          </cell>
          <cell r="S782">
            <v>13254984</v>
          </cell>
          <cell r="T782" t="str">
            <v>ВМЗ КО</v>
          </cell>
        </row>
        <row r="783">
          <cell r="B783" t="str">
            <v>Ферросплавы</v>
          </cell>
          <cell r="K783">
            <v>5.633</v>
          </cell>
          <cell r="N783">
            <v>195927.00599999999</v>
          </cell>
          <cell r="O783" t="str">
            <v>Облволгавтормет</v>
          </cell>
          <cell r="P783">
            <v>5.633</v>
          </cell>
          <cell r="S783">
            <v>211649.83559999999</v>
          </cell>
          <cell r="T783" t="str">
            <v>ВМЗ КО</v>
          </cell>
        </row>
        <row r="784">
          <cell r="B784" t="str">
            <v>Ферросплавы</v>
          </cell>
          <cell r="K784">
            <v>0</v>
          </cell>
          <cell r="N784">
            <v>0</v>
          </cell>
          <cell r="O784" t="str">
            <v>Облволгавтормет</v>
          </cell>
          <cell r="P784">
            <v>0</v>
          </cell>
          <cell r="S784">
            <v>0</v>
          </cell>
          <cell r="T784" t="str">
            <v>ВМЗ КО</v>
          </cell>
        </row>
        <row r="785">
          <cell r="B785" t="str">
            <v>Ферросплавы</v>
          </cell>
          <cell r="K785">
            <v>0</v>
          </cell>
          <cell r="N785">
            <v>0</v>
          </cell>
          <cell r="O785" t="str">
            <v>Металлопром</v>
          </cell>
          <cell r="P785">
            <v>0</v>
          </cell>
          <cell r="S785">
            <v>0</v>
          </cell>
          <cell r="T785" t="str">
            <v>ВМЗ КО</v>
          </cell>
        </row>
        <row r="786">
          <cell r="B786" t="str">
            <v>Ферросплавы</v>
          </cell>
          <cell r="K786">
            <v>0.26300000000000001</v>
          </cell>
          <cell r="N786">
            <v>6166.8240000000005</v>
          </cell>
          <cell r="O786" t="str">
            <v>Спецоборудование и материалы</v>
          </cell>
          <cell r="P786">
            <v>0.26300000000000001</v>
          </cell>
          <cell r="S786">
            <v>6619.71</v>
          </cell>
          <cell r="T786" t="str">
            <v>ВМЗ КО</v>
          </cell>
        </row>
        <row r="787">
          <cell r="B787" t="str">
            <v>Ферросплавы</v>
          </cell>
          <cell r="K787">
            <v>1.3939999999999999</v>
          </cell>
          <cell r="N787">
            <v>160779.49919999999</v>
          </cell>
          <cell r="O787" t="str">
            <v>Стройинтерснаб</v>
          </cell>
          <cell r="P787">
            <v>1.3939999999999999</v>
          </cell>
          <cell r="S787">
            <v>160779.49919999999</v>
          </cell>
          <cell r="T787" t="str">
            <v>ВМЗ КО</v>
          </cell>
        </row>
        <row r="788">
          <cell r="B788" t="str">
            <v>Ферросплавы</v>
          </cell>
          <cell r="K788">
            <v>0</v>
          </cell>
          <cell r="N788">
            <v>0</v>
          </cell>
          <cell r="P788">
            <v>0</v>
          </cell>
          <cell r="S788">
            <v>0</v>
          </cell>
          <cell r="T788" t="str">
            <v>ВМЗ КО</v>
          </cell>
        </row>
        <row r="789">
          <cell r="B789" t="str">
            <v>Ферросплавы</v>
          </cell>
          <cell r="K789">
            <v>0</v>
          </cell>
          <cell r="N789">
            <v>0</v>
          </cell>
          <cell r="O789" t="str">
            <v>Металлопром</v>
          </cell>
          <cell r="P789">
            <v>0</v>
          </cell>
          <cell r="S789">
            <v>0</v>
          </cell>
          <cell r="T789" t="str">
            <v>ВМЗ КО</v>
          </cell>
        </row>
        <row r="790">
          <cell r="B790" t="str">
            <v>Ферросплавы</v>
          </cell>
          <cell r="K790">
            <v>17.071999999999999</v>
          </cell>
          <cell r="N790">
            <v>801837.696</v>
          </cell>
          <cell r="O790" t="str">
            <v>Трейдагент</v>
          </cell>
          <cell r="P790">
            <v>17.071999999999999</v>
          </cell>
          <cell r="S790">
            <v>808700.64</v>
          </cell>
          <cell r="T790" t="str">
            <v>ВМЗ КО</v>
          </cell>
        </row>
        <row r="791">
          <cell r="B791" t="str">
            <v>Ферросплавы</v>
          </cell>
          <cell r="K791">
            <v>1.589</v>
          </cell>
          <cell r="N791">
            <v>78178.8</v>
          </cell>
          <cell r="O791" t="str">
            <v>Спецоборудование и материалы</v>
          </cell>
          <cell r="P791">
            <v>1.589</v>
          </cell>
          <cell r="S791">
            <v>78178.8</v>
          </cell>
          <cell r="T791" t="str">
            <v>ВМЗ КО</v>
          </cell>
        </row>
        <row r="792">
          <cell r="B792" t="str">
            <v>Ферросплавы</v>
          </cell>
          <cell r="K792">
            <v>4.9619999999999997</v>
          </cell>
          <cell r="N792">
            <v>1566322.7831999997</v>
          </cell>
          <cell r="O792" t="str">
            <v>Стройинтерснаб</v>
          </cell>
          <cell r="P792">
            <v>4.9619999999999997</v>
          </cell>
          <cell r="S792">
            <v>1566322.7831999997</v>
          </cell>
          <cell r="T792" t="str">
            <v>ВМЗ КО</v>
          </cell>
        </row>
        <row r="793">
          <cell r="B793" t="str">
            <v>Электроды</v>
          </cell>
          <cell r="K793">
            <v>112.8</v>
          </cell>
          <cell r="N793">
            <v>4428843.84</v>
          </cell>
          <cell r="O793" t="str">
            <v>Энергопром</v>
          </cell>
          <cell r="P793">
            <v>112.8</v>
          </cell>
          <cell r="S793">
            <v>4570971.84</v>
          </cell>
          <cell r="T793" t="str">
            <v>ВМЗ КО</v>
          </cell>
        </row>
        <row r="794">
          <cell r="B794" t="str">
            <v>Электроды</v>
          </cell>
          <cell r="K794">
            <v>180.2</v>
          </cell>
          <cell r="N794">
            <v>13670476.560000001</v>
          </cell>
          <cell r="O794" t="str">
            <v>Энергопром</v>
          </cell>
          <cell r="P794">
            <v>180.2</v>
          </cell>
          <cell r="S794">
            <v>14113768.560000001</v>
          </cell>
          <cell r="T794" t="str">
            <v>ВМЗ КО</v>
          </cell>
        </row>
        <row r="795">
          <cell r="B795" t="str">
            <v>Добавочные и заправочные</v>
          </cell>
          <cell r="K795">
            <v>0</v>
          </cell>
          <cell r="N795">
            <v>0</v>
          </cell>
          <cell r="O795" t="str">
            <v>Мультитрейд</v>
          </cell>
          <cell r="P795">
            <v>0</v>
          </cell>
          <cell r="S795">
            <v>0</v>
          </cell>
          <cell r="T795" t="str">
            <v>ВМЗ КО</v>
          </cell>
        </row>
        <row r="796">
          <cell r="B796" t="str">
            <v>Добавочные и заправочные</v>
          </cell>
          <cell r="K796">
            <v>27.321000000000002</v>
          </cell>
          <cell r="N796">
            <v>122387.1516</v>
          </cell>
          <cell r="O796" t="str">
            <v>МетаБайкал</v>
          </cell>
          <cell r="P796">
            <v>27.321000000000002</v>
          </cell>
          <cell r="S796">
            <v>122387.1516</v>
          </cell>
          <cell r="T796" t="str">
            <v>ВМЗ КО</v>
          </cell>
        </row>
        <row r="797">
          <cell r="B797" t="str">
            <v>Добавочные и заправочные</v>
          </cell>
          <cell r="K797">
            <v>0</v>
          </cell>
          <cell r="N797">
            <v>0</v>
          </cell>
          <cell r="P797">
            <v>0</v>
          </cell>
          <cell r="S797">
            <v>0</v>
          </cell>
          <cell r="T797" t="str">
            <v>ВМЗ КО</v>
          </cell>
        </row>
        <row r="798">
          <cell r="B798" t="str">
            <v>Добавочные и заправочные</v>
          </cell>
          <cell r="K798">
            <v>2644.02</v>
          </cell>
          <cell r="N798">
            <v>526688.78399999999</v>
          </cell>
          <cell r="O798" t="str">
            <v>Известняк-Р</v>
          </cell>
          <cell r="P798">
            <v>2644.02</v>
          </cell>
          <cell r="S798">
            <v>526688.78399999999</v>
          </cell>
          <cell r="T798" t="str">
            <v>ВМЗ КО</v>
          </cell>
        </row>
        <row r="799">
          <cell r="B799" t="str">
            <v>Добавочные и заправочные</v>
          </cell>
          <cell r="K799">
            <v>136.66</v>
          </cell>
          <cell r="N799">
            <v>248611.872</v>
          </cell>
          <cell r="O799" t="str">
            <v>Промтехресурс</v>
          </cell>
          <cell r="P799">
            <v>136.66</v>
          </cell>
          <cell r="S799">
            <v>248611.872</v>
          </cell>
          <cell r="T799" t="str">
            <v>ВМЗ КО</v>
          </cell>
        </row>
        <row r="800">
          <cell r="B800" t="str">
            <v>Добавочные и заправочные</v>
          </cell>
          <cell r="K800">
            <v>67.846999999999994</v>
          </cell>
          <cell r="N800">
            <v>247180.19039999996</v>
          </cell>
          <cell r="O800" t="str">
            <v>Векта</v>
          </cell>
          <cell r="P800">
            <v>67.846999999999994</v>
          </cell>
          <cell r="S800">
            <v>247180.19039999996</v>
          </cell>
          <cell r="T800" t="str">
            <v>ВМЗ КО</v>
          </cell>
        </row>
        <row r="801">
          <cell r="B801" t="str">
            <v>Добавочные и заправочные</v>
          </cell>
          <cell r="K801">
            <v>35</v>
          </cell>
          <cell r="N801">
            <v>950166</v>
          </cell>
          <cell r="O801" t="str">
            <v>Стройперлит</v>
          </cell>
          <cell r="P801">
            <v>35</v>
          </cell>
          <cell r="S801">
            <v>950166</v>
          </cell>
          <cell r="T801" t="str">
            <v>ВМЗ КО</v>
          </cell>
        </row>
        <row r="802">
          <cell r="B802" t="str">
            <v>Добавочные и заправочные</v>
          </cell>
          <cell r="K802">
            <v>10.36</v>
          </cell>
          <cell r="N802">
            <v>77177.855999999985</v>
          </cell>
          <cell r="O802" t="str">
            <v>Жизнь</v>
          </cell>
          <cell r="P802">
            <v>10.36</v>
          </cell>
          <cell r="S802">
            <v>77202.720000000001</v>
          </cell>
          <cell r="T802" t="str">
            <v>ВМЗ КО</v>
          </cell>
        </row>
        <row r="803">
          <cell r="B803" t="str">
            <v>Добавочные и заправочные</v>
          </cell>
          <cell r="K803">
            <v>30</v>
          </cell>
          <cell r="N803">
            <v>4680</v>
          </cell>
          <cell r="O803" t="str">
            <v>Огнеупорсбыт</v>
          </cell>
          <cell r="P803">
            <v>30</v>
          </cell>
          <cell r="S803">
            <v>16524</v>
          </cell>
          <cell r="T803" t="str">
            <v>ВМЗ КО</v>
          </cell>
        </row>
        <row r="804">
          <cell r="B804" t="str">
            <v>Добавочные и заправочные</v>
          </cell>
          <cell r="K804">
            <v>55.15</v>
          </cell>
          <cell r="N804">
            <v>452230.4412</v>
          </cell>
          <cell r="O804" t="str">
            <v>Новая линия</v>
          </cell>
          <cell r="P804">
            <v>55.15</v>
          </cell>
          <cell r="S804">
            <v>488408.39999999997</v>
          </cell>
          <cell r="T804" t="str">
            <v>ВМЗ КО</v>
          </cell>
        </row>
        <row r="805">
          <cell r="B805" t="str">
            <v>Добавочные и заправочные</v>
          </cell>
          <cell r="K805">
            <v>236.45699999999999</v>
          </cell>
          <cell r="N805">
            <v>882457.52399999998</v>
          </cell>
          <cell r="O805" t="str">
            <v>Огнеупорсбыт</v>
          </cell>
          <cell r="P805">
            <v>236.45699999999999</v>
          </cell>
          <cell r="S805">
            <v>837057.78</v>
          </cell>
          <cell r="T805" t="str">
            <v>ВМЗ КО</v>
          </cell>
        </row>
        <row r="806">
          <cell r="B806" t="str">
            <v>Добавочные и заправочные</v>
          </cell>
          <cell r="K806">
            <v>31.66</v>
          </cell>
          <cell r="N806">
            <v>77351.712</v>
          </cell>
          <cell r="O806" t="str">
            <v>Промстальинвест</v>
          </cell>
          <cell r="P806">
            <v>31.66</v>
          </cell>
          <cell r="S806">
            <v>77351.712</v>
          </cell>
          <cell r="T806" t="str">
            <v>ВМЗ КО</v>
          </cell>
        </row>
        <row r="807">
          <cell r="B807" t="str">
            <v>Добавочные и заправочные</v>
          </cell>
          <cell r="K807">
            <v>1.9379999999999999</v>
          </cell>
          <cell r="N807">
            <v>4062.8232000000003</v>
          </cell>
          <cell r="O807" t="str">
            <v>БКО ТД</v>
          </cell>
          <cell r="P807">
            <v>1.9379999999999999</v>
          </cell>
          <cell r="S807">
            <v>4062.8232000000003</v>
          </cell>
          <cell r="T807" t="str">
            <v>ВМЗ КО</v>
          </cell>
        </row>
        <row r="808">
          <cell r="B808" t="str">
            <v>Добавочные и заправочные</v>
          </cell>
          <cell r="K808">
            <v>17.126999999999999</v>
          </cell>
          <cell r="N808">
            <v>54176.126399999994</v>
          </cell>
          <cell r="O808" t="str">
            <v>векта</v>
          </cell>
          <cell r="P808">
            <v>17.126999999999999</v>
          </cell>
          <cell r="S808">
            <v>54176.126399999994</v>
          </cell>
          <cell r="T808" t="str">
            <v>ВМЗ КО</v>
          </cell>
        </row>
        <row r="809">
          <cell r="B809" t="str">
            <v>Прочие вспомогательные</v>
          </cell>
          <cell r="K809">
            <v>0</v>
          </cell>
          <cell r="N809">
            <v>0</v>
          </cell>
          <cell r="O809" t="str">
            <v>НЕМО</v>
          </cell>
          <cell r="P809">
            <v>0</v>
          </cell>
          <cell r="S809">
            <v>0</v>
          </cell>
          <cell r="T809" t="str">
            <v>ВМЗ КО</v>
          </cell>
        </row>
        <row r="810">
          <cell r="B810" t="str">
            <v>Прочие вспомогательные</v>
          </cell>
          <cell r="K810">
            <v>0</v>
          </cell>
          <cell r="N810">
            <v>0</v>
          </cell>
          <cell r="O810" t="str">
            <v>НЕМО</v>
          </cell>
          <cell r="P810">
            <v>0</v>
          </cell>
          <cell r="S810">
            <v>0</v>
          </cell>
          <cell r="T810" t="str">
            <v>ВМЗ КО</v>
          </cell>
        </row>
        <row r="811">
          <cell r="B811" t="str">
            <v>Прочие вспомогательные</v>
          </cell>
          <cell r="K811">
            <v>0</v>
          </cell>
          <cell r="N811">
            <v>0</v>
          </cell>
          <cell r="O811" t="str">
            <v>НЕМО</v>
          </cell>
          <cell r="P811">
            <v>0</v>
          </cell>
          <cell r="S811">
            <v>0</v>
          </cell>
          <cell r="T811" t="str">
            <v>ВМЗ КО</v>
          </cell>
        </row>
        <row r="812">
          <cell r="B812" t="str">
            <v>Прочие вспомогательные</v>
          </cell>
          <cell r="K812">
            <v>0</v>
          </cell>
          <cell r="N812">
            <v>0</v>
          </cell>
          <cell r="O812" t="str">
            <v>НЕМО</v>
          </cell>
          <cell r="P812">
            <v>0</v>
          </cell>
          <cell r="S812">
            <v>0</v>
          </cell>
          <cell r="T812" t="str">
            <v>ВМЗ КО</v>
          </cell>
        </row>
        <row r="813">
          <cell r="B813" t="str">
            <v>Прочие вспомогательные</v>
          </cell>
          <cell r="K813">
            <v>0</v>
          </cell>
          <cell r="N813">
            <v>0</v>
          </cell>
          <cell r="O813" t="str">
            <v>НЕМО</v>
          </cell>
          <cell r="P813">
            <v>0</v>
          </cell>
          <cell r="S813">
            <v>0</v>
          </cell>
          <cell r="T813" t="str">
            <v>ВМЗ КО</v>
          </cell>
        </row>
        <row r="814">
          <cell r="B814" t="str">
            <v>Прочие вспомогательные</v>
          </cell>
          <cell r="K814">
            <v>0</v>
          </cell>
          <cell r="N814">
            <v>0</v>
          </cell>
          <cell r="O814" t="str">
            <v>НЕМО</v>
          </cell>
          <cell r="P814">
            <v>0</v>
          </cell>
          <cell r="S814">
            <v>0</v>
          </cell>
          <cell r="T814" t="str">
            <v>ВМЗ КО</v>
          </cell>
        </row>
        <row r="815">
          <cell r="B815" t="str">
            <v>Прочие вспомогательные</v>
          </cell>
          <cell r="K815">
            <v>0</v>
          </cell>
          <cell r="N815">
            <v>0</v>
          </cell>
          <cell r="O815" t="str">
            <v>НЕМО</v>
          </cell>
          <cell r="P815">
            <v>0</v>
          </cell>
          <cell r="S815">
            <v>0</v>
          </cell>
          <cell r="T815" t="str">
            <v>ВМЗ КО</v>
          </cell>
        </row>
        <row r="816">
          <cell r="B816" t="str">
            <v>Прочие вспомогательные</v>
          </cell>
          <cell r="K816">
            <v>0</v>
          </cell>
          <cell r="N816">
            <v>0</v>
          </cell>
          <cell r="O816" t="str">
            <v>НЕМО</v>
          </cell>
          <cell r="P816">
            <v>0</v>
          </cell>
          <cell r="S816">
            <v>0</v>
          </cell>
          <cell r="T816" t="str">
            <v>ВМЗ КО</v>
          </cell>
        </row>
        <row r="817">
          <cell r="B817" t="str">
            <v>Прочие вспомогательные</v>
          </cell>
          <cell r="K817">
            <v>0</v>
          </cell>
          <cell r="N817">
            <v>0</v>
          </cell>
          <cell r="O817" t="str">
            <v>НЕМО</v>
          </cell>
          <cell r="P817">
            <v>0</v>
          </cell>
          <cell r="S817">
            <v>0</v>
          </cell>
          <cell r="T817" t="str">
            <v>ВМЗ КО</v>
          </cell>
        </row>
        <row r="818">
          <cell r="B818" t="str">
            <v>Прочие вспомогательные</v>
          </cell>
          <cell r="K818">
            <v>0</v>
          </cell>
          <cell r="N818">
            <v>0</v>
          </cell>
          <cell r="O818" t="str">
            <v>НЕМО</v>
          </cell>
          <cell r="P818">
            <v>0</v>
          </cell>
          <cell r="S818">
            <v>0</v>
          </cell>
          <cell r="T818" t="str">
            <v>ВМЗ КО</v>
          </cell>
        </row>
        <row r="819">
          <cell r="B819" t="str">
            <v>Прочие вспомогательные</v>
          </cell>
          <cell r="K819">
            <v>0</v>
          </cell>
          <cell r="N819">
            <v>0</v>
          </cell>
          <cell r="O819" t="str">
            <v>НЕМО</v>
          </cell>
          <cell r="P819">
            <v>0</v>
          </cell>
          <cell r="S819">
            <v>0</v>
          </cell>
          <cell r="T819" t="str">
            <v>ВМЗ КО</v>
          </cell>
        </row>
        <row r="820">
          <cell r="B820" t="str">
            <v>Прочие вспомогательные</v>
          </cell>
          <cell r="K820">
            <v>0</v>
          </cell>
          <cell r="N820">
            <v>0</v>
          </cell>
          <cell r="O820" t="str">
            <v>НЕМО</v>
          </cell>
          <cell r="P820">
            <v>0</v>
          </cell>
          <cell r="S820">
            <v>0</v>
          </cell>
          <cell r="T820" t="str">
            <v>ВМЗ КО</v>
          </cell>
        </row>
        <row r="821">
          <cell r="B821" t="str">
            <v>Прочие вспомогательные</v>
          </cell>
          <cell r="K821">
            <v>0</v>
          </cell>
          <cell r="N821">
            <v>0</v>
          </cell>
          <cell r="O821" t="str">
            <v>НЕМО</v>
          </cell>
          <cell r="P821">
            <v>0</v>
          </cell>
          <cell r="S821">
            <v>0</v>
          </cell>
          <cell r="T821" t="str">
            <v>ВМЗ КО</v>
          </cell>
        </row>
        <row r="822">
          <cell r="B822" t="str">
            <v>Прочие вспомогательные</v>
          </cell>
          <cell r="K822">
            <v>0</v>
          </cell>
          <cell r="N822">
            <v>0</v>
          </cell>
          <cell r="O822" t="str">
            <v>НЕМО</v>
          </cell>
          <cell r="P822">
            <v>0</v>
          </cell>
          <cell r="S822">
            <v>0</v>
          </cell>
          <cell r="T822" t="str">
            <v>ВМЗ КО</v>
          </cell>
        </row>
        <row r="823">
          <cell r="B823" t="str">
            <v>Прочие вспомогательные</v>
          </cell>
          <cell r="K823">
            <v>0</v>
          </cell>
          <cell r="N823">
            <v>0</v>
          </cell>
          <cell r="O823" t="str">
            <v>НЕМО</v>
          </cell>
          <cell r="P823">
            <v>0</v>
          </cell>
          <cell r="S823">
            <v>0</v>
          </cell>
          <cell r="T823" t="str">
            <v>ВМЗ КО</v>
          </cell>
        </row>
        <row r="824">
          <cell r="B824" t="str">
            <v>Прочие вспомогательные</v>
          </cell>
          <cell r="K824">
            <v>0</v>
          </cell>
          <cell r="N824">
            <v>0</v>
          </cell>
          <cell r="O824" t="str">
            <v>Агропромцентр</v>
          </cell>
          <cell r="P824">
            <v>0</v>
          </cell>
          <cell r="S824">
            <v>0</v>
          </cell>
          <cell r="T824" t="str">
            <v>ВМЗ КО</v>
          </cell>
        </row>
        <row r="825">
          <cell r="B825" t="str">
            <v>Прочие вспомогательные</v>
          </cell>
          <cell r="K825">
            <v>0</v>
          </cell>
          <cell r="N825">
            <v>0</v>
          </cell>
          <cell r="O825" t="str">
            <v>Агропромцентр</v>
          </cell>
          <cell r="P825">
            <v>0</v>
          </cell>
          <cell r="S825">
            <v>0</v>
          </cell>
          <cell r="T825" t="str">
            <v>ВМЗ КО</v>
          </cell>
        </row>
        <row r="826">
          <cell r="B826" t="str">
            <v>Прочие вспомогательные</v>
          </cell>
          <cell r="K826">
            <v>0</v>
          </cell>
          <cell r="N826">
            <v>0</v>
          </cell>
          <cell r="O826" t="str">
            <v>Агропромцентр</v>
          </cell>
          <cell r="P826">
            <v>0</v>
          </cell>
          <cell r="S826">
            <v>0</v>
          </cell>
          <cell r="T826" t="str">
            <v>ВМЗ КО</v>
          </cell>
        </row>
        <row r="827">
          <cell r="B827" t="str">
            <v>Прочие вспомогательные</v>
          </cell>
          <cell r="K827">
            <v>0</v>
          </cell>
          <cell r="N827">
            <v>0</v>
          </cell>
          <cell r="O827" t="str">
            <v>Агропромцентр</v>
          </cell>
          <cell r="P827">
            <v>0</v>
          </cell>
          <cell r="S827">
            <v>0</v>
          </cell>
          <cell r="T827" t="str">
            <v>ВМЗ КО</v>
          </cell>
        </row>
        <row r="828">
          <cell r="B828" t="str">
            <v>Прочие вспомогательные</v>
          </cell>
          <cell r="K828">
            <v>0</v>
          </cell>
          <cell r="N828">
            <v>0</v>
          </cell>
          <cell r="O828" t="str">
            <v>Агропромцентр</v>
          </cell>
          <cell r="P828">
            <v>0</v>
          </cell>
          <cell r="S828">
            <v>0</v>
          </cell>
          <cell r="T828" t="str">
            <v>ВМЗ КО</v>
          </cell>
        </row>
        <row r="829">
          <cell r="B829" t="str">
            <v>Прочие вспомогательные</v>
          </cell>
          <cell r="K829">
            <v>0</v>
          </cell>
          <cell r="N829">
            <v>0</v>
          </cell>
          <cell r="O829" t="str">
            <v>Агропромцентр</v>
          </cell>
          <cell r="P829">
            <v>0</v>
          </cell>
          <cell r="S829">
            <v>0</v>
          </cell>
          <cell r="T829" t="str">
            <v>ВМЗ КО</v>
          </cell>
        </row>
        <row r="830">
          <cell r="B830" t="str">
            <v>Прочие вспомогательные</v>
          </cell>
          <cell r="K830">
            <v>0</v>
          </cell>
          <cell r="N830">
            <v>0</v>
          </cell>
          <cell r="O830" t="str">
            <v>НЕМО</v>
          </cell>
          <cell r="P830">
            <v>0</v>
          </cell>
          <cell r="S830">
            <v>0</v>
          </cell>
          <cell r="T830" t="str">
            <v>ВМЗ КО</v>
          </cell>
        </row>
        <row r="831">
          <cell r="B831" t="str">
            <v>Прочие вспомогательные</v>
          </cell>
          <cell r="K831">
            <v>0</v>
          </cell>
          <cell r="N831">
            <v>0</v>
          </cell>
          <cell r="O831" t="str">
            <v>НЕМО</v>
          </cell>
          <cell r="P831">
            <v>0</v>
          </cell>
          <cell r="S831">
            <v>0</v>
          </cell>
          <cell r="T831" t="str">
            <v>ВМЗ КО</v>
          </cell>
        </row>
        <row r="832">
          <cell r="B832" t="str">
            <v>Прочие вспомогательные</v>
          </cell>
          <cell r="K832">
            <v>0</v>
          </cell>
          <cell r="N832">
            <v>0</v>
          </cell>
          <cell r="O832" t="str">
            <v>НЕМО</v>
          </cell>
          <cell r="P832">
            <v>0</v>
          </cell>
          <cell r="S832">
            <v>0</v>
          </cell>
          <cell r="T832" t="str">
            <v>ВМЗ КО</v>
          </cell>
        </row>
        <row r="833">
          <cell r="B833" t="str">
            <v>Прочие вспомогательные</v>
          </cell>
          <cell r="K833">
            <v>0</v>
          </cell>
          <cell r="N833">
            <v>0</v>
          </cell>
          <cell r="O833" t="str">
            <v>НЕМО</v>
          </cell>
          <cell r="P833">
            <v>0</v>
          </cell>
          <cell r="S833">
            <v>0</v>
          </cell>
          <cell r="T833" t="str">
            <v>ВМЗ КО</v>
          </cell>
        </row>
        <row r="834">
          <cell r="B834" t="str">
            <v>Прочие вспомогательные</v>
          </cell>
          <cell r="K834">
            <v>0</v>
          </cell>
          <cell r="N834">
            <v>0</v>
          </cell>
          <cell r="O834" t="str">
            <v>НЕМО</v>
          </cell>
          <cell r="P834">
            <v>0</v>
          </cell>
          <cell r="S834">
            <v>0</v>
          </cell>
          <cell r="T834" t="str">
            <v>ВМЗ КО</v>
          </cell>
        </row>
        <row r="835">
          <cell r="B835" t="str">
            <v>Прочие вспомогательные</v>
          </cell>
          <cell r="K835">
            <v>0</v>
          </cell>
          <cell r="N835">
            <v>0</v>
          </cell>
          <cell r="O835" t="str">
            <v>НЕМО</v>
          </cell>
          <cell r="P835">
            <v>0</v>
          </cell>
          <cell r="S835">
            <v>0</v>
          </cell>
          <cell r="T835" t="str">
            <v>ВМЗ КО</v>
          </cell>
        </row>
        <row r="836">
          <cell r="B836" t="str">
            <v>Прочие вспомогательные</v>
          </cell>
          <cell r="K836">
            <v>0</v>
          </cell>
          <cell r="N836">
            <v>0</v>
          </cell>
          <cell r="O836" t="str">
            <v>НЕМО</v>
          </cell>
          <cell r="P836">
            <v>0</v>
          </cell>
          <cell r="S836">
            <v>0</v>
          </cell>
          <cell r="T836" t="str">
            <v>ВМЗ КО</v>
          </cell>
        </row>
        <row r="837">
          <cell r="B837" t="str">
            <v>Прочие вспомогательные</v>
          </cell>
          <cell r="K837">
            <v>0</v>
          </cell>
          <cell r="N837">
            <v>0</v>
          </cell>
          <cell r="O837" t="str">
            <v>НЕМО</v>
          </cell>
          <cell r="P837">
            <v>0</v>
          </cell>
          <cell r="S837">
            <v>0</v>
          </cell>
          <cell r="T837" t="str">
            <v>ВМЗ КО</v>
          </cell>
        </row>
        <row r="838">
          <cell r="B838" t="str">
            <v>Прочие вспомогательные</v>
          </cell>
          <cell r="K838">
            <v>0</v>
          </cell>
          <cell r="N838">
            <v>0</v>
          </cell>
          <cell r="O838" t="str">
            <v>НЕМО</v>
          </cell>
          <cell r="P838">
            <v>0</v>
          </cell>
          <cell r="S838">
            <v>0</v>
          </cell>
          <cell r="T838" t="str">
            <v>ВМЗ КО</v>
          </cell>
        </row>
        <row r="839">
          <cell r="B839" t="str">
            <v>Прочие вспомогательные</v>
          </cell>
          <cell r="K839">
            <v>0</v>
          </cell>
          <cell r="N839">
            <v>0</v>
          </cell>
          <cell r="O839" t="str">
            <v>НЕМО</v>
          </cell>
          <cell r="P839">
            <v>0</v>
          </cell>
          <cell r="S839">
            <v>0</v>
          </cell>
          <cell r="T839" t="str">
            <v>ВМЗ КО</v>
          </cell>
        </row>
        <row r="840">
          <cell r="B840" t="str">
            <v>Прочие вспомогательные</v>
          </cell>
          <cell r="K840">
            <v>0</v>
          </cell>
          <cell r="N840">
            <v>0</v>
          </cell>
          <cell r="O840" t="str">
            <v>НЕМО</v>
          </cell>
          <cell r="P840">
            <v>0</v>
          </cell>
          <cell r="S840">
            <v>0</v>
          </cell>
          <cell r="T840" t="str">
            <v>ВМЗ КО</v>
          </cell>
        </row>
        <row r="841">
          <cell r="B841" t="str">
            <v>Прочие вспомогательные</v>
          </cell>
          <cell r="K841">
            <v>0</v>
          </cell>
          <cell r="N841">
            <v>0</v>
          </cell>
          <cell r="O841" t="str">
            <v>НЕМО</v>
          </cell>
          <cell r="P841">
            <v>0</v>
          </cell>
          <cell r="S841">
            <v>0</v>
          </cell>
          <cell r="T841" t="str">
            <v>ВМЗ КО</v>
          </cell>
        </row>
        <row r="842">
          <cell r="B842" t="str">
            <v>Прочие вспомогательные</v>
          </cell>
          <cell r="K842">
            <v>0</v>
          </cell>
          <cell r="N842">
            <v>0</v>
          </cell>
          <cell r="O842" t="str">
            <v>НЕМО</v>
          </cell>
          <cell r="P842">
            <v>0</v>
          </cell>
          <cell r="S842">
            <v>0</v>
          </cell>
          <cell r="T842" t="str">
            <v>ВМЗ КО</v>
          </cell>
        </row>
        <row r="843">
          <cell r="B843" t="str">
            <v>Прочие вспомогательные</v>
          </cell>
          <cell r="K843">
            <v>0</v>
          </cell>
          <cell r="N843">
            <v>0</v>
          </cell>
          <cell r="O843" t="str">
            <v>НЕМО</v>
          </cell>
          <cell r="P843">
            <v>0</v>
          </cell>
          <cell r="S843">
            <v>0</v>
          </cell>
          <cell r="T843" t="str">
            <v>ВМЗ КО</v>
          </cell>
        </row>
        <row r="844">
          <cell r="B844" t="str">
            <v>Прочие вспомогательные</v>
          </cell>
          <cell r="K844">
            <v>0</v>
          </cell>
          <cell r="N844">
            <v>0</v>
          </cell>
          <cell r="O844" t="str">
            <v>НЕМО</v>
          </cell>
          <cell r="P844">
            <v>0</v>
          </cell>
          <cell r="S844">
            <v>0</v>
          </cell>
          <cell r="T844" t="str">
            <v>ВМЗ КО</v>
          </cell>
        </row>
        <row r="845">
          <cell r="B845" t="str">
            <v>Прочие вспомогательные</v>
          </cell>
          <cell r="K845">
            <v>0</v>
          </cell>
          <cell r="N845">
            <v>0</v>
          </cell>
          <cell r="O845" t="str">
            <v>НЕМО</v>
          </cell>
          <cell r="P845">
            <v>0</v>
          </cell>
          <cell r="S845">
            <v>0</v>
          </cell>
          <cell r="T845" t="str">
            <v>ВМЗ КО</v>
          </cell>
        </row>
        <row r="846">
          <cell r="B846" t="str">
            <v>Прочие вспомогательные</v>
          </cell>
          <cell r="K846">
            <v>0</v>
          </cell>
          <cell r="N846">
            <v>0</v>
          </cell>
          <cell r="O846" t="str">
            <v>НЕМО</v>
          </cell>
          <cell r="P846">
            <v>0</v>
          </cell>
          <cell r="S846">
            <v>0</v>
          </cell>
          <cell r="T846" t="str">
            <v>ВМЗ КО</v>
          </cell>
        </row>
        <row r="847">
          <cell r="B847" t="str">
            <v>Прочие вспомогательные</v>
          </cell>
          <cell r="K847">
            <v>0</v>
          </cell>
          <cell r="N847">
            <v>0</v>
          </cell>
          <cell r="O847" t="str">
            <v>НЕМО</v>
          </cell>
          <cell r="P847">
            <v>0</v>
          </cell>
          <cell r="S847">
            <v>0</v>
          </cell>
          <cell r="T847" t="str">
            <v>ВМЗ КО</v>
          </cell>
        </row>
        <row r="848">
          <cell r="B848" t="str">
            <v>Прочие вспомогательные</v>
          </cell>
          <cell r="K848">
            <v>0</v>
          </cell>
          <cell r="N848">
            <v>0</v>
          </cell>
          <cell r="O848" t="str">
            <v>НЕМО</v>
          </cell>
          <cell r="P848">
            <v>0</v>
          </cell>
          <cell r="S848">
            <v>0</v>
          </cell>
          <cell r="T848" t="str">
            <v>ВМЗ КО</v>
          </cell>
        </row>
        <row r="849">
          <cell r="B849" t="str">
            <v>Прочие вспомогательные</v>
          </cell>
          <cell r="K849">
            <v>0</v>
          </cell>
          <cell r="N849">
            <v>0</v>
          </cell>
          <cell r="O849" t="str">
            <v>НЕМО</v>
          </cell>
          <cell r="P849">
            <v>0</v>
          </cell>
          <cell r="S849">
            <v>0</v>
          </cell>
          <cell r="T849" t="str">
            <v>ВМЗ КО</v>
          </cell>
        </row>
        <row r="850">
          <cell r="B850" t="str">
            <v>Прочие вспомогательные</v>
          </cell>
          <cell r="K850">
            <v>0</v>
          </cell>
          <cell r="N850">
            <v>0</v>
          </cell>
          <cell r="O850" t="str">
            <v>НЕМО</v>
          </cell>
          <cell r="P850">
            <v>0</v>
          </cell>
          <cell r="S850">
            <v>0</v>
          </cell>
          <cell r="T850" t="str">
            <v>ВМЗ КО</v>
          </cell>
        </row>
        <row r="851">
          <cell r="B851" t="str">
            <v>Прочие вспомогательные</v>
          </cell>
          <cell r="K851">
            <v>0</v>
          </cell>
          <cell r="N851">
            <v>0</v>
          </cell>
          <cell r="O851" t="str">
            <v>НЕМО</v>
          </cell>
          <cell r="P851">
            <v>0</v>
          </cell>
          <cell r="S851">
            <v>0</v>
          </cell>
          <cell r="T851" t="str">
            <v>ВМЗ КО</v>
          </cell>
        </row>
        <row r="852">
          <cell r="B852" t="str">
            <v>Прочие вспомогательные</v>
          </cell>
          <cell r="K852">
            <v>0</v>
          </cell>
          <cell r="N852">
            <v>0</v>
          </cell>
          <cell r="O852" t="str">
            <v>НЕМО</v>
          </cell>
          <cell r="P852">
            <v>0</v>
          </cell>
          <cell r="S852">
            <v>0</v>
          </cell>
          <cell r="T852" t="str">
            <v>ВМЗ КО</v>
          </cell>
        </row>
        <row r="853">
          <cell r="B853" t="str">
            <v>Прочие вспомогательные</v>
          </cell>
          <cell r="K853">
            <v>0</v>
          </cell>
          <cell r="N853">
            <v>0</v>
          </cell>
          <cell r="O853" t="str">
            <v>НЕМО</v>
          </cell>
          <cell r="P853">
            <v>0</v>
          </cell>
          <cell r="S853">
            <v>0</v>
          </cell>
          <cell r="T853" t="str">
            <v>ВМЗ КО</v>
          </cell>
        </row>
        <row r="854">
          <cell r="B854" t="str">
            <v>Прочие вспомогательные</v>
          </cell>
          <cell r="K854">
            <v>0</v>
          </cell>
          <cell r="N854">
            <v>0</v>
          </cell>
          <cell r="O854" t="str">
            <v>НЕМО</v>
          </cell>
          <cell r="P854">
            <v>0</v>
          </cell>
          <cell r="S854">
            <v>0</v>
          </cell>
          <cell r="T854" t="str">
            <v>ВМЗ КО</v>
          </cell>
        </row>
        <row r="855">
          <cell r="B855" t="str">
            <v>Прочие вспомогательные</v>
          </cell>
          <cell r="K855">
            <v>0</v>
          </cell>
          <cell r="N855">
            <v>0</v>
          </cell>
          <cell r="O855" t="str">
            <v>НЕМО</v>
          </cell>
          <cell r="P855">
            <v>0</v>
          </cell>
          <cell r="S855">
            <v>0</v>
          </cell>
          <cell r="T855" t="str">
            <v>ВМЗ КО</v>
          </cell>
        </row>
        <row r="856">
          <cell r="B856" t="str">
            <v>Прочие вспомогательные</v>
          </cell>
          <cell r="K856">
            <v>0</v>
          </cell>
          <cell r="N856">
            <v>0</v>
          </cell>
          <cell r="O856" t="str">
            <v>НЕМО</v>
          </cell>
          <cell r="P856">
            <v>0</v>
          </cell>
          <cell r="S856">
            <v>0</v>
          </cell>
          <cell r="T856" t="str">
            <v>ВМЗ КО</v>
          </cell>
        </row>
        <row r="857">
          <cell r="B857" t="str">
            <v>Прочие вспомогательные</v>
          </cell>
          <cell r="K857">
            <v>0</v>
          </cell>
          <cell r="N857">
            <v>0</v>
          </cell>
          <cell r="O857" t="str">
            <v>НЕМО</v>
          </cell>
          <cell r="P857">
            <v>0</v>
          </cell>
          <cell r="S857">
            <v>0</v>
          </cell>
          <cell r="T857" t="str">
            <v>ВМЗ КО</v>
          </cell>
        </row>
        <row r="858">
          <cell r="B858" t="str">
            <v>Прочие вспомогательные</v>
          </cell>
          <cell r="K858">
            <v>0</v>
          </cell>
          <cell r="N858">
            <v>0</v>
          </cell>
          <cell r="O858" t="str">
            <v>НЕМО</v>
          </cell>
          <cell r="P858">
            <v>0</v>
          </cell>
          <cell r="S858">
            <v>0</v>
          </cell>
          <cell r="T858" t="str">
            <v>ВМЗ КО</v>
          </cell>
        </row>
        <row r="859">
          <cell r="B859" t="str">
            <v>Прочие вспомогательные</v>
          </cell>
          <cell r="K859">
            <v>0</v>
          </cell>
          <cell r="N859">
            <v>0</v>
          </cell>
          <cell r="O859" t="str">
            <v>НЕМО</v>
          </cell>
          <cell r="P859">
            <v>0</v>
          </cell>
          <cell r="S859">
            <v>0</v>
          </cell>
          <cell r="T859" t="str">
            <v>ВМЗ КО</v>
          </cell>
        </row>
        <row r="860">
          <cell r="B860" t="str">
            <v>Прочие вспомогательные</v>
          </cell>
          <cell r="K860">
            <v>0</v>
          </cell>
          <cell r="N860">
            <v>0</v>
          </cell>
          <cell r="O860" t="str">
            <v>НЕМО</v>
          </cell>
          <cell r="P860">
            <v>0</v>
          </cell>
          <cell r="S860">
            <v>0</v>
          </cell>
          <cell r="T860" t="str">
            <v>ВМЗ КО</v>
          </cell>
        </row>
        <row r="861">
          <cell r="B861" t="str">
            <v>Прочие вспомогательные</v>
          </cell>
          <cell r="K861">
            <v>0</v>
          </cell>
          <cell r="N861">
            <v>0</v>
          </cell>
          <cell r="O861" t="str">
            <v>НЕМО</v>
          </cell>
          <cell r="P861">
            <v>0</v>
          </cell>
          <cell r="S861">
            <v>0</v>
          </cell>
          <cell r="T861" t="str">
            <v>ВМЗ КО</v>
          </cell>
        </row>
        <row r="862">
          <cell r="B862" t="str">
            <v>Прочие вспомогательные</v>
          </cell>
          <cell r="K862">
            <v>0</v>
          </cell>
          <cell r="N862">
            <v>0</v>
          </cell>
          <cell r="O862" t="str">
            <v>НЕМО</v>
          </cell>
          <cell r="P862">
            <v>0</v>
          </cell>
          <cell r="S862">
            <v>0</v>
          </cell>
          <cell r="T862" t="str">
            <v>ВМЗ КО</v>
          </cell>
        </row>
        <row r="863">
          <cell r="B863" t="str">
            <v>Прочие вспомогательные</v>
          </cell>
          <cell r="K863">
            <v>0</v>
          </cell>
          <cell r="N863">
            <v>0</v>
          </cell>
          <cell r="O863" t="str">
            <v>НЕМО</v>
          </cell>
          <cell r="P863">
            <v>0</v>
          </cell>
          <cell r="S863">
            <v>0</v>
          </cell>
          <cell r="T863" t="str">
            <v>ВМЗ КО</v>
          </cell>
        </row>
        <row r="864">
          <cell r="B864" t="str">
            <v>Прочие вспомогательные</v>
          </cell>
          <cell r="K864">
            <v>0</v>
          </cell>
          <cell r="N864">
            <v>0</v>
          </cell>
          <cell r="O864" t="str">
            <v>НЕМО</v>
          </cell>
          <cell r="P864">
            <v>0</v>
          </cell>
          <cell r="S864">
            <v>0</v>
          </cell>
          <cell r="T864" t="str">
            <v>ВМЗ КО</v>
          </cell>
        </row>
        <row r="865">
          <cell r="B865" t="str">
            <v>Прочие вспомогательные</v>
          </cell>
          <cell r="K865">
            <v>0</v>
          </cell>
          <cell r="N865">
            <v>0</v>
          </cell>
          <cell r="O865" t="str">
            <v>НЕМО</v>
          </cell>
          <cell r="P865">
            <v>0</v>
          </cell>
          <cell r="S865">
            <v>0</v>
          </cell>
          <cell r="T865" t="str">
            <v>ВМЗ КО</v>
          </cell>
        </row>
        <row r="866">
          <cell r="B866" t="str">
            <v>Прочие вспомогательные</v>
          </cell>
          <cell r="K866">
            <v>0</v>
          </cell>
          <cell r="N866">
            <v>0</v>
          </cell>
          <cell r="O866" t="str">
            <v>НЕМО</v>
          </cell>
          <cell r="P866">
            <v>0</v>
          </cell>
          <cell r="S866">
            <v>0</v>
          </cell>
          <cell r="T866" t="str">
            <v>ВМЗ КО</v>
          </cell>
        </row>
        <row r="867">
          <cell r="B867" t="str">
            <v>Прочие вспомогательные</v>
          </cell>
          <cell r="K867">
            <v>0</v>
          </cell>
          <cell r="N867">
            <v>0</v>
          </cell>
          <cell r="O867" t="str">
            <v>НЕМО</v>
          </cell>
          <cell r="P867">
            <v>0</v>
          </cell>
          <cell r="S867">
            <v>0</v>
          </cell>
          <cell r="T867" t="str">
            <v>ВМЗ КО</v>
          </cell>
        </row>
        <row r="868">
          <cell r="B868" t="str">
            <v>Прочие вспомогательные</v>
          </cell>
          <cell r="K868">
            <v>0</v>
          </cell>
          <cell r="N868">
            <v>0</v>
          </cell>
          <cell r="O868" t="str">
            <v>НЕМО</v>
          </cell>
          <cell r="P868">
            <v>0</v>
          </cell>
          <cell r="S868">
            <v>0</v>
          </cell>
          <cell r="T868" t="str">
            <v>ВМЗ КО</v>
          </cell>
        </row>
        <row r="869">
          <cell r="B869" t="str">
            <v>Прочие вспомогательные</v>
          </cell>
          <cell r="K869">
            <v>0</v>
          </cell>
          <cell r="N869">
            <v>0</v>
          </cell>
          <cell r="O869" t="str">
            <v>НЕМО</v>
          </cell>
          <cell r="P869">
            <v>0</v>
          </cell>
          <cell r="S869">
            <v>0</v>
          </cell>
          <cell r="T869" t="str">
            <v>ВМЗ КО</v>
          </cell>
        </row>
        <row r="870">
          <cell r="B870" t="str">
            <v>Прочие вспомогательные</v>
          </cell>
          <cell r="K870">
            <v>0</v>
          </cell>
          <cell r="N870">
            <v>0</v>
          </cell>
          <cell r="O870" t="str">
            <v>НЕМО</v>
          </cell>
          <cell r="P870">
            <v>0</v>
          </cell>
          <cell r="S870">
            <v>0</v>
          </cell>
          <cell r="T870" t="str">
            <v>ВМЗ КО</v>
          </cell>
        </row>
        <row r="871">
          <cell r="B871" t="str">
            <v>Прочие вспомогательные</v>
          </cell>
          <cell r="K871">
            <v>0</v>
          </cell>
          <cell r="N871">
            <v>0</v>
          </cell>
          <cell r="O871" t="str">
            <v>Агропромцентр</v>
          </cell>
          <cell r="P871">
            <v>0</v>
          </cell>
          <cell r="S871">
            <v>0</v>
          </cell>
          <cell r="T871" t="str">
            <v>ВМЗ КО</v>
          </cell>
        </row>
        <row r="872">
          <cell r="B872" t="str">
            <v>Прочие вспомогательные</v>
          </cell>
          <cell r="K872">
            <v>0</v>
          </cell>
          <cell r="N872">
            <v>0</v>
          </cell>
          <cell r="O872" t="str">
            <v>Агропромцентр</v>
          </cell>
          <cell r="P872">
            <v>0</v>
          </cell>
          <cell r="S872">
            <v>0</v>
          </cell>
          <cell r="T872" t="str">
            <v>ВМЗ КО</v>
          </cell>
        </row>
        <row r="873">
          <cell r="B873" t="str">
            <v>Прочие вспомогательные</v>
          </cell>
          <cell r="K873">
            <v>0</v>
          </cell>
          <cell r="N873">
            <v>0</v>
          </cell>
          <cell r="O873" t="str">
            <v>Агропромцентр</v>
          </cell>
          <cell r="P873">
            <v>0</v>
          </cell>
          <cell r="S873">
            <v>0</v>
          </cell>
          <cell r="T873" t="str">
            <v>ВМЗ КО</v>
          </cell>
        </row>
        <row r="874">
          <cell r="B874" t="str">
            <v>Прочие вспомогательные</v>
          </cell>
          <cell r="K874">
            <v>0</v>
          </cell>
          <cell r="N874">
            <v>0</v>
          </cell>
          <cell r="O874" t="str">
            <v>Агропромцентр</v>
          </cell>
          <cell r="P874">
            <v>0</v>
          </cell>
          <cell r="S874">
            <v>0</v>
          </cell>
          <cell r="T874" t="str">
            <v>ВМЗ КО</v>
          </cell>
        </row>
        <row r="875">
          <cell r="B875" t="str">
            <v>Прочие вспомогательные</v>
          </cell>
          <cell r="K875">
            <v>0</v>
          </cell>
          <cell r="N875">
            <v>0</v>
          </cell>
          <cell r="O875" t="str">
            <v>Агропромцентр</v>
          </cell>
          <cell r="P875">
            <v>0</v>
          </cell>
          <cell r="S875">
            <v>0</v>
          </cell>
          <cell r="T875" t="str">
            <v>ВМЗ КО</v>
          </cell>
        </row>
        <row r="876">
          <cell r="B876" t="str">
            <v>Прочие вспомогательные</v>
          </cell>
          <cell r="K876">
            <v>0</v>
          </cell>
          <cell r="N876">
            <v>0</v>
          </cell>
          <cell r="O876" t="str">
            <v>Агропромцентр</v>
          </cell>
          <cell r="P876">
            <v>0</v>
          </cell>
          <cell r="S876">
            <v>0</v>
          </cell>
          <cell r="T876" t="str">
            <v>ВМЗ КО</v>
          </cell>
        </row>
        <row r="877">
          <cell r="B877" t="str">
            <v>Прочие вспомогательные</v>
          </cell>
          <cell r="K877">
            <v>0</v>
          </cell>
          <cell r="N877">
            <v>0</v>
          </cell>
          <cell r="O877" t="str">
            <v>Агропромцентр</v>
          </cell>
          <cell r="P877">
            <v>0</v>
          </cell>
          <cell r="S877">
            <v>0</v>
          </cell>
          <cell r="T877" t="str">
            <v>ВМЗ КО</v>
          </cell>
        </row>
        <row r="878">
          <cell r="B878" t="str">
            <v>Прочие вспомогательные</v>
          </cell>
          <cell r="K878">
            <v>0</v>
          </cell>
          <cell r="N878">
            <v>0</v>
          </cell>
          <cell r="O878" t="str">
            <v>Агропромцентр</v>
          </cell>
          <cell r="P878">
            <v>0</v>
          </cell>
          <cell r="S878">
            <v>0</v>
          </cell>
          <cell r="T878" t="str">
            <v>ВМЗ КО</v>
          </cell>
        </row>
        <row r="879">
          <cell r="B879" t="str">
            <v>Прочие вспомогательные</v>
          </cell>
          <cell r="K879">
            <v>0</v>
          </cell>
          <cell r="N879">
            <v>0</v>
          </cell>
          <cell r="O879" t="str">
            <v>Агропромцентр</v>
          </cell>
          <cell r="P879">
            <v>0</v>
          </cell>
          <cell r="S879">
            <v>0</v>
          </cell>
          <cell r="T879" t="str">
            <v>ВМЗ КО</v>
          </cell>
        </row>
        <row r="880">
          <cell r="B880" t="str">
            <v>Прочие вспомогательные</v>
          </cell>
          <cell r="K880">
            <v>0</v>
          </cell>
          <cell r="N880">
            <v>0</v>
          </cell>
          <cell r="O880" t="str">
            <v>Агропромцентр</v>
          </cell>
          <cell r="P880">
            <v>0</v>
          </cell>
          <cell r="S880">
            <v>0</v>
          </cell>
          <cell r="T880" t="str">
            <v>ВМЗ КО</v>
          </cell>
        </row>
        <row r="881">
          <cell r="B881" t="str">
            <v>Прочие вспомогательные</v>
          </cell>
          <cell r="K881">
            <v>0</v>
          </cell>
          <cell r="N881">
            <v>0</v>
          </cell>
          <cell r="O881" t="str">
            <v>НЕМО</v>
          </cell>
          <cell r="P881">
            <v>0</v>
          </cell>
          <cell r="S881">
            <v>0</v>
          </cell>
          <cell r="T881" t="str">
            <v>ВМЗ КО</v>
          </cell>
        </row>
        <row r="882">
          <cell r="B882" t="str">
            <v>Прочие вспомогательные</v>
          </cell>
          <cell r="K882">
            <v>0</v>
          </cell>
          <cell r="N882">
            <v>0</v>
          </cell>
          <cell r="O882" t="str">
            <v>НЕМО</v>
          </cell>
          <cell r="P882">
            <v>0</v>
          </cell>
          <cell r="S882">
            <v>0</v>
          </cell>
          <cell r="T882" t="str">
            <v>ВМЗ КО</v>
          </cell>
        </row>
        <row r="883">
          <cell r="B883" t="str">
            <v>Прочие вспомогательные</v>
          </cell>
          <cell r="K883">
            <v>0</v>
          </cell>
          <cell r="N883">
            <v>0</v>
          </cell>
          <cell r="O883" t="str">
            <v>НЕМО</v>
          </cell>
          <cell r="P883">
            <v>0</v>
          </cell>
          <cell r="S883">
            <v>0</v>
          </cell>
          <cell r="T883" t="str">
            <v>ВМЗ КО</v>
          </cell>
        </row>
        <row r="884">
          <cell r="B884" t="str">
            <v>Прочие вспомогательные</v>
          </cell>
          <cell r="K884">
            <v>0</v>
          </cell>
          <cell r="N884">
            <v>0</v>
          </cell>
          <cell r="O884" t="str">
            <v>НЕМО</v>
          </cell>
          <cell r="P884">
            <v>0</v>
          </cell>
          <cell r="S884">
            <v>0</v>
          </cell>
          <cell r="T884" t="str">
            <v>ВМЗ КО</v>
          </cell>
        </row>
        <row r="885">
          <cell r="B885" t="str">
            <v>Прочие вспомогательные</v>
          </cell>
          <cell r="K885">
            <v>0</v>
          </cell>
          <cell r="N885">
            <v>0</v>
          </cell>
          <cell r="O885" t="str">
            <v>НЕМО</v>
          </cell>
          <cell r="P885">
            <v>0</v>
          </cell>
          <cell r="S885">
            <v>0</v>
          </cell>
          <cell r="T885" t="str">
            <v>ВМЗ КО</v>
          </cell>
        </row>
        <row r="886">
          <cell r="B886" t="str">
            <v>Прочие вспомогательные</v>
          </cell>
          <cell r="K886">
            <v>0</v>
          </cell>
          <cell r="N886">
            <v>0</v>
          </cell>
          <cell r="O886" t="str">
            <v>НЕМО</v>
          </cell>
          <cell r="P886">
            <v>0</v>
          </cell>
          <cell r="S886">
            <v>0</v>
          </cell>
          <cell r="T886" t="str">
            <v>ВМЗ КО</v>
          </cell>
        </row>
        <row r="887">
          <cell r="B887" t="str">
            <v>Прочие вспомогательные</v>
          </cell>
          <cell r="K887">
            <v>0</v>
          </cell>
          <cell r="N887">
            <v>0</v>
          </cell>
          <cell r="O887" t="str">
            <v>НЕМО</v>
          </cell>
          <cell r="P887">
            <v>0</v>
          </cell>
          <cell r="S887">
            <v>0</v>
          </cell>
          <cell r="T887" t="str">
            <v>ВМЗ КО</v>
          </cell>
        </row>
        <row r="888">
          <cell r="B888" t="str">
            <v>Прочие вспомогательные</v>
          </cell>
          <cell r="K888">
            <v>0</v>
          </cell>
          <cell r="N888">
            <v>0</v>
          </cell>
          <cell r="O888" t="str">
            <v>НЕМО</v>
          </cell>
          <cell r="P888">
            <v>0</v>
          </cell>
          <cell r="S888">
            <v>0</v>
          </cell>
          <cell r="T888" t="str">
            <v>ВМЗ КО</v>
          </cell>
        </row>
        <row r="889">
          <cell r="B889" t="str">
            <v>Прочие вспомогательные</v>
          </cell>
          <cell r="K889">
            <v>0</v>
          </cell>
          <cell r="N889">
            <v>0</v>
          </cell>
          <cell r="O889" t="str">
            <v>НЕМО</v>
          </cell>
          <cell r="P889">
            <v>0</v>
          </cell>
          <cell r="S889">
            <v>0</v>
          </cell>
          <cell r="T889" t="str">
            <v>ВМЗ КО</v>
          </cell>
        </row>
        <row r="890">
          <cell r="B890" t="str">
            <v>Прочие вспомогательные</v>
          </cell>
          <cell r="K890">
            <v>0</v>
          </cell>
          <cell r="N890">
            <v>0</v>
          </cell>
          <cell r="O890" t="str">
            <v>НЕМО</v>
          </cell>
          <cell r="P890">
            <v>0</v>
          </cell>
          <cell r="S890">
            <v>0</v>
          </cell>
          <cell r="T890" t="str">
            <v>ВМЗ КО</v>
          </cell>
        </row>
        <row r="891">
          <cell r="B891" t="str">
            <v>Прочие вспомогательные</v>
          </cell>
          <cell r="K891">
            <v>0</v>
          </cell>
          <cell r="N891">
            <v>0</v>
          </cell>
          <cell r="O891" t="str">
            <v>НЕМО</v>
          </cell>
          <cell r="P891">
            <v>0</v>
          </cell>
          <cell r="S891">
            <v>0</v>
          </cell>
          <cell r="T891" t="str">
            <v>ВМЗ КО</v>
          </cell>
        </row>
        <row r="892">
          <cell r="B892" t="str">
            <v>Прочие вспомогательные</v>
          </cell>
          <cell r="K892">
            <v>0</v>
          </cell>
          <cell r="N892">
            <v>0</v>
          </cell>
          <cell r="O892" t="str">
            <v>НЕМО</v>
          </cell>
          <cell r="P892">
            <v>0</v>
          </cell>
          <cell r="S892">
            <v>0</v>
          </cell>
          <cell r="T892" t="str">
            <v>ВМЗ КО</v>
          </cell>
        </row>
        <row r="893">
          <cell r="B893" t="str">
            <v>Прочие вспомогательные</v>
          </cell>
          <cell r="K893">
            <v>0</v>
          </cell>
          <cell r="N893">
            <v>0</v>
          </cell>
          <cell r="O893" t="str">
            <v>НЕМО</v>
          </cell>
          <cell r="P893">
            <v>0</v>
          </cell>
          <cell r="S893">
            <v>0</v>
          </cell>
          <cell r="T893" t="str">
            <v>ВМЗ КО</v>
          </cell>
        </row>
        <row r="894">
          <cell r="B894" t="str">
            <v>Прочие вспомогательные</v>
          </cell>
          <cell r="K894">
            <v>0</v>
          </cell>
          <cell r="N894">
            <v>0</v>
          </cell>
          <cell r="O894" t="str">
            <v>НЕМО</v>
          </cell>
          <cell r="P894">
            <v>0</v>
          </cell>
          <cell r="S894">
            <v>0</v>
          </cell>
          <cell r="T894" t="str">
            <v>ВМЗ КО</v>
          </cell>
        </row>
        <row r="895">
          <cell r="B895" t="str">
            <v>Прочие вспомогательные</v>
          </cell>
          <cell r="K895">
            <v>0</v>
          </cell>
          <cell r="N895">
            <v>0</v>
          </cell>
          <cell r="O895" t="str">
            <v>НЕМО</v>
          </cell>
          <cell r="P895">
            <v>0</v>
          </cell>
          <cell r="S895">
            <v>0</v>
          </cell>
          <cell r="T895" t="str">
            <v>ВМЗ КО</v>
          </cell>
        </row>
        <row r="896">
          <cell r="B896" t="str">
            <v>Прочие вспомогательные</v>
          </cell>
          <cell r="K896">
            <v>0</v>
          </cell>
          <cell r="N896">
            <v>0</v>
          </cell>
          <cell r="O896" t="str">
            <v>НЕМО</v>
          </cell>
          <cell r="P896">
            <v>0</v>
          </cell>
          <cell r="S896">
            <v>0</v>
          </cell>
          <cell r="T896" t="str">
            <v>ВМЗ КО</v>
          </cell>
        </row>
        <row r="897">
          <cell r="B897" t="str">
            <v>Прочие вспомогательные</v>
          </cell>
          <cell r="K897">
            <v>0</v>
          </cell>
          <cell r="N897">
            <v>0</v>
          </cell>
          <cell r="O897" t="str">
            <v>НЕМО</v>
          </cell>
          <cell r="P897">
            <v>0</v>
          </cell>
          <cell r="S897">
            <v>0</v>
          </cell>
          <cell r="T897" t="str">
            <v>ВМЗ КО</v>
          </cell>
        </row>
        <row r="898">
          <cell r="B898" t="str">
            <v>Прочие вспомогательные</v>
          </cell>
          <cell r="K898">
            <v>0</v>
          </cell>
          <cell r="N898">
            <v>0</v>
          </cell>
          <cell r="O898" t="str">
            <v>НЕМО</v>
          </cell>
          <cell r="P898">
            <v>0</v>
          </cell>
          <cell r="S898">
            <v>0</v>
          </cell>
          <cell r="T898" t="str">
            <v>ВМЗ КО</v>
          </cell>
        </row>
        <row r="899">
          <cell r="B899" t="str">
            <v>Прочие вспомогательные</v>
          </cell>
          <cell r="K899">
            <v>0</v>
          </cell>
          <cell r="N899">
            <v>0</v>
          </cell>
          <cell r="O899" t="str">
            <v>НЕМО</v>
          </cell>
          <cell r="P899">
            <v>0</v>
          </cell>
          <cell r="S899">
            <v>0</v>
          </cell>
          <cell r="T899" t="str">
            <v>ВМЗ КО</v>
          </cell>
        </row>
        <row r="900">
          <cell r="B900" t="str">
            <v>Прочие вспомогательные</v>
          </cell>
          <cell r="K900">
            <v>0</v>
          </cell>
          <cell r="N900">
            <v>0</v>
          </cell>
          <cell r="O900" t="str">
            <v>НЕМО</v>
          </cell>
          <cell r="P900">
            <v>0</v>
          </cell>
          <cell r="S900">
            <v>0</v>
          </cell>
          <cell r="T900" t="str">
            <v>ВМЗ КО</v>
          </cell>
        </row>
        <row r="901">
          <cell r="B901" t="str">
            <v>Прочие вспомогательные</v>
          </cell>
          <cell r="K901">
            <v>0</v>
          </cell>
          <cell r="N901">
            <v>0</v>
          </cell>
          <cell r="O901" t="str">
            <v>НЕМО</v>
          </cell>
          <cell r="P901">
            <v>0</v>
          </cell>
          <cell r="S901">
            <v>0</v>
          </cell>
          <cell r="T901" t="str">
            <v>ВМЗ КО</v>
          </cell>
        </row>
        <row r="902">
          <cell r="B902" t="str">
            <v>Прочие вспомогательные</v>
          </cell>
          <cell r="K902">
            <v>0</v>
          </cell>
          <cell r="N902">
            <v>0</v>
          </cell>
          <cell r="O902" t="str">
            <v>НЕМО</v>
          </cell>
          <cell r="P902">
            <v>0</v>
          </cell>
          <cell r="S902">
            <v>0</v>
          </cell>
          <cell r="T902" t="str">
            <v>ВМЗ КО</v>
          </cell>
        </row>
        <row r="903">
          <cell r="B903" t="str">
            <v>Прочие вспомогательные</v>
          </cell>
          <cell r="K903">
            <v>0</v>
          </cell>
          <cell r="N903">
            <v>0</v>
          </cell>
          <cell r="O903" t="str">
            <v>НЕМО</v>
          </cell>
          <cell r="P903">
            <v>0</v>
          </cell>
          <cell r="S903">
            <v>0</v>
          </cell>
          <cell r="T903" t="str">
            <v>ВМЗ КО</v>
          </cell>
        </row>
        <row r="904">
          <cell r="B904" t="str">
            <v>Прочие вспомогательные</v>
          </cell>
          <cell r="K904">
            <v>0</v>
          </cell>
          <cell r="N904">
            <v>0</v>
          </cell>
          <cell r="O904" t="str">
            <v>НЕМО</v>
          </cell>
          <cell r="P904">
            <v>0</v>
          </cell>
          <cell r="S904">
            <v>0</v>
          </cell>
          <cell r="T904" t="str">
            <v>ВМЗ КО</v>
          </cell>
        </row>
        <row r="905">
          <cell r="B905" t="str">
            <v>Прочие вспомогательные</v>
          </cell>
          <cell r="K905">
            <v>0</v>
          </cell>
          <cell r="N905">
            <v>0</v>
          </cell>
          <cell r="O905" t="str">
            <v>НЕМО</v>
          </cell>
          <cell r="P905">
            <v>0</v>
          </cell>
          <cell r="S905">
            <v>0</v>
          </cell>
          <cell r="T905" t="str">
            <v>ВМЗ КО</v>
          </cell>
        </row>
        <row r="906">
          <cell r="B906" t="str">
            <v>Прочие вспомогательные</v>
          </cell>
          <cell r="K906">
            <v>0</v>
          </cell>
          <cell r="N906">
            <v>0</v>
          </cell>
          <cell r="O906" t="str">
            <v>НЕМО</v>
          </cell>
          <cell r="P906">
            <v>0</v>
          </cell>
          <cell r="S906">
            <v>0</v>
          </cell>
          <cell r="T906" t="str">
            <v>ВМЗ КО</v>
          </cell>
        </row>
        <row r="907">
          <cell r="B907" t="str">
            <v>Прочие вспомогательные</v>
          </cell>
          <cell r="K907">
            <v>0</v>
          </cell>
          <cell r="N907">
            <v>0</v>
          </cell>
          <cell r="O907" t="str">
            <v>НЕМО</v>
          </cell>
          <cell r="P907">
            <v>0</v>
          </cell>
          <cell r="S907">
            <v>0</v>
          </cell>
          <cell r="T907" t="str">
            <v>ВМЗ КО</v>
          </cell>
        </row>
        <row r="908">
          <cell r="B908" t="str">
            <v>Прочие вспомогательные</v>
          </cell>
          <cell r="K908">
            <v>0</v>
          </cell>
          <cell r="N908">
            <v>0</v>
          </cell>
          <cell r="O908" t="str">
            <v>НЕМО</v>
          </cell>
          <cell r="P908">
            <v>0</v>
          </cell>
          <cell r="S908">
            <v>0</v>
          </cell>
          <cell r="T908" t="str">
            <v>ВМЗ КО</v>
          </cell>
        </row>
        <row r="909">
          <cell r="B909" t="str">
            <v>Прочие вспомогательные</v>
          </cell>
          <cell r="K909">
            <v>0</v>
          </cell>
          <cell r="N909">
            <v>0</v>
          </cell>
          <cell r="O909" t="str">
            <v>НЕМО</v>
          </cell>
          <cell r="P909">
            <v>0</v>
          </cell>
          <cell r="S909">
            <v>0</v>
          </cell>
          <cell r="T909" t="str">
            <v>ВМЗ КО</v>
          </cell>
        </row>
        <row r="910">
          <cell r="B910" t="str">
            <v>Прочие вспомогательные</v>
          </cell>
          <cell r="K910">
            <v>0</v>
          </cell>
          <cell r="N910">
            <v>0</v>
          </cell>
          <cell r="O910" t="str">
            <v>НЕМО</v>
          </cell>
          <cell r="P910">
            <v>0</v>
          </cell>
          <cell r="S910">
            <v>0</v>
          </cell>
          <cell r="T910" t="str">
            <v>ВМЗ КО</v>
          </cell>
        </row>
        <row r="911">
          <cell r="B911" t="str">
            <v>Прочие вспомогательные</v>
          </cell>
          <cell r="K911">
            <v>0</v>
          </cell>
          <cell r="N911">
            <v>0</v>
          </cell>
          <cell r="O911" t="str">
            <v>НЕМО</v>
          </cell>
          <cell r="P911">
            <v>0</v>
          </cell>
          <cell r="S911">
            <v>0</v>
          </cell>
          <cell r="T911" t="str">
            <v>ВМЗ КО</v>
          </cell>
        </row>
        <row r="912">
          <cell r="B912" t="str">
            <v>Прочие вспомогательные</v>
          </cell>
          <cell r="K912">
            <v>0</v>
          </cell>
          <cell r="N912">
            <v>0</v>
          </cell>
          <cell r="O912" t="str">
            <v>НЕМО</v>
          </cell>
          <cell r="P912">
            <v>0</v>
          </cell>
          <cell r="S912">
            <v>0</v>
          </cell>
          <cell r="T912" t="str">
            <v>ВМЗ КО</v>
          </cell>
        </row>
        <row r="913">
          <cell r="B913" t="str">
            <v>Прочие вспомогательные</v>
          </cell>
          <cell r="K913">
            <v>0</v>
          </cell>
          <cell r="N913">
            <v>0</v>
          </cell>
          <cell r="O913" t="str">
            <v>НЕМО</v>
          </cell>
          <cell r="P913">
            <v>0</v>
          </cell>
          <cell r="S913">
            <v>0</v>
          </cell>
          <cell r="T913" t="str">
            <v>ВМЗ КО</v>
          </cell>
        </row>
        <row r="914">
          <cell r="B914" t="str">
            <v>Прочие вспомогательные</v>
          </cell>
          <cell r="K914">
            <v>0</v>
          </cell>
          <cell r="N914">
            <v>0</v>
          </cell>
          <cell r="O914" t="str">
            <v>НЕМО</v>
          </cell>
          <cell r="P914">
            <v>0</v>
          </cell>
          <cell r="S914">
            <v>0</v>
          </cell>
          <cell r="T914" t="str">
            <v>ВМЗ КО</v>
          </cell>
        </row>
        <row r="915">
          <cell r="B915" t="str">
            <v>Прочие вспомогательные</v>
          </cell>
          <cell r="K915">
            <v>0</v>
          </cell>
          <cell r="N915">
            <v>0</v>
          </cell>
          <cell r="O915" t="str">
            <v>НЕМО</v>
          </cell>
          <cell r="P915">
            <v>0</v>
          </cell>
          <cell r="S915">
            <v>0</v>
          </cell>
          <cell r="T915" t="str">
            <v>ВМЗ КО</v>
          </cell>
        </row>
        <row r="916">
          <cell r="B916" t="str">
            <v>Прочие вспомогательные</v>
          </cell>
          <cell r="K916">
            <v>0</v>
          </cell>
          <cell r="N916">
            <v>0</v>
          </cell>
          <cell r="O916" t="str">
            <v>НЕМО</v>
          </cell>
          <cell r="P916">
            <v>0</v>
          </cell>
          <cell r="S916">
            <v>0</v>
          </cell>
          <cell r="T916" t="str">
            <v>ВМЗ КО</v>
          </cell>
        </row>
        <row r="917">
          <cell r="B917" t="str">
            <v>Прочие вспомогательные</v>
          </cell>
          <cell r="K917">
            <v>0</v>
          </cell>
          <cell r="N917">
            <v>0</v>
          </cell>
          <cell r="O917" t="str">
            <v>НЕМО</v>
          </cell>
          <cell r="P917">
            <v>0</v>
          </cell>
          <cell r="S917">
            <v>0</v>
          </cell>
          <cell r="T917" t="str">
            <v>ВМЗ КО</v>
          </cell>
        </row>
        <row r="918">
          <cell r="B918" t="str">
            <v>Прочие вспомогательные</v>
          </cell>
          <cell r="K918">
            <v>0</v>
          </cell>
          <cell r="N918">
            <v>0</v>
          </cell>
          <cell r="O918" t="str">
            <v>НЕМО</v>
          </cell>
          <cell r="P918">
            <v>0</v>
          </cell>
          <cell r="S918">
            <v>0</v>
          </cell>
          <cell r="T918" t="str">
            <v>ВМЗ КО</v>
          </cell>
        </row>
        <row r="919">
          <cell r="B919" t="str">
            <v>Прочие вспомогательные</v>
          </cell>
          <cell r="K919">
            <v>0</v>
          </cell>
          <cell r="N919">
            <v>0</v>
          </cell>
          <cell r="O919" t="str">
            <v>НЕМО</v>
          </cell>
          <cell r="P919">
            <v>0</v>
          </cell>
          <cell r="S919">
            <v>0</v>
          </cell>
          <cell r="T919" t="str">
            <v>ВМЗ КО</v>
          </cell>
        </row>
        <row r="920">
          <cell r="B920" t="str">
            <v>Прочие вспомогательные</v>
          </cell>
          <cell r="K920">
            <v>0</v>
          </cell>
          <cell r="N920">
            <v>0</v>
          </cell>
          <cell r="O920" t="str">
            <v>НЕМО</v>
          </cell>
          <cell r="P920">
            <v>0</v>
          </cell>
          <cell r="S920">
            <v>0</v>
          </cell>
          <cell r="T920" t="str">
            <v>ВМЗ КО</v>
          </cell>
        </row>
        <row r="921">
          <cell r="B921" t="str">
            <v>Прочие вспомогательные</v>
          </cell>
          <cell r="K921">
            <v>0</v>
          </cell>
          <cell r="N921">
            <v>0</v>
          </cell>
          <cell r="O921" t="str">
            <v>НЕМО</v>
          </cell>
          <cell r="P921">
            <v>0</v>
          </cell>
          <cell r="S921">
            <v>0</v>
          </cell>
          <cell r="T921" t="str">
            <v>ВМЗ КО</v>
          </cell>
        </row>
        <row r="922">
          <cell r="B922" t="str">
            <v>Прочие вспомогательные</v>
          </cell>
          <cell r="K922">
            <v>0</v>
          </cell>
          <cell r="N922">
            <v>0</v>
          </cell>
          <cell r="O922" t="str">
            <v>НЕМО</v>
          </cell>
          <cell r="P922">
            <v>0</v>
          </cell>
          <cell r="S922">
            <v>0</v>
          </cell>
          <cell r="T922" t="str">
            <v>ВМЗ КО</v>
          </cell>
        </row>
        <row r="923">
          <cell r="B923" t="str">
            <v>Прочие вспомогательные</v>
          </cell>
          <cell r="K923">
            <v>0</v>
          </cell>
          <cell r="N923">
            <v>0</v>
          </cell>
          <cell r="O923" t="str">
            <v>НЕМО</v>
          </cell>
          <cell r="P923">
            <v>0</v>
          </cell>
          <cell r="S923">
            <v>0</v>
          </cell>
          <cell r="T923" t="str">
            <v>ВМЗ КО</v>
          </cell>
        </row>
        <row r="924">
          <cell r="B924" t="str">
            <v>Прочие вспомогательные</v>
          </cell>
          <cell r="K924">
            <v>0</v>
          </cell>
          <cell r="N924">
            <v>0</v>
          </cell>
          <cell r="O924" t="str">
            <v>НЕМО</v>
          </cell>
          <cell r="P924">
            <v>0</v>
          </cell>
          <cell r="S924">
            <v>0</v>
          </cell>
          <cell r="T924" t="str">
            <v>ВМЗ КО</v>
          </cell>
        </row>
        <row r="925">
          <cell r="B925" t="str">
            <v>Прочие вспомогательные</v>
          </cell>
          <cell r="K925">
            <v>0</v>
          </cell>
          <cell r="N925">
            <v>0</v>
          </cell>
          <cell r="O925" t="str">
            <v>НЕМО</v>
          </cell>
          <cell r="P925">
            <v>0</v>
          </cell>
          <cell r="S925">
            <v>0</v>
          </cell>
          <cell r="T925" t="str">
            <v>ВМЗ КО</v>
          </cell>
        </row>
        <row r="926">
          <cell r="B926" t="str">
            <v>Прочие вспомогательные</v>
          </cell>
          <cell r="K926">
            <v>0</v>
          </cell>
          <cell r="N926">
            <v>0</v>
          </cell>
          <cell r="O926" t="str">
            <v>НЕМО</v>
          </cell>
          <cell r="P926">
            <v>0</v>
          </cell>
          <cell r="S926">
            <v>0</v>
          </cell>
          <cell r="T926" t="str">
            <v>ВМЗ КО</v>
          </cell>
        </row>
        <row r="927">
          <cell r="B927" t="str">
            <v>Прочие вспомогательные</v>
          </cell>
          <cell r="K927">
            <v>0</v>
          </cell>
          <cell r="N927">
            <v>0</v>
          </cell>
          <cell r="O927" t="str">
            <v>НЕМО</v>
          </cell>
          <cell r="P927">
            <v>0</v>
          </cell>
          <cell r="S927">
            <v>0</v>
          </cell>
          <cell r="T927" t="str">
            <v>ВМЗ КО</v>
          </cell>
        </row>
        <row r="928">
          <cell r="B928" t="str">
            <v>Прочие вспомогательные</v>
          </cell>
          <cell r="K928">
            <v>0</v>
          </cell>
          <cell r="N928">
            <v>0</v>
          </cell>
          <cell r="O928" t="str">
            <v>НЕМО</v>
          </cell>
          <cell r="P928">
            <v>0</v>
          </cell>
          <cell r="S928">
            <v>0</v>
          </cell>
          <cell r="T928" t="str">
            <v>ВМЗ КО</v>
          </cell>
        </row>
        <row r="929">
          <cell r="B929" t="str">
            <v>Прочие вспомогательные</v>
          </cell>
          <cell r="K929">
            <v>0</v>
          </cell>
          <cell r="N929">
            <v>0</v>
          </cell>
          <cell r="O929" t="str">
            <v>НЕМО</v>
          </cell>
          <cell r="P929">
            <v>0</v>
          </cell>
          <cell r="S929">
            <v>0</v>
          </cell>
          <cell r="T929" t="str">
            <v>ВМЗ КО</v>
          </cell>
        </row>
        <row r="930">
          <cell r="B930" t="str">
            <v>Прочие вспомогательные</v>
          </cell>
          <cell r="K930">
            <v>0</v>
          </cell>
          <cell r="N930">
            <v>0</v>
          </cell>
          <cell r="O930" t="str">
            <v>Агропромцентр</v>
          </cell>
          <cell r="P930">
            <v>0</v>
          </cell>
          <cell r="S930">
            <v>0</v>
          </cell>
          <cell r="T930" t="str">
            <v>ВМЗ КО</v>
          </cell>
        </row>
        <row r="931">
          <cell r="B931" t="str">
            <v>Прочие вспомогательные</v>
          </cell>
          <cell r="K931">
            <v>0</v>
          </cell>
          <cell r="N931">
            <v>0</v>
          </cell>
          <cell r="O931" t="str">
            <v>Агропромцентр</v>
          </cell>
          <cell r="P931">
            <v>0</v>
          </cell>
          <cell r="S931">
            <v>0</v>
          </cell>
          <cell r="T931" t="str">
            <v>ВМЗ КО</v>
          </cell>
        </row>
        <row r="932">
          <cell r="B932" t="str">
            <v>Прочие вспомогательные</v>
          </cell>
          <cell r="K932">
            <v>0</v>
          </cell>
          <cell r="N932">
            <v>0</v>
          </cell>
          <cell r="O932" t="str">
            <v>Агропромцентр</v>
          </cell>
          <cell r="P932">
            <v>0</v>
          </cell>
          <cell r="S932">
            <v>0</v>
          </cell>
          <cell r="T932" t="str">
            <v>ВМЗ КО</v>
          </cell>
        </row>
        <row r="933">
          <cell r="B933" t="str">
            <v>Прочие вспомогательные</v>
          </cell>
          <cell r="K933">
            <v>0</v>
          </cell>
          <cell r="N933">
            <v>0</v>
          </cell>
          <cell r="O933" t="str">
            <v>Агропромцентр</v>
          </cell>
          <cell r="P933">
            <v>0</v>
          </cell>
          <cell r="S933">
            <v>0</v>
          </cell>
          <cell r="T933" t="str">
            <v>ВМЗ КО</v>
          </cell>
        </row>
        <row r="934">
          <cell r="B934" t="str">
            <v>Прочие вспомогательные</v>
          </cell>
          <cell r="K934">
            <v>0</v>
          </cell>
          <cell r="N934">
            <v>0</v>
          </cell>
          <cell r="O934" t="str">
            <v>Агропромцентр</v>
          </cell>
          <cell r="P934">
            <v>0</v>
          </cell>
          <cell r="S934">
            <v>0</v>
          </cell>
          <cell r="T934" t="str">
            <v>ВМЗ КО</v>
          </cell>
        </row>
        <row r="935">
          <cell r="B935" t="str">
            <v>Прочие вспомогательные</v>
          </cell>
          <cell r="K935">
            <v>0</v>
          </cell>
          <cell r="N935">
            <v>0</v>
          </cell>
          <cell r="O935" t="str">
            <v>Агропромцентр</v>
          </cell>
          <cell r="P935">
            <v>0</v>
          </cell>
          <cell r="S935">
            <v>0</v>
          </cell>
          <cell r="T935" t="str">
            <v>ВМЗ КО</v>
          </cell>
        </row>
        <row r="936">
          <cell r="B936" t="str">
            <v>Прочие вспомогательные</v>
          </cell>
          <cell r="K936">
            <v>0</v>
          </cell>
          <cell r="N936">
            <v>0</v>
          </cell>
          <cell r="O936" t="str">
            <v>Агропромцентр</v>
          </cell>
          <cell r="P936">
            <v>0</v>
          </cell>
          <cell r="S936">
            <v>0</v>
          </cell>
          <cell r="T936" t="str">
            <v>ВМЗ КО</v>
          </cell>
        </row>
        <row r="937">
          <cell r="B937" t="str">
            <v>Прочие вспомогательные</v>
          </cell>
          <cell r="K937">
            <v>0</v>
          </cell>
          <cell r="N937">
            <v>0</v>
          </cell>
          <cell r="O937" t="str">
            <v>Агропромцентр</v>
          </cell>
          <cell r="P937">
            <v>0</v>
          </cell>
          <cell r="S937">
            <v>0</v>
          </cell>
          <cell r="T937" t="str">
            <v>ВМЗ КО</v>
          </cell>
        </row>
        <row r="938">
          <cell r="B938" t="str">
            <v>Прочие вспомогательные</v>
          </cell>
          <cell r="K938">
            <v>0</v>
          </cell>
          <cell r="N938">
            <v>0</v>
          </cell>
          <cell r="O938" t="str">
            <v>Агропромцентр</v>
          </cell>
          <cell r="P938">
            <v>0</v>
          </cell>
          <cell r="S938">
            <v>0</v>
          </cell>
          <cell r="T938" t="str">
            <v>ВМЗ КО</v>
          </cell>
        </row>
        <row r="939">
          <cell r="B939" t="str">
            <v>Прочие вспомогательные</v>
          </cell>
          <cell r="K939">
            <v>0</v>
          </cell>
          <cell r="N939">
            <v>0</v>
          </cell>
          <cell r="O939" t="str">
            <v>Агропромцентр</v>
          </cell>
          <cell r="P939">
            <v>0</v>
          </cell>
          <cell r="S939">
            <v>0</v>
          </cell>
          <cell r="T939" t="str">
            <v>ВМЗ КО</v>
          </cell>
        </row>
        <row r="940">
          <cell r="B940" t="str">
            <v>Прочие вспомогательные</v>
          </cell>
          <cell r="K940">
            <v>0</v>
          </cell>
          <cell r="N940">
            <v>0</v>
          </cell>
          <cell r="O940" t="str">
            <v>Агропромцентр</v>
          </cell>
          <cell r="P940">
            <v>0</v>
          </cell>
          <cell r="S940">
            <v>0</v>
          </cell>
          <cell r="T940" t="str">
            <v>ВМЗ КО</v>
          </cell>
        </row>
        <row r="941">
          <cell r="B941" t="str">
            <v>Прочие вспомогательные</v>
          </cell>
          <cell r="K941">
            <v>0</v>
          </cell>
          <cell r="N941">
            <v>0</v>
          </cell>
          <cell r="O941" t="str">
            <v>Агропромцентр</v>
          </cell>
          <cell r="P941">
            <v>0</v>
          </cell>
          <cell r="S941">
            <v>0</v>
          </cell>
          <cell r="T941" t="str">
            <v>ВМЗ КО</v>
          </cell>
        </row>
        <row r="942">
          <cell r="B942" t="str">
            <v>Прочие вспомогательные</v>
          </cell>
          <cell r="K942">
            <v>0</v>
          </cell>
          <cell r="N942">
            <v>0</v>
          </cell>
          <cell r="O942" t="str">
            <v>Агропромцентр</v>
          </cell>
          <cell r="P942">
            <v>0</v>
          </cell>
          <cell r="S942">
            <v>0</v>
          </cell>
          <cell r="T942" t="str">
            <v>ВМЗ КО</v>
          </cell>
        </row>
        <row r="943">
          <cell r="B943" t="str">
            <v>Прочие вспомогательные</v>
          </cell>
          <cell r="K943">
            <v>0</v>
          </cell>
          <cell r="N943">
            <v>0</v>
          </cell>
          <cell r="O943" t="str">
            <v>Агропромцентр</v>
          </cell>
          <cell r="P943">
            <v>0</v>
          </cell>
          <cell r="S943">
            <v>0</v>
          </cell>
          <cell r="T943" t="str">
            <v>ВМЗ КО</v>
          </cell>
        </row>
        <row r="944">
          <cell r="B944" t="str">
            <v>Прочие вспомогательные</v>
          </cell>
          <cell r="K944">
            <v>0</v>
          </cell>
          <cell r="N944">
            <v>0</v>
          </cell>
          <cell r="O944" t="str">
            <v>Агропромцентр</v>
          </cell>
          <cell r="P944">
            <v>0</v>
          </cell>
          <cell r="S944">
            <v>0</v>
          </cell>
          <cell r="T944" t="str">
            <v>ВМЗ КО</v>
          </cell>
        </row>
        <row r="945">
          <cell r="B945" t="str">
            <v>Прочие вспомогательные</v>
          </cell>
          <cell r="K945">
            <v>0</v>
          </cell>
          <cell r="N945">
            <v>0</v>
          </cell>
          <cell r="O945" t="str">
            <v>Агропромцентр</v>
          </cell>
          <cell r="P945">
            <v>0</v>
          </cell>
          <cell r="S945">
            <v>0</v>
          </cell>
          <cell r="T945" t="str">
            <v>ВМЗ КО</v>
          </cell>
        </row>
        <row r="946">
          <cell r="B946" t="str">
            <v>Прочие вспомогательные</v>
          </cell>
          <cell r="K946">
            <v>0</v>
          </cell>
          <cell r="N946">
            <v>0</v>
          </cell>
          <cell r="O946" t="str">
            <v>Агропромцентр</v>
          </cell>
          <cell r="P946">
            <v>0</v>
          </cell>
          <cell r="S946">
            <v>0</v>
          </cell>
          <cell r="T946" t="str">
            <v>ВМЗ КО</v>
          </cell>
        </row>
        <row r="947">
          <cell r="B947" t="str">
            <v>Прочие вспомогательные</v>
          </cell>
          <cell r="K947">
            <v>0</v>
          </cell>
          <cell r="N947">
            <v>0</v>
          </cell>
          <cell r="O947" t="str">
            <v>Агропромцентр</v>
          </cell>
          <cell r="P947">
            <v>0</v>
          </cell>
          <cell r="S947">
            <v>0</v>
          </cell>
          <cell r="T947" t="str">
            <v>ВМЗ КО</v>
          </cell>
        </row>
        <row r="948">
          <cell r="B948" t="str">
            <v>Прочие вспомогательные</v>
          </cell>
          <cell r="K948">
            <v>0</v>
          </cell>
          <cell r="N948">
            <v>0</v>
          </cell>
          <cell r="O948" t="str">
            <v>НЕМО</v>
          </cell>
          <cell r="P948">
            <v>0</v>
          </cell>
          <cell r="S948">
            <v>0</v>
          </cell>
          <cell r="T948" t="str">
            <v>ВМЗ КО</v>
          </cell>
        </row>
        <row r="949">
          <cell r="B949" t="str">
            <v>Прочие вспомогательные</v>
          </cell>
          <cell r="K949">
            <v>6500</v>
          </cell>
          <cell r="N949">
            <v>650000</v>
          </cell>
          <cell r="O949" t="str">
            <v>МБК</v>
          </cell>
          <cell r="P949">
            <v>6500</v>
          </cell>
          <cell r="S949">
            <v>651949.99999999988</v>
          </cell>
          <cell r="T949" t="str">
            <v>ВМЗ КО</v>
          </cell>
        </row>
        <row r="950">
          <cell r="B950" t="str">
            <v>Прочие вспомогательные</v>
          </cell>
          <cell r="K950">
            <v>0</v>
          </cell>
          <cell r="N950">
            <v>0</v>
          </cell>
          <cell r="O950" t="str">
            <v>МБК</v>
          </cell>
          <cell r="P950">
            <v>0</v>
          </cell>
          <cell r="S950">
            <v>0</v>
          </cell>
          <cell r="T950" t="str">
            <v>ВМЗ КО</v>
          </cell>
        </row>
        <row r="951">
          <cell r="B951" t="str">
            <v>Прочие вспомогательные</v>
          </cell>
          <cell r="K951">
            <v>0</v>
          </cell>
          <cell r="N951">
            <v>0</v>
          </cell>
          <cell r="O951" t="str">
            <v>МБК</v>
          </cell>
          <cell r="P951">
            <v>0</v>
          </cell>
          <cell r="S951">
            <v>0</v>
          </cell>
          <cell r="T951" t="str">
            <v>ВМЗ КО</v>
          </cell>
        </row>
        <row r="952">
          <cell r="B952" t="str">
            <v>Прочие вспомогательные</v>
          </cell>
          <cell r="K952">
            <v>0</v>
          </cell>
          <cell r="N952">
            <v>0</v>
          </cell>
          <cell r="O952" t="str">
            <v>МБК</v>
          </cell>
          <cell r="P952">
            <v>0</v>
          </cell>
          <cell r="S952">
            <v>0</v>
          </cell>
          <cell r="T952" t="str">
            <v>ВМЗ КО</v>
          </cell>
        </row>
        <row r="953">
          <cell r="B953" t="str">
            <v>Прочие вспомогательные</v>
          </cell>
          <cell r="K953">
            <v>0</v>
          </cell>
          <cell r="N953">
            <v>0</v>
          </cell>
          <cell r="O953" t="str">
            <v>МБК</v>
          </cell>
          <cell r="P953">
            <v>0</v>
          </cell>
          <cell r="S953">
            <v>0</v>
          </cell>
          <cell r="T953" t="str">
            <v>ВМЗ КО</v>
          </cell>
        </row>
        <row r="954">
          <cell r="B954" t="str">
            <v>Прочие вспомогательные</v>
          </cell>
          <cell r="K954">
            <v>0</v>
          </cell>
          <cell r="N954">
            <v>0</v>
          </cell>
          <cell r="O954" t="str">
            <v>МБК</v>
          </cell>
          <cell r="P954">
            <v>0</v>
          </cell>
          <cell r="S954">
            <v>0</v>
          </cell>
          <cell r="T954" t="str">
            <v>ВМЗ КО</v>
          </cell>
        </row>
        <row r="955">
          <cell r="B955" t="str">
            <v>Прочие вспомогательные</v>
          </cell>
          <cell r="K955">
            <v>0</v>
          </cell>
          <cell r="N955">
            <v>0</v>
          </cell>
          <cell r="O955" t="str">
            <v>МБК</v>
          </cell>
          <cell r="P955">
            <v>0</v>
          </cell>
          <cell r="S955">
            <v>0</v>
          </cell>
          <cell r="T955" t="str">
            <v>ВМЗ КО</v>
          </cell>
        </row>
        <row r="956">
          <cell r="B956" t="str">
            <v>Прочие вспомогательные</v>
          </cell>
          <cell r="K956">
            <v>0</v>
          </cell>
          <cell r="N956">
            <v>0</v>
          </cell>
          <cell r="O956" t="str">
            <v>МБК</v>
          </cell>
          <cell r="P956">
            <v>0</v>
          </cell>
          <cell r="S956">
            <v>0</v>
          </cell>
          <cell r="T956" t="str">
            <v>ВМЗ КО</v>
          </cell>
        </row>
        <row r="957">
          <cell r="B957" t="str">
            <v>Прочие вспомогательные</v>
          </cell>
          <cell r="K957">
            <v>0</v>
          </cell>
          <cell r="N957">
            <v>0</v>
          </cell>
          <cell r="O957" t="str">
            <v>МБК</v>
          </cell>
          <cell r="P957">
            <v>0</v>
          </cell>
          <cell r="S957">
            <v>0</v>
          </cell>
          <cell r="T957" t="str">
            <v>ВМЗ КО</v>
          </cell>
        </row>
        <row r="958">
          <cell r="B958" t="str">
            <v>Прочие вспомогательные</v>
          </cell>
          <cell r="K958">
            <v>0</v>
          </cell>
          <cell r="N958">
            <v>0</v>
          </cell>
          <cell r="O958" t="str">
            <v>МБК</v>
          </cell>
          <cell r="P958">
            <v>0</v>
          </cell>
          <cell r="S958">
            <v>0</v>
          </cell>
          <cell r="T958" t="str">
            <v>ВМЗ КО</v>
          </cell>
        </row>
        <row r="959">
          <cell r="B959" t="str">
            <v>Прочие вспомогательные</v>
          </cell>
          <cell r="K959">
            <v>0</v>
          </cell>
          <cell r="N959">
            <v>0</v>
          </cell>
          <cell r="O959" t="str">
            <v>МБК</v>
          </cell>
          <cell r="P959">
            <v>0</v>
          </cell>
          <cell r="S959">
            <v>0</v>
          </cell>
          <cell r="T959" t="str">
            <v>ВМЗ КО</v>
          </cell>
        </row>
        <row r="960">
          <cell r="B960" t="str">
            <v>Прочие вспомогательные</v>
          </cell>
          <cell r="K960">
            <v>0</v>
          </cell>
          <cell r="N960">
            <v>0</v>
          </cell>
          <cell r="O960" t="str">
            <v>МБК</v>
          </cell>
          <cell r="P960">
            <v>0</v>
          </cell>
          <cell r="S960">
            <v>0</v>
          </cell>
          <cell r="T960" t="str">
            <v>ВМЗ КО</v>
          </cell>
        </row>
        <row r="961">
          <cell r="B961" t="str">
            <v>Прочие вспомогательные</v>
          </cell>
          <cell r="K961">
            <v>0</v>
          </cell>
          <cell r="N961">
            <v>0</v>
          </cell>
          <cell r="O961" t="str">
            <v>МБК</v>
          </cell>
          <cell r="P961">
            <v>0</v>
          </cell>
          <cell r="S961">
            <v>0</v>
          </cell>
          <cell r="T961" t="str">
            <v>ВМЗ КО</v>
          </cell>
        </row>
        <row r="962">
          <cell r="B962" t="str">
            <v>Прочие вспомогательные</v>
          </cell>
          <cell r="K962">
            <v>0</v>
          </cell>
          <cell r="N962">
            <v>0</v>
          </cell>
          <cell r="O962" t="str">
            <v>МБК</v>
          </cell>
          <cell r="P962">
            <v>0</v>
          </cell>
          <cell r="S962">
            <v>0</v>
          </cell>
          <cell r="T962" t="str">
            <v>ВМЗ КО</v>
          </cell>
        </row>
        <row r="963">
          <cell r="B963" t="str">
            <v>Прочие вспомогательные</v>
          </cell>
          <cell r="K963">
            <v>0</v>
          </cell>
          <cell r="N963">
            <v>0</v>
          </cell>
          <cell r="O963" t="str">
            <v>МБК</v>
          </cell>
          <cell r="P963">
            <v>0</v>
          </cell>
          <cell r="S963">
            <v>0</v>
          </cell>
          <cell r="T963" t="str">
            <v>ВМЗ КО</v>
          </cell>
        </row>
        <row r="964">
          <cell r="B964" t="str">
            <v>Прочие вспомогательные</v>
          </cell>
          <cell r="K964">
            <v>0</v>
          </cell>
          <cell r="N964">
            <v>0</v>
          </cell>
          <cell r="O964" t="str">
            <v>МБК</v>
          </cell>
          <cell r="P964">
            <v>0</v>
          </cell>
          <cell r="S964">
            <v>0</v>
          </cell>
          <cell r="T964" t="str">
            <v>ВМЗ КО</v>
          </cell>
        </row>
        <row r="965">
          <cell r="B965" t="str">
            <v>Прочие вспомогательные</v>
          </cell>
          <cell r="K965">
            <v>0</v>
          </cell>
          <cell r="N965">
            <v>0</v>
          </cell>
          <cell r="O965" t="str">
            <v>МБК</v>
          </cell>
          <cell r="P965">
            <v>0</v>
          </cell>
          <cell r="S965">
            <v>0</v>
          </cell>
          <cell r="T965" t="str">
            <v>ВМЗ КО</v>
          </cell>
        </row>
        <row r="966">
          <cell r="B966" t="str">
            <v>Прочие вспомогательные</v>
          </cell>
          <cell r="K966">
            <v>0</v>
          </cell>
          <cell r="N966">
            <v>0</v>
          </cell>
          <cell r="O966" t="str">
            <v>МБК</v>
          </cell>
          <cell r="P966">
            <v>0</v>
          </cell>
          <cell r="S966">
            <v>0</v>
          </cell>
          <cell r="T966" t="str">
            <v>ВМЗ КО</v>
          </cell>
        </row>
        <row r="967">
          <cell r="B967" t="str">
            <v>Прочие вспомогательные</v>
          </cell>
          <cell r="K967">
            <v>0</v>
          </cell>
          <cell r="N967">
            <v>0</v>
          </cell>
          <cell r="O967" t="str">
            <v>МБК</v>
          </cell>
          <cell r="P967">
            <v>0</v>
          </cell>
          <cell r="S967">
            <v>0</v>
          </cell>
          <cell r="T967" t="str">
            <v>ВМЗ КО</v>
          </cell>
        </row>
        <row r="968">
          <cell r="B968" t="str">
            <v>Прочие вспомогательные</v>
          </cell>
          <cell r="K968">
            <v>0</v>
          </cell>
          <cell r="N968">
            <v>0</v>
          </cell>
          <cell r="O968" t="str">
            <v>МБК</v>
          </cell>
          <cell r="P968">
            <v>0</v>
          </cell>
          <cell r="S968">
            <v>0</v>
          </cell>
          <cell r="T968" t="str">
            <v>ВМЗ КО</v>
          </cell>
        </row>
        <row r="969">
          <cell r="B969" t="str">
            <v>Прочие вспомогательные</v>
          </cell>
          <cell r="K969">
            <v>0</v>
          </cell>
          <cell r="N969">
            <v>0</v>
          </cell>
          <cell r="O969" t="str">
            <v>МБК</v>
          </cell>
          <cell r="P969">
            <v>0</v>
          </cell>
          <cell r="S969">
            <v>0</v>
          </cell>
          <cell r="T969" t="str">
            <v>ВМЗ КО</v>
          </cell>
        </row>
        <row r="970">
          <cell r="B970" t="str">
            <v>Прочие вспомогательные</v>
          </cell>
          <cell r="K970">
            <v>0</v>
          </cell>
          <cell r="N970">
            <v>0</v>
          </cell>
          <cell r="O970" t="str">
            <v>МБК</v>
          </cell>
          <cell r="P970">
            <v>0</v>
          </cell>
          <cell r="S970">
            <v>0</v>
          </cell>
          <cell r="T970" t="str">
            <v>ВМЗ КО</v>
          </cell>
        </row>
        <row r="971">
          <cell r="B971" t="str">
            <v>Прочие вспомогательные</v>
          </cell>
          <cell r="K971">
            <v>0</v>
          </cell>
          <cell r="N971">
            <v>0</v>
          </cell>
          <cell r="O971" t="str">
            <v>МБК</v>
          </cell>
          <cell r="P971">
            <v>0</v>
          </cell>
          <cell r="S971">
            <v>0</v>
          </cell>
          <cell r="T971" t="str">
            <v>ВМЗ КО</v>
          </cell>
        </row>
        <row r="972">
          <cell r="B972" t="str">
            <v>Прочие вспомогательные</v>
          </cell>
          <cell r="K972">
            <v>0</v>
          </cell>
          <cell r="N972">
            <v>0</v>
          </cell>
          <cell r="O972" t="str">
            <v>МБК</v>
          </cell>
          <cell r="P972">
            <v>0</v>
          </cell>
          <cell r="S972">
            <v>0</v>
          </cell>
          <cell r="T972" t="str">
            <v>ВМЗ КО</v>
          </cell>
        </row>
        <row r="973">
          <cell r="B973" t="str">
            <v>Прочие вспомогательные</v>
          </cell>
          <cell r="K973">
            <v>0</v>
          </cell>
          <cell r="N973">
            <v>0</v>
          </cell>
          <cell r="O973" t="str">
            <v>МБК</v>
          </cell>
          <cell r="P973">
            <v>0</v>
          </cell>
          <cell r="S973">
            <v>0</v>
          </cell>
          <cell r="T973" t="str">
            <v>ВМЗ КО</v>
          </cell>
        </row>
        <row r="974">
          <cell r="B974" t="str">
            <v>Прочие вспомогательные</v>
          </cell>
          <cell r="K974">
            <v>0</v>
          </cell>
          <cell r="N974">
            <v>0</v>
          </cell>
          <cell r="O974" t="str">
            <v>МБК</v>
          </cell>
          <cell r="P974">
            <v>0</v>
          </cell>
          <cell r="S974">
            <v>0</v>
          </cell>
          <cell r="T974" t="str">
            <v>ВМЗ КО</v>
          </cell>
        </row>
        <row r="975">
          <cell r="B975" t="str">
            <v>Прочие вспомогательные</v>
          </cell>
          <cell r="K975">
            <v>0</v>
          </cell>
          <cell r="N975">
            <v>0</v>
          </cell>
          <cell r="O975" t="str">
            <v>МБК</v>
          </cell>
          <cell r="P975">
            <v>0</v>
          </cell>
          <cell r="S975">
            <v>0</v>
          </cell>
          <cell r="T975" t="str">
            <v>ВМЗ КО</v>
          </cell>
        </row>
        <row r="976">
          <cell r="B976" t="str">
            <v>Прочие вспомогательные</v>
          </cell>
          <cell r="K976">
            <v>0</v>
          </cell>
          <cell r="N976">
            <v>0</v>
          </cell>
          <cell r="O976" t="str">
            <v>МБК</v>
          </cell>
          <cell r="P976">
            <v>0</v>
          </cell>
          <cell r="S976">
            <v>0</v>
          </cell>
          <cell r="T976" t="str">
            <v>ВМЗ КО</v>
          </cell>
        </row>
        <row r="977">
          <cell r="B977" t="str">
            <v>Прочие вспомогательные</v>
          </cell>
          <cell r="K977">
            <v>0</v>
          </cell>
          <cell r="N977">
            <v>0</v>
          </cell>
          <cell r="O977" t="str">
            <v>МБК</v>
          </cell>
          <cell r="P977">
            <v>0</v>
          </cell>
          <cell r="S977">
            <v>0</v>
          </cell>
          <cell r="T977" t="str">
            <v>ВМЗ КО</v>
          </cell>
        </row>
        <row r="978">
          <cell r="B978" t="str">
            <v>Прочие вспомогательные</v>
          </cell>
          <cell r="K978">
            <v>0</v>
          </cell>
          <cell r="N978">
            <v>0</v>
          </cell>
          <cell r="O978" t="str">
            <v>МБК</v>
          </cell>
          <cell r="P978">
            <v>0</v>
          </cell>
          <cell r="S978">
            <v>0</v>
          </cell>
          <cell r="T978" t="str">
            <v>ВМЗ КО</v>
          </cell>
        </row>
        <row r="979">
          <cell r="B979" t="str">
            <v>Прочие вспомогательные</v>
          </cell>
          <cell r="K979">
            <v>0</v>
          </cell>
          <cell r="N979">
            <v>0</v>
          </cell>
          <cell r="O979" t="str">
            <v>МБК</v>
          </cell>
          <cell r="P979">
            <v>0</v>
          </cell>
          <cell r="S979">
            <v>0</v>
          </cell>
          <cell r="T979" t="str">
            <v>ВМЗ КО</v>
          </cell>
        </row>
        <row r="980">
          <cell r="B980" t="str">
            <v>Прочие вспомогательные</v>
          </cell>
          <cell r="K980">
            <v>0</v>
          </cell>
          <cell r="N980">
            <v>0</v>
          </cell>
          <cell r="O980" t="str">
            <v>МБК</v>
          </cell>
          <cell r="P980">
            <v>0</v>
          </cell>
          <cell r="S980">
            <v>0</v>
          </cell>
          <cell r="T980" t="str">
            <v>ВМЗ КО</v>
          </cell>
        </row>
        <row r="981">
          <cell r="B981" t="str">
            <v>Прочие вспомогательные</v>
          </cell>
          <cell r="K981">
            <v>0</v>
          </cell>
          <cell r="N981">
            <v>0</v>
          </cell>
          <cell r="O981" t="str">
            <v>МБК</v>
          </cell>
          <cell r="P981">
            <v>0</v>
          </cell>
          <cell r="S981">
            <v>0</v>
          </cell>
          <cell r="T981" t="str">
            <v>ВМЗ КО</v>
          </cell>
        </row>
        <row r="982">
          <cell r="B982" t="str">
            <v>Прочие вспомогательные</v>
          </cell>
          <cell r="K982">
            <v>0</v>
          </cell>
          <cell r="N982">
            <v>0</v>
          </cell>
          <cell r="O982" t="str">
            <v>НЕМО</v>
          </cell>
          <cell r="P982">
            <v>0</v>
          </cell>
          <cell r="S982">
            <v>0</v>
          </cell>
          <cell r="T982" t="str">
            <v>ВМЗ КО</v>
          </cell>
        </row>
        <row r="983">
          <cell r="B983" t="str">
            <v>Прочие вспомогательные</v>
          </cell>
          <cell r="K983">
            <v>0</v>
          </cell>
          <cell r="N983">
            <v>0</v>
          </cell>
          <cell r="O983" t="str">
            <v>НЕМО</v>
          </cell>
          <cell r="P983">
            <v>0</v>
          </cell>
          <cell r="S983">
            <v>0</v>
          </cell>
          <cell r="T983" t="str">
            <v>ВМЗ КО</v>
          </cell>
        </row>
        <row r="984">
          <cell r="B984" t="str">
            <v>Прочие вспомогательные</v>
          </cell>
          <cell r="K984">
            <v>0</v>
          </cell>
          <cell r="N984">
            <v>0</v>
          </cell>
          <cell r="O984" t="str">
            <v>НЕМО</v>
          </cell>
          <cell r="P984">
            <v>0</v>
          </cell>
          <cell r="S984">
            <v>0</v>
          </cell>
          <cell r="T984" t="str">
            <v>ВМЗ КО</v>
          </cell>
        </row>
        <row r="985">
          <cell r="B985" t="str">
            <v>Прочие вспомогательные</v>
          </cell>
          <cell r="K985">
            <v>0</v>
          </cell>
          <cell r="N985">
            <v>0</v>
          </cell>
          <cell r="O985" t="str">
            <v>НЕМО</v>
          </cell>
          <cell r="P985">
            <v>0</v>
          </cell>
          <cell r="S985">
            <v>0</v>
          </cell>
          <cell r="T985" t="str">
            <v>ВМЗ КО</v>
          </cell>
        </row>
        <row r="986">
          <cell r="B986" t="str">
            <v>Прочие вспомогательные</v>
          </cell>
          <cell r="K986">
            <v>0</v>
          </cell>
          <cell r="N986">
            <v>0</v>
          </cell>
          <cell r="O986" t="str">
            <v>НЕМО</v>
          </cell>
          <cell r="P986">
            <v>0</v>
          </cell>
          <cell r="S986">
            <v>0</v>
          </cell>
          <cell r="T986" t="str">
            <v>ВМЗ КО</v>
          </cell>
        </row>
        <row r="987">
          <cell r="B987" t="str">
            <v>Прочие вспомогательные</v>
          </cell>
          <cell r="K987">
            <v>0</v>
          </cell>
          <cell r="N987">
            <v>0</v>
          </cell>
          <cell r="O987" t="str">
            <v>НЕМО</v>
          </cell>
          <cell r="P987">
            <v>0</v>
          </cell>
          <cell r="S987">
            <v>0</v>
          </cell>
          <cell r="T987" t="str">
            <v>ВМЗ КО</v>
          </cell>
        </row>
        <row r="988">
          <cell r="B988" t="str">
            <v>Прочие вспомогательные</v>
          </cell>
          <cell r="K988">
            <v>0</v>
          </cell>
          <cell r="N988">
            <v>0</v>
          </cell>
          <cell r="O988" t="str">
            <v>НЕМО</v>
          </cell>
          <cell r="P988">
            <v>0</v>
          </cell>
          <cell r="S988">
            <v>0</v>
          </cell>
          <cell r="T988" t="str">
            <v>ВМЗ КО</v>
          </cell>
        </row>
        <row r="989">
          <cell r="B989" t="str">
            <v>Прочие вспомогательные</v>
          </cell>
          <cell r="K989">
            <v>0</v>
          </cell>
          <cell r="N989">
            <v>0</v>
          </cell>
          <cell r="O989" t="str">
            <v>НЕМО</v>
          </cell>
          <cell r="P989">
            <v>0</v>
          </cell>
          <cell r="S989">
            <v>0</v>
          </cell>
          <cell r="T989" t="str">
            <v>ВМЗ КО</v>
          </cell>
        </row>
        <row r="990">
          <cell r="B990" t="str">
            <v>Прочие вспомогательные</v>
          </cell>
          <cell r="K990">
            <v>0</v>
          </cell>
          <cell r="N990">
            <v>0</v>
          </cell>
          <cell r="O990" t="str">
            <v>НЕМО</v>
          </cell>
          <cell r="P990">
            <v>0</v>
          </cell>
          <cell r="S990">
            <v>0</v>
          </cell>
          <cell r="T990" t="str">
            <v>ВМЗ КО</v>
          </cell>
        </row>
        <row r="991">
          <cell r="B991" t="str">
            <v>Прочие вспомогательные</v>
          </cell>
          <cell r="K991">
            <v>0</v>
          </cell>
          <cell r="N991">
            <v>0</v>
          </cell>
          <cell r="O991" t="str">
            <v>НЕМО</v>
          </cell>
          <cell r="P991">
            <v>0</v>
          </cell>
          <cell r="S991">
            <v>0</v>
          </cell>
          <cell r="T991" t="str">
            <v>ВМЗ КО</v>
          </cell>
        </row>
        <row r="992">
          <cell r="B992" t="str">
            <v>Прочие вспомогательные</v>
          </cell>
          <cell r="K992">
            <v>0</v>
          </cell>
          <cell r="N992">
            <v>0</v>
          </cell>
          <cell r="O992" t="str">
            <v>НЕМО</v>
          </cell>
          <cell r="P992">
            <v>0</v>
          </cell>
          <cell r="S992">
            <v>0</v>
          </cell>
          <cell r="T992" t="str">
            <v>ВМЗ КО</v>
          </cell>
        </row>
        <row r="993">
          <cell r="B993" t="str">
            <v>Прочие вспомогательные</v>
          </cell>
          <cell r="K993">
            <v>0</v>
          </cell>
          <cell r="N993">
            <v>0</v>
          </cell>
          <cell r="O993" t="str">
            <v>НЕМО</v>
          </cell>
          <cell r="P993">
            <v>0</v>
          </cell>
          <cell r="S993">
            <v>0</v>
          </cell>
          <cell r="T993" t="str">
            <v>ВМЗ КО</v>
          </cell>
        </row>
        <row r="994">
          <cell r="B994" t="str">
            <v>Прочие вспомогательные</v>
          </cell>
          <cell r="K994">
            <v>0</v>
          </cell>
          <cell r="N994">
            <v>0</v>
          </cell>
          <cell r="O994" t="str">
            <v>НЕМО</v>
          </cell>
          <cell r="P994">
            <v>0</v>
          </cell>
          <cell r="S994">
            <v>0</v>
          </cell>
          <cell r="T994" t="str">
            <v>ВМЗ КО</v>
          </cell>
        </row>
        <row r="995">
          <cell r="B995" t="str">
            <v>Прочие вспомогательные</v>
          </cell>
          <cell r="K995">
            <v>0</v>
          </cell>
          <cell r="N995">
            <v>0</v>
          </cell>
          <cell r="O995" t="str">
            <v>НЕМО</v>
          </cell>
          <cell r="P995">
            <v>0</v>
          </cell>
          <cell r="S995">
            <v>0</v>
          </cell>
          <cell r="T995" t="str">
            <v>ВМЗ КО</v>
          </cell>
        </row>
        <row r="996">
          <cell r="B996" t="str">
            <v>Прочие вспомогательные</v>
          </cell>
          <cell r="K996">
            <v>0</v>
          </cell>
          <cell r="N996">
            <v>0</v>
          </cell>
          <cell r="O996" t="str">
            <v>НЕМО</v>
          </cell>
          <cell r="P996">
            <v>0</v>
          </cell>
          <cell r="S996">
            <v>0</v>
          </cell>
          <cell r="T996" t="str">
            <v>ВМЗ КО</v>
          </cell>
        </row>
        <row r="997">
          <cell r="B997" t="str">
            <v>Прочие вспомогательные</v>
          </cell>
          <cell r="K997">
            <v>0</v>
          </cell>
          <cell r="N997">
            <v>0</v>
          </cell>
          <cell r="O997" t="str">
            <v>НЕМО</v>
          </cell>
          <cell r="P997">
            <v>0</v>
          </cell>
          <cell r="S997">
            <v>0</v>
          </cell>
          <cell r="T997" t="str">
            <v>ВМЗ КО</v>
          </cell>
        </row>
        <row r="998">
          <cell r="B998" t="str">
            <v>Прочие вспомогательные</v>
          </cell>
          <cell r="K998">
            <v>0</v>
          </cell>
          <cell r="N998">
            <v>0</v>
          </cell>
          <cell r="O998" t="str">
            <v>НЕМО</v>
          </cell>
          <cell r="P998">
            <v>0</v>
          </cell>
          <cell r="S998">
            <v>0</v>
          </cell>
          <cell r="T998" t="str">
            <v>ВМЗ КО</v>
          </cell>
        </row>
        <row r="999">
          <cell r="B999" t="str">
            <v>Прочие вспомогательные</v>
          </cell>
          <cell r="K999">
            <v>0</v>
          </cell>
          <cell r="N999">
            <v>0</v>
          </cell>
          <cell r="O999" t="str">
            <v>НЕМО</v>
          </cell>
          <cell r="P999">
            <v>0</v>
          </cell>
          <cell r="S999">
            <v>0</v>
          </cell>
          <cell r="T999" t="str">
            <v>ВМЗ КО</v>
          </cell>
        </row>
        <row r="1000">
          <cell r="B1000" t="str">
            <v>Прочие вспомогательные</v>
          </cell>
          <cell r="K1000">
            <v>0</v>
          </cell>
          <cell r="N1000">
            <v>0</v>
          </cell>
          <cell r="O1000" t="str">
            <v>НЕМО</v>
          </cell>
          <cell r="P1000">
            <v>0</v>
          </cell>
          <cell r="S1000">
            <v>0</v>
          </cell>
          <cell r="T1000" t="str">
            <v>ВМЗ КО</v>
          </cell>
        </row>
        <row r="1001">
          <cell r="B1001" t="str">
            <v>Прочие вспомогательные</v>
          </cell>
          <cell r="K1001">
            <v>0</v>
          </cell>
          <cell r="N1001">
            <v>0</v>
          </cell>
          <cell r="O1001" t="str">
            <v>НЕМО</v>
          </cell>
          <cell r="P1001">
            <v>0</v>
          </cell>
          <cell r="S1001">
            <v>0</v>
          </cell>
          <cell r="T1001" t="str">
            <v>ВМЗ КО</v>
          </cell>
        </row>
        <row r="1002">
          <cell r="B1002" t="str">
            <v>Прочие вспомогательные</v>
          </cell>
          <cell r="K1002">
            <v>0</v>
          </cell>
          <cell r="N1002">
            <v>0</v>
          </cell>
          <cell r="O1002" t="str">
            <v>Агропромцентр</v>
          </cell>
          <cell r="P1002">
            <v>0</v>
          </cell>
          <cell r="S1002">
            <v>0</v>
          </cell>
          <cell r="T1002" t="str">
            <v>ВМЗ КО</v>
          </cell>
        </row>
        <row r="1003">
          <cell r="B1003" t="str">
            <v>Прочие вспомогательные</v>
          </cell>
          <cell r="K1003">
            <v>0</v>
          </cell>
          <cell r="N1003">
            <v>0</v>
          </cell>
          <cell r="O1003" t="str">
            <v>Агропромцентр</v>
          </cell>
          <cell r="P1003">
            <v>0</v>
          </cell>
          <cell r="S1003">
            <v>0</v>
          </cell>
          <cell r="T1003" t="str">
            <v>ВМЗ КО</v>
          </cell>
        </row>
        <row r="1004">
          <cell r="B1004" t="str">
            <v>Прочие вспомогательные</v>
          </cell>
          <cell r="K1004">
            <v>0</v>
          </cell>
          <cell r="N1004">
            <v>0</v>
          </cell>
          <cell r="O1004" t="str">
            <v>Сандвик-МКТС</v>
          </cell>
          <cell r="P1004">
            <v>0</v>
          </cell>
          <cell r="S1004">
            <v>0</v>
          </cell>
          <cell r="T1004" t="str">
            <v>ВМЗ КО</v>
          </cell>
        </row>
        <row r="1005">
          <cell r="B1005" t="str">
            <v>Прочие вспомогательные</v>
          </cell>
          <cell r="K1005">
            <v>0</v>
          </cell>
          <cell r="N1005">
            <v>0</v>
          </cell>
          <cell r="O1005" t="str">
            <v>Сандвик-МКТС</v>
          </cell>
          <cell r="P1005">
            <v>0</v>
          </cell>
          <cell r="S1005">
            <v>0</v>
          </cell>
          <cell r="T1005" t="str">
            <v>ВМЗ КО</v>
          </cell>
        </row>
        <row r="1006">
          <cell r="B1006" t="str">
            <v>Прочие вспомогательные</v>
          </cell>
          <cell r="K1006">
            <v>0</v>
          </cell>
          <cell r="N1006">
            <v>0</v>
          </cell>
          <cell r="O1006" t="str">
            <v>Сандвик-МКТС</v>
          </cell>
          <cell r="P1006">
            <v>0</v>
          </cell>
          <cell r="S1006">
            <v>0</v>
          </cell>
          <cell r="T1006" t="str">
            <v>ВМЗ КО</v>
          </cell>
        </row>
        <row r="1007">
          <cell r="B1007" t="str">
            <v>Прочие вспомогательные</v>
          </cell>
          <cell r="K1007">
            <v>0</v>
          </cell>
          <cell r="N1007">
            <v>0</v>
          </cell>
          <cell r="O1007" t="str">
            <v>Сандвик-МКТС</v>
          </cell>
          <cell r="P1007">
            <v>0</v>
          </cell>
          <cell r="S1007">
            <v>0</v>
          </cell>
          <cell r="T1007" t="str">
            <v>ВМЗ КО</v>
          </cell>
        </row>
        <row r="1008">
          <cell r="B1008" t="str">
            <v>Прочие вспомогательные</v>
          </cell>
          <cell r="K1008">
            <v>0</v>
          </cell>
          <cell r="N1008">
            <v>0</v>
          </cell>
          <cell r="O1008" t="str">
            <v>Сандвик-МКТС</v>
          </cell>
          <cell r="P1008">
            <v>0</v>
          </cell>
          <cell r="S1008">
            <v>0</v>
          </cell>
          <cell r="T1008" t="str">
            <v>ВМЗ КО</v>
          </cell>
        </row>
        <row r="1009">
          <cell r="B1009" t="str">
            <v>Прочие вспомогательные</v>
          </cell>
          <cell r="K1009">
            <v>0</v>
          </cell>
          <cell r="N1009">
            <v>0</v>
          </cell>
          <cell r="O1009" t="str">
            <v>Сандвик-МКТС</v>
          </cell>
          <cell r="P1009">
            <v>0</v>
          </cell>
          <cell r="S1009">
            <v>0</v>
          </cell>
          <cell r="T1009" t="str">
            <v>ВМЗ КО</v>
          </cell>
        </row>
        <row r="1010">
          <cell r="B1010" t="str">
            <v>Прочие вспомогательные</v>
          </cell>
          <cell r="K1010">
            <v>0</v>
          </cell>
          <cell r="N1010">
            <v>0</v>
          </cell>
          <cell r="O1010" t="str">
            <v>Сандвик-МКТС</v>
          </cell>
          <cell r="P1010">
            <v>0</v>
          </cell>
          <cell r="S1010">
            <v>0</v>
          </cell>
          <cell r="T1010" t="str">
            <v>ВМЗ КО</v>
          </cell>
        </row>
        <row r="1011">
          <cell r="B1011" t="str">
            <v>Прочие вспомогательные</v>
          </cell>
          <cell r="K1011">
            <v>0</v>
          </cell>
          <cell r="N1011">
            <v>0</v>
          </cell>
          <cell r="O1011" t="str">
            <v>Сандвик-МКТС</v>
          </cell>
          <cell r="P1011">
            <v>0</v>
          </cell>
          <cell r="S1011">
            <v>0</v>
          </cell>
          <cell r="T1011" t="str">
            <v>ВМЗ КО</v>
          </cell>
        </row>
        <row r="1012">
          <cell r="B1012" t="str">
            <v>Прочие вспомогательные</v>
          </cell>
          <cell r="K1012">
            <v>0</v>
          </cell>
          <cell r="N1012">
            <v>0</v>
          </cell>
          <cell r="O1012" t="str">
            <v>Сандвик-МКТС</v>
          </cell>
          <cell r="P1012">
            <v>0</v>
          </cell>
          <cell r="S1012">
            <v>0</v>
          </cell>
          <cell r="T1012" t="str">
            <v>ВМЗ КО</v>
          </cell>
        </row>
        <row r="1013">
          <cell r="B1013" t="str">
            <v>Прочие вспомогательные</v>
          </cell>
          <cell r="K1013">
            <v>0</v>
          </cell>
          <cell r="N1013">
            <v>0</v>
          </cell>
          <cell r="O1013" t="str">
            <v>Кировград</v>
          </cell>
          <cell r="P1013">
            <v>0</v>
          </cell>
          <cell r="S1013">
            <v>0</v>
          </cell>
          <cell r="T1013" t="str">
            <v>ВМЗ КО</v>
          </cell>
        </row>
        <row r="1014">
          <cell r="B1014" t="str">
            <v>Прочие вспомогательные</v>
          </cell>
          <cell r="K1014">
            <v>205</v>
          </cell>
          <cell r="N1014">
            <v>4341.8999999999996</v>
          </cell>
          <cell r="O1014" t="str">
            <v>Ино-сплав</v>
          </cell>
          <cell r="P1014">
            <v>205</v>
          </cell>
          <cell r="S1014">
            <v>4354.9256999999989</v>
          </cell>
          <cell r="T1014" t="str">
            <v>ВМЗ КО</v>
          </cell>
        </row>
        <row r="1015">
          <cell r="B1015" t="str">
            <v>Прочие вспомогательные</v>
          </cell>
          <cell r="K1015">
            <v>0</v>
          </cell>
          <cell r="N1015">
            <v>0</v>
          </cell>
          <cell r="O1015" t="str">
            <v>Кировград</v>
          </cell>
          <cell r="P1015">
            <v>0</v>
          </cell>
          <cell r="S1015">
            <v>0</v>
          </cell>
          <cell r="T1015" t="str">
            <v>ВМЗ КО</v>
          </cell>
        </row>
        <row r="1016">
          <cell r="B1016" t="str">
            <v>Прочие вспомогательные</v>
          </cell>
          <cell r="K1016">
            <v>43</v>
          </cell>
          <cell r="N1016">
            <v>637.77599999999995</v>
          </cell>
          <cell r="O1016" t="str">
            <v>Ино-сплав</v>
          </cell>
          <cell r="P1016">
            <v>43</v>
          </cell>
          <cell r="S1016">
            <v>639.68932799999993</v>
          </cell>
          <cell r="T1016" t="str">
            <v>ВМЗ КО</v>
          </cell>
        </row>
        <row r="1017">
          <cell r="B1017" t="str">
            <v>Прочие вспомогательные</v>
          </cell>
          <cell r="K1017">
            <v>32</v>
          </cell>
          <cell r="N1017">
            <v>608.25599999999997</v>
          </cell>
          <cell r="O1017" t="str">
            <v>Ино-сплав</v>
          </cell>
          <cell r="P1017">
            <v>32</v>
          </cell>
          <cell r="S1017">
            <v>610.08076799999992</v>
          </cell>
          <cell r="T1017" t="str">
            <v>ВМЗ КО</v>
          </cell>
        </row>
        <row r="1018">
          <cell r="B1018" t="str">
            <v>Прочие вспомогательные</v>
          </cell>
          <cell r="K1018">
            <v>228</v>
          </cell>
          <cell r="N1018">
            <v>4104</v>
          </cell>
          <cell r="O1018" t="str">
            <v>Ино-сплав</v>
          </cell>
          <cell r="P1018">
            <v>228</v>
          </cell>
          <cell r="S1018">
            <v>4116.3119999999999</v>
          </cell>
          <cell r="T1018" t="str">
            <v>ВМЗ КО</v>
          </cell>
        </row>
        <row r="1019">
          <cell r="B1019" t="str">
            <v>Прочие вспомогательные</v>
          </cell>
          <cell r="K1019">
            <v>303</v>
          </cell>
          <cell r="N1019">
            <v>3476.0160000000001</v>
          </cell>
          <cell r="O1019" t="str">
            <v>Ино-сплав</v>
          </cell>
          <cell r="P1019">
            <v>303</v>
          </cell>
          <cell r="S1019">
            <v>3486.4440479999994</v>
          </cell>
          <cell r="T1019" t="str">
            <v>ВМЗ КО</v>
          </cell>
        </row>
        <row r="1020">
          <cell r="B1020" t="str">
            <v>Прочие вспомогательные</v>
          </cell>
          <cell r="K1020">
            <v>325</v>
          </cell>
          <cell r="N1020">
            <v>8580</v>
          </cell>
          <cell r="O1020" t="str">
            <v>Ино-сплав</v>
          </cell>
          <cell r="P1020">
            <v>325</v>
          </cell>
          <cell r="S1020">
            <v>8605.739999999998</v>
          </cell>
          <cell r="T1020" t="str">
            <v>ВМЗ КО</v>
          </cell>
        </row>
        <row r="1021">
          <cell r="B1021" t="str">
            <v>Прочие вспомогательные</v>
          </cell>
          <cell r="K1021">
            <v>0</v>
          </cell>
          <cell r="N1021">
            <v>0</v>
          </cell>
          <cell r="O1021" t="str">
            <v>Ино-сплав</v>
          </cell>
          <cell r="P1021">
            <v>0</v>
          </cell>
          <cell r="S1021">
            <v>0</v>
          </cell>
          <cell r="T1021" t="str">
            <v>ВМЗ КО</v>
          </cell>
        </row>
        <row r="1022">
          <cell r="B1022" t="str">
            <v>Прочие вспомогательные</v>
          </cell>
          <cell r="K1022">
            <v>0</v>
          </cell>
          <cell r="N1022">
            <v>0</v>
          </cell>
          <cell r="O1022" t="str">
            <v>Ино-сплав</v>
          </cell>
          <cell r="P1022">
            <v>0</v>
          </cell>
          <cell r="S1022">
            <v>0</v>
          </cell>
          <cell r="T1022" t="str">
            <v>ВМЗ КО</v>
          </cell>
        </row>
        <row r="1023">
          <cell r="B1023" t="str">
            <v>Прочие вспомогательные</v>
          </cell>
          <cell r="K1023">
            <v>0</v>
          </cell>
          <cell r="N1023">
            <v>0</v>
          </cell>
          <cell r="O1023" t="str">
            <v>Ино-сплав</v>
          </cell>
          <cell r="P1023">
            <v>0</v>
          </cell>
          <cell r="S1023">
            <v>0</v>
          </cell>
          <cell r="T1023" t="str">
            <v>ВМЗ КО</v>
          </cell>
        </row>
        <row r="1024">
          <cell r="B1024" t="str">
            <v>Прочие вспомогательные</v>
          </cell>
          <cell r="K1024">
            <v>0</v>
          </cell>
          <cell r="N1024">
            <v>0</v>
          </cell>
          <cell r="O1024" t="str">
            <v>Ино-сплав</v>
          </cell>
          <cell r="P1024">
            <v>0</v>
          </cell>
          <cell r="S1024">
            <v>0</v>
          </cell>
          <cell r="T1024" t="str">
            <v>ВМЗ КО</v>
          </cell>
        </row>
        <row r="1025">
          <cell r="B1025" t="str">
            <v>Прочие вспомогательные</v>
          </cell>
          <cell r="K1025">
            <v>74</v>
          </cell>
          <cell r="N1025">
            <v>1192.5840000000001</v>
          </cell>
          <cell r="O1025" t="str">
            <v>Ино-сплав</v>
          </cell>
          <cell r="P1025">
            <v>74</v>
          </cell>
          <cell r="S1025">
            <v>1196.1617519999998</v>
          </cell>
          <cell r="T1025" t="str">
            <v>ВМЗ КО</v>
          </cell>
        </row>
        <row r="1026">
          <cell r="B1026" t="str">
            <v>Прочие вспомогательные</v>
          </cell>
          <cell r="K1026">
            <v>388</v>
          </cell>
          <cell r="N1026">
            <v>3507.5199999999995</v>
          </cell>
          <cell r="O1026" t="str">
            <v>Ино-сплав</v>
          </cell>
          <cell r="P1026">
            <v>388</v>
          </cell>
          <cell r="S1026">
            <v>3518.042559999999</v>
          </cell>
          <cell r="T1026" t="str">
            <v>ВМЗ КО</v>
          </cell>
        </row>
        <row r="1027">
          <cell r="B1027" t="str">
            <v>Прочие вспомогательные</v>
          </cell>
          <cell r="K1027">
            <v>1400</v>
          </cell>
          <cell r="N1027">
            <v>218400</v>
          </cell>
          <cell r="O1027" t="str">
            <v>Ино-сплав</v>
          </cell>
          <cell r="P1027">
            <v>1400</v>
          </cell>
          <cell r="S1027">
            <v>219055.19999999998</v>
          </cell>
          <cell r="T1027" t="str">
            <v>ВМЗ КО</v>
          </cell>
        </row>
        <row r="1028">
          <cell r="B1028" t="str">
            <v>Прочие вспомогательные</v>
          </cell>
          <cell r="K1028">
            <v>0</v>
          </cell>
          <cell r="N1028">
            <v>0</v>
          </cell>
          <cell r="O1028" t="str">
            <v>Кировград</v>
          </cell>
          <cell r="P1028">
            <v>0</v>
          </cell>
          <cell r="S1028">
            <v>0</v>
          </cell>
          <cell r="T1028" t="str">
            <v>ВМЗ КО</v>
          </cell>
        </row>
        <row r="1029">
          <cell r="B1029" t="str">
            <v>Прочие вспомогательные</v>
          </cell>
          <cell r="K1029">
            <v>0</v>
          </cell>
          <cell r="N1029">
            <v>0</v>
          </cell>
          <cell r="O1029" t="str">
            <v>Ино-сплав</v>
          </cell>
          <cell r="P1029">
            <v>0</v>
          </cell>
          <cell r="S1029">
            <v>0</v>
          </cell>
          <cell r="T1029" t="str">
            <v>ВМЗ КО</v>
          </cell>
        </row>
        <row r="1030">
          <cell r="B1030" t="str">
            <v>Прочие вспомогательные</v>
          </cell>
          <cell r="K1030">
            <v>109</v>
          </cell>
          <cell r="N1030">
            <v>1717.84</v>
          </cell>
          <cell r="O1030" t="str">
            <v>Ино-сплав</v>
          </cell>
          <cell r="P1030">
            <v>109</v>
          </cell>
          <cell r="S1030">
            <v>1722.9935199999998</v>
          </cell>
          <cell r="T1030" t="str">
            <v>ВМЗ КО</v>
          </cell>
        </row>
        <row r="1031">
          <cell r="B1031" t="str">
            <v>Прочие вспомогательные</v>
          </cell>
          <cell r="K1031">
            <v>0</v>
          </cell>
          <cell r="N1031">
            <v>0</v>
          </cell>
          <cell r="O1031" t="str">
            <v>Ино-сплав</v>
          </cell>
          <cell r="P1031">
            <v>0</v>
          </cell>
          <cell r="S1031">
            <v>0</v>
          </cell>
          <cell r="T1031" t="str">
            <v>ВМЗ КО</v>
          </cell>
        </row>
        <row r="1032">
          <cell r="B1032" t="str">
            <v>Прочие вспомогательные</v>
          </cell>
          <cell r="K1032">
            <v>0</v>
          </cell>
          <cell r="N1032">
            <v>0</v>
          </cell>
          <cell r="O1032" t="str">
            <v>Кировград</v>
          </cell>
          <cell r="P1032">
            <v>0</v>
          </cell>
          <cell r="S1032">
            <v>0</v>
          </cell>
          <cell r="T1032" t="str">
            <v>ВМЗ КО</v>
          </cell>
        </row>
        <row r="1033">
          <cell r="B1033" t="str">
            <v>Прочие вспомогательные</v>
          </cell>
          <cell r="K1033">
            <v>109</v>
          </cell>
          <cell r="N1033">
            <v>2180</v>
          </cell>
          <cell r="O1033" t="str">
            <v>Ино-сплав</v>
          </cell>
          <cell r="P1033">
            <v>109</v>
          </cell>
          <cell r="S1033">
            <v>2186.54</v>
          </cell>
          <cell r="T1033" t="str">
            <v>ВМЗ КО</v>
          </cell>
        </row>
        <row r="1034">
          <cell r="B1034" t="str">
            <v>Прочие вспомогательные</v>
          </cell>
          <cell r="K1034">
            <v>0</v>
          </cell>
          <cell r="N1034">
            <v>0</v>
          </cell>
          <cell r="O1034" t="str">
            <v>Кировград</v>
          </cell>
          <cell r="P1034">
            <v>0</v>
          </cell>
          <cell r="S1034">
            <v>0</v>
          </cell>
          <cell r="T1034" t="str">
            <v>ВМЗ КО</v>
          </cell>
        </row>
        <row r="1035">
          <cell r="B1035" t="str">
            <v>Прочие вспомогательные</v>
          </cell>
          <cell r="K1035">
            <v>0</v>
          </cell>
          <cell r="N1035">
            <v>0</v>
          </cell>
          <cell r="O1035" t="str">
            <v>Ино-сплав</v>
          </cell>
          <cell r="P1035">
            <v>0</v>
          </cell>
          <cell r="S1035">
            <v>0</v>
          </cell>
          <cell r="T1035" t="str">
            <v>ВМЗ КО</v>
          </cell>
        </row>
        <row r="1036">
          <cell r="B1036" t="str">
            <v>Прочие вспомогательные</v>
          </cell>
          <cell r="K1036">
            <v>500</v>
          </cell>
          <cell r="N1036">
            <v>40890</v>
          </cell>
          <cell r="O1036" t="str">
            <v>Ино-сплав</v>
          </cell>
          <cell r="P1036">
            <v>500</v>
          </cell>
          <cell r="S1036">
            <v>41012.669999999991</v>
          </cell>
          <cell r="T1036" t="str">
            <v>ВМЗ КО</v>
          </cell>
        </row>
        <row r="1037">
          <cell r="B1037" t="str">
            <v>Прочие вспомогательные</v>
          </cell>
          <cell r="K1037">
            <v>300</v>
          </cell>
          <cell r="N1037">
            <v>29462.399999999998</v>
          </cell>
          <cell r="O1037" t="str">
            <v>Вакуумно-плазменные технологии</v>
          </cell>
          <cell r="P1037">
            <v>300</v>
          </cell>
          <cell r="S1037">
            <v>29550.787199999995</v>
          </cell>
          <cell r="T1037" t="str">
            <v>ВМЗ КО</v>
          </cell>
        </row>
        <row r="1038">
          <cell r="B1038" t="str">
            <v>Прочие вспомогательные</v>
          </cell>
          <cell r="K1038">
            <v>0</v>
          </cell>
          <cell r="N1038">
            <v>0</v>
          </cell>
          <cell r="O1038" t="str">
            <v>Ино-сплав</v>
          </cell>
          <cell r="P1038">
            <v>0</v>
          </cell>
          <cell r="S1038">
            <v>0</v>
          </cell>
          <cell r="T1038" t="str">
            <v>ВМЗ КО</v>
          </cell>
        </row>
        <row r="1039">
          <cell r="B1039" t="str">
            <v>Прочие вспомогательные</v>
          </cell>
          <cell r="K1039">
            <v>0</v>
          </cell>
          <cell r="N1039">
            <v>0</v>
          </cell>
          <cell r="O1039" t="str">
            <v>Кировград</v>
          </cell>
          <cell r="P1039">
            <v>0</v>
          </cell>
          <cell r="S1039">
            <v>0</v>
          </cell>
          <cell r="T1039" t="str">
            <v>ВМЗ КО</v>
          </cell>
        </row>
        <row r="1040">
          <cell r="B1040" t="str">
            <v>Прочие вспомогательные</v>
          </cell>
          <cell r="K1040">
            <v>0</v>
          </cell>
          <cell r="N1040">
            <v>0</v>
          </cell>
          <cell r="O1040" t="str">
            <v>Кировград</v>
          </cell>
          <cell r="P1040">
            <v>0</v>
          </cell>
          <cell r="S1040">
            <v>0</v>
          </cell>
          <cell r="T1040" t="str">
            <v>ВМЗ КО</v>
          </cell>
        </row>
        <row r="1041">
          <cell r="B1041" t="str">
            <v>Прочие вспомогательные</v>
          </cell>
          <cell r="K1041">
            <v>0</v>
          </cell>
          <cell r="N1041">
            <v>0</v>
          </cell>
          <cell r="O1041" t="str">
            <v>Кировград</v>
          </cell>
          <cell r="P1041">
            <v>0</v>
          </cell>
          <cell r="S1041">
            <v>0</v>
          </cell>
          <cell r="T1041" t="str">
            <v>ВМЗ КО</v>
          </cell>
        </row>
        <row r="1042">
          <cell r="B1042" t="str">
            <v>Прочие вспомогательные</v>
          </cell>
          <cell r="K1042">
            <v>0</v>
          </cell>
          <cell r="N1042">
            <v>0</v>
          </cell>
          <cell r="O1042" t="str">
            <v>Ино-сплав</v>
          </cell>
          <cell r="P1042">
            <v>0</v>
          </cell>
          <cell r="S1042">
            <v>0</v>
          </cell>
          <cell r="T1042" t="str">
            <v>ВМЗ КО</v>
          </cell>
        </row>
        <row r="1043">
          <cell r="B1043" t="str">
            <v>Прочие вспомогательные</v>
          </cell>
          <cell r="K1043">
            <v>0</v>
          </cell>
          <cell r="N1043">
            <v>0</v>
          </cell>
          <cell r="O1043" t="str">
            <v>Кировград</v>
          </cell>
          <cell r="P1043">
            <v>0</v>
          </cell>
          <cell r="S1043">
            <v>0</v>
          </cell>
          <cell r="T1043" t="str">
            <v>ВМЗ КО</v>
          </cell>
        </row>
        <row r="1044">
          <cell r="B1044" t="str">
            <v>Прочие вспомогательные</v>
          </cell>
          <cell r="K1044">
            <v>0</v>
          </cell>
          <cell r="N1044">
            <v>0</v>
          </cell>
          <cell r="O1044" t="str">
            <v>Кировград</v>
          </cell>
          <cell r="P1044">
            <v>0</v>
          </cell>
          <cell r="S1044">
            <v>0</v>
          </cell>
          <cell r="T1044" t="str">
            <v>ВМЗ КО</v>
          </cell>
        </row>
        <row r="1045">
          <cell r="B1045" t="str">
            <v>Прочие вспомогательные</v>
          </cell>
          <cell r="K1045">
            <v>0</v>
          </cell>
          <cell r="N1045">
            <v>0</v>
          </cell>
          <cell r="O1045" t="str">
            <v>Кировград</v>
          </cell>
          <cell r="P1045">
            <v>0</v>
          </cell>
          <cell r="S1045">
            <v>0</v>
          </cell>
          <cell r="T1045" t="str">
            <v>ВМЗ КО</v>
          </cell>
        </row>
        <row r="1046">
          <cell r="B1046" t="str">
            <v>Прочие вспомогательные</v>
          </cell>
          <cell r="K1046">
            <v>0</v>
          </cell>
          <cell r="N1046">
            <v>0</v>
          </cell>
          <cell r="O1046" t="str">
            <v>Кировград</v>
          </cell>
          <cell r="P1046">
            <v>0</v>
          </cell>
          <cell r="S1046">
            <v>0</v>
          </cell>
          <cell r="T1046" t="str">
            <v>ВМЗ КО</v>
          </cell>
        </row>
        <row r="1047">
          <cell r="B1047" t="str">
            <v>Прочие вспомогательные</v>
          </cell>
          <cell r="K1047">
            <v>0</v>
          </cell>
          <cell r="N1047">
            <v>0</v>
          </cell>
          <cell r="O1047" t="str">
            <v>Кировград</v>
          </cell>
          <cell r="P1047">
            <v>0</v>
          </cell>
          <cell r="S1047">
            <v>0</v>
          </cell>
          <cell r="T1047" t="str">
            <v>ВМЗ КО</v>
          </cell>
        </row>
        <row r="1048">
          <cell r="B1048" t="str">
            <v>Прочие вспомогательные</v>
          </cell>
          <cell r="K1048">
            <v>0</v>
          </cell>
          <cell r="N1048">
            <v>0</v>
          </cell>
          <cell r="O1048" t="str">
            <v>Кировград</v>
          </cell>
          <cell r="P1048">
            <v>0</v>
          </cell>
          <cell r="S1048">
            <v>0</v>
          </cell>
          <cell r="T1048" t="str">
            <v>ВМЗ КО</v>
          </cell>
        </row>
        <row r="1049">
          <cell r="B1049" t="str">
            <v>Прочие вспомогательные</v>
          </cell>
          <cell r="K1049">
            <v>0</v>
          </cell>
          <cell r="N1049">
            <v>0</v>
          </cell>
          <cell r="O1049" t="str">
            <v>Кировград</v>
          </cell>
          <cell r="P1049">
            <v>0</v>
          </cell>
          <cell r="S1049">
            <v>0</v>
          </cell>
          <cell r="T1049" t="str">
            <v>ВМЗ КО</v>
          </cell>
        </row>
        <row r="1050">
          <cell r="B1050" t="str">
            <v>Прочие вспомогательные</v>
          </cell>
          <cell r="K1050">
            <v>0</v>
          </cell>
          <cell r="N1050">
            <v>0</v>
          </cell>
          <cell r="O1050" t="str">
            <v>Кировград</v>
          </cell>
          <cell r="P1050">
            <v>0</v>
          </cell>
          <cell r="S1050">
            <v>0</v>
          </cell>
          <cell r="T1050" t="str">
            <v>ВМЗ КО</v>
          </cell>
        </row>
        <row r="1051">
          <cell r="B1051" t="str">
            <v>Прочие вспомогательные</v>
          </cell>
          <cell r="K1051">
            <v>0</v>
          </cell>
          <cell r="N1051">
            <v>0</v>
          </cell>
          <cell r="O1051" t="str">
            <v>Кировград</v>
          </cell>
          <cell r="P1051">
            <v>0</v>
          </cell>
          <cell r="S1051">
            <v>0</v>
          </cell>
          <cell r="T1051" t="str">
            <v>ВМЗ КО</v>
          </cell>
        </row>
        <row r="1052">
          <cell r="B1052" t="str">
            <v>Прочие вспомогательные</v>
          </cell>
          <cell r="K1052">
            <v>1000</v>
          </cell>
          <cell r="N1052">
            <v>165600</v>
          </cell>
          <cell r="O1052" t="str">
            <v>Ино-сплав</v>
          </cell>
          <cell r="P1052">
            <v>1000</v>
          </cell>
          <cell r="S1052">
            <v>166096.79999999996</v>
          </cell>
          <cell r="T1052" t="str">
            <v>ВМЗ КО</v>
          </cell>
        </row>
        <row r="1053">
          <cell r="B1053" t="str">
            <v>Прочие вспомогательные</v>
          </cell>
          <cell r="K1053">
            <v>1000</v>
          </cell>
          <cell r="N1053">
            <v>1500000</v>
          </cell>
          <cell r="O1053" t="str">
            <v xml:space="preserve">Коламбия </v>
          </cell>
          <cell r="P1053">
            <v>1000</v>
          </cell>
          <cell r="S1053">
            <v>1504499.9999999998</v>
          </cell>
          <cell r="T1053" t="str">
            <v>ВМЗ КО</v>
          </cell>
        </row>
        <row r="1054">
          <cell r="B1054" t="str">
            <v>Прочие вспомогательные</v>
          </cell>
          <cell r="K1054">
            <v>0</v>
          </cell>
          <cell r="N1054">
            <v>0</v>
          </cell>
          <cell r="O1054" t="str">
            <v xml:space="preserve">Коламбия </v>
          </cell>
          <cell r="P1054">
            <v>0</v>
          </cell>
          <cell r="S1054">
            <v>0</v>
          </cell>
          <cell r="T1054" t="str">
            <v>ВМЗ КО</v>
          </cell>
        </row>
        <row r="1055">
          <cell r="B1055" t="str">
            <v>Прочие вспомогательные</v>
          </cell>
          <cell r="K1055">
            <v>130</v>
          </cell>
          <cell r="N1055">
            <v>577200</v>
          </cell>
          <cell r="O1055" t="str">
            <v>Волгоойлсервис</v>
          </cell>
          <cell r="P1055">
            <v>130</v>
          </cell>
          <cell r="S1055">
            <v>578931.6</v>
          </cell>
          <cell r="T1055" t="str">
            <v>ВМЗ КО</v>
          </cell>
        </row>
        <row r="1056">
          <cell r="B1056" t="str">
            <v>Прочие вспомогательные</v>
          </cell>
          <cell r="K1056">
            <v>7</v>
          </cell>
          <cell r="N1056">
            <v>144984</v>
          </cell>
          <cell r="O1056" t="str">
            <v>росконтракт</v>
          </cell>
          <cell r="P1056">
            <v>7</v>
          </cell>
          <cell r="S1056">
            <v>145418.95199999999</v>
          </cell>
          <cell r="T1056" t="str">
            <v>ВМЗ КО</v>
          </cell>
        </row>
        <row r="1057">
          <cell r="B1057" t="str">
            <v>Прочие вспомогательные</v>
          </cell>
          <cell r="K1057">
            <v>65</v>
          </cell>
          <cell r="N1057">
            <v>419250</v>
          </cell>
          <cell r="O1057" t="str">
            <v>Волгоойлсервис</v>
          </cell>
          <cell r="P1057">
            <v>65</v>
          </cell>
          <cell r="S1057">
            <v>420507.74999999994</v>
          </cell>
        </row>
        <row r="1058">
          <cell r="B1058" t="str">
            <v>Прочие вспомогательные</v>
          </cell>
          <cell r="K1058">
            <v>5</v>
          </cell>
          <cell r="N1058">
            <v>52500</v>
          </cell>
          <cell r="O1058" t="str">
            <v>Энергохиминвест</v>
          </cell>
          <cell r="P1058">
            <v>5</v>
          </cell>
          <cell r="S1058">
            <v>52657.499999999993</v>
          </cell>
        </row>
        <row r="1059">
          <cell r="B1059" t="str">
            <v>Прочие вспомогательные</v>
          </cell>
          <cell r="K1059">
            <v>1.2</v>
          </cell>
          <cell r="N1059">
            <v>41400</v>
          </cell>
          <cell r="O1059" t="str">
            <v>Энергохиминвест</v>
          </cell>
          <cell r="P1059">
            <v>1.2</v>
          </cell>
          <cell r="S1059">
            <v>41524.19999999999</v>
          </cell>
          <cell r="T1059" t="str">
            <v>ВМЗ КО</v>
          </cell>
        </row>
        <row r="1060">
          <cell r="B1060" t="str">
            <v>Прочие вспомогательные</v>
          </cell>
          <cell r="K1060">
            <v>0</v>
          </cell>
          <cell r="N1060">
            <v>0</v>
          </cell>
          <cell r="O1060" t="str">
            <v>Тэрра</v>
          </cell>
          <cell r="P1060">
            <v>0</v>
          </cell>
          <cell r="S1060">
            <v>0</v>
          </cell>
          <cell r="T1060" t="str">
            <v>ВМЗ КО</v>
          </cell>
        </row>
        <row r="1061">
          <cell r="B1061" t="str">
            <v>Прочие вспомогательные</v>
          </cell>
          <cell r="K1061">
            <v>0</v>
          </cell>
          <cell r="N1061">
            <v>0</v>
          </cell>
          <cell r="O1061" t="str">
            <v>Тэрра</v>
          </cell>
          <cell r="P1061">
            <v>0</v>
          </cell>
          <cell r="S1061">
            <v>0</v>
          </cell>
          <cell r="T1061" t="str">
            <v>ВМЗ КО</v>
          </cell>
        </row>
        <row r="1062">
          <cell r="B1062" t="str">
            <v>Прочие вспомогательные</v>
          </cell>
          <cell r="K1062">
            <v>0</v>
          </cell>
          <cell r="N1062">
            <v>0</v>
          </cell>
          <cell r="O1062" t="str">
            <v>Тэрра</v>
          </cell>
          <cell r="P1062">
            <v>0</v>
          </cell>
          <cell r="S1062">
            <v>0</v>
          </cell>
          <cell r="T1062" t="str">
            <v>ВМЗ КО</v>
          </cell>
        </row>
        <row r="1063">
          <cell r="B1063" t="str">
            <v>Прочие вспомогательные</v>
          </cell>
          <cell r="K1063">
            <v>0</v>
          </cell>
          <cell r="N1063">
            <v>0</v>
          </cell>
          <cell r="O1063" t="str">
            <v>Тэрра</v>
          </cell>
          <cell r="P1063">
            <v>0</v>
          </cell>
          <cell r="S1063">
            <v>0</v>
          </cell>
          <cell r="T1063" t="str">
            <v>ВМЗ КО</v>
          </cell>
        </row>
        <row r="1064">
          <cell r="B1064" t="str">
            <v>Прочие вспомогательные</v>
          </cell>
          <cell r="K1064">
            <v>0</v>
          </cell>
          <cell r="N1064">
            <v>0</v>
          </cell>
          <cell r="O1064" t="str">
            <v>Тэрра</v>
          </cell>
          <cell r="P1064">
            <v>0</v>
          </cell>
          <cell r="S1064">
            <v>0</v>
          </cell>
          <cell r="T1064" t="str">
            <v>ВМЗ КО</v>
          </cell>
        </row>
        <row r="1065">
          <cell r="B1065" t="str">
            <v>Прочие вспомогательные</v>
          </cell>
          <cell r="K1065">
            <v>0</v>
          </cell>
          <cell r="N1065">
            <v>0</v>
          </cell>
          <cell r="O1065" t="str">
            <v>Тэрра</v>
          </cell>
          <cell r="P1065">
            <v>0</v>
          </cell>
          <cell r="S1065">
            <v>0</v>
          </cell>
          <cell r="T1065" t="str">
            <v>ВМЗ КО</v>
          </cell>
        </row>
        <row r="1066">
          <cell r="B1066" t="str">
            <v>Прочие вспомогательные</v>
          </cell>
          <cell r="K1066">
            <v>0</v>
          </cell>
          <cell r="N1066">
            <v>0</v>
          </cell>
          <cell r="O1066" t="str">
            <v>Тэрра</v>
          </cell>
          <cell r="P1066">
            <v>0</v>
          </cell>
          <cell r="S1066">
            <v>0</v>
          </cell>
          <cell r="T1066" t="str">
            <v>ВМЗ КО</v>
          </cell>
        </row>
        <row r="1067">
          <cell r="B1067" t="str">
            <v>Прочие вспомогательные</v>
          </cell>
          <cell r="K1067">
            <v>0</v>
          </cell>
          <cell r="N1067">
            <v>0</v>
          </cell>
          <cell r="O1067" t="str">
            <v>ВКПК</v>
          </cell>
          <cell r="P1067">
            <v>0</v>
          </cell>
          <cell r="S1067">
            <v>0</v>
          </cell>
          <cell r="T1067" t="str">
            <v>ВМЗ КО</v>
          </cell>
        </row>
        <row r="1068">
          <cell r="B1068" t="str">
            <v>Прочие вспомогательные</v>
          </cell>
          <cell r="K1068">
            <v>0</v>
          </cell>
          <cell r="N1068">
            <v>0</v>
          </cell>
          <cell r="O1068" t="str">
            <v>Тэрра</v>
          </cell>
          <cell r="P1068">
            <v>0</v>
          </cell>
          <cell r="S1068">
            <v>0</v>
          </cell>
          <cell r="T1068" t="str">
            <v>ВМЗ КО</v>
          </cell>
        </row>
        <row r="1069">
          <cell r="B1069" t="str">
            <v>Прочие вспомогательные</v>
          </cell>
          <cell r="K1069">
            <v>0</v>
          </cell>
          <cell r="N1069">
            <v>0</v>
          </cell>
          <cell r="O1069" t="str">
            <v>Тэрра</v>
          </cell>
          <cell r="P1069">
            <v>0</v>
          </cell>
          <cell r="S1069">
            <v>0</v>
          </cell>
          <cell r="T1069" t="str">
            <v>ВМЗ КО</v>
          </cell>
        </row>
        <row r="1070">
          <cell r="B1070" t="str">
            <v>Прочие вспомогательные</v>
          </cell>
          <cell r="K1070">
            <v>0</v>
          </cell>
          <cell r="N1070">
            <v>0</v>
          </cell>
          <cell r="O1070" t="str">
            <v>Тэрра</v>
          </cell>
          <cell r="P1070">
            <v>0</v>
          </cell>
          <cell r="S1070">
            <v>0</v>
          </cell>
          <cell r="T1070" t="str">
            <v>ВМЗ КО</v>
          </cell>
        </row>
        <row r="1071">
          <cell r="B1071" t="str">
            <v>Прочие вспомогательные</v>
          </cell>
          <cell r="K1071">
            <v>0</v>
          </cell>
          <cell r="N1071">
            <v>0</v>
          </cell>
          <cell r="O1071" t="str">
            <v>Тэрра</v>
          </cell>
          <cell r="P1071">
            <v>0</v>
          </cell>
          <cell r="S1071">
            <v>0</v>
          </cell>
          <cell r="T1071" t="str">
            <v>ВМЗ КО</v>
          </cell>
        </row>
        <row r="1072">
          <cell r="B1072" t="str">
            <v>Прочие вспомогательные</v>
          </cell>
          <cell r="K1072">
            <v>0</v>
          </cell>
          <cell r="N1072">
            <v>0</v>
          </cell>
          <cell r="O1072" t="str">
            <v>Тэрра</v>
          </cell>
          <cell r="P1072">
            <v>0</v>
          </cell>
          <cell r="S1072">
            <v>0</v>
          </cell>
          <cell r="T1072" t="str">
            <v>ВМЗ КО</v>
          </cell>
        </row>
        <row r="1073">
          <cell r="B1073" t="str">
            <v>Прочие вспомогательные</v>
          </cell>
          <cell r="K1073">
            <v>0</v>
          </cell>
          <cell r="N1073">
            <v>0</v>
          </cell>
          <cell r="O1073" t="str">
            <v>Тэрра</v>
          </cell>
          <cell r="P1073">
            <v>0</v>
          </cell>
          <cell r="S1073">
            <v>0</v>
          </cell>
          <cell r="T1073" t="str">
            <v>ВМЗ КО</v>
          </cell>
        </row>
        <row r="1074">
          <cell r="B1074" t="str">
            <v>Прочие вспомогательные</v>
          </cell>
          <cell r="K1074">
            <v>0</v>
          </cell>
          <cell r="N1074">
            <v>0</v>
          </cell>
          <cell r="O1074" t="str">
            <v>Тэрра</v>
          </cell>
          <cell r="P1074">
            <v>0</v>
          </cell>
          <cell r="S1074">
            <v>0</v>
          </cell>
          <cell r="T1074" t="str">
            <v>ВМЗ КО</v>
          </cell>
        </row>
        <row r="1075">
          <cell r="B1075" t="str">
            <v>Прочие вспомогательные</v>
          </cell>
          <cell r="K1075">
            <v>0</v>
          </cell>
          <cell r="N1075">
            <v>0</v>
          </cell>
          <cell r="O1075" t="str">
            <v>Тэрра</v>
          </cell>
          <cell r="P1075">
            <v>0</v>
          </cell>
          <cell r="S1075">
            <v>0</v>
          </cell>
          <cell r="T1075" t="str">
            <v>ВМЗ КО</v>
          </cell>
        </row>
        <row r="1076">
          <cell r="B1076" t="str">
            <v>Прочие вспомогательные</v>
          </cell>
          <cell r="K1076">
            <v>0</v>
          </cell>
          <cell r="N1076">
            <v>0</v>
          </cell>
          <cell r="O1076" t="str">
            <v>Тэрра</v>
          </cell>
          <cell r="P1076">
            <v>0</v>
          </cell>
          <cell r="S1076">
            <v>0</v>
          </cell>
          <cell r="T1076" t="str">
            <v>ВМЗ КО</v>
          </cell>
        </row>
        <row r="1077">
          <cell r="B1077" t="str">
            <v>Прочие вспомогательные</v>
          </cell>
          <cell r="K1077">
            <v>0</v>
          </cell>
          <cell r="N1077">
            <v>0</v>
          </cell>
          <cell r="O1077" t="str">
            <v>Тэрра</v>
          </cell>
          <cell r="P1077">
            <v>0</v>
          </cell>
          <cell r="S1077">
            <v>0</v>
          </cell>
          <cell r="T1077" t="str">
            <v>ВМЗ КО</v>
          </cell>
        </row>
        <row r="1078">
          <cell r="B1078" t="str">
            <v>Прочие вспомогательные</v>
          </cell>
          <cell r="K1078">
            <v>0</v>
          </cell>
          <cell r="N1078">
            <v>0</v>
          </cell>
          <cell r="O1078" t="str">
            <v>Тэрра</v>
          </cell>
          <cell r="P1078">
            <v>0</v>
          </cell>
          <cell r="S1078">
            <v>0</v>
          </cell>
          <cell r="T1078" t="str">
            <v>ВМЗ КО</v>
          </cell>
        </row>
        <row r="1079">
          <cell r="B1079" t="str">
            <v>Прочие вспомогательные</v>
          </cell>
          <cell r="K1079">
            <v>0</v>
          </cell>
          <cell r="N1079">
            <v>0</v>
          </cell>
          <cell r="O1079" t="str">
            <v>Тэрра</v>
          </cell>
          <cell r="P1079">
            <v>0</v>
          </cell>
          <cell r="S1079">
            <v>0</v>
          </cell>
          <cell r="T1079" t="str">
            <v>ВМЗ КО</v>
          </cell>
        </row>
        <row r="1080">
          <cell r="B1080" t="str">
            <v>Прочие вспомогательные</v>
          </cell>
          <cell r="K1080">
            <v>0</v>
          </cell>
          <cell r="N1080">
            <v>0</v>
          </cell>
          <cell r="O1080" t="str">
            <v>Тэрра</v>
          </cell>
          <cell r="P1080">
            <v>0</v>
          </cell>
          <cell r="S1080">
            <v>0</v>
          </cell>
          <cell r="T1080" t="str">
            <v>ВМЗ КО</v>
          </cell>
        </row>
        <row r="1081">
          <cell r="B1081" t="str">
            <v>Прочие вспомогательные</v>
          </cell>
          <cell r="K1081">
            <v>0</v>
          </cell>
          <cell r="N1081">
            <v>0</v>
          </cell>
          <cell r="O1081" t="str">
            <v>Тэрра</v>
          </cell>
          <cell r="P1081">
            <v>0</v>
          </cell>
          <cell r="S1081">
            <v>0</v>
          </cell>
          <cell r="T1081" t="str">
            <v>ВМЗ КО</v>
          </cell>
        </row>
        <row r="1082">
          <cell r="B1082" t="str">
            <v>Прочие вспомогательные</v>
          </cell>
          <cell r="K1082">
            <v>0</v>
          </cell>
          <cell r="N1082">
            <v>0</v>
          </cell>
          <cell r="O1082" t="str">
            <v>Тэрра</v>
          </cell>
          <cell r="P1082">
            <v>0</v>
          </cell>
          <cell r="S1082">
            <v>0</v>
          </cell>
          <cell r="T1082" t="str">
            <v>ВМЗ КО</v>
          </cell>
        </row>
        <row r="1083">
          <cell r="B1083" t="str">
            <v>Прочие вспомогательные</v>
          </cell>
          <cell r="K1083">
            <v>0</v>
          </cell>
          <cell r="N1083">
            <v>0</v>
          </cell>
          <cell r="O1083" t="str">
            <v>Тэрра</v>
          </cell>
          <cell r="P1083">
            <v>0</v>
          </cell>
          <cell r="S1083">
            <v>0</v>
          </cell>
          <cell r="T1083" t="str">
            <v>ВМЗ КО</v>
          </cell>
        </row>
        <row r="1084">
          <cell r="B1084" t="str">
            <v>Прочие вспомогательные</v>
          </cell>
          <cell r="K1084">
            <v>0</v>
          </cell>
          <cell r="N1084">
            <v>0</v>
          </cell>
          <cell r="O1084" t="str">
            <v>Тэрра</v>
          </cell>
          <cell r="P1084">
            <v>0</v>
          </cell>
          <cell r="S1084">
            <v>0</v>
          </cell>
          <cell r="T1084" t="str">
            <v>ВМЗ КО</v>
          </cell>
        </row>
        <row r="1085">
          <cell r="B1085" t="str">
            <v>Прочие вспомогательные</v>
          </cell>
          <cell r="K1085">
            <v>0</v>
          </cell>
          <cell r="N1085">
            <v>0</v>
          </cell>
          <cell r="O1085" t="str">
            <v>Тэрра</v>
          </cell>
          <cell r="P1085">
            <v>0</v>
          </cell>
          <cell r="S1085">
            <v>0</v>
          </cell>
          <cell r="T1085" t="str">
            <v>ВМЗ КО</v>
          </cell>
        </row>
        <row r="1086">
          <cell r="B1086" t="str">
            <v>Прочие вспомогательные</v>
          </cell>
          <cell r="K1086">
            <v>0</v>
          </cell>
          <cell r="N1086">
            <v>0</v>
          </cell>
          <cell r="O1086" t="str">
            <v>Тэрра</v>
          </cell>
          <cell r="P1086">
            <v>0</v>
          </cell>
          <cell r="S1086">
            <v>0</v>
          </cell>
          <cell r="T1086" t="str">
            <v>ВМЗ КО</v>
          </cell>
        </row>
        <row r="1087">
          <cell r="B1087" t="str">
            <v>Прочие вспомогательные</v>
          </cell>
          <cell r="K1087">
            <v>0</v>
          </cell>
          <cell r="N1087">
            <v>0</v>
          </cell>
          <cell r="O1087" t="str">
            <v>ВКПК</v>
          </cell>
          <cell r="P1087">
            <v>0</v>
          </cell>
          <cell r="S1087">
            <v>0</v>
          </cell>
          <cell r="T1087" t="str">
            <v>ВМЗ КО</v>
          </cell>
        </row>
        <row r="1088">
          <cell r="B1088" t="str">
            <v>Прочие вспомогательные</v>
          </cell>
          <cell r="K1088">
            <v>0</v>
          </cell>
          <cell r="N1088">
            <v>0</v>
          </cell>
          <cell r="O1088" t="str">
            <v>Тэрра</v>
          </cell>
          <cell r="P1088">
            <v>0</v>
          </cell>
          <cell r="S1088">
            <v>0</v>
          </cell>
          <cell r="T1088" t="str">
            <v>ВМЗ КО</v>
          </cell>
        </row>
        <row r="1089">
          <cell r="B1089" t="str">
            <v>Прочие вспомогательные</v>
          </cell>
          <cell r="K1089">
            <v>0</v>
          </cell>
          <cell r="N1089">
            <v>0</v>
          </cell>
          <cell r="O1089" t="str">
            <v>ВКПК</v>
          </cell>
          <cell r="P1089">
            <v>0</v>
          </cell>
          <cell r="S1089">
            <v>0</v>
          </cell>
          <cell r="T1089" t="str">
            <v>ВМЗ КО</v>
          </cell>
        </row>
        <row r="1090">
          <cell r="B1090" t="str">
            <v>Прочие вспомогательные</v>
          </cell>
          <cell r="K1090">
            <v>0</v>
          </cell>
          <cell r="N1090">
            <v>0</v>
          </cell>
          <cell r="O1090" t="str">
            <v>ВКПК</v>
          </cell>
          <cell r="P1090">
            <v>0</v>
          </cell>
          <cell r="S1090">
            <v>0</v>
          </cell>
          <cell r="T1090" t="str">
            <v>ВМЗ КО</v>
          </cell>
        </row>
        <row r="1091">
          <cell r="B1091" t="str">
            <v>Прочие вспомогательные</v>
          </cell>
          <cell r="K1091">
            <v>0</v>
          </cell>
          <cell r="N1091">
            <v>0</v>
          </cell>
          <cell r="O1091" t="str">
            <v>ВКПК</v>
          </cell>
          <cell r="P1091">
            <v>0</v>
          </cell>
          <cell r="S1091">
            <v>0</v>
          </cell>
          <cell r="T1091" t="str">
            <v>ВМЗ КО</v>
          </cell>
        </row>
        <row r="1092">
          <cell r="B1092" t="str">
            <v>Прочие вспомогательные</v>
          </cell>
          <cell r="K1092">
            <v>0</v>
          </cell>
          <cell r="N1092">
            <v>0</v>
          </cell>
          <cell r="O1092" t="str">
            <v>Тэрра</v>
          </cell>
          <cell r="P1092">
            <v>0</v>
          </cell>
          <cell r="S1092">
            <v>0</v>
          </cell>
          <cell r="T1092" t="str">
            <v>ВМЗ КО</v>
          </cell>
        </row>
        <row r="1093">
          <cell r="B1093" t="str">
            <v>Прочие вспомогательные</v>
          </cell>
          <cell r="K1093">
            <v>0</v>
          </cell>
          <cell r="N1093">
            <v>0</v>
          </cell>
          <cell r="O1093" t="str">
            <v>Тэрра</v>
          </cell>
          <cell r="P1093">
            <v>0</v>
          </cell>
          <cell r="S1093">
            <v>0</v>
          </cell>
          <cell r="T1093" t="str">
            <v>ВМЗ КО</v>
          </cell>
        </row>
        <row r="1094">
          <cell r="B1094" t="str">
            <v>Прочие вспомогательные</v>
          </cell>
          <cell r="K1094">
            <v>0</v>
          </cell>
          <cell r="N1094">
            <v>0</v>
          </cell>
          <cell r="O1094" t="str">
            <v>Тэрра</v>
          </cell>
          <cell r="P1094">
            <v>0</v>
          </cell>
          <cell r="S1094">
            <v>0</v>
          </cell>
          <cell r="T1094" t="str">
            <v>ВМЗ КО</v>
          </cell>
        </row>
        <row r="1095">
          <cell r="B1095" t="str">
            <v>Прочие вспомогательные</v>
          </cell>
          <cell r="K1095">
            <v>0</v>
          </cell>
          <cell r="N1095">
            <v>0</v>
          </cell>
          <cell r="O1095" t="str">
            <v>Тэрра</v>
          </cell>
          <cell r="P1095">
            <v>0</v>
          </cell>
          <cell r="S1095">
            <v>0</v>
          </cell>
          <cell r="T1095" t="str">
            <v>ВМЗ КО</v>
          </cell>
        </row>
        <row r="1096">
          <cell r="B1096" t="str">
            <v>Прочие вспомогательные</v>
          </cell>
          <cell r="K1096">
            <v>0</v>
          </cell>
          <cell r="N1096">
            <v>0</v>
          </cell>
          <cell r="O1096" t="str">
            <v>Тэрра</v>
          </cell>
          <cell r="P1096">
            <v>0</v>
          </cell>
          <cell r="S1096">
            <v>0</v>
          </cell>
          <cell r="T1096" t="str">
            <v>ВМЗ КО</v>
          </cell>
        </row>
        <row r="1097">
          <cell r="B1097" t="str">
            <v>Прочие вспомогательные</v>
          </cell>
          <cell r="K1097">
            <v>65</v>
          </cell>
          <cell r="N1097">
            <v>101400</v>
          </cell>
          <cell r="O1097" t="str">
            <v>Транзит Волга</v>
          </cell>
          <cell r="P1097">
            <v>65</v>
          </cell>
          <cell r="S1097">
            <v>101704.19999999998</v>
          </cell>
          <cell r="T1097" t="str">
            <v>ВМЗ КО</v>
          </cell>
        </row>
        <row r="1098">
          <cell r="B1098" t="str">
            <v>Прочие вспомогательные</v>
          </cell>
          <cell r="K1098">
            <v>75</v>
          </cell>
          <cell r="N1098">
            <v>94500</v>
          </cell>
          <cell r="O1098" t="str">
            <v>Транзит Волга</v>
          </cell>
          <cell r="P1098">
            <v>75</v>
          </cell>
          <cell r="S1098">
            <v>94783.5</v>
          </cell>
          <cell r="T1098" t="str">
            <v>ВМЗ КО</v>
          </cell>
        </row>
        <row r="1099">
          <cell r="B1099" t="str">
            <v>Прочие вспомогательные</v>
          </cell>
          <cell r="K1099">
            <v>0</v>
          </cell>
          <cell r="N1099">
            <v>0</v>
          </cell>
          <cell r="O1099" t="str">
            <v>Транзит Волга</v>
          </cell>
          <cell r="P1099">
            <v>0</v>
          </cell>
          <cell r="S1099">
            <v>0</v>
          </cell>
          <cell r="T1099" t="str">
            <v>ВМЗ КО</v>
          </cell>
        </row>
        <row r="1100">
          <cell r="B1100" t="str">
            <v>Прочие вспомогательные</v>
          </cell>
          <cell r="K1100">
            <v>0</v>
          </cell>
          <cell r="N1100">
            <v>0</v>
          </cell>
          <cell r="O1100" t="str">
            <v>ВКПК</v>
          </cell>
          <cell r="P1100">
            <v>0</v>
          </cell>
          <cell r="S1100">
            <v>0</v>
          </cell>
          <cell r="T1100" t="str">
            <v>ВМЗ КО</v>
          </cell>
        </row>
        <row r="1101">
          <cell r="B1101" t="str">
            <v>Прочие вспомогательные</v>
          </cell>
          <cell r="K1101">
            <v>0</v>
          </cell>
          <cell r="N1101">
            <v>0</v>
          </cell>
          <cell r="O1101" t="str">
            <v>Волгамет</v>
          </cell>
          <cell r="P1101">
            <v>0</v>
          </cell>
          <cell r="S1101">
            <v>0</v>
          </cell>
          <cell r="T1101" t="str">
            <v>ВМЗ КО</v>
          </cell>
        </row>
        <row r="1102">
          <cell r="B1102" t="str">
            <v>Прочие вспомогательные</v>
          </cell>
          <cell r="K1102">
            <v>0</v>
          </cell>
          <cell r="N1102">
            <v>0</v>
          </cell>
          <cell r="O1102" t="str">
            <v>Волгамет</v>
          </cell>
          <cell r="P1102">
            <v>0</v>
          </cell>
          <cell r="S1102">
            <v>0</v>
          </cell>
          <cell r="T1102" t="str">
            <v>ВМЗ КО</v>
          </cell>
        </row>
        <row r="1103">
          <cell r="B1103" t="str">
            <v>Прочие вспомогательные</v>
          </cell>
          <cell r="K1103">
            <v>0</v>
          </cell>
          <cell r="N1103">
            <v>0</v>
          </cell>
          <cell r="O1103" t="str">
            <v>ВКПК</v>
          </cell>
          <cell r="P1103">
            <v>0</v>
          </cell>
          <cell r="S1103">
            <v>0</v>
          </cell>
          <cell r="T1103" t="str">
            <v>ВМЗ КО</v>
          </cell>
        </row>
        <row r="1104">
          <cell r="B1104" t="str">
            <v>Прочие вспомогательные</v>
          </cell>
          <cell r="K1104">
            <v>0</v>
          </cell>
          <cell r="N1104">
            <v>0</v>
          </cell>
          <cell r="O1104" t="str">
            <v>Волгамет</v>
          </cell>
          <cell r="P1104">
            <v>0</v>
          </cell>
          <cell r="S1104">
            <v>0</v>
          </cell>
          <cell r="T1104" t="str">
            <v>ВМЗ КО</v>
          </cell>
        </row>
        <row r="1105">
          <cell r="B1105" t="str">
            <v>Прочие вспомогательные</v>
          </cell>
          <cell r="K1105">
            <v>0</v>
          </cell>
          <cell r="N1105">
            <v>0</v>
          </cell>
          <cell r="O1105" t="str">
            <v>Волгамет</v>
          </cell>
          <cell r="P1105">
            <v>0</v>
          </cell>
          <cell r="S1105">
            <v>0</v>
          </cell>
          <cell r="T1105" t="str">
            <v>ВМЗ КО</v>
          </cell>
        </row>
        <row r="1106">
          <cell r="B1106" t="str">
            <v>Прочие вспомогательные</v>
          </cell>
          <cell r="K1106">
            <v>0</v>
          </cell>
          <cell r="N1106">
            <v>0</v>
          </cell>
          <cell r="O1106" t="str">
            <v>ВКПК</v>
          </cell>
          <cell r="P1106">
            <v>0</v>
          </cell>
          <cell r="S1106">
            <v>0</v>
          </cell>
          <cell r="T1106" t="str">
            <v>ВМЗ КО</v>
          </cell>
        </row>
        <row r="1107">
          <cell r="B1107" t="str">
            <v>Прочие вспомогательные</v>
          </cell>
          <cell r="K1107">
            <v>0</v>
          </cell>
          <cell r="N1107">
            <v>0</v>
          </cell>
          <cell r="O1107" t="str">
            <v>ВКПК</v>
          </cell>
          <cell r="P1107">
            <v>0</v>
          </cell>
          <cell r="S1107">
            <v>0</v>
          </cell>
          <cell r="T1107" t="str">
            <v>ВМЗ КО</v>
          </cell>
        </row>
        <row r="1108">
          <cell r="B1108" t="str">
            <v>Прочие вспомогательные</v>
          </cell>
          <cell r="K1108">
            <v>0</v>
          </cell>
          <cell r="N1108">
            <v>0</v>
          </cell>
          <cell r="O1108" t="str">
            <v>Волгамет</v>
          </cell>
          <cell r="P1108">
            <v>0</v>
          </cell>
          <cell r="S1108">
            <v>0</v>
          </cell>
          <cell r="T1108" t="str">
            <v>ВМЗ КО</v>
          </cell>
        </row>
        <row r="1109">
          <cell r="B1109" t="str">
            <v>Прочие вспомогательные</v>
          </cell>
          <cell r="K1109">
            <v>0</v>
          </cell>
          <cell r="N1109">
            <v>0</v>
          </cell>
          <cell r="O1109" t="str">
            <v>ВКПК</v>
          </cell>
          <cell r="P1109">
            <v>0</v>
          </cell>
          <cell r="S1109">
            <v>0</v>
          </cell>
          <cell r="T1109" t="str">
            <v>ВМЗ КО</v>
          </cell>
        </row>
        <row r="1110">
          <cell r="B1110" t="str">
            <v>Прочие вспомогательные</v>
          </cell>
          <cell r="K1110">
            <v>0</v>
          </cell>
          <cell r="N1110">
            <v>0</v>
          </cell>
          <cell r="O1110" t="str">
            <v>ВКПК</v>
          </cell>
          <cell r="P1110">
            <v>0</v>
          </cell>
          <cell r="S1110">
            <v>0</v>
          </cell>
          <cell r="T1110" t="str">
            <v>ВМЗ КО</v>
          </cell>
        </row>
        <row r="1111">
          <cell r="B1111" t="str">
            <v>Прочие вспомогательные</v>
          </cell>
          <cell r="K1111">
            <v>0</v>
          </cell>
          <cell r="N1111">
            <v>0</v>
          </cell>
          <cell r="O1111" t="str">
            <v>ВКПК</v>
          </cell>
          <cell r="P1111">
            <v>0</v>
          </cell>
          <cell r="S1111">
            <v>0</v>
          </cell>
          <cell r="T1111" t="str">
            <v>ВМЗ КО</v>
          </cell>
        </row>
        <row r="1112">
          <cell r="B1112" t="str">
            <v>Прочие вспомогательные</v>
          </cell>
          <cell r="K1112">
            <v>0</v>
          </cell>
          <cell r="N1112">
            <v>0</v>
          </cell>
          <cell r="O1112" t="str">
            <v>ВКПК</v>
          </cell>
          <cell r="P1112">
            <v>0</v>
          </cell>
          <cell r="S1112">
            <v>0</v>
          </cell>
          <cell r="T1112" t="str">
            <v>ВМЗ КО</v>
          </cell>
        </row>
        <row r="1113">
          <cell r="B1113" t="str">
            <v>Прочие вспомогательные</v>
          </cell>
          <cell r="K1113">
            <v>0</v>
          </cell>
          <cell r="N1113">
            <v>0</v>
          </cell>
          <cell r="O1113" t="str">
            <v>ВКПК</v>
          </cell>
          <cell r="P1113">
            <v>0</v>
          </cell>
          <cell r="S1113">
            <v>0</v>
          </cell>
          <cell r="T1113" t="str">
            <v>ВМЗ КО</v>
          </cell>
        </row>
        <row r="1114">
          <cell r="B1114" t="str">
            <v>Прочие вспомогательные</v>
          </cell>
          <cell r="K1114">
            <v>0</v>
          </cell>
          <cell r="N1114">
            <v>0</v>
          </cell>
          <cell r="O1114" t="str">
            <v>ВКПК</v>
          </cell>
          <cell r="P1114">
            <v>0</v>
          </cell>
          <cell r="S1114">
            <v>0</v>
          </cell>
          <cell r="T1114" t="str">
            <v>ВМЗ КО</v>
          </cell>
        </row>
        <row r="1115">
          <cell r="B1115" t="str">
            <v>Прочие вспомогательные</v>
          </cell>
          <cell r="K1115">
            <v>0</v>
          </cell>
          <cell r="N1115">
            <v>0</v>
          </cell>
          <cell r="O1115" t="str">
            <v>Волгамет</v>
          </cell>
          <cell r="P1115">
            <v>0</v>
          </cell>
          <cell r="S1115">
            <v>0</v>
          </cell>
          <cell r="T1115" t="str">
            <v>ВМЗ КО</v>
          </cell>
        </row>
        <row r="1116">
          <cell r="B1116" t="str">
            <v>Прочие вспомогательные</v>
          </cell>
          <cell r="K1116">
            <v>0</v>
          </cell>
          <cell r="N1116">
            <v>0</v>
          </cell>
          <cell r="O1116" t="str">
            <v>Волгамет</v>
          </cell>
          <cell r="P1116">
            <v>0</v>
          </cell>
          <cell r="S1116">
            <v>0</v>
          </cell>
          <cell r="T1116" t="str">
            <v>ВМЗ КО</v>
          </cell>
        </row>
        <row r="1117">
          <cell r="B1117" t="str">
            <v>Прочие вспомогательные</v>
          </cell>
          <cell r="K1117">
            <v>0</v>
          </cell>
          <cell r="N1117">
            <v>0</v>
          </cell>
          <cell r="O1117" t="str">
            <v>ВКПК</v>
          </cell>
          <cell r="P1117">
            <v>0</v>
          </cell>
          <cell r="S1117">
            <v>0</v>
          </cell>
          <cell r="T1117" t="str">
            <v>ВМЗ КО</v>
          </cell>
        </row>
        <row r="1118">
          <cell r="B1118" t="str">
            <v>Прочие вспомогательные</v>
          </cell>
          <cell r="K1118">
            <v>0</v>
          </cell>
          <cell r="N1118">
            <v>0</v>
          </cell>
          <cell r="O1118" t="str">
            <v>Волгамет</v>
          </cell>
          <cell r="P1118">
            <v>0</v>
          </cell>
          <cell r="S1118">
            <v>0</v>
          </cell>
          <cell r="T1118" t="str">
            <v>ВМЗ КО</v>
          </cell>
        </row>
        <row r="1119">
          <cell r="B1119" t="str">
            <v>Прочие вспомогательные</v>
          </cell>
          <cell r="K1119">
            <v>0</v>
          </cell>
          <cell r="N1119">
            <v>0</v>
          </cell>
          <cell r="O1119" t="str">
            <v>Волгамет</v>
          </cell>
          <cell r="P1119">
            <v>0</v>
          </cell>
          <cell r="S1119">
            <v>0</v>
          </cell>
          <cell r="T1119" t="str">
            <v>ВМЗ КО</v>
          </cell>
        </row>
        <row r="1120">
          <cell r="B1120" t="str">
            <v>Прочие вспомогательные</v>
          </cell>
          <cell r="K1120">
            <v>0</v>
          </cell>
          <cell r="N1120">
            <v>0</v>
          </cell>
          <cell r="O1120" t="str">
            <v>ВКПК</v>
          </cell>
          <cell r="P1120">
            <v>0</v>
          </cell>
          <cell r="S1120">
            <v>0</v>
          </cell>
          <cell r="T1120" t="str">
            <v>ВМЗ КО</v>
          </cell>
        </row>
        <row r="1121">
          <cell r="B1121" t="str">
            <v>Прочие вспомогательные</v>
          </cell>
          <cell r="K1121">
            <v>0</v>
          </cell>
          <cell r="N1121">
            <v>0</v>
          </cell>
          <cell r="O1121" t="str">
            <v>ВКПК</v>
          </cell>
          <cell r="P1121">
            <v>0</v>
          </cell>
          <cell r="S1121">
            <v>0</v>
          </cell>
          <cell r="T1121" t="str">
            <v>ВМЗ КО</v>
          </cell>
        </row>
        <row r="1122">
          <cell r="B1122" t="str">
            <v>Прочие вспомогательные</v>
          </cell>
          <cell r="K1122">
            <v>0</v>
          </cell>
          <cell r="N1122">
            <v>0</v>
          </cell>
          <cell r="O1122" t="str">
            <v>ВКПК</v>
          </cell>
          <cell r="P1122">
            <v>0</v>
          </cell>
          <cell r="S1122">
            <v>0</v>
          </cell>
          <cell r="T1122" t="str">
            <v>ВМЗ КО</v>
          </cell>
        </row>
        <row r="1123">
          <cell r="B1123" t="str">
            <v>Прочие вспомогательные</v>
          </cell>
          <cell r="K1123">
            <v>0</v>
          </cell>
          <cell r="N1123">
            <v>0</v>
          </cell>
          <cell r="O1123" t="str">
            <v>ВКПК</v>
          </cell>
          <cell r="P1123">
            <v>0</v>
          </cell>
          <cell r="S1123">
            <v>0</v>
          </cell>
          <cell r="T1123" t="str">
            <v>ВМЗ КО</v>
          </cell>
        </row>
        <row r="1124">
          <cell r="B1124" t="str">
            <v>Прочие вспомогательные</v>
          </cell>
          <cell r="K1124">
            <v>0</v>
          </cell>
          <cell r="N1124">
            <v>0</v>
          </cell>
          <cell r="O1124" t="str">
            <v>Волгамет</v>
          </cell>
          <cell r="P1124">
            <v>0</v>
          </cell>
          <cell r="S1124">
            <v>0</v>
          </cell>
          <cell r="T1124" t="str">
            <v>ВМЗ КО</v>
          </cell>
        </row>
        <row r="1125">
          <cell r="B1125" t="str">
            <v>Прочие вспомогательные</v>
          </cell>
          <cell r="K1125">
            <v>0</v>
          </cell>
          <cell r="N1125">
            <v>0</v>
          </cell>
          <cell r="O1125" t="str">
            <v>ВКПК</v>
          </cell>
          <cell r="P1125">
            <v>0</v>
          </cell>
          <cell r="S1125">
            <v>0</v>
          </cell>
          <cell r="T1125" t="str">
            <v>ВМЗ КО</v>
          </cell>
        </row>
        <row r="1126">
          <cell r="B1126" t="str">
            <v>Прочие вспомогательные</v>
          </cell>
          <cell r="K1126">
            <v>0</v>
          </cell>
          <cell r="N1126">
            <v>0</v>
          </cell>
          <cell r="O1126" t="str">
            <v>ВКПК</v>
          </cell>
          <cell r="P1126">
            <v>0</v>
          </cell>
          <cell r="S1126">
            <v>0</v>
          </cell>
          <cell r="T1126" t="str">
            <v>ВМЗ КО</v>
          </cell>
        </row>
        <row r="1127">
          <cell r="B1127" t="str">
            <v>Прочие вспомогательные</v>
          </cell>
          <cell r="K1127">
            <v>0</v>
          </cell>
          <cell r="N1127">
            <v>0</v>
          </cell>
          <cell r="O1127" t="str">
            <v>Волгамет</v>
          </cell>
          <cell r="P1127">
            <v>0</v>
          </cell>
          <cell r="S1127">
            <v>0</v>
          </cell>
          <cell r="T1127" t="str">
            <v>ВМЗ КО</v>
          </cell>
        </row>
        <row r="1128">
          <cell r="B1128" t="str">
            <v>Прочие вспомогательные</v>
          </cell>
          <cell r="K1128">
            <v>0</v>
          </cell>
          <cell r="N1128">
            <v>0</v>
          </cell>
          <cell r="O1128" t="str">
            <v>Волгамет</v>
          </cell>
          <cell r="P1128">
            <v>0</v>
          </cell>
          <cell r="S1128">
            <v>0</v>
          </cell>
          <cell r="T1128" t="str">
            <v>ВМЗ КО</v>
          </cell>
        </row>
        <row r="1129">
          <cell r="B1129" t="str">
            <v>Прочие вспомогательные</v>
          </cell>
          <cell r="K1129">
            <v>0</v>
          </cell>
          <cell r="N1129">
            <v>0</v>
          </cell>
          <cell r="O1129" t="str">
            <v>Волгамет</v>
          </cell>
          <cell r="P1129">
            <v>0</v>
          </cell>
          <cell r="S1129">
            <v>0</v>
          </cell>
          <cell r="T1129" t="str">
            <v>ВМЗ КО</v>
          </cell>
        </row>
        <row r="1130">
          <cell r="B1130" t="str">
            <v>Прочие вспомогательные</v>
          </cell>
          <cell r="K1130">
            <v>0</v>
          </cell>
          <cell r="N1130">
            <v>0</v>
          </cell>
          <cell r="O1130" t="str">
            <v>Волгамет</v>
          </cell>
          <cell r="P1130">
            <v>0</v>
          </cell>
          <cell r="S1130">
            <v>0</v>
          </cell>
          <cell r="T1130" t="str">
            <v>ВМЗ КО</v>
          </cell>
        </row>
        <row r="1131">
          <cell r="B1131" t="str">
            <v>Прочие вспомогательные</v>
          </cell>
          <cell r="K1131">
            <v>0</v>
          </cell>
          <cell r="N1131">
            <v>0</v>
          </cell>
          <cell r="O1131" t="str">
            <v>Волгамет</v>
          </cell>
          <cell r="P1131">
            <v>0</v>
          </cell>
          <cell r="S1131">
            <v>0</v>
          </cell>
          <cell r="T1131" t="str">
            <v>ВМЗ КО</v>
          </cell>
        </row>
        <row r="1132">
          <cell r="B1132" t="str">
            <v>Прочие вспомогательные</v>
          </cell>
          <cell r="K1132">
            <v>0</v>
          </cell>
          <cell r="N1132">
            <v>0</v>
          </cell>
          <cell r="O1132" t="str">
            <v>Волгамет</v>
          </cell>
          <cell r="P1132">
            <v>0</v>
          </cell>
          <cell r="S1132">
            <v>0</v>
          </cell>
          <cell r="T1132" t="str">
            <v>ВМЗ КО</v>
          </cell>
        </row>
        <row r="1133">
          <cell r="B1133" t="str">
            <v>Прочие вспомогательные</v>
          </cell>
          <cell r="K1133">
            <v>0</v>
          </cell>
          <cell r="N1133">
            <v>0</v>
          </cell>
          <cell r="O1133" t="str">
            <v>Волгамет</v>
          </cell>
          <cell r="P1133">
            <v>0</v>
          </cell>
          <cell r="S1133">
            <v>0</v>
          </cell>
          <cell r="T1133" t="str">
            <v>ВМЗ КО</v>
          </cell>
        </row>
        <row r="1134">
          <cell r="B1134" t="str">
            <v>Прочие вспомогательные</v>
          </cell>
          <cell r="K1134">
            <v>0</v>
          </cell>
          <cell r="N1134">
            <v>0</v>
          </cell>
          <cell r="O1134" t="str">
            <v>Волгамет</v>
          </cell>
          <cell r="P1134">
            <v>0</v>
          </cell>
          <cell r="S1134">
            <v>0</v>
          </cell>
          <cell r="T1134" t="str">
            <v>ВМЗ КО</v>
          </cell>
        </row>
        <row r="1135">
          <cell r="B1135" t="str">
            <v>Прочие вспомогательные</v>
          </cell>
          <cell r="K1135">
            <v>0</v>
          </cell>
          <cell r="N1135">
            <v>0</v>
          </cell>
          <cell r="O1135" t="str">
            <v>Волгамет</v>
          </cell>
          <cell r="P1135">
            <v>0</v>
          </cell>
          <cell r="S1135">
            <v>0</v>
          </cell>
          <cell r="T1135" t="str">
            <v>ВМЗ КО</v>
          </cell>
        </row>
        <row r="1136">
          <cell r="B1136" t="str">
            <v>Прочие вспомогательные</v>
          </cell>
          <cell r="K1136">
            <v>0</v>
          </cell>
          <cell r="N1136">
            <v>0</v>
          </cell>
          <cell r="O1136" t="str">
            <v>Волгамет</v>
          </cell>
          <cell r="P1136">
            <v>0</v>
          </cell>
          <cell r="S1136">
            <v>0</v>
          </cell>
          <cell r="T1136" t="str">
            <v>ВМЗ КО</v>
          </cell>
        </row>
        <row r="1137">
          <cell r="B1137" t="str">
            <v>Прочие вспомогательные</v>
          </cell>
          <cell r="K1137">
            <v>0</v>
          </cell>
          <cell r="N1137">
            <v>0</v>
          </cell>
          <cell r="O1137" t="str">
            <v>Волгамет</v>
          </cell>
          <cell r="P1137">
            <v>0</v>
          </cell>
          <cell r="S1137">
            <v>0</v>
          </cell>
          <cell r="T1137" t="str">
            <v>ВМЗ КО</v>
          </cell>
        </row>
        <row r="1138">
          <cell r="B1138" t="str">
            <v>Прочие вспомогательные</v>
          </cell>
          <cell r="K1138">
            <v>0</v>
          </cell>
          <cell r="N1138">
            <v>0</v>
          </cell>
          <cell r="O1138" t="str">
            <v>Волгамет</v>
          </cell>
          <cell r="P1138">
            <v>0</v>
          </cell>
          <cell r="S1138">
            <v>0</v>
          </cell>
          <cell r="T1138" t="str">
            <v>ВМЗ КО</v>
          </cell>
        </row>
        <row r="1139">
          <cell r="B1139" t="str">
            <v>Прочие вспомогательные</v>
          </cell>
          <cell r="K1139">
            <v>0</v>
          </cell>
          <cell r="N1139">
            <v>0</v>
          </cell>
          <cell r="O1139" t="str">
            <v>Волгамет</v>
          </cell>
          <cell r="P1139">
            <v>0</v>
          </cell>
          <cell r="S1139">
            <v>0</v>
          </cell>
          <cell r="T1139" t="str">
            <v>ВМЗ КО</v>
          </cell>
        </row>
        <row r="1140">
          <cell r="B1140" t="str">
            <v>Прочие вспомогательные</v>
          </cell>
          <cell r="K1140">
            <v>0</v>
          </cell>
          <cell r="N1140">
            <v>0</v>
          </cell>
          <cell r="O1140" t="str">
            <v>Волгамет</v>
          </cell>
          <cell r="P1140">
            <v>0</v>
          </cell>
          <cell r="S1140">
            <v>0</v>
          </cell>
          <cell r="T1140" t="str">
            <v>ВМЗ КО</v>
          </cell>
        </row>
        <row r="1141">
          <cell r="B1141" t="str">
            <v>Прочие вспомогательные</v>
          </cell>
          <cell r="K1141">
            <v>0</v>
          </cell>
          <cell r="N1141">
            <v>0</v>
          </cell>
          <cell r="O1141" t="str">
            <v>Волгамет</v>
          </cell>
          <cell r="P1141">
            <v>0</v>
          </cell>
          <cell r="S1141">
            <v>0</v>
          </cell>
          <cell r="T1141" t="str">
            <v>ВМЗ КО</v>
          </cell>
        </row>
        <row r="1142">
          <cell r="B1142" t="str">
            <v>Прочие вспомогательные</v>
          </cell>
          <cell r="K1142">
            <v>0</v>
          </cell>
          <cell r="N1142">
            <v>0</v>
          </cell>
          <cell r="O1142" t="str">
            <v>Волгамет</v>
          </cell>
          <cell r="P1142">
            <v>0</v>
          </cell>
          <cell r="S1142">
            <v>0</v>
          </cell>
          <cell r="T1142" t="str">
            <v>ВМЗ КО</v>
          </cell>
        </row>
        <row r="1143">
          <cell r="B1143" t="str">
            <v>Прочие вспомогательные</v>
          </cell>
          <cell r="K1143">
            <v>0</v>
          </cell>
          <cell r="N1143">
            <v>0</v>
          </cell>
          <cell r="O1143" t="str">
            <v>ВКПК</v>
          </cell>
          <cell r="P1143">
            <v>0</v>
          </cell>
          <cell r="S1143">
            <v>0</v>
          </cell>
          <cell r="T1143" t="str">
            <v>ВМЗ КО</v>
          </cell>
        </row>
        <row r="1144">
          <cell r="B1144" t="str">
            <v>Прочие вспомогательные</v>
          </cell>
          <cell r="K1144">
            <v>1500</v>
          </cell>
          <cell r="N1144">
            <v>333000</v>
          </cell>
          <cell r="O1144" t="str">
            <v>Воронежхимсервис</v>
          </cell>
          <cell r="P1144">
            <v>1500</v>
          </cell>
          <cell r="S1144">
            <v>333998.99999999994</v>
          </cell>
          <cell r="T1144" t="str">
            <v>ВМЗ КО</v>
          </cell>
        </row>
        <row r="1145">
          <cell r="B1145" t="str">
            <v>Прочие вспомогательные</v>
          </cell>
          <cell r="K1145">
            <v>100</v>
          </cell>
          <cell r="N1145">
            <v>10200</v>
          </cell>
          <cell r="O1145" t="str">
            <v>Воронежхимсервис</v>
          </cell>
          <cell r="P1145">
            <v>100</v>
          </cell>
          <cell r="S1145">
            <v>10230.599999999999</v>
          </cell>
          <cell r="T1145" t="str">
            <v>ВМЗ КО</v>
          </cell>
        </row>
        <row r="1146">
          <cell r="B1146" t="str">
            <v>Прочие вспомогательные</v>
          </cell>
          <cell r="K1146">
            <v>1</v>
          </cell>
          <cell r="N1146">
            <v>72000</v>
          </cell>
          <cell r="O1146" t="str">
            <v>Титан-99</v>
          </cell>
          <cell r="P1146">
            <v>1</v>
          </cell>
          <cell r="S1146">
            <v>72215.999999999985</v>
          </cell>
          <cell r="T1146" t="str">
            <v>ВМЗ КО</v>
          </cell>
        </row>
        <row r="1147">
          <cell r="B1147" t="str">
            <v>Прочие вспомогательные</v>
          </cell>
          <cell r="K1147">
            <v>1</v>
          </cell>
          <cell r="N1147">
            <v>218000</v>
          </cell>
          <cell r="O1147" t="str">
            <v>Титан-99</v>
          </cell>
          <cell r="P1147">
            <v>1</v>
          </cell>
          <cell r="S1147">
            <v>218653.99999999997</v>
          </cell>
          <cell r="T1147" t="str">
            <v>ВМЗ КО</v>
          </cell>
        </row>
        <row r="1148">
          <cell r="B1148" t="str">
            <v>Прочие вспомогательные</v>
          </cell>
          <cell r="K1148">
            <v>2</v>
          </cell>
          <cell r="N1148">
            <v>310000</v>
          </cell>
          <cell r="O1148" t="str">
            <v>Титан-99</v>
          </cell>
          <cell r="P1148">
            <v>2</v>
          </cell>
          <cell r="S1148">
            <v>310929.99999999994</v>
          </cell>
          <cell r="T1148" t="str">
            <v>ВМЗ КО</v>
          </cell>
        </row>
        <row r="1149">
          <cell r="B1149" t="str">
            <v>Прочие вспомогательные</v>
          </cell>
          <cell r="K1149">
            <v>1</v>
          </cell>
          <cell r="N1149">
            <v>138000</v>
          </cell>
          <cell r="O1149" t="str">
            <v>Титан-99</v>
          </cell>
          <cell r="P1149">
            <v>1</v>
          </cell>
          <cell r="S1149">
            <v>138413.99999999997</v>
          </cell>
          <cell r="T1149" t="str">
            <v>ВМЗ КО</v>
          </cell>
        </row>
        <row r="1150">
          <cell r="B1150" t="str">
            <v>Прочие вспомогательные</v>
          </cell>
          <cell r="K1150">
            <v>0</v>
          </cell>
          <cell r="N1150">
            <v>0</v>
          </cell>
          <cell r="O1150" t="str">
            <v>ПАЗ</v>
          </cell>
          <cell r="P1150">
            <v>0</v>
          </cell>
          <cell r="S1150">
            <v>0</v>
          </cell>
          <cell r="T1150" t="str">
            <v>ВМЗ КО</v>
          </cell>
        </row>
        <row r="1151">
          <cell r="B1151" t="str">
            <v>Прочие вспомогательные</v>
          </cell>
          <cell r="K1151">
            <v>0</v>
          </cell>
          <cell r="N1151">
            <v>0</v>
          </cell>
          <cell r="O1151" t="str">
            <v>ПАЗ</v>
          </cell>
          <cell r="P1151">
            <v>0</v>
          </cell>
          <cell r="S1151">
            <v>0</v>
          </cell>
          <cell r="T1151" t="str">
            <v>ВМЗ КО</v>
          </cell>
        </row>
        <row r="1152">
          <cell r="B1152" t="str">
            <v>металлолом</v>
          </cell>
          <cell r="K1152">
            <v>15</v>
          </cell>
          <cell r="N1152">
            <v>16110</v>
          </cell>
          <cell r="O1152" t="str">
            <v>ЕвроОйл ООО</v>
          </cell>
          <cell r="P1152">
            <v>15</v>
          </cell>
          <cell r="S1152">
            <v>16110</v>
          </cell>
          <cell r="T1152" t="str">
            <v>ВМЗ КО</v>
          </cell>
        </row>
        <row r="1153">
          <cell r="B1153" t="str">
            <v>металлолом</v>
          </cell>
          <cell r="K1153">
            <v>15.574</v>
          </cell>
          <cell r="N1153">
            <v>10652.616</v>
          </cell>
          <cell r="O1153" t="str">
            <v>10 ГПЗ ОАО</v>
          </cell>
          <cell r="P1153">
            <v>15.574</v>
          </cell>
          <cell r="S1153">
            <v>10652.616</v>
          </cell>
          <cell r="T1153" t="str">
            <v>ВМЗ КО</v>
          </cell>
        </row>
        <row r="1154">
          <cell r="B1154" t="str">
            <v>металлолом</v>
          </cell>
          <cell r="K1154">
            <v>25</v>
          </cell>
          <cell r="N1154">
            <v>7500</v>
          </cell>
          <cell r="O1154" t="str">
            <v>Втормет ООО</v>
          </cell>
          <cell r="P1154">
            <v>25</v>
          </cell>
          <cell r="S1154">
            <v>7500</v>
          </cell>
          <cell r="T1154" t="str">
            <v>ВМЗ КО</v>
          </cell>
        </row>
        <row r="1155">
          <cell r="B1155" t="str">
            <v>металлолом</v>
          </cell>
          <cell r="K1155">
            <v>0</v>
          </cell>
          <cell r="N1155">
            <v>0</v>
          </cell>
          <cell r="O1155" t="str">
            <v>10 ГПЗ ОАО</v>
          </cell>
          <cell r="P1155">
            <v>0</v>
          </cell>
          <cell r="S1155">
            <v>0</v>
          </cell>
          <cell r="T1155" t="str">
            <v>ВМЗ КО</v>
          </cell>
        </row>
        <row r="1156">
          <cell r="B1156" t="str">
            <v>металлолом</v>
          </cell>
          <cell r="K1156">
            <v>0</v>
          </cell>
          <cell r="N1156">
            <v>0</v>
          </cell>
          <cell r="O1156" t="str">
            <v>10 ГПЗ ОАО</v>
          </cell>
          <cell r="P1156">
            <v>0</v>
          </cell>
          <cell r="S1156">
            <v>0</v>
          </cell>
          <cell r="T1156" t="str">
            <v>ВМЗ КО</v>
          </cell>
        </row>
        <row r="1157">
          <cell r="B1157" t="str">
            <v>металлолом</v>
          </cell>
          <cell r="K1157">
            <v>0</v>
          </cell>
          <cell r="N1157">
            <v>0</v>
          </cell>
          <cell r="O1157" t="str">
            <v>10 ГПЗ ОАО</v>
          </cell>
          <cell r="P1157">
            <v>0</v>
          </cell>
          <cell r="S1157">
            <v>0</v>
          </cell>
          <cell r="T1157" t="str">
            <v>ВМЗ КО</v>
          </cell>
        </row>
        <row r="1158">
          <cell r="B1158" t="str">
            <v>металлолом</v>
          </cell>
          <cell r="K1158">
            <v>60</v>
          </cell>
          <cell r="N1158">
            <v>144000</v>
          </cell>
          <cell r="O1158" t="str">
            <v>Арлан ТПА ЗАО</v>
          </cell>
          <cell r="P1158">
            <v>60</v>
          </cell>
          <cell r="S1158">
            <v>144000</v>
          </cell>
          <cell r="T1158" t="str">
            <v>ВМЗ КО</v>
          </cell>
        </row>
        <row r="1159">
          <cell r="B1159" t="str">
            <v>металлолом</v>
          </cell>
          <cell r="K1159">
            <v>1000</v>
          </cell>
          <cell r="N1159">
            <v>2076000</v>
          </cell>
          <cell r="O1159" t="str">
            <v>Арлан ТПА ЗАО</v>
          </cell>
          <cell r="P1159">
            <v>1000</v>
          </cell>
          <cell r="S1159">
            <v>2076000</v>
          </cell>
          <cell r="T1159" t="str">
            <v>ВМЗ КО</v>
          </cell>
        </row>
        <row r="1160">
          <cell r="B1160" t="str">
            <v>металлолом</v>
          </cell>
          <cell r="K1160">
            <v>0</v>
          </cell>
          <cell r="N1160">
            <v>0</v>
          </cell>
          <cell r="O1160" t="str">
            <v>Арлан ТПА ЗАО</v>
          </cell>
          <cell r="P1160">
            <v>0</v>
          </cell>
          <cell r="S1160">
            <v>0</v>
          </cell>
          <cell r="T1160" t="str">
            <v>ВМЗ КО</v>
          </cell>
        </row>
        <row r="1161">
          <cell r="B1161" t="str">
            <v>металлолом</v>
          </cell>
          <cell r="K1161">
            <v>0</v>
          </cell>
          <cell r="N1161">
            <v>0</v>
          </cell>
          <cell r="O1161" t="str">
            <v>Неизвестные поставщики</v>
          </cell>
          <cell r="P1161">
            <v>0</v>
          </cell>
          <cell r="S1161">
            <v>0</v>
          </cell>
          <cell r="T1161" t="str">
            <v>ВМЗ КО</v>
          </cell>
        </row>
        <row r="1162">
          <cell r="B1162" t="str">
            <v>металлолом</v>
          </cell>
          <cell r="K1162">
            <v>50</v>
          </cell>
          <cell r="N1162">
            <v>66000</v>
          </cell>
          <cell r="O1162" t="str">
            <v>НВМК ООО</v>
          </cell>
          <cell r="P1162">
            <v>50</v>
          </cell>
          <cell r="S1162">
            <v>66000</v>
          </cell>
          <cell r="T1162" t="str">
            <v>ВМЗ КО</v>
          </cell>
        </row>
        <row r="1163">
          <cell r="B1163" t="str">
            <v>металлолом</v>
          </cell>
          <cell r="K1163">
            <v>100</v>
          </cell>
          <cell r="N1163">
            <v>195000</v>
          </cell>
          <cell r="O1163" t="str">
            <v>Инэко ООО</v>
          </cell>
          <cell r="P1163">
            <v>100</v>
          </cell>
          <cell r="S1163">
            <v>195000</v>
          </cell>
          <cell r="T1163" t="str">
            <v>ВМЗ КО</v>
          </cell>
        </row>
        <row r="1164">
          <cell r="B1164" t="str">
            <v>металлолом</v>
          </cell>
          <cell r="K1164">
            <v>60</v>
          </cell>
          <cell r="N1164">
            <v>254520</v>
          </cell>
          <cell r="O1164" t="str">
            <v>Коламбия ООО</v>
          </cell>
          <cell r="P1164">
            <v>60</v>
          </cell>
          <cell r="S1164">
            <v>254520</v>
          </cell>
          <cell r="T1164" t="str">
            <v>ВМЗ КО</v>
          </cell>
        </row>
        <row r="1165">
          <cell r="B1165" t="str">
            <v>металлолом</v>
          </cell>
          <cell r="K1165">
            <v>0</v>
          </cell>
          <cell r="N1165">
            <v>0</v>
          </cell>
          <cell r="O1165" t="str">
            <v>ВСПКЗ ОАО</v>
          </cell>
          <cell r="P1165">
            <v>0</v>
          </cell>
          <cell r="S1165">
            <v>0</v>
          </cell>
          <cell r="T1165" t="str">
            <v>ВМЗ КО</v>
          </cell>
        </row>
        <row r="1166">
          <cell r="B1166" t="str">
            <v>металлолом</v>
          </cell>
          <cell r="K1166">
            <v>60</v>
          </cell>
          <cell r="N1166">
            <v>21600</v>
          </cell>
          <cell r="O1166" t="str">
            <v>10 ГПЗ ОАО</v>
          </cell>
          <cell r="P1166">
            <v>60</v>
          </cell>
          <cell r="S1166">
            <v>21600</v>
          </cell>
          <cell r="T1166" t="str">
            <v>ВМЗ КО</v>
          </cell>
        </row>
        <row r="1167">
          <cell r="B1167" t="str">
            <v>металлолом</v>
          </cell>
          <cell r="K1167">
            <v>45</v>
          </cell>
          <cell r="N1167">
            <v>48330</v>
          </cell>
          <cell r="O1167" t="str">
            <v>Втормет ООО</v>
          </cell>
          <cell r="P1167">
            <v>45</v>
          </cell>
          <cell r="S1167">
            <v>48330</v>
          </cell>
          <cell r="T1167" t="str">
            <v>ВМЗ КО</v>
          </cell>
        </row>
        <row r="1168">
          <cell r="B1168" t="str">
            <v>металлолом</v>
          </cell>
          <cell r="K1168">
            <v>0</v>
          </cell>
          <cell r="N1168">
            <v>0</v>
          </cell>
          <cell r="O1168" t="str">
            <v>Втормет ООО</v>
          </cell>
          <cell r="P1168">
            <v>0</v>
          </cell>
          <cell r="S1168">
            <v>0</v>
          </cell>
          <cell r="T1168" t="str">
            <v>ВМЗ КО</v>
          </cell>
        </row>
        <row r="1169">
          <cell r="B1169" t="str">
            <v>металлолом</v>
          </cell>
          <cell r="K1169">
            <v>150</v>
          </cell>
          <cell r="N1169">
            <v>262800</v>
          </cell>
          <cell r="O1169" t="str">
            <v>Втормет ООО</v>
          </cell>
          <cell r="P1169">
            <v>150</v>
          </cell>
          <cell r="S1169">
            <v>262800</v>
          </cell>
          <cell r="T1169" t="str">
            <v>ВМЗ КО</v>
          </cell>
        </row>
        <row r="1170">
          <cell r="B1170" t="str">
            <v>металлолом</v>
          </cell>
          <cell r="K1170">
            <v>17.728000000000002</v>
          </cell>
          <cell r="N1170">
            <v>497270.4</v>
          </cell>
          <cell r="O1170" t="str">
            <v>Втормет ООО</v>
          </cell>
          <cell r="P1170">
            <v>17.728000000000002</v>
          </cell>
          <cell r="S1170">
            <v>497270.4</v>
          </cell>
          <cell r="T1170" t="str">
            <v>ВМЗ КО</v>
          </cell>
        </row>
        <row r="1171">
          <cell r="B1171" t="str">
            <v>металлолом</v>
          </cell>
          <cell r="K1171">
            <v>30</v>
          </cell>
          <cell r="N1171">
            <v>49140</v>
          </cell>
          <cell r="O1171" t="str">
            <v>НВМК ООО</v>
          </cell>
          <cell r="P1171">
            <v>30</v>
          </cell>
          <cell r="S1171">
            <v>49140</v>
          </cell>
          <cell r="T1171" t="str">
            <v>ВМЗ КО</v>
          </cell>
        </row>
        <row r="1172">
          <cell r="B1172" t="str">
            <v>металлолом</v>
          </cell>
          <cell r="K1172">
            <v>500</v>
          </cell>
          <cell r="N1172">
            <v>837000</v>
          </cell>
          <cell r="O1172" t="str">
            <v>Втормет ООО</v>
          </cell>
          <cell r="P1172">
            <v>500</v>
          </cell>
          <cell r="S1172">
            <v>837000</v>
          </cell>
          <cell r="T1172" t="str">
            <v>ВМЗ КО</v>
          </cell>
        </row>
        <row r="1173">
          <cell r="B1173" t="str">
            <v>металлолом</v>
          </cell>
          <cell r="K1173">
            <v>300</v>
          </cell>
          <cell r="N1173">
            <v>576000</v>
          </cell>
          <cell r="O1173" t="str">
            <v>Втормет ООО</v>
          </cell>
          <cell r="P1173">
            <v>300</v>
          </cell>
          <cell r="S1173">
            <v>576000</v>
          </cell>
          <cell r="T1173" t="str">
            <v>ВМЗ КО</v>
          </cell>
        </row>
        <row r="1174">
          <cell r="B1174" t="str">
            <v>металлолом</v>
          </cell>
          <cell r="K1174">
            <v>0</v>
          </cell>
          <cell r="N1174">
            <v>0</v>
          </cell>
          <cell r="O1174" t="str">
            <v>Втормет ООО</v>
          </cell>
          <cell r="P1174">
            <v>0</v>
          </cell>
          <cell r="S1174">
            <v>0</v>
          </cell>
          <cell r="T1174" t="str">
            <v>ВМЗ КО</v>
          </cell>
        </row>
        <row r="1175">
          <cell r="B1175" t="str">
            <v>металлолом</v>
          </cell>
          <cell r="K1175">
            <v>0</v>
          </cell>
          <cell r="N1175">
            <v>0</v>
          </cell>
          <cell r="O1175" t="str">
            <v>Втормет ООО</v>
          </cell>
          <cell r="P1175">
            <v>0</v>
          </cell>
          <cell r="S1175">
            <v>0</v>
          </cell>
          <cell r="T1175" t="str">
            <v>ВМЗ КО</v>
          </cell>
        </row>
        <row r="1176">
          <cell r="B1176" t="str">
            <v>металлолом</v>
          </cell>
          <cell r="K1176">
            <v>0</v>
          </cell>
          <cell r="N1176">
            <v>0</v>
          </cell>
          <cell r="O1176" t="str">
            <v>Втормет ООО</v>
          </cell>
          <cell r="P1176">
            <v>0</v>
          </cell>
          <cell r="S1176">
            <v>0</v>
          </cell>
          <cell r="T1176" t="str">
            <v>ВМЗ КО</v>
          </cell>
        </row>
        <row r="1177">
          <cell r="B1177" t="str">
            <v>металлолом</v>
          </cell>
          <cell r="K1177">
            <v>150</v>
          </cell>
          <cell r="N1177">
            <v>292500</v>
          </cell>
          <cell r="O1177" t="str">
            <v>Втормет ООО</v>
          </cell>
          <cell r="P1177">
            <v>150</v>
          </cell>
          <cell r="S1177">
            <v>292500</v>
          </cell>
          <cell r="T1177" t="str">
            <v>ВМЗ КО</v>
          </cell>
        </row>
        <row r="1178">
          <cell r="B1178" t="str">
            <v>металлолом</v>
          </cell>
          <cell r="K1178">
            <v>150</v>
          </cell>
          <cell r="N1178">
            <v>201870</v>
          </cell>
          <cell r="O1178" t="str">
            <v>Втормет ООО</v>
          </cell>
          <cell r="P1178">
            <v>150</v>
          </cell>
          <cell r="S1178">
            <v>201870</v>
          </cell>
          <cell r="T1178" t="str">
            <v>ВМЗ КО</v>
          </cell>
        </row>
        <row r="1179">
          <cell r="B1179" t="str">
            <v>металлолом</v>
          </cell>
          <cell r="K1179">
            <v>20</v>
          </cell>
          <cell r="N1179">
            <v>27960</v>
          </cell>
          <cell r="O1179" t="str">
            <v>ВЗТДиН</v>
          </cell>
          <cell r="P1179">
            <v>20</v>
          </cell>
          <cell r="S1179">
            <v>27960</v>
          </cell>
          <cell r="T1179" t="str">
            <v>ВМЗ КО</v>
          </cell>
        </row>
        <row r="1180">
          <cell r="B1180" t="str">
            <v>металлолом</v>
          </cell>
          <cell r="K1180">
            <v>50</v>
          </cell>
          <cell r="N1180">
            <v>98700</v>
          </cell>
          <cell r="O1180" t="str">
            <v>Втормет ООО</v>
          </cell>
          <cell r="P1180">
            <v>50</v>
          </cell>
          <cell r="S1180">
            <v>98700</v>
          </cell>
          <cell r="T1180" t="str">
            <v>ВМЗ КО</v>
          </cell>
        </row>
        <row r="1181">
          <cell r="B1181" t="str">
            <v>металлолом</v>
          </cell>
          <cell r="K1181">
            <v>100</v>
          </cell>
          <cell r="N1181">
            <v>195000</v>
          </cell>
          <cell r="O1181" t="str">
            <v>ДОК Облпотребсоюз</v>
          </cell>
          <cell r="P1181">
            <v>100</v>
          </cell>
          <cell r="S1181">
            <v>195000</v>
          </cell>
          <cell r="T1181" t="str">
            <v>ВМЗ КО</v>
          </cell>
        </row>
        <row r="1182">
          <cell r="B1182" t="str">
            <v>металлолом</v>
          </cell>
          <cell r="K1182">
            <v>150</v>
          </cell>
          <cell r="N1182">
            <v>209700</v>
          </cell>
          <cell r="O1182" t="str">
            <v>Инэко ООО</v>
          </cell>
          <cell r="P1182">
            <v>150</v>
          </cell>
          <cell r="S1182">
            <v>209700</v>
          </cell>
          <cell r="T1182" t="str">
            <v>ВМЗ КО</v>
          </cell>
        </row>
        <row r="1183">
          <cell r="B1183" t="str">
            <v>металлолом</v>
          </cell>
          <cell r="K1183">
            <v>35</v>
          </cell>
          <cell r="N1183">
            <v>53550</v>
          </cell>
          <cell r="O1183" t="str">
            <v>НВМК ООО</v>
          </cell>
          <cell r="P1183">
            <v>35</v>
          </cell>
          <cell r="S1183">
            <v>53550</v>
          </cell>
          <cell r="T1183" t="str">
            <v>ВМЗ КО</v>
          </cell>
        </row>
        <row r="1184">
          <cell r="B1184" t="str">
            <v>металлолом</v>
          </cell>
          <cell r="K1184">
            <v>150</v>
          </cell>
          <cell r="N1184">
            <v>292500</v>
          </cell>
          <cell r="O1184" t="str">
            <v>Коламбия ООО</v>
          </cell>
          <cell r="P1184">
            <v>150</v>
          </cell>
          <cell r="S1184">
            <v>292500</v>
          </cell>
          <cell r="T1184" t="str">
            <v>ВМЗ КО</v>
          </cell>
        </row>
        <row r="1185">
          <cell r="B1185" t="str">
            <v>металлолом</v>
          </cell>
          <cell r="K1185">
            <v>75</v>
          </cell>
          <cell r="N1185">
            <v>104850</v>
          </cell>
          <cell r="O1185" t="str">
            <v>Коламбия ООО</v>
          </cell>
          <cell r="P1185">
            <v>75</v>
          </cell>
          <cell r="S1185">
            <v>104850</v>
          </cell>
          <cell r="T1185" t="str">
            <v>ВМЗ КО</v>
          </cell>
        </row>
        <row r="1186">
          <cell r="B1186" t="str">
            <v>металлолом</v>
          </cell>
          <cell r="K1186">
            <v>200</v>
          </cell>
          <cell r="N1186">
            <v>334800</v>
          </cell>
          <cell r="O1186" t="str">
            <v>Коламбия ООО</v>
          </cell>
          <cell r="P1186">
            <v>200</v>
          </cell>
          <cell r="S1186">
            <v>334800</v>
          </cell>
          <cell r="T1186" t="str">
            <v>ВМЗ КО</v>
          </cell>
        </row>
        <row r="1187">
          <cell r="B1187" t="str">
            <v>металлолом</v>
          </cell>
          <cell r="K1187">
            <v>200</v>
          </cell>
          <cell r="N1187">
            <v>384000</v>
          </cell>
          <cell r="O1187" t="str">
            <v>Коламбия ООО</v>
          </cell>
          <cell r="P1187">
            <v>200</v>
          </cell>
          <cell r="S1187">
            <v>384000</v>
          </cell>
          <cell r="T1187" t="str">
            <v>ВМЗ КО</v>
          </cell>
        </row>
        <row r="1188">
          <cell r="B1188" t="str">
            <v>металлолом</v>
          </cell>
          <cell r="K1188">
            <v>20.113</v>
          </cell>
          <cell r="N1188">
            <v>120557.322</v>
          </cell>
          <cell r="O1188" t="str">
            <v>Коламбия ООО</v>
          </cell>
          <cell r="P1188">
            <v>20.113</v>
          </cell>
          <cell r="S1188">
            <v>120557.322</v>
          </cell>
          <cell r="T1188" t="str">
            <v>ВМЗ КО</v>
          </cell>
        </row>
        <row r="1189">
          <cell r="B1189" t="str">
            <v>металлолом</v>
          </cell>
          <cell r="K1189">
            <v>0</v>
          </cell>
          <cell r="N1189">
            <v>0</v>
          </cell>
          <cell r="O1189" t="str">
            <v>Коламбия ООО</v>
          </cell>
          <cell r="P1189">
            <v>0</v>
          </cell>
          <cell r="S1189">
            <v>0</v>
          </cell>
          <cell r="T1189" t="str">
            <v>ВМЗ КО</v>
          </cell>
        </row>
        <row r="1190">
          <cell r="B1190" t="str">
            <v>металлолом</v>
          </cell>
          <cell r="K1190">
            <v>60</v>
          </cell>
          <cell r="N1190">
            <v>106920</v>
          </cell>
          <cell r="O1190" t="str">
            <v>Коламбия ООО</v>
          </cell>
          <cell r="P1190">
            <v>60</v>
          </cell>
          <cell r="S1190">
            <v>106920</v>
          </cell>
          <cell r="T1190" t="str">
            <v>ВМЗ КО</v>
          </cell>
        </row>
        <row r="1191">
          <cell r="B1191" t="str">
            <v>металлолом</v>
          </cell>
          <cell r="K1191">
            <v>60</v>
          </cell>
          <cell r="N1191">
            <v>106920</v>
          </cell>
          <cell r="O1191" t="str">
            <v>НВМК ООО</v>
          </cell>
          <cell r="P1191">
            <v>60</v>
          </cell>
          <cell r="S1191">
            <v>106920</v>
          </cell>
          <cell r="T1191" t="str">
            <v>ВМЗ КО</v>
          </cell>
        </row>
        <row r="1192">
          <cell r="B1192" t="str">
            <v>металлолом</v>
          </cell>
          <cell r="K1192">
            <v>35</v>
          </cell>
          <cell r="N1192">
            <v>10500</v>
          </cell>
          <cell r="O1192" t="str">
            <v>КЭМЗ</v>
          </cell>
          <cell r="P1192">
            <v>35</v>
          </cell>
          <cell r="S1192">
            <v>10500</v>
          </cell>
          <cell r="T1192" t="str">
            <v>ВМЗ КО</v>
          </cell>
        </row>
        <row r="1193">
          <cell r="B1193" t="str">
            <v>металлолом</v>
          </cell>
          <cell r="K1193">
            <v>400</v>
          </cell>
          <cell r="N1193">
            <v>669600</v>
          </cell>
          <cell r="O1193" t="str">
            <v>Эскорт-Телеком ООО</v>
          </cell>
          <cell r="P1193">
            <v>400</v>
          </cell>
          <cell r="S1193">
            <v>669600</v>
          </cell>
          <cell r="T1193" t="str">
            <v>ВМЗ КО</v>
          </cell>
        </row>
        <row r="1194">
          <cell r="B1194" t="str">
            <v>металлолом</v>
          </cell>
          <cell r="K1194">
            <v>50</v>
          </cell>
          <cell r="N1194">
            <v>88500</v>
          </cell>
          <cell r="O1194" t="str">
            <v>Спецбазис ООО</v>
          </cell>
          <cell r="P1194">
            <v>50</v>
          </cell>
          <cell r="S1194">
            <v>88500</v>
          </cell>
          <cell r="T1194" t="str">
            <v>ВМЗ КО</v>
          </cell>
        </row>
        <row r="1195">
          <cell r="B1195" t="str">
            <v>металлолом</v>
          </cell>
          <cell r="K1195">
            <v>560</v>
          </cell>
          <cell r="N1195">
            <v>840000</v>
          </cell>
          <cell r="O1195" t="str">
            <v>Маирцентр ЗАО ТПФ</v>
          </cell>
          <cell r="P1195">
            <v>560</v>
          </cell>
          <cell r="S1195">
            <v>840000</v>
          </cell>
          <cell r="T1195" t="str">
            <v>ВМЗ КО</v>
          </cell>
        </row>
        <row r="1196">
          <cell r="B1196" t="str">
            <v>металлолом</v>
          </cell>
          <cell r="K1196">
            <v>45</v>
          </cell>
          <cell r="N1196">
            <v>48330</v>
          </cell>
          <cell r="O1196" t="str">
            <v>Маирцентр ЗАО ТПФ</v>
          </cell>
          <cell r="P1196">
            <v>45</v>
          </cell>
          <cell r="S1196">
            <v>48330</v>
          </cell>
          <cell r="T1196" t="str">
            <v>ВМЗ КО</v>
          </cell>
        </row>
        <row r="1197">
          <cell r="B1197" t="str">
            <v>металлолом</v>
          </cell>
          <cell r="K1197">
            <v>1500</v>
          </cell>
          <cell r="N1197">
            <v>2925000</v>
          </cell>
          <cell r="O1197" t="str">
            <v>Маирцентр ЗАО ТПФ</v>
          </cell>
          <cell r="P1197">
            <v>1500</v>
          </cell>
          <cell r="S1197">
            <v>2925000</v>
          </cell>
          <cell r="T1197" t="str">
            <v>ВМЗ КО</v>
          </cell>
        </row>
        <row r="1198">
          <cell r="B1198" t="str">
            <v>металлолом</v>
          </cell>
          <cell r="K1198">
            <v>750</v>
          </cell>
          <cell r="N1198">
            <v>1440000</v>
          </cell>
          <cell r="O1198" t="str">
            <v>Маирцентр ЗАО ТПФ</v>
          </cell>
          <cell r="P1198">
            <v>750</v>
          </cell>
          <cell r="S1198">
            <v>1440000</v>
          </cell>
          <cell r="T1198" t="str">
            <v>ВМЗ КО</v>
          </cell>
        </row>
        <row r="1199">
          <cell r="B1199" t="str">
            <v>металлолом</v>
          </cell>
          <cell r="K1199">
            <v>35</v>
          </cell>
          <cell r="N1199">
            <v>37590</v>
          </cell>
          <cell r="O1199" t="str">
            <v>Спецбазис ООО</v>
          </cell>
          <cell r="P1199">
            <v>35</v>
          </cell>
          <cell r="S1199">
            <v>37590</v>
          </cell>
          <cell r="T1199" t="str">
            <v>ВМЗ КО</v>
          </cell>
        </row>
        <row r="1200">
          <cell r="B1200" t="str">
            <v>металлолом</v>
          </cell>
          <cell r="K1200">
            <v>20</v>
          </cell>
          <cell r="N1200">
            <v>21480</v>
          </cell>
          <cell r="O1200" t="str">
            <v>НВМК ООО</v>
          </cell>
          <cell r="P1200">
            <v>20</v>
          </cell>
          <cell r="S1200">
            <v>21480</v>
          </cell>
          <cell r="T1200" t="str">
            <v>ВМЗ КО</v>
          </cell>
        </row>
        <row r="1201">
          <cell r="B1201" t="str">
            <v>металлолом</v>
          </cell>
          <cell r="K1201">
            <v>60</v>
          </cell>
          <cell r="N1201">
            <v>21600</v>
          </cell>
          <cell r="O1201" t="str">
            <v>Мелкие  поставщики</v>
          </cell>
          <cell r="P1201">
            <v>60</v>
          </cell>
          <cell r="S1201">
            <v>21600</v>
          </cell>
          <cell r="T1201" t="str">
            <v>ВМЗ КО</v>
          </cell>
        </row>
        <row r="1202">
          <cell r="B1202" t="str">
            <v>металлолом</v>
          </cell>
          <cell r="K1202">
            <v>0</v>
          </cell>
          <cell r="N1202">
            <v>0</v>
          </cell>
          <cell r="O1202" t="str">
            <v>Мелкие  поставщики</v>
          </cell>
          <cell r="P1202">
            <v>0</v>
          </cell>
          <cell r="S1202">
            <v>0</v>
          </cell>
          <cell r="T1202" t="str">
            <v>ВМЗ КО</v>
          </cell>
        </row>
        <row r="1203">
          <cell r="B1203" t="str">
            <v>металлолом</v>
          </cell>
          <cell r="K1203">
            <v>300</v>
          </cell>
          <cell r="N1203">
            <v>576000</v>
          </cell>
          <cell r="O1203" t="str">
            <v>ДОК Облпотребсоюз</v>
          </cell>
          <cell r="P1203">
            <v>300</v>
          </cell>
          <cell r="S1203">
            <v>576000</v>
          </cell>
          <cell r="T1203" t="str">
            <v>ВМЗ КО</v>
          </cell>
        </row>
        <row r="1204">
          <cell r="B1204" t="str">
            <v>металлолом</v>
          </cell>
          <cell r="K1204">
            <v>0</v>
          </cell>
          <cell r="N1204">
            <v>0</v>
          </cell>
          <cell r="O1204" t="str">
            <v>Мелкие  поставщики</v>
          </cell>
          <cell r="P1204">
            <v>0</v>
          </cell>
          <cell r="S1204">
            <v>0</v>
          </cell>
          <cell r="T1204" t="str">
            <v>ВМЗ КО</v>
          </cell>
        </row>
        <row r="1205">
          <cell r="B1205" t="str">
            <v>металлолом</v>
          </cell>
          <cell r="K1205">
            <v>100</v>
          </cell>
          <cell r="N1205">
            <v>139800</v>
          </cell>
          <cell r="O1205" t="str">
            <v>Синдикат ООО</v>
          </cell>
          <cell r="P1205">
            <v>100</v>
          </cell>
          <cell r="S1205">
            <v>139800</v>
          </cell>
          <cell r="T1205" t="str">
            <v>ВМЗ КО</v>
          </cell>
        </row>
        <row r="1206">
          <cell r="B1206" t="str">
            <v>металлолом</v>
          </cell>
          <cell r="K1206">
            <v>800</v>
          </cell>
          <cell r="N1206">
            <v>1339200</v>
          </cell>
          <cell r="O1206" t="str">
            <v>Неизвестные поставщики</v>
          </cell>
          <cell r="P1206">
            <v>800</v>
          </cell>
          <cell r="S1206">
            <v>1339200</v>
          </cell>
          <cell r="T1206" t="str">
            <v>ВМЗ КО</v>
          </cell>
        </row>
        <row r="1207">
          <cell r="B1207" t="str">
            <v>металлолом</v>
          </cell>
          <cell r="K1207">
            <v>50</v>
          </cell>
          <cell r="N1207">
            <v>84600</v>
          </cell>
          <cell r="O1207" t="str">
            <v>Неизвестные поставщики</v>
          </cell>
          <cell r="P1207">
            <v>50</v>
          </cell>
          <cell r="S1207">
            <v>84600</v>
          </cell>
          <cell r="T1207" t="str">
            <v>ВМЗ КО</v>
          </cell>
        </row>
        <row r="1208">
          <cell r="B1208" t="str">
            <v>металлолом</v>
          </cell>
          <cell r="K1208">
            <v>0</v>
          </cell>
          <cell r="N1208">
            <v>0</v>
          </cell>
          <cell r="O1208" t="str">
            <v>Аврора-БиНиБ ООО</v>
          </cell>
          <cell r="P1208">
            <v>0</v>
          </cell>
          <cell r="S1208">
            <v>0</v>
          </cell>
          <cell r="T1208" t="str">
            <v>ВМЗ КО</v>
          </cell>
        </row>
        <row r="1209">
          <cell r="B1209" t="str">
            <v>металлолом</v>
          </cell>
          <cell r="K1209">
            <v>150</v>
          </cell>
          <cell r="N1209">
            <v>262800</v>
          </cell>
          <cell r="O1209" t="str">
            <v>НВМК ООО</v>
          </cell>
          <cell r="P1209">
            <v>150</v>
          </cell>
          <cell r="S1209">
            <v>262800</v>
          </cell>
          <cell r="T1209" t="str">
            <v>ВМЗ КО</v>
          </cell>
        </row>
        <row r="1210">
          <cell r="B1210" t="str">
            <v>металлолом</v>
          </cell>
          <cell r="K1210">
            <v>9.0549999999999997</v>
          </cell>
          <cell r="N1210">
            <v>38411.31</v>
          </cell>
          <cell r="O1210" t="str">
            <v>Метапласт З-д</v>
          </cell>
          <cell r="P1210">
            <v>9.0549999999999997</v>
          </cell>
          <cell r="S1210">
            <v>38411.31</v>
          </cell>
          <cell r="T1210" t="str">
            <v>ВМЗ КО</v>
          </cell>
        </row>
        <row r="1211">
          <cell r="B1211" t="str">
            <v>металлолом</v>
          </cell>
          <cell r="K1211">
            <v>300</v>
          </cell>
          <cell r="N1211">
            <v>502200</v>
          </cell>
          <cell r="O1211" t="str">
            <v>НВМК ООО</v>
          </cell>
          <cell r="P1211">
            <v>300</v>
          </cell>
          <cell r="S1211">
            <v>502200</v>
          </cell>
          <cell r="T1211" t="str">
            <v>ВМЗ КО</v>
          </cell>
        </row>
        <row r="1212">
          <cell r="B1212" t="str">
            <v>металлолом</v>
          </cell>
          <cell r="K1212">
            <v>25</v>
          </cell>
          <cell r="N1212">
            <v>38250</v>
          </cell>
          <cell r="O1212" t="str">
            <v>ОблВолгоВтормет ГУП</v>
          </cell>
          <cell r="P1212">
            <v>25</v>
          </cell>
          <cell r="S1212">
            <v>38250</v>
          </cell>
          <cell r="T1212" t="str">
            <v>ВМЗ КО</v>
          </cell>
        </row>
        <row r="1213">
          <cell r="B1213" t="str">
            <v>металлолом</v>
          </cell>
          <cell r="K1213">
            <v>100</v>
          </cell>
          <cell r="N1213">
            <v>139800</v>
          </cell>
          <cell r="O1213" t="str">
            <v>НВМК ООО</v>
          </cell>
          <cell r="P1213">
            <v>100</v>
          </cell>
          <cell r="S1213">
            <v>139800</v>
          </cell>
          <cell r="T1213" t="str">
            <v>ВМЗ КО</v>
          </cell>
        </row>
        <row r="1214">
          <cell r="B1214" t="str">
            <v>металлолом</v>
          </cell>
          <cell r="K1214">
            <v>275.05500000000001</v>
          </cell>
          <cell r="N1214">
            <v>660132</v>
          </cell>
          <cell r="O1214" t="str">
            <v>Неизвестные поставщики</v>
          </cell>
          <cell r="P1214">
            <v>275.05500000000001</v>
          </cell>
          <cell r="S1214">
            <v>660132</v>
          </cell>
          <cell r="T1214" t="str">
            <v>ВМЗ КО</v>
          </cell>
        </row>
        <row r="1215">
          <cell r="B1215" t="str">
            <v>металлолом</v>
          </cell>
          <cell r="K1215">
            <v>100</v>
          </cell>
          <cell r="N1215">
            <v>195000</v>
          </cell>
          <cell r="O1215" t="str">
            <v>НВМК ООО</v>
          </cell>
          <cell r="P1215">
            <v>100</v>
          </cell>
          <cell r="S1215">
            <v>195000</v>
          </cell>
          <cell r="T1215" t="str">
            <v>ВМЗ КО</v>
          </cell>
        </row>
        <row r="1216">
          <cell r="B1216" t="str">
            <v>металлолом</v>
          </cell>
          <cell r="K1216">
            <v>0</v>
          </cell>
          <cell r="N1216">
            <v>0</v>
          </cell>
          <cell r="O1216" t="str">
            <v>Лемекс-снаб ЗАО</v>
          </cell>
          <cell r="P1216">
            <v>0</v>
          </cell>
          <cell r="S1216">
            <v>0</v>
          </cell>
          <cell r="T1216" t="str">
            <v>ВМЗ КО</v>
          </cell>
        </row>
        <row r="1217">
          <cell r="B1217" t="str">
            <v>металлолом</v>
          </cell>
          <cell r="K1217">
            <v>180</v>
          </cell>
          <cell r="N1217">
            <v>64800</v>
          </cell>
          <cell r="O1217" t="str">
            <v>Неизвестные поставщики</v>
          </cell>
          <cell r="P1217">
            <v>180</v>
          </cell>
          <cell r="S1217">
            <v>64800</v>
          </cell>
          <cell r="T1217" t="str">
            <v>ВМЗ КО</v>
          </cell>
        </row>
        <row r="1218">
          <cell r="B1218" t="str">
            <v>металлолом</v>
          </cell>
          <cell r="K1218">
            <v>28.42</v>
          </cell>
          <cell r="N1218">
            <v>21826.560000000001</v>
          </cell>
          <cell r="O1218" t="str">
            <v>Неизвестные поставщики</v>
          </cell>
          <cell r="P1218">
            <v>28.42</v>
          </cell>
          <cell r="S1218">
            <v>21826.560000000001</v>
          </cell>
          <cell r="T1218" t="str">
            <v>ВМЗ КО</v>
          </cell>
        </row>
        <row r="1219">
          <cell r="B1219" t="str">
            <v>металлолом</v>
          </cell>
          <cell r="K1219">
            <v>35</v>
          </cell>
          <cell r="N1219">
            <v>53550</v>
          </cell>
          <cell r="O1219" t="str">
            <v>СитиРесурс ООО</v>
          </cell>
          <cell r="P1219">
            <v>35</v>
          </cell>
          <cell r="S1219">
            <v>53550</v>
          </cell>
          <cell r="T1219" t="str">
            <v>ВМЗ КО</v>
          </cell>
        </row>
        <row r="1220">
          <cell r="B1220" t="str">
            <v>металлолом</v>
          </cell>
          <cell r="K1220">
            <v>25</v>
          </cell>
          <cell r="N1220">
            <v>7500</v>
          </cell>
          <cell r="O1220" t="str">
            <v>ВолгоградЭлектротранс</v>
          </cell>
          <cell r="P1220">
            <v>25</v>
          </cell>
          <cell r="S1220">
            <v>7500</v>
          </cell>
          <cell r="T1220" t="str">
            <v>ВМЗ КО</v>
          </cell>
        </row>
        <row r="1221">
          <cell r="B1221" t="str">
            <v>металлолом</v>
          </cell>
          <cell r="K1221">
            <v>0</v>
          </cell>
          <cell r="N1221">
            <v>0</v>
          </cell>
          <cell r="O1221" t="str">
            <v>Неизвестные поставщики</v>
          </cell>
          <cell r="P1221">
            <v>0</v>
          </cell>
          <cell r="S1221">
            <v>0</v>
          </cell>
          <cell r="T1221" t="str">
            <v>ВМЗ КО</v>
          </cell>
        </row>
        <row r="1222">
          <cell r="B1222" t="str">
            <v>металлолом</v>
          </cell>
          <cell r="K1222">
            <v>18.436</v>
          </cell>
          <cell r="N1222">
            <v>85727.4</v>
          </cell>
          <cell r="O1222" t="str">
            <v>Неизвестные поставщики</v>
          </cell>
          <cell r="P1222">
            <v>18.436</v>
          </cell>
          <cell r="S1222">
            <v>85727.4</v>
          </cell>
          <cell r="T1222" t="str">
            <v>ВМЗ КО</v>
          </cell>
        </row>
        <row r="1223">
          <cell r="B1223" t="str">
            <v>металлолом</v>
          </cell>
          <cell r="K1223">
            <v>8.61</v>
          </cell>
          <cell r="N1223">
            <v>26294.94</v>
          </cell>
          <cell r="O1223" t="str">
            <v>Неизвестные поставщики</v>
          </cell>
          <cell r="P1223">
            <v>8.61</v>
          </cell>
          <cell r="S1223">
            <v>26294.94</v>
          </cell>
          <cell r="T1223" t="str">
            <v>ВМЗ КО</v>
          </cell>
        </row>
        <row r="1224">
          <cell r="B1224" t="str">
            <v>металлолом</v>
          </cell>
          <cell r="K1224">
            <v>20</v>
          </cell>
          <cell r="N1224">
            <v>30600</v>
          </cell>
          <cell r="O1224" t="str">
            <v>Станмет ООО</v>
          </cell>
          <cell r="P1224">
            <v>20</v>
          </cell>
          <cell r="S1224">
            <v>30600</v>
          </cell>
          <cell r="T1224" t="str">
            <v>ВМЗ КО</v>
          </cell>
        </row>
        <row r="1225">
          <cell r="B1225" t="str">
            <v>металлолом</v>
          </cell>
          <cell r="K1225">
            <v>0</v>
          </cell>
          <cell r="N1225">
            <v>0</v>
          </cell>
          <cell r="O1225" t="str">
            <v>Неизвестные поставщики</v>
          </cell>
          <cell r="P1225">
            <v>0</v>
          </cell>
          <cell r="S1225">
            <v>0</v>
          </cell>
          <cell r="T1225" t="str">
            <v>ВМЗ КО</v>
          </cell>
        </row>
        <row r="1226">
          <cell r="B1226" t="str">
            <v>металлолом</v>
          </cell>
          <cell r="K1226">
            <v>20</v>
          </cell>
          <cell r="N1226">
            <v>105600</v>
          </cell>
          <cell r="O1226" t="str">
            <v>Старт ООО</v>
          </cell>
          <cell r="P1226">
            <v>20</v>
          </cell>
          <cell r="S1226">
            <v>105600</v>
          </cell>
          <cell r="T1226" t="str">
            <v>ВМЗ КО</v>
          </cell>
        </row>
        <row r="1227">
          <cell r="B1227" t="str">
            <v>металлолом</v>
          </cell>
          <cell r="K1227">
            <v>0</v>
          </cell>
          <cell r="N1227">
            <v>0</v>
          </cell>
          <cell r="O1227" t="str">
            <v>Неизвестные поставщики</v>
          </cell>
          <cell r="P1227">
            <v>0</v>
          </cell>
          <cell r="S1227">
            <v>0</v>
          </cell>
          <cell r="T1227" t="str">
            <v>ВМЗ КО</v>
          </cell>
        </row>
        <row r="1228">
          <cell r="B1228" t="str">
            <v>металлолом</v>
          </cell>
          <cell r="K1228">
            <v>7.3179999999999996</v>
          </cell>
          <cell r="N1228">
            <v>165167.23072800002</v>
          </cell>
          <cell r="O1228" t="str">
            <v>Неизвестные поставщики</v>
          </cell>
          <cell r="P1228">
            <v>7.3179999999999996</v>
          </cell>
          <cell r="S1228">
            <v>165167.23072800002</v>
          </cell>
          <cell r="T1228" t="str">
            <v>ВМЗ КО</v>
          </cell>
        </row>
        <row r="1229">
          <cell r="B1229" t="str">
            <v>металлолом</v>
          </cell>
          <cell r="K1229">
            <v>0</v>
          </cell>
          <cell r="N1229">
            <v>0</v>
          </cell>
          <cell r="O1229" t="str">
            <v>Неизвестные поставщики</v>
          </cell>
          <cell r="P1229">
            <v>0</v>
          </cell>
          <cell r="S1229">
            <v>0</v>
          </cell>
          <cell r="T1229" t="str">
            <v>ВМЗ КО</v>
          </cell>
        </row>
        <row r="1230">
          <cell r="B1230" t="str">
            <v>металлолом</v>
          </cell>
          <cell r="K1230">
            <v>100</v>
          </cell>
          <cell r="N1230">
            <v>139800</v>
          </cell>
          <cell r="O1230" t="str">
            <v>Спецбазис ООО</v>
          </cell>
          <cell r="P1230">
            <v>100</v>
          </cell>
          <cell r="S1230">
            <v>139800</v>
          </cell>
          <cell r="T1230" t="str">
            <v>ВМЗ КО</v>
          </cell>
        </row>
        <row r="1231">
          <cell r="B1231" t="str">
            <v>металлолом</v>
          </cell>
          <cell r="K1231">
            <v>500</v>
          </cell>
          <cell r="N1231">
            <v>960000</v>
          </cell>
          <cell r="O1231" t="str">
            <v>Прохлада ЗАО</v>
          </cell>
          <cell r="P1231">
            <v>500</v>
          </cell>
          <cell r="S1231">
            <v>960000</v>
          </cell>
          <cell r="T1231" t="str">
            <v>ВМЗ КО</v>
          </cell>
        </row>
        <row r="1232">
          <cell r="B1232" t="str">
            <v>металлолом</v>
          </cell>
          <cell r="K1232">
            <v>0</v>
          </cell>
          <cell r="N1232">
            <v>0</v>
          </cell>
          <cell r="O1232" t="str">
            <v>Неизвестные поставщики</v>
          </cell>
          <cell r="P1232">
            <v>0</v>
          </cell>
          <cell r="S1232">
            <v>0</v>
          </cell>
          <cell r="T1232" t="str">
            <v>ВМЗ КО</v>
          </cell>
        </row>
        <row r="1233">
          <cell r="B1233" t="str">
            <v>металлолом</v>
          </cell>
          <cell r="K1233">
            <v>0</v>
          </cell>
          <cell r="N1233">
            <v>0</v>
          </cell>
          <cell r="O1233" t="str">
            <v>Неизвестные поставщики</v>
          </cell>
          <cell r="P1233">
            <v>0</v>
          </cell>
          <cell r="S1233">
            <v>0</v>
          </cell>
          <cell r="T1233" t="str">
            <v>ВМЗ КО</v>
          </cell>
        </row>
        <row r="1234">
          <cell r="B1234" t="str">
            <v>металлолом</v>
          </cell>
          <cell r="K1234">
            <v>387.84899999999993</v>
          </cell>
          <cell r="N1234">
            <v>805174.52399999986</v>
          </cell>
          <cell r="O1234" t="str">
            <v>УАЗ</v>
          </cell>
          <cell r="P1234">
            <v>387.84899999999993</v>
          </cell>
          <cell r="S1234">
            <v>805174.52399999986</v>
          </cell>
          <cell r="T1234" t="str">
            <v>ВМЗ КО</v>
          </cell>
        </row>
        <row r="1235">
          <cell r="B1235" t="str">
            <v>металлолом</v>
          </cell>
          <cell r="K1235">
            <v>30</v>
          </cell>
          <cell r="N1235">
            <v>55980</v>
          </cell>
          <cell r="O1235" t="str">
            <v>Втормет ООО</v>
          </cell>
          <cell r="P1235">
            <v>30</v>
          </cell>
          <cell r="S1235">
            <v>55980</v>
          </cell>
          <cell r="T1235" t="str">
            <v>ВМЗ КО</v>
          </cell>
        </row>
        <row r="1236">
          <cell r="B1236" t="str">
            <v>металлолом</v>
          </cell>
          <cell r="K1236">
            <v>64.962000000000003</v>
          </cell>
          <cell r="N1236">
            <v>117711.144</v>
          </cell>
          <cell r="O1236" t="str">
            <v>НВМК ООО</v>
          </cell>
          <cell r="P1236">
            <v>64.962000000000003</v>
          </cell>
          <cell r="S1236">
            <v>117711.144</v>
          </cell>
          <cell r="T1236" t="str">
            <v>ВМЗ КО</v>
          </cell>
        </row>
        <row r="1237">
          <cell r="B1237" t="str">
            <v>металлолом</v>
          </cell>
          <cell r="K1237">
            <v>0</v>
          </cell>
          <cell r="N1237">
            <v>0</v>
          </cell>
          <cell r="O1237" t="str">
            <v>Неизвестные поставщики</v>
          </cell>
          <cell r="P1237">
            <v>0</v>
          </cell>
          <cell r="S1237">
            <v>0</v>
          </cell>
          <cell r="T1237" t="str">
            <v>ВМЗ КО</v>
          </cell>
        </row>
        <row r="1238">
          <cell r="B1238" t="str">
            <v>металлолом</v>
          </cell>
          <cell r="K1238">
            <v>30</v>
          </cell>
          <cell r="N1238">
            <v>55980</v>
          </cell>
          <cell r="O1238" t="str">
            <v>Эскорт-Телеком ООО</v>
          </cell>
          <cell r="P1238">
            <v>30</v>
          </cell>
          <cell r="S1238">
            <v>55980</v>
          </cell>
          <cell r="T1238" t="str">
            <v>ВМЗ КО</v>
          </cell>
        </row>
        <row r="1239">
          <cell r="B1239" t="str">
            <v>металлолом</v>
          </cell>
          <cell r="K1239">
            <v>0</v>
          </cell>
          <cell r="N1239">
            <v>0</v>
          </cell>
          <cell r="O1239" t="str">
            <v>ОблВолгоВтормет ГУП</v>
          </cell>
          <cell r="P1239">
            <v>0</v>
          </cell>
          <cell r="S1239">
            <v>0</v>
          </cell>
          <cell r="T1239" t="str">
            <v>ВМЗ КО</v>
          </cell>
        </row>
        <row r="1240">
          <cell r="B1240" t="str">
            <v>металлолом</v>
          </cell>
          <cell r="K1240">
            <v>15</v>
          </cell>
          <cell r="N1240">
            <v>16110</v>
          </cell>
          <cell r="O1240" t="str">
            <v>ОблВолгоВтормет ГУП</v>
          </cell>
          <cell r="P1240">
            <v>15</v>
          </cell>
          <cell r="S1240">
            <v>16110</v>
          </cell>
          <cell r="T1240" t="str">
            <v>ВМЗ КО</v>
          </cell>
        </row>
        <row r="1241">
          <cell r="B1241" t="str">
            <v>металлолом</v>
          </cell>
          <cell r="K1241">
            <v>25</v>
          </cell>
          <cell r="N1241">
            <v>7500</v>
          </cell>
          <cell r="O1241" t="str">
            <v>ТехПромВолга ООО</v>
          </cell>
          <cell r="P1241">
            <v>25</v>
          </cell>
          <cell r="S1241">
            <v>7500</v>
          </cell>
          <cell r="T1241" t="str">
            <v>ВМЗ КО</v>
          </cell>
        </row>
        <row r="1242">
          <cell r="B1242" t="str">
            <v>металлолом</v>
          </cell>
          <cell r="K1242">
            <v>0</v>
          </cell>
          <cell r="N1242">
            <v>0</v>
          </cell>
          <cell r="O1242" t="str">
            <v>ОблВолгоВтормет ГУП</v>
          </cell>
          <cell r="P1242">
            <v>0</v>
          </cell>
          <cell r="S1242">
            <v>0</v>
          </cell>
          <cell r="T1242" t="str">
            <v>ВМЗ КО</v>
          </cell>
        </row>
        <row r="1243">
          <cell r="B1243" t="str">
            <v>металлолом</v>
          </cell>
          <cell r="K1243">
            <v>0</v>
          </cell>
          <cell r="N1243">
            <v>0</v>
          </cell>
          <cell r="O1243" t="str">
            <v>ОблВолгоВтормет ГУП</v>
          </cell>
          <cell r="P1243">
            <v>0</v>
          </cell>
          <cell r="S1243">
            <v>0</v>
          </cell>
          <cell r="T1243" t="str">
            <v>ВМЗ КО</v>
          </cell>
        </row>
        <row r="1244">
          <cell r="B1244" t="str">
            <v>металлолом</v>
          </cell>
          <cell r="K1244">
            <v>0</v>
          </cell>
          <cell r="N1244">
            <v>0</v>
          </cell>
          <cell r="O1244" t="str">
            <v>ОблВолгоВтормет ГУП</v>
          </cell>
          <cell r="P1244">
            <v>0</v>
          </cell>
          <cell r="S1244">
            <v>0</v>
          </cell>
          <cell r="T1244" t="str">
            <v>ВМЗ КО</v>
          </cell>
        </row>
        <row r="1245">
          <cell r="B1245" t="str">
            <v>металлолом</v>
          </cell>
          <cell r="K1245">
            <v>100</v>
          </cell>
          <cell r="N1245">
            <v>175200</v>
          </cell>
          <cell r="O1245" t="str">
            <v>ОблВолгоВтормет ГУП</v>
          </cell>
          <cell r="P1245">
            <v>100</v>
          </cell>
          <cell r="S1245">
            <v>175200</v>
          </cell>
          <cell r="T1245" t="str">
            <v>ВМЗ КО</v>
          </cell>
        </row>
        <row r="1246">
          <cell r="B1246" t="str">
            <v>металлолом</v>
          </cell>
          <cell r="K1246">
            <v>25</v>
          </cell>
          <cell r="N1246">
            <v>34950</v>
          </cell>
          <cell r="O1246" t="str">
            <v>ОблВолгоВтормет ГУП</v>
          </cell>
          <cell r="P1246">
            <v>25</v>
          </cell>
          <cell r="S1246">
            <v>34950</v>
          </cell>
          <cell r="T1246" t="str">
            <v>ВМЗ КО</v>
          </cell>
        </row>
        <row r="1247">
          <cell r="B1247" t="str">
            <v>металлолом</v>
          </cell>
          <cell r="K1247">
            <v>200</v>
          </cell>
          <cell r="N1247">
            <v>334800</v>
          </cell>
          <cell r="O1247" t="str">
            <v>ОблВолгоВтормет ГУП</v>
          </cell>
          <cell r="P1247">
            <v>200</v>
          </cell>
          <cell r="S1247">
            <v>334800</v>
          </cell>
          <cell r="T1247" t="str">
            <v>ВМЗ КО</v>
          </cell>
        </row>
        <row r="1248">
          <cell r="B1248" t="str">
            <v>металлолом</v>
          </cell>
          <cell r="K1248">
            <v>30</v>
          </cell>
          <cell r="N1248">
            <v>49140</v>
          </cell>
          <cell r="O1248" t="str">
            <v>ОблВолгоВтормет ГУП</v>
          </cell>
          <cell r="P1248">
            <v>30</v>
          </cell>
          <cell r="S1248">
            <v>49140</v>
          </cell>
          <cell r="T1248" t="str">
            <v>ВМЗ КО</v>
          </cell>
        </row>
        <row r="1249">
          <cell r="B1249" t="str">
            <v>металлолом</v>
          </cell>
          <cell r="K1249">
            <v>60</v>
          </cell>
          <cell r="N1249">
            <v>144000</v>
          </cell>
          <cell r="O1249" t="str">
            <v>Баррикады ПФС</v>
          </cell>
          <cell r="P1249">
            <v>60</v>
          </cell>
          <cell r="S1249">
            <v>144000</v>
          </cell>
          <cell r="T1249" t="str">
            <v>ВМЗ КО</v>
          </cell>
        </row>
        <row r="1250">
          <cell r="B1250" t="str">
            <v>металлолом</v>
          </cell>
          <cell r="K1250">
            <v>564.82600000000002</v>
          </cell>
          <cell r="N1250">
            <v>1412062.7406959999</v>
          </cell>
          <cell r="O1250" t="str">
            <v>Неизвестные поставщики</v>
          </cell>
          <cell r="P1250">
            <v>564.82600000000002</v>
          </cell>
          <cell r="S1250">
            <v>1412062.7406959999</v>
          </cell>
          <cell r="T1250" t="str">
            <v>ВМЗ КО</v>
          </cell>
        </row>
        <row r="1251">
          <cell r="B1251" t="str">
            <v>металлолом</v>
          </cell>
          <cell r="K1251">
            <v>70</v>
          </cell>
          <cell r="N1251">
            <v>97860</v>
          </cell>
          <cell r="O1251" t="str">
            <v>ТехПромВолга ООО</v>
          </cell>
          <cell r="P1251">
            <v>70</v>
          </cell>
          <cell r="S1251">
            <v>97860</v>
          </cell>
          <cell r="T1251" t="str">
            <v>ВМЗ КО</v>
          </cell>
        </row>
        <row r="1252">
          <cell r="B1252" t="str">
            <v>металлолом</v>
          </cell>
          <cell r="K1252">
            <v>0</v>
          </cell>
          <cell r="N1252">
            <v>0</v>
          </cell>
          <cell r="P1252">
            <v>0</v>
          </cell>
          <cell r="S1252">
            <v>0</v>
          </cell>
          <cell r="T1252" t="str">
            <v>ВМЗ КО</v>
          </cell>
        </row>
        <row r="1253">
          <cell r="B1253" t="str">
            <v>металлолом</v>
          </cell>
          <cell r="K1253">
            <v>30</v>
          </cell>
          <cell r="N1253">
            <v>49140</v>
          </cell>
          <cell r="O1253" t="str">
            <v>Эскорт-Телеком ООО</v>
          </cell>
          <cell r="P1253">
            <v>30</v>
          </cell>
          <cell r="S1253">
            <v>49140</v>
          </cell>
          <cell r="T1253" t="str">
            <v>ВМЗ КО</v>
          </cell>
        </row>
        <row r="1254">
          <cell r="B1254" t="str">
            <v>металлолом</v>
          </cell>
          <cell r="K1254">
            <v>200</v>
          </cell>
          <cell r="N1254">
            <v>390000</v>
          </cell>
          <cell r="O1254" t="str">
            <v>Фаэтон ООО</v>
          </cell>
          <cell r="P1254">
            <v>200</v>
          </cell>
          <cell r="S1254">
            <v>390000</v>
          </cell>
          <cell r="T1254" t="str">
            <v>ВМЗ КО</v>
          </cell>
        </row>
        <row r="1255">
          <cell r="B1255" t="str">
            <v>металлолом</v>
          </cell>
          <cell r="K1255">
            <v>124.91399999999999</v>
          </cell>
          <cell r="N1255">
            <v>222596.74799999996</v>
          </cell>
          <cell r="O1255" t="str">
            <v>Прохлада ЗАО</v>
          </cell>
          <cell r="P1255">
            <v>124.91399999999999</v>
          </cell>
          <cell r="S1255">
            <v>222596.74799999996</v>
          </cell>
          <cell r="T1255" t="str">
            <v>ВМЗ КО</v>
          </cell>
        </row>
        <row r="1256">
          <cell r="B1256" t="str">
            <v>металлолом</v>
          </cell>
          <cell r="K1256">
            <v>100</v>
          </cell>
          <cell r="N1256">
            <v>175200</v>
          </cell>
          <cell r="O1256" t="str">
            <v>Прохлада ОАО</v>
          </cell>
          <cell r="P1256">
            <v>100</v>
          </cell>
          <cell r="S1256">
            <v>175200</v>
          </cell>
          <cell r="T1256" t="str">
            <v>ВМЗ КО</v>
          </cell>
        </row>
        <row r="1257">
          <cell r="B1257" t="str">
            <v>металлолом</v>
          </cell>
          <cell r="K1257">
            <v>25</v>
          </cell>
          <cell r="N1257">
            <v>26850</v>
          </cell>
          <cell r="O1257" t="str">
            <v>Прохлада ОАО</v>
          </cell>
          <cell r="P1257">
            <v>25</v>
          </cell>
          <cell r="S1257">
            <v>26850</v>
          </cell>
          <cell r="T1257" t="str">
            <v>ВМЗ КО</v>
          </cell>
        </row>
        <row r="1258">
          <cell r="B1258" t="str">
            <v>металлолом</v>
          </cell>
          <cell r="K1258">
            <v>300</v>
          </cell>
          <cell r="N1258">
            <v>585000</v>
          </cell>
          <cell r="O1258" t="str">
            <v>Прохлада ОАО</v>
          </cell>
          <cell r="P1258">
            <v>300</v>
          </cell>
          <cell r="S1258">
            <v>585000</v>
          </cell>
          <cell r="T1258" t="str">
            <v>ВМЗ КО</v>
          </cell>
        </row>
        <row r="1259">
          <cell r="B1259" t="str">
            <v>металлолом</v>
          </cell>
          <cell r="K1259">
            <v>50</v>
          </cell>
          <cell r="N1259">
            <v>98700</v>
          </cell>
          <cell r="O1259" t="str">
            <v>Прохлада ОАО</v>
          </cell>
          <cell r="P1259">
            <v>50</v>
          </cell>
          <cell r="S1259">
            <v>98700</v>
          </cell>
          <cell r="T1259" t="str">
            <v>ВМЗ КО</v>
          </cell>
        </row>
        <row r="1260">
          <cell r="B1260" t="str">
            <v>металлолом</v>
          </cell>
          <cell r="K1260">
            <v>500</v>
          </cell>
          <cell r="N1260">
            <v>837000</v>
          </cell>
          <cell r="O1260" t="str">
            <v>Прохлада ОАО</v>
          </cell>
          <cell r="P1260">
            <v>500</v>
          </cell>
          <cell r="S1260">
            <v>837000</v>
          </cell>
          <cell r="T1260" t="str">
            <v>ВМЗ КО</v>
          </cell>
        </row>
        <row r="1261">
          <cell r="B1261" t="str">
            <v>металлолом</v>
          </cell>
          <cell r="K1261">
            <v>400</v>
          </cell>
          <cell r="N1261">
            <v>768000</v>
          </cell>
          <cell r="O1261" t="str">
            <v>Прохлада ОАО</v>
          </cell>
          <cell r="P1261">
            <v>400</v>
          </cell>
          <cell r="S1261">
            <v>768000</v>
          </cell>
          <cell r="T1261" t="str">
            <v>ВМЗ КО</v>
          </cell>
        </row>
        <row r="1262">
          <cell r="B1262" t="str">
            <v>металлолом</v>
          </cell>
          <cell r="K1262">
            <v>40</v>
          </cell>
          <cell r="N1262">
            <v>74640</v>
          </cell>
          <cell r="O1262" t="str">
            <v>Прохлада ОАО</v>
          </cell>
          <cell r="P1262">
            <v>40</v>
          </cell>
          <cell r="S1262">
            <v>74640</v>
          </cell>
          <cell r="T1262" t="str">
            <v>ВМЗ КО</v>
          </cell>
        </row>
        <row r="1263">
          <cell r="B1263" t="str">
            <v>металлолом</v>
          </cell>
          <cell r="K1263">
            <v>36.784999999999997</v>
          </cell>
          <cell r="N1263">
            <v>60253.829999999994</v>
          </cell>
          <cell r="O1263" t="str">
            <v>Прохлада ОАО</v>
          </cell>
          <cell r="P1263">
            <v>36.784999999999997</v>
          </cell>
          <cell r="S1263">
            <v>60253.829999999994</v>
          </cell>
          <cell r="T1263" t="str">
            <v>ВМЗ КО</v>
          </cell>
        </row>
        <row r="1264">
          <cell r="B1264" t="str">
            <v>металлолом</v>
          </cell>
          <cell r="K1264">
            <v>0</v>
          </cell>
          <cell r="N1264">
            <v>0</v>
          </cell>
          <cell r="O1264" t="str">
            <v>Себряковский МЗ</v>
          </cell>
          <cell r="P1264">
            <v>0</v>
          </cell>
          <cell r="S1264">
            <v>0</v>
          </cell>
          <cell r="T1264" t="str">
            <v>ВМЗ КО</v>
          </cell>
        </row>
        <row r="1265">
          <cell r="B1265" t="str">
            <v>металлолом</v>
          </cell>
          <cell r="K1265">
            <v>200</v>
          </cell>
          <cell r="N1265">
            <v>390000</v>
          </cell>
          <cell r="O1265" t="str">
            <v>СимбирскРесурс</v>
          </cell>
          <cell r="P1265">
            <v>200</v>
          </cell>
          <cell r="S1265">
            <v>390000</v>
          </cell>
          <cell r="T1265" t="str">
            <v>ВМЗ КО</v>
          </cell>
        </row>
        <row r="1266">
          <cell r="B1266" t="str">
            <v>металлолом</v>
          </cell>
          <cell r="K1266">
            <v>100</v>
          </cell>
          <cell r="N1266">
            <v>175200</v>
          </cell>
          <cell r="O1266" t="str">
            <v>ТехПромВолга ООО</v>
          </cell>
          <cell r="P1266">
            <v>100</v>
          </cell>
          <cell r="S1266">
            <v>175200</v>
          </cell>
          <cell r="T1266" t="str">
            <v>ВМЗ КО</v>
          </cell>
        </row>
        <row r="1267">
          <cell r="B1267" t="str">
            <v>металлолом</v>
          </cell>
          <cell r="K1267">
            <v>0</v>
          </cell>
          <cell r="N1267">
            <v>0</v>
          </cell>
          <cell r="P1267">
            <v>0</v>
          </cell>
          <cell r="S1267">
            <v>0</v>
          </cell>
          <cell r="T1267" t="str">
            <v>ВМЗ КО</v>
          </cell>
        </row>
        <row r="1268">
          <cell r="B1268" t="str">
            <v>металлолом</v>
          </cell>
          <cell r="K1268">
            <v>50</v>
          </cell>
          <cell r="N1268">
            <v>66000</v>
          </cell>
          <cell r="O1268" t="str">
            <v>СитиРесурс ООО</v>
          </cell>
          <cell r="P1268">
            <v>50</v>
          </cell>
          <cell r="S1268">
            <v>66000</v>
          </cell>
          <cell r="T1268" t="str">
            <v>ВМЗ КО</v>
          </cell>
        </row>
        <row r="1269">
          <cell r="B1269" t="str">
            <v>металлолом</v>
          </cell>
          <cell r="K1269">
            <v>0</v>
          </cell>
          <cell r="N1269">
            <v>0</v>
          </cell>
          <cell r="P1269">
            <v>0</v>
          </cell>
          <cell r="S1269">
            <v>0</v>
          </cell>
          <cell r="T1269" t="str">
            <v>ВМЗ КО</v>
          </cell>
        </row>
        <row r="1270">
          <cell r="B1270" t="str">
            <v>металлолом</v>
          </cell>
          <cell r="K1270">
            <v>150</v>
          </cell>
          <cell r="N1270">
            <v>292500</v>
          </cell>
          <cell r="O1270" t="str">
            <v>ТехПромВолга ООО</v>
          </cell>
          <cell r="P1270">
            <v>150</v>
          </cell>
          <cell r="S1270">
            <v>292500</v>
          </cell>
          <cell r="T1270" t="str">
            <v>ВМЗ КО</v>
          </cell>
        </row>
        <row r="1271">
          <cell r="B1271" t="str">
            <v>металлолом</v>
          </cell>
          <cell r="K1271">
            <v>100</v>
          </cell>
          <cell r="N1271">
            <v>192000</v>
          </cell>
          <cell r="O1271" t="str">
            <v>ТехПромВолга ООО</v>
          </cell>
          <cell r="P1271">
            <v>100</v>
          </cell>
          <cell r="S1271">
            <v>192000</v>
          </cell>
          <cell r="T1271" t="str">
            <v>ВМЗ КО</v>
          </cell>
        </row>
        <row r="1272">
          <cell r="B1272" t="str">
            <v>металлолом</v>
          </cell>
          <cell r="K1272">
            <v>100</v>
          </cell>
          <cell r="N1272">
            <v>157800</v>
          </cell>
          <cell r="O1272" t="str">
            <v>Эскорт-Телеком ООО</v>
          </cell>
          <cell r="P1272">
            <v>100</v>
          </cell>
          <cell r="S1272">
            <v>157800</v>
          </cell>
          <cell r="T1272" t="str">
            <v>ВМЗ КО</v>
          </cell>
        </row>
        <row r="1273">
          <cell r="B1273" t="str">
            <v>металлолом</v>
          </cell>
          <cell r="K1273">
            <v>135</v>
          </cell>
          <cell r="N1273">
            <v>206550</v>
          </cell>
          <cell r="O1273" t="str">
            <v>Эскорт-Телеком ООО</v>
          </cell>
          <cell r="P1273">
            <v>135</v>
          </cell>
          <cell r="S1273">
            <v>206550</v>
          </cell>
          <cell r="T1273" t="str">
            <v>ВМЗ КО</v>
          </cell>
        </row>
        <row r="1274">
          <cell r="B1274" t="str">
            <v>металлолом</v>
          </cell>
          <cell r="K1274">
            <v>150</v>
          </cell>
          <cell r="N1274">
            <v>262800</v>
          </cell>
          <cell r="O1274" t="str">
            <v>Эскорт-Телеком ООО</v>
          </cell>
          <cell r="P1274">
            <v>150</v>
          </cell>
          <cell r="S1274">
            <v>262800</v>
          </cell>
          <cell r="T1274" t="str">
            <v>ВМЗ КО</v>
          </cell>
        </row>
        <row r="1275">
          <cell r="B1275" t="str">
            <v>металлолом</v>
          </cell>
          <cell r="K1275">
            <v>9.0969999999999995</v>
          </cell>
          <cell r="N1275">
            <v>9770.1779999999999</v>
          </cell>
          <cell r="O1275" t="str">
            <v>Эскорт-Телеком ООО</v>
          </cell>
          <cell r="P1275">
            <v>9.0969999999999995</v>
          </cell>
          <cell r="S1275">
            <v>9770.1779999999999</v>
          </cell>
          <cell r="T1275" t="str">
            <v>ВМЗ КО</v>
          </cell>
        </row>
        <row r="1276">
          <cell r="B1276" t="str">
            <v>металлолом</v>
          </cell>
          <cell r="K1276">
            <v>250</v>
          </cell>
          <cell r="N1276">
            <v>487500</v>
          </cell>
          <cell r="O1276" t="str">
            <v>Эскорт-Телеком ООО</v>
          </cell>
          <cell r="P1276">
            <v>250</v>
          </cell>
          <cell r="S1276">
            <v>487500</v>
          </cell>
          <cell r="T1276" t="str">
            <v>ВМЗ КО</v>
          </cell>
        </row>
        <row r="1277">
          <cell r="B1277" t="str">
            <v>металлолом</v>
          </cell>
          <cell r="K1277">
            <v>0</v>
          </cell>
          <cell r="N1277">
            <v>0</v>
          </cell>
          <cell r="P1277">
            <v>0</v>
          </cell>
          <cell r="S1277">
            <v>0</v>
          </cell>
          <cell r="T1277" t="str">
            <v>ВМЗ КО</v>
          </cell>
        </row>
        <row r="1278">
          <cell r="B1278" t="str">
            <v>металлолом</v>
          </cell>
          <cell r="K1278">
            <v>150</v>
          </cell>
          <cell r="N1278">
            <v>288000</v>
          </cell>
          <cell r="O1278" t="str">
            <v>Эскорт-Телеком ООО</v>
          </cell>
          <cell r="P1278">
            <v>150</v>
          </cell>
          <cell r="S1278">
            <v>288000</v>
          </cell>
          <cell r="T1278" t="str">
            <v>ВМЗ КО</v>
          </cell>
        </row>
        <row r="1279">
          <cell r="B1279" t="str">
            <v>металлолом</v>
          </cell>
          <cell r="K1279">
            <v>400</v>
          </cell>
          <cell r="N1279">
            <v>528000</v>
          </cell>
          <cell r="O1279" t="str">
            <v>Эскорт-Телеком ООО</v>
          </cell>
          <cell r="P1279">
            <v>400</v>
          </cell>
          <cell r="S1279">
            <v>528000</v>
          </cell>
          <cell r="T1279" t="str">
            <v>ВМЗ КО</v>
          </cell>
        </row>
        <row r="1280">
          <cell r="B1280" t="str">
            <v>металлолом</v>
          </cell>
          <cell r="K1280">
            <v>50</v>
          </cell>
          <cell r="N1280">
            <v>69900</v>
          </cell>
          <cell r="O1280" t="str">
            <v>Эскорт-Телеком ООО</v>
          </cell>
          <cell r="P1280">
            <v>50</v>
          </cell>
          <cell r="S1280">
            <v>69900</v>
          </cell>
          <cell r="T1280" t="str">
            <v>ВМЗ КО</v>
          </cell>
        </row>
        <row r="1281">
          <cell r="B1281" t="str">
            <v>металлолом</v>
          </cell>
          <cell r="K1281">
            <v>200</v>
          </cell>
          <cell r="N1281">
            <v>384000</v>
          </cell>
          <cell r="O1281" t="str">
            <v>ЮЧС ООО</v>
          </cell>
          <cell r="P1281">
            <v>200</v>
          </cell>
          <cell r="S1281">
            <v>384000</v>
          </cell>
          <cell r="T1281" t="str">
            <v>ВМЗ КО</v>
          </cell>
        </row>
        <row r="1282">
          <cell r="B1282" t="str">
            <v>металлолом</v>
          </cell>
          <cell r="K1282">
            <v>800</v>
          </cell>
          <cell r="N1282">
            <v>1560000</v>
          </cell>
          <cell r="O1282" t="str">
            <v>Прохлада ЗАО</v>
          </cell>
          <cell r="P1282">
            <v>800</v>
          </cell>
          <cell r="S1282">
            <v>1560000</v>
          </cell>
          <cell r="T1282" t="str">
            <v>ВМЗ КО</v>
          </cell>
        </row>
        <row r="1283">
          <cell r="B1283" t="str">
            <v>металлолом</v>
          </cell>
          <cell r="K1283">
            <v>665.67100000000005</v>
          </cell>
          <cell r="N1283">
            <v>199701.30000000002</v>
          </cell>
          <cell r="O1283" t="str">
            <v>Неизвестные поставщики</v>
          </cell>
          <cell r="P1283">
            <v>665.67100000000005</v>
          </cell>
          <cell r="S1283">
            <v>199701.30000000002</v>
          </cell>
          <cell r="T1283" t="str">
            <v>ВМЗ КО</v>
          </cell>
        </row>
        <row r="1284">
          <cell r="B1284" t="str">
            <v>металлолом</v>
          </cell>
          <cell r="K1284">
            <v>250</v>
          </cell>
          <cell r="N1284">
            <v>438000</v>
          </cell>
          <cell r="O1284" t="str">
            <v>Спецбазис ООО</v>
          </cell>
          <cell r="P1284">
            <v>250</v>
          </cell>
          <cell r="S1284">
            <v>438000</v>
          </cell>
          <cell r="T1284" t="str">
            <v>ВМЗ КО</v>
          </cell>
        </row>
        <row r="1285">
          <cell r="B1285" t="str">
            <v>металлолом</v>
          </cell>
          <cell r="K1285">
            <v>0</v>
          </cell>
          <cell r="N1285">
            <v>0</v>
          </cell>
          <cell r="P1285">
            <v>0</v>
          </cell>
          <cell r="S1285">
            <v>0</v>
          </cell>
          <cell r="T1285" t="str">
            <v>ВМЗ КО</v>
          </cell>
        </row>
        <row r="1286">
          <cell r="B1286" t="str">
            <v>металлолом</v>
          </cell>
          <cell r="K1286">
            <v>65</v>
          </cell>
          <cell r="N1286">
            <v>1249560</v>
          </cell>
          <cell r="O1286" t="str">
            <v>ИмпексКабмет ООО</v>
          </cell>
          <cell r="P1286">
            <v>65</v>
          </cell>
          <cell r="S1286">
            <v>1249560</v>
          </cell>
          <cell r="T1286" t="str">
            <v>ВМЗ КО</v>
          </cell>
        </row>
        <row r="1287">
          <cell r="B1287" t="str">
            <v>металлолом</v>
          </cell>
          <cell r="K1287">
            <v>92.200999999999993</v>
          </cell>
          <cell r="N1287">
            <v>1772472.024</v>
          </cell>
          <cell r="O1287" t="str">
            <v>Интерсфера-Холдинг</v>
          </cell>
          <cell r="P1287">
            <v>92.200999999999993</v>
          </cell>
          <cell r="S1287">
            <v>1772472.024</v>
          </cell>
          <cell r="T1287" t="str">
            <v>ВМЗ КО</v>
          </cell>
        </row>
        <row r="1288">
          <cell r="B1288" t="str">
            <v>металлолом</v>
          </cell>
          <cell r="K1288">
            <v>75</v>
          </cell>
          <cell r="N1288">
            <v>118350</v>
          </cell>
          <cell r="O1288" t="str">
            <v>НВМК ООО</v>
          </cell>
          <cell r="P1288">
            <v>75</v>
          </cell>
          <cell r="S1288">
            <v>118350</v>
          </cell>
          <cell r="T1288" t="str">
            <v>ВМЗ КО</v>
          </cell>
        </row>
        <row r="1289">
          <cell r="B1289" t="str">
            <v>металлолом</v>
          </cell>
          <cell r="K1289">
            <v>75</v>
          </cell>
          <cell r="N1289">
            <v>118350</v>
          </cell>
          <cell r="O1289" t="str">
            <v>ОблВолгоВтормет ГУП</v>
          </cell>
          <cell r="P1289">
            <v>75</v>
          </cell>
          <cell r="S1289">
            <v>118350</v>
          </cell>
          <cell r="T1289" t="str">
            <v>ВМЗ КО</v>
          </cell>
        </row>
        <row r="1290">
          <cell r="B1290" t="str">
            <v>металлолом</v>
          </cell>
          <cell r="K1290">
            <v>0</v>
          </cell>
          <cell r="N1290">
            <v>0</v>
          </cell>
          <cell r="P1290">
            <v>0</v>
          </cell>
          <cell r="S1290">
            <v>0</v>
          </cell>
          <cell r="T1290" t="str">
            <v>ВМЗ КО</v>
          </cell>
        </row>
        <row r="1291">
          <cell r="B1291" t="str">
            <v>металлолом</v>
          </cell>
          <cell r="K1291">
            <v>37.648000000000003</v>
          </cell>
          <cell r="N1291">
            <v>198781.44000000003</v>
          </cell>
          <cell r="O1291" t="str">
            <v>Неизвестные поставщики</v>
          </cell>
          <cell r="P1291">
            <v>37.648000000000003</v>
          </cell>
          <cell r="S1291">
            <v>198781.44000000003</v>
          </cell>
          <cell r="T1291" t="str">
            <v>ВМЗ КО</v>
          </cell>
        </row>
        <row r="1292">
          <cell r="B1292" t="str">
            <v>металлолом</v>
          </cell>
          <cell r="K1292">
            <v>0</v>
          </cell>
          <cell r="N1292">
            <v>0</v>
          </cell>
          <cell r="P1292">
            <v>0</v>
          </cell>
          <cell r="S1292">
            <v>0</v>
          </cell>
          <cell r="T1292" t="str">
            <v>ВМЗ КО</v>
          </cell>
        </row>
        <row r="1293">
          <cell r="B1293" t="str">
            <v>металлолом</v>
          </cell>
          <cell r="K1293">
            <v>42.444000000000003</v>
          </cell>
          <cell r="N1293">
            <v>62392.68</v>
          </cell>
          <cell r="O1293" t="str">
            <v>Неизвестные поставщики</v>
          </cell>
          <cell r="P1293">
            <v>42.444000000000003</v>
          </cell>
          <cell r="S1293">
            <v>62392.68</v>
          </cell>
          <cell r="T1293" t="str">
            <v>ВМЗ КО</v>
          </cell>
        </row>
        <row r="1294">
          <cell r="B1294" t="str">
            <v>металлолом</v>
          </cell>
          <cell r="K1294">
            <v>0</v>
          </cell>
          <cell r="N1294">
            <v>0</v>
          </cell>
          <cell r="P1294">
            <v>0</v>
          </cell>
          <cell r="S1294">
            <v>0</v>
          </cell>
          <cell r="T1294" t="str">
            <v>ВМЗ КО</v>
          </cell>
        </row>
      </sheetData>
      <sheetData sheetId="11" refreshError="1">
        <row r="12">
          <cell r="B12" t="str">
            <v>10 ГПЗ</v>
          </cell>
          <cell r="C12" t="str">
            <v>Металлопрокат</v>
          </cell>
          <cell r="G12">
            <v>-1385610.99</v>
          </cell>
          <cell r="N12">
            <v>550000</v>
          </cell>
          <cell r="R12">
            <v>835611</v>
          </cell>
          <cell r="W12">
            <v>1000000</v>
          </cell>
          <cell r="AH12">
            <v>32253</v>
          </cell>
          <cell r="AX12">
            <v>0</v>
          </cell>
          <cell r="AY12">
            <v>1032253.01</v>
          </cell>
          <cell r="AZ12">
            <v>1224925.2700000003</v>
          </cell>
        </row>
        <row r="13">
          <cell r="B13" t="str">
            <v>Barton Business LLC</v>
          </cell>
          <cell r="C13" t="str">
            <v>Металлопрокат</v>
          </cell>
          <cell r="G13">
            <v>-2606.66</v>
          </cell>
          <cell r="AH13">
            <v>0</v>
          </cell>
          <cell r="AX13">
            <v>0</v>
          </cell>
          <cell r="AY13">
            <v>0</v>
          </cell>
          <cell r="AZ13">
            <v>0</v>
          </cell>
        </row>
        <row r="14">
          <cell r="B14" t="str">
            <v>Deltasteel S.A.</v>
          </cell>
          <cell r="C14" t="str">
            <v>Металлопрокат</v>
          </cell>
          <cell r="G14">
            <v>2031793.23</v>
          </cell>
          <cell r="AH14">
            <v>0</v>
          </cell>
          <cell r="AX14">
            <v>0</v>
          </cell>
          <cell r="AY14">
            <v>0</v>
          </cell>
          <cell r="AZ14">
            <v>0</v>
          </cell>
        </row>
        <row r="15">
          <cell r="B15" t="str">
            <v>Mohammad Ali Rahmani</v>
          </cell>
          <cell r="C15" t="str">
            <v>Металлопрокат</v>
          </cell>
          <cell r="G15">
            <v>-1666229.21</v>
          </cell>
          <cell r="N15">
            <v>900000</v>
          </cell>
          <cell r="Z15">
            <v>766229</v>
          </cell>
          <cell r="AH15">
            <v>0</v>
          </cell>
          <cell r="AX15">
            <v>0</v>
          </cell>
          <cell r="AY15">
            <v>0</v>
          </cell>
          <cell r="AZ15">
            <v>0</v>
          </cell>
        </row>
        <row r="16">
          <cell r="B16" t="str">
            <v>Авиаагрегат</v>
          </cell>
          <cell r="C16" t="str">
            <v>Металлопрокат</v>
          </cell>
          <cell r="G16">
            <v>25162.25</v>
          </cell>
          <cell r="AH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B17" t="str">
            <v>Автокомплект ООО</v>
          </cell>
          <cell r="C17" t="str">
            <v>Металлопрокат</v>
          </cell>
          <cell r="G17">
            <v>-305392</v>
          </cell>
          <cell r="J17">
            <v>190076.5</v>
          </cell>
          <cell r="AH17">
            <v>0</v>
          </cell>
          <cell r="AX17">
            <v>0</v>
          </cell>
          <cell r="AY17">
            <v>0</v>
          </cell>
          <cell r="AZ17">
            <v>0</v>
          </cell>
        </row>
        <row r="18">
          <cell r="B18" t="str">
            <v>Автопромсервис</v>
          </cell>
          <cell r="C18" t="str">
            <v>Металлопрокат</v>
          </cell>
          <cell r="G18">
            <v>11015.88</v>
          </cell>
          <cell r="AH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B19" t="str">
            <v>Авторезерв</v>
          </cell>
          <cell r="C19" t="str">
            <v>Металлопрокат</v>
          </cell>
          <cell r="G19">
            <v>139358.04</v>
          </cell>
          <cell r="AH19">
            <v>0</v>
          </cell>
          <cell r="AX19">
            <v>0</v>
          </cell>
          <cell r="AY19">
            <v>0</v>
          </cell>
          <cell r="AZ19">
            <v>0</v>
          </cell>
        </row>
        <row r="20">
          <cell r="B20" t="str">
            <v>Агропромспецкомплект</v>
          </cell>
          <cell r="C20" t="str">
            <v>Металлопрокат</v>
          </cell>
          <cell r="G20">
            <v>-326536.06</v>
          </cell>
          <cell r="AH20">
            <v>0</v>
          </cell>
          <cell r="AX20">
            <v>0</v>
          </cell>
          <cell r="AY20">
            <v>0</v>
          </cell>
          <cell r="AZ20">
            <v>0</v>
          </cell>
        </row>
        <row r="21">
          <cell r="B21" t="str">
            <v>Агропромстройобеспечение</v>
          </cell>
          <cell r="C21" t="str">
            <v>Металлопрокат</v>
          </cell>
          <cell r="G21">
            <v>85740</v>
          </cell>
          <cell r="AH21">
            <v>0</v>
          </cell>
          <cell r="AX21">
            <v>85740</v>
          </cell>
          <cell r="AY21">
            <v>0</v>
          </cell>
          <cell r="AZ21">
            <v>0</v>
          </cell>
        </row>
        <row r="22">
          <cell r="B22" t="str">
            <v>Агропромцентр</v>
          </cell>
          <cell r="C22" t="str">
            <v>Металлопрокат</v>
          </cell>
          <cell r="G22">
            <v>59261.5</v>
          </cell>
          <cell r="AA22">
            <v>12899</v>
          </cell>
          <cell r="AH22">
            <v>583125.1</v>
          </cell>
          <cell r="AX22">
            <v>59261.509405367142</v>
          </cell>
          <cell r="AY22">
            <v>596023.59459463286</v>
          </cell>
          <cell r="AZ22">
            <v>0</v>
          </cell>
        </row>
        <row r="23">
          <cell r="B23" t="str">
            <v>Адвиз</v>
          </cell>
          <cell r="C23" t="str">
            <v>Металлопрокат</v>
          </cell>
          <cell r="G23">
            <v>1388387.97</v>
          </cell>
          <cell r="AH23">
            <v>0</v>
          </cell>
          <cell r="AX23">
            <v>0</v>
          </cell>
          <cell r="AY23">
            <v>0</v>
          </cell>
          <cell r="AZ23">
            <v>0</v>
          </cell>
        </row>
        <row r="24">
          <cell r="B24" t="str">
            <v>Альфа Глобал</v>
          </cell>
          <cell r="C24" t="str">
            <v>Металлопрокат</v>
          </cell>
          <cell r="G24">
            <v>-39524.94</v>
          </cell>
          <cell r="J24">
            <v>39705.54</v>
          </cell>
          <cell r="AH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B25" t="str">
            <v>Аметист</v>
          </cell>
          <cell r="C25" t="str">
            <v>Металлопрокат</v>
          </cell>
          <cell r="G25">
            <v>0</v>
          </cell>
          <cell r="K25">
            <v>247500</v>
          </cell>
          <cell r="AH25">
            <v>0</v>
          </cell>
          <cell r="AX25">
            <v>0</v>
          </cell>
          <cell r="AY25">
            <v>0</v>
          </cell>
          <cell r="AZ25">
            <v>0</v>
          </cell>
        </row>
        <row r="26">
          <cell r="B26" t="str">
            <v>АНХК</v>
          </cell>
          <cell r="C26" t="str">
            <v>Металлопрокат</v>
          </cell>
          <cell r="G26">
            <v>-3837.11</v>
          </cell>
          <cell r="R26">
            <v>3837</v>
          </cell>
          <cell r="AH26">
            <v>0</v>
          </cell>
          <cell r="AX26">
            <v>0</v>
          </cell>
          <cell r="AY26">
            <v>0</v>
          </cell>
          <cell r="AZ26">
            <v>0</v>
          </cell>
        </row>
        <row r="27">
          <cell r="B27" t="str">
            <v>Арго плюс М</v>
          </cell>
          <cell r="C27" t="str">
            <v>Металлопрокат</v>
          </cell>
          <cell r="G27">
            <v>-15</v>
          </cell>
          <cell r="AH27">
            <v>0</v>
          </cell>
          <cell r="AX27">
            <v>0</v>
          </cell>
          <cell r="AY27">
            <v>0</v>
          </cell>
          <cell r="AZ27">
            <v>0</v>
          </cell>
        </row>
        <row r="28">
          <cell r="B28" t="str">
            <v>Арматура</v>
          </cell>
          <cell r="C28" t="str">
            <v>Металлопрокат</v>
          </cell>
          <cell r="G28">
            <v>5235.84</v>
          </cell>
          <cell r="AH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B29" t="str">
            <v>Артания-континенталь</v>
          </cell>
          <cell r="C29" t="str">
            <v>Металлопрокат</v>
          </cell>
          <cell r="G29">
            <v>0</v>
          </cell>
          <cell r="AH29">
            <v>130311</v>
          </cell>
          <cell r="AX29">
            <v>0</v>
          </cell>
          <cell r="AY29">
            <v>130311</v>
          </cell>
          <cell r="AZ29">
            <v>0.30000000000291038</v>
          </cell>
        </row>
        <row r="30">
          <cell r="B30" t="str">
            <v>Артметалл</v>
          </cell>
          <cell r="C30" t="str">
            <v>Металлопрокат</v>
          </cell>
          <cell r="G30">
            <v>-54796.800000000003</v>
          </cell>
          <cell r="AH30">
            <v>0</v>
          </cell>
          <cell r="AX30">
            <v>0</v>
          </cell>
          <cell r="AY30">
            <v>0</v>
          </cell>
          <cell r="AZ30">
            <v>0</v>
          </cell>
        </row>
        <row r="31">
          <cell r="B31" t="str">
            <v>Балаковский завод запасных деталей</v>
          </cell>
          <cell r="C31" t="str">
            <v>Металлопрокат</v>
          </cell>
          <cell r="G31">
            <v>-17906.7</v>
          </cell>
          <cell r="AH31">
            <v>0</v>
          </cell>
          <cell r="AX31">
            <v>0</v>
          </cell>
          <cell r="AY31">
            <v>0</v>
          </cell>
          <cell r="AZ31">
            <v>0</v>
          </cell>
        </row>
        <row r="32">
          <cell r="B32" t="str">
            <v>Балашихинский литейно-механический завод</v>
          </cell>
          <cell r="C32" t="str">
            <v>Металлопрокат</v>
          </cell>
          <cell r="G32">
            <v>13566.96</v>
          </cell>
          <cell r="L32">
            <v>1045248</v>
          </cell>
          <cell r="AH32">
            <v>0</v>
          </cell>
          <cell r="AX32">
            <v>0</v>
          </cell>
          <cell r="AY32">
            <v>0</v>
          </cell>
          <cell r="AZ32">
            <v>0</v>
          </cell>
        </row>
        <row r="33">
          <cell r="B33" t="str">
            <v>БАМ-Актив</v>
          </cell>
          <cell r="C33" t="str">
            <v>Металлопрокат</v>
          </cell>
          <cell r="G33">
            <v>23676.6</v>
          </cell>
          <cell r="AA33">
            <v>7433</v>
          </cell>
          <cell r="AH33">
            <v>0</v>
          </cell>
          <cell r="AX33">
            <v>23676.6</v>
          </cell>
          <cell r="AY33">
            <v>7433</v>
          </cell>
          <cell r="AZ33">
            <v>0.40000000000145519</v>
          </cell>
        </row>
        <row r="34">
          <cell r="B34" t="str">
            <v>Баррикады ООО</v>
          </cell>
          <cell r="C34" t="str">
            <v>Металлопрокат</v>
          </cell>
          <cell r="G34">
            <v>-930702.4</v>
          </cell>
          <cell r="AH34">
            <v>2178000</v>
          </cell>
          <cell r="AX34">
            <v>0</v>
          </cell>
          <cell r="AY34">
            <v>1247297.6000000001</v>
          </cell>
          <cell r="AZ34">
            <v>88923.399999999907</v>
          </cell>
        </row>
        <row r="35">
          <cell r="B35" t="str">
            <v>Баррикады ПО</v>
          </cell>
          <cell r="C35" t="str">
            <v>Металлопрокат</v>
          </cell>
          <cell r="G35">
            <v>99347.82</v>
          </cell>
          <cell r="AH35">
            <v>0</v>
          </cell>
          <cell r="AX35">
            <v>0</v>
          </cell>
          <cell r="AY35">
            <v>0</v>
          </cell>
          <cell r="AZ35">
            <v>0</v>
          </cell>
        </row>
        <row r="36">
          <cell r="B36" t="str">
            <v>Белэнергомаш</v>
          </cell>
          <cell r="C36" t="str">
            <v>Металлопрокат</v>
          </cell>
          <cell r="G36">
            <v>31390.560000000001</v>
          </cell>
          <cell r="S36">
            <v>6169</v>
          </cell>
          <cell r="T36">
            <v>757463</v>
          </cell>
          <cell r="AH36">
            <v>0</v>
          </cell>
          <cell r="AX36">
            <v>1556.5505293327858</v>
          </cell>
          <cell r="AY36">
            <v>36003.449470667212</v>
          </cell>
          <cell r="AZ36">
            <v>0</v>
          </cell>
        </row>
        <row r="37">
          <cell r="B37" t="str">
            <v>Белэнергосталь</v>
          </cell>
          <cell r="C37" t="str">
            <v>Металлопрокат</v>
          </cell>
          <cell r="G37">
            <v>-44415</v>
          </cell>
          <cell r="AH37">
            <v>0</v>
          </cell>
          <cell r="AX37">
            <v>0</v>
          </cell>
          <cell r="AY37">
            <v>0</v>
          </cell>
          <cell r="AZ37">
            <v>0</v>
          </cell>
        </row>
        <row r="38">
          <cell r="B38" t="str">
            <v>Бетатехно</v>
          </cell>
          <cell r="C38" t="str">
            <v>Металлопрокат</v>
          </cell>
          <cell r="G38">
            <v>2190000</v>
          </cell>
          <cell r="O38">
            <v>810000</v>
          </cell>
          <cell r="AH38">
            <v>0</v>
          </cell>
          <cell r="AX38">
            <v>2189999.7999999998</v>
          </cell>
          <cell r="AY38">
            <v>810000</v>
          </cell>
          <cell r="AZ38">
            <v>45657.799999999814</v>
          </cell>
        </row>
        <row r="39">
          <cell r="B39" t="str">
            <v>БНК ООО</v>
          </cell>
          <cell r="C39" t="str">
            <v>Металлопрокат</v>
          </cell>
          <cell r="G39">
            <v>-598368.96</v>
          </cell>
          <cell r="AH39">
            <v>0</v>
          </cell>
          <cell r="AX39">
            <v>0</v>
          </cell>
          <cell r="AY39">
            <v>0</v>
          </cell>
          <cell r="AZ39">
            <v>0</v>
          </cell>
        </row>
        <row r="40">
          <cell r="B40" t="str">
            <v>Буревестник</v>
          </cell>
          <cell r="C40" t="str">
            <v>Металлопрокат</v>
          </cell>
          <cell r="G40">
            <v>42143.76</v>
          </cell>
          <cell r="AH40">
            <v>0</v>
          </cell>
          <cell r="AX40">
            <v>0</v>
          </cell>
          <cell r="AY40">
            <v>0</v>
          </cell>
          <cell r="AZ40">
            <v>0</v>
          </cell>
        </row>
        <row r="41">
          <cell r="B41" t="str">
            <v>Бурнефтекомплекс</v>
          </cell>
          <cell r="C41" t="str">
            <v>Металлопрокат</v>
          </cell>
          <cell r="G41">
            <v>1401.24</v>
          </cell>
          <cell r="AH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B42" t="str">
            <v>Вейста</v>
          </cell>
          <cell r="C42" t="str">
            <v>Металлопрокат</v>
          </cell>
          <cell r="G42">
            <v>1322.57</v>
          </cell>
          <cell r="AH42">
            <v>0</v>
          </cell>
          <cell r="AX42">
            <v>0</v>
          </cell>
          <cell r="AY42">
            <v>0</v>
          </cell>
          <cell r="AZ42">
            <v>0</v>
          </cell>
        </row>
        <row r="43">
          <cell r="B43" t="str">
            <v>Векта</v>
          </cell>
          <cell r="C43" t="str">
            <v>Металлопрокат</v>
          </cell>
          <cell r="G43">
            <v>-141466.29</v>
          </cell>
          <cell r="AH43">
            <v>1659507</v>
          </cell>
          <cell r="AX43">
            <v>0</v>
          </cell>
          <cell r="AY43">
            <v>1518040.71</v>
          </cell>
          <cell r="AZ43">
            <v>0.23399999993853271</v>
          </cell>
        </row>
        <row r="44">
          <cell r="B44" t="str">
            <v>Вест-Тер</v>
          </cell>
          <cell r="C44" t="str">
            <v>Металлопрокат</v>
          </cell>
          <cell r="G44">
            <v>-52817</v>
          </cell>
          <cell r="N44">
            <v>52817</v>
          </cell>
          <cell r="AH44">
            <v>0</v>
          </cell>
          <cell r="AX44">
            <v>0</v>
          </cell>
          <cell r="AY44">
            <v>0</v>
          </cell>
          <cell r="AZ44">
            <v>0</v>
          </cell>
        </row>
        <row r="45">
          <cell r="B45" t="str">
            <v>ВЗТДиН</v>
          </cell>
          <cell r="C45" t="str">
            <v>Металлопрокат</v>
          </cell>
          <cell r="G45">
            <v>-4288895.3499999996</v>
          </cell>
          <cell r="J45">
            <v>500000</v>
          </cell>
          <cell r="N45">
            <v>3000000</v>
          </cell>
          <cell r="R45">
            <v>788895</v>
          </cell>
          <cell r="S45">
            <v>300000</v>
          </cell>
          <cell r="W45">
            <v>500000</v>
          </cell>
          <cell r="AH45">
            <v>220931.49</v>
          </cell>
          <cell r="AX45">
            <v>0</v>
          </cell>
          <cell r="AY45">
            <v>1020931.1400000006</v>
          </cell>
          <cell r="AZ45">
            <v>18780.459999999264</v>
          </cell>
        </row>
        <row r="46">
          <cell r="B46" t="str">
            <v>Виницкий завод тракторных агрегатов</v>
          </cell>
          <cell r="C46" t="str">
            <v>Металлопрокат</v>
          </cell>
          <cell r="G46">
            <v>1379818.66</v>
          </cell>
          <cell r="AA46">
            <v>1970631</v>
          </cell>
          <cell r="AH46">
            <v>0</v>
          </cell>
          <cell r="AX46">
            <v>1366687.838806336</v>
          </cell>
          <cell r="AY46">
            <v>1970631</v>
          </cell>
          <cell r="AZ46">
            <v>13130.814526997739</v>
          </cell>
        </row>
        <row r="47">
          <cell r="B47" t="str">
            <v>Волгамет</v>
          </cell>
          <cell r="C47" t="str">
            <v>Металлопрокат</v>
          </cell>
          <cell r="G47">
            <v>0</v>
          </cell>
          <cell r="AH47">
            <v>42864</v>
          </cell>
          <cell r="AX47">
            <v>0</v>
          </cell>
          <cell r="AY47">
            <v>42864</v>
          </cell>
          <cell r="AZ47">
            <v>0</v>
          </cell>
        </row>
        <row r="48">
          <cell r="B48" t="str">
            <v>ВолгаСталь</v>
          </cell>
          <cell r="C48" t="str">
            <v>Металлопрокат</v>
          </cell>
          <cell r="G48">
            <v>-118880.32000000001</v>
          </cell>
          <cell r="AH48">
            <v>1247400</v>
          </cell>
          <cell r="AX48">
            <v>0</v>
          </cell>
          <cell r="AY48">
            <v>1128519.5733333332</v>
          </cell>
          <cell r="AZ48">
            <v>0</v>
          </cell>
        </row>
        <row r="49">
          <cell r="B49" t="str">
            <v>Волга-Техмет</v>
          </cell>
          <cell r="C49" t="str">
            <v>Металлопрокат</v>
          </cell>
          <cell r="G49">
            <v>10606.25</v>
          </cell>
          <cell r="AH49">
            <v>0</v>
          </cell>
          <cell r="AX49">
            <v>0</v>
          </cell>
          <cell r="AY49">
            <v>0</v>
          </cell>
          <cell r="AZ49">
            <v>0</v>
          </cell>
        </row>
        <row r="50">
          <cell r="B50" t="str">
            <v>Волга-траст ПКФ</v>
          </cell>
          <cell r="C50" t="str">
            <v>Металлопрокат</v>
          </cell>
          <cell r="G50">
            <v>7798.14</v>
          </cell>
          <cell r="AH50">
            <v>0</v>
          </cell>
          <cell r="AX50">
            <v>7798.14</v>
          </cell>
          <cell r="AY50">
            <v>0</v>
          </cell>
          <cell r="AZ50">
            <v>13.859999999999673</v>
          </cell>
        </row>
        <row r="51">
          <cell r="B51" t="str">
            <v>Волгограднефтемаш</v>
          </cell>
          <cell r="C51" t="str">
            <v>Металлопрокат</v>
          </cell>
          <cell r="G51">
            <v>0</v>
          </cell>
          <cell r="W51">
            <v>678902</v>
          </cell>
          <cell r="AH51">
            <v>0</v>
          </cell>
          <cell r="AX51">
            <v>0</v>
          </cell>
          <cell r="AY51">
            <v>678901.92</v>
          </cell>
          <cell r="AZ51">
            <v>0</v>
          </cell>
        </row>
        <row r="52">
          <cell r="B52" t="str">
            <v>Волгоградстроймонтаж</v>
          </cell>
          <cell r="C52" t="str">
            <v>Металлопрокат</v>
          </cell>
          <cell r="G52">
            <v>-1060625</v>
          </cell>
          <cell r="AH52">
            <v>0</v>
          </cell>
          <cell r="AX52">
            <v>0</v>
          </cell>
          <cell r="AY52">
            <v>0</v>
          </cell>
          <cell r="AZ52">
            <v>0</v>
          </cell>
        </row>
        <row r="53">
          <cell r="B53" t="str">
            <v>Волгометснаб</v>
          </cell>
          <cell r="C53" t="str">
            <v>Металлопрокат</v>
          </cell>
          <cell r="G53">
            <v>-25340.799999999999</v>
          </cell>
          <cell r="R53">
            <v>25341</v>
          </cell>
          <cell r="S53">
            <v>466329</v>
          </cell>
          <cell r="AH53">
            <v>0</v>
          </cell>
          <cell r="AX53">
            <v>0</v>
          </cell>
          <cell r="AY53">
            <v>466329.2</v>
          </cell>
          <cell r="AZ53">
            <v>0.40000000002328306</v>
          </cell>
        </row>
        <row r="54">
          <cell r="B54" t="str">
            <v>Волгоремстрой</v>
          </cell>
          <cell r="C54" t="str">
            <v>Металлопрокат</v>
          </cell>
          <cell r="G54">
            <v>653010.53</v>
          </cell>
          <cell r="AH54">
            <v>4671400</v>
          </cell>
          <cell r="AX54">
            <v>399150.53063903871</v>
          </cell>
          <cell r="AY54">
            <v>91033.869360961311</v>
          </cell>
          <cell r="AZ54">
            <v>0</v>
          </cell>
        </row>
        <row r="55">
          <cell r="B55" t="str">
            <v>Волжская Машиностроительная компания</v>
          </cell>
          <cell r="C55" t="str">
            <v>Металлопрокат</v>
          </cell>
          <cell r="G55">
            <v>146260</v>
          </cell>
          <cell r="P55">
            <v>100000</v>
          </cell>
          <cell r="AH55">
            <v>0</v>
          </cell>
          <cell r="AX55">
            <v>0</v>
          </cell>
          <cell r="AY55">
            <v>0</v>
          </cell>
          <cell r="AZ55">
            <v>0</v>
          </cell>
        </row>
        <row r="56">
          <cell r="B56" t="str">
            <v>Волжский подшипник</v>
          </cell>
          <cell r="C56" t="str">
            <v>Металлопрокат</v>
          </cell>
          <cell r="G56">
            <v>-6110.96</v>
          </cell>
          <cell r="AH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B57" t="str">
            <v>Вологодский вагоноремонтный завод</v>
          </cell>
          <cell r="C57" t="str">
            <v>Металлопрокат</v>
          </cell>
          <cell r="G57">
            <v>183600</v>
          </cell>
          <cell r="AH57">
            <v>0</v>
          </cell>
          <cell r="AX57">
            <v>183600</v>
          </cell>
          <cell r="AY57">
            <v>0</v>
          </cell>
          <cell r="AZ57">
            <v>0</v>
          </cell>
        </row>
        <row r="58">
          <cell r="B58" t="str">
            <v>Воронежхимсервис-99</v>
          </cell>
          <cell r="C58" t="str">
            <v>Металлопрокат</v>
          </cell>
          <cell r="G58">
            <v>-299950.5</v>
          </cell>
          <cell r="AH58">
            <v>1414947</v>
          </cell>
          <cell r="AX58">
            <v>0</v>
          </cell>
          <cell r="AY58">
            <v>1114996.2</v>
          </cell>
          <cell r="AZ58">
            <v>0</v>
          </cell>
        </row>
        <row r="59">
          <cell r="B59" t="str">
            <v>Воткинский завод</v>
          </cell>
          <cell r="C59" t="str">
            <v>Металлопрокат</v>
          </cell>
          <cell r="G59">
            <v>-274457.2</v>
          </cell>
          <cell r="Z59">
            <v>274457</v>
          </cell>
          <cell r="AH59">
            <v>0</v>
          </cell>
          <cell r="AX59">
            <v>0</v>
          </cell>
          <cell r="AY59">
            <v>0</v>
          </cell>
          <cell r="AZ59">
            <v>0</v>
          </cell>
        </row>
        <row r="60">
          <cell r="B60" t="str">
            <v>ВПЗ</v>
          </cell>
          <cell r="C60" t="str">
            <v>Металлопрокат</v>
          </cell>
          <cell r="G60">
            <v>300000</v>
          </cell>
          <cell r="AA60">
            <v>1000000</v>
          </cell>
          <cell r="AH60">
            <v>0</v>
          </cell>
          <cell r="AX60">
            <v>259862.39999999999</v>
          </cell>
          <cell r="AY60">
            <v>1000000</v>
          </cell>
          <cell r="AZ60">
            <v>39449.599999999977</v>
          </cell>
        </row>
        <row r="61">
          <cell r="B61" t="str">
            <v>ВТЗ</v>
          </cell>
          <cell r="C61" t="str">
            <v>Металлопрокат</v>
          </cell>
          <cell r="G61">
            <v>-936628.48</v>
          </cell>
          <cell r="N61">
            <v>936628</v>
          </cell>
          <cell r="O61">
            <v>1500000</v>
          </cell>
          <cell r="W61">
            <v>2000000</v>
          </cell>
          <cell r="AH61">
            <v>0</v>
          </cell>
          <cell r="AX61">
            <v>0</v>
          </cell>
          <cell r="AY61">
            <v>3499999.52</v>
          </cell>
          <cell r="AZ61">
            <v>6240287.9199999999</v>
          </cell>
        </row>
        <row r="62">
          <cell r="B62" t="str">
            <v>Втормет</v>
          </cell>
          <cell r="C62" t="str">
            <v>Металлопрокат</v>
          </cell>
          <cell r="G62">
            <v>1715.37</v>
          </cell>
          <cell r="AH62">
            <v>2600000</v>
          </cell>
          <cell r="AX62">
            <v>1161.7664553511918</v>
          </cell>
          <cell r="AY62">
            <v>2600000</v>
          </cell>
          <cell r="AZ62">
            <v>27200.993544648867</v>
          </cell>
        </row>
        <row r="63">
          <cell r="B63" t="str">
            <v>Вэст-МД</v>
          </cell>
          <cell r="C63" t="str">
            <v>Металлопрокат</v>
          </cell>
          <cell r="G63">
            <v>0</v>
          </cell>
          <cell r="O63">
            <v>14760</v>
          </cell>
          <cell r="AH63">
            <v>0</v>
          </cell>
          <cell r="AX63">
            <v>0</v>
          </cell>
          <cell r="AY63">
            <v>0</v>
          </cell>
          <cell r="AZ63">
            <v>0</v>
          </cell>
        </row>
        <row r="64">
          <cell r="B64" t="str">
            <v>Газпромкран</v>
          </cell>
          <cell r="C64" t="str">
            <v>Металлопрокат</v>
          </cell>
          <cell r="G64">
            <v>134991.9</v>
          </cell>
          <cell r="AH64">
            <v>0</v>
          </cell>
          <cell r="AX64">
            <v>0</v>
          </cell>
          <cell r="AY64">
            <v>0</v>
          </cell>
          <cell r="AZ64">
            <v>0</v>
          </cell>
        </row>
        <row r="65">
          <cell r="B65" t="str">
            <v>Геллиос Трейдинг</v>
          </cell>
          <cell r="C65" t="str">
            <v>Металлопрокат</v>
          </cell>
          <cell r="G65">
            <v>685714.73</v>
          </cell>
          <cell r="O65">
            <v>400000</v>
          </cell>
          <cell r="W65">
            <v>611925</v>
          </cell>
          <cell r="AH65">
            <v>0</v>
          </cell>
          <cell r="AX65">
            <v>685714.73</v>
          </cell>
          <cell r="AY65">
            <v>1011925</v>
          </cell>
          <cell r="AZ65">
            <v>0.27000000001862645</v>
          </cell>
        </row>
        <row r="66">
          <cell r="B66" t="str">
            <v>Дармакс</v>
          </cell>
          <cell r="C66" t="str">
            <v>Металлопрокат</v>
          </cell>
          <cell r="G66">
            <v>282563.88</v>
          </cell>
          <cell r="K66">
            <v>462000</v>
          </cell>
          <cell r="AH66">
            <v>0</v>
          </cell>
          <cell r="AX66">
            <v>282563.96000000002</v>
          </cell>
          <cell r="AY66">
            <v>184355.19999999995</v>
          </cell>
          <cell r="AZ66">
            <v>0</v>
          </cell>
        </row>
        <row r="67">
          <cell r="B67" t="str">
            <v>Дзержинскхиммаш</v>
          </cell>
          <cell r="C67" t="str">
            <v>Металлопрокат</v>
          </cell>
          <cell r="G67">
            <v>9350.1299999999992</v>
          </cell>
          <cell r="AH67">
            <v>0</v>
          </cell>
          <cell r="AX67">
            <v>0</v>
          </cell>
          <cell r="AY67">
            <v>0</v>
          </cell>
          <cell r="AZ67">
            <v>0</v>
          </cell>
        </row>
        <row r="68">
          <cell r="B68" t="str">
            <v>Диал</v>
          </cell>
          <cell r="C68" t="str">
            <v>Металлопрокат</v>
          </cell>
          <cell r="G68">
            <v>1123.47</v>
          </cell>
          <cell r="AH68">
            <v>0</v>
          </cell>
          <cell r="AX68">
            <v>0</v>
          </cell>
          <cell r="AY68">
            <v>0</v>
          </cell>
          <cell r="AZ68">
            <v>0</v>
          </cell>
        </row>
        <row r="69">
          <cell r="B69" t="str">
            <v>Дизель-МТС</v>
          </cell>
          <cell r="C69" t="str">
            <v>Металлопрокат</v>
          </cell>
          <cell r="G69">
            <v>-10092435.039999999</v>
          </cell>
          <cell r="J69">
            <v>4000000</v>
          </cell>
          <cell r="N69">
            <v>2000000</v>
          </cell>
          <cell r="R69">
            <v>3092435</v>
          </cell>
          <cell r="W69">
            <v>3500000</v>
          </cell>
          <cell r="X69">
            <v>500000</v>
          </cell>
          <cell r="AH69">
            <v>0</v>
          </cell>
          <cell r="AX69">
            <v>0</v>
          </cell>
          <cell r="AY69">
            <v>2999999.9600000009</v>
          </cell>
          <cell r="AZ69">
            <v>3854062.7199999988</v>
          </cell>
        </row>
        <row r="70">
          <cell r="B70" t="str">
            <v>Дизельспецкомплект</v>
          </cell>
          <cell r="C70" t="str">
            <v>Металлопрокат</v>
          </cell>
          <cell r="G70">
            <v>-7932</v>
          </cell>
          <cell r="AH70">
            <v>0</v>
          </cell>
          <cell r="AX70">
            <v>0</v>
          </cell>
          <cell r="AY70">
            <v>0</v>
          </cell>
          <cell r="AZ70">
            <v>89447.4</v>
          </cell>
        </row>
        <row r="71">
          <cell r="B71" t="str">
            <v>Донатива</v>
          </cell>
          <cell r="C71" t="str">
            <v>Металлопрокат</v>
          </cell>
          <cell r="G71">
            <v>-347315.6</v>
          </cell>
          <cell r="J71">
            <v>343315.6</v>
          </cell>
          <cell r="R71">
            <v>4000</v>
          </cell>
          <cell r="AH71">
            <v>0</v>
          </cell>
          <cell r="AX71">
            <v>0</v>
          </cell>
          <cell r="AY71">
            <v>0</v>
          </cell>
          <cell r="AZ71">
            <v>0</v>
          </cell>
        </row>
        <row r="72">
          <cell r="B72" t="str">
            <v>Донская снабженческая компания</v>
          </cell>
          <cell r="C72" t="str">
            <v>Металлопрокат</v>
          </cell>
          <cell r="G72">
            <v>3253.44</v>
          </cell>
          <cell r="AH72">
            <v>0</v>
          </cell>
          <cell r="AX72">
            <v>0</v>
          </cell>
          <cell r="AY72">
            <v>0</v>
          </cell>
          <cell r="AZ72">
            <v>0</v>
          </cell>
        </row>
        <row r="73">
          <cell r="B73" t="str">
            <v>Дрогобычский долотный завод</v>
          </cell>
          <cell r="C73" t="str">
            <v>Металлопрокат</v>
          </cell>
          <cell r="G73">
            <v>-2877419.94</v>
          </cell>
          <cell r="V73">
            <v>2048000</v>
          </cell>
          <cell r="Z73">
            <v>829420</v>
          </cell>
          <cell r="AH73">
            <v>0</v>
          </cell>
          <cell r="AX73">
            <v>0</v>
          </cell>
          <cell r="AY73">
            <v>6.0000000055879354E-2</v>
          </cell>
          <cell r="AZ73">
            <v>657481.14</v>
          </cell>
        </row>
        <row r="74">
          <cell r="B74" t="str">
            <v>Дуга</v>
          </cell>
          <cell r="C74" t="str">
            <v>Металлопрокат</v>
          </cell>
          <cell r="G74">
            <v>-49605.27</v>
          </cell>
          <cell r="R74">
            <v>49605</v>
          </cell>
          <cell r="AH74">
            <v>0</v>
          </cell>
          <cell r="AX74">
            <v>0</v>
          </cell>
          <cell r="AY74">
            <v>0</v>
          </cell>
          <cell r="AZ74">
            <v>0</v>
          </cell>
        </row>
        <row r="75">
          <cell r="B75" t="str">
            <v>Завод им Серго</v>
          </cell>
          <cell r="C75" t="str">
            <v>Металлопрокат</v>
          </cell>
          <cell r="G75">
            <v>-77968.06</v>
          </cell>
          <cell r="J75">
            <v>77968</v>
          </cell>
          <cell r="K75">
            <v>270799.65000000002</v>
          </cell>
          <cell r="AH75">
            <v>0</v>
          </cell>
          <cell r="AX75">
            <v>0</v>
          </cell>
          <cell r="AY75">
            <v>142757.63999999998</v>
          </cell>
          <cell r="AZ75">
            <v>0</v>
          </cell>
        </row>
        <row r="76">
          <cell r="B76" t="str">
            <v>ЗЗГТ</v>
          </cell>
          <cell r="C76" t="str">
            <v>Металлопрокат</v>
          </cell>
          <cell r="G76">
            <v>225720</v>
          </cell>
          <cell r="AH76">
            <v>0</v>
          </cell>
          <cell r="AX76">
            <v>221506.56</v>
          </cell>
          <cell r="AY76">
            <v>0</v>
          </cell>
          <cell r="AZ76">
            <v>0</v>
          </cell>
        </row>
        <row r="77">
          <cell r="B77" t="str">
            <v>Ино-Сплав</v>
          </cell>
          <cell r="C77" t="str">
            <v>Металлопрокат</v>
          </cell>
          <cell r="G77">
            <v>-715698.01</v>
          </cell>
          <cell r="AH77">
            <v>715698</v>
          </cell>
          <cell r="AX77">
            <v>0</v>
          </cell>
          <cell r="AY77">
            <v>0</v>
          </cell>
          <cell r="AZ77">
            <v>0</v>
          </cell>
        </row>
        <row r="78">
          <cell r="B78" t="str">
            <v>ИнструментИмпэкс</v>
          </cell>
          <cell r="C78" t="str">
            <v>Металлопрокат</v>
          </cell>
          <cell r="G78">
            <v>-240794.49</v>
          </cell>
          <cell r="AH78">
            <v>0</v>
          </cell>
          <cell r="AX78">
            <v>0</v>
          </cell>
          <cell r="AY78">
            <v>0</v>
          </cell>
          <cell r="AZ78">
            <v>0</v>
          </cell>
        </row>
        <row r="79">
          <cell r="B79" t="str">
            <v>Интел гарант ХХI век</v>
          </cell>
          <cell r="C79" t="str">
            <v>Металлопрокат</v>
          </cell>
          <cell r="G79">
            <v>1749121.4</v>
          </cell>
          <cell r="L79">
            <v>946368</v>
          </cell>
          <cell r="AH79">
            <v>0</v>
          </cell>
          <cell r="AX79">
            <v>477530.40755484154</v>
          </cell>
          <cell r="AY79">
            <v>258369.59244515846</v>
          </cell>
          <cell r="AZ79">
            <v>0</v>
          </cell>
        </row>
        <row r="80">
          <cell r="B80" t="str">
            <v>Интерметалл</v>
          </cell>
          <cell r="C80" t="str">
            <v>Металлопрокат</v>
          </cell>
          <cell r="G80">
            <v>0</v>
          </cell>
          <cell r="AH80">
            <v>0</v>
          </cell>
          <cell r="AX80">
            <v>0</v>
          </cell>
          <cell r="AY80">
            <v>0</v>
          </cell>
          <cell r="AZ80">
            <v>173566.8</v>
          </cell>
        </row>
        <row r="81">
          <cell r="B81" t="str">
            <v>Интерстальтрейдинг</v>
          </cell>
          <cell r="C81" t="str">
            <v>Металлопрокат</v>
          </cell>
          <cell r="G81">
            <v>0</v>
          </cell>
          <cell r="AH81">
            <v>0</v>
          </cell>
          <cell r="AX81">
            <v>0</v>
          </cell>
          <cell r="AY81">
            <v>0</v>
          </cell>
          <cell r="AZ81">
            <v>0</v>
          </cell>
        </row>
        <row r="82">
          <cell r="B82" t="str">
            <v>Интерсфера-Холдинг</v>
          </cell>
          <cell r="C82" t="str">
            <v>Металлопрокат</v>
          </cell>
          <cell r="G82">
            <v>-980184.72</v>
          </cell>
          <cell r="J82">
            <v>980185</v>
          </cell>
          <cell r="K82">
            <v>99815</v>
          </cell>
          <cell r="T82">
            <v>800000</v>
          </cell>
          <cell r="AH82">
            <v>0</v>
          </cell>
          <cell r="AX82">
            <v>0</v>
          </cell>
          <cell r="AY82">
            <v>309324</v>
          </cell>
          <cell r="AZ82">
            <v>0</v>
          </cell>
        </row>
        <row r="83">
          <cell r="B83" t="str">
            <v>Ишимбайтрансмаш "Витязь"</v>
          </cell>
          <cell r="C83" t="str">
            <v>Металлопрокат</v>
          </cell>
          <cell r="G83">
            <v>-3640</v>
          </cell>
          <cell r="AH83">
            <v>0</v>
          </cell>
          <cell r="AX83">
            <v>0</v>
          </cell>
          <cell r="AY83">
            <v>0</v>
          </cell>
          <cell r="AZ83">
            <v>0</v>
          </cell>
        </row>
        <row r="84">
          <cell r="B84" t="str">
            <v>Казанский вертолетный завод</v>
          </cell>
          <cell r="C84" t="str">
            <v>Металлопрокат</v>
          </cell>
          <cell r="G84">
            <v>-7399.2</v>
          </cell>
          <cell r="V84">
            <v>7399</v>
          </cell>
          <cell r="AH84">
            <v>0</v>
          </cell>
          <cell r="AX84">
            <v>0</v>
          </cell>
          <cell r="AY84">
            <v>0</v>
          </cell>
          <cell r="AZ84">
            <v>0</v>
          </cell>
        </row>
        <row r="85">
          <cell r="B85" t="str">
            <v>Камышинский завод бурового инструмента</v>
          </cell>
          <cell r="C85" t="str">
            <v>Металлопрокат</v>
          </cell>
          <cell r="G85">
            <v>827486.26</v>
          </cell>
          <cell r="L85">
            <v>420000</v>
          </cell>
          <cell r="O85">
            <v>160000</v>
          </cell>
          <cell r="S85">
            <v>115223</v>
          </cell>
          <cell r="AH85">
            <v>0</v>
          </cell>
          <cell r="AX85">
            <v>538376.52488946286</v>
          </cell>
          <cell r="AY85">
            <v>695223</v>
          </cell>
          <cell r="AZ85">
            <v>120895.67511053686</v>
          </cell>
        </row>
        <row r="86">
          <cell r="B86" t="str">
            <v>Канашский автоагрегатный завод</v>
          </cell>
          <cell r="C86" t="str">
            <v>Металлопрокат</v>
          </cell>
          <cell r="G86">
            <v>694.02</v>
          </cell>
          <cell r="AH86">
            <v>0</v>
          </cell>
          <cell r="AX86">
            <v>0</v>
          </cell>
          <cell r="AY86">
            <v>0</v>
          </cell>
          <cell r="AZ86">
            <v>0</v>
          </cell>
        </row>
        <row r="87">
          <cell r="B87" t="str">
            <v>Картаж</v>
          </cell>
          <cell r="C87" t="str">
            <v>Металлопрокат</v>
          </cell>
          <cell r="G87">
            <v>-1007814.52</v>
          </cell>
          <cell r="AH87">
            <v>0</v>
          </cell>
          <cell r="AX87">
            <v>0</v>
          </cell>
          <cell r="AY87">
            <v>0</v>
          </cell>
          <cell r="AZ87">
            <v>0</v>
          </cell>
        </row>
        <row r="88">
          <cell r="B88" t="str">
            <v>КЕДР-89</v>
          </cell>
          <cell r="C88" t="str">
            <v>Металлопрокат</v>
          </cell>
          <cell r="G88">
            <v>4193.17</v>
          </cell>
          <cell r="AH88">
            <v>0</v>
          </cell>
          <cell r="AX88">
            <v>0</v>
          </cell>
          <cell r="AY88">
            <v>0</v>
          </cell>
          <cell r="AZ88">
            <v>0</v>
          </cell>
        </row>
        <row r="89">
          <cell r="B89" t="str">
            <v>КЕДР-БИМ</v>
          </cell>
          <cell r="C89" t="str">
            <v>Металлопрокат</v>
          </cell>
          <cell r="G89">
            <v>2545752</v>
          </cell>
          <cell r="AH89">
            <v>0</v>
          </cell>
          <cell r="AX89">
            <v>0</v>
          </cell>
          <cell r="AY89">
            <v>0</v>
          </cell>
          <cell r="AZ89">
            <v>0</v>
          </cell>
        </row>
        <row r="90">
          <cell r="B90" t="str">
            <v>Кемеровский Механический завод</v>
          </cell>
          <cell r="C90" t="str">
            <v>Металлопрокат</v>
          </cell>
          <cell r="G90">
            <v>-83072.740000000005</v>
          </cell>
          <cell r="Z90">
            <v>83073</v>
          </cell>
          <cell r="AH90">
            <v>0</v>
          </cell>
          <cell r="AX90">
            <v>0</v>
          </cell>
          <cell r="AY90">
            <v>0</v>
          </cell>
          <cell r="AZ90">
            <v>0</v>
          </cell>
        </row>
        <row r="91">
          <cell r="B91" t="str">
            <v>КМЗ</v>
          </cell>
          <cell r="C91" t="str">
            <v>Металлопрокат</v>
          </cell>
          <cell r="G91">
            <v>597600</v>
          </cell>
          <cell r="AH91">
            <v>0</v>
          </cell>
          <cell r="AX91">
            <v>591268.80000000005</v>
          </cell>
          <cell r="AY91">
            <v>0</v>
          </cell>
          <cell r="AZ91">
            <v>0</v>
          </cell>
        </row>
        <row r="92">
          <cell r="B92" t="str">
            <v>Коламбия ООО</v>
          </cell>
          <cell r="C92" t="str">
            <v>Металлопрокат</v>
          </cell>
          <cell r="G92">
            <v>0</v>
          </cell>
          <cell r="AH92">
            <v>8793464</v>
          </cell>
          <cell r="AX92">
            <v>0</v>
          </cell>
          <cell r="AY92">
            <v>8793464</v>
          </cell>
          <cell r="AZ92">
            <v>0.24399999901652336</v>
          </cell>
        </row>
        <row r="93">
          <cell r="B93" t="str">
            <v>Коломенский завод</v>
          </cell>
          <cell r="C93" t="str">
            <v>Металлопрокат</v>
          </cell>
          <cell r="G93">
            <v>174000</v>
          </cell>
          <cell r="AH93">
            <v>0</v>
          </cell>
          <cell r="AX93">
            <v>174000.43677439599</v>
          </cell>
          <cell r="AY93">
            <v>0</v>
          </cell>
          <cell r="AZ93">
            <v>1285.003225604014</v>
          </cell>
        </row>
        <row r="94">
          <cell r="B94" t="str">
            <v>Коммерсцентр ООО</v>
          </cell>
          <cell r="C94" t="str">
            <v>Металлопрокат</v>
          </cell>
          <cell r="G94">
            <v>-77873.88</v>
          </cell>
          <cell r="AH94">
            <v>0</v>
          </cell>
          <cell r="AX94">
            <v>0</v>
          </cell>
          <cell r="AY94">
            <v>0</v>
          </cell>
          <cell r="AZ94">
            <v>0</v>
          </cell>
        </row>
        <row r="95">
          <cell r="B95" t="str">
            <v>Комметпром</v>
          </cell>
          <cell r="C95" t="str">
            <v>Металлопрокат</v>
          </cell>
          <cell r="G95">
            <v>0</v>
          </cell>
          <cell r="L95">
            <v>726996</v>
          </cell>
          <cell r="AH95">
            <v>0</v>
          </cell>
          <cell r="AX95">
            <v>0</v>
          </cell>
          <cell r="AY95">
            <v>513023.16000000003</v>
          </cell>
          <cell r="AZ95">
            <v>0</v>
          </cell>
        </row>
        <row r="96">
          <cell r="B96" t="str">
            <v>Компания АГА</v>
          </cell>
          <cell r="C96" t="str">
            <v>Металлопрокат</v>
          </cell>
          <cell r="G96">
            <v>0</v>
          </cell>
          <cell r="AH96">
            <v>116971.84000000003</v>
          </cell>
          <cell r="AX96">
            <v>0</v>
          </cell>
          <cell r="AY96">
            <v>116971.56</v>
          </cell>
          <cell r="AZ96">
            <v>0</v>
          </cell>
        </row>
        <row r="97">
          <cell r="B97" t="str">
            <v>Композиты</v>
          </cell>
          <cell r="C97" t="str">
            <v>Металлопрокат</v>
          </cell>
          <cell r="G97">
            <v>5026.68</v>
          </cell>
          <cell r="AH97">
            <v>0</v>
          </cell>
          <cell r="AX97">
            <v>0</v>
          </cell>
          <cell r="AY97">
            <v>0</v>
          </cell>
          <cell r="AZ97">
            <v>0</v>
          </cell>
        </row>
        <row r="98">
          <cell r="B98" t="str">
            <v>Комтекс</v>
          </cell>
          <cell r="C98" t="str">
            <v>Металлопрокат</v>
          </cell>
          <cell r="G98">
            <v>3119422</v>
          </cell>
          <cell r="P98">
            <v>500000</v>
          </cell>
          <cell r="S98">
            <v>371965</v>
          </cell>
          <cell r="AH98">
            <v>0</v>
          </cell>
          <cell r="AX98">
            <v>2600239.1</v>
          </cell>
          <cell r="AY98">
            <v>871965</v>
          </cell>
          <cell r="AZ98">
            <v>0.10000000009313226</v>
          </cell>
        </row>
        <row r="99">
          <cell r="B99" t="str">
            <v>Кранэкс</v>
          </cell>
          <cell r="C99" t="str">
            <v>Металлопрокат</v>
          </cell>
          <cell r="G99">
            <v>-28471.200000000001</v>
          </cell>
          <cell r="AH99">
            <v>0</v>
          </cell>
          <cell r="AX99">
            <v>0</v>
          </cell>
          <cell r="AY99">
            <v>0</v>
          </cell>
          <cell r="AZ99">
            <v>513872.39999999997</v>
          </cell>
        </row>
        <row r="100">
          <cell r="B100" t="str">
            <v>Красный Котельщик</v>
          </cell>
          <cell r="C100" t="str">
            <v>Металлопрокат</v>
          </cell>
          <cell r="G100">
            <v>159463.42000000001</v>
          </cell>
          <cell r="L100">
            <v>1794790.58</v>
          </cell>
          <cell r="AH100">
            <v>0</v>
          </cell>
          <cell r="AX100">
            <v>6650.5718211041149</v>
          </cell>
          <cell r="AY100">
            <v>156357.42817889588</v>
          </cell>
          <cell r="AZ100">
            <v>0</v>
          </cell>
        </row>
        <row r="101">
          <cell r="B101" t="str">
            <v>Круг ООО</v>
          </cell>
          <cell r="C101" t="str">
            <v>Металлопрокат</v>
          </cell>
          <cell r="G101">
            <v>-15521.45</v>
          </cell>
          <cell r="Z101">
            <v>15521</v>
          </cell>
          <cell r="AH101">
            <v>0</v>
          </cell>
          <cell r="AX101">
            <v>0</v>
          </cell>
          <cell r="AY101">
            <v>0</v>
          </cell>
          <cell r="AZ101">
            <v>0</v>
          </cell>
        </row>
        <row r="102">
          <cell r="B102" t="str">
            <v>Кубаньагротехсервис</v>
          </cell>
          <cell r="C102" t="str">
            <v>Металлопрокат</v>
          </cell>
          <cell r="G102">
            <v>77165.88</v>
          </cell>
          <cell r="S102">
            <v>126539</v>
          </cell>
          <cell r="AH102">
            <v>0</v>
          </cell>
          <cell r="AX102">
            <v>77165.895152476369</v>
          </cell>
          <cell r="AY102">
            <v>126539</v>
          </cell>
          <cell r="AZ102">
            <v>0.14484752361022402</v>
          </cell>
        </row>
        <row r="103">
          <cell r="B103" t="str">
            <v>Курский завод упорных подшипников</v>
          </cell>
          <cell r="C103" t="str">
            <v>Металлопрокат</v>
          </cell>
          <cell r="G103">
            <v>0</v>
          </cell>
          <cell r="L103">
            <v>190000</v>
          </cell>
          <cell r="AH103">
            <v>0</v>
          </cell>
          <cell r="AX103">
            <v>0</v>
          </cell>
          <cell r="AY103">
            <v>0</v>
          </cell>
          <cell r="AZ103">
            <v>0</v>
          </cell>
        </row>
        <row r="104">
          <cell r="B104" t="str">
            <v>КЭМЗ</v>
          </cell>
          <cell r="C104" t="str">
            <v>Металлопрокат</v>
          </cell>
          <cell r="G104">
            <v>12676.62</v>
          </cell>
          <cell r="AH104">
            <v>0</v>
          </cell>
          <cell r="AX104">
            <v>0</v>
          </cell>
          <cell r="AY104">
            <v>0</v>
          </cell>
          <cell r="AZ104">
            <v>0</v>
          </cell>
        </row>
        <row r="105">
          <cell r="B105" t="str">
            <v>Кэнтри</v>
          </cell>
          <cell r="C105" t="str">
            <v>Металлопрокат</v>
          </cell>
          <cell r="G105">
            <v>43117.97</v>
          </cell>
          <cell r="L105">
            <v>620000</v>
          </cell>
          <cell r="O105">
            <v>380000</v>
          </cell>
          <cell r="S105">
            <v>250000</v>
          </cell>
          <cell r="AH105">
            <v>2263445.52</v>
          </cell>
          <cell r="AX105">
            <v>19038.023872503982</v>
          </cell>
          <cell r="AY105">
            <v>1979222.928127496</v>
          </cell>
          <cell r="AZ105">
            <v>0</v>
          </cell>
        </row>
        <row r="106">
          <cell r="B106" t="str">
            <v>Лазурь</v>
          </cell>
          <cell r="C106" t="str">
            <v>Металлопрокат</v>
          </cell>
          <cell r="G106">
            <v>9615.6</v>
          </cell>
          <cell r="AH106">
            <v>0</v>
          </cell>
          <cell r="AX106">
            <v>0</v>
          </cell>
          <cell r="AY106">
            <v>0</v>
          </cell>
          <cell r="AZ106">
            <v>0</v>
          </cell>
        </row>
        <row r="107">
          <cell r="B107" t="str">
            <v>Лантратехмаркет</v>
          </cell>
          <cell r="C107" t="str">
            <v>Металлопрокат</v>
          </cell>
          <cell r="G107">
            <v>-884864.95</v>
          </cell>
          <cell r="J107">
            <v>805868.35</v>
          </cell>
          <cell r="AH107">
            <v>65356.6</v>
          </cell>
          <cell r="AX107">
            <v>0</v>
          </cell>
          <cell r="AY107">
            <v>0</v>
          </cell>
          <cell r="AZ107">
            <v>0</v>
          </cell>
        </row>
        <row r="108">
          <cell r="B108" t="str">
            <v>Лемет</v>
          </cell>
          <cell r="C108" t="str">
            <v>Металлопрокат</v>
          </cell>
          <cell r="G108">
            <v>1399451.78</v>
          </cell>
          <cell r="K108">
            <v>400000</v>
          </cell>
          <cell r="W108">
            <v>1100000</v>
          </cell>
          <cell r="AA108">
            <v>1490327</v>
          </cell>
          <cell r="AH108">
            <v>0</v>
          </cell>
          <cell r="AX108">
            <v>1296565.9040000001</v>
          </cell>
          <cell r="AY108">
            <v>2712404.7159999995</v>
          </cell>
          <cell r="AZ108">
            <v>0</v>
          </cell>
        </row>
        <row r="109">
          <cell r="B109" t="str">
            <v>Липецкий тракторостроительный  завод</v>
          </cell>
          <cell r="C109" t="str">
            <v>Металлопрокат</v>
          </cell>
          <cell r="G109">
            <v>1317.6</v>
          </cell>
          <cell r="AH109">
            <v>0</v>
          </cell>
          <cell r="AX109">
            <v>0</v>
          </cell>
          <cell r="AY109">
            <v>0</v>
          </cell>
          <cell r="AZ109">
            <v>0</v>
          </cell>
        </row>
        <row r="110">
          <cell r="B110" t="str">
            <v>Лунимпекс</v>
          </cell>
          <cell r="C110" t="str">
            <v>Металлопрокат</v>
          </cell>
          <cell r="G110">
            <v>3306.62</v>
          </cell>
          <cell r="AH110">
            <v>0</v>
          </cell>
          <cell r="AX110">
            <v>0</v>
          </cell>
          <cell r="AY110">
            <v>0</v>
          </cell>
          <cell r="AZ110">
            <v>0</v>
          </cell>
        </row>
        <row r="111">
          <cell r="B111" t="str">
            <v>Машдеталь</v>
          </cell>
          <cell r="C111" t="str">
            <v>Металлопрокат</v>
          </cell>
          <cell r="G111">
            <v>-19122.14</v>
          </cell>
          <cell r="AH111">
            <v>0</v>
          </cell>
          <cell r="AX111">
            <v>0</v>
          </cell>
          <cell r="AY111">
            <v>0</v>
          </cell>
          <cell r="AZ111">
            <v>0</v>
          </cell>
        </row>
        <row r="112">
          <cell r="B112" t="str">
            <v>Машстройкомплект</v>
          </cell>
          <cell r="C112" t="str">
            <v>Металлопрокат</v>
          </cell>
          <cell r="G112">
            <v>40804.300000000003</v>
          </cell>
          <cell r="AH112">
            <v>0</v>
          </cell>
          <cell r="AX112">
            <v>0</v>
          </cell>
          <cell r="AY112">
            <v>0</v>
          </cell>
          <cell r="AZ112">
            <v>0</v>
          </cell>
        </row>
        <row r="113">
          <cell r="B113" t="str">
            <v>МБК</v>
          </cell>
          <cell r="C113" t="str">
            <v>Металлопрокат</v>
          </cell>
          <cell r="G113">
            <v>0</v>
          </cell>
          <cell r="AH113">
            <v>304440</v>
          </cell>
          <cell r="AX113">
            <v>0</v>
          </cell>
          <cell r="AY113">
            <v>304440</v>
          </cell>
          <cell r="AZ113">
            <v>0</v>
          </cell>
        </row>
        <row r="114">
          <cell r="B114" t="str">
            <v>Мелениум</v>
          </cell>
          <cell r="C114" t="str">
            <v>Металлопрокат</v>
          </cell>
          <cell r="G114">
            <v>221100</v>
          </cell>
          <cell r="AH114">
            <v>0</v>
          </cell>
          <cell r="AX114">
            <v>0</v>
          </cell>
          <cell r="AY114">
            <v>0</v>
          </cell>
          <cell r="AZ114">
            <v>0</v>
          </cell>
        </row>
        <row r="115">
          <cell r="B115" t="str">
            <v>Металл Урала</v>
          </cell>
          <cell r="C115" t="str">
            <v>Металлопрокат</v>
          </cell>
          <cell r="G115">
            <v>235116</v>
          </cell>
          <cell r="AH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B116" t="str">
            <v>Металлкомплект</v>
          </cell>
          <cell r="C116" t="str">
            <v>Металлопрокат</v>
          </cell>
          <cell r="G116">
            <v>570549.61</v>
          </cell>
          <cell r="AA116">
            <v>497010</v>
          </cell>
          <cell r="AH116">
            <v>0</v>
          </cell>
          <cell r="AX116">
            <v>570549.61</v>
          </cell>
          <cell r="AY116">
            <v>497010</v>
          </cell>
          <cell r="AZ116">
            <v>0.39000000001396984</v>
          </cell>
        </row>
        <row r="117">
          <cell r="B117" t="str">
            <v>Металлоснабжение-Спецстали</v>
          </cell>
          <cell r="C117" t="str">
            <v>Металлопрокат</v>
          </cell>
          <cell r="G117">
            <v>-3770073.11</v>
          </cell>
          <cell r="AH117">
            <v>0</v>
          </cell>
          <cell r="AX117">
            <v>0</v>
          </cell>
          <cell r="AY117">
            <v>0</v>
          </cell>
          <cell r="AZ117">
            <v>2611017.6</v>
          </cell>
        </row>
        <row r="118">
          <cell r="B118" t="str">
            <v>Металлсервис</v>
          </cell>
          <cell r="C118" t="str">
            <v>Металлопрокат</v>
          </cell>
          <cell r="G118">
            <v>-12139.04</v>
          </cell>
          <cell r="V118">
            <v>12139</v>
          </cell>
          <cell r="AH118">
            <v>0</v>
          </cell>
          <cell r="AX118">
            <v>0</v>
          </cell>
          <cell r="AY118">
            <v>0</v>
          </cell>
          <cell r="AZ118">
            <v>0</v>
          </cell>
        </row>
        <row r="119">
          <cell r="B119" t="str">
            <v>Металлсодружество</v>
          </cell>
          <cell r="C119" t="str">
            <v>Металлопрокат</v>
          </cell>
          <cell r="G119">
            <v>972480</v>
          </cell>
          <cell r="S119">
            <v>175000</v>
          </cell>
          <cell r="AH119">
            <v>0</v>
          </cell>
          <cell r="AX119">
            <v>573480</v>
          </cell>
          <cell r="AY119">
            <v>175000</v>
          </cell>
          <cell r="AZ119">
            <v>398480</v>
          </cell>
        </row>
        <row r="120">
          <cell r="B120" t="str">
            <v>МеталлСтройМонтаж</v>
          </cell>
          <cell r="C120" t="str">
            <v>Металлопрокат</v>
          </cell>
          <cell r="G120">
            <v>-195894.24</v>
          </cell>
          <cell r="Z120">
            <v>195894</v>
          </cell>
          <cell r="AH120">
            <v>0</v>
          </cell>
          <cell r="AX120">
            <v>0</v>
          </cell>
          <cell r="AY120">
            <v>0</v>
          </cell>
          <cell r="AZ120">
            <v>0</v>
          </cell>
        </row>
        <row r="121">
          <cell r="B121" t="str">
            <v>Металлы Поволжья</v>
          </cell>
          <cell r="C121" t="str">
            <v>Металлопрокат</v>
          </cell>
          <cell r="G121">
            <v>50620.62</v>
          </cell>
          <cell r="AH121">
            <v>0</v>
          </cell>
          <cell r="AX121">
            <v>0</v>
          </cell>
          <cell r="AY121">
            <v>0</v>
          </cell>
          <cell r="AZ121">
            <v>0</v>
          </cell>
        </row>
        <row r="122">
          <cell r="B122" t="str">
            <v>Метапласт</v>
          </cell>
          <cell r="C122" t="str">
            <v>Металлопрокат</v>
          </cell>
          <cell r="G122">
            <v>-29503.57</v>
          </cell>
          <cell r="AH122">
            <v>88436.65</v>
          </cell>
          <cell r="AX122">
            <v>0</v>
          </cell>
          <cell r="AY122">
            <v>58933.079999999994</v>
          </cell>
          <cell r="AZ122">
            <v>5914.9200000000055</v>
          </cell>
        </row>
        <row r="123">
          <cell r="B123" t="str">
            <v>Метосфера</v>
          </cell>
          <cell r="C123" t="str">
            <v>Металлопрокат</v>
          </cell>
          <cell r="G123">
            <v>1964079.6</v>
          </cell>
          <cell r="W123">
            <v>365000</v>
          </cell>
          <cell r="AH123">
            <v>0</v>
          </cell>
          <cell r="AX123">
            <v>1028924.8090196779</v>
          </cell>
          <cell r="AY123">
            <v>365000</v>
          </cell>
          <cell r="AZ123">
            <v>930887.39098032238</v>
          </cell>
        </row>
        <row r="124">
          <cell r="B124" t="str">
            <v>Метпромэкс</v>
          </cell>
          <cell r="C124" t="str">
            <v>Металлопрокат</v>
          </cell>
          <cell r="G124">
            <v>103574</v>
          </cell>
          <cell r="K124">
            <v>150020</v>
          </cell>
          <cell r="L124">
            <v>200000</v>
          </cell>
          <cell r="AH124">
            <v>0</v>
          </cell>
          <cell r="AX124">
            <v>103574</v>
          </cell>
          <cell r="AY124">
            <v>350020</v>
          </cell>
          <cell r="AZ124">
            <v>0</v>
          </cell>
        </row>
        <row r="125">
          <cell r="B125" t="str">
            <v>Метхимпром</v>
          </cell>
          <cell r="C125" t="str">
            <v>Металлопрокат</v>
          </cell>
          <cell r="G125">
            <v>25870.66</v>
          </cell>
          <cell r="AH125">
            <v>0</v>
          </cell>
          <cell r="AX125">
            <v>25870.939079395899</v>
          </cell>
          <cell r="AY125">
            <v>0</v>
          </cell>
          <cell r="AZ125">
            <v>18625.540920604097</v>
          </cell>
        </row>
        <row r="126">
          <cell r="B126" t="str">
            <v>Механический завод</v>
          </cell>
          <cell r="C126" t="str">
            <v>Металлопрокат</v>
          </cell>
          <cell r="G126">
            <v>3981.44</v>
          </cell>
          <cell r="AH126">
            <v>0</v>
          </cell>
          <cell r="AX126">
            <v>0</v>
          </cell>
          <cell r="AY126">
            <v>0</v>
          </cell>
          <cell r="AZ126">
            <v>0</v>
          </cell>
        </row>
        <row r="127">
          <cell r="B127" t="str">
            <v>Минимакс</v>
          </cell>
          <cell r="C127" t="str">
            <v>Металлопрокат</v>
          </cell>
          <cell r="G127">
            <v>1055649.8999999999</v>
          </cell>
          <cell r="AH127">
            <v>1446400</v>
          </cell>
          <cell r="AX127">
            <v>963262.32933333365</v>
          </cell>
          <cell r="AY127">
            <v>0</v>
          </cell>
          <cell r="AZ127">
            <v>0</v>
          </cell>
        </row>
        <row r="128">
          <cell r="B128" t="str">
            <v>МО им. К.Маркса</v>
          </cell>
          <cell r="C128" t="str">
            <v>Металлопрокат</v>
          </cell>
          <cell r="G128">
            <v>-1692</v>
          </cell>
          <cell r="J128">
            <v>1692</v>
          </cell>
          <cell r="AH128">
            <v>0</v>
          </cell>
          <cell r="AX128">
            <v>0</v>
          </cell>
          <cell r="AY128">
            <v>0</v>
          </cell>
          <cell r="AZ128">
            <v>0</v>
          </cell>
        </row>
        <row r="129">
          <cell r="B129" t="str">
            <v>Монтажсвязьсервис ООО</v>
          </cell>
          <cell r="C129" t="str">
            <v>Металлопрокат</v>
          </cell>
          <cell r="G129">
            <v>219950.16</v>
          </cell>
          <cell r="AH129">
            <v>0</v>
          </cell>
          <cell r="AX129">
            <v>0</v>
          </cell>
          <cell r="AY129">
            <v>0</v>
          </cell>
          <cell r="AZ129">
            <v>0</v>
          </cell>
        </row>
        <row r="130">
          <cell r="B130" t="str">
            <v>Мордовцемент</v>
          </cell>
          <cell r="C130" t="str">
            <v>Металлопрокат</v>
          </cell>
          <cell r="G130">
            <v>720000</v>
          </cell>
          <cell r="AH130">
            <v>0</v>
          </cell>
          <cell r="AX130">
            <v>0</v>
          </cell>
          <cell r="AY130">
            <v>0</v>
          </cell>
          <cell r="AZ130">
            <v>0</v>
          </cell>
        </row>
        <row r="131">
          <cell r="B131" t="str">
            <v>МПО по вып. алмазного инструмента</v>
          </cell>
          <cell r="C131" t="str">
            <v>Металлопрокат</v>
          </cell>
          <cell r="G131">
            <v>140940</v>
          </cell>
          <cell r="AH131">
            <v>0</v>
          </cell>
          <cell r="AX131">
            <v>140940</v>
          </cell>
          <cell r="AY131">
            <v>0</v>
          </cell>
          <cell r="AZ131">
            <v>28188</v>
          </cell>
        </row>
        <row r="132">
          <cell r="B132" t="str">
            <v>Немо</v>
          </cell>
          <cell r="C132" t="str">
            <v>Металлопрокат</v>
          </cell>
          <cell r="G132">
            <v>-245639.55</v>
          </cell>
          <cell r="AH132">
            <v>94836</v>
          </cell>
          <cell r="AX132">
            <v>0</v>
          </cell>
          <cell r="AY132">
            <v>0</v>
          </cell>
          <cell r="AZ132">
            <v>0</v>
          </cell>
        </row>
        <row r="133">
          <cell r="B133" t="str">
            <v>Нержавеющий Супермаркет</v>
          </cell>
          <cell r="C133" t="str">
            <v>Металлопрокат</v>
          </cell>
          <cell r="G133">
            <v>1438680</v>
          </cell>
          <cell r="K133">
            <v>329940</v>
          </cell>
          <cell r="O133">
            <v>135000</v>
          </cell>
          <cell r="AH133">
            <v>0</v>
          </cell>
          <cell r="AX133">
            <v>0</v>
          </cell>
          <cell r="AY133">
            <v>0</v>
          </cell>
          <cell r="AZ133">
            <v>0</v>
          </cell>
        </row>
        <row r="134">
          <cell r="B134" t="str">
            <v>Нефтехим ООО</v>
          </cell>
          <cell r="C134" t="str">
            <v>Металлопрокат</v>
          </cell>
          <cell r="G134">
            <v>1047786.62</v>
          </cell>
          <cell r="S134">
            <v>2008610</v>
          </cell>
          <cell r="X134">
            <v>360000</v>
          </cell>
          <cell r="AH134">
            <v>107025.8</v>
          </cell>
          <cell r="AX134">
            <v>1047786.5788618905</v>
          </cell>
          <cell r="AY134">
            <v>2008610.3011381095</v>
          </cell>
          <cell r="AZ134">
            <v>0</v>
          </cell>
        </row>
        <row r="135">
          <cell r="B135" t="str">
            <v>Нефтехимсервис</v>
          </cell>
          <cell r="C135" t="str">
            <v>Металлопрокат</v>
          </cell>
          <cell r="G135">
            <v>240000</v>
          </cell>
          <cell r="S135">
            <v>160000</v>
          </cell>
          <cell r="T135">
            <v>151462</v>
          </cell>
          <cell r="AH135">
            <v>0</v>
          </cell>
          <cell r="AX135">
            <v>45438.479999999989</v>
          </cell>
          <cell r="AY135">
            <v>106023.12</v>
          </cell>
          <cell r="AZ135">
            <v>0</v>
          </cell>
        </row>
        <row r="136">
          <cell r="B136" t="str">
            <v>Нижне-Волжский территориальный монтажный комплекс</v>
          </cell>
          <cell r="C136" t="str">
            <v>Металлопрокат</v>
          </cell>
          <cell r="G136">
            <v>0.01</v>
          </cell>
          <cell r="AH136">
            <v>0</v>
          </cell>
          <cell r="AX136">
            <v>0</v>
          </cell>
          <cell r="AY136">
            <v>0</v>
          </cell>
          <cell r="AZ136">
            <v>0</v>
          </cell>
        </row>
        <row r="137">
          <cell r="B137" t="str">
            <v>Нижневолжскхимресурс</v>
          </cell>
          <cell r="C137" t="str">
            <v>Металлопрокат</v>
          </cell>
          <cell r="G137">
            <v>-161504.78</v>
          </cell>
          <cell r="N137">
            <v>161505</v>
          </cell>
          <cell r="S137">
            <v>200000</v>
          </cell>
          <cell r="W137">
            <v>601609</v>
          </cell>
          <cell r="AH137">
            <v>0</v>
          </cell>
          <cell r="AX137">
            <v>0</v>
          </cell>
          <cell r="AY137">
            <v>801608.94</v>
          </cell>
          <cell r="AZ137">
            <v>0</v>
          </cell>
        </row>
        <row r="138">
          <cell r="B138" t="str">
            <v>Новочеркасский электродный завод</v>
          </cell>
          <cell r="C138" t="str">
            <v>Металлопрокат</v>
          </cell>
          <cell r="G138">
            <v>0</v>
          </cell>
          <cell r="AH138">
            <v>105000</v>
          </cell>
          <cell r="AX138">
            <v>0</v>
          </cell>
          <cell r="AY138">
            <v>0</v>
          </cell>
          <cell r="AZ138">
            <v>0</v>
          </cell>
        </row>
        <row r="139">
          <cell r="B139" t="str">
            <v>НьюМакСтрой</v>
          </cell>
          <cell r="C139" t="str">
            <v>Металлопрокат</v>
          </cell>
          <cell r="G139">
            <v>140797.04</v>
          </cell>
          <cell r="W139">
            <v>36202</v>
          </cell>
          <cell r="AH139">
            <v>0</v>
          </cell>
          <cell r="AX139">
            <v>140797.16727487952</v>
          </cell>
          <cell r="AY139">
            <v>36201.992725120479</v>
          </cell>
          <cell r="AZ139">
            <v>0</v>
          </cell>
        </row>
        <row r="140">
          <cell r="B140" t="str">
            <v>Обуховский завод</v>
          </cell>
          <cell r="C140" t="str">
            <v>Металлопрокат</v>
          </cell>
          <cell r="G140">
            <v>334157</v>
          </cell>
          <cell r="AH140">
            <v>0</v>
          </cell>
          <cell r="AX140">
            <v>334157.40000000002</v>
          </cell>
          <cell r="AY140">
            <v>0</v>
          </cell>
          <cell r="AZ140">
            <v>0</v>
          </cell>
        </row>
        <row r="141">
          <cell r="B141" t="str">
            <v>Огнеупор-комплект</v>
          </cell>
          <cell r="C141" t="str">
            <v>Металлопрокат</v>
          </cell>
          <cell r="G141">
            <v>103593.22</v>
          </cell>
          <cell r="AH141">
            <v>0</v>
          </cell>
          <cell r="AX141">
            <v>0</v>
          </cell>
          <cell r="AY141">
            <v>0</v>
          </cell>
          <cell r="AZ141">
            <v>0</v>
          </cell>
        </row>
        <row r="142">
          <cell r="B142" t="str">
            <v>Оптчерметснаб</v>
          </cell>
          <cell r="C142" t="str">
            <v>Металлопрокат</v>
          </cell>
          <cell r="G142">
            <v>2989.93</v>
          </cell>
          <cell r="AH142">
            <v>0</v>
          </cell>
          <cell r="AX142">
            <v>0</v>
          </cell>
          <cell r="AY142">
            <v>0</v>
          </cell>
          <cell r="AZ142">
            <v>0</v>
          </cell>
        </row>
        <row r="143">
          <cell r="B143" t="str">
            <v>Орбита</v>
          </cell>
          <cell r="C143" t="str">
            <v>Металлопрокат</v>
          </cell>
          <cell r="G143">
            <v>-5940</v>
          </cell>
          <cell r="AH143">
            <v>0</v>
          </cell>
          <cell r="AX143">
            <v>0</v>
          </cell>
          <cell r="AY143">
            <v>0</v>
          </cell>
          <cell r="AZ143">
            <v>0</v>
          </cell>
        </row>
        <row r="144">
          <cell r="B144" t="str">
            <v>Павловский автобус</v>
          </cell>
          <cell r="C144" t="str">
            <v>Металлопрокат</v>
          </cell>
          <cell r="G144">
            <v>-194060.36</v>
          </cell>
          <cell r="Z144">
            <v>184478</v>
          </cell>
          <cell r="AH144">
            <v>250000</v>
          </cell>
          <cell r="AX144">
            <v>0</v>
          </cell>
          <cell r="AY144">
            <v>240417.64</v>
          </cell>
          <cell r="AZ144">
            <v>0.44000000000232831</v>
          </cell>
        </row>
        <row r="145">
          <cell r="B145" t="str">
            <v>Пензхиммаш</v>
          </cell>
          <cell r="C145" t="str">
            <v>Металлопрокат</v>
          </cell>
          <cell r="G145">
            <v>2317.4</v>
          </cell>
          <cell r="AH145">
            <v>0</v>
          </cell>
          <cell r="AX145">
            <v>0</v>
          </cell>
          <cell r="AY145">
            <v>0</v>
          </cell>
          <cell r="AZ145">
            <v>0</v>
          </cell>
        </row>
        <row r="146">
          <cell r="B146" t="str">
            <v>ПЗ-34</v>
          </cell>
          <cell r="C146" t="str">
            <v>Металлопрокат</v>
          </cell>
          <cell r="G146">
            <v>-1096.6400000000001</v>
          </cell>
          <cell r="N146">
            <v>1097</v>
          </cell>
          <cell r="W146">
            <v>118679</v>
          </cell>
          <cell r="AH146">
            <v>0</v>
          </cell>
          <cell r="AX146">
            <v>0</v>
          </cell>
          <cell r="AY146">
            <v>118679.04000000001</v>
          </cell>
          <cell r="AZ146">
            <v>0</v>
          </cell>
        </row>
        <row r="147">
          <cell r="B147" t="str">
            <v>Продхимресурс</v>
          </cell>
          <cell r="C147" t="str">
            <v>Металлопрокат</v>
          </cell>
          <cell r="G147">
            <v>-128129.04</v>
          </cell>
          <cell r="AH147">
            <v>0</v>
          </cell>
          <cell r="AX147">
            <v>0</v>
          </cell>
          <cell r="AY147">
            <v>0</v>
          </cell>
          <cell r="AZ147">
            <v>0</v>
          </cell>
        </row>
        <row r="148">
          <cell r="B148" t="str">
            <v>Промвек</v>
          </cell>
          <cell r="C148" t="str">
            <v>Металлопрокат</v>
          </cell>
          <cell r="G148">
            <v>1989519.77</v>
          </cell>
          <cell r="S148">
            <v>262030</v>
          </cell>
          <cell r="T148">
            <v>330000</v>
          </cell>
          <cell r="AH148">
            <v>0</v>
          </cell>
          <cell r="AX148">
            <v>1989519.6300000001</v>
          </cell>
          <cell r="AY148">
            <v>262029.09000000008</v>
          </cell>
          <cell r="AZ148">
            <v>0</v>
          </cell>
        </row>
        <row r="149">
          <cell r="B149" t="str">
            <v>Промет</v>
          </cell>
          <cell r="C149" t="str">
            <v>Металлопрокат</v>
          </cell>
          <cell r="G149">
            <v>-601826.43000000005</v>
          </cell>
          <cell r="R149">
            <v>601826</v>
          </cell>
          <cell r="AH149">
            <v>1324253</v>
          </cell>
          <cell r="AX149">
            <v>0</v>
          </cell>
          <cell r="AY149">
            <v>1324252.56</v>
          </cell>
          <cell r="AZ149">
            <v>0</v>
          </cell>
        </row>
        <row r="150">
          <cell r="B150" t="str">
            <v>ПромМетЭкс</v>
          </cell>
          <cell r="C150" t="str">
            <v>Металлопрокат</v>
          </cell>
          <cell r="G150">
            <v>-15227.16</v>
          </cell>
          <cell r="J150">
            <v>15227</v>
          </cell>
          <cell r="L150">
            <v>340885</v>
          </cell>
          <cell r="AH150">
            <v>0</v>
          </cell>
          <cell r="AX150">
            <v>0</v>
          </cell>
          <cell r="AY150">
            <v>0</v>
          </cell>
          <cell r="AZ150">
            <v>0</v>
          </cell>
        </row>
        <row r="151">
          <cell r="B151" t="str">
            <v>Промспецсталь</v>
          </cell>
          <cell r="C151" t="str">
            <v>Металлопрокат</v>
          </cell>
          <cell r="G151">
            <v>150000</v>
          </cell>
          <cell r="AH151">
            <v>0</v>
          </cell>
          <cell r="AX151">
            <v>0</v>
          </cell>
          <cell r="AY151">
            <v>0</v>
          </cell>
          <cell r="AZ151">
            <v>0</v>
          </cell>
        </row>
        <row r="152">
          <cell r="B152" t="str">
            <v>Промстальинвест</v>
          </cell>
          <cell r="C152" t="str">
            <v>Металлопрокат</v>
          </cell>
          <cell r="G152">
            <v>-871062.1</v>
          </cell>
          <cell r="AH152">
            <v>871062</v>
          </cell>
          <cell r="AX152">
            <v>0</v>
          </cell>
          <cell r="AY152">
            <v>0</v>
          </cell>
          <cell r="AZ152">
            <v>0</v>
          </cell>
        </row>
        <row r="153">
          <cell r="B153" t="str">
            <v>Промстрой</v>
          </cell>
          <cell r="C153" t="str">
            <v>Металлопрокат</v>
          </cell>
          <cell r="G153">
            <v>130000</v>
          </cell>
          <cell r="AH153">
            <v>0</v>
          </cell>
          <cell r="AX153">
            <v>0</v>
          </cell>
          <cell r="AY153">
            <v>0</v>
          </cell>
          <cell r="AZ153">
            <v>0</v>
          </cell>
        </row>
        <row r="154">
          <cell r="B154" t="str">
            <v>Промторгстрой</v>
          </cell>
          <cell r="C154" t="str">
            <v>Металлопрокат</v>
          </cell>
          <cell r="G154">
            <v>161837.76000000001</v>
          </cell>
          <cell r="P154">
            <v>25000</v>
          </cell>
          <cell r="AH154">
            <v>0</v>
          </cell>
          <cell r="AX154">
            <v>32350.133063013705</v>
          </cell>
          <cell r="AY154">
            <v>25000</v>
          </cell>
          <cell r="AZ154">
            <v>16194.2669369863</v>
          </cell>
        </row>
        <row r="155">
          <cell r="B155" t="str">
            <v>Промтрактор</v>
          </cell>
          <cell r="C155" t="str">
            <v>Металлопрокат</v>
          </cell>
          <cell r="G155">
            <v>120995.04</v>
          </cell>
          <cell r="AH155">
            <v>0</v>
          </cell>
          <cell r="AX155">
            <v>0</v>
          </cell>
          <cell r="AY155">
            <v>0</v>
          </cell>
          <cell r="AZ155">
            <v>0</v>
          </cell>
        </row>
        <row r="156">
          <cell r="B156" t="str">
            <v>Промышленность и строительство</v>
          </cell>
          <cell r="C156" t="str">
            <v>Металлопрокат</v>
          </cell>
          <cell r="G156">
            <v>-51360</v>
          </cell>
          <cell r="AH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B157" t="str">
            <v>Профстандарт</v>
          </cell>
          <cell r="C157" t="str">
            <v>Металлопрокат</v>
          </cell>
          <cell r="G157">
            <v>399.58</v>
          </cell>
          <cell r="AH157">
            <v>0</v>
          </cell>
          <cell r="AX157">
            <v>0</v>
          </cell>
          <cell r="AY157">
            <v>0</v>
          </cell>
          <cell r="AZ157">
            <v>0</v>
          </cell>
        </row>
        <row r="158">
          <cell r="B158" t="str">
            <v>Профтехкомплект</v>
          </cell>
          <cell r="C158" t="str">
            <v>Металлопрокат</v>
          </cell>
          <cell r="G158">
            <v>111035.04</v>
          </cell>
          <cell r="AH158">
            <v>0</v>
          </cell>
          <cell r="AX158">
            <v>0</v>
          </cell>
          <cell r="AY158">
            <v>0</v>
          </cell>
          <cell r="AZ158">
            <v>0</v>
          </cell>
        </row>
        <row r="159">
          <cell r="B159" t="str">
            <v>Ресурсснабсбыт</v>
          </cell>
          <cell r="C159" t="str">
            <v>Металлопрокат</v>
          </cell>
          <cell r="G159">
            <v>507.48</v>
          </cell>
          <cell r="AH159">
            <v>0</v>
          </cell>
          <cell r="AX159">
            <v>0</v>
          </cell>
          <cell r="AY159">
            <v>0</v>
          </cell>
          <cell r="AZ159">
            <v>0</v>
          </cell>
        </row>
        <row r="160">
          <cell r="B160" t="str">
            <v>Риц</v>
          </cell>
          <cell r="C160" t="str">
            <v>Металлопрокат</v>
          </cell>
          <cell r="G160">
            <v>15654.37</v>
          </cell>
          <cell r="AH160">
            <v>0</v>
          </cell>
          <cell r="AX160">
            <v>0</v>
          </cell>
          <cell r="AY160">
            <v>0</v>
          </cell>
          <cell r="AZ160">
            <v>0</v>
          </cell>
        </row>
        <row r="161">
          <cell r="B161" t="str">
            <v>Роза Мира</v>
          </cell>
          <cell r="C161" t="str">
            <v>Металлопрокат</v>
          </cell>
          <cell r="G161">
            <v>254686.24</v>
          </cell>
          <cell r="T161">
            <v>288000</v>
          </cell>
          <cell r="AH161">
            <v>0</v>
          </cell>
          <cell r="AX161">
            <v>61276.749086567164</v>
          </cell>
          <cell r="AY161">
            <v>35443.250913432836</v>
          </cell>
          <cell r="AZ161">
            <v>0</v>
          </cell>
        </row>
        <row r="162">
          <cell r="B162" t="str">
            <v>Росжелдорснаб</v>
          </cell>
          <cell r="C162" t="str">
            <v>Металлопрокат</v>
          </cell>
          <cell r="G162">
            <v>1236</v>
          </cell>
          <cell r="W162">
            <v>748404</v>
          </cell>
          <cell r="AH162">
            <v>0</v>
          </cell>
          <cell r="AX162">
            <v>1236.0003165679525</v>
          </cell>
          <cell r="AY162">
            <v>748404</v>
          </cell>
          <cell r="AZ162">
            <v>0.19168343197088689</v>
          </cell>
        </row>
        <row r="163">
          <cell r="B163" t="str">
            <v>Рудгормаш</v>
          </cell>
          <cell r="C163" t="str">
            <v>Металлопрокат</v>
          </cell>
          <cell r="G163">
            <v>-8424</v>
          </cell>
          <cell r="AH163">
            <v>0</v>
          </cell>
          <cell r="AX163">
            <v>0</v>
          </cell>
          <cell r="AY163">
            <v>0</v>
          </cell>
          <cell r="AZ163">
            <v>0</v>
          </cell>
        </row>
        <row r="164">
          <cell r="B164" t="str">
            <v>Сага-Максима</v>
          </cell>
          <cell r="C164" t="str">
            <v>Металлопрокат</v>
          </cell>
          <cell r="G164">
            <v>-46969.58</v>
          </cell>
          <cell r="AH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B165" t="str">
            <v>Салют</v>
          </cell>
          <cell r="C165" t="str">
            <v>Металлопрокат</v>
          </cell>
          <cell r="G165">
            <v>-62551.8</v>
          </cell>
          <cell r="V165">
            <v>62552</v>
          </cell>
          <cell r="AH165">
            <v>0</v>
          </cell>
          <cell r="AX165">
            <v>0</v>
          </cell>
          <cell r="AY165">
            <v>0</v>
          </cell>
          <cell r="AZ165">
            <v>0</v>
          </cell>
        </row>
        <row r="166">
          <cell r="B166" t="str">
            <v>Самарский ПЗ</v>
          </cell>
          <cell r="C166" t="str">
            <v>Металлопрокат</v>
          </cell>
          <cell r="G166">
            <v>-1907906.89</v>
          </cell>
          <cell r="J166">
            <v>846642</v>
          </cell>
          <cell r="S166">
            <v>1500000</v>
          </cell>
          <cell r="W166">
            <v>1000000</v>
          </cell>
          <cell r="AH166">
            <v>0</v>
          </cell>
          <cell r="AX166">
            <v>0</v>
          </cell>
          <cell r="AY166">
            <v>1438735.11</v>
          </cell>
          <cell r="AZ166">
            <v>5795990.8019999992</v>
          </cell>
        </row>
        <row r="167">
          <cell r="B167" t="str">
            <v>СВ Сити</v>
          </cell>
          <cell r="C167" t="str">
            <v>Металлопрокат</v>
          </cell>
          <cell r="G167">
            <v>1955.04</v>
          </cell>
          <cell r="AH167">
            <v>0</v>
          </cell>
          <cell r="AX167">
            <v>0</v>
          </cell>
          <cell r="AY167">
            <v>0</v>
          </cell>
          <cell r="AZ167">
            <v>0</v>
          </cell>
        </row>
        <row r="168">
          <cell r="B168" t="str">
            <v>Северо-увальский лес ООО</v>
          </cell>
          <cell r="C168" t="str">
            <v>Металлопрокат</v>
          </cell>
          <cell r="G168">
            <v>282524.02</v>
          </cell>
          <cell r="AH168">
            <v>0</v>
          </cell>
          <cell r="AX168">
            <v>0</v>
          </cell>
          <cell r="AY168">
            <v>0</v>
          </cell>
          <cell r="AZ168">
            <v>0</v>
          </cell>
        </row>
        <row r="169">
          <cell r="B169" t="str">
            <v>Сельхозтехника</v>
          </cell>
          <cell r="C169" t="str">
            <v>Металлопрокат</v>
          </cell>
          <cell r="G169">
            <v>5277</v>
          </cell>
          <cell r="AH169">
            <v>0</v>
          </cell>
          <cell r="AX169">
            <v>0</v>
          </cell>
          <cell r="AY169">
            <v>0</v>
          </cell>
          <cell r="AZ169">
            <v>0</v>
          </cell>
        </row>
        <row r="170">
          <cell r="B170" t="str">
            <v>Сити Ресурс</v>
          </cell>
          <cell r="C170" t="str">
            <v>Металлопрокат</v>
          </cell>
          <cell r="G170">
            <v>0</v>
          </cell>
          <cell r="AH170">
            <v>0</v>
          </cell>
          <cell r="AX170">
            <v>0</v>
          </cell>
          <cell r="AY170">
            <v>0</v>
          </cell>
          <cell r="AZ170">
            <v>0</v>
          </cell>
        </row>
        <row r="171">
          <cell r="B171" t="str">
            <v>Склад Волгоград</v>
          </cell>
          <cell r="C171" t="str">
            <v>Металлопрокат</v>
          </cell>
          <cell r="G171">
            <v>0</v>
          </cell>
          <cell r="J171">
            <v>0</v>
          </cell>
          <cell r="O171">
            <v>2000000</v>
          </cell>
          <cell r="S171">
            <v>2000000</v>
          </cell>
          <cell r="W171">
            <v>3000000</v>
          </cell>
          <cell r="AA171">
            <v>405000</v>
          </cell>
          <cell r="AH171">
            <v>0</v>
          </cell>
          <cell r="AX171">
            <v>0</v>
          </cell>
          <cell r="AY171">
            <v>7405000</v>
          </cell>
          <cell r="AZ171">
            <v>0</v>
          </cell>
        </row>
        <row r="172">
          <cell r="B172" t="str">
            <v>СМК- Волгоград</v>
          </cell>
          <cell r="C172" t="str">
            <v>Металлопрокат</v>
          </cell>
          <cell r="G172">
            <v>70159.199999999997</v>
          </cell>
          <cell r="L172">
            <v>299268</v>
          </cell>
          <cell r="P172">
            <v>880000</v>
          </cell>
          <cell r="AH172">
            <v>0</v>
          </cell>
          <cell r="AX172">
            <v>6307.3793227795613</v>
          </cell>
          <cell r="AY172">
            <v>62500.620677220439</v>
          </cell>
          <cell r="AZ172">
            <v>0</v>
          </cell>
        </row>
        <row r="173">
          <cell r="B173" t="str">
            <v>Совокрим</v>
          </cell>
          <cell r="C173" t="str">
            <v>Металлопрокат</v>
          </cell>
          <cell r="G173">
            <v>1848</v>
          </cell>
          <cell r="AH173">
            <v>0</v>
          </cell>
          <cell r="AX173">
            <v>0</v>
          </cell>
          <cell r="AY173">
            <v>0</v>
          </cell>
          <cell r="AZ173">
            <v>0</v>
          </cell>
        </row>
        <row r="174">
          <cell r="B174" t="str">
            <v>Союзметаллконтракт</v>
          </cell>
          <cell r="C174" t="str">
            <v>Металлопрокат</v>
          </cell>
          <cell r="G174">
            <v>651.78</v>
          </cell>
          <cell r="AH174">
            <v>0</v>
          </cell>
          <cell r="AX174">
            <v>0</v>
          </cell>
          <cell r="AY174">
            <v>0</v>
          </cell>
          <cell r="AZ174">
            <v>0</v>
          </cell>
        </row>
        <row r="175">
          <cell r="B175" t="str">
            <v>Союзстроймонтаж</v>
          </cell>
          <cell r="C175" t="str">
            <v>Металлопрокат</v>
          </cell>
          <cell r="G175">
            <v>-45186</v>
          </cell>
          <cell r="AH175">
            <v>0</v>
          </cell>
          <cell r="AX175">
            <v>0</v>
          </cell>
          <cell r="AY175">
            <v>0</v>
          </cell>
          <cell r="AZ175">
            <v>0</v>
          </cell>
        </row>
        <row r="176">
          <cell r="B176" t="str">
            <v>Специнструмент</v>
          </cell>
          <cell r="C176" t="str">
            <v>Металлопрокат</v>
          </cell>
          <cell r="G176">
            <v>1241.06</v>
          </cell>
          <cell r="AH176">
            <v>0</v>
          </cell>
          <cell r="AX176">
            <v>0</v>
          </cell>
          <cell r="AY176">
            <v>0</v>
          </cell>
          <cell r="AZ176">
            <v>0</v>
          </cell>
        </row>
        <row r="177">
          <cell r="B177" t="str">
            <v>Спецсервис</v>
          </cell>
          <cell r="C177" t="str">
            <v>Металлопрокат</v>
          </cell>
          <cell r="G177">
            <v>717810.4</v>
          </cell>
          <cell r="L177">
            <v>1000000</v>
          </cell>
          <cell r="P177">
            <v>1000000</v>
          </cell>
          <cell r="AH177">
            <v>0</v>
          </cell>
          <cell r="AX177">
            <v>0</v>
          </cell>
          <cell r="AY177">
            <v>0</v>
          </cell>
          <cell r="AZ177">
            <v>0</v>
          </cell>
        </row>
        <row r="178">
          <cell r="B178" t="str">
            <v>СпецСтальТрейд</v>
          </cell>
          <cell r="C178" t="str">
            <v>Металлопрокат</v>
          </cell>
          <cell r="G178">
            <v>-8446069.5199999996</v>
          </cell>
          <cell r="AH178">
            <v>0</v>
          </cell>
          <cell r="AX178">
            <v>0</v>
          </cell>
          <cell r="AY178">
            <v>0</v>
          </cell>
          <cell r="AZ178">
            <v>4146557.58</v>
          </cell>
        </row>
        <row r="179">
          <cell r="B179" t="str">
            <v>Стальимпекс</v>
          </cell>
          <cell r="C179" t="str">
            <v>Металлопрокат</v>
          </cell>
          <cell r="G179">
            <v>4382.55</v>
          </cell>
          <cell r="AH179">
            <v>0</v>
          </cell>
          <cell r="AX179">
            <v>0</v>
          </cell>
          <cell r="AY179">
            <v>0</v>
          </cell>
          <cell r="AZ179">
            <v>0</v>
          </cell>
        </row>
        <row r="180">
          <cell r="B180" t="str">
            <v>Стальснаб</v>
          </cell>
          <cell r="C180" t="str">
            <v>Металлопрокат</v>
          </cell>
          <cell r="G180">
            <v>4491</v>
          </cell>
          <cell r="AH180">
            <v>0</v>
          </cell>
          <cell r="AX180">
            <v>0</v>
          </cell>
          <cell r="AY180">
            <v>0</v>
          </cell>
          <cell r="AZ180">
            <v>0</v>
          </cell>
        </row>
        <row r="181">
          <cell r="B181" t="str">
            <v>Стальснаб 2000</v>
          </cell>
          <cell r="C181" t="str">
            <v>Металлопрокат</v>
          </cell>
          <cell r="G181">
            <v>-246885.91</v>
          </cell>
          <cell r="J181">
            <v>246886</v>
          </cell>
          <cell r="K181">
            <v>3253114</v>
          </cell>
          <cell r="X181">
            <v>600000</v>
          </cell>
          <cell r="AH181">
            <v>0</v>
          </cell>
          <cell r="AX181">
            <v>0</v>
          </cell>
          <cell r="AY181">
            <v>2672827.2000000002</v>
          </cell>
          <cell r="AZ181">
            <v>0</v>
          </cell>
        </row>
        <row r="182">
          <cell r="B182" t="str">
            <v>Стальцентр</v>
          </cell>
          <cell r="C182" t="str">
            <v>Металлопрокат</v>
          </cell>
          <cell r="G182">
            <v>-17447.73</v>
          </cell>
          <cell r="AH182">
            <v>0</v>
          </cell>
          <cell r="AX182">
            <v>0</v>
          </cell>
          <cell r="AY182">
            <v>0</v>
          </cell>
          <cell r="AZ182">
            <v>0</v>
          </cell>
        </row>
        <row r="183">
          <cell r="B183" t="str">
            <v>Сталь-Эскорт</v>
          </cell>
          <cell r="C183" t="str">
            <v>Металлопрокат</v>
          </cell>
          <cell r="G183">
            <v>0</v>
          </cell>
          <cell r="AX183">
            <v>0</v>
          </cell>
          <cell r="AY183">
            <v>0</v>
          </cell>
          <cell r="AZ183">
            <v>154740</v>
          </cell>
        </row>
        <row r="184">
          <cell r="B184" t="str">
            <v>Старооскольская опалубка</v>
          </cell>
          <cell r="C184" t="str">
            <v>Металлопрокат</v>
          </cell>
          <cell r="G184">
            <v>17270.64</v>
          </cell>
          <cell r="AH184">
            <v>0</v>
          </cell>
          <cell r="AX184">
            <v>0</v>
          </cell>
          <cell r="AY184">
            <v>0</v>
          </cell>
          <cell r="AZ184">
            <v>0</v>
          </cell>
        </row>
        <row r="185">
          <cell r="B185" t="str">
            <v>Старт-Ресурс</v>
          </cell>
          <cell r="C185" t="str">
            <v>Металлопрокат</v>
          </cell>
          <cell r="G185">
            <v>600000</v>
          </cell>
          <cell r="AA185">
            <v>560540</v>
          </cell>
          <cell r="AH185">
            <v>0</v>
          </cell>
          <cell r="AX185">
            <v>580266.6</v>
          </cell>
          <cell r="AY185">
            <v>560540</v>
          </cell>
          <cell r="AZ185">
            <v>19726.599999999977</v>
          </cell>
        </row>
        <row r="186">
          <cell r="B186" t="str">
            <v>Стиал</v>
          </cell>
          <cell r="C186" t="str">
            <v>Металлопрокат</v>
          </cell>
          <cell r="G186">
            <v>-1207.02</v>
          </cell>
          <cell r="AH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B187" t="str">
            <v>Стройинтерснаб</v>
          </cell>
          <cell r="C187" t="str">
            <v>Металлопрокат</v>
          </cell>
          <cell r="G187">
            <v>-1845585.31</v>
          </cell>
          <cell r="AH187">
            <v>5276990.5199999996</v>
          </cell>
          <cell r="AX187">
            <v>0</v>
          </cell>
          <cell r="AY187">
            <v>3431405.2099999995</v>
          </cell>
          <cell r="AZ187">
            <v>0.43000000109896064</v>
          </cell>
        </row>
        <row r="188">
          <cell r="B188" t="str">
            <v>Стройформ-К</v>
          </cell>
          <cell r="C188" t="str">
            <v>Металлопрокат</v>
          </cell>
          <cell r="G188">
            <v>1130952.8999999999</v>
          </cell>
          <cell r="K188">
            <v>17478.3</v>
          </cell>
          <cell r="AH188">
            <v>0</v>
          </cell>
          <cell r="AX188">
            <v>1124736</v>
          </cell>
          <cell r="AY188">
            <v>0</v>
          </cell>
          <cell r="AZ188">
            <v>0</v>
          </cell>
        </row>
        <row r="189">
          <cell r="B189" t="str">
            <v>Таганрогский метзавод</v>
          </cell>
          <cell r="C189" t="str">
            <v>Металлопрокат</v>
          </cell>
          <cell r="G189">
            <v>-13850.21</v>
          </cell>
          <cell r="Z189">
            <v>13850</v>
          </cell>
          <cell r="AH189">
            <v>0</v>
          </cell>
          <cell r="AX189">
            <v>0</v>
          </cell>
          <cell r="AY189">
            <v>0</v>
          </cell>
          <cell r="AZ189">
            <v>0</v>
          </cell>
        </row>
        <row r="190">
          <cell r="B190" t="str">
            <v>ТД  ЭЗТМ</v>
          </cell>
          <cell r="C190" t="str">
            <v>Металлопрокат</v>
          </cell>
          <cell r="G190">
            <v>-43803</v>
          </cell>
          <cell r="J190">
            <v>28088.27</v>
          </cell>
          <cell r="Z190">
            <v>15715</v>
          </cell>
          <cell r="AH190">
            <v>0</v>
          </cell>
          <cell r="AX190">
            <v>0</v>
          </cell>
          <cell r="AY190">
            <v>0</v>
          </cell>
          <cell r="AZ190">
            <v>0</v>
          </cell>
        </row>
        <row r="191">
          <cell r="B191" t="str">
            <v>Тех-Инжиниринг</v>
          </cell>
          <cell r="C191" t="str">
            <v>Металлопрокат</v>
          </cell>
          <cell r="G191">
            <v>0</v>
          </cell>
          <cell r="K191">
            <v>287928</v>
          </cell>
          <cell r="AH191">
            <v>0</v>
          </cell>
          <cell r="AX191">
            <v>0</v>
          </cell>
          <cell r="AY191">
            <v>0</v>
          </cell>
          <cell r="AZ191">
            <v>0</v>
          </cell>
        </row>
        <row r="192">
          <cell r="B192" t="str">
            <v>Техмашкомплект</v>
          </cell>
          <cell r="C192" t="str">
            <v>Металлопрокат</v>
          </cell>
          <cell r="G192">
            <v>30100</v>
          </cell>
          <cell r="L192">
            <v>114680</v>
          </cell>
          <cell r="T192">
            <v>70000</v>
          </cell>
          <cell r="AH192">
            <v>0</v>
          </cell>
          <cell r="AX192">
            <v>0</v>
          </cell>
          <cell r="AY192">
            <v>0</v>
          </cell>
          <cell r="AZ192">
            <v>0</v>
          </cell>
        </row>
        <row r="193">
          <cell r="B193" t="str">
            <v>Техникс-Групп</v>
          </cell>
          <cell r="C193" t="str">
            <v>Металлопрокат</v>
          </cell>
          <cell r="G193">
            <v>-37678.400000000001</v>
          </cell>
          <cell r="Z193">
            <v>37678</v>
          </cell>
          <cell r="AH193">
            <v>0</v>
          </cell>
          <cell r="AX193">
            <v>0</v>
          </cell>
          <cell r="AY193">
            <v>0</v>
          </cell>
          <cell r="AZ193">
            <v>0</v>
          </cell>
        </row>
        <row r="194">
          <cell r="B194" t="str">
            <v>Технодорс</v>
          </cell>
          <cell r="C194" t="str">
            <v>Металлопрокат</v>
          </cell>
          <cell r="G194">
            <v>671026.74</v>
          </cell>
          <cell r="K194">
            <v>200000</v>
          </cell>
          <cell r="O194">
            <v>70000</v>
          </cell>
          <cell r="S194">
            <v>200000</v>
          </cell>
          <cell r="W194">
            <v>165205</v>
          </cell>
          <cell r="AH194">
            <v>0</v>
          </cell>
          <cell r="AX194">
            <v>316861.61484887608</v>
          </cell>
          <cell r="AY194">
            <v>318834.25715112389</v>
          </cell>
          <cell r="AZ194">
            <v>0</v>
          </cell>
        </row>
        <row r="195">
          <cell r="B195" t="str">
            <v>Техноуайт</v>
          </cell>
          <cell r="C195" t="str">
            <v>Металлопрокат</v>
          </cell>
          <cell r="G195">
            <v>873434.16</v>
          </cell>
          <cell r="AH195">
            <v>0</v>
          </cell>
          <cell r="AX195">
            <v>0</v>
          </cell>
          <cell r="AY195">
            <v>0</v>
          </cell>
          <cell r="AZ195">
            <v>0</v>
          </cell>
        </row>
        <row r="196">
          <cell r="B196" t="str">
            <v>ТехРесурсСервис</v>
          </cell>
          <cell r="C196" t="str">
            <v>Металлопрокат</v>
          </cell>
          <cell r="G196">
            <v>-277754.03999999998</v>
          </cell>
          <cell r="AH196">
            <v>0</v>
          </cell>
          <cell r="AX196">
            <v>0</v>
          </cell>
          <cell r="AY196">
            <v>0</v>
          </cell>
          <cell r="AZ196">
            <v>0</v>
          </cell>
        </row>
        <row r="197">
          <cell r="B197" t="str">
            <v>Техснаб-ресурс</v>
          </cell>
          <cell r="C197" t="str">
            <v>Металлопрокат</v>
          </cell>
          <cell r="G197">
            <v>-64364.4</v>
          </cell>
          <cell r="AX197">
            <v>0</v>
          </cell>
          <cell r="AY197">
            <v>0</v>
          </cell>
          <cell r="AZ197">
            <v>967048.62000000011</v>
          </cell>
        </row>
        <row r="198">
          <cell r="B198" t="str">
            <v>Тинарт</v>
          </cell>
          <cell r="C198" t="str">
            <v>Металлопрокат</v>
          </cell>
          <cell r="G198">
            <v>0</v>
          </cell>
          <cell r="AA198">
            <v>514262</v>
          </cell>
          <cell r="AH198">
            <v>0</v>
          </cell>
          <cell r="AX198">
            <v>0</v>
          </cell>
          <cell r="AY198">
            <v>514262</v>
          </cell>
          <cell r="AZ198">
            <v>0.40000000002328306</v>
          </cell>
        </row>
        <row r="199">
          <cell r="B199" t="str">
            <v>Тмилостройсервис</v>
          </cell>
          <cell r="C199" t="str">
            <v>Металлопрокат</v>
          </cell>
          <cell r="G199">
            <v>-6213190</v>
          </cell>
          <cell r="R199">
            <v>1000000</v>
          </cell>
          <cell r="AH199">
            <v>0</v>
          </cell>
          <cell r="AX199">
            <v>0</v>
          </cell>
          <cell r="AY199">
            <v>0</v>
          </cell>
          <cell r="AZ199">
            <v>823914</v>
          </cell>
        </row>
        <row r="200">
          <cell r="B200" t="str">
            <v>Торговля и сервис</v>
          </cell>
          <cell r="C200" t="str">
            <v>Металлопрокат</v>
          </cell>
          <cell r="G200">
            <v>46620</v>
          </cell>
          <cell r="AH200">
            <v>0</v>
          </cell>
          <cell r="AX200">
            <v>46620</v>
          </cell>
          <cell r="AY200">
            <v>0</v>
          </cell>
          <cell r="AZ200">
            <v>0</v>
          </cell>
        </row>
        <row r="201">
          <cell r="B201" t="str">
            <v>Торговый дом нефтепромыслового оборудования</v>
          </cell>
          <cell r="C201" t="str">
            <v>Металлопрокат</v>
          </cell>
          <cell r="G201">
            <v>478479.6</v>
          </cell>
          <cell r="AA201">
            <v>606920</v>
          </cell>
          <cell r="AH201">
            <v>0</v>
          </cell>
          <cell r="AX201">
            <v>478479.6</v>
          </cell>
          <cell r="AY201">
            <v>606920</v>
          </cell>
          <cell r="AZ201">
            <v>0.40000000002328306</v>
          </cell>
        </row>
        <row r="202">
          <cell r="B202" t="str">
            <v>Точмет</v>
          </cell>
          <cell r="C202" t="str">
            <v>Металлопрокат</v>
          </cell>
          <cell r="G202">
            <v>22915.06</v>
          </cell>
          <cell r="AH202">
            <v>0</v>
          </cell>
          <cell r="AX202">
            <v>0</v>
          </cell>
          <cell r="AY202">
            <v>0</v>
          </cell>
          <cell r="AZ202">
            <v>0</v>
          </cell>
        </row>
        <row r="203">
          <cell r="B203" t="str">
            <v>Тракторозапчасть</v>
          </cell>
          <cell r="C203" t="str">
            <v>Металлопрокат</v>
          </cell>
          <cell r="G203">
            <v>11052.72</v>
          </cell>
          <cell r="AH203">
            <v>0</v>
          </cell>
          <cell r="AX203">
            <v>0</v>
          </cell>
          <cell r="AY203">
            <v>0</v>
          </cell>
          <cell r="AZ203">
            <v>0</v>
          </cell>
        </row>
        <row r="204">
          <cell r="B204" t="str">
            <v>Транзит-сервис-вояж</v>
          </cell>
          <cell r="C204" t="str">
            <v>Металлопрокат</v>
          </cell>
          <cell r="G204">
            <v>-53943.12</v>
          </cell>
          <cell r="AH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B205" t="str">
            <v>Трансавто</v>
          </cell>
          <cell r="C205" t="str">
            <v>Металлопрокат</v>
          </cell>
          <cell r="G205">
            <v>19978.25</v>
          </cell>
          <cell r="AH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B206" t="str">
            <v>Трансметалл</v>
          </cell>
          <cell r="C206" t="str">
            <v>Металлопрокат</v>
          </cell>
          <cell r="G206">
            <v>-64640.86</v>
          </cell>
          <cell r="AH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B207" t="str">
            <v>Трейдагент</v>
          </cell>
          <cell r="C207" t="str">
            <v>Металлопрокат</v>
          </cell>
          <cell r="G207">
            <v>0</v>
          </cell>
          <cell r="AH207">
            <v>875045</v>
          </cell>
          <cell r="AX207">
            <v>0</v>
          </cell>
          <cell r="AY207">
            <v>875045</v>
          </cell>
          <cell r="AZ207">
            <v>0.16000000003259629</v>
          </cell>
        </row>
        <row r="208">
          <cell r="B208" t="str">
            <v>Трио-Сервис</v>
          </cell>
          <cell r="C208" t="str">
            <v>Металлопрокат</v>
          </cell>
          <cell r="G208">
            <v>-6013583.5800000001</v>
          </cell>
          <cell r="J208">
            <v>1000000</v>
          </cell>
          <cell r="N208">
            <v>5013584</v>
          </cell>
          <cell r="T208">
            <v>3000000</v>
          </cell>
          <cell r="W208">
            <v>800000</v>
          </cell>
          <cell r="AH208">
            <v>0</v>
          </cell>
          <cell r="AX208">
            <v>0</v>
          </cell>
          <cell r="AY208">
            <v>852887.80799999996</v>
          </cell>
          <cell r="AZ208">
            <v>0</v>
          </cell>
        </row>
        <row r="209">
          <cell r="B209" t="str">
            <v>Триумф</v>
          </cell>
          <cell r="C209" t="str">
            <v>Металлопрокат</v>
          </cell>
          <cell r="G209">
            <v>700000</v>
          </cell>
          <cell r="O209">
            <v>300000</v>
          </cell>
          <cell r="W209">
            <v>201500</v>
          </cell>
          <cell r="AH209">
            <v>0</v>
          </cell>
          <cell r="AX209">
            <v>700000</v>
          </cell>
          <cell r="AY209">
            <v>501500</v>
          </cell>
          <cell r="AZ209">
            <v>0</v>
          </cell>
        </row>
        <row r="210">
          <cell r="B210" t="str">
            <v>Тутаевский МЗ</v>
          </cell>
          <cell r="C210" t="str">
            <v>Металлопрокат</v>
          </cell>
          <cell r="G210">
            <v>-10.8</v>
          </cell>
          <cell r="AH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B211" t="str">
            <v>Ульяновский автомобильный завод</v>
          </cell>
          <cell r="C211" t="str">
            <v>Металлопрокат</v>
          </cell>
          <cell r="G211">
            <v>-6770715.7599999998</v>
          </cell>
          <cell r="V211">
            <v>2000000</v>
          </cell>
          <cell r="AH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B212" t="str">
            <v>УН им. Ганджиева</v>
          </cell>
          <cell r="C212" t="str">
            <v>Металлопрокат</v>
          </cell>
          <cell r="G212">
            <v>2071.1999999999998</v>
          </cell>
          <cell r="AH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B213" t="str">
            <v>Универ-Стиль</v>
          </cell>
          <cell r="C213" t="str">
            <v>Металлопрокат</v>
          </cell>
          <cell r="G213">
            <v>0</v>
          </cell>
          <cell r="AX213">
            <v>0</v>
          </cell>
          <cell r="AY213">
            <v>0</v>
          </cell>
          <cell r="AZ213">
            <v>99167.135999999999</v>
          </cell>
        </row>
        <row r="214">
          <cell r="B214" t="str">
            <v>Урал -Автомобильный завод</v>
          </cell>
          <cell r="C214" t="str">
            <v>Металлопрокат</v>
          </cell>
          <cell r="G214">
            <v>-5394.84</v>
          </cell>
          <cell r="AH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B215" t="str">
            <v>Уралэлектротяжмаш</v>
          </cell>
          <cell r="C215" t="str">
            <v>Металлопрокат</v>
          </cell>
          <cell r="G215">
            <v>873504</v>
          </cell>
          <cell r="AH215">
            <v>0</v>
          </cell>
          <cell r="AX215">
            <v>873504</v>
          </cell>
          <cell r="AY215">
            <v>0</v>
          </cell>
          <cell r="AZ215">
            <v>0</v>
          </cell>
        </row>
        <row r="216">
          <cell r="B216" t="str">
            <v>Урупское шахтостроительное управление</v>
          </cell>
          <cell r="C216" t="str">
            <v>Металлопрокат</v>
          </cell>
          <cell r="G216">
            <v>6883.16</v>
          </cell>
          <cell r="AH216">
            <v>310800</v>
          </cell>
          <cell r="AX216">
            <v>0</v>
          </cell>
          <cell r="AY216">
            <v>0</v>
          </cell>
          <cell r="AZ216">
            <v>0</v>
          </cell>
        </row>
        <row r="217">
          <cell r="B217" t="str">
            <v>Федерация-Т</v>
          </cell>
          <cell r="C217" t="str">
            <v>Металлопрокат</v>
          </cell>
          <cell r="G217">
            <v>-3822.8</v>
          </cell>
          <cell r="V217">
            <v>3823</v>
          </cell>
          <cell r="AH217">
            <v>0</v>
          </cell>
          <cell r="AX217">
            <v>0</v>
          </cell>
          <cell r="AY217">
            <v>0</v>
          </cell>
          <cell r="AZ217">
            <v>0</v>
          </cell>
        </row>
        <row r="218">
          <cell r="B218" t="str">
            <v>Фонд инвалидов региональных конфликтов и подраздел</v>
          </cell>
          <cell r="C218" t="str">
            <v>Металлопрокат</v>
          </cell>
          <cell r="G218">
            <v>22577.040000000001</v>
          </cell>
          <cell r="AH218">
            <v>0</v>
          </cell>
          <cell r="AX218">
            <v>0</v>
          </cell>
          <cell r="AY218">
            <v>0</v>
          </cell>
          <cell r="AZ218">
            <v>0</v>
          </cell>
        </row>
        <row r="219">
          <cell r="B219" t="str">
            <v>Химснабсбыт</v>
          </cell>
          <cell r="C219" t="str">
            <v>Металлопрокат</v>
          </cell>
          <cell r="G219">
            <v>23032.73</v>
          </cell>
          <cell r="AH219">
            <v>0</v>
          </cell>
          <cell r="AX219">
            <v>0</v>
          </cell>
          <cell r="AY219">
            <v>0</v>
          </cell>
          <cell r="AZ219">
            <v>0</v>
          </cell>
        </row>
        <row r="220">
          <cell r="B220" t="str">
            <v>Центрсевер</v>
          </cell>
          <cell r="C220" t="str">
            <v>Металлопрокат</v>
          </cell>
          <cell r="G220">
            <v>573706.07999999996</v>
          </cell>
          <cell r="AH220">
            <v>0</v>
          </cell>
          <cell r="AX220">
            <v>0</v>
          </cell>
          <cell r="AY220">
            <v>0</v>
          </cell>
          <cell r="AZ220">
            <v>0</v>
          </cell>
        </row>
        <row r="221">
          <cell r="B221" t="str">
            <v>Центрстальторг</v>
          </cell>
          <cell r="C221" t="str">
            <v>Металлопрокат</v>
          </cell>
          <cell r="G221">
            <v>-1387935.05</v>
          </cell>
          <cell r="J221">
            <v>1387935</v>
          </cell>
          <cell r="L221">
            <v>5222358</v>
          </cell>
          <cell r="S221">
            <v>500000</v>
          </cell>
          <cell r="W221">
            <v>1000000</v>
          </cell>
          <cell r="AA221">
            <v>2000000</v>
          </cell>
          <cell r="AH221">
            <v>0</v>
          </cell>
          <cell r="AX221">
            <v>0</v>
          </cell>
          <cell r="AY221">
            <v>8722357.9499999993</v>
          </cell>
          <cell r="AZ221">
            <v>1240419.8100000024</v>
          </cell>
        </row>
        <row r="222">
          <cell r="B222" t="str">
            <v>Челябинский меткомбинат</v>
          </cell>
          <cell r="C222" t="str">
            <v>Металлопрокат</v>
          </cell>
          <cell r="G222">
            <v>1030641.27</v>
          </cell>
          <cell r="AH222">
            <v>0</v>
          </cell>
          <cell r="AX222">
            <v>0</v>
          </cell>
          <cell r="AY222">
            <v>0</v>
          </cell>
          <cell r="AZ222">
            <v>0</v>
          </cell>
        </row>
        <row r="223">
          <cell r="B223" t="str">
            <v>Шахтинский завод "Гидропривод"</v>
          </cell>
          <cell r="C223" t="str">
            <v>Металлопрокат</v>
          </cell>
          <cell r="G223">
            <v>158400</v>
          </cell>
          <cell r="AH223">
            <v>0</v>
          </cell>
          <cell r="AX223">
            <v>0</v>
          </cell>
          <cell r="AY223">
            <v>0</v>
          </cell>
          <cell r="AZ223">
            <v>0</v>
          </cell>
        </row>
        <row r="224">
          <cell r="B224" t="str">
            <v>Шахтинский ремонтно-механический завод</v>
          </cell>
          <cell r="C224" t="str">
            <v>Металлопрокат</v>
          </cell>
          <cell r="G224">
            <v>999.6</v>
          </cell>
          <cell r="AH224">
            <v>0</v>
          </cell>
          <cell r="AX224">
            <v>0</v>
          </cell>
          <cell r="AY224">
            <v>0</v>
          </cell>
          <cell r="AZ224">
            <v>0</v>
          </cell>
        </row>
        <row r="225">
          <cell r="B225" t="str">
            <v>Экстра Блиц</v>
          </cell>
          <cell r="C225" t="str">
            <v>Металлопрокат</v>
          </cell>
          <cell r="G225">
            <v>1023158</v>
          </cell>
          <cell r="AH225">
            <v>0</v>
          </cell>
          <cell r="AX225">
            <v>0</v>
          </cell>
          <cell r="AY225">
            <v>0</v>
          </cell>
          <cell r="AZ225">
            <v>0</v>
          </cell>
        </row>
        <row r="226">
          <cell r="B226" t="str">
            <v>ЭЛИОТ</v>
          </cell>
          <cell r="C226" t="str">
            <v>Металлопрокат</v>
          </cell>
          <cell r="G226">
            <v>15805.26</v>
          </cell>
          <cell r="AH226">
            <v>0</v>
          </cell>
          <cell r="AX226">
            <v>0</v>
          </cell>
          <cell r="AY226">
            <v>0</v>
          </cell>
          <cell r="AZ226">
            <v>0</v>
          </cell>
        </row>
        <row r="227">
          <cell r="B227" t="str">
            <v>Энергомашкорпорация</v>
          </cell>
          <cell r="C227" t="str">
            <v>Металлопрокат</v>
          </cell>
          <cell r="G227">
            <v>116316</v>
          </cell>
          <cell r="L227">
            <v>116316</v>
          </cell>
          <cell r="AH227">
            <v>0</v>
          </cell>
          <cell r="AX227">
            <v>0</v>
          </cell>
          <cell r="AY227">
            <v>0</v>
          </cell>
          <cell r="AZ227">
            <v>0</v>
          </cell>
        </row>
        <row r="228">
          <cell r="B228" t="str">
            <v>Энергомашсервис</v>
          </cell>
          <cell r="C228" t="str">
            <v>Металлопрокат</v>
          </cell>
          <cell r="G228">
            <v>-493.04</v>
          </cell>
          <cell r="AH228">
            <v>0</v>
          </cell>
          <cell r="AX228">
            <v>0</v>
          </cell>
          <cell r="AY228">
            <v>0</v>
          </cell>
          <cell r="AZ228">
            <v>0</v>
          </cell>
        </row>
        <row r="229">
          <cell r="B229" t="str">
            <v>Энергопром новейший</v>
          </cell>
          <cell r="C229" t="str">
            <v>Металлопрокат</v>
          </cell>
          <cell r="G229">
            <v>-18014.080000000002</v>
          </cell>
          <cell r="AH229">
            <v>0</v>
          </cell>
          <cell r="AX229">
            <v>0</v>
          </cell>
          <cell r="AY229">
            <v>0</v>
          </cell>
          <cell r="AZ229">
            <v>0</v>
          </cell>
        </row>
        <row r="230">
          <cell r="B230" t="str">
            <v>Энергопромстрой</v>
          </cell>
          <cell r="C230" t="str">
            <v>Металлопрокат</v>
          </cell>
          <cell r="G230">
            <v>51458.57</v>
          </cell>
          <cell r="AH230">
            <v>0</v>
          </cell>
          <cell r="AX230">
            <v>0</v>
          </cell>
          <cell r="AY230">
            <v>0</v>
          </cell>
          <cell r="AZ230">
            <v>0</v>
          </cell>
        </row>
        <row r="231">
          <cell r="B231" t="str">
            <v>ЭП ЦНИТИ</v>
          </cell>
          <cell r="C231" t="str">
            <v>Металлопрокат</v>
          </cell>
          <cell r="G231">
            <v>-48039</v>
          </cell>
          <cell r="Z231">
            <v>48039</v>
          </cell>
          <cell r="AH231">
            <v>0</v>
          </cell>
          <cell r="AX231">
            <v>0</v>
          </cell>
          <cell r="AY231">
            <v>0</v>
          </cell>
          <cell r="AZ231">
            <v>0</v>
          </cell>
        </row>
        <row r="232">
          <cell r="B232" t="str">
            <v>Эра</v>
          </cell>
          <cell r="C232" t="str">
            <v>Металлопрокат</v>
          </cell>
          <cell r="G232">
            <v>13445.04</v>
          </cell>
          <cell r="AH232">
            <v>0</v>
          </cell>
          <cell r="AX232">
            <v>13445.04</v>
          </cell>
          <cell r="AY232">
            <v>0</v>
          </cell>
          <cell r="AZ232">
            <v>479688.96000000002</v>
          </cell>
        </row>
        <row r="233">
          <cell r="B233" t="str">
            <v>Эталон</v>
          </cell>
          <cell r="C233" t="str">
            <v>Металлопрокат</v>
          </cell>
          <cell r="G233">
            <v>-110224.8</v>
          </cell>
          <cell r="AH233">
            <v>215070</v>
          </cell>
          <cell r="AX233">
            <v>0</v>
          </cell>
          <cell r="AY233">
            <v>104844.78</v>
          </cell>
          <cell r="AZ233">
            <v>0</v>
          </cell>
        </row>
        <row r="234">
          <cell r="B234" t="str">
            <v>Югпромсервис</v>
          </cell>
          <cell r="C234" t="str">
            <v>Металлопрокат</v>
          </cell>
          <cell r="G234">
            <v>93120.960000000006</v>
          </cell>
          <cell r="AH234">
            <v>0</v>
          </cell>
          <cell r="AX234">
            <v>0</v>
          </cell>
          <cell r="AY234">
            <v>0</v>
          </cell>
          <cell r="AZ234">
            <v>0</v>
          </cell>
        </row>
        <row r="235">
          <cell r="B235" t="str">
            <v>Юг-Сталь ООО</v>
          </cell>
          <cell r="C235" t="str">
            <v>Металлопрокат</v>
          </cell>
          <cell r="G235">
            <v>-980456.14</v>
          </cell>
          <cell r="J235">
            <v>980456</v>
          </cell>
          <cell r="L235">
            <v>867324</v>
          </cell>
          <cell r="AH235">
            <v>0</v>
          </cell>
          <cell r="AX235">
            <v>0</v>
          </cell>
          <cell r="AY235">
            <v>0</v>
          </cell>
          <cell r="AZ235">
            <v>0</v>
          </cell>
        </row>
        <row r="236">
          <cell r="B236" t="str">
            <v>Юнивэст-Сити</v>
          </cell>
          <cell r="C236" t="str">
            <v>Металлопрокат</v>
          </cell>
          <cell r="G236">
            <v>19085.88</v>
          </cell>
          <cell r="AH236">
            <v>0</v>
          </cell>
          <cell r="AX236">
            <v>0</v>
          </cell>
          <cell r="AY236">
            <v>0</v>
          </cell>
          <cell r="AZ236">
            <v>0</v>
          </cell>
        </row>
        <row r="237">
          <cell r="B237" t="str">
            <v>ЯЗТА</v>
          </cell>
          <cell r="C237" t="str">
            <v>Металлопрокат</v>
          </cell>
          <cell r="G237">
            <v>-2323.2399999999998</v>
          </cell>
          <cell r="AH237">
            <v>0</v>
          </cell>
          <cell r="AX237">
            <v>0</v>
          </cell>
          <cell r="AY237">
            <v>0</v>
          </cell>
          <cell r="AZ237">
            <v>0</v>
          </cell>
        </row>
        <row r="238">
          <cell r="B238" t="str">
            <v>Ясногорский маш.завод</v>
          </cell>
          <cell r="C238" t="str">
            <v>Металлопрокат</v>
          </cell>
          <cell r="G238">
            <v>23838</v>
          </cell>
          <cell r="AH238">
            <v>0</v>
          </cell>
          <cell r="AX238">
            <v>0</v>
          </cell>
          <cell r="AY238">
            <v>0</v>
          </cell>
          <cell r="AZ238">
            <v>0</v>
          </cell>
        </row>
        <row r="239">
          <cell r="B239" t="str">
            <v>Долгушев</v>
          </cell>
          <cell r="C239" t="str">
            <v>Ферросплавы</v>
          </cell>
          <cell r="G239">
            <v>12818.07</v>
          </cell>
          <cell r="AH239">
            <v>0</v>
          </cell>
          <cell r="AX239">
            <v>0</v>
          </cell>
          <cell r="AY239">
            <v>0</v>
          </cell>
          <cell r="AZ239">
            <v>0</v>
          </cell>
        </row>
        <row r="240">
          <cell r="B240" t="str">
            <v>АМГ Холдинг</v>
          </cell>
          <cell r="C240" t="str">
            <v>Чугун</v>
          </cell>
          <cell r="G240">
            <v>777946.56</v>
          </cell>
          <cell r="J240">
            <v>-100000</v>
          </cell>
          <cell r="N240">
            <v>-100000</v>
          </cell>
          <cell r="R240">
            <v>-100000</v>
          </cell>
          <cell r="AH240">
            <v>0</v>
          </cell>
          <cell r="AX240">
            <v>0</v>
          </cell>
          <cell r="AY240">
            <v>0</v>
          </cell>
          <cell r="AZ240">
            <v>0</v>
          </cell>
        </row>
        <row r="241">
          <cell r="B241" t="str">
            <v>АРТ-1</v>
          </cell>
          <cell r="C241" t="str">
            <v>Добавочные и заправочные</v>
          </cell>
          <cell r="G241">
            <v>1284706.51</v>
          </cell>
          <cell r="J241">
            <v>-300000</v>
          </cell>
          <cell r="N241">
            <v>-300000</v>
          </cell>
          <cell r="R241">
            <v>-300000</v>
          </cell>
          <cell r="AH241">
            <v>0</v>
          </cell>
          <cell r="AX241">
            <v>0</v>
          </cell>
          <cell r="AY241">
            <v>0</v>
          </cell>
          <cell r="AZ241">
            <v>0</v>
          </cell>
        </row>
        <row r="242">
          <cell r="B242" t="str">
            <v>АГА</v>
          </cell>
          <cell r="C242" t="str">
            <v>Прочие вспомогательные</v>
          </cell>
          <cell r="G242">
            <v>280800.84000000003</v>
          </cell>
          <cell r="AH242">
            <v>-116972</v>
          </cell>
          <cell r="AX242">
            <v>0</v>
          </cell>
          <cell r="AY242">
            <v>0</v>
          </cell>
          <cell r="AZ242">
            <v>0</v>
          </cell>
        </row>
        <row r="243">
          <cell r="B243" t="str">
            <v>Агропромцентр</v>
          </cell>
          <cell r="C243" t="str">
            <v>Прочие вспомогательные</v>
          </cell>
          <cell r="G243">
            <v>583125.1</v>
          </cell>
          <cell r="AH243">
            <v>-583125</v>
          </cell>
          <cell r="AX243">
            <v>0</v>
          </cell>
          <cell r="AY243">
            <v>0</v>
          </cell>
          <cell r="AZ243">
            <v>0</v>
          </cell>
        </row>
        <row r="244">
          <cell r="B244" t="str">
            <v>Артания континенталь</v>
          </cell>
          <cell r="C244" t="str">
            <v>Ферросплавы</v>
          </cell>
          <cell r="G244">
            <v>922830.41</v>
          </cell>
          <cell r="AH244">
            <v>-130311</v>
          </cell>
          <cell r="AX244">
            <v>0</v>
          </cell>
          <cell r="AY244">
            <v>0</v>
          </cell>
          <cell r="AZ244">
            <v>0</v>
          </cell>
        </row>
        <row r="245">
          <cell r="B245" t="str">
            <v>БКО ТД</v>
          </cell>
          <cell r="C245" t="str">
            <v>Добавочные и заправочные</v>
          </cell>
          <cell r="G245">
            <v>91645.27</v>
          </cell>
          <cell r="AH245">
            <v>0</v>
          </cell>
          <cell r="AX245">
            <v>0</v>
          </cell>
          <cell r="AY245">
            <v>0</v>
          </cell>
          <cell r="AZ245">
            <v>4062.8232000000003</v>
          </cell>
        </row>
        <row r="246">
          <cell r="B246" t="str">
            <v>БКО ТД</v>
          </cell>
          <cell r="C246" t="str">
            <v>Огнеупоры</v>
          </cell>
          <cell r="G246">
            <v>0</v>
          </cell>
          <cell r="AH246">
            <v>0</v>
          </cell>
          <cell r="AX246">
            <v>0</v>
          </cell>
          <cell r="AY246">
            <v>0</v>
          </cell>
          <cell r="AZ246">
            <v>28262.400000000001</v>
          </cell>
        </row>
        <row r="247">
          <cell r="B247" t="str">
            <v>БНК ООО</v>
          </cell>
          <cell r="C247" t="str">
            <v>Ферросплавы</v>
          </cell>
          <cell r="G247">
            <v>618715.87</v>
          </cell>
          <cell r="AH247">
            <v>0</v>
          </cell>
          <cell r="AX247">
            <v>0</v>
          </cell>
          <cell r="AY247">
            <v>0</v>
          </cell>
          <cell r="AZ247">
            <v>0</v>
          </cell>
        </row>
        <row r="248">
          <cell r="B248" t="str">
            <v>Блок ООО</v>
          </cell>
          <cell r="C248" t="str">
            <v>Огнеупоры</v>
          </cell>
          <cell r="G248">
            <v>734142.21</v>
          </cell>
          <cell r="J248">
            <v>-200000</v>
          </cell>
          <cell r="N248">
            <v>-200000</v>
          </cell>
          <cell r="R248">
            <v>-200000</v>
          </cell>
          <cell r="AH248">
            <v>0</v>
          </cell>
          <cell r="AX248">
            <v>0</v>
          </cell>
          <cell r="AY248">
            <v>0</v>
          </cell>
          <cell r="AZ248">
            <v>0</v>
          </cell>
        </row>
        <row r="249">
          <cell r="B249" t="str">
            <v>ВКПК</v>
          </cell>
          <cell r="C249" t="str">
            <v>Электроды</v>
          </cell>
          <cell r="G249">
            <v>0</v>
          </cell>
          <cell r="AH249">
            <v>0</v>
          </cell>
          <cell r="AX249">
            <v>0</v>
          </cell>
          <cell r="AY249">
            <v>0</v>
          </cell>
          <cell r="AZ249">
            <v>0</v>
          </cell>
        </row>
        <row r="250">
          <cell r="B250" t="str">
            <v>ВО Юни-Экспо</v>
          </cell>
          <cell r="C250" t="str">
            <v>Добавочные и заправочные</v>
          </cell>
          <cell r="G250">
            <v>0.57999999999999996</v>
          </cell>
          <cell r="AH250">
            <v>0</v>
          </cell>
          <cell r="AX250">
            <v>0</v>
          </cell>
          <cell r="AY250">
            <v>0</v>
          </cell>
          <cell r="AZ250">
            <v>0</v>
          </cell>
        </row>
        <row r="251">
          <cell r="B251" t="str">
            <v>Вакуумно-плазменные технологии</v>
          </cell>
          <cell r="C251" t="str">
            <v>Прочие вспомогательные</v>
          </cell>
          <cell r="G251">
            <v>16099.2</v>
          </cell>
          <cell r="AH251">
            <v>0</v>
          </cell>
          <cell r="AX251">
            <v>0</v>
          </cell>
          <cell r="AY251">
            <v>0</v>
          </cell>
          <cell r="AZ251">
            <v>29462.399999999998</v>
          </cell>
        </row>
        <row r="252">
          <cell r="B252" t="str">
            <v>Векта</v>
          </cell>
          <cell r="C252" t="str">
            <v>Ферросплавы</v>
          </cell>
          <cell r="G252">
            <v>904172.89</v>
          </cell>
          <cell r="AH252">
            <v>-1659507</v>
          </cell>
          <cell r="AX252">
            <v>0</v>
          </cell>
          <cell r="AY252">
            <v>755334.11</v>
          </cell>
          <cell r="AZ252">
            <v>2129366.7027999996</v>
          </cell>
        </row>
        <row r="253">
          <cell r="B253" t="str">
            <v>Векта</v>
          </cell>
          <cell r="C253" t="str">
            <v>Добавочные и заправочные</v>
          </cell>
          <cell r="G253">
            <v>0</v>
          </cell>
          <cell r="AH253">
            <v>0</v>
          </cell>
          <cell r="AX253">
            <v>0</v>
          </cell>
          <cell r="AY253">
            <v>0</v>
          </cell>
          <cell r="AZ253">
            <v>301356.31679999997</v>
          </cell>
        </row>
        <row r="254">
          <cell r="B254" t="str">
            <v>Вискоза</v>
          </cell>
          <cell r="C254" t="str">
            <v>Прочие вспомогательные</v>
          </cell>
          <cell r="G254">
            <v>-3932.16</v>
          </cell>
          <cell r="AH254">
            <v>0</v>
          </cell>
          <cell r="AX254">
            <v>0</v>
          </cell>
          <cell r="AY254">
            <v>0</v>
          </cell>
          <cell r="AZ254">
            <v>0</v>
          </cell>
        </row>
        <row r="255">
          <cell r="B255" t="str">
            <v>Волгосталь</v>
          </cell>
          <cell r="C255" t="str">
            <v>Ферросплавы</v>
          </cell>
          <cell r="G255">
            <v>1988440.97</v>
          </cell>
          <cell r="AH255">
            <v>-1247400</v>
          </cell>
          <cell r="AX255">
            <v>0</v>
          </cell>
          <cell r="AY255">
            <v>0</v>
          </cell>
          <cell r="AZ255">
            <v>0</v>
          </cell>
        </row>
        <row r="256">
          <cell r="B256" t="str">
            <v>Волгамет</v>
          </cell>
          <cell r="C256" t="str">
            <v>Прочие вспомогательные</v>
          </cell>
          <cell r="G256">
            <v>1443820.3299999998</v>
          </cell>
          <cell r="AH256">
            <v>-42864</v>
          </cell>
          <cell r="AX256">
            <v>0</v>
          </cell>
          <cell r="AY256">
            <v>0</v>
          </cell>
          <cell r="AZ256">
            <v>0</v>
          </cell>
        </row>
        <row r="257">
          <cell r="B257" t="str">
            <v>Волгоградтранссервис</v>
          </cell>
          <cell r="C257" t="str">
            <v>Прочие вспомогательные</v>
          </cell>
          <cell r="G257">
            <v>-12606.5</v>
          </cell>
          <cell r="AH257">
            <v>0</v>
          </cell>
          <cell r="AX257">
            <v>0</v>
          </cell>
          <cell r="AY257">
            <v>0</v>
          </cell>
          <cell r="AZ257">
            <v>0</v>
          </cell>
        </row>
        <row r="258">
          <cell r="B258" t="str">
            <v>Волгоойлсервис</v>
          </cell>
          <cell r="C258" t="str">
            <v>Прочие вспомогательные</v>
          </cell>
          <cell r="G258">
            <v>576955.69999999995</v>
          </cell>
          <cell r="N258">
            <v>-250000</v>
          </cell>
          <cell r="R258">
            <v>-250000</v>
          </cell>
          <cell r="V258">
            <v>-250000</v>
          </cell>
          <cell r="Z258">
            <v>-250000</v>
          </cell>
          <cell r="AH258">
            <v>0</v>
          </cell>
          <cell r="AX258">
            <v>0</v>
          </cell>
          <cell r="AY258">
            <v>423044.30000000005</v>
          </cell>
          <cell r="AZ258">
            <v>573405.69999999995</v>
          </cell>
        </row>
        <row r="259">
          <cell r="B259" t="str">
            <v>Воронежхимсервис</v>
          </cell>
          <cell r="C259" t="str">
            <v>Огнеупоры</v>
          </cell>
          <cell r="G259">
            <v>2601778.84</v>
          </cell>
          <cell r="N259">
            <v>-500000</v>
          </cell>
          <cell r="R259">
            <v>-500000</v>
          </cell>
          <cell r="AH259">
            <v>-1414947</v>
          </cell>
          <cell r="AX259">
            <v>0</v>
          </cell>
          <cell r="AY259">
            <v>0</v>
          </cell>
          <cell r="AZ259">
            <v>3752776.7532000002</v>
          </cell>
        </row>
        <row r="260">
          <cell r="B260" t="str">
            <v>Воронежхимсервис</v>
          </cell>
          <cell r="C260" t="str">
            <v>Прочие вспомогательные</v>
          </cell>
          <cell r="G260">
            <v>0</v>
          </cell>
          <cell r="AH260">
            <v>0</v>
          </cell>
          <cell r="AX260">
            <v>0</v>
          </cell>
          <cell r="AY260">
            <v>343200</v>
          </cell>
          <cell r="AZ260">
            <v>0</v>
          </cell>
        </row>
        <row r="261">
          <cell r="B261" t="str">
            <v>Втормет</v>
          </cell>
          <cell r="C261" t="str">
            <v>Ферросплавы</v>
          </cell>
          <cell r="G261">
            <v>1285535.3700000001</v>
          </cell>
          <cell r="AH261">
            <v>0</v>
          </cell>
          <cell r="AX261">
            <v>0</v>
          </cell>
          <cell r="AY261">
            <v>0</v>
          </cell>
          <cell r="AZ261">
            <v>0</v>
          </cell>
        </row>
        <row r="262">
          <cell r="B262" t="str">
            <v>ВторметСпециал</v>
          </cell>
          <cell r="C262" t="str">
            <v>Ферросплавы</v>
          </cell>
          <cell r="G262">
            <v>201849.75</v>
          </cell>
          <cell r="AH262">
            <v>0</v>
          </cell>
          <cell r="AX262">
            <v>0</v>
          </cell>
          <cell r="AY262">
            <v>0</v>
          </cell>
          <cell r="AZ262">
            <v>0</v>
          </cell>
        </row>
        <row r="263">
          <cell r="B263" t="str">
            <v>Дельта-Линк</v>
          </cell>
          <cell r="C263" t="str">
            <v>Ферросплавы</v>
          </cell>
          <cell r="G263">
            <v>206776.21</v>
          </cell>
          <cell r="AH263">
            <v>0</v>
          </cell>
          <cell r="AX263">
            <v>0</v>
          </cell>
          <cell r="AY263">
            <v>0</v>
          </cell>
          <cell r="AZ263">
            <v>0</v>
          </cell>
        </row>
        <row r="264">
          <cell r="B264" t="str">
            <v>Дизельспецкомплект</v>
          </cell>
          <cell r="C264" t="str">
            <v>Огнеупоры</v>
          </cell>
          <cell r="G264">
            <v>222000</v>
          </cell>
          <cell r="AH264">
            <v>0</v>
          </cell>
          <cell r="AX264">
            <v>0</v>
          </cell>
          <cell r="AY264">
            <v>0</v>
          </cell>
          <cell r="AZ264">
            <v>0</v>
          </cell>
        </row>
        <row r="265">
          <cell r="B265" t="str">
            <v>Доломит</v>
          </cell>
          <cell r="C265" t="str">
            <v>Добавочные и заправочные</v>
          </cell>
          <cell r="G265">
            <v>-450</v>
          </cell>
          <cell r="AH265">
            <v>0</v>
          </cell>
          <cell r="AX265">
            <v>0</v>
          </cell>
          <cell r="AY265">
            <v>0</v>
          </cell>
          <cell r="AZ265">
            <v>0</v>
          </cell>
        </row>
        <row r="266">
          <cell r="B266" t="str">
            <v>Еткер</v>
          </cell>
          <cell r="C266" t="str">
            <v>Прочие вспомогательные</v>
          </cell>
          <cell r="G266">
            <v>221864.95999999999</v>
          </cell>
          <cell r="N266">
            <v>-100000</v>
          </cell>
          <cell r="AH266">
            <v>0</v>
          </cell>
          <cell r="AX266">
            <v>0</v>
          </cell>
          <cell r="AY266">
            <v>0</v>
          </cell>
          <cell r="AZ266">
            <v>0</v>
          </cell>
        </row>
        <row r="267">
          <cell r="B267" t="str">
            <v>Екатеринбурская Внешнеторг. Компания</v>
          </cell>
          <cell r="C267" t="str">
            <v>Никель</v>
          </cell>
          <cell r="G267">
            <v>-375591.1</v>
          </cell>
          <cell r="AH267">
            <v>0</v>
          </cell>
          <cell r="AX267">
            <v>0</v>
          </cell>
          <cell r="AY267">
            <v>0</v>
          </cell>
          <cell r="AZ267">
            <v>0</v>
          </cell>
        </row>
        <row r="268">
          <cell r="B268" t="str">
            <v>Жизнь</v>
          </cell>
          <cell r="C268" t="str">
            <v>Добавочные и заправочные</v>
          </cell>
          <cell r="G268">
            <v>14640</v>
          </cell>
          <cell r="R268">
            <v>-50000</v>
          </cell>
          <cell r="AH268">
            <v>0</v>
          </cell>
          <cell r="AX268">
            <v>0</v>
          </cell>
          <cell r="AY268">
            <v>35360</v>
          </cell>
          <cell r="AZ268">
            <v>41817.855999999985</v>
          </cell>
        </row>
        <row r="269">
          <cell r="B269" t="str">
            <v>Известняк-Р</v>
          </cell>
          <cell r="C269" t="str">
            <v>Добавочные и заправочные</v>
          </cell>
          <cell r="G269">
            <v>-89768.72</v>
          </cell>
          <cell r="P269">
            <v>-250000</v>
          </cell>
          <cell r="T269">
            <v>-250000</v>
          </cell>
          <cell r="W269">
            <v>-600000</v>
          </cell>
          <cell r="AH269">
            <v>0</v>
          </cell>
          <cell r="AX269">
            <v>89768.72</v>
          </cell>
          <cell r="AY269">
            <v>436920.06400000001</v>
          </cell>
          <cell r="AZ269">
            <v>0</v>
          </cell>
        </row>
        <row r="270">
          <cell r="B270" t="str">
            <v>Ино-Сплав</v>
          </cell>
          <cell r="C270" t="str">
            <v>Прочие вспомогательные</v>
          </cell>
          <cell r="G270">
            <v>-72662.36</v>
          </cell>
          <cell r="AH270">
            <v>-378000</v>
          </cell>
          <cell r="AX270">
            <v>72662.36</v>
          </cell>
          <cell r="AY270">
            <v>378000</v>
          </cell>
          <cell r="AZ270">
            <v>4573.5320000000065</v>
          </cell>
        </row>
        <row r="271">
          <cell r="B271" t="str">
            <v>ИнтерСталь Трейдинг</v>
          </cell>
          <cell r="C271" t="str">
            <v>Прочие вспомогательные</v>
          </cell>
          <cell r="G271">
            <v>1306935</v>
          </cell>
          <cell r="N271">
            <v>-300000</v>
          </cell>
          <cell r="R271">
            <v>-300000</v>
          </cell>
          <cell r="V271">
            <v>-300000</v>
          </cell>
          <cell r="Z271">
            <v>-300000</v>
          </cell>
          <cell r="AH271">
            <v>0</v>
          </cell>
          <cell r="AX271">
            <v>0</v>
          </cell>
          <cell r="AY271">
            <v>0</v>
          </cell>
          <cell r="AZ271">
            <v>0</v>
          </cell>
        </row>
        <row r="272">
          <cell r="B272" t="str">
            <v>Картаж</v>
          </cell>
          <cell r="C272" t="str">
            <v>Чугун</v>
          </cell>
          <cell r="G272">
            <v>-2342042.75</v>
          </cell>
          <cell r="AH272">
            <v>0</v>
          </cell>
          <cell r="AX272">
            <v>0</v>
          </cell>
          <cell r="AY272">
            <v>0</v>
          </cell>
          <cell r="AZ272">
            <v>0</v>
          </cell>
        </row>
        <row r="273">
          <cell r="B273" t="str">
            <v>Каскад АВС</v>
          </cell>
          <cell r="C273" t="str">
            <v>Ферросплавы</v>
          </cell>
          <cell r="G273">
            <v>715610.88</v>
          </cell>
          <cell r="AH273">
            <v>0</v>
          </cell>
          <cell r="AX273">
            <v>0</v>
          </cell>
          <cell r="AY273">
            <v>0</v>
          </cell>
          <cell r="AZ273">
            <v>0</v>
          </cell>
        </row>
        <row r="274">
          <cell r="B274" t="str">
            <v>Коламбия</v>
          </cell>
          <cell r="C274" t="str">
            <v>Никель</v>
          </cell>
          <cell r="G274">
            <v>0</v>
          </cell>
          <cell r="AH274">
            <v>-8793464</v>
          </cell>
          <cell r="AX274">
            <v>0</v>
          </cell>
          <cell r="AY274">
            <v>8793464</v>
          </cell>
          <cell r="AZ274">
            <v>5894536</v>
          </cell>
        </row>
        <row r="275">
          <cell r="B275" t="str">
            <v xml:space="preserve">Коламбия </v>
          </cell>
          <cell r="C275" t="str">
            <v>Прочие вспомогательные</v>
          </cell>
          <cell r="G275">
            <v>6839740.5500000007</v>
          </cell>
          <cell r="AH275">
            <v>0</v>
          </cell>
          <cell r="AX275">
            <v>0</v>
          </cell>
          <cell r="AY275">
            <v>0</v>
          </cell>
          <cell r="AZ275">
            <v>1500000</v>
          </cell>
        </row>
        <row r="276">
          <cell r="B276" t="str">
            <v xml:space="preserve">Кандопога </v>
          </cell>
          <cell r="C276" t="str">
            <v>Ферросплавы</v>
          </cell>
          <cell r="G276">
            <v>0.32</v>
          </cell>
          <cell r="AH276">
            <v>0</v>
          </cell>
          <cell r="AX276">
            <v>0</v>
          </cell>
          <cell r="AY276">
            <v>0</v>
          </cell>
          <cell r="AZ276">
            <v>0</v>
          </cell>
        </row>
        <row r="277">
          <cell r="B277" t="str">
            <v>Кредо лайф</v>
          </cell>
          <cell r="C277" t="str">
            <v>Ферросплавы</v>
          </cell>
          <cell r="G277">
            <v>0.2</v>
          </cell>
          <cell r="AH277">
            <v>0</v>
          </cell>
          <cell r="AX277">
            <v>0</v>
          </cell>
          <cell r="AY277">
            <v>0</v>
          </cell>
          <cell r="AZ277">
            <v>0</v>
          </cell>
        </row>
        <row r="278">
          <cell r="B278" t="str">
            <v>Кэнтри</v>
          </cell>
          <cell r="C278" t="str">
            <v>Ферросплавы</v>
          </cell>
          <cell r="G278">
            <v>1263445.52</v>
          </cell>
          <cell r="AH278">
            <v>-1263446</v>
          </cell>
          <cell r="AX278">
            <v>0</v>
          </cell>
          <cell r="AY278">
            <v>0</v>
          </cell>
          <cell r="AZ278">
            <v>0</v>
          </cell>
        </row>
        <row r="279">
          <cell r="B279" t="str">
            <v>Лантратехмаркет</v>
          </cell>
          <cell r="C279" t="str">
            <v>Прочие вспомогательные</v>
          </cell>
          <cell r="G279">
            <v>65356.6</v>
          </cell>
          <cell r="AH279">
            <v>-65357</v>
          </cell>
          <cell r="AX279">
            <v>0</v>
          </cell>
          <cell r="AY279">
            <v>0</v>
          </cell>
          <cell r="AZ279">
            <v>0</v>
          </cell>
        </row>
        <row r="280">
          <cell r="B280" t="str">
            <v>МБК</v>
          </cell>
          <cell r="C280" t="str">
            <v>Прочие вспомогательные</v>
          </cell>
          <cell r="G280">
            <v>616649.77</v>
          </cell>
          <cell r="AH280">
            <v>-304440</v>
          </cell>
          <cell r="AX280">
            <v>0</v>
          </cell>
          <cell r="AY280">
            <v>0</v>
          </cell>
          <cell r="AZ280">
            <v>650000</v>
          </cell>
        </row>
        <row r="281">
          <cell r="B281" t="str">
            <v>Мир-ЛК</v>
          </cell>
          <cell r="C281" t="str">
            <v>Чугун</v>
          </cell>
          <cell r="G281">
            <v>3817732.4</v>
          </cell>
          <cell r="N281">
            <v>-1000000</v>
          </cell>
          <cell r="R281">
            <v>-1000000</v>
          </cell>
          <cell r="AH281">
            <v>0</v>
          </cell>
          <cell r="AX281">
            <v>0</v>
          </cell>
          <cell r="AY281">
            <v>0</v>
          </cell>
          <cell r="AZ281">
            <v>0</v>
          </cell>
        </row>
        <row r="282">
          <cell r="B282" t="str">
            <v>МРКС Урал</v>
          </cell>
          <cell r="C282" t="str">
            <v>Ферросплавы</v>
          </cell>
          <cell r="G282">
            <v>305689.21999999997</v>
          </cell>
          <cell r="R282">
            <v>-300000</v>
          </cell>
          <cell r="AH282">
            <v>0</v>
          </cell>
          <cell r="AX282">
            <v>0</v>
          </cell>
          <cell r="AY282">
            <v>0</v>
          </cell>
          <cell r="AZ282">
            <v>0</v>
          </cell>
        </row>
        <row r="283">
          <cell r="B283" t="str">
            <v>Машстройкомплект</v>
          </cell>
          <cell r="C283" t="str">
            <v>Ферросплавы</v>
          </cell>
          <cell r="G283">
            <v>43455.6</v>
          </cell>
          <cell r="AH283">
            <v>0</v>
          </cell>
          <cell r="AX283">
            <v>0</v>
          </cell>
          <cell r="AY283">
            <v>0</v>
          </cell>
          <cell r="AZ283">
            <v>0</v>
          </cell>
        </row>
        <row r="284">
          <cell r="B284" t="str">
            <v>МетаБайкал</v>
          </cell>
          <cell r="C284" t="str">
            <v>Добавочные и заправочные</v>
          </cell>
          <cell r="G284">
            <v>405169.59</v>
          </cell>
          <cell r="N284">
            <v>-100000</v>
          </cell>
          <cell r="R284">
            <v>-100000</v>
          </cell>
          <cell r="V284">
            <v>-100000</v>
          </cell>
          <cell r="Z284">
            <v>-100000</v>
          </cell>
          <cell r="AH284">
            <v>0</v>
          </cell>
          <cell r="AX284">
            <v>0</v>
          </cell>
          <cell r="AY284">
            <v>0</v>
          </cell>
          <cell r="AZ284">
            <v>122387.1516</v>
          </cell>
        </row>
        <row r="285">
          <cell r="B285" t="str">
            <v>МетаПродукт</v>
          </cell>
          <cell r="C285" t="str">
            <v>Никель</v>
          </cell>
          <cell r="G285">
            <v>19997.759999999998</v>
          </cell>
          <cell r="AH285">
            <v>0</v>
          </cell>
          <cell r="AX285">
            <v>0</v>
          </cell>
          <cell r="AY285">
            <v>0</v>
          </cell>
          <cell r="AZ285">
            <v>0</v>
          </cell>
        </row>
        <row r="286">
          <cell r="B286" t="str">
            <v>Металлекс</v>
          </cell>
          <cell r="C286" t="str">
            <v>Ферросплавы</v>
          </cell>
          <cell r="G286">
            <v>1481423.24</v>
          </cell>
          <cell r="AH286">
            <v>0</v>
          </cell>
          <cell r="AX286">
            <v>0</v>
          </cell>
          <cell r="AY286">
            <v>0</v>
          </cell>
          <cell r="AZ286">
            <v>0</v>
          </cell>
        </row>
        <row r="287">
          <cell r="B287" t="str">
            <v>Металл -Маркет</v>
          </cell>
          <cell r="C287" t="str">
            <v>Ферросплавы</v>
          </cell>
          <cell r="G287">
            <v>172949.26</v>
          </cell>
          <cell r="AH287">
            <v>0</v>
          </cell>
          <cell r="AX287">
            <v>0</v>
          </cell>
          <cell r="AY287">
            <v>0</v>
          </cell>
          <cell r="AZ287">
            <v>0</v>
          </cell>
        </row>
        <row r="288">
          <cell r="B288" t="str">
            <v>МеталлТехТорг</v>
          </cell>
          <cell r="C288" t="str">
            <v>Ферросплавы</v>
          </cell>
          <cell r="G288">
            <v>1621858.58</v>
          </cell>
          <cell r="N288">
            <v>-500000</v>
          </cell>
          <cell r="R288">
            <v>-500000</v>
          </cell>
          <cell r="V288">
            <v>-500000</v>
          </cell>
          <cell r="AH288">
            <v>0</v>
          </cell>
          <cell r="AX288">
            <v>0</v>
          </cell>
          <cell r="AY288">
            <v>0</v>
          </cell>
          <cell r="AZ288">
            <v>0</v>
          </cell>
        </row>
        <row r="289">
          <cell r="B289" t="str">
            <v>МеталлЛайн</v>
          </cell>
          <cell r="C289" t="str">
            <v>Ферросплавы</v>
          </cell>
          <cell r="G289">
            <v>377269.3</v>
          </cell>
          <cell r="N289">
            <v>-100000</v>
          </cell>
          <cell r="R289">
            <v>-100000</v>
          </cell>
          <cell r="V289">
            <v>-177000</v>
          </cell>
          <cell r="AH289">
            <v>0</v>
          </cell>
          <cell r="AX289">
            <v>0</v>
          </cell>
          <cell r="AY289">
            <v>0</v>
          </cell>
          <cell r="AZ289">
            <v>0</v>
          </cell>
        </row>
        <row r="290">
          <cell r="B290" t="str">
            <v>Металлопром</v>
          </cell>
          <cell r="C290" t="str">
            <v>Ферросплавы</v>
          </cell>
          <cell r="G290">
            <v>115126.64</v>
          </cell>
          <cell r="AH290">
            <v>0</v>
          </cell>
          <cell r="AX290">
            <v>0</v>
          </cell>
          <cell r="AY290">
            <v>0</v>
          </cell>
          <cell r="AZ290">
            <v>0</v>
          </cell>
        </row>
        <row r="291">
          <cell r="B291" t="str">
            <v>Металлургстрой</v>
          </cell>
          <cell r="C291" t="str">
            <v>Ферросплавы</v>
          </cell>
          <cell r="G291">
            <v>1125.18</v>
          </cell>
          <cell r="AH291">
            <v>0</v>
          </cell>
          <cell r="AX291">
            <v>0</v>
          </cell>
          <cell r="AY291">
            <v>0</v>
          </cell>
          <cell r="AZ291">
            <v>0</v>
          </cell>
        </row>
        <row r="292">
          <cell r="B292" t="str">
            <v>Мост-1</v>
          </cell>
          <cell r="C292" t="str">
            <v>Ферросплавы</v>
          </cell>
          <cell r="G292">
            <v>247163.69</v>
          </cell>
          <cell r="AH292">
            <v>0</v>
          </cell>
          <cell r="AX292">
            <v>0</v>
          </cell>
          <cell r="AY292">
            <v>0</v>
          </cell>
          <cell r="AZ292">
            <v>0</v>
          </cell>
        </row>
        <row r="293">
          <cell r="B293" t="str">
            <v>Мультитрейд</v>
          </cell>
          <cell r="C293" t="str">
            <v>Добавочные и заправочные</v>
          </cell>
          <cell r="G293">
            <v>2542.7400000000007</v>
          </cell>
          <cell r="AH293">
            <v>0</v>
          </cell>
          <cell r="AX293">
            <v>0</v>
          </cell>
          <cell r="AY293">
            <v>0</v>
          </cell>
          <cell r="AZ293">
            <v>0</v>
          </cell>
        </row>
        <row r="294">
          <cell r="B294" t="str">
            <v>Немо</v>
          </cell>
          <cell r="C294" t="str">
            <v>Прочие вспомогательные</v>
          </cell>
          <cell r="G294">
            <v>94835.96</v>
          </cell>
          <cell r="AH294">
            <v>-94836</v>
          </cell>
          <cell r="AX294">
            <v>0</v>
          </cell>
          <cell r="AY294">
            <v>0</v>
          </cell>
          <cell r="AZ294">
            <v>0</v>
          </cell>
        </row>
        <row r="295">
          <cell r="B295" t="str">
            <v>Нефтехим</v>
          </cell>
          <cell r="C295" t="str">
            <v>Ферросплавы</v>
          </cell>
          <cell r="G295">
            <v>107025.8</v>
          </cell>
          <cell r="AH295">
            <v>-107026</v>
          </cell>
          <cell r="AX295">
            <v>0</v>
          </cell>
          <cell r="AY295">
            <v>0</v>
          </cell>
          <cell r="AZ295">
            <v>0</v>
          </cell>
        </row>
        <row r="296">
          <cell r="B296" t="str">
            <v>Нижне-Волжский территориальный монтажный комплекс</v>
          </cell>
          <cell r="C296" t="str">
            <v>Ферросплавы</v>
          </cell>
          <cell r="G296">
            <v>625512.43000000005</v>
          </cell>
          <cell r="AH296">
            <v>0</v>
          </cell>
          <cell r="AX296">
            <v>0</v>
          </cell>
          <cell r="AY296">
            <v>0</v>
          </cell>
          <cell r="AZ296">
            <v>0</v>
          </cell>
        </row>
        <row r="297">
          <cell r="B297" t="str">
            <v>Нижневолжская компания чистых</v>
          </cell>
          <cell r="C297" t="str">
            <v>Добавочные и заправочные</v>
          </cell>
          <cell r="G297">
            <v>530254.01</v>
          </cell>
          <cell r="N297">
            <v>-200000</v>
          </cell>
          <cell r="R297">
            <v>-100000</v>
          </cell>
          <cell r="V297">
            <v>-100000</v>
          </cell>
          <cell r="Z297">
            <v>-100000</v>
          </cell>
          <cell r="AH297">
            <v>0</v>
          </cell>
          <cell r="AX297">
            <v>0</v>
          </cell>
          <cell r="AY297">
            <v>0</v>
          </cell>
          <cell r="AZ297">
            <v>0</v>
          </cell>
        </row>
        <row r="298">
          <cell r="B298" t="str">
            <v>Никофер</v>
          </cell>
          <cell r="C298" t="str">
            <v>Ферросплавы</v>
          </cell>
          <cell r="G298">
            <v>789205.2</v>
          </cell>
          <cell r="N298">
            <v>-200000</v>
          </cell>
          <cell r="R298">
            <v>-200000</v>
          </cell>
          <cell r="V298">
            <v>-200000</v>
          </cell>
          <cell r="Z298">
            <v>-20000</v>
          </cell>
          <cell r="AH298">
            <v>0</v>
          </cell>
          <cell r="AX298">
            <v>0</v>
          </cell>
          <cell r="AY298">
            <v>0</v>
          </cell>
          <cell r="AZ298">
            <v>0</v>
          </cell>
        </row>
        <row r="299">
          <cell r="B299" t="str">
            <v>Новая линия</v>
          </cell>
          <cell r="C299" t="str">
            <v>Добавочные и заправочные</v>
          </cell>
          <cell r="G299">
            <v>190992</v>
          </cell>
          <cell r="N299">
            <v>-150000</v>
          </cell>
          <cell r="R299">
            <v>-150000</v>
          </cell>
          <cell r="V299">
            <v>-150000</v>
          </cell>
          <cell r="Z299">
            <v>-150000</v>
          </cell>
          <cell r="AH299">
            <v>0</v>
          </cell>
          <cell r="AX299">
            <v>0</v>
          </cell>
          <cell r="AY299">
            <v>409008</v>
          </cell>
          <cell r="AZ299">
            <v>43222.441200000001</v>
          </cell>
        </row>
        <row r="300">
          <cell r="B300" t="str">
            <v>НЭЗ</v>
          </cell>
          <cell r="C300" t="str">
            <v>Электроды</v>
          </cell>
          <cell r="G300">
            <v>8533745.4299999997</v>
          </cell>
          <cell r="N300">
            <v>-1000000</v>
          </cell>
          <cell r="R300">
            <v>-1000000</v>
          </cell>
          <cell r="V300">
            <v>-1000000</v>
          </cell>
          <cell r="Z300">
            <v>-1000000</v>
          </cell>
          <cell r="AH300">
            <v>-105000</v>
          </cell>
          <cell r="AX300">
            <v>0</v>
          </cell>
          <cell r="AY300">
            <v>0</v>
          </cell>
          <cell r="AZ300">
            <v>0</v>
          </cell>
        </row>
        <row r="301">
          <cell r="B301" t="str">
            <v>Нордмет-М</v>
          </cell>
          <cell r="C301" t="str">
            <v>Никель</v>
          </cell>
          <cell r="G301">
            <v>2758090.07</v>
          </cell>
          <cell r="N301">
            <v>-1000000</v>
          </cell>
          <cell r="R301">
            <v>-1000000</v>
          </cell>
          <cell r="V301">
            <v>-1000000</v>
          </cell>
          <cell r="Z301">
            <v>-1000000</v>
          </cell>
          <cell r="AH301">
            <v>0</v>
          </cell>
          <cell r="AX301">
            <v>0</v>
          </cell>
          <cell r="AY301">
            <v>0</v>
          </cell>
          <cell r="AZ301">
            <v>0</v>
          </cell>
        </row>
        <row r="302">
          <cell r="B302" t="str">
            <v>Облволгавтормет</v>
          </cell>
          <cell r="C302" t="str">
            <v>Ферросплавы</v>
          </cell>
          <cell r="G302">
            <v>219949.17</v>
          </cell>
          <cell r="N302">
            <v>-100000</v>
          </cell>
          <cell r="AH302">
            <v>0</v>
          </cell>
          <cell r="AX302">
            <v>0</v>
          </cell>
          <cell r="AY302">
            <v>0</v>
          </cell>
          <cell r="AZ302">
            <v>195927.00599999999</v>
          </cell>
        </row>
        <row r="303">
          <cell r="B303" t="str">
            <v>Огнеупоркомплект</v>
          </cell>
          <cell r="C303" t="str">
            <v>Огнеупоры</v>
          </cell>
          <cell r="G303">
            <v>961527.6</v>
          </cell>
          <cell r="AH303">
            <v>0</v>
          </cell>
          <cell r="AX303">
            <v>0</v>
          </cell>
          <cell r="AY303">
            <v>0</v>
          </cell>
          <cell r="AZ303">
            <v>1280521.2480000001</v>
          </cell>
        </row>
        <row r="304">
          <cell r="B304" t="str">
            <v>Огнеупорсбыт</v>
          </cell>
          <cell r="C304" t="str">
            <v>Добавочные и заправочные</v>
          </cell>
          <cell r="G304">
            <v>8190690.2599999998</v>
          </cell>
          <cell r="N304">
            <v>-2000000</v>
          </cell>
          <cell r="R304">
            <v>-2000000</v>
          </cell>
          <cell r="V304">
            <v>-2000000</v>
          </cell>
          <cell r="Z304">
            <v>-2000000</v>
          </cell>
          <cell r="AH304">
            <v>0</v>
          </cell>
          <cell r="AX304">
            <v>0</v>
          </cell>
          <cell r="AY304">
            <v>0</v>
          </cell>
          <cell r="AZ304">
            <v>887137.52399999998</v>
          </cell>
        </row>
        <row r="305">
          <cell r="B305" t="str">
            <v>Плориор</v>
          </cell>
          <cell r="C305" t="str">
            <v>Ферросплавы</v>
          </cell>
          <cell r="G305">
            <v>262346.9700000002</v>
          </cell>
          <cell r="AH305">
            <v>0</v>
          </cell>
          <cell r="AX305">
            <v>0</v>
          </cell>
          <cell r="AY305">
            <v>0</v>
          </cell>
          <cell r="AZ305">
            <v>0</v>
          </cell>
        </row>
        <row r="306">
          <cell r="B306" t="str">
            <v>Полесье</v>
          </cell>
          <cell r="C306" t="str">
            <v>Ферросплавы</v>
          </cell>
          <cell r="G306">
            <v>-98822.69</v>
          </cell>
          <cell r="AH306">
            <v>0</v>
          </cell>
          <cell r="AX306">
            <v>0</v>
          </cell>
          <cell r="AY306">
            <v>0</v>
          </cell>
          <cell r="AZ306">
            <v>0</v>
          </cell>
        </row>
        <row r="307">
          <cell r="B307" t="str">
            <v>Промстальинвест</v>
          </cell>
          <cell r="C307" t="str">
            <v>Добавочные и заправочные</v>
          </cell>
          <cell r="G307">
            <v>3976469.57</v>
          </cell>
          <cell r="AH307">
            <v>-871062</v>
          </cell>
          <cell r="AX307">
            <v>0</v>
          </cell>
          <cell r="AY307">
            <v>0</v>
          </cell>
          <cell r="AZ307">
            <v>77351.712</v>
          </cell>
        </row>
        <row r="308">
          <cell r="B308" t="str">
            <v>Промтехресурс</v>
          </cell>
          <cell r="C308" t="str">
            <v>Добавочные и заправочные</v>
          </cell>
          <cell r="G308">
            <v>402399.04</v>
          </cell>
          <cell r="N308">
            <v>-100000</v>
          </cell>
          <cell r="R308">
            <v>-100000</v>
          </cell>
          <cell r="V308">
            <v>-100000</v>
          </cell>
          <cell r="Z308">
            <v>-100000</v>
          </cell>
          <cell r="AH308">
            <v>0</v>
          </cell>
          <cell r="AX308">
            <v>0</v>
          </cell>
          <cell r="AY308">
            <v>0</v>
          </cell>
          <cell r="AZ308">
            <v>248611.872</v>
          </cell>
        </row>
        <row r="309">
          <cell r="B309" t="str">
            <v>Реал-Пластик</v>
          </cell>
          <cell r="C309" t="str">
            <v>Прочие вспомогательные</v>
          </cell>
          <cell r="G309">
            <v>-238926</v>
          </cell>
          <cell r="AH309">
            <v>0</v>
          </cell>
          <cell r="AX309">
            <v>0</v>
          </cell>
          <cell r="AY309">
            <v>0</v>
          </cell>
          <cell r="AZ309">
            <v>0</v>
          </cell>
        </row>
        <row r="310">
          <cell r="B310" t="str">
            <v>Серовский з-д ферросплавов</v>
          </cell>
          <cell r="C310" t="str">
            <v>Ферросплавы</v>
          </cell>
          <cell r="G310">
            <v>0</v>
          </cell>
          <cell r="N310">
            <v>-1000000</v>
          </cell>
          <cell r="R310">
            <v>-1000000</v>
          </cell>
          <cell r="V310">
            <v>-1000000</v>
          </cell>
          <cell r="Z310">
            <v>-1000000</v>
          </cell>
          <cell r="AH310">
            <v>0</v>
          </cell>
          <cell r="AX310">
            <v>0</v>
          </cell>
          <cell r="AY310">
            <v>4000000</v>
          </cell>
          <cell r="AZ310">
            <v>274870.36400000006</v>
          </cell>
        </row>
        <row r="311">
          <cell r="B311" t="str">
            <v>Росфер</v>
          </cell>
          <cell r="C311" t="str">
            <v>Никель</v>
          </cell>
          <cell r="G311">
            <v>236226.27</v>
          </cell>
          <cell r="AH311">
            <v>0</v>
          </cell>
          <cell r="AX311">
            <v>0</v>
          </cell>
          <cell r="AY311">
            <v>0</v>
          </cell>
          <cell r="AZ311">
            <v>0</v>
          </cell>
        </row>
        <row r="312">
          <cell r="B312" t="str">
            <v>Русметалогнеупор</v>
          </cell>
          <cell r="C312" t="str">
            <v>Добавочные и заправочные</v>
          </cell>
          <cell r="G312">
            <v>478310.09</v>
          </cell>
          <cell r="N312">
            <v>-100000</v>
          </cell>
          <cell r="R312">
            <v>-1000000</v>
          </cell>
          <cell r="V312">
            <v>-100000</v>
          </cell>
          <cell r="AH312">
            <v>0</v>
          </cell>
          <cell r="AX312">
            <v>0</v>
          </cell>
          <cell r="AY312">
            <v>0</v>
          </cell>
          <cell r="AZ312">
            <v>0</v>
          </cell>
        </row>
        <row r="313">
          <cell r="B313" t="str">
            <v>Содействие</v>
          </cell>
          <cell r="C313" t="str">
            <v>Ферросплавы</v>
          </cell>
          <cell r="G313">
            <v>0</v>
          </cell>
          <cell r="AH313">
            <v>0</v>
          </cell>
          <cell r="AX313">
            <v>0</v>
          </cell>
          <cell r="AY313">
            <v>0</v>
          </cell>
          <cell r="AZ313">
            <v>17756.82</v>
          </cell>
        </row>
        <row r="314">
          <cell r="B314" t="str">
            <v>Русская акцептная организация</v>
          </cell>
          <cell r="C314" t="str">
            <v>Добавочные и заправочные</v>
          </cell>
          <cell r="G314">
            <v>779020.80000000005</v>
          </cell>
          <cell r="N314">
            <v>-200000</v>
          </cell>
          <cell r="R314">
            <v>-200000</v>
          </cell>
          <cell r="V314">
            <v>-200000</v>
          </cell>
          <cell r="AH314">
            <v>0</v>
          </cell>
          <cell r="AX314">
            <v>0</v>
          </cell>
          <cell r="AY314">
            <v>0</v>
          </cell>
          <cell r="AZ314">
            <v>0</v>
          </cell>
        </row>
        <row r="315">
          <cell r="B315" t="str">
            <v>Свободный сокол</v>
          </cell>
          <cell r="C315" t="str">
            <v>Чугун</v>
          </cell>
          <cell r="G315">
            <v>864687.6</v>
          </cell>
          <cell r="N315">
            <v>-500000</v>
          </cell>
          <cell r="R315">
            <v>-500000</v>
          </cell>
          <cell r="V315">
            <v>-500000</v>
          </cell>
          <cell r="Z315">
            <v>-500000</v>
          </cell>
          <cell r="AH315">
            <v>0</v>
          </cell>
          <cell r="AX315">
            <v>0</v>
          </cell>
          <cell r="AY315">
            <v>1135312.3999999999</v>
          </cell>
          <cell r="AZ315">
            <v>3017258.8000000003</v>
          </cell>
        </row>
        <row r="316">
          <cell r="B316" t="str">
            <v>Сити Ресурс</v>
          </cell>
          <cell r="C316" t="str">
            <v>Ферросплавы</v>
          </cell>
          <cell r="G316">
            <v>409398.77</v>
          </cell>
          <cell r="AH316">
            <v>0</v>
          </cell>
          <cell r="AX316">
            <v>0</v>
          </cell>
          <cell r="AY316">
            <v>0</v>
          </cell>
          <cell r="AZ316">
            <v>0</v>
          </cell>
        </row>
        <row r="317">
          <cell r="B317" t="str">
            <v>Скай Лайн</v>
          </cell>
          <cell r="C317" t="str">
            <v>Ферросплавы</v>
          </cell>
          <cell r="G317">
            <v>1614190.63</v>
          </cell>
          <cell r="AH317">
            <v>0</v>
          </cell>
          <cell r="AX317">
            <v>0</v>
          </cell>
          <cell r="AY317">
            <v>0</v>
          </cell>
          <cell r="AZ317">
            <v>0</v>
          </cell>
        </row>
        <row r="318">
          <cell r="B318" t="str">
            <v>СпецСтальТрейд</v>
          </cell>
          <cell r="C318" t="str">
            <v>Никель</v>
          </cell>
          <cell r="G318">
            <v>-1692630.2599999998</v>
          </cell>
          <cell r="AH318">
            <v>0</v>
          </cell>
          <cell r="AX318">
            <v>0</v>
          </cell>
          <cell r="AY318">
            <v>0</v>
          </cell>
          <cell r="AZ318">
            <v>0</v>
          </cell>
        </row>
        <row r="319">
          <cell r="B319" t="str">
            <v>СпецСтальТрейд</v>
          </cell>
          <cell r="C319" t="str">
            <v>Ферросплавы</v>
          </cell>
          <cell r="G319">
            <v>0</v>
          </cell>
          <cell r="AH319">
            <v>0</v>
          </cell>
          <cell r="AX319">
            <v>0</v>
          </cell>
          <cell r="AY319">
            <v>0</v>
          </cell>
          <cell r="AZ319">
            <v>0</v>
          </cell>
        </row>
        <row r="320">
          <cell r="B320" t="str">
            <v>Спецбазис</v>
          </cell>
          <cell r="C320" t="str">
            <v>Электроды</v>
          </cell>
          <cell r="G320">
            <v>-50000</v>
          </cell>
          <cell r="AH320">
            <v>0</v>
          </cell>
          <cell r="AX320">
            <v>0</v>
          </cell>
          <cell r="AY320">
            <v>0</v>
          </cell>
          <cell r="AZ320">
            <v>0</v>
          </cell>
        </row>
        <row r="321">
          <cell r="B321" t="str">
            <v>Спецгарант</v>
          </cell>
          <cell r="C321" t="str">
            <v>Ферросплавы</v>
          </cell>
          <cell r="G321">
            <v>780.41</v>
          </cell>
          <cell r="AH321">
            <v>0</v>
          </cell>
          <cell r="AX321">
            <v>0</v>
          </cell>
          <cell r="AY321">
            <v>0</v>
          </cell>
          <cell r="AZ321">
            <v>0</v>
          </cell>
        </row>
        <row r="322">
          <cell r="B322" t="str">
            <v>Спецоборудование и материалы</v>
          </cell>
          <cell r="C322" t="str">
            <v>Огнеупоры</v>
          </cell>
          <cell r="G322">
            <v>332076.43</v>
          </cell>
          <cell r="N322">
            <v>-250000</v>
          </cell>
          <cell r="V322">
            <v>-250000</v>
          </cell>
          <cell r="AH322">
            <v>0</v>
          </cell>
          <cell r="AX322">
            <v>0</v>
          </cell>
          <cell r="AY322">
            <v>167923.57</v>
          </cell>
          <cell r="AZ322">
            <v>94883.63</v>
          </cell>
        </row>
        <row r="323">
          <cell r="B323" t="str">
            <v>Спецоборудование и материалы</v>
          </cell>
          <cell r="C323" t="str">
            <v>Ферросплавы</v>
          </cell>
          <cell r="G323">
            <v>0</v>
          </cell>
          <cell r="AH323">
            <v>0</v>
          </cell>
          <cell r="AX323">
            <v>0</v>
          </cell>
          <cell r="AY323">
            <v>0</v>
          </cell>
          <cell r="AZ323">
            <v>84345.624000000011</v>
          </cell>
        </row>
        <row r="324">
          <cell r="B324" t="str">
            <v>Средневолжская промышленная компания-2000</v>
          </cell>
          <cell r="C324" t="str">
            <v>Ферросплавы</v>
          </cell>
          <cell r="G324">
            <v>14467.97</v>
          </cell>
          <cell r="AH324">
            <v>0</v>
          </cell>
          <cell r="AX324">
            <v>0</v>
          </cell>
          <cell r="AY324">
            <v>0</v>
          </cell>
          <cell r="AZ324">
            <v>0</v>
          </cell>
        </row>
        <row r="325">
          <cell r="B325" t="str">
            <v>Сталь-Контракт</v>
          </cell>
          <cell r="C325" t="str">
            <v>Никель</v>
          </cell>
          <cell r="G325">
            <v>1833900.54</v>
          </cell>
          <cell r="AH325">
            <v>0</v>
          </cell>
          <cell r="AX325">
            <v>0</v>
          </cell>
          <cell r="AY325">
            <v>0</v>
          </cell>
          <cell r="AZ325">
            <v>0</v>
          </cell>
        </row>
        <row r="326">
          <cell r="B326" t="str">
            <v>ТД Стеклопродукт</v>
          </cell>
          <cell r="C326" t="str">
            <v>Прочие вспомогательные</v>
          </cell>
          <cell r="G326">
            <v>215.32</v>
          </cell>
          <cell r="AH326">
            <v>0</v>
          </cell>
          <cell r="AX326">
            <v>0</v>
          </cell>
          <cell r="AY326">
            <v>0</v>
          </cell>
          <cell r="AZ326">
            <v>0</v>
          </cell>
        </row>
        <row r="327">
          <cell r="B327" t="str">
            <v>Строй Трейс -СБ</v>
          </cell>
          <cell r="C327" t="str">
            <v>Прочие вспомогательные</v>
          </cell>
          <cell r="G327">
            <v>13640</v>
          </cell>
          <cell r="AH327">
            <v>0</v>
          </cell>
          <cell r="AX327">
            <v>0</v>
          </cell>
          <cell r="AY327">
            <v>0</v>
          </cell>
          <cell r="AZ327">
            <v>0</v>
          </cell>
        </row>
        <row r="328">
          <cell r="B328" t="str">
            <v>Стройинтерснаб</v>
          </cell>
          <cell r="C328" t="str">
            <v>Ферросплавы</v>
          </cell>
          <cell r="G328">
            <v>5062013.5199999996</v>
          </cell>
          <cell r="AH328">
            <v>-5276991</v>
          </cell>
          <cell r="AX328">
            <v>0</v>
          </cell>
          <cell r="AY328">
            <v>214977.48000000045</v>
          </cell>
          <cell r="AZ328">
            <v>4903453.3487999989</v>
          </cell>
        </row>
        <row r="329">
          <cell r="B329" t="str">
            <v>Стройметаллкомплект</v>
          </cell>
          <cell r="C329" t="str">
            <v>Огнеупоры</v>
          </cell>
          <cell r="G329">
            <v>68994</v>
          </cell>
          <cell r="AH329">
            <v>0</v>
          </cell>
          <cell r="AX329">
            <v>0</v>
          </cell>
          <cell r="AY329">
            <v>0</v>
          </cell>
          <cell r="AZ329">
            <v>0</v>
          </cell>
        </row>
        <row r="330">
          <cell r="B330" t="str">
            <v>Стройперлит</v>
          </cell>
          <cell r="C330" t="str">
            <v>Добавочные и заправочные</v>
          </cell>
          <cell r="G330">
            <v>770140</v>
          </cell>
          <cell r="N330">
            <v>-200000</v>
          </cell>
          <cell r="R330">
            <v>-200000</v>
          </cell>
          <cell r="V330">
            <v>-200000</v>
          </cell>
          <cell r="AH330">
            <v>0</v>
          </cell>
          <cell r="AX330">
            <v>0</v>
          </cell>
          <cell r="AY330">
            <v>0</v>
          </cell>
          <cell r="AZ330">
            <v>950166</v>
          </cell>
        </row>
        <row r="331">
          <cell r="B331" t="str">
            <v>ТД Норильский никель</v>
          </cell>
          <cell r="C331" t="str">
            <v>Никель</v>
          </cell>
          <cell r="G331">
            <v>3290.94</v>
          </cell>
          <cell r="AH331">
            <v>0</v>
          </cell>
          <cell r="AX331">
            <v>0</v>
          </cell>
          <cell r="AY331">
            <v>0</v>
          </cell>
          <cell r="AZ331">
            <v>0</v>
          </cell>
        </row>
        <row r="332">
          <cell r="B332" t="str">
            <v>Техснабресурс</v>
          </cell>
          <cell r="C332" t="str">
            <v>Ферросплавы</v>
          </cell>
          <cell r="G332">
            <v>456332.52</v>
          </cell>
          <cell r="AH332">
            <v>0</v>
          </cell>
          <cell r="AX332">
            <v>0</v>
          </cell>
          <cell r="AY332">
            <v>0</v>
          </cell>
          <cell r="AZ332">
            <v>0</v>
          </cell>
        </row>
        <row r="333">
          <cell r="B333" t="str">
            <v>ТЭК</v>
          </cell>
          <cell r="C333" t="str">
            <v>Ферросплавы</v>
          </cell>
          <cell r="G333">
            <v>12025227.949999999</v>
          </cell>
          <cell r="AH333">
            <v>0</v>
          </cell>
          <cell r="AX333">
            <v>0</v>
          </cell>
          <cell r="AY333">
            <v>0</v>
          </cell>
          <cell r="AZ333">
            <v>7589933.5571999988</v>
          </cell>
        </row>
        <row r="334">
          <cell r="B334" t="str">
            <v>Транзит Волга</v>
          </cell>
          <cell r="C334" t="str">
            <v>Прочие вспомогательные</v>
          </cell>
          <cell r="G334">
            <v>241473.8</v>
          </cell>
          <cell r="AH334">
            <v>0</v>
          </cell>
          <cell r="AX334">
            <v>0</v>
          </cell>
          <cell r="AY334">
            <v>0</v>
          </cell>
          <cell r="AZ334">
            <v>195900</v>
          </cell>
        </row>
        <row r="335">
          <cell r="B335" t="str">
            <v>Трансстройинвест</v>
          </cell>
          <cell r="C335" t="str">
            <v>Ферросплавы</v>
          </cell>
          <cell r="G335">
            <v>-198554.44999999998</v>
          </cell>
          <cell r="AH335">
            <v>0</v>
          </cell>
          <cell r="AX335">
            <v>198554.44999999998</v>
          </cell>
          <cell r="AY335">
            <v>0</v>
          </cell>
          <cell r="AZ335">
            <v>4114866.1899999995</v>
          </cell>
        </row>
        <row r="336">
          <cell r="B336" t="str">
            <v>Трейдагент</v>
          </cell>
          <cell r="C336" t="str">
            <v>Ферросплавы</v>
          </cell>
          <cell r="G336">
            <v>1854142.98</v>
          </cell>
          <cell r="AH336">
            <v>-875045</v>
          </cell>
          <cell r="AX336">
            <v>0</v>
          </cell>
          <cell r="AY336">
            <v>0</v>
          </cell>
          <cell r="AZ336">
            <v>801837.696</v>
          </cell>
        </row>
        <row r="337">
          <cell r="B337" t="str">
            <v>Трейкомплекс ТД</v>
          </cell>
          <cell r="C337" t="str">
            <v>Ферросплавы</v>
          </cell>
          <cell r="G337">
            <v>1934487</v>
          </cell>
          <cell r="AH337">
            <v>0</v>
          </cell>
          <cell r="AX337">
            <v>0</v>
          </cell>
          <cell r="AY337">
            <v>0</v>
          </cell>
          <cell r="AZ337">
            <v>0</v>
          </cell>
        </row>
        <row r="338">
          <cell r="B338" t="str">
            <v>Техснаб</v>
          </cell>
          <cell r="C338" t="str">
            <v>Чугун</v>
          </cell>
          <cell r="G338">
            <v>0</v>
          </cell>
          <cell r="AH338">
            <v>0</v>
          </cell>
          <cell r="AX338">
            <v>0</v>
          </cell>
          <cell r="AY338">
            <v>0</v>
          </cell>
          <cell r="AZ338">
            <v>617171.71799999999</v>
          </cell>
        </row>
        <row r="339">
          <cell r="B339" t="str">
            <v>Универстиль</v>
          </cell>
          <cell r="C339" t="str">
            <v>Ферросплавы</v>
          </cell>
          <cell r="G339">
            <v>110717.75</v>
          </cell>
          <cell r="AH339">
            <v>0</v>
          </cell>
          <cell r="AX339">
            <v>0</v>
          </cell>
          <cell r="AY339">
            <v>0</v>
          </cell>
          <cell r="AZ339">
            <v>0</v>
          </cell>
        </row>
        <row r="340">
          <cell r="B340" t="str">
            <v>Уралметресурс</v>
          </cell>
          <cell r="C340" t="str">
            <v>Ферросплавы</v>
          </cell>
          <cell r="G340">
            <v>-0.22</v>
          </cell>
          <cell r="AH340">
            <v>0</v>
          </cell>
          <cell r="AX340">
            <v>0</v>
          </cell>
          <cell r="AY340">
            <v>0</v>
          </cell>
          <cell r="AZ340">
            <v>0</v>
          </cell>
        </row>
        <row r="341">
          <cell r="B341" t="str">
            <v>Уралснабторг</v>
          </cell>
          <cell r="C341" t="str">
            <v>Ферросплавы</v>
          </cell>
          <cell r="G341">
            <v>569332.41</v>
          </cell>
          <cell r="AH341">
            <v>0</v>
          </cell>
          <cell r="AX341">
            <v>0</v>
          </cell>
          <cell r="AY341">
            <v>0</v>
          </cell>
          <cell r="AZ341">
            <v>0</v>
          </cell>
        </row>
        <row r="342">
          <cell r="B342" t="str">
            <v>Уральский промышленный ТД</v>
          </cell>
          <cell r="C342" t="str">
            <v>Ферросплавы</v>
          </cell>
          <cell r="G342">
            <v>1804.9</v>
          </cell>
          <cell r="AH342">
            <v>0</v>
          </cell>
          <cell r="AX342">
            <v>0</v>
          </cell>
          <cell r="AY342">
            <v>0</v>
          </cell>
          <cell r="AZ342">
            <v>0</v>
          </cell>
        </row>
        <row r="343">
          <cell r="B343" t="str">
            <v xml:space="preserve"> Уральский изолит</v>
          </cell>
          <cell r="C343" t="str">
            <v>Прочие вспомогательные</v>
          </cell>
          <cell r="G343">
            <v>129171.32</v>
          </cell>
          <cell r="AH343">
            <v>0</v>
          </cell>
          <cell r="AX343">
            <v>0</v>
          </cell>
          <cell r="AY343">
            <v>0</v>
          </cell>
          <cell r="AZ343">
            <v>0</v>
          </cell>
        </row>
        <row r="344">
          <cell r="B344" t="str">
            <v>Фаворит</v>
          </cell>
          <cell r="C344" t="str">
            <v>Добавочные и заправочные</v>
          </cell>
          <cell r="G344">
            <v>451261.87</v>
          </cell>
          <cell r="AH344">
            <v>0</v>
          </cell>
          <cell r="AX344">
            <v>0</v>
          </cell>
          <cell r="AY344">
            <v>0</v>
          </cell>
          <cell r="AZ344">
            <v>0</v>
          </cell>
        </row>
        <row r="345">
          <cell r="B345" t="str">
            <v>Фаворит</v>
          </cell>
          <cell r="C345" t="str">
            <v>Огнеупоры</v>
          </cell>
          <cell r="G345">
            <v>0</v>
          </cell>
          <cell r="AH345">
            <v>0</v>
          </cell>
          <cell r="AX345">
            <v>0</v>
          </cell>
          <cell r="AY345">
            <v>0</v>
          </cell>
          <cell r="AZ345">
            <v>0</v>
          </cell>
        </row>
        <row r="346">
          <cell r="B346" t="str">
            <v>Ферро</v>
          </cell>
          <cell r="C346" t="str">
            <v>Огнеупоры</v>
          </cell>
          <cell r="G346">
            <v>689600</v>
          </cell>
          <cell r="AH346">
            <v>0</v>
          </cell>
          <cell r="AX346">
            <v>0</v>
          </cell>
          <cell r="AY346">
            <v>0</v>
          </cell>
          <cell r="AZ346">
            <v>2162515.9379999996</v>
          </cell>
        </row>
        <row r="347">
          <cell r="B347" t="str">
            <v>Ферротранс</v>
          </cell>
          <cell r="C347" t="str">
            <v>Ферросплавы</v>
          </cell>
          <cell r="G347">
            <v>198633</v>
          </cell>
          <cell r="AH347">
            <v>0</v>
          </cell>
          <cell r="AX347">
            <v>0</v>
          </cell>
          <cell r="AY347">
            <v>0</v>
          </cell>
          <cell r="AZ347">
            <v>0</v>
          </cell>
        </row>
        <row r="348">
          <cell r="B348" t="str">
            <v>Ферротек</v>
          </cell>
          <cell r="C348" t="str">
            <v>Ферросплавы</v>
          </cell>
          <cell r="G348">
            <v>312832.05</v>
          </cell>
          <cell r="AH348">
            <v>0</v>
          </cell>
          <cell r="AX348">
            <v>0</v>
          </cell>
          <cell r="AY348">
            <v>0</v>
          </cell>
          <cell r="AZ348">
            <v>0</v>
          </cell>
        </row>
        <row r="349">
          <cell r="B349" t="str">
            <v>фирма ТЭК</v>
          </cell>
          <cell r="C349" t="str">
            <v>Огнеупоры</v>
          </cell>
          <cell r="G349">
            <v>1023911.95</v>
          </cell>
          <cell r="AH349">
            <v>0</v>
          </cell>
          <cell r="AX349">
            <v>0</v>
          </cell>
          <cell r="AY349">
            <v>0</v>
          </cell>
          <cell r="AZ349">
            <v>0</v>
          </cell>
        </row>
        <row r="350">
          <cell r="B350" t="str">
            <v>Фитон</v>
          </cell>
          <cell r="C350" t="str">
            <v>Ферросплавы</v>
          </cell>
          <cell r="G350">
            <v>11635.6</v>
          </cell>
          <cell r="AH350">
            <v>0</v>
          </cell>
          <cell r="AX350">
            <v>0</v>
          </cell>
          <cell r="AY350">
            <v>0</v>
          </cell>
          <cell r="AZ350">
            <v>0</v>
          </cell>
        </row>
        <row r="351">
          <cell r="B351" t="str">
            <v>Химстройресурс</v>
          </cell>
          <cell r="C351" t="str">
            <v>Ферросплавы</v>
          </cell>
          <cell r="G351">
            <v>808044.27</v>
          </cell>
          <cell r="AH351">
            <v>0</v>
          </cell>
          <cell r="AX351">
            <v>0</v>
          </cell>
          <cell r="AY351">
            <v>0</v>
          </cell>
          <cell r="AZ351">
            <v>0</v>
          </cell>
        </row>
        <row r="352">
          <cell r="B352" t="str">
            <v>Цвеметкомплектация</v>
          </cell>
          <cell r="C352" t="str">
            <v>Никель</v>
          </cell>
          <cell r="G352">
            <v>-1200000</v>
          </cell>
          <cell r="N352">
            <v>-1500000</v>
          </cell>
          <cell r="R352">
            <v>-2000000</v>
          </cell>
          <cell r="V352">
            <v>-1500000</v>
          </cell>
          <cell r="Z352">
            <v>-1000000</v>
          </cell>
          <cell r="AH352">
            <v>0</v>
          </cell>
          <cell r="AX352">
            <v>1200000</v>
          </cell>
          <cell r="AY352">
            <v>6000000</v>
          </cell>
          <cell r="AZ352">
            <v>8345779.1999999974</v>
          </cell>
        </row>
        <row r="353">
          <cell r="B353" t="str">
            <v>Энергопром</v>
          </cell>
          <cell r="C353" t="str">
            <v>Электроды</v>
          </cell>
          <cell r="G353">
            <v>-557529.79</v>
          </cell>
          <cell r="N353">
            <v>-1000000</v>
          </cell>
          <cell r="R353">
            <v>-1000000</v>
          </cell>
          <cell r="V353">
            <v>-1000000</v>
          </cell>
          <cell r="Z353">
            <v>-1000000</v>
          </cell>
          <cell r="AH353">
            <v>0</v>
          </cell>
          <cell r="AX353">
            <v>557529.79</v>
          </cell>
          <cell r="AY353">
            <v>4000000</v>
          </cell>
          <cell r="AZ353">
            <v>13541790.609999999</v>
          </cell>
        </row>
        <row r="354">
          <cell r="B354" t="str">
            <v>ЮОУ Росрезерва</v>
          </cell>
          <cell r="C354" t="str">
            <v>Добавочные и заправочные</v>
          </cell>
          <cell r="G354">
            <v>-1287315.55</v>
          </cell>
          <cell r="AH354">
            <v>0</v>
          </cell>
          <cell r="AX354">
            <v>0</v>
          </cell>
          <cell r="AY354">
            <v>0</v>
          </cell>
          <cell r="AZ354">
            <v>0</v>
          </cell>
        </row>
        <row r="355">
          <cell r="B355" t="str">
            <v>Юнион-Сервис</v>
          </cell>
          <cell r="C355" t="str">
            <v>Добавочные и заправочные</v>
          </cell>
          <cell r="G355">
            <v>-30</v>
          </cell>
          <cell r="AH355">
            <v>0</v>
          </cell>
          <cell r="AX355">
            <v>0</v>
          </cell>
          <cell r="AY355">
            <v>0</v>
          </cell>
          <cell r="AZ355">
            <v>0</v>
          </cell>
        </row>
        <row r="356">
          <cell r="B356" t="str">
            <v>РАО Энерго</v>
          </cell>
          <cell r="C356" t="str">
            <v>Добавочные и заправочные</v>
          </cell>
          <cell r="G356">
            <v>0</v>
          </cell>
          <cell r="AH356">
            <v>0</v>
          </cell>
          <cell r="AX356">
            <v>0</v>
          </cell>
          <cell r="AY356">
            <v>0</v>
          </cell>
          <cell r="AZ356">
            <v>0</v>
          </cell>
        </row>
        <row r="357">
          <cell r="B357" t="str">
            <v>ВТЗ</v>
          </cell>
          <cell r="C357" t="str">
            <v>Ферросплавы</v>
          </cell>
          <cell r="G357">
            <v>0</v>
          </cell>
          <cell r="AH357">
            <v>0</v>
          </cell>
          <cell r="AX357">
            <v>0</v>
          </cell>
          <cell r="AY357">
            <v>0</v>
          </cell>
          <cell r="AZ357">
            <v>0</v>
          </cell>
        </row>
        <row r="358">
          <cell r="B358" t="str">
            <v>Гидроспецмонтаж</v>
          </cell>
          <cell r="C358" t="str">
            <v>Ферросплавы</v>
          </cell>
          <cell r="G358">
            <v>0</v>
          </cell>
          <cell r="AH358">
            <v>0</v>
          </cell>
          <cell r="AX358">
            <v>0</v>
          </cell>
          <cell r="AY358">
            <v>0</v>
          </cell>
          <cell r="AZ358">
            <v>0</v>
          </cell>
        </row>
        <row r="359">
          <cell r="B359" t="str">
            <v>Гранткор</v>
          </cell>
          <cell r="C359" t="str">
            <v>Никель</v>
          </cell>
          <cell r="G359">
            <v>0</v>
          </cell>
          <cell r="AH359">
            <v>0</v>
          </cell>
          <cell r="AX359">
            <v>0</v>
          </cell>
          <cell r="AY359">
            <v>0</v>
          </cell>
          <cell r="AZ359">
            <v>0</v>
          </cell>
        </row>
        <row r="360">
          <cell r="B360" t="str">
            <v>Интерсфера Холдинг</v>
          </cell>
          <cell r="C360" t="str">
            <v>Никель</v>
          </cell>
          <cell r="G360">
            <v>0</v>
          </cell>
          <cell r="AH360">
            <v>0</v>
          </cell>
          <cell r="AX360">
            <v>0</v>
          </cell>
          <cell r="AY360">
            <v>0</v>
          </cell>
          <cell r="AZ360">
            <v>0</v>
          </cell>
        </row>
        <row r="361">
          <cell r="B361" t="str">
            <v>Картаж</v>
          </cell>
          <cell r="C361" t="str">
            <v>Ферросплавы</v>
          </cell>
          <cell r="G361">
            <v>0</v>
          </cell>
          <cell r="AH361">
            <v>0</v>
          </cell>
          <cell r="AX361">
            <v>0</v>
          </cell>
          <cell r="AY361">
            <v>0</v>
          </cell>
          <cell r="AZ361">
            <v>0</v>
          </cell>
        </row>
        <row r="362">
          <cell r="B362" t="str">
            <v>Корвет</v>
          </cell>
          <cell r="C362" t="str">
            <v>Огнеупоры</v>
          </cell>
          <cell r="G362">
            <v>0</v>
          </cell>
          <cell r="AH362">
            <v>0</v>
          </cell>
          <cell r="AX362">
            <v>0</v>
          </cell>
          <cell r="AY362">
            <v>0</v>
          </cell>
          <cell r="AZ362">
            <v>0</v>
          </cell>
        </row>
        <row r="363">
          <cell r="B363" t="str">
            <v>Ленда-Люкс</v>
          </cell>
          <cell r="C363" t="str">
            <v>Никель</v>
          </cell>
          <cell r="G363">
            <v>0</v>
          </cell>
          <cell r="AH363">
            <v>0</v>
          </cell>
          <cell r="AX363">
            <v>0</v>
          </cell>
          <cell r="AY363">
            <v>0</v>
          </cell>
          <cell r="AZ363">
            <v>0</v>
          </cell>
        </row>
        <row r="364">
          <cell r="B364" t="str">
            <v>Ленда-Люкс</v>
          </cell>
          <cell r="C364" t="str">
            <v>Ферросплавы</v>
          </cell>
          <cell r="G364">
            <v>0</v>
          </cell>
          <cell r="AH364">
            <v>0</v>
          </cell>
          <cell r="AX364">
            <v>0</v>
          </cell>
          <cell r="AY364">
            <v>0</v>
          </cell>
          <cell r="AZ364">
            <v>0</v>
          </cell>
        </row>
        <row r="365">
          <cell r="B365" t="str">
            <v>Магнезит</v>
          </cell>
          <cell r="C365" t="str">
            <v>Огнеупоры</v>
          </cell>
          <cell r="G365">
            <v>0</v>
          </cell>
          <cell r="AH365">
            <v>0</v>
          </cell>
          <cell r="AX365">
            <v>0</v>
          </cell>
          <cell r="AY365">
            <v>0</v>
          </cell>
          <cell r="AZ365">
            <v>0</v>
          </cell>
        </row>
        <row r="366">
          <cell r="B366" t="str">
            <v>магнезит-экспорт</v>
          </cell>
          <cell r="C366" t="str">
            <v>Огнеупоры</v>
          </cell>
          <cell r="G366">
            <v>0</v>
          </cell>
          <cell r="AH366">
            <v>0</v>
          </cell>
          <cell r="AX366">
            <v>0</v>
          </cell>
          <cell r="AY366">
            <v>0</v>
          </cell>
          <cell r="AZ366">
            <v>0</v>
          </cell>
        </row>
        <row r="367">
          <cell r="B367" t="str">
            <v>Металлоконтракт</v>
          </cell>
          <cell r="C367" t="str">
            <v>Ферросплавы</v>
          </cell>
          <cell r="G367">
            <v>0</v>
          </cell>
          <cell r="AH367">
            <v>0</v>
          </cell>
          <cell r="AX367">
            <v>0</v>
          </cell>
          <cell r="AY367">
            <v>0</v>
          </cell>
          <cell r="AZ367">
            <v>0</v>
          </cell>
        </row>
        <row r="368">
          <cell r="B368" t="str">
            <v>Металлстройпоставка</v>
          </cell>
          <cell r="C368" t="str">
            <v>Никель</v>
          </cell>
          <cell r="G368">
            <v>0</v>
          </cell>
          <cell r="AH368">
            <v>0</v>
          </cell>
          <cell r="AX368">
            <v>0</v>
          </cell>
          <cell r="AY368">
            <v>0</v>
          </cell>
          <cell r="AZ368">
            <v>0</v>
          </cell>
        </row>
        <row r="369">
          <cell r="B369" t="str">
            <v>Метхимпром</v>
          </cell>
          <cell r="C369" t="str">
            <v>Ферросплавы</v>
          </cell>
          <cell r="G369">
            <v>0</v>
          </cell>
          <cell r="AH369">
            <v>0</v>
          </cell>
          <cell r="AX369">
            <v>0</v>
          </cell>
          <cell r="AY369">
            <v>0</v>
          </cell>
          <cell r="AZ369">
            <v>0</v>
          </cell>
        </row>
        <row r="370">
          <cell r="B370" t="str">
            <v>Мир</v>
          </cell>
          <cell r="C370" t="str">
            <v>Прочие вспомогательные</v>
          </cell>
          <cell r="G370">
            <v>0</v>
          </cell>
          <cell r="AH370">
            <v>0</v>
          </cell>
          <cell r="AX370">
            <v>0</v>
          </cell>
          <cell r="AY370">
            <v>0</v>
          </cell>
          <cell r="AZ370">
            <v>0</v>
          </cell>
        </row>
        <row r="371">
          <cell r="B371" t="str">
            <v>Огнеупорсбыт</v>
          </cell>
          <cell r="C371" t="str">
            <v>Огнеупоры</v>
          </cell>
          <cell r="G371">
            <v>0</v>
          </cell>
          <cell r="AH371">
            <v>0</v>
          </cell>
          <cell r="AX371">
            <v>0</v>
          </cell>
          <cell r="AY371">
            <v>0</v>
          </cell>
          <cell r="AZ371">
            <v>1264463.8391999998</v>
          </cell>
        </row>
        <row r="372">
          <cell r="B372" t="str">
            <v>Опт-резерв</v>
          </cell>
          <cell r="C372" t="str">
            <v>Огнеупоры</v>
          </cell>
          <cell r="G372">
            <v>0</v>
          </cell>
          <cell r="AH372">
            <v>0</v>
          </cell>
          <cell r="AX372">
            <v>0</v>
          </cell>
          <cell r="AY372">
            <v>0</v>
          </cell>
          <cell r="AZ372">
            <v>0</v>
          </cell>
        </row>
        <row r="373">
          <cell r="B373" t="str">
            <v>ПАЗ</v>
          </cell>
          <cell r="C373" t="str">
            <v>Прочие вспомогательные</v>
          </cell>
          <cell r="G373">
            <v>0</v>
          </cell>
          <cell r="AH373">
            <v>0</v>
          </cell>
          <cell r="AX373">
            <v>0</v>
          </cell>
          <cell r="AY373">
            <v>0</v>
          </cell>
          <cell r="AZ373">
            <v>0</v>
          </cell>
        </row>
        <row r="374">
          <cell r="B374" t="str">
            <v>Промстальинвест</v>
          </cell>
          <cell r="C374" t="str">
            <v>Ферросплавы</v>
          </cell>
          <cell r="G374">
            <v>0</v>
          </cell>
          <cell r="AH374">
            <v>0</v>
          </cell>
          <cell r="AX374">
            <v>0</v>
          </cell>
          <cell r="AY374">
            <v>0</v>
          </cell>
          <cell r="AZ374">
            <v>1740960</v>
          </cell>
        </row>
        <row r="375">
          <cell r="B375" t="str">
            <v>Профит</v>
          </cell>
          <cell r="C375" t="str">
            <v>Ферросплавы</v>
          </cell>
          <cell r="G375">
            <v>0</v>
          </cell>
          <cell r="AH375">
            <v>0</v>
          </cell>
          <cell r="AX375">
            <v>0</v>
          </cell>
          <cell r="AY375">
            <v>0</v>
          </cell>
          <cell r="AZ375">
            <v>0</v>
          </cell>
        </row>
        <row r="376">
          <cell r="B376" t="str">
            <v>Профситипроект</v>
          </cell>
          <cell r="C376" t="str">
            <v>Огнеупоры</v>
          </cell>
          <cell r="G376">
            <v>0</v>
          </cell>
          <cell r="AH376">
            <v>0</v>
          </cell>
          <cell r="AX376">
            <v>0</v>
          </cell>
          <cell r="AY376">
            <v>0</v>
          </cell>
          <cell r="AZ376">
            <v>0</v>
          </cell>
        </row>
        <row r="377">
          <cell r="B377" t="str">
            <v>РАМ</v>
          </cell>
          <cell r="C377" t="str">
            <v>Ферросплавы</v>
          </cell>
          <cell r="G377">
            <v>0</v>
          </cell>
          <cell r="AH377">
            <v>0</v>
          </cell>
          <cell r="AX377">
            <v>0</v>
          </cell>
          <cell r="AY377">
            <v>0</v>
          </cell>
          <cell r="AZ377">
            <v>0</v>
          </cell>
        </row>
        <row r="378">
          <cell r="B378" t="str">
            <v>Сандвик-МКТС</v>
          </cell>
          <cell r="C378" t="str">
            <v>Прочие вспомогательные</v>
          </cell>
          <cell r="G378">
            <v>0</v>
          </cell>
          <cell r="AH378">
            <v>0</v>
          </cell>
          <cell r="AX378">
            <v>0</v>
          </cell>
          <cell r="AY378">
            <v>0</v>
          </cell>
          <cell r="AZ378">
            <v>0</v>
          </cell>
        </row>
        <row r="379">
          <cell r="B379" t="str">
            <v>Сибтрансмаш</v>
          </cell>
          <cell r="C379" t="str">
            <v>Ферросплавы</v>
          </cell>
          <cell r="G379">
            <v>0</v>
          </cell>
          <cell r="AH379">
            <v>0</v>
          </cell>
          <cell r="AX379">
            <v>0</v>
          </cell>
          <cell r="AY379">
            <v>0</v>
          </cell>
          <cell r="AZ379">
            <v>0</v>
          </cell>
        </row>
        <row r="380">
          <cell r="B380" t="str">
            <v>СИНТЕЗ-Е</v>
          </cell>
          <cell r="C380" t="str">
            <v>Добавочные и заправочные</v>
          </cell>
          <cell r="G380">
            <v>0</v>
          </cell>
          <cell r="AH380">
            <v>0</v>
          </cell>
          <cell r="AX380">
            <v>0</v>
          </cell>
          <cell r="AY380">
            <v>0</v>
          </cell>
          <cell r="AZ380">
            <v>0</v>
          </cell>
        </row>
        <row r="381">
          <cell r="B381" t="str">
            <v>Сиф</v>
          </cell>
          <cell r="C381" t="str">
            <v>Добавочные и заправочные</v>
          </cell>
          <cell r="G381">
            <v>0</v>
          </cell>
          <cell r="AH381">
            <v>0</v>
          </cell>
          <cell r="AX381">
            <v>0</v>
          </cell>
          <cell r="AY381">
            <v>0</v>
          </cell>
          <cell r="AZ381">
            <v>0</v>
          </cell>
        </row>
        <row r="382">
          <cell r="B382" t="str">
            <v>Сиф</v>
          </cell>
          <cell r="C382" t="str">
            <v>Ферросплавы</v>
          </cell>
          <cell r="G382">
            <v>0</v>
          </cell>
          <cell r="AH382">
            <v>0</v>
          </cell>
          <cell r="AX382">
            <v>0</v>
          </cell>
          <cell r="AY382">
            <v>0</v>
          </cell>
          <cell r="AZ382">
            <v>0</v>
          </cell>
        </row>
        <row r="383">
          <cell r="B383" t="str">
            <v>Тест</v>
          </cell>
          <cell r="C383" t="str">
            <v>Ферросплавы</v>
          </cell>
          <cell r="G383">
            <v>0</v>
          </cell>
          <cell r="AH383">
            <v>0</v>
          </cell>
          <cell r="AX383">
            <v>0</v>
          </cell>
          <cell r="AY383">
            <v>0</v>
          </cell>
          <cell r="AZ383">
            <v>0</v>
          </cell>
        </row>
        <row r="384">
          <cell r="B384" t="str">
            <v>Тиммер</v>
          </cell>
          <cell r="C384" t="str">
            <v>Ферросплавы</v>
          </cell>
          <cell r="G384">
            <v>0</v>
          </cell>
          <cell r="AH384">
            <v>0</v>
          </cell>
          <cell r="AX384">
            <v>0</v>
          </cell>
          <cell r="AY384">
            <v>0</v>
          </cell>
          <cell r="AZ384">
            <v>0</v>
          </cell>
        </row>
        <row r="385">
          <cell r="B385" t="str">
            <v>Торгсервис</v>
          </cell>
          <cell r="C385" t="str">
            <v>Добавочные и заправочные</v>
          </cell>
          <cell r="G385">
            <v>0</v>
          </cell>
          <cell r="AH385">
            <v>0</v>
          </cell>
          <cell r="AX385">
            <v>0</v>
          </cell>
          <cell r="AY385">
            <v>0</v>
          </cell>
          <cell r="AZ385">
            <v>0</v>
          </cell>
        </row>
        <row r="386">
          <cell r="B386" t="str">
            <v>Югтехэнерго</v>
          </cell>
          <cell r="C386" t="str">
            <v>Прочие вспомогательные</v>
          </cell>
          <cell r="G386">
            <v>0</v>
          </cell>
          <cell r="AH386">
            <v>0</v>
          </cell>
          <cell r="AX386">
            <v>0</v>
          </cell>
          <cell r="AY386">
            <v>0</v>
          </cell>
          <cell r="AZ386">
            <v>0</v>
          </cell>
        </row>
        <row r="387">
          <cell r="B387" t="str">
            <v>Титан-99</v>
          </cell>
          <cell r="C387" t="str">
            <v>Прочие вспомогательные</v>
          </cell>
          <cell r="G387">
            <v>0</v>
          </cell>
          <cell r="AH387">
            <v>0</v>
          </cell>
          <cell r="AX387">
            <v>0</v>
          </cell>
          <cell r="AY387">
            <v>0</v>
          </cell>
          <cell r="AZ387">
            <v>738000</v>
          </cell>
        </row>
        <row r="388">
          <cell r="B388" t="str">
            <v>Росконтракт</v>
          </cell>
          <cell r="C388" t="str">
            <v>Прочие вспомогательные</v>
          </cell>
          <cell r="G388">
            <v>0</v>
          </cell>
          <cell r="AH388">
            <v>0</v>
          </cell>
          <cell r="AX388">
            <v>0</v>
          </cell>
          <cell r="AY388">
            <v>0</v>
          </cell>
          <cell r="AZ388">
            <v>144984</v>
          </cell>
        </row>
        <row r="389">
          <cell r="B389" t="str">
            <v>Энергохиминвест</v>
          </cell>
          <cell r="C389" t="str">
            <v>Прочие вспомогательные</v>
          </cell>
          <cell r="G389">
            <v>0</v>
          </cell>
          <cell r="AH389">
            <v>0</v>
          </cell>
          <cell r="AX389">
            <v>0</v>
          </cell>
          <cell r="AY389">
            <v>0</v>
          </cell>
          <cell r="AZ389">
            <v>93900</v>
          </cell>
        </row>
        <row r="390">
          <cell r="B390" t="str">
            <v>Трио сервис</v>
          </cell>
          <cell r="C390" t="str">
            <v>Ферросплавы</v>
          </cell>
          <cell r="G390">
            <v>0</v>
          </cell>
          <cell r="AH390">
            <v>0</v>
          </cell>
          <cell r="AX390">
            <v>0</v>
          </cell>
          <cell r="AY390">
            <v>0</v>
          </cell>
          <cell r="AZ390">
            <v>2978130.8160000001</v>
          </cell>
        </row>
        <row r="391">
          <cell r="B391" t="str">
            <v>Тэрра</v>
          </cell>
          <cell r="C391" t="str">
            <v>Прочие вспомогательные</v>
          </cell>
          <cell r="G391">
            <v>0</v>
          </cell>
          <cell r="AH391">
            <v>0</v>
          </cell>
          <cell r="AX391">
            <v>0</v>
          </cell>
          <cell r="AY391">
            <v>0</v>
          </cell>
          <cell r="AZ391">
            <v>0</v>
          </cell>
        </row>
        <row r="392">
          <cell r="B392" t="str">
            <v>Уралграфит</v>
          </cell>
          <cell r="C392" t="str">
            <v>Добавочные и заправочные</v>
          </cell>
          <cell r="G392">
            <v>0</v>
          </cell>
          <cell r="AH392">
            <v>0</v>
          </cell>
          <cell r="AX392">
            <v>0</v>
          </cell>
          <cell r="AY392">
            <v>0</v>
          </cell>
          <cell r="AZ392">
            <v>0</v>
          </cell>
        </row>
        <row r="393">
          <cell r="B393" t="str">
            <v>Уралметснаб</v>
          </cell>
          <cell r="C393" t="str">
            <v>Ферросплавы</v>
          </cell>
          <cell r="G393">
            <v>0</v>
          </cell>
          <cell r="AH393">
            <v>0</v>
          </cell>
          <cell r="AX393">
            <v>0</v>
          </cell>
          <cell r="AY393">
            <v>0</v>
          </cell>
          <cell r="AZ393">
            <v>0</v>
          </cell>
        </row>
        <row r="394">
          <cell r="B394" t="str">
            <v>УТД</v>
          </cell>
          <cell r="C394" t="str">
            <v>Огнеупоры</v>
          </cell>
          <cell r="G394">
            <v>0</v>
          </cell>
          <cell r="AH394">
            <v>0</v>
          </cell>
          <cell r="AX394">
            <v>0</v>
          </cell>
          <cell r="AY394">
            <v>0</v>
          </cell>
          <cell r="AZ394">
            <v>0</v>
          </cell>
        </row>
        <row r="395">
          <cell r="B395" t="str">
            <v>Феррогруп</v>
          </cell>
          <cell r="C395" t="str">
            <v>Ферросплавы</v>
          </cell>
          <cell r="G395">
            <v>0</v>
          </cell>
          <cell r="AH395">
            <v>0</v>
          </cell>
          <cell r="AX395">
            <v>0</v>
          </cell>
          <cell r="AY395">
            <v>0</v>
          </cell>
          <cell r="AZ395">
            <v>0</v>
          </cell>
        </row>
        <row r="396">
          <cell r="B396" t="str">
            <v>Футур Технолоджи</v>
          </cell>
          <cell r="C396" t="str">
            <v>Ферросплавы</v>
          </cell>
          <cell r="G396">
            <v>0</v>
          </cell>
          <cell r="AH396">
            <v>0</v>
          </cell>
          <cell r="AX396">
            <v>0</v>
          </cell>
          <cell r="AY396">
            <v>0</v>
          </cell>
          <cell r="AZ396">
            <v>0</v>
          </cell>
        </row>
        <row r="397">
          <cell r="B397" t="str">
            <v>Химтэк</v>
          </cell>
          <cell r="C397" t="str">
            <v>Прочие вспомогательные</v>
          </cell>
          <cell r="G397">
            <v>0</v>
          </cell>
          <cell r="AH397">
            <v>0</v>
          </cell>
          <cell r="AX397">
            <v>0</v>
          </cell>
          <cell r="AY397">
            <v>0</v>
          </cell>
          <cell r="AZ397">
            <v>0</v>
          </cell>
        </row>
        <row r="398">
          <cell r="B398" t="str">
            <v>Центр ВИНС</v>
          </cell>
          <cell r="C398" t="str">
            <v>Ферросплавы</v>
          </cell>
          <cell r="G398">
            <v>0</v>
          </cell>
          <cell r="AH398">
            <v>0</v>
          </cell>
          <cell r="AX398">
            <v>0</v>
          </cell>
          <cell r="AY398">
            <v>0</v>
          </cell>
          <cell r="AZ398">
            <v>0</v>
          </cell>
        </row>
        <row r="399">
          <cell r="B399" t="str">
            <v>Элиста</v>
          </cell>
          <cell r="C399" t="str">
            <v>Добавочные и заправочные</v>
          </cell>
          <cell r="G399">
            <v>0</v>
          </cell>
          <cell r="AH399">
            <v>0</v>
          </cell>
          <cell r="AX399">
            <v>0</v>
          </cell>
          <cell r="AY399">
            <v>0</v>
          </cell>
          <cell r="AZ399">
            <v>0</v>
          </cell>
        </row>
        <row r="400">
          <cell r="B400" t="str">
            <v>Эмилон -Сервис ООО</v>
          </cell>
          <cell r="C400" t="str">
            <v>Ферросплавы</v>
          </cell>
          <cell r="G400">
            <v>0</v>
          </cell>
          <cell r="AH400">
            <v>0</v>
          </cell>
          <cell r="AX400">
            <v>0</v>
          </cell>
          <cell r="AY400">
            <v>0</v>
          </cell>
          <cell r="AZ400">
            <v>0</v>
          </cell>
        </row>
        <row r="401">
          <cell r="B401" t="str">
            <v>Энергопром</v>
          </cell>
          <cell r="C401" t="str">
            <v>Прочие вспомогательные</v>
          </cell>
          <cell r="G401">
            <v>0</v>
          </cell>
          <cell r="AH401">
            <v>0</v>
          </cell>
          <cell r="AX401">
            <v>0</v>
          </cell>
          <cell r="AY401">
            <v>0</v>
          </cell>
          <cell r="AZ401">
            <v>0</v>
          </cell>
        </row>
        <row r="402">
          <cell r="B402" t="str">
            <v>Энергопром</v>
          </cell>
          <cell r="C402" t="str">
            <v>Ферросплавы</v>
          </cell>
          <cell r="G402">
            <v>0</v>
          </cell>
          <cell r="AH402">
            <v>0</v>
          </cell>
          <cell r="AX402">
            <v>0</v>
          </cell>
          <cell r="AY402">
            <v>0</v>
          </cell>
          <cell r="AZ402">
            <v>0</v>
          </cell>
        </row>
        <row r="403">
          <cell r="B403" t="str">
            <v>Энергопром</v>
          </cell>
          <cell r="C403" t="str">
            <v>Чугун</v>
          </cell>
          <cell r="G403">
            <v>0</v>
          </cell>
          <cell r="AH403">
            <v>0</v>
          </cell>
          <cell r="AX403">
            <v>0</v>
          </cell>
          <cell r="AY403">
            <v>0</v>
          </cell>
          <cell r="AZ403">
            <v>0</v>
          </cell>
        </row>
        <row r="404">
          <cell r="B404" t="str">
            <v>Южураллес</v>
          </cell>
          <cell r="C404" t="str">
            <v>Ферросплавы</v>
          </cell>
          <cell r="G404">
            <v>0</v>
          </cell>
          <cell r="AH404">
            <v>0</v>
          </cell>
          <cell r="AX404">
            <v>0</v>
          </cell>
          <cell r="AY404">
            <v>0</v>
          </cell>
          <cell r="AZ404">
            <v>0</v>
          </cell>
        </row>
        <row r="405">
          <cell r="B405" t="str">
            <v>10 ГПЗ ОАО</v>
          </cell>
          <cell r="C405" t="str">
            <v>Металлолом</v>
          </cell>
          <cell r="G405">
            <v>0</v>
          </cell>
          <cell r="AH405">
            <v>-32253</v>
          </cell>
          <cell r="AX405">
            <v>0</v>
          </cell>
          <cell r="AY405">
            <v>32252.616000000002</v>
          </cell>
          <cell r="AZ405">
            <v>0</v>
          </cell>
        </row>
        <row r="406">
          <cell r="B406" t="str">
            <v>Аврора-БиНиБ ООО</v>
          </cell>
          <cell r="C406" t="str">
            <v>Металлолом</v>
          </cell>
          <cell r="G406">
            <v>18457.580000000002</v>
          </cell>
          <cell r="K406">
            <v>0</v>
          </cell>
          <cell r="O406">
            <v>0</v>
          </cell>
          <cell r="S406">
            <v>0</v>
          </cell>
          <cell r="W406">
            <v>0</v>
          </cell>
          <cell r="AA406">
            <v>0</v>
          </cell>
          <cell r="AH406">
            <v>0</v>
          </cell>
          <cell r="AX406">
            <v>0</v>
          </cell>
          <cell r="AY406">
            <v>0</v>
          </cell>
          <cell r="AZ406">
            <v>0</v>
          </cell>
        </row>
        <row r="407">
          <cell r="B407" t="str">
            <v>Арлан ТПА ЗАО</v>
          </cell>
          <cell r="C407" t="str">
            <v>Металлолом</v>
          </cell>
          <cell r="G407">
            <v>64136.77</v>
          </cell>
          <cell r="J407">
            <v>-64137</v>
          </cell>
          <cell r="K407">
            <v>-504545.45454545459</v>
          </cell>
          <cell r="O407">
            <v>-504545.45454545459</v>
          </cell>
          <cell r="S407">
            <v>-504545.45454545459</v>
          </cell>
          <cell r="W407">
            <v>-504545.45454545459</v>
          </cell>
          <cell r="AA407">
            <v>-201818.18181818182</v>
          </cell>
          <cell r="AH407">
            <v>0</v>
          </cell>
          <cell r="AX407">
            <v>0</v>
          </cell>
          <cell r="AY407">
            <v>2220000</v>
          </cell>
          <cell r="AZ407">
            <v>0</v>
          </cell>
        </row>
        <row r="408">
          <cell r="B408" t="str">
            <v>Баррикады ПФС</v>
          </cell>
          <cell r="C408" t="str">
            <v>Металлолом</v>
          </cell>
          <cell r="G408">
            <v>2178478.98</v>
          </cell>
          <cell r="AH408">
            <v>-2178000</v>
          </cell>
          <cell r="AX408">
            <v>0</v>
          </cell>
          <cell r="AY408">
            <v>0</v>
          </cell>
          <cell r="AZ408">
            <v>144000</v>
          </cell>
        </row>
        <row r="409">
          <cell r="B409" t="str">
            <v>ВЗТДиН</v>
          </cell>
          <cell r="C409" t="str">
            <v>Металлолом</v>
          </cell>
          <cell r="G409">
            <v>20931.490000000002</v>
          </cell>
          <cell r="K409">
            <v>-6354.545454545455</v>
          </cell>
          <cell r="O409">
            <v>-6354.545454545455</v>
          </cell>
          <cell r="S409">
            <v>-6354.545454545455</v>
          </cell>
          <cell r="W409">
            <v>-6354.545454545455</v>
          </cell>
          <cell r="AA409">
            <v>-2541.818181818182</v>
          </cell>
          <cell r="AH409">
            <v>0</v>
          </cell>
          <cell r="AX409">
            <v>0</v>
          </cell>
          <cell r="AY409">
            <v>7028.5099999999984</v>
          </cell>
          <cell r="AZ409">
            <v>20931.490000000002</v>
          </cell>
        </row>
        <row r="410">
          <cell r="B410" t="str">
            <v>ВолгоградЭлектротранс</v>
          </cell>
          <cell r="C410" t="str">
            <v>Металлолом</v>
          </cell>
          <cell r="G410">
            <v>22944.359999999997</v>
          </cell>
          <cell r="K410">
            <v>-1704.5454545454547</v>
          </cell>
          <cell r="O410">
            <v>-1704.5454545454547</v>
          </cell>
          <cell r="S410">
            <v>-1704.5454545454547</v>
          </cell>
          <cell r="W410">
            <v>-1704.5454545454547</v>
          </cell>
          <cell r="AA410">
            <v>-681.81818181818187</v>
          </cell>
          <cell r="AH410">
            <v>0</v>
          </cell>
          <cell r="AX410">
            <v>0</v>
          </cell>
          <cell r="AY410">
            <v>0</v>
          </cell>
          <cell r="AZ410">
            <v>7500</v>
          </cell>
        </row>
        <row r="411">
          <cell r="B411" t="str">
            <v>ВСПКЗ ОАО</v>
          </cell>
          <cell r="C411" t="str">
            <v>Металлолом</v>
          </cell>
          <cell r="G411">
            <v>0</v>
          </cell>
          <cell r="K411">
            <v>0</v>
          </cell>
          <cell r="O411">
            <v>0</v>
          </cell>
          <cell r="S411">
            <v>0</v>
          </cell>
          <cell r="W411">
            <v>0</v>
          </cell>
          <cell r="AA411">
            <v>0</v>
          </cell>
          <cell r="AH411">
            <v>0</v>
          </cell>
          <cell r="AX411">
            <v>0</v>
          </cell>
          <cell r="AY411">
            <v>0</v>
          </cell>
          <cell r="AZ411">
            <v>0</v>
          </cell>
        </row>
        <row r="412">
          <cell r="B412" t="str">
            <v>Втормет ООО</v>
          </cell>
          <cell r="C412" t="str">
            <v>Металлолом</v>
          </cell>
          <cell r="G412">
            <v>1920146.5899999999</v>
          </cell>
          <cell r="AH412">
            <v>-2600000</v>
          </cell>
          <cell r="AX412">
            <v>0</v>
          </cell>
          <cell r="AY412">
            <v>679853.41000000015</v>
          </cell>
          <cell r="AZ412">
            <v>2198096.9899999998</v>
          </cell>
        </row>
        <row r="413">
          <cell r="B413" t="str">
            <v>ДОК Облпотребсоюз</v>
          </cell>
          <cell r="C413" t="str">
            <v>Металлолом</v>
          </cell>
          <cell r="G413">
            <v>105233.7</v>
          </cell>
          <cell r="K413">
            <v>-175227.27272727271</v>
          </cell>
          <cell r="O413">
            <v>-175227.27272727271</v>
          </cell>
          <cell r="S413">
            <v>-175227.27272727271</v>
          </cell>
          <cell r="W413">
            <v>-175227.27272727271</v>
          </cell>
          <cell r="AA413">
            <v>-70090.909090909088</v>
          </cell>
          <cell r="AH413">
            <v>0</v>
          </cell>
          <cell r="AX413">
            <v>0</v>
          </cell>
          <cell r="AY413">
            <v>665766.29999999993</v>
          </cell>
          <cell r="AZ413">
            <v>105233.70000000007</v>
          </cell>
        </row>
        <row r="414">
          <cell r="B414" t="str">
            <v>ЕвроОйл ООО</v>
          </cell>
          <cell r="C414" t="str">
            <v>Металлолом</v>
          </cell>
          <cell r="G414">
            <v>48457.120000000003</v>
          </cell>
          <cell r="K414">
            <v>-3661.363636363636</v>
          </cell>
          <cell r="O414">
            <v>-3661.363636363636</v>
          </cell>
          <cell r="S414">
            <v>-3661.363636363636</v>
          </cell>
          <cell r="W414">
            <v>-3661.363636363636</v>
          </cell>
          <cell r="AA414">
            <v>-1464.5454545454545</v>
          </cell>
          <cell r="AH414">
            <v>0</v>
          </cell>
          <cell r="AX414">
            <v>0</v>
          </cell>
          <cell r="AY414">
            <v>0</v>
          </cell>
          <cell r="AZ414">
            <v>16110</v>
          </cell>
        </row>
        <row r="415">
          <cell r="B415" t="str">
            <v>ИмпексКабмет ООО</v>
          </cell>
          <cell r="C415" t="str">
            <v>Металлолом</v>
          </cell>
          <cell r="G415">
            <v>1027709.92</v>
          </cell>
          <cell r="J415">
            <v>-500000</v>
          </cell>
          <cell r="K415">
            <v>-283990.90909090906</v>
          </cell>
          <cell r="N415">
            <v>-500000</v>
          </cell>
          <cell r="O415">
            <v>-283990.90909090906</v>
          </cell>
          <cell r="S415">
            <v>-283990.90909090906</v>
          </cell>
          <cell r="W415">
            <v>-283990.90909090906</v>
          </cell>
          <cell r="AA415">
            <v>-113596.36363636363</v>
          </cell>
          <cell r="AH415">
            <v>0</v>
          </cell>
          <cell r="AX415">
            <v>0</v>
          </cell>
          <cell r="AY415">
            <v>1221850.08</v>
          </cell>
          <cell r="AZ415">
            <v>27709.919999999925</v>
          </cell>
        </row>
        <row r="416">
          <cell r="B416" t="str">
            <v>Интерсфера-Холдинг</v>
          </cell>
          <cell r="C416" t="str">
            <v>Металлолом</v>
          </cell>
          <cell r="G416">
            <v>1627702</v>
          </cell>
          <cell r="K416">
            <v>-402834.5509090909</v>
          </cell>
          <cell r="O416">
            <v>-402834.5509090909</v>
          </cell>
          <cell r="S416">
            <v>-402834.5509090909</v>
          </cell>
          <cell r="W416">
            <v>-402834.5509090909</v>
          </cell>
          <cell r="AA416">
            <v>-161133.82036363636</v>
          </cell>
          <cell r="AH416">
            <v>0</v>
          </cell>
          <cell r="AX416">
            <v>0</v>
          </cell>
          <cell r="AY416">
            <v>144770.02399999998</v>
          </cell>
          <cell r="AZ416">
            <v>1627702</v>
          </cell>
        </row>
        <row r="417">
          <cell r="B417" t="str">
            <v>Инэко ООО</v>
          </cell>
          <cell r="C417" t="str">
            <v>Металлолом</v>
          </cell>
          <cell r="G417">
            <v>495876.5</v>
          </cell>
          <cell r="K417">
            <v>-91977.272727272721</v>
          </cell>
          <cell r="O417">
            <v>-91977.272727272721</v>
          </cell>
          <cell r="S417">
            <v>-91977.272727272721</v>
          </cell>
          <cell r="W417">
            <v>-91977.272727272721</v>
          </cell>
          <cell r="AA417">
            <v>-36790.909090909088</v>
          </cell>
          <cell r="AH417">
            <v>0</v>
          </cell>
          <cell r="AX417">
            <v>0</v>
          </cell>
          <cell r="AY417">
            <v>0</v>
          </cell>
          <cell r="AZ417">
            <v>404700</v>
          </cell>
        </row>
        <row r="418">
          <cell r="B418" t="str">
            <v>Коламбия ООО</v>
          </cell>
          <cell r="C418" t="str">
            <v>Металлолом</v>
          </cell>
          <cell r="G418">
            <v>0</v>
          </cell>
          <cell r="K418">
            <v>-363215.30045454542</v>
          </cell>
          <cell r="O418">
            <v>-363215.30045454542</v>
          </cell>
          <cell r="S418">
            <v>-363215.30045454542</v>
          </cell>
          <cell r="W418">
            <v>-363215.30045454542</v>
          </cell>
          <cell r="AA418">
            <v>-145286.12018181817</v>
          </cell>
          <cell r="AH418">
            <v>0</v>
          </cell>
          <cell r="AX418">
            <v>0</v>
          </cell>
          <cell r="AY418">
            <v>1598147.3219999999</v>
          </cell>
          <cell r="AZ418">
            <v>0</v>
          </cell>
        </row>
        <row r="419">
          <cell r="B419" t="str">
            <v>КЭМЗ</v>
          </cell>
          <cell r="C419" t="str">
            <v>Металлолом</v>
          </cell>
          <cell r="G419">
            <v>787.83</v>
          </cell>
          <cell r="K419">
            <v>-2386.363636363636</v>
          </cell>
          <cell r="O419">
            <v>-2386.363636363636</v>
          </cell>
          <cell r="S419">
            <v>-2386.363636363636</v>
          </cell>
          <cell r="W419">
            <v>-2386.363636363636</v>
          </cell>
          <cell r="AA419">
            <v>-954.5454545454545</v>
          </cell>
          <cell r="AH419">
            <v>0</v>
          </cell>
          <cell r="AX419">
            <v>0</v>
          </cell>
          <cell r="AY419">
            <v>9712.1699999999983</v>
          </cell>
          <cell r="AZ419">
            <v>787.83000000000175</v>
          </cell>
        </row>
        <row r="420">
          <cell r="B420" t="str">
            <v>Лемекс-снаб ЗАО</v>
          </cell>
          <cell r="C420" t="str">
            <v>Металлолом</v>
          </cell>
          <cell r="G420">
            <v>0</v>
          </cell>
          <cell r="K420">
            <v>0</v>
          </cell>
          <cell r="O420">
            <v>0</v>
          </cell>
          <cell r="S420">
            <v>0</v>
          </cell>
          <cell r="W420">
            <v>0</v>
          </cell>
          <cell r="AA420">
            <v>0</v>
          </cell>
          <cell r="AH420">
            <v>0</v>
          </cell>
          <cell r="AX420">
            <v>0</v>
          </cell>
          <cell r="AY420">
            <v>0</v>
          </cell>
          <cell r="AZ420">
            <v>0</v>
          </cell>
        </row>
        <row r="421">
          <cell r="B421" t="str">
            <v>Маирцентр ЗАО ТПФ</v>
          </cell>
          <cell r="C421" t="str">
            <v>Металлолом</v>
          </cell>
          <cell r="G421">
            <v>-11605609.16</v>
          </cell>
          <cell r="K421">
            <v>-1193938.6363636362</v>
          </cell>
          <cell r="O421">
            <v>-1193938.6363636362</v>
          </cell>
          <cell r="S421">
            <v>-1193938.6363636362</v>
          </cell>
          <cell r="W421">
            <v>-1193938.6363636362</v>
          </cell>
          <cell r="AA421">
            <v>-477575.45454545453</v>
          </cell>
          <cell r="AH421">
            <v>0</v>
          </cell>
          <cell r="AX421">
            <v>5253330</v>
          </cell>
          <cell r="AY421">
            <v>0</v>
          </cell>
          <cell r="AZ421">
            <v>0</v>
          </cell>
        </row>
        <row r="422">
          <cell r="B422" t="str">
            <v>Мелкие  поставщики</v>
          </cell>
          <cell r="C422" t="str">
            <v>Металлолом</v>
          </cell>
          <cell r="G422">
            <v>0</v>
          </cell>
          <cell r="K422">
            <v>-4909.090909090909</v>
          </cell>
          <cell r="O422">
            <v>-4909.090909090909</v>
          </cell>
          <cell r="S422">
            <v>-4909.090909090909</v>
          </cell>
          <cell r="W422">
            <v>-4909.090909090909</v>
          </cell>
          <cell r="AA422">
            <v>-1963.6363636363637</v>
          </cell>
          <cell r="AH422">
            <v>0</v>
          </cell>
          <cell r="AX422">
            <v>0</v>
          </cell>
          <cell r="AY422">
            <v>21600</v>
          </cell>
          <cell r="AZ422">
            <v>0</v>
          </cell>
        </row>
        <row r="423">
          <cell r="B423" t="str">
            <v>Метапласт З-д</v>
          </cell>
          <cell r="C423" t="str">
            <v>Металлолом</v>
          </cell>
          <cell r="G423">
            <v>42212.65</v>
          </cell>
          <cell r="AH423">
            <v>-88437</v>
          </cell>
          <cell r="AX423">
            <v>0</v>
          </cell>
          <cell r="AY423">
            <v>38411.31</v>
          </cell>
          <cell r="AZ423">
            <v>0</v>
          </cell>
        </row>
        <row r="424">
          <cell r="B424" t="str">
            <v>НВМК ООО</v>
          </cell>
          <cell r="C424" t="str">
            <v>Металлолом</v>
          </cell>
          <cell r="G424">
            <v>1062426.57</v>
          </cell>
          <cell r="K424">
            <v>-371125.26000000007</v>
          </cell>
          <cell r="O424">
            <v>-371125.26000000007</v>
          </cell>
          <cell r="S424">
            <v>-371125.26000000007</v>
          </cell>
          <cell r="W424">
            <v>-371125.26000000007</v>
          </cell>
          <cell r="AA424">
            <v>-148450.10400000002</v>
          </cell>
          <cell r="AH424">
            <v>0</v>
          </cell>
          <cell r="AX424">
            <v>0</v>
          </cell>
          <cell r="AY424">
            <v>570524.57400000026</v>
          </cell>
          <cell r="AZ424">
            <v>1062426.5699999998</v>
          </cell>
        </row>
        <row r="425">
          <cell r="B425" t="str">
            <v>Неизвестные поставщики</v>
          </cell>
          <cell r="C425" t="str">
            <v>Металлолом</v>
          </cell>
          <cell r="G425">
            <v>2941130.9699999993</v>
          </cell>
          <cell r="K425">
            <v>-981974.1571418182</v>
          </cell>
          <cell r="O425">
            <v>-981974.1571418182</v>
          </cell>
          <cell r="S425">
            <v>-981974.1571418182</v>
          </cell>
          <cell r="W425">
            <v>-981974.1571418182</v>
          </cell>
          <cell r="AA425">
            <v>-392789.66285672726</v>
          </cell>
          <cell r="AH425">
            <v>0</v>
          </cell>
          <cell r="AX425">
            <v>0</v>
          </cell>
          <cell r="AY425">
            <v>1379555.3214240004</v>
          </cell>
          <cell r="AZ425">
            <v>2941130.9699999993</v>
          </cell>
        </row>
        <row r="426">
          <cell r="B426" t="str">
            <v>ОблВолгоВтормет ГУП</v>
          </cell>
          <cell r="C426" t="str">
            <v>Металлолом</v>
          </cell>
          <cell r="G426">
            <v>597568.43999999994</v>
          </cell>
          <cell r="K426">
            <v>-174272.72727272729</v>
          </cell>
          <cell r="O426">
            <v>-174272.72727272729</v>
          </cell>
          <cell r="S426">
            <v>-174272.72727272729</v>
          </cell>
          <cell r="W426">
            <v>-174272.72727272729</v>
          </cell>
          <cell r="AA426">
            <v>-69709.090909090912</v>
          </cell>
          <cell r="AH426">
            <v>0</v>
          </cell>
          <cell r="AX426">
            <v>0</v>
          </cell>
          <cell r="AY426">
            <v>169231.56000000017</v>
          </cell>
          <cell r="AZ426">
            <v>597568.43999999983</v>
          </cell>
        </row>
        <row r="427">
          <cell r="B427" t="str">
            <v>Прохлада ЗАО</v>
          </cell>
          <cell r="C427" t="str">
            <v>Металлолом</v>
          </cell>
          <cell r="G427">
            <v>4542086.72</v>
          </cell>
          <cell r="J427">
            <v>-500000</v>
          </cell>
          <cell r="K427">
            <v>-623317.44272727263</v>
          </cell>
          <cell r="N427">
            <v>-500000</v>
          </cell>
          <cell r="O427">
            <v>-623317.44272727263</v>
          </cell>
          <cell r="S427">
            <v>-623317.44272727263</v>
          </cell>
          <cell r="W427">
            <v>-623317.44272727263</v>
          </cell>
          <cell r="AA427">
            <v>-249326.97709090906</v>
          </cell>
          <cell r="AH427">
            <v>0</v>
          </cell>
          <cell r="AX427">
            <v>0</v>
          </cell>
          <cell r="AY427">
            <v>0</v>
          </cell>
          <cell r="AZ427">
            <v>2742596.7479999997</v>
          </cell>
        </row>
        <row r="428">
          <cell r="B428" t="str">
            <v>Прохлада ОАО</v>
          </cell>
          <cell r="C428" t="str">
            <v>Металлолом</v>
          </cell>
          <cell r="G428">
            <v>3650840.98</v>
          </cell>
          <cell r="K428">
            <v>-596737.23409090913</v>
          </cell>
          <cell r="O428">
            <v>-596737.23409090913</v>
          </cell>
          <cell r="S428">
            <v>-596737.23409090913</v>
          </cell>
          <cell r="W428">
            <v>-596737.23409090913</v>
          </cell>
          <cell r="AA428">
            <v>-238694.89363636365</v>
          </cell>
          <cell r="AH428">
            <v>0</v>
          </cell>
          <cell r="AX428">
            <v>0</v>
          </cell>
          <cell r="AY428">
            <v>0</v>
          </cell>
          <cell r="AZ428">
            <v>2625643.83</v>
          </cell>
        </row>
        <row r="429">
          <cell r="B429" t="str">
            <v>Себряковский МЗ</v>
          </cell>
          <cell r="C429" t="str">
            <v>Металлолом</v>
          </cell>
          <cell r="G429">
            <v>27981.75</v>
          </cell>
          <cell r="K429">
            <v>0</v>
          </cell>
          <cell r="O429">
            <v>0</v>
          </cell>
          <cell r="S429">
            <v>0</v>
          </cell>
          <cell r="W429">
            <v>0</v>
          </cell>
          <cell r="AA429">
            <v>0</v>
          </cell>
          <cell r="AH429">
            <v>0</v>
          </cell>
          <cell r="AX429">
            <v>0</v>
          </cell>
          <cell r="AY429">
            <v>0</v>
          </cell>
          <cell r="AZ429">
            <v>0</v>
          </cell>
        </row>
        <row r="430">
          <cell r="B430" t="str">
            <v>СимбирскРесурс</v>
          </cell>
          <cell r="C430" t="str">
            <v>Металлолом</v>
          </cell>
          <cell r="G430">
            <v>236415.49</v>
          </cell>
          <cell r="K430">
            <v>-88636.363636363647</v>
          </cell>
          <cell r="O430">
            <v>-88636.363636363647</v>
          </cell>
          <cell r="S430">
            <v>-88636.363636363647</v>
          </cell>
          <cell r="W430">
            <v>-88636.363636363647</v>
          </cell>
          <cell r="AA430">
            <v>-35454.545454545456</v>
          </cell>
          <cell r="AH430">
            <v>0</v>
          </cell>
          <cell r="AX430">
            <v>0</v>
          </cell>
          <cell r="AY430">
            <v>153584.51000000007</v>
          </cell>
          <cell r="AZ430">
            <v>236415.48999999993</v>
          </cell>
        </row>
        <row r="431">
          <cell r="B431" t="str">
            <v>Синдикат ООО</v>
          </cell>
          <cell r="C431" t="str">
            <v>Металлолом</v>
          </cell>
          <cell r="G431">
            <v>0</v>
          </cell>
          <cell r="K431">
            <v>-31772.727272727276</v>
          </cell>
          <cell r="O431">
            <v>-31772.727272727276</v>
          </cell>
          <cell r="S431">
            <v>-31772.727272727276</v>
          </cell>
          <cell r="W431">
            <v>-31772.727272727276</v>
          </cell>
          <cell r="AA431">
            <v>-12709.09090909091</v>
          </cell>
          <cell r="AH431">
            <v>0</v>
          </cell>
          <cell r="AX431">
            <v>0</v>
          </cell>
          <cell r="AY431">
            <v>139800</v>
          </cell>
          <cell r="AZ431">
            <v>0</v>
          </cell>
        </row>
        <row r="432">
          <cell r="B432" t="str">
            <v>СитиРесурс ООО</v>
          </cell>
          <cell r="C432" t="str">
            <v>Металлолом</v>
          </cell>
          <cell r="G432">
            <v>16052.87</v>
          </cell>
          <cell r="K432">
            <v>-27170.454545454544</v>
          </cell>
          <cell r="O432">
            <v>-27170.454545454544</v>
          </cell>
          <cell r="S432">
            <v>-27170.454545454544</v>
          </cell>
          <cell r="W432">
            <v>-27170.454545454544</v>
          </cell>
          <cell r="AA432">
            <v>-10868.181818181818</v>
          </cell>
          <cell r="AH432">
            <v>0</v>
          </cell>
          <cell r="AX432">
            <v>0</v>
          </cell>
          <cell r="AY432">
            <v>103497.13</v>
          </cell>
          <cell r="AZ432">
            <v>16052.869999999995</v>
          </cell>
        </row>
        <row r="433">
          <cell r="B433" t="str">
            <v>Спецбазис ООО</v>
          </cell>
          <cell r="C433" t="str">
            <v>Металлолом</v>
          </cell>
          <cell r="G433">
            <v>545338.55000000005</v>
          </cell>
          <cell r="K433">
            <v>-159975</v>
          </cell>
          <cell r="O433">
            <v>-159975</v>
          </cell>
          <cell r="S433">
            <v>-159975</v>
          </cell>
          <cell r="V433">
            <v>-27477.33</v>
          </cell>
          <cell r="W433">
            <v>-159975</v>
          </cell>
          <cell r="AA433">
            <v>-63990</v>
          </cell>
          <cell r="AH433">
            <v>0</v>
          </cell>
          <cell r="AX433">
            <v>0</v>
          </cell>
          <cell r="AY433">
            <v>186028.77999999991</v>
          </cell>
          <cell r="AZ433">
            <v>517861.22000000009</v>
          </cell>
        </row>
        <row r="434">
          <cell r="B434" t="str">
            <v>Станмет ООО</v>
          </cell>
          <cell r="C434" t="str">
            <v>Металлолом</v>
          </cell>
          <cell r="G434">
            <v>101929.14</v>
          </cell>
          <cell r="K434">
            <v>-6954.545454545455</v>
          </cell>
          <cell r="O434">
            <v>-6954.545454545455</v>
          </cell>
          <cell r="S434">
            <v>-6954.545454545455</v>
          </cell>
          <cell r="W434">
            <v>-6954.545454545455</v>
          </cell>
          <cell r="AA434">
            <v>-2781.818181818182</v>
          </cell>
          <cell r="AH434">
            <v>0</v>
          </cell>
          <cell r="AX434">
            <v>0</v>
          </cell>
          <cell r="AY434">
            <v>0</v>
          </cell>
          <cell r="AZ434">
            <v>30600</v>
          </cell>
        </row>
        <row r="435">
          <cell r="B435" t="str">
            <v>Старт ООО</v>
          </cell>
          <cell r="C435" t="str">
            <v>Металлолом</v>
          </cell>
          <cell r="G435">
            <v>29744.969999999998</v>
          </cell>
          <cell r="K435">
            <v>-24000</v>
          </cell>
          <cell r="O435">
            <v>-24000</v>
          </cell>
          <cell r="S435">
            <v>-24000</v>
          </cell>
          <cell r="W435">
            <v>-24000</v>
          </cell>
          <cell r="AA435">
            <v>-9600</v>
          </cell>
          <cell r="AH435">
            <v>0</v>
          </cell>
          <cell r="AX435">
            <v>0</v>
          </cell>
          <cell r="AY435">
            <v>75855.03</v>
          </cell>
          <cell r="AZ435">
            <v>29744.97</v>
          </cell>
        </row>
        <row r="436">
          <cell r="B436" t="str">
            <v>ТехПромВолга ООО</v>
          </cell>
          <cell r="C436" t="str">
            <v>Металлолом</v>
          </cell>
          <cell r="G436">
            <v>1423300.09</v>
          </cell>
          <cell r="K436">
            <v>-173877.27272727271</v>
          </cell>
          <cell r="O436">
            <v>-173877.27272727271</v>
          </cell>
          <cell r="S436">
            <v>-173877.27272727271</v>
          </cell>
          <cell r="W436">
            <v>-173877.27272727271</v>
          </cell>
          <cell r="AA436">
            <v>-69550.909090909088</v>
          </cell>
          <cell r="AH436">
            <v>0</v>
          </cell>
          <cell r="AX436">
            <v>0</v>
          </cell>
          <cell r="AY436">
            <v>0</v>
          </cell>
          <cell r="AZ436">
            <v>765060</v>
          </cell>
        </row>
        <row r="437">
          <cell r="B437" t="str">
            <v>УАЗ</v>
          </cell>
          <cell r="C437" t="str">
            <v>Металлолом</v>
          </cell>
          <cell r="G437">
            <v>-770000</v>
          </cell>
          <cell r="K437">
            <v>-182994.21</v>
          </cell>
          <cell r="O437">
            <v>-182994.21</v>
          </cell>
          <cell r="S437">
            <v>-182994.21</v>
          </cell>
          <cell r="W437">
            <v>-182994.21</v>
          </cell>
          <cell r="AA437">
            <v>-73197.683999999994</v>
          </cell>
          <cell r="AH437">
            <v>0</v>
          </cell>
          <cell r="AX437">
            <v>770000</v>
          </cell>
          <cell r="AY437">
            <v>35174.523999999859</v>
          </cell>
          <cell r="AZ437">
            <v>0</v>
          </cell>
        </row>
        <row r="438">
          <cell r="B438" t="str">
            <v>Фаэтон ООО</v>
          </cell>
          <cell r="C438" t="str">
            <v>Металлолом</v>
          </cell>
          <cell r="G438">
            <v>43207.34</v>
          </cell>
          <cell r="K438">
            <v>-88636.363636363647</v>
          </cell>
          <cell r="O438">
            <v>-88636.363636363647</v>
          </cell>
          <cell r="S438">
            <v>-88636.363636363647</v>
          </cell>
          <cell r="W438">
            <v>-88636.363636363647</v>
          </cell>
          <cell r="AA438">
            <v>-35454.545454545456</v>
          </cell>
          <cell r="AH438">
            <v>0</v>
          </cell>
          <cell r="AX438">
            <v>0</v>
          </cell>
          <cell r="AY438">
            <v>346792.66000000003</v>
          </cell>
          <cell r="AZ438">
            <v>43207.339999999967</v>
          </cell>
        </row>
        <row r="439">
          <cell r="B439" t="str">
            <v>Эскорт-Телеком ООО</v>
          </cell>
          <cell r="C439" t="str">
            <v>Металлолом</v>
          </cell>
          <cell r="G439">
            <v>2156988.4700000002</v>
          </cell>
          <cell r="J439">
            <v>-500000</v>
          </cell>
          <cell r="K439">
            <v>-632963.67681818188</v>
          </cell>
          <cell r="N439">
            <v>-500000</v>
          </cell>
          <cell r="O439">
            <v>-632963.67681818188</v>
          </cell>
          <cell r="S439">
            <v>-632963.67681818188</v>
          </cell>
          <cell r="W439">
            <v>-632963.67681818188</v>
          </cell>
          <cell r="AA439">
            <v>-253185.47072727277</v>
          </cell>
          <cell r="AH439">
            <v>0</v>
          </cell>
          <cell r="AX439">
            <v>0</v>
          </cell>
          <cell r="AY439">
            <v>1628051.7080000001</v>
          </cell>
          <cell r="AZ439">
            <v>1156988.4700000002</v>
          </cell>
        </row>
        <row r="440">
          <cell r="B440" t="str">
            <v>ЮЧС ООО</v>
          </cell>
          <cell r="C440" t="str">
            <v>Металлолом</v>
          </cell>
          <cell r="G440">
            <v>151358</v>
          </cell>
          <cell r="K440">
            <v>-87272.727272727279</v>
          </cell>
          <cell r="O440">
            <v>-87272.727272727279</v>
          </cell>
          <cell r="S440">
            <v>-87272.727272727279</v>
          </cell>
          <cell r="W440">
            <v>-87272.727272727279</v>
          </cell>
          <cell r="AA440">
            <v>-34909.090909090912</v>
          </cell>
          <cell r="AH440">
            <v>0</v>
          </cell>
          <cell r="AX440">
            <v>0</v>
          </cell>
          <cell r="AY440">
            <v>232642</v>
          </cell>
          <cell r="AZ440">
            <v>151358</v>
          </cell>
        </row>
        <row r="441">
          <cell r="C441" t="str">
            <v>Металлолом</v>
          </cell>
          <cell r="G441">
            <v>0</v>
          </cell>
          <cell r="K441">
            <v>0</v>
          </cell>
          <cell r="O441">
            <v>0</v>
          </cell>
          <cell r="S441">
            <v>0</v>
          </cell>
          <cell r="W441">
            <v>0</v>
          </cell>
          <cell r="AA441">
            <v>0</v>
          </cell>
          <cell r="AH441">
            <v>0</v>
          </cell>
          <cell r="AX441">
            <v>0</v>
          </cell>
          <cell r="AY441">
            <v>0</v>
          </cell>
          <cell r="AZ441">
            <v>0</v>
          </cell>
        </row>
        <row r="442">
          <cell r="C442" t="str">
            <v>Металлолом</v>
          </cell>
          <cell r="G442">
            <v>0</v>
          </cell>
          <cell r="K442">
            <v>0</v>
          </cell>
          <cell r="O442">
            <v>0</v>
          </cell>
          <cell r="S442">
            <v>0</v>
          </cell>
          <cell r="W442">
            <v>0</v>
          </cell>
          <cell r="AA442">
            <v>0</v>
          </cell>
          <cell r="AH442">
            <v>0</v>
          </cell>
          <cell r="AX442">
            <v>0</v>
          </cell>
          <cell r="AY442">
            <v>0</v>
          </cell>
          <cell r="AZ442">
            <v>0</v>
          </cell>
        </row>
        <row r="443">
          <cell r="B443" t="str">
            <v>ВМЗ КО</v>
          </cell>
          <cell r="C443" t="str">
            <v>Металлолом</v>
          </cell>
          <cell r="G443">
            <v>-78098440</v>
          </cell>
          <cell r="AH443">
            <v>42914266</v>
          </cell>
        </row>
        <row r="444">
          <cell r="B444" t="str">
            <v>ВМЗ КО</v>
          </cell>
          <cell r="C444" t="str">
            <v>Чугун</v>
          </cell>
          <cell r="G444">
            <v>0</v>
          </cell>
          <cell r="AH444">
            <v>0</v>
          </cell>
        </row>
        <row r="445">
          <cell r="B445" t="str">
            <v>ВМЗ КО</v>
          </cell>
          <cell r="C445" t="str">
            <v>Ферросплавы</v>
          </cell>
          <cell r="G445">
            <v>0</v>
          </cell>
          <cell r="AH445">
            <v>0</v>
          </cell>
        </row>
        <row r="446">
          <cell r="B446" t="str">
            <v>ВМЗ КО</v>
          </cell>
          <cell r="C446" t="str">
            <v>Никель</v>
          </cell>
          <cell r="G446">
            <v>-49762769</v>
          </cell>
          <cell r="AH446">
            <v>0</v>
          </cell>
        </row>
        <row r="447">
          <cell r="B447" t="str">
            <v>ВМЗ КО</v>
          </cell>
          <cell r="C447" t="str">
            <v>Добавочные и заправочные</v>
          </cell>
          <cell r="G447">
            <v>0</v>
          </cell>
          <cell r="AH447">
            <v>0</v>
          </cell>
        </row>
        <row r="448">
          <cell r="B448" t="str">
            <v>ВМЗ КО</v>
          </cell>
          <cell r="C448" t="str">
            <v>Электроды</v>
          </cell>
          <cell r="G448">
            <v>0</v>
          </cell>
          <cell r="AH448">
            <v>0</v>
          </cell>
        </row>
        <row r="449">
          <cell r="B449" t="str">
            <v>ВМЗ КО</v>
          </cell>
          <cell r="C449" t="str">
            <v>Огнеупоры</v>
          </cell>
          <cell r="G449">
            <v>0</v>
          </cell>
          <cell r="AH449">
            <v>0</v>
          </cell>
        </row>
        <row r="450">
          <cell r="B450" t="str">
            <v>ВМЗ КО</v>
          </cell>
          <cell r="C450" t="str">
            <v>Прочие вспомогательные</v>
          </cell>
          <cell r="G450">
            <v>0</v>
          </cell>
          <cell r="AH450">
            <v>0</v>
          </cell>
        </row>
        <row r="451">
          <cell r="B451" t="str">
            <v>ВМЗ КО</v>
          </cell>
          <cell r="C451" t="str">
            <v>Металлопрокат</v>
          </cell>
          <cell r="G451">
            <v>98106771</v>
          </cell>
          <cell r="L451">
            <v>-13000000</v>
          </cell>
          <cell r="P451">
            <v>-13000000</v>
          </cell>
          <cell r="T451">
            <v>-20000000</v>
          </cell>
          <cell r="X451">
            <v>-14669081</v>
          </cell>
          <cell r="AB451">
            <v>-6000000</v>
          </cell>
          <cell r="AH451">
            <v>-52690817</v>
          </cell>
        </row>
        <row r="452">
          <cell r="B452" t="str">
            <v>Фонд оплаты труда и отчисления</v>
          </cell>
          <cell r="C452" t="str">
            <v>Фонд оплаты труда и отчисления</v>
          </cell>
          <cell r="G452">
            <v>0</v>
          </cell>
          <cell r="S452">
            <v>-100000</v>
          </cell>
          <cell r="AH452">
            <v>0</v>
          </cell>
        </row>
        <row r="453">
          <cell r="B453" t="str">
            <v>ТД "Красный Октябрь"</v>
          </cell>
          <cell r="C453" t="str">
            <v>Услуги управления</v>
          </cell>
          <cell r="G453">
            <v>0</v>
          </cell>
          <cell r="AA453">
            <v>0</v>
          </cell>
          <cell r="AH453">
            <v>0</v>
          </cell>
        </row>
        <row r="454">
          <cell r="B454" t="str">
            <v>ТД "Красный Октябрь"</v>
          </cell>
          <cell r="C454" t="str">
            <v>Капитальные вложения</v>
          </cell>
          <cell r="G454">
            <v>0</v>
          </cell>
          <cell r="O454">
            <v>0</v>
          </cell>
          <cell r="P454">
            <v>0</v>
          </cell>
          <cell r="S454">
            <v>0</v>
          </cell>
          <cell r="T454">
            <v>-725500</v>
          </cell>
          <cell r="W454">
            <v>0</v>
          </cell>
          <cell r="X454">
            <v>-725500</v>
          </cell>
          <cell r="AA454">
            <v>0</v>
          </cell>
          <cell r="AB454">
            <v>0</v>
          </cell>
          <cell r="AH454">
            <v>0</v>
          </cell>
        </row>
        <row r="455">
          <cell r="B455" t="str">
            <v>ВМЗ КО</v>
          </cell>
          <cell r="C455" t="str">
            <v>Предоставление займов</v>
          </cell>
          <cell r="G455">
            <v>-9407684</v>
          </cell>
          <cell r="AH455">
            <v>0</v>
          </cell>
        </row>
        <row r="456">
          <cell r="B456" t="str">
            <v>Доверие</v>
          </cell>
          <cell r="C456" t="str">
            <v>Услуги страхования</v>
          </cell>
          <cell r="G456">
            <v>0</v>
          </cell>
          <cell r="AH456">
            <v>0</v>
          </cell>
        </row>
        <row r="457">
          <cell r="B457" t="str">
            <v>Доверие</v>
          </cell>
          <cell r="C457" t="str">
            <v>Услуги страхования</v>
          </cell>
          <cell r="G457">
            <v>0</v>
          </cell>
          <cell r="AH457">
            <v>0</v>
          </cell>
        </row>
        <row r="458">
          <cell r="B458" t="str">
            <v>Бюджет</v>
          </cell>
          <cell r="C458" t="str">
            <v>Налоги и сборы</v>
          </cell>
          <cell r="G458">
            <v>0</v>
          </cell>
          <cell r="O458">
            <v>-2000000</v>
          </cell>
          <cell r="S458">
            <v>-1500000</v>
          </cell>
          <cell r="T458">
            <v>0</v>
          </cell>
          <cell r="W458">
            <v>0</v>
          </cell>
          <cell r="AH458">
            <v>0</v>
          </cell>
        </row>
        <row r="459">
          <cell r="B459" t="str">
            <v>Кредиты и займы полученные</v>
          </cell>
          <cell r="C459" t="str">
            <v>ООО "Энергопром"</v>
          </cell>
          <cell r="G459">
            <v>0</v>
          </cell>
          <cell r="AH459">
            <v>0</v>
          </cell>
        </row>
        <row r="460">
          <cell r="B460" t="str">
            <v>Погашение займов</v>
          </cell>
          <cell r="C460" t="str">
            <v>ООО "Энергопром"</v>
          </cell>
          <cell r="G460">
            <v>0</v>
          </cell>
          <cell r="AH460">
            <v>0</v>
          </cell>
        </row>
        <row r="461">
          <cell r="B461" t="str">
            <v>ТД "Красный Октябрь"</v>
          </cell>
          <cell r="C461" t="str">
            <v>Реклама</v>
          </cell>
          <cell r="P461">
            <v>-50000</v>
          </cell>
          <cell r="T461">
            <v>-250000</v>
          </cell>
          <cell r="X461">
            <v>-250000</v>
          </cell>
          <cell r="AB461">
            <v>-50000</v>
          </cell>
          <cell r="AH461">
            <v>0</v>
          </cell>
        </row>
        <row r="462">
          <cell r="B462" t="str">
            <v>НВТ</v>
          </cell>
          <cell r="C462" t="str">
            <v>Таможенные пошлины и оформления</v>
          </cell>
          <cell r="G462">
            <v>0</v>
          </cell>
          <cell r="O462">
            <v>-100000</v>
          </cell>
          <cell r="T462">
            <v>-100000</v>
          </cell>
          <cell r="W462">
            <v>-100000</v>
          </cell>
          <cell r="AH462">
            <v>0</v>
          </cell>
        </row>
        <row r="463">
          <cell r="B463" t="str">
            <v xml:space="preserve">Прочие </v>
          </cell>
          <cell r="C463" t="str">
            <v>Информационные услуги</v>
          </cell>
          <cell r="O463">
            <v>-50000</v>
          </cell>
          <cell r="S463">
            <v>-390000</v>
          </cell>
          <cell r="W463">
            <v>-50000</v>
          </cell>
          <cell r="AA463">
            <v>-50000</v>
          </cell>
          <cell r="AH463">
            <v>0</v>
          </cell>
        </row>
      </sheetData>
      <sheetData sheetId="12"/>
      <sheetData sheetId="13" refreshError="1">
        <row r="1">
          <cell r="B1" t="str">
            <v>Апрель 2002 г.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ырье"/>
      <sheetName val="Бюджет"/>
      <sheetName val="Бюджет_Новый"/>
      <sheetName val="Cash"/>
      <sheetName val="Зпл+Фонды"/>
      <sheetName val="Налоги "/>
      <sheetName val="Пл кальк07"/>
      <sheetName val="БД_ПРОДУКТ"/>
      <sheetName val="Энергоресурсы"/>
      <sheetName val="Платеж_Энергоресурс"/>
      <sheetName val="ТП_Осн"/>
      <sheetName val="ТП_ИМФ"/>
      <sheetName val="Расчет численности"/>
      <sheetName val="Пл кальк"/>
      <sheetName val="БД_каль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ырье"/>
      <sheetName val="Бюджет"/>
      <sheetName val="Бюджет_Новый"/>
      <sheetName val="Cash"/>
      <sheetName val="Зпл+Фонды"/>
      <sheetName val="Налоги "/>
      <sheetName val="Пл кальк07"/>
      <sheetName val="БД_ПРОДУКТ"/>
      <sheetName val="Энергоресурсы"/>
      <sheetName val="Платеж_Энергоресурс"/>
      <sheetName val="ТП_Осн"/>
      <sheetName val="ТП_ИМФ"/>
      <sheetName val="Расчет численности"/>
      <sheetName val="Пл кальк"/>
      <sheetName val="БД_каль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тежный баланс реал"/>
      <sheetName val="Платежный баланс"/>
      <sheetName val="прогноз"/>
      <sheetName val="Свод по Контрагентам"/>
      <sheetName val="Баланс по металлопрокату"/>
      <sheetName val="Покупки-Продажи"/>
      <sheetName val="Баланс по сырью"/>
      <sheetName val="Расчеты с контрагентами"/>
      <sheetName val="Календар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2">
          <cell r="D12" t="str">
            <v>Д</v>
          </cell>
        </row>
        <row r="13">
          <cell r="D13" t="str">
            <v>Д</v>
          </cell>
        </row>
        <row r="14">
          <cell r="D14" t="str">
            <v>Д</v>
          </cell>
        </row>
        <row r="15">
          <cell r="D15" t="str">
            <v>Д</v>
          </cell>
        </row>
        <row r="16">
          <cell r="D16" t="str">
            <v>Д</v>
          </cell>
        </row>
        <row r="17">
          <cell r="D17" t="str">
            <v>Д</v>
          </cell>
        </row>
        <row r="18">
          <cell r="D18" t="str">
            <v>Д</v>
          </cell>
        </row>
        <row r="19">
          <cell r="D19" t="str">
            <v>Д</v>
          </cell>
        </row>
        <row r="20">
          <cell r="D20" t="str">
            <v>Д</v>
          </cell>
        </row>
        <row r="21">
          <cell r="D21" t="str">
            <v>Д</v>
          </cell>
        </row>
        <row r="22">
          <cell r="D22" t="str">
            <v>Д</v>
          </cell>
        </row>
        <row r="23">
          <cell r="D23" t="str">
            <v>Д</v>
          </cell>
        </row>
        <row r="24">
          <cell r="D24" t="str">
            <v>Д</v>
          </cell>
        </row>
        <row r="25">
          <cell r="D25" t="str">
            <v>Д</v>
          </cell>
        </row>
        <row r="26">
          <cell r="D26" t="str">
            <v>Д</v>
          </cell>
        </row>
        <row r="27">
          <cell r="D27" t="str">
            <v>Д</v>
          </cell>
        </row>
        <row r="28">
          <cell r="D28" t="str">
            <v>Д</v>
          </cell>
        </row>
        <row r="29">
          <cell r="D29" t="str">
            <v>Д</v>
          </cell>
        </row>
        <row r="30">
          <cell r="D30" t="str">
            <v>Д</v>
          </cell>
        </row>
        <row r="31">
          <cell r="D31" t="str">
            <v>Д</v>
          </cell>
        </row>
        <row r="32">
          <cell r="D32" t="str">
            <v>Д</v>
          </cell>
        </row>
        <row r="33">
          <cell r="D33" t="str">
            <v>Д</v>
          </cell>
        </row>
        <row r="34">
          <cell r="D34" t="str">
            <v>Д</v>
          </cell>
        </row>
        <row r="35">
          <cell r="D35" t="str">
            <v>Д</v>
          </cell>
        </row>
        <row r="36">
          <cell r="D36" t="str">
            <v>Д</v>
          </cell>
        </row>
        <row r="37">
          <cell r="D37" t="str">
            <v>Д</v>
          </cell>
        </row>
        <row r="38">
          <cell r="D38" t="str">
            <v>Д</v>
          </cell>
        </row>
        <row r="39">
          <cell r="D39" t="str">
            <v>Д</v>
          </cell>
        </row>
        <row r="40">
          <cell r="D40" t="str">
            <v>Д</v>
          </cell>
        </row>
        <row r="41">
          <cell r="D41" t="str">
            <v>Д</v>
          </cell>
        </row>
        <row r="42">
          <cell r="D42" t="str">
            <v>Д</v>
          </cell>
        </row>
        <row r="43">
          <cell r="D43" t="str">
            <v>Д</v>
          </cell>
        </row>
        <row r="44">
          <cell r="D44" t="str">
            <v>Д</v>
          </cell>
        </row>
        <row r="45">
          <cell r="D45" t="str">
            <v>Д</v>
          </cell>
        </row>
        <row r="46">
          <cell r="D46" t="str">
            <v>Д</v>
          </cell>
        </row>
        <row r="47">
          <cell r="D47" t="str">
            <v>Д</v>
          </cell>
        </row>
        <row r="48">
          <cell r="D48" t="str">
            <v>Д</v>
          </cell>
        </row>
        <row r="49">
          <cell r="D49" t="str">
            <v>Д</v>
          </cell>
        </row>
        <row r="50">
          <cell r="D50" t="str">
            <v>Д</v>
          </cell>
        </row>
        <row r="51">
          <cell r="D51" t="str">
            <v>Д</v>
          </cell>
        </row>
        <row r="52">
          <cell r="D52" t="str">
            <v>Д</v>
          </cell>
        </row>
        <row r="53">
          <cell r="D53" t="str">
            <v>Д</v>
          </cell>
        </row>
        <row r="54">
          <cell r="D54" t="str">
            <v>Д</v>
          </cell>
        </row>
        <row r="55">
          <cell r="D55" t="str">
            <v>Д</v>
          </cell>
        </row>
        <row r="56">
          <cell r="D56" t="str">
            <v>Д</v>
          </cell>
        </row>
        <row r="57">
          <cell r="D57" t="str">
            <v>Д</v>
          </cell>
        </row>
        <row r="58">
          <cell r="D58" t="str">
            <v>Д</v>
          </cell>
        </row>
        <row r="59">
          <cell r="D59" t="str">
            <v>Д</v>
          </cell>
        </row>
        <row r="60">
          <cell r="D60" t="str">
            <v>Д</v>
          </cell>
        </row>
        <row r="61">
          <cell r="D61" t="str">
            <v>Д</v>
          </cell>
        </row>
        <row r="62">
          <cell r="D62" t="str">
            <v>Д</v>
          </cell>
        </row>
        <row r="63">
          <cell r="D63" t="str">
            <v>Д</v>
          </cell>
        </row>
        <row r="64">
          <cell r="D64" t="str">
            <v>Д</v>
          </cell>
        </row>
        <row r="65">
          <cell r="D65" t="str">
            <v>Д</v>
          </cell>
        </row>
        <row r="66">
          <cell r="D66" t="str">
            <v>Д</v>
          </cell>
        </row>
        <row r="67">
          <cell r="D67" t="str">
            <v>Д</v>
          </cell>
        </row>
        <row r="68">
          <cell r="D68" t="str">
            <v>Д</v>
          </cell>
        </row>
        <row r="69">
          <cell r="D69" t="str">
            <v>Д</v>
          </cell>
        </row>
        <row r="70">
          <cell r="D70" t="str">
            <v>Д</v>
          </cell>
        </row>
        <row r="71">
          <cell r="D71" t="str">
            <v>Д</v>
          </cell>
        </row>
        <row r="72">
          <cell r="D72" t="str">
            <v>Д</v>
          </cell>
        </row>
        <row r="73">
          <cell r="D73" t="str">
            <v>Д</v>
          </cell>
        </row>
        <row r="74">
          <cell r="D74" t="str">
            <v>Д</v>
          </cell>
        </row>
        <row r="75">
          <cell r="D75" t="str">
            <v>Д</v>
          </cell>
        </row>
        <row r="76">
          <cell r="D76" t="str">
            <v>Д</v>
          </cell>
        </row>
        <row r="77">
          <cell r="D77" t="str">
            <v>Д</v>
          </cell>
        </row>
        <row r="78">
          <cell r="D78" t="str">
            <v>Д</v>
          </cell>
        </row>
        <row r="79">
          <cell r="D79" t="str">
            <v>Д</v>
          </cell>
        </row>
        <row r="80">
          <cell r="D80" t="str">
            <v>Д</v>
          </cell>
        </row>
        <row r="81">
          <cell r="D81" t="str">
            <v>Д</v>
          </cell>
        </row>
        <row r="82">
          <cell r="D82" t="str">
            <v>Д</v>
          </cell>
        </row>
        <row r="83">
          <cell r="D83" t="str">
            <v>Д</v>
          </cell>
        </row>
        <row r="84">
          <cell r="D84" t="str">
            <v>Д</v>
          </cell>
        </row>
        <row r="85">
          <cell r="D85" t="str">
            <v>Д</v>
          </cell>
        </row>
        <row r="86">
          <cell r="D86" t="str">
            <v>Д</v>
          </cell>
        </row>
        <row r="87">
          <cell r="D87" t="str">
            <v>Д</v>
          </cell>
        </row>
        <row r="88">
          <cell r="D88" t="str">
            <v>Д</v>
          </cell>
        </row>
        <row r="89">
          <cell r="D89" t="str">
            <v>Д</v>
          </cell>
        </row>
        <row r="90">
          <cell r="D90" t="str">
            <v>Д</v>
          </cell>
        </row>
        <row r="91">
          <cell r="D91" t="str">
            <v>Д</v>
          </cell>
        </row>
        <row r="92">
          <cell r="D92" t="str">
            <v>Д</v>
          </cell>
        </row>
        <row r="93">
          <cell r="D93" t="str">
            <v>Д</v>
          </cell>
        </row>
        <row r="94">
          <cell r="D94" t="str">
            <v>Д</v>
          </cell>
        </row>
        <row r="95">
          <cell r="D95" t="str">
            <v>Д</v>
          </cell>
        </row>
        <row r="96">
          <cell r="D96" t="str">
            <v>Д</v>
          </cell>
        </row>
        <row r="97">
          <cell r="D97" t="str">
            <v>Д</v>
          </cell>
        </row>
        <row r="98">
          <cell r="D98" t="str">
            <v>Д</v>
          </cell>
        </row>
        <row r="99">
          <cell r="D99" t="str">
            <v>Д</v>
          </cell>
        </row>
        <row r="100">
          <cell r="D100" t="str">
            <v>Д</v>
          </cell>
        </row>
        <row r="101">
          <cell r="D101" t="str">
            <v>Д</v>
          </cell>
        </row>
        <row r="102">
          <cell r="D102" t="str">
            <v>Д</v>
          </cell>
        </row>
        <row r="103">
          <cell r="D103" t="str">
            <v>Д</v>
          </cell>
        </row>
        <row r="104">
          <cell r="D104" t="str">
            <v>Д</v>
          </cell>
        </row>
        <row r="105">
          <cell r="D105" t="str">
            <v>Д</v>
          </cell>
        </row>
        <row r="106">
          <cell r="D106" t="str">
            <v>Д</v>
          </cell>
        </row>
        <row r="107">
          <cell r="D107" t="str">
            <v>Д</v>
          </cell>
        </row>
        <row r="108">
          <cell r="D108" t="str">
            <v>Д</v>
          </cell>
        </row>
        <row r="109">
          <cell r="D109" t="str">
            <v>Д</v>
          </cell>
        </row>
        <row r="110">
          <cell r="D110" t="str">
            <v>Д</v>
          </cell>
        </row>
        <row r="111">
          <cell r="D111" t="str">
            <v>Д</v>
          </cell>
        </row>
        <row r="112">
          <cell r="D112" t="str">
            <v>Д</v>
          </cell>
        </row>
        <row r="113">
          <cell r="D113" t="str">
            <v>Д</v>
          </cell>
        </row>
        <row r="114">
          <cell r="D114" t="str">
            <v>Д</v>
          </cell>
        </row>
        <row r="115">
          <cell r="D115" t="str">
            <v>Д</v>
          </cell>
        </row>
        <row r="116">
          <cell r="D116" t="str">
            <v>Д</v>
          </cell>
        </row>
        <row r="117">
          <cell r="D117" t="str">
            <v>Д</v>
          </cell>
        </row>
        <row r="118">
          <cell r="D118" t="str">
            <v>Д</v>
          </cell>
        </row>
        <row r="119">
          <cell r="D119" t="str">
            <v>Д</v>
          </cell>
        </row>
        <row r="120">
          <cell r="D120" t="str">
            <v>Д</v>
          </cell>
        </row>
        <row r="121">
          <cell r="D121" t="str">
            <v>Д</v>
          </cell>
        </row>
        <row r="122">
          <cell r="D122" t="str">
            <v>Д</v>
          </cell>
        </row>
        <row r="123">
          <cell r="D123" t="str">
            <v>Д</v>
          </cell>
        </row>
        <row r="124">
          <cell r="D124" t="str">
            <v>Д</v>
          </cell>
        </row>
        <row r="125">
          <cell r="D125" t="str">
            <v>Д</v>
          </cell>
        </row>
        <row r="126">
          <cell r="D126" t="str">
            <v>Д</v>
          </cell>
        </row>
        <row r="127">
          <cell r="D127" t="str">
            <v>Д</v>
          </cell>
        </row>
        <row r="128">
          <cell r="D128" t="str">
            <v>Д</v>
          </cell>
        </row>
        <row r="129">
          <cell r="D129" t="str">
            <v>Д</v>
          </cell>
        </row>
        <row r="130">
          <cell r="D130" t="str">
            <v>Д</v>
          </cell>
        </row>
        <row r="131">
          <cell r="D131" t="str">
            <v>Д</v>
          </cell>
        </row>
        <row r="132">
          <cell r="D132" t="str">
            <v>Д</v>
          </cell>
        </row>
        <row r="133">
          <cell r="D133" t="str">
            <v>Д</v>
          </cell>
        </row>
        <row r="134">
          <cell r="D134" t="str">
            <v>Д</v>
          </cell>
        </row>
        <row r="135">
          <cell r="D135" t="str">
            <v>Д</v>
          </cell>
        </row>
        <row r="136">
          <cell r="D136" t="str">
            <v>Д</v>
          </cell>
        </row>
        <row r="137">
          <cell r="D137" t="str">
            <v>Д</v>
          </cell>
        </row>
        <row r="138">
          <cell r="D138" t="str">
            <v>Д</v>
          </cell>
        </row>
        <row r="139">
          <cell r="D139" t="str">
            <v>Д</v>
          </cell>
        </row>
        <row r="140">
          <cell r="D140" t="str">
            <v>Д</v>
          </cell>
        </row>
        <row r="141">
          <cell r="D141" t="str">
            <v>Д</v>
          </cell>
        </row>
        <row r="142">
          <cell r="D142" t="str">
            <v>Д</v>
          </cell>
        </row>
        <row r="143">
          <cell r="D143" t="str">
            <v>Д</v>
          </cell>
        </row>
        <row r="144">
          <cell r="D144" t="str">
            <v>Д</v>
          </cell>
        </row>
        <row r="145">
          <cell r="D145" t="str">
            <v>Д</v>
          </cell>
        </row>
        <row r="146">
          <cell r="D146" t="str">
            <v>Д</v>
          </cell>
        </row>
        <row r="147">
          <cell r="D147" t="str">
            <v>Д</v>
          </cell>
        </row>
        <row r="148">
          <cell r="D148" t="str">
            <v>Д</v>
          </cell>
        </row>
        <row r="149">
          <cell r="D149" t="str">
            <v>Д</v>
          </cell>
        </row>
        <row r="150">
          <cell r="D150" t="str">
            <v>Д</v>
          </cell>
        </row>
        <row r="151">
          <cell r="D151" t="str">
            <v>Д</v>
          </cell>
        </row>
        <row r="152">
          <cell r="D152" t="str">
            <v>Д</v>
          </cell>
        </row>
        <row r="153">
          <cell r="D153" t="str">
            <v>Д</v>
          </cell>
        </row>
        <row r="154">
          <cell r="D154" t="str">
            <v>Д</v>
          </cell>
        </row>
        <row r="155">
          <cell r="D155" t="str">
            <v>Д</v>
          </cell>
        </row>
        <row r="156">
          <cell r="D156" t="str">
            <v>Д</v>
          </cell>
        </row>
        <row r="157">
          <cell r="D157" t="str">
            <v>Д</v>
          </cell>
        </row>
        <row r="158">
          <cell r="D158" t="str">
            <v>Д</v>
          </cell>
        </row>
        <row r="159">
          <cell r="D159" t="str">
            <v>Д</v>
          </cell>
        </row>
        <row r="160">
          <cell r="D160" t="str">
            <v>Д</v>
          </cell>
        </row>
        <row r="161">
          <cell r="D161" t="str">
            <v>Д</v>
          </cell>
        </row>
        <row r="162">
          <cell r="D162" t="str">
            <v>Д</v>
          </cell>
        </row>
        <row r="163">
          <cell r="D163" t="str">
            <v>Д</v>
          </cell>
        </row>
        <row r="164">
          <cell r="D164" t="str">
            <v>Д</v>
          </cell>
        </row>
        <row r="165">
          <cell r="D165" t="str">
            <v>Д</v>
          </cell>
        </row>
        <row r="166">
          <cell r="D166" t="str">
            <v>Д</v>
          </cell>
        </row>
        <row r="167">
          <cell r="D167" t="str">
            <v>Д</v>
          </cell>
        </row>
        <row r="168">
          <cell r="D168" t="str">
            <v>Д</v>
          </cell>
        </row>
        <row r="169">
          <cell r="D169" t="str">
            <v>Д</v>
          </cell>
        </row>
        <row r="170">
          <cell r="D170" t="str">
            <v>Д</v>
          </cell>
        </row>
        <row r="171">
          <cell r="D171" t="str">
            <v>Д</v>
          </cell>
        </row>
        <row r="172">
          <cell r="D172" t="str">
            <v>Д</v>
          </cell>
        </row>
        <row r="173">
          <cell r="D173" t="str">
            <v>Д</v>
          </cell>
        </row>
        <row r="174">
          <cell r="D174" t="str">
            <v>Д</v>
          </cell>
        </row>
        <row r="175">
          <cell r="D175" t="str">
            <v>Д</v>
          </cell>
        </row>
        <row r="176">
          <cell r="D176" t="str">
            <v>Д</v>
          </cell>
        </row>
        <row r="177">
          <cell r="D177" t="str">
            <v>Д</v>
          </cell>
        </row>
        <row r="178">
          <cell r="D178" t="str">
            <v>Д</v>
          </cell>
        </row>
        <row r="179">
          <cell r="D179" t="str">
            <v>Д</v>
          </cell>
        </row>
        <row r="180">
          <cell r="D180" t="str">
            <v>Д</v>
          </cell>
        </row>
        <row r="181">
          <cell r="D181" t="str">
            <v>Д</v>
          </cell>
        </row>
        <row r="182">
          <cell r="D182" t="str">
            <v>Д</v>
          </cell>
        </row>
        <row r="183">
          <cell r="D183" t="str">
            <v>Д</v>
          </cell>
        </row>
        <row r="184">
          <cell r="D184" t="str">
            <v>Д</v>
          </cell>
        </row>
        <row r="185">
          <cell r="D185" t="str">
            <v>Д</v>
          </cell>
        </row>
        <row r="186">
          <cell r="D186" t="str">
            <v>Д</v>
          </cell>
        </row>
        <row r="187">
          <cell r="D187" t="str">
            <v>Д</v>
          </cell>
        </row>
        <row r="188">
          <cell r="D188" t="str">
            <v>Д</v>
          </cell>
        </row>
        <row r="189">
          <cell r="D189" t="str">
            <v>Д</v>
          </cell>
        </row>
        <row r="190">
          <cell r="D190" t="str">
            <v>Д</v>
          </cell>
        </row>
        <row r="191">
          <cell r="D191" t="str">
            <v>Д</v>
          </cell>
        </row>
        <row r="192">
          <cell r="D192" t="str">
            <v>Д</v>
          </cell>
        </row>
        <row r="193">
          <cell r="D193" t="str">
            <v>Д</v>
          </cell>
        </row>
        <row r="194">
          <cell r="D194" t="str">
            <v>Д</v>
          </cell>
        </row>
        <row r="195">
          <cell r="D195" t="str">
            <v>Д</v>
          </cell>
        </row>
        <row r="196">
          <cell r="D196" t="str">
            <v>Д</v>
          </cell>
        </row>
        <row r="197">
          <cell r="D197" t="str">
            <v>Д</v>
          </cell>
        </row>
        <row r="198">
          <cell r="D198" t="str">
            <v>Д</v>
          </cell>
        </row>
        <row r="199">
          <cell r="D199" t="str">
            <v>Д</v>
          </cell>
        </row>
        <row r="200">
          <cell r="D200" t="str">
            <v>Д</v>
          </cell>
        </row>
        <row r="201">
          <cell r="D201" t="str">
            <v>Д</v>
          </cell>
        </row>
        <row r="202">
          <cell r="D202" t="str">
            <v>Д</v>
          </cell>
        </row>
        <row r="203">
          <cell r="D203" t="str">
            <v>Д</v>
          </cell>
        </row>
        <row r="204">
          <cell r="D204" t="str">
            <v>Д</v>
          </cell>
        </row>
        <row r="205">
          <cell r="D205" t="str">
            <v>Д</v>
          </cell>
        </row>
        <row r="206">
          <cell r="D206" t="str">
            <v>Д</v>
          </cell>
        </row>
        <row r="207">
          <cell r="D207" t="str">
            <v>Д</v>
          </cell>
        </row>
        <row r="208">
          <cell r="D208" t="str">
            <v>Д</v>
          </cell>
        </row>
        <row r="209">
          <cell r="D209" t="str">
            <v>Д</v>
          </cell>
        </row>
        <row r="210">
          <cell r="D210" t="str">
            <v>Д</v>
          </cell>
        </row>
        <row r="211">
          <cell r="D211" t="str">
            <v>Д</v>
          </cell>
        </row>
        <row r="212">
          <cell r="D212" t="str">
            <v>Д</v>
          </cell>
        </row>
        <row r="213">
          <cell r="D213" t="str">
            <v>Д</v>
          </cell>
        </row>
        <row r="214">
          <cell r="D214" t="str">
            <v>Д</v>
          </cell>
        </row>
        <row r="215">
          <cell r="D215" t="str">
            <v>Д</v>
          </cell>
        </row>
        <row r="216">
          <cell r="D216" t="str">
            <v>Д</v>
          </cell>
        </row>
        <row r="217">
          <cell r="D217" t="str">
            <v>Д</v>
          </cell>
        </row>
        <row r="218">
          <cell r="D218" t="str">
            <v>Д</v>
          </cell>
        </row>
        <row r="219">
          <cell r="D219" t="str">
            <v>Д</v>
          </cell>
        </row>
        <row r="220">
          <cell r="D220" t="str">
            <v>Д</v>
          </cell>
        </row>
        <row r="221">
          <cell r="D221" t="str">
            <v>Д</v>
          </cell>
        </row>
        <row r="222">
          <cell r="D222" t="str">
            <v>Д</v>
          </cell>
        </row>
        <row r="223">
          <cell r="D223" t="str">
            <v>Д</v>
          </cell>
        </row>
        <row r="224">
          <cell r="D224" t="str">
            <v>Д</v>
          </cell>
        </row>
        <row r="225">
          <cell r="D225" t="str">
            <v>Д</v>
          </cell>
        </row>
        <row r="226">
          <cell r="D226" t="str">
            <v>Р</v>
          </cell>
        </row>
        <row r="227">
          <cell r="D227" t="str">
            <v>Р</v>
          </cell>
        </row>
        <row r="228">
          <cell r="D228" t="str">
            <v>Р</v>
          </cell>
        </row>
        <row r="229">
          <cell r="D229" t="str">
            <v>Р</v>
          </cell>
        </row>
        <row r="230">
          <cell r="D230" t="str">
            <v>Р</v>
          </cell>
        </row>
        <row r="231">
          <cell r="D231" t="str">
            <v>Р</v>
          </cell>
        </row>
        <row r="232">
          <cell r="D232" t="str">
            <v>Р</v>
          </cell>
        </row>
        <row r="233">
          <cell r="D233" t="str">
            <v>Р</v>
          </cell>
        </row>
        <row r="234">
          <cell r="D234" t="str">
            <v>Р</v>
          </cell>
        </row>
        <row r="235">
          <cell r="D235" t="str">
            <v>Р</v>
          </cell>
        </row>
        <row r="236">
          <cell r="D236" t="str">
            <v>Р</v>
          </cell>
        </row>
        <row r="237">
          <cell r="D237" t="str">
            <v>Р</v>
          </cell>
        </row>
        <row r="238">
          <cell r="D238" t="str">
            <v>Р</v>
          </cell>
        </row>
        <row r="239">
          <cell r="D239" t="str">
            <v>Р</v>
          </cell>
        </row>
        <row r="240">
          <cell r="D240" t="str">
            <v>Р</v>
          </cell>
        </row>
        <row r="241">
          <cell r="D241" t="str">
            <v>Р</v>
          </cell>
        </row>
        <row r="242">
          <cell r="D242" t="str">
            <v>Р</v>
          </cell>
        </row>
        <row r="243">
          <cell r="D243" t="str">
            <v>Р</v>
          </cell>
        </row>
        <row r="244">
          <cell r="D244" t="str">
            <v>Р</v>
          </cell>
        </row>
        <row r="245">
          <cell r="D245" t="str">
            <v>Р</v>
          </cell>
        </row>
        <row r="246">
          <cell r="D246" t="str">
            <v>Р</v>
          </cell>
        </row>
        <row r="247">
          <cell r="D247" t="str">
            <v>Р</v>
          </cell>
        </row>
        <row r="248">
          <cell r="D248" t="str">
            <v>Р</v>
          </cell>
        </row>
        <row r="249">
          <cell r="D249" t="str">
            <v>Р</v>
          </cell>
        </row>
        <row r="250">
          <cell r="D250" t="str">
            <v>Р</v>
          </cell>
        </row>
        <row r="251">
          <cell r="D251" t="str">
            <v>Р</v>
          </cell>
        </row>
        <row r="252">
          <cell r="D252" t="str">
            <v>Р</v>
          </cell>
        </row>
        <row r="253">
          <cell r="D253" t="str">
            <v>Р</v>
          </cell>
        </row>
        <row r="254">
          <cell r="D254" t="str">
            <v>Р</v>
          </cell>
        </row>
        <row r="255">
          <cell r="D255" t="str">
            <v>Р</v>
          </cell>
        </row>
        <row r="256">
          <cell r="D256" t="str">
            <v>Р</v>
          </cell>
        </row>
        <row r="257">
          <cell r="D257" t="str">
            <v>Р</v>
          </cell>
        </row>
        <row r="258">
          <cell r="D258" t="str">
            <v>Р</v>
          </cell>
        </row>
        <row r="259">
          <cell r="D259" t="str">
            <v>Р</v>
          </cell>
        </row>
        <row r="260">
          <cell r="D260" t="str">
            <v>Р</v>
          </cell>
        </row>
        <row r="261">
          <cell r="D261" t="str">
            <v>Р</v>
          </cell>
        </row>
        <row r="262">
          <cell r="D262" t="str">
            <v>Р</v>
          </cell>
        </row>
        <row r="263">
          <cell r="D263" t="str">
            <v>Р</v>
          </cell>
        </row>
        <row r="264">
          <cell r="D264" t="str">
            <v>Р</v>
          </cell>
        </row>
        <row r="265">
          <cell r="D265" t="str">
            <v>Р</v>
          </cell>
        </row>
        <row r="266">
          <cell r="D266" t="str">
            <v>Р</v>
          </cell>
        </row>
        <row r="267">
          <cell r="D267" t="str">
            <v>Р</v>
          </cell>
        </row>
        <row r="268">
          <cell r="D268" t="str">
            <v>Р</v>
          </cell>
        </row>
        <row r="269">
          <cell r="D269" t="str">
            <v>Р</v>
          </cell>
        </row>
        <row r="270">
          <cell r="D270" t="str">
            <v>Р</v>
          </cell>
        </row>
        <row r="271">
          <cell r="D271" t="str">
            <v>Р</v>
          </cell>
        </row>
        <row r="272">
          <cell r="D272" t="str">
            <v>Р</v>
          </cell>
        </row>
        <row r="273">
          <cell r="D273" t="str">
            <v>Р</v>
          </cell>
        </row>
        <row r="274">
          <cell r="D274" t="str">
            <v>Р</v>
          </cell>
        </row>
        <row r="275">
          <cell r="D275" t="str">
            <v>Р</v>
          </cell>
        </row>
        <row r="276">
          <cell r="D276" t="str">
            <v>Р</v>
          </cell>
        </row>
        <row r="277">
          <cell r="D277" t="str">
            <v>Р</v>
          </cell>
        </row>
        <row r="278">
          <cell r="D278" t="str">
            <v>Р</v>
          </cell>
        </row>
        <row r="279">
          <cell r="D279" t="str">
            <v>Р</v>
          </cell>
        </row>
        <row r="280">
          <cell r="D280" t="str">
            <v>Р</v>
          </cell>
        </row>
        <row r="281">
          <cell r="D281" t="str">
            <v>Р</v>
          </cell>
        </row>
        <row r="282">
          <cell r="D282" t="str">
            <v>Р</v>
          </cell>
        </row>
        <row r="283">
          <cell r="D283" t="str">
            <v>Р</v>
          </cell>
        </row>
        <row r="284">
          <cell r="D284" t="str">
            <v>Р</v>
          </cell>
        </row>
        <row r="285">
          <cell r="D285" t="str">
            <v>Р</v>
          </cell>
        </row>
        <row r="286">
          <cell r="D286" t="str">
            <v>Р</v>
          </cell>
        </row>
        <row r="287">
          <cell r="D287" t="str">
            <v>Р</v>
          </cell>
        </row>
        <row r="288">
          <cell r="D288" t="str">
            <v>Р</v>
          </cell>
        </row>
        <row r="289">
          <cell r="D289" t="str">
            <v>Р</v>
          </cell>
        </row>
        <row r="290">
          <cell r="D290" t="str">
            <v>Р</v>
          </cell>
        </row>
        <row r="291">
          <cell r="D291" t="str">
            <v>Р</v>
          </cell>
        </row>
        <row r="292">
          <cell r="D292" t="str">
            <v>Р</v>
          </cell>
        </row>
        <row r="293">
          <cell r="D293" t="str">
            <v>Р</v>
          </cell>
        </row>
        <row r="294">
          <cell r="D294" t="str">
            <v>Р</v>
          </cell>
        </row>
        <row r="295">
          <cell r="D295" t="str">
            <v>Р</v>
          </cell>
        </row>
        <row r="296">
          <cell r="D296" t="str">
            <v>Р</v>
          </cell>
        </row>
        <row r="297">
          <cell r="D297" t="str">
            <v>Р</v>
          </cell>
        </row>
        <row r="298">
          <cell r="D298" t="str">
            <v>Р</v>
          </cell>
        </row>
        <row r="299">
          <cell r="D299" t="str">
            <v>Р</v>
          </cell>
        </row>
        <row r="300">
          <cell r="D300" t="str">
            <v>Р</v>
          </cell>
        </row>
        <row r="301">
          <cell r="D301" t="str">
            <v>Р</v>
          </cell>
        </row>
        <row r="302">
          <cell r="D302" t="str">
            <v>Р</v>
          </cell>
        </row>
        <row r="303">
          <cell r="D303" t="str">
            <v>Р</v>
          </cell>
        </row>
        <row r="304">
          <cell r="D304" t="str">
            <v>Р</v>
          </cell>
        </row>
        <row r="305">
          <cell r="D305" t="str">
            <v>Р</v>
          </cell>
        </row>
        <row r="306">
          <cell r="D306" t="str">
            <v>Р</v>
          </cell>
        </row>
        <row r="307">
          <cell r="D307" t="str">
            <v>Р</v>
          </cell>
        </row>
        <row r="308">
          <cell r="D308" t="str">
            <v>Р</v>
          </cell>
        </row>
        <row r="309">
          <cell r="D309" t="str">
            <v>Р</v>
          </cell>
        </row>
        <row r="310">
          <cell r="D310" t="str">
            <v>Р</v>
          </cell>
        </row>
        <row r="311">
          <cell r="D311" t="str">
            <v>Р</v>
          </cell>
        </row>
        <row r="312">
          <cell r="D312" t="str">
            <v>Р</v>
          </cell>
        </row>
        <row r="313">
          <cell r="D313" t="str">
            <v>Р</v>
          </cell>
        </row>
        <row r="314">
          <cell r="D314" t="str">
            <v>Р</v>
          </cell>
        </row>
        <row r="315">
          <cell r="D315" t="str">
            <v>Р</v>
          </cell>
        </row>
        <row r="316">
          <cell r="D316" t="str">
            <v>Р</v>
          </cell>
        </row>
        <row r="317">
          <cell r="D317" t="str">
            <v>Р</v>
          </cell>
        </row>
        <row r="318">
          <cell r="D318" t="str">
            <v>Р</v>
          </cell>
        </row>
        <row r="319">
          <cell r="D319" t="str">
            <v>Р</v>
          </cell>
        </row>
        <row r="320">
          <cell r="D320" t="str">
            <v>Р</v>
          </cell>
        </row>
        <row r="321">
          <cell r="D321" t="str">
            <v>Р</v>
          </cell>
        </row>
        <row r="322">
          <cell r="D322" t="str">
            <v>Р</v>
          </cell>
        </row>
        <row r="323">
          <cell r="D323" t="str">
            <v>Р</v>
          </cell>
        </row>
        <row r="324">
          <cell r="D324" t="str">
            <v>Р</v>
          </cell>
        </row>
        <row r="325">
          <cell r="D325" t="str">
            <v>Р</v>
          </cell>
        </row>
        <row r="326">
          <cell r="D326" t="str">
            <v>Р</v>
          </cell>
        </row>
        <row r="327">
          <cell r="D327" t="str">
            <v>Р</v>
          </cell>
        </row>
        <row r="328">
          <cell r="D328" t="str">
            <v>Р</v>
          </cell>
        </row>
        <row r="329">
          <cell r="D329" t="str">
            <v>Р</v>
          </cell>
        </row>
        <row r="330">
          <cell r="D330" t="str">
            <v>Р</v>
          </cell>
        </row>
        <row r="331">
          <cell r="D331" t="str">
            <v>Р</v>
          </cell>
        </row>
        <row r="332">
          <cell r="D332" t="str">
            <v>Р</v>
          </cell>
        </row>
        <row r="333">
          <cell r="D333" t="str">
            <v>Р</v>
          </cell>
        </row>
        <row r="334">
          <cell r="D334" t="str">
            <v>Р</v>
          </cell>
        </row>
        <row r="335">
          <cell r="D335" t="str">
            <v>Р</v>
          </cell>
        </row>
        <row r="336">
          <cell r="D336" t="str">
            <v>Р</v>
          </cell>
        </row>
        <row r="337">
          <cell r="D337" t="str">
            <v>Р</v>
          </cell>
        </row>
        <row r="338">
          <cell r="D338" t="str">
            <v>Р</v>
          </cell>
        </row>
        <row r="339">
          <cell r="D339" t="str">
            <v>Р</v>
          </cell>
        </row>
        <row r="340">
          <cell r="D340" t="str">
            <v>Р</v>
          </cell>
        </row>
        <row r="341">
          <cell r="D341" t="str">
            <v>Р</v>
          </cell>
        </row>
        <row r="342">
          <cell r="D342" t="str">
            <v>Р</v>
          </cell>
        </row>
        <row r="343">
          <cell r="D343" t="str">
            <v>Р</v>
          </cell>
        </row>
        <row r="344">
          <cell r="D344" t="str">
            <v>Р</v>
          </cell>
        </row>
        <row r="345">
          <cell r="D345" t="str">
            <v>Р</v>
          </cell>
        </row>
        <row r="346">
          <cell r="D346" t="str">
            <v>Р</v>
          </cell>
        </row>
        <row r="347">
          <cell r="D347" t="str">
            <v>Р</v>
          </cell>
        </row>
        <row r="348">
          <cell r="D348" t="str">
            <v>Р</v>
          </cell>
        </row>
        <row r="349">
          <cell r="D349" t="str">
            <v>Р</v>
          </cell>
        </row>
        <row r="350">
          <cell r="D350" t="str">
            <v>Р</v>
          </cell>
        </row>
        <row r="351">
          <cell r="D351" t="str">
            <v>Р</v>
          </cell>
        </row>
        <row r="352">
          <cell r="D352" t="str">
            <v>Р</v>
          </cell>
        </row>
        <row r="353">
          <cell r="D353" t="str">
            <v>Р</v>
          </cell>
        </row>
        <row r="354">
          <cell r="D354" t="str">
            <v>Р</v>
          </cell>
        </row>
        <row r="355">
          <cell r="D355" t="str">
            <v>Р</v>
          </cell>
        </row>
        <row r="356">
          <cell r="D356" t="str">
            <v>Р</v>
          </cell>
        </row>
        <row r="357">
          <cell r="D357" t="str">
            <v>Р</v>
          </cell>
        </row>
        <row r="358">
          <cell r="D358" t="str">
            <v>Р</v>
          </cell>
        </row>
        <row r="359">
          <cell r="D359" t="str">
            <v>Р</v>
          </cell>
        </row>
        <row r="360">
          <cell r="D360" t="str">
            <v>Р</v>
          </cell>
        </row>
        <row r="361">
          <cell r="D361" t="str">
            <v>Р</v>
          </cell>
        </row>
        <row r="362">
          <cell r="D362" t="str">
            <v>Р</v>
          </cell>
        </row>
        <row r="363">
          <cell r="D363" t="str">
            <v>Р</v>
          </cell>
        </row>
        <row r="364">
          <cell r="D364" t="str">
            <v>Р</v>
          </cell>
        </row>
        <row r="365">
          <cell r="D365" t="str">
            <v>Р</v>
          </cell>
        </row>
        <row r="366">
          <cell r="D366" t="str">
            <v>Р</v>
          </cell>
        </row>
        <row r="367">
          <cell r="D367" t="str">
            <v>Р</v>
          </cell>
        </row>
        <row r="368">
          <cell r="D368" t="str">
            <v>Р</v>
          </cell>
        </row>
        <row r="369">
          <cell r="D369" t="str">
            <v>Р</v>
          </cell>
        </row>
        <row r="370">
          <cell r="D370" t="str">
            <v>Р</v>
          </cell>
        </row>
        <row r="371">
          <cell r="D371" t="str">
            <v>Р</v>
          </cell>
        </row>
        <row r="372">
          <cell r="D372" t="str">
            <v>Р</v>
          </cell>
        </row>
        <row r="373">
          <cell r="D373" t="str">
            <v>Р</v>
          </cell>
        </row>
        <row r="374">
          <cell r="D374" t="str">
            <v>Р</v>
          </cell>
        </row>
        <row r="375">
          <cell r="D375" t="str">
            <v>Р</v>
          </cell>
        </row>
        <row r="376">
          <cell r="D376" t="str">
            <v>Р</v>
          </cell>
        </row>
        <row r="377">
          <cell r="D377" t="str">
            <v>Р</v>
          </cell>
        </row>
        <row r="378">
          <cell r="D378" t="str">
            <v>Р</v>
          </cell>
        </row>
        <row r="379">
          <cell r="D379" t="str">
            <v>Р</v>
          </cell>
        </row>
        <row r="380">
          <cell r="D380" t="str">
            <v>Р</v>
          </cell>
        </row>
        <row r="381">
          <cell r="D381" t="str">
            <v>Р</v>
          </cell>
        </row>
        <row r="382">
          <cell r="D382" t="str">
            <v>Р</v>
          </cell>
        </row>
        <row r="383">
          <cell r="D383" t="str">
            <v>Р</v>
          </cell>
        </row>
        <row r="384">
          <cell r="D384" t="str">
            <v>Р</v>
          </cell>
        </row>
        <row r="385">
          <cell r="D385" t="str">
            <v>Р</v>
          </cell>
        </row>
        <row r="386">
          <cell r="D386" t="str">
            <v>Р</v>
          </cell>
        </row>
        <row r="387">
          <cell r="D387" t="str">
            <v>Р</v>
          </cell>
        </row>
        <row r="388">
          <cell r="D388" t="str">
            <v>Р</v>
          </cell>
        </row>
        <row r="389">
          <cell r="D389" t="str">
            <v>Р</v>
          </cell>
        </row>
        <row r="390">
          <cell r="D390" t="str">
            <v>Р</v>
          </cell>
        </row>
        <row r="391">
          <cell r="D391" t="str">
            <v>Р</v>
          </cell>
        </row>
        <row r="392">
          <cell r="D392" t="str">
            <v>Р</v>
          </cell>
        </row>
        <row r="393">
          <cell r="D393" t="str">
            <v>Р</v>
          </cell>
        </row>
        <row r="394">
          <cell r="D394" t="str">
            <v>Р</v>
          </cell>
        </row>
        <row r="395">
          <cell r="D395" t="str">
            <v>Р</v>
          </cell>
        </row>
        <row r="396">
          <cell r="D396" t="str">
            <v>Р</v>
          </cell>
        </row>
        <row r="397">
          <cell r="D397" t="str">
            <v>Р</v>
          </cell>
        </row>
        <row r="398">
          <cell r="D398" t="str">
            <v>Р</v>
          </cell>
        </row>
        <row r="399">
          <cell r="D399" t="str">
            <v>Р</v>
          </cell>
        </row>
        <row r="400">
          <cell r="D400" t="str">
            <v>Р</v>
          </cell>
        </row>
        <row r="401">
          <cell r="D401" t="str">
            <v>Р</v>
          </cell>
        </row>
        <row r="402">
          <cell r="D402" t="str">
            <v>Р</v>
          </cell>
        </row>
        <row r="403">
          <cell r="D403" t="str">
            <v>Р</v>
          </cell>
        </row>
        <row r="404">
          <cell r="D404" t="str">
            <v>Р</v>
          </cell>
        </row>
        <row r="405">
          <cell r="D405" t="str">
            <v>Р</v>
          </cell>
        </row>
        <row r="406">
          <cell r="D406" t="str">
            <v>Д</v>
          </cell>
        </row>
        <row r="407">
          <cell r="D407" t="str">
            <v>Д</v>
          </cell>
        </row>
        <row r="408">
          <cell r="D408" t="str">
            <v>Д</v>
          </cell>
        </row>
        <row r="409">
          <cell r="D409" t="str">
            <v>Д</v>
          </cell>
        </row>
        <row r="410">
          <cell r="D410" t="str">
            <v>Д</v>
          </cell>
        </row>
        <row r="411">
          <cell r="D411" t="str">
            <v>Д</v>
          </cell>
        </row>
        <row r="412">
          <cell r="D412" t="str">
            <v>Д</v>
          </cell>
        </row>
        <row r="413">
          <cell r="D413" t="str">
            <v>Д</v>
          </cell>
        </row>
        <row r="414">
          <cell r="D414" t="str">
            <v>Р</v>
          </cell>
        </row>
        <row r="415">
          <cell r="D415" t="str">
            <v>Р</v>
          </cell>
        </row>
        <row r="416">
          <cell r="D416" t="str">
            <v>Р</v>
          </cell>
        </row>
        <row r="417">
          <cell r="D417" t="str">
            <v>Р</v>
          </cell>
        </row>
        <row r="418">
          <cell r="D418" t="str">
            <v>Р</v>
          </cell>
        </row>
        <row r="419">
          <cell r="D419" t="str">
            <v>Р</v>
          </cell>
        </row>
        <row r="420">
          <cell r="D420" t="str">
            <v>Р</v>
          </cell>
        </row>
        <row r="421">
          <cell r="D421" t="str">
            <v>Р</v>
          </cell>
        </row>
        <row r="422">
          <cell r="D422" t="str">
            <v>Д</v>
          </cell>
        </row>
        <row r="423">
          <cell r="D423" t="str">
            <v>Р</v>
          </cell>
        </row>
        <row r="424">
          <cell r="D424" t="str">
            <v>Р</v>
          </cell>
        </row>
        <row r="425">
          <cell r="D425" t="str">
            <v>Р</v>
          </cell>
        </row>
        <row r="426">
          <cell r="D426" t="str">
            <v>Р</v>
          </cell>
        </row>
      </sheetData>
      <sheetData sheetId="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тежный баланс реал"/>
      <sheetName val="Платежный баланс"/>
      <sheetName val="прогноз"/>
      <sheetName val="Свод по Контрагентам"/>
      <sheetName val="Баланс по металлопрокату"/>
      <sheetName val="Покупки-Продажи"/>
      <sheetName val="Баланс по сырью"/>
      <sheetName val="Расчеты с контрагентами"/>
      <sheetName val="Календарь"/>
      <sheetName val="Смета затра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2">
          <cell r="D12" t="str">
            <v>Д</v>
          </cell>
        </row>
        <row r="13">
          <cell r="D13" t="str">
            <v>Д</v>
          </cell>
        </row>
        <row r="14">
          <cell r="D14" t="str">
            <v>Д</v>
          </cell>
        </row>
        <row r="15">
          <cell r="D15" t="str">
            <v>Д</v>
          </cell>
        </row>
        <row r="16">
          <cell r="D16" t="str">
            <v>Д</v>
          </cell>
        </row>
        <row r="17">
          <cell r="D17" t="str">
            <v>Д</v>
          </cell>
        </row>
        <row r="18">
          <cell r="D18" t="str">
            <v>Д</v>
          </cell>
        </row>
        <row r="19">
          <cell r="D19" t="str">
            <v>Д</v>
          </cell>
        </row>
        <row r="20">
          <cell r="D20" t="str">
            <v>Д</v>
          </cell>
        </row>
        <row r="21">
          <cell r="D21" t="str">
            <v>Д</v>
          </cell>
        </row>
        <row r="22">
          <cell r="D22" t="str">
            <v>Д</v>
          </cell>
        </row>
        <row r="23">
          <cell r="D23" t="str">
            <v>Д</v>
          </cell>
        </row>
        <row r="24">
          <cell r="D24" t="str">
            <v>Д</v>
          </cell>
        </row>
        <row r="25">
          <cell r="D25" t="str">
            <v>Д</v>
          </cell>
        </row>
        <row r="26">
          <cell r="D26" t="str">
            <v>Д</v>
          </cell>
        </row>
        <row r="27">
          <cell r="D27" t="str">
            <v>Д</v>
          </cell>
        </row>
        <row r="28">
          <cell r="D28" t="str">
            <v>Д</v>
          </cell>
        </row>
        <row r="29">
          <cell r="D29" t="str">
            <v>Д</v>
          </cell>
        </row>
        <row r="30">
          <cell r="D30" t="str">
            <v>Д</v>
          </cell>
        </row>
        <row r="31">
          <cell r="D31" t="str">
            <v>Д</v>
          </cell>
        </row>
        <row r="32">
          <cell r="D32" t="str">
            <v>Д</v>
          </cell>
        </row>
        <row r="33">
          <cell r="D33" t="str">
            <v>Д</v>
          </cell>
        </row>
        <row r="34">
          <cell r="D34" t="str">
            <v>Д</v>
          </cell>
        </row>
        <row r="35">
          <cell r="D35" t="str">
            <v>Д</v>
          </cell>
        </row>
        <row r="36">
          <cell r="D36" t="str">
            <v>Д</v>
          </cell>
        </row>
        <row r="37">
          <cell r="D37" t="str">
            <v>Д</v>
          </cell>
        </row>
        <row r="38">
          <cell r="D38" t="str">
            <v>Д</v>
          </cell>
        </row>
        <row r="39">
          <cell r="D39" t="str">
            <v>Д</v>
          </cell>
        </row>
        <row r="40">
          <cell r="D40" t="str">
            <v>Д</v>
          </cell>
        </row>
        <row r="41">
          <cell r="D41" t="str">
            <v>Д</v>
          </cell>
        </row>
        <row r="42">
          <cell r="D42" t="str">
            <v>Д</v>
          </cell>
        </row>
        <row r="43">
          <cell r="D43" t="str">
            <v>Д</v>
          </cell>
        </row>
        <row r="44">
          <cell r="D44" t="str">
            <v>Д</v>
          </cell>
        </row>
        <row r="45">
          <cell r="D45" t="str">
            <v>Д</v>
          </cell>
        </row>
        <row r="46">
          <cell r="D46" t="str">
            <v>Д</v>
          </cell>
        </row>
        <row r="47">
          <cell r="D47" t="str">
            <v>Д</v>
          </cell>
        </row>
        <row r="48">
          <cell r="D48" t="str">
            <v>Д</v>
          </cell>
        </row>
        <row r="49">
          <cell r="D49" t="str">
            <v>Д</v>
          </cell>
        </row>
        <row r="50">
          <cell r="D50" t="str">
            <v>Д</v>
          </cell>
        </row>
        <row r="51">
          <cell r="D51" t="str">
            <v>Д</v>
          </cell>
        </row>
        <row r="52">
          <cell r="D52" t="str">
            <v>Д</v>
          </cell>
        </row>
        <row r="53">
          <cell r="D53" t="str">
            <v>Д</v>
          </cell>
        </row>
        <row r="54">
          <cell r="D54" t="str">
            <v>Д</v>
          </cell>
        </row>
        <row r="55">
          <cell r="D55" t="str">
            <v>Д</v>
          </cell>
        </row>
        <row r="56">
          <cell r="D56" t="str">
            <v>Д</v>
          </cell>
        </row>
        <row r="57">
          <cell r="D57" t="str">
            <v>Д</v>
          </cell>
        </row>
        <row r="58">
          <cell r="D58" t="str">
            <v>Д</v>
          </cell>
        </row>
        <row r="59">
          <cell r="D59" t="str">
            <v>Д</v>
          </cell>
        </row>
        <row r="60">
          <cell r="D60" t="str">
            <v>Д</v>
          </cell>
        </row>
        <row r="61">
          <cell r="D61" t="str">
            <v>Д</v>
          </cell>
        </row>
        <row r="62">
          <cell r="D62" t="str">
            <v>Д</v>
          </cell>
        </row>
        <row r="63">
          <cell r="D63" t="str">
            <v>Д</v>
          </cell>
        </row>
        <row r="64">
          <cell r="D64" t="str">
            <v>Д</v>
          </cell>
        </row>
        <row r="65">
          <cell r="D65" t="str">
            <v>Д</v>
          </cell>
        </row>
        <row r="66">
          <cell r="D66" t="str">
            <v>Д</v>
          </cell>
        </row>
        <row r="67">
          <cell r="D67" t="str">
            <v>Д</v>
          </cell>
        </row>
        <row r="68">
          <cell r="D68" t="str">
            <v>Д</v>
          </cell>
        </row>
        <row r="69">
          <cell r="D69" t="str">
            <v>Д</v>
          </cell>
        </row>
        <row r="70">
          <cell r="D70" t="str">
            <v>Д</v>
          </cell>
        </row>
        <row r="71">
          <cell r="D71" t="str">
            <v>Д</v>
          </cell>
        </row>
        <row r="72">
          <cell r="D72" t="str">
            <v>Д</v>
          </cell>
        </row>
        <row r="73">
          <cell r="D73" t="str">
            <v>Д</v>
          </cell>
        </row>
        <row r="74">
          <cell r="D74" t="str">
            <v>Д</v>
          </cell>
        </row>
        <row r="75">
          <cell r="D75" t="str">
            <v>Д</v>
          </cell>
        </row>
        <row r="76">
          <cell r="D76" t="str">
            <v>Д</v>
          </cell>
        </row>
        <row r="77">
          <cell r="D77" t="str">
            <v>Д</v>
          </cell>
        </row>
        <row r="78">
          <cell r="D78" t="str">
            <v>Д</v>
          </cell>
        </row>
        <row r="79">
          <cell r="D79" t="str">
            <v>Д</v>
          </cell>
        </row>
        <row r="80">
          <cell r="D80" t="str">
            <v>Д</v>
          </cell>
        </row>
        <row r="81">
          <cell r="D81" t="str">
            <v>Д</v>
          </cell>
        </row>
        <row r="82">
          <cell r="D82" t="str">
            <v>Д</v>
          </cell>
        </row>
        <row r="83">
          <cell r="D83" t="str">
            <v>Д</v>
          </cell>
        </row>
        <row r="84">
          <cell r="D84" t="str">
            <v>Д</v>
          </cell>
        </row>
        <row r="85">
          <cell r="D85" t="str">
            <v>Д</v>
          </cell>
        </row>
        <row r="86">
          <cell r="D86" t="str">
            <v>Д</v>
          </cell>
        </row>
        <row r="87">
          <cell r="D87" t="str">
            <v>Д</v>
          </cell>
        </row>
        <row r="88">
          <cell r="D88" t="str">
            <v>Д</v>
          </cell>
        </row>
        <row r="89">
          <cell r="D89" t="str">
            <v>Д</v>
          </cell>
        </row>
        <row r="90">
          <cell r="D90" t="str">
            <v>Д</v>
          </cell>
        </row>
        <row r="91">
          <cell r="D91" t="str">
            <v>Д</v>
          </cell>
        </row>
        <row r="92">
          <cell r="D92" t="str">
            <v>Д</v>
          </cell>
        </row>
        <row r="93">
          <cell r="D93" t="str">
            <v>Д</v>
          </cell>
        </row>
        <row r="94">
          <cell r="D94" t="str">
            <v>Д</v>
          </cell>
        </row>
        <row r="95">
          <cell r="D95" t="str">
            <v>Д</v>
          </cell>
        </row>
        <row r="96">
          <cell r="D96" t="str">
            <v>Д</v>
          </cell>
        </row>
        <row r="97">
          <cell r="D97" t="str">
            <v>Д</v>
          </cell>
        </row>
        <row r="98">
          <cell r="D98" t="str">
            <v>Д</v>
          </cell>
        </row>
        <row r="99">
          <cell r="D99" t="str">
            <v>Д</v>
          </cell>
        </row>
        <row r="100">
          <cell r="D100" t="str">
            <v>Д</v>
          </cell>
        </row>
        <row r="101">
          <cell r="D101" t="str">
            <v>Д</v>
          </cell>
        </row>
        <row r="102">
          <cell r="D102" t="str">
            <v>Д</v>
          </cell>
        </row>
        <row r="103">
          <cell r="D103" t="str">
            <v>Д</v>
          </cell>
        </row>
        <row r="104">
          <cell r="D104" t="str">
            <v>Д</v>
          </cell>
        </row>
        <row r="105">
          <cell r="D105" t="str">
            <v>Д</v>
          </cell>
        </row>
        <row r="106">
          <cell r="D106" t="str">
            <v>Д</v>
          </cell>
        </row>
        <row r="107">
          <cell r="D107" t="str">
            <v>Д</v>
          </cell>
        </row>
        <row r="108">
          <cell r="D108" t="str">
            <v>Д</v>
          </cell>
        </row>
        <row r="109">
          <cell r="D109" t="str">
            <v>Д</v>
          </cell>
        </row>
        <row r="110">
          <cell r="D110" t="str">
            <v>Д</v>
          </cell>
        </row>
        <row r="111">
          <cell r="D111" t="str">
            <v>Д</v>
          </cell>
        </row>
        <row r="112">
          <cell r="D112" t="str">
            <v>Д</v>
          </cell>
        </row>
        <row r="113">
          <cell r="D113" t="str">
            <v>Д</v>
          </cell>
        </row>
        <row r="114">
          <cell r="D114" t="str">
            <v>Д</v>
          </cell>
        </row>
        <row r="115">
          <cell r="D115" t="str">
            <v>Д</v>
          </cell>
        </row>
        <row r="116">
          <cell r="D116" t="str">
            <v>Д</v>
          </cell>
        </row>
        <row r="117">
          <cell r="D117" t="str">
            <v>Д</v>
          </cell>
        </row>
        <row r="118">
          <cell r="D118" t="str">
            <v>Д</v>
          </cell>
        </row>
        <row r="119">
          <cell r="D119" t="str">
            <v>Д</v>
          </cell>
        </row>
        <row r="120">
          <cell r="D120" t="str">
            <v>Д</v>
          </cell>
        </row>
        <row r="121">
          <cell r="D121" t="str">
            <v>Д</v>
          </cell>
        </row>
        <row r="122">
          <cell r="D122" t="str">
            <v>Д</v>
          </cell>
        </row>
        <row r="123">
          <cell r="D123" t="str">
            <v>Д</v>
          </cell>
        </row>
        <row r="124">
          <cell r="D124" t="str">
            <v>Д</v>
          </cell>
        </row>
        <row r="125">
          <cell r="D125" t="str">
            <v>Д</v>
          </cell>
        </row>
        <row r="126">
          <cell r="D126" t="str">
            <v>Д</v>
          </cell>
        </row>
        <row r="127">
          <cell r="D127" t="str">
            <v>Д</v>
          </cell>
        </row>
        <row r="128">
          <cell r="D128" t="str">
            <v>Д</v>
          </cell>
        </row>
        <row r="129">
          <cell r="D129" t="str">
            <v>Д</v>
          </cell>
        </row>
        <row r="130">
          <cell r="D130" t="str">
            <v>Д</v>
          </cell>
        </row>
        <row r="131">
          <cell r="D131" t="str">
            <v>Д</v>
          </cell>
        </row>
        <row r="132">
          <cell r="D132" t="str">
            <v>Д</v>
          </cell>
        </row>
        <row r="133">
          <cell r="D133" t="str">
            <v>Д</v>
          </cell>
        </row>
        <row r="134">
          <cell r="D134" t="str">
            <v>Д</v>
          </cell>
        </row>
        <row r="135">
          <cell r="D135" t="str">
            <v>Д</v>
          </cell>
        </row>
        <row r="136">
          <cell r="D136" t="str">
            <v>Д</v>
          </cell>
        </row>
        <row r="137">
          <cell r="D137" t="str">
            <v>Д</v>
          </cell>
        </row>
        <row r="138">
          <cell r="D138" t="str">
            <v>Д</v>
          </cell>
        </row>
        <row r="139">
          <cell r="D139" t="str">
            <v>Д</v>
          </cell>
        </row>
        <row r="140">
          <cell r="D140" t="str">
            <v>Д</v>
          </cell>
        </row>
        <row r="141">
          <cell r="D141" t="str">
            <v>Д</v>
          </cell>
        </row>
        <row r="142">
          <cell r="D142" t="str">
            <v>Д</v>
          </cell>
        </row>
        <row r="143">
          <cell r="D143" t="str">
            <v>Д</v>
          </cell>
        </row>
        <row r="144">
          <cell r="D144" t="str">
            <v>Д</v>
          </cell>
        </row>
        <row r="145">
          <cell r="D145" t="str">
            <v>Д</v>
          </cell>
        </row>
        <row r="146">
          <cell r="D146" t="str">
            <v>Д</v>
          </cell>
        </row>
        <row r="147">
          <cell r="D147" t="str">
            <v>Д</v>
          </cell>
        </row>
        <row r="148">
          <cell r="D148" t="str">
            <v>Д</v>
          </cell>
        </row>
        <row r="149">
          <cell r="D149" t="str">
            <v>Д</v>
          </cell>
        </row>
        <row r="150">
          <cell r="D150" t="str">
            <v>Д</v>
          </cell>
        </row>
        <row r="151">
          <cell r="D151" t="str">
            <v>Д</v>
          </cell>
        </row>
        <row r="152">
          <cell r="D152" t="str">
            <v>Д</v>
          </cell>
        </row>
        <row r="153">
          <cell r="D153" t="str">
            <v>Д</v>
          </cell>
        </row>
        <row r="154">
          <cell r="D154" t="str">
            <v>Д</v>
          </cell>
        </row>
        <row r="155">
          <cell r="D155" t="str">
            <v>Д</v>
          </cell>
        </row>
        <row r="156">
          <cell r="D156" t="str">
            <v>Д</v>
          </cell>
        </row>
        <row r="157">
          <cell r="D157" t="str">
            <v>Д</v>
          </cell>
        </row>
        <row r="158">
          <cell r="D158" t="str">
            <v>Д</v>
          </cell>
        </row>
        <row r="159">
          <cell r="D159" t="str">
            <v>Д</v>
          </cell>
        </row>
        <row r="160">
          <cell r="D160" t="str">
            <v>Д</v>
          </cell>
        </row>
        <row r="161">
          <cell r="D161" t="str">
            <v>Д</v>
          </cell>
        </row>
        <row r="162">
          <cell r="D162" t="str">
            <v>Д</v>
          </cell>
        </row>
        <row r="163">
          <cell r="D163" t="str">
            <v>Д</v>
          </cell>
        </row>
        <row r="164">
          <cell r="D164" t="str">
            <v>Д</v>
          </cell>
        </row>
        <row r="165">
          <cell r="D165" t="str">
            <v>Д</v>
          </cell>
        </row>
        <row r="166">
          <cell r="D166" t="str">
            <v>Д</v>
          </cell>
        </row>
        <row r="167">
          <cell r="D167" t="str">
            <v>Д</v>
          </cell>
        </row>
        <row r="168">
          <cell r="D168" t="str">
            <v>Д</v>
          </cell>
        </row>
        <row r="169">
          <cell r="D169" t="str">
            <v>Д</v>
          </cell>
        </row>
        <row r="170">
          <cell r="D170" t="str">
            <v>Д</v>
          </cell>
        </row>
        <row r="171">
          <cell r="D171" t="str">
            <v>Д</v>
          </cell>
        </row>
        <row r="172">
          <cell r="D172" t="str">
            <v>Д</v>
          </cell>
        </row>
        <row r="173">
          <cell r="D173" t="str">
            <v>Д</v>
          </cell>
        </row>
        <row r="174">
          <cell r="D174" t="str">
            <v>Д</v>
          </cell>
        </row>
        <row r="175">
          <cell r="D175" t="str">
            <v>Д</v>
          </cell>
        </row>
        <row r="176">
          <cell r="D176" t="str">
            <v>Д</v>
          </cell>
        </row>
        <row r="177">
          <cell r="D177" t="str">
            <v>Д</v>
          </cell>
        </row>
        <row r="178">
          <cell r="D178" t="str">
            <v>Д</v>
          </cell>
        </row>
        <row r="179">
          <cell r="D179" t="str">
            <v>Д</v>
          </cell>
        </row>
        <row r="180">
          <cell r="D180" t="str">
            <v>Д</v>
          </cell>
        </row>
        <row r="181">
          <cell r="D181" t="str">
            <v>Д</v>
          </cell>
        </row>
        <row r="182">
          <cell r="D182" t="str">
            <v>Д</v>
          </cell>
        </row>
        <row r="183">
          <cell r="D183" t="str">
            <v>Д</v>
          </cell>
        </row>
        <row r="184">
          <cell r="D184" t="str">
            <v>Д</v>
          </cell>
        </row>
        <row r="185">
          <cell r="D185" t="str">
            <v>Д</v>
          </cell>
        </row>
        <row r="186">
          <cell r="D186" t="str">
            <v>Д</v>
          </cell>
        </row>
        <row r="187">
          <cell r="D187" t="str">
            <v>Д</v>
          </cell>
        </row>
        <row r="188">
          <cell r="D188" t="str">
            <v>Д</v>
          </cell>
        </row>
        <row r="189">
          <cell r="D189" t="str">
            <v>Д</v>
          </cell>
        </row>
        <row r="190">
          <cell r="D190" t="str">
            <v>Д</v>
          </cell>
        </row>
        <row r="191">
          <cell r="D191" t="str">
            <v>Д</v>
          </cell>
        </row>
        <row r="192">
          <cell r="D192" t="str">
            <v>Д</v>
          </cell>
        </row>
        <row r="193">
          <cell r="D193" t="str">
            <v>Д</v>
          </cell>
        </row>
        <row r="194">
          <cell r="D194" t="str">
            <v>Д</v>
          </cell>
        </row>
        <row r="195">
          <cell r="D195" t="str">
            <v>Д</v>
          </cell>
        </row>
        <row r="196">
          <cell r="D196" t="str">
            <v>Д</v>
          </cell>
        </row>
        <row r="197">
          <cell r="D197" t="str">
            <v>Д</v>
          </cell>
        </row>
        <row r="198">
          <cell r="D198" t="str">
            <v>Д</v>
          </cell>
        </row>
        <row r="199">
          <cell r="D199" t="str">
            <v>Д</v>
          </cell>
        </row>
        <row r="200">
          <cell r="D200" t="str">
            <v>Д</v>
          </cell>
        </row>
        <row r="201">
          <cell r="D201" t="str">
            <v>Д</v>
          </cell>
        </row>
        <row r="202">
          <cell r="D202" t="str">
            <v>Д</v>
          </cell>
        </row>
        <row r="203">
          <cell r="D203" t="str">
            <v>Д</v>
          </cell>
        </row>
        <row r="204">
          <cell r="D204" t="str">
            <v>Д</v>
          </cell>
        </row>
        <row r="205">
          <cell r="D205" t="str">
            <v>Д</v>
          </cell>
        </row>
        <row r="206">
          <cell r="D206" t="str">
            <v>Д</v>
          </cell>
        </row>
        <row r="207">
          <cell r="D207" t="str">
            <v>Д</v>
          </cell>
        </row>
        <row r="208">
          <cell r="D208" t="str">
            <v>Д</v>
          </cell>
        </row>
        <row r="209">
          <cell r="D209" t="str">
            <v>Д</v>
          </cell>
        </row>
        <row r="210">
          <cell r="D210" t="str">
            <v>Д</v>
          </cell>
        </row>
        <row r="211">
          <cell r="D211" t="str">
            <v>Д</v>
          </cell>
        </row>
        <row r="212">
          <cell r="D212" t="str">
            <v>Д</v>
          </cell>
        </row>
        <row r="213">
          <cell r="D213" t="str">
            <v>Д</v>
          </cell>
        </row>
        <row r="214">
          <cell r="D214" t="str">
            <v>Д</v>
          </cell>
        </row>
        <row r="215">
          <cell r="D215" t="str">
            <v>Д</v>
          </cell>
        </row>
        <row r="216">
          <cell r="D216" t="str">
            <v>Д</v>
          </cell>
        </row>
        <row r="217">
          <cell r="D217" t="str">
            <v>Д</v>
          </cell>
        </row>
        <row r="218">
          <cell r="D218" t="str">
            <v>Д</v>
          </cell>
        </row>
        <row r="219">
          <cell r="D219" t="str">
            <v>Д</v>
          </cell>
        </row>
        <row r="220">
          <cell r="D220" t="str">
            <v>Д</v>
          </cell>
        </row>
        <row r="221">
          <cell r="D221" t="str">
            <v>Д</v>
          </cell>
        </row>
        <row r="222">
          <cell r="D222" t="str">
            <v>Д</v>
          </cell>
        </row>
        <row r="223">
          <cell r="D223" t="str">
            <v>Д</v>
          </cell>
        </row>
        <row r="224">
          <cell r="D224" t="str">
            <v>Д</v>
          </cell>
        </row>
        <row r="225">
          <cell r="D225" t="str">
            <v>Д</v>
          </cell>
        </row>
        <row r="226">
          <cell r="D226" t="str">
            <v>Р</v>
          </cell>
        </row>
        <row r="227">
          <cell r="D227" t="str">
            <v>Р</v>
          </cell>
        </row>
        <row r="228">
          <cell r="D228" t="str">
            <v>Р</v>
          </cell>
        </row>
        <row r="229">
          <cell r="D229" t="str">
            <v>Р</v>
          </cell>
        </row>
        <row r="230">
          <cell r="D230" t="str">
            <v>Р</v>
          </cell>
        </row>
        <row r="231">
          <cell r="D231" t="str">
            <v>Р</v>
          </cell>
        </row>
        <row r="232">
          <cell r="D232" t="str">
            <v>Р</v>
          </cell>
        </row>
        <row r="233">
          <cell r="D233" t="str">
            <v>Р</v>
          </cell>
        </row>
        <row r="234">
          <cell r="D234" t="str">
            <v>Р</v>
          </cell>
        </row>
        <row r="235">
          <cell r="D235" t="str">
            <v>Р</v>
          </cell>
        </row>
        <row r="236">
          <cell r="D236" t="str">
            <v>Р</v>
          </cell>
        </row>
        <row r="237">
          <cell r="D237" t="str">
            <v>Р</v>
          </cell>
        </row>
        <row r="238">
          <cell r="D238" t="str">
            <v>Р</v>
          </cell>
        </row>
        <row r="239">
          <cell r="D239" t="str">
            <v>Р</v>
          </cell>
        </row>
        <row r="240">
          <cell r="D240" t="str">
            <v>Р</v>
          </cell>
        </row>
        <row r="241">
          <cell r="D241" t="str">
            <v>Р</v>
          </cell>
        </row>
        <row r="242">
          <cell r="D242" t="str">
            <v>Р</v>
          </cell>
        </row>
        <row r="243">
          <cell r="D243" t="str">
            <v>Р</v>
          </cell>
        </row>
        <row r="244">
          <cell r="D244" t="str">
            <v>Р</v>
          </cell>
        </row>
        <row r="245">
          <cell r="D245" t="str">
            <v>Р</v>
          </cell>
        </row>
        <row r="246">
          <cell r="D246" t="str">
            <v>Р</v>
          </cell>
        </row>
        <row r="247">
          <cell r="D247" t="str">
            <v>Р</v>
          </cell>
        </row>
        <row r="248">
          <cell r="D248" t="str">
            <v>Р</v>
          </cell>
        </row>
        <row r="249">
          <cell r="D249" t="str">
            <v>Р</v>
          </cell>
        </row>
        <row r="250">
          <cell r="D250" t="str">
            <v>Р</v>
          </cell>
        </row>
        <row r="251">
          <cell r="D251" t="str">
            <v>Р</v>
          </cell>
        </row>
        <row r="252">
          <cell r="D252" t="str">
            <v>Р</v>
          </cell>
        </row>
        <row r="253">
          <cell r="D253" t="str">
            <v>Р</v>
          </cell>
        </row>
        <row r="254">
          <cell r="D254" t="str">
            <v>Р</v>
          </cell>
        </row>
        <row r="255">
          <cell r="D255" t="str">
            <v>Р</v>
          </cell>
        </row>
        <row r="256">
          <cell r="D256" t="str">
            <v>Р</v>
          </cell>
        </row>
        <row r="257">
          <cell r="D257" t="str">
            <v>Р</v>
          </cell>
        </row>
        <row r="258">
          <cell r="D258" t="str">
            <v>Р</v>
          </cell>
        </row>
        <row r="259">
          <cell r="D259" t="str">
            <v>Р</v>
          </cell>
        </row>
        <row r="260">
          <cell r="D260" t="str">
            <v>Р</v>
          </cell>
        </row>
        <row r="261">
          <cell r="D261" t="str">
            <v>Р</v>
          </cell>
        </row>
        <row r="262">
          <cell r="D262" t="str">
            <v>Р</v>
          </cell>
        </row>
        <row r="263">
          <cell r="D263" t="str">
            <v>Р</v>
          </cell>
        </row>
        <row r="264">
          <cell r="D264" t="str">
            <v>Р</v>
          </cell>
        </row>
        <row r="265">
          <cell r="D265" t="str">
            <v>Р</v>
          </cell>
        </row>
        <row r="266">
          <cell r="D266" t="str">
            <v>Р</v>
          </cell>
        </row>
        <row r="267">
          <cell r="D267" t="str">
            <v>Р</v>
          </cell>
        </row>
        <row r="268">
          <cell r="D268" t="str">
            <v>Р</v>
          </cell>
        </row>
        <row r="269">
          <cell r="D269" t="str">
            <v>Р</v>
          </cell>
        </row>
        <row r="270">
          <cell r="D270" t="str">
            <v>Р</v>
          </cell>
        </row>
        <row r="271">
          <cell r="D271" t="str">
            <v>Р</v>
          </cell>
        </row>
        <row r="272">
          <cell r="D272" t="str">
            <v>Р</v>
          </cell>
        </row>
        <row r="273">
          <cell r="D273" t="str">
            <v>Р</v>
          </cell>
        </row>
        <row r="274">
          <cell r="D274" t="str">
            <v>Р</v>
          </cell>
        </row>
        <row r="275">
          <cell r="D275" t="str">
            <v>Р</v>
          </cell>
        </row>
        <row r="276">
          <cell r="D276" t="str">
            <v>Р</v>
          </cell>
        </row>
        <row r="277">
          <cell r="D277" t="str">
            <v>Р</v>
          </cell>
        </row>
        <row r="278">
          <cell r="D278" t="str">
            <v>Р</v>
          </cell>
        </row>
        <row r="279">
          <cell r="D279" t="str">
            <v>Р</v>
          </cell>
        </row>
        <row r="280">
          <cell r="D280" t="str">
            <v>Р</v>
          </cell>
        </row>
        <row r="281">
          <cell r="D281" t="str">
            <v>Р</v>
          </cell>
        </row>
        <row r="282">
          <cell r="D282" t="str">
            <v>Р</v>
          </cell>
        </row>
        <row r="283">
          <cell r="D283" t="str">
            <v>Р</v>
          </cell>
        </row>
        <row r="284">
          <cell r="D284" t="str">
            <v>Р</v>
          </cell>
        </row>
        <row r="285">
          <cell r="D285" t="str">
            <v>Р</v>
          </cell>
        </row>
        <row r="286">
          <cell r="D286" t="str">
            <v>Р</v>
          </cell>
        </row>
        <row r="287">
          <cell r="D287" t="str">
            <v>Р</v>
          </cell>
        </row>
        <row r="288">
          <cell r="D288" t="str">
            <v>Р</v>
          </cell>
        </row>
        <row r="289">
          <cell r="D289" t="str">
            <v>Р</v>
          </cell>
        </row>
        <row r="290">
          <cell r="D290" t="str">
            <v>Р</v>
          </cell>
        </row>
        <row r="291">
          <cell r="D291" t="str">
            <v>Р</v>
          </cell>
        </row>
        <row r="292">
          <cell r="D292" t="str">
            <v>Р</v>
          </cell>
        </row>
        <row r="293">
          <cell r="D293" t="str">
            <v>Р</v>
          </cell>
        </row>
        <row r="294">
          <cell r="D294" t="str">
            <v>Р</v>
          </cell>
        </row>
        <row r="295">
          <cell r="D295" t="str">
            <v>Р</v>
          </cell>
        </row>
        <row r="296">
          <cell r="D296" t="str">
            <v>Р</v>
          </cell>
        </row>
        <row r="297">
          <cell r="D297" t="str">
            <v>Р</v>
          </cell>
        </row>
        <row r="298">
          <cell r="D298" t="str">
            <v>Р</v>
          </cell>
        </row>
        <row r="299">
          <cell r="D299" t="str">
            <v>Р</v>
          </cell>
        </row>
        <row r="300">
          <cell r="D300" t="str">
            <v>Р</v>
          </cell>
        </row>
        <row r="301">
          <cell r="D301" t="str">
            <v>Р</v>
          </cell>
        </row>
        <row r="302">
          <cell r="D302" t="str">
            <v>Р</v>
          </cell>
        </row>
        <row r="303">
          <cell r="D303" t="str">
            <v>Р</v>
          </cell>
        </row>
        <row r="304">
          <cell r="D304" t="str">
            <v>Р</v>
          </cell>
        </row>
        <row r="305">
          <cell r="D305" t="str">
            <v>Р</v>
          </cell>
        </row>
        <row r="306">
          <cell r="D306" t="str">
            <v>Р</v>
          </cell>
        </row>
        <row r="307">
          <cell r="D307" t="str">
            <v>Р</v>
          </cell>
        </row>
        <row r="308">
          <cell r="D308" t="str">
            <v>Р</v>
          </cell>
        </row>
        <row r="309">
          <cell r="D309" t="str">
            <v>Р</v>
          </cell>
        </row>
        <row r="310">
          <cell r="D310" t="str">
            <v>Р</v>
          </cell>
        </row>
        <row r="311">
          <cell r="D311" t="str">
            <v>Р</v>
          </cell>
        </row>
        <row r="312">
          <cell r="D312" t="str">
            <v>Р</v>
          </cell>
        </row>
        <row r="313">
          <cell r="D313" t="str">
            <v>Р</v>
          </cell>
        </row>
        <row r="314">
          <cell r="D314" t="str">
            <v>Р</v>
          </cell>
        </row>
        <row r="315">
          <cell r="D315" t="str">
            <v>Р</v>
          </cell>
        </row>
        <row r="316">
          <cell r="D316" t="str">
            <v>Р</v>
          </cell>
        </row>
        <row r="317">
          <cell r="D317" t="str">
            <v>Р</v>
          </cell>
        </row>
        <row r="318">
          <cell r="D318" t="str">
            <v>Р</v>
          </cell>
        </row>
        <row r="319">
          <cell r="D319" t="str">
            <v>Р</v>
          </cell>
        </row>
        <row r="320">
          <cell r="D320" t="str">
            <v>Р</v>
          </cell>
        </row>
        <row r="321">
          <cell r="D321" t="str">
            <v>Р</v>
          </cell>
        </row>
        <row r="322">
          <cell r="D322" t="str">
            <v>Р</v>
          </cell>
        </row>
        <row r="323">
          <cell r="D323" t="str">
            <v>Р</v>
          </cell>
        </row>
        <row r="324">
          <cell r="D324" t="str">
            <v>Р</v>
          </cell>
        </row>
        <row r="325">
          <cell r="D325" t="str">
            <v>Р</v>
          </cell>
        </row>
        <row r="326">
          <cell r="D326" t="str">
            <v>Р</v>
          </cell>
        </row>
        <row r="327">
          <cell r="D327" t="str">
            <v>Р</v>
          </cell>
        </row>
        <row r="328">
          <cell r="D328" t="str">
            <v>Р</v>
          </cell>
        </row>
        <row r="329">
          <cell r="D329" t="str">
            <v>Р</v>
          </cell>
        </row>
        <row r="330">
          <cell r="D330" t="str">
            <v>Р</v>
          </cell>
        </row>
        <row r="331">
          <cell r="D331" t="str">
            <v>Р</v>
          </cell>
        </row>
        <row r="332">
          <cell r="D332" t="str">
            <v>Р</v>
          </cell>
        </row>
        <row r="333">
          <cell r="D333" t="str">
            <v>Р</v>
          </cell>
        </row>
        <row r="334">
          <cell r="D334" t="str">
            <v>Р</v>
          </cell>
        </row>
        <row r="335">
          <cell r="D335" t="str">
            <v>Р</v>
          </cell>
        </row>
        <row r="336">
          <cell r="D336" t="str">
            <v>Р</v>
          </cell>
        </row>
        <row r="337">
          <cell r="D337" t="str">
            <v>Р</v>
          </cell>
        </row>
        <row r="338">
          <cell r="D338" t="str">
            <v>Р</v>
          </cell>
        </row>
        <row r="339">
          <cell r="D339" t="str">
            <v>Р</v>
          </cell>
        </row>
        <row r="340">
          <cell r="D340" t="str">
            <v>Р</v>
          </cell>
        </row>
        <row r="341">
          <cell r="D341" t="str">
            <v>Р</v>
          </cell>
        </row>
        <row r="342">
          <cell r="D342" t="str">
            <v>Р</v>
          </cell>
        </row>
        <row r="343">
          <cell r="D343" t="str">
            <v>Р</v>
          </cell>
        </row>
        <row r="344">
          <cell r="D344" t="str">
            <v>Р</v>
          </cell>
        </row>
        <row r="345">
          <cell r="D345" t="str">
            <v>Р</v>
          </cell>
        </row>
        <row r="346">
          <cell r="D346" t="str">
            <v>Р</v>
          </cell>
        </row>
        <row r="347">
          <cell r="D347" t="str">
            <v>Р</v>
          </cell>
        </row>
        <row r="348">
          <cell r="D348" t="str">
            <v>Р</v>
          </cell>
        </row>
        <row r="349">
          <cell r="D349" t="str">
            <v>Р</v>
          </cell>
        </row>
        <row r="350">
          <cell r="D350" t="str">
            <v>Р</v>
          </cell>
        </row>
        <row r="351">
          <cell r="D351" t="str">
            <v>Р</v>
          </cell>
        </row>
        <row r="352">
          <cell r="D352" t="str">
            <v>Р</v>
          </cell>
        </row>
        <row r="353">
          <cell r="D353" t="str">
            <v>Р</v>
          </cell>
        </row>
        <row r="354">
          <cell r="D354" t="str">
            <v>Р</v>
          </cell>
        </row>
        <row r="355">
          <cell r="D355" t="str">
            <v>Р</v>
          </cell>
        </row>
        <row r="356">
          <cell r="D356" t="str">
            <v>Р</v>
          </cell>
        </row>
        <row r="357">
          <cell r="D357" t="str">
            <v>Р</v>
          </cell>
        </row>
        <row r="358">
          <cell r="D358" t="str">
            <v>Р</v>
          </cell>
        </row>
        <row r="359">
          <cell r="D359" t="str">
            <v>Р</v>
          </cell>
        </row>
        <row r="360">
          <cell r="D360" t="str">
            <v>Р</v>
          </cell>
        </row>
        <row r="361">
          <cell r="D361" t="str">
            <v>Р</v>
          </cell>
        </row>
        <row r="362">
          <cell r="D362" t="str">
            <v>Р</v>
          </cell>
        </row>
        <row r="363">
          <cell r="D363" t="str">
            <v>Р</v>
          </cell>
        </row>
        <row r="364">
          <cell r="D364" t="str">
            <v>Р</v>
          </cell>
        </row>
        <row r="365">
          <cell r="D365" t="str">
            <v>Р</v>
          </cell>
        </row>
        <row r="366">
          <cell r="D366" t="str">
            <v>Р</v>
          </cell>
        </row>
        <row r="367">
          <cell r="D367" t="str">
            <v>Р</v>
          </cell>
        </row>
        <row r="368">
          <cell r="D368" t="str">
            <v>Р</v>
          </cell>
        </row>
        <row r="369">
          <cell r="D369" t="str">
            <v>Р</v>
          </cell>
        </row>
        <row r="370">
          <cell r="D370" t="str">
            <v>Р</v>
          </cell>
        </row>
        <row r="371">
          <cell r="D371" t="str">
            <v>Р</v>
          </cell>
        </row>
        <row r="372">
          <cell r="D372" t="str">
            <v>Р</v>
          </cell>
        </row>
        <row r="373">
          <cell r="D373" t="str">
            <v>Р</v>
          </cell>
        </row>
        <row r="374">
          <cell r="D374" t="str">
            <v>Р</v>
          </cell>
        </row>
        <row r="375">
          <cell r="D375" t="str">
            <v>Р</v>
          </cell>
        </row>
        <row r="376">
          <cell r="D376" t="str">
            <v>Р</v>
          </cell>
        </row>
        <row r="377">
          <cell r="D377" t="str">
            <v>Р</v>
          </cell>
        </row>
        <row r="378">
          <cell r="D378" t="str">
            <v>Р</v>
          </cell>
        </row>
        <row r="379">
          <cell r="D379" t="str">
            <v>Р</v>
          </cell>
        </row>
        <row r="380">
          <cell r="D380" t="str">
            <v>Р</v>
          </cell>
        </row>
        <row r="381">
          <cell r="D381" t="str">
            <v>Р</v>
          </cell>
        </row>
        <row r="382">
          <cell r="D382" t="str">
            <v>Р</v>
          </cell>
        </row>
        <row r="383">
          <cell r="D383" t="str">
            <v>Р</v>
          </cell>
        </row>
        <row r="384">
          <cell r="D384" t="str">
            <v>Р</v>
          </cell>
        </row>
        <row r="385">
          <cell r="D385" t="str">
            <v>Р</v>
          </cell>
        </row>
        <row r="386">
          <cell r="D386" t="str">
            <v>Р</v>
          </cell>
        </row>
        <row r="387">
          <cell r="D387" t="str">
            <v>Р</v>
          </cell>
        </row>
        <row r="388">
          <cell r="D388" t="str">
            <v>Р</v>
          </cell>
        </row>
        <row r="389">
          <cell r="D389" t="str">
            <v>Р</v>
          </cell>
        </row>
        <row r="390">
          <cell r="D390" t="str">
            <v>Р</v>
          </cell>
        </row>
        <row r="391">
          <cell r="D391" t="str">
            <v>Р</v>
          </cell>
        </row>
        <row r="392">
          <cell r="D392" t="str">
            <v>Р</v>
          </cell>
        </row>
        <row r="393">
          <cell r="D393" t="str">
            <v>Р</v>
          </cell>
        </row>
        <row r="394">
          <cell r="D394" t="str">
            <v>Р</v>
          </cell>
        </row>
        <row r="395">
          <cell r="D395" t="str">
            <v>Р</v>
          </cell>
        </row>
        <row r="396">
          <cell r="D396" t="str">
            <v>Р</v>
          </cell>
        </row>
        <row r="397">
          <cell r="D397" t="str">
            <v>Р</v>
          </cell>
        </row>
        <row r="398">
          <cell r="D398" t="str">
            <v>Р</v>
          </cell>
        </row>
        <row r="399">
          <cell r="D399" t="str">
            <v>Р</v>
          </cell>
        </row>
        <row r="400">
          <cell r="D400" t="str">
            <v>Р</v>
          </cell>
        </row>
        <row r="401">
          <cell r="D401" t="str">
            <v>Р</v>
          </cell>
        </row>
        <row r="402">
          <cell r="D402" t="str">
            <v>Р</v>
          </cell>
        </row>
        <row r="403">
          <cell r="D403" t="str">
            <v>Р</v>
          </cell>
        </row>
        <row r="404">
          <cell r="D404" t="str">
            <v>Р</v>
          </cell>
        </row>
        <row r="405">
          <cell r="D405" t="str">
            <v>Р</v>
          </cell>
        </row>
        <row r="406">
          <cell r="D406" t="str">
            <v>Д</v>
          </cell>
        </row>
        <row r="407">
          <cell r="D407" t="str">
            <v>Д</v>
          </cell>
        </row>
        <row r="408">
          <cell r="D408" t="str">
            <v>Д</v>
          </cell>
        </row>
        <row r="409">
          <cell r="D409" t="str">
            <v>Д</v>
          </cell>
        </row>
        <row r="410">
          <cell r="D410" t="str">
            <v>Д</v>
          </cell>
        </row>
        <row r="411">
          <cell r="D411" t="str">
            <v>Д</v>
          </cell>
        </row>
        <row r="412">
          <cell r="D412" t="str">
            <v>Д</v>
          </cell>
        </row>
        <row r="413">
          <cell r="D413" t="str">
            <v>Д</v>
          </cell>
        </row>
        <row r="414">
          <cell r="D414" t="str">
            <v>Р</v>
          </cell>
        </row>
        <row r="415">
          <cell r="D415" t="str">
            <v>Р</v>
          </cell>
        </row>
        <row r="416">
          <cell r="D416" t="str">
            <v>Р</v>
          </cell>
        </row>
        <row r="417">
          <cell r="D417" t="str">
            <v>Р</v>
          </cell>
        </row>
        <row r="418">
          <cell r="D418" t="str">
            <v>Р</v>
          </cell>
        </row>
        <row r="419">
          <cell r="D419" t="str">
            <v>Р</v>
          </cell>
        </row>
        <row r="420">
          <cell r="D420" t="str">
            <v>Р</v>
          </cell>
        </row>
        <row r="421">
          <cell r="D421" t="str">
            <v>Р</v>
          </cell>
        </row>
        <row r="422">
          <cell r="D422" t="str">
            <v>Д</v>
          </cell>
        </row>
        <row r="423">
          <cell r="D423" t="str">
            <v>Р</v>
          </cell>
        </row>
        <row r="424">
          <cell r="D424" t="str">
            <v>Р</v>
          </cell>
        </row>
        <row r="425">
          <cell r="D425" t="str">
            <v>Р</v>
          </cell>
        </row>
        <row r="426">
          <cell r="D426" t="str">
            <v>Р</v>
          </cell>
        </row>
      </sheetData>
      <sheetData sheetId="8" refreshError="1"/>
      <sheetData sheetId="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nrol list"/>
      <sheetName val="PFK+ZBG"/>
      <sheetName val="SASA"/>
      <sheetName val="Bucim"/>
      <sheetName val="Metachim"/>
      <sheetName val="Others"/>
      <sheetName val="Total"/>
      <sheetName val="Analysis"/>
      <sheetName val="Conc_prices"/>
      <sheetName val="Commodities_prices"/>
      <sheetName val="WA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fe"/>
      <sheetName val="LifeРЕ"/>
      <sheetName val="РНП"/>
      <sheetName val="РНП-вх"/>
      <sheetName val="РНП-исх"/>
      <sheetName val="РНП-исх W"/>
      <sheetName val="РЗУ"/>
      <sheetName val="Re в РЗУ"/>
      <sheetName val="РПНУ"/>
      <sheetName val="РПМ"/>
      <sheetName val="Итого"/>
      <sheetName val="Свод УГ"/>
      <sheetName val="Доля RE"/>
      <sheetName val="Доля REруб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D2">
            <v>38168</v>
          </cell>
        </row>
      </sheetData>
      <sheetData sheetId="11"/>
      <sheetData sheetId="12"/>
      <sheetData sheetId="13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грузка"/>
      <sheetName val="Нерж."/>
      <sheetName val="Дополнение"/>
      <sheetName val="Снятие"/>
      <sheetName val="ВМЗКО"/>
      <sheetName val="Марки"/>
      <sheetName val="клиент"/>
    </sheetNames>
    <sheetDataSet>
      <sheetData sheetId="0" refreshError="1">
        <row r="12">
          <cell r="D12" t="str">
            <v>10 ГПЗ</v>
          </cell>
          <cell r="I12">
            <v>15</v>
          </cell>
          <cell r="Q12">
            <v>440.22599999999994</v>
          </cell>
          <cell r="R12">
            <v>15</v>
          </cell>
          <cell r="S12">
            <v>440.22599999999994</v>
          </cell>
        </row>
        <row r="13">
          <cell r="D13" t="str">
            <v>10 ГПЗ</v>
          </cell>
          <cell r="I13">
            <v>25</v>
          </cell>
          <cell r="Q13">
            <v>217.2</v>
          </cell>
          <cell r="R13">
            <v>25</v>
          </cell>
          <cell r="S13">
            <v>217.2</v>
          </cell>
        </row>
        <row r="14">
          <cell r="D14" t="str">
            <v>10 ГПЗ</v>
          </cell>
          <cell r="I14">
            <v>10</v>
          </cell>
          <cell r="Q14">
            <v>86.004000000000005</v>
          </cell>
          <cell r="R14">
            <v>10</v>
          </cell>
          <cell r="S14">
            <v>86.004000000000005</v>
          </cell>
        </row>
        <row r="15">
          <cell r="D15" t="str">
            <v>10 ГПЗ</v>
          </cell>
          <cell r="I15">
            <v>40</v>
          </cell>
          <cell r="Q15">
            <v>344.01600000000002</v>
          </cell>
          <cell r="R15">
            <v>40</v>
          </cell>
          <cell r="S15">
            <v>344.01600000000002</v>
          </cell>
        </row>
        <row r="16">
          <cell r="D16" t="str">
            <v>10 ГПЗ</v>
          </cell>
          <cell r="I16">
            <v>10</v>
          </cell>
          <cell r="Q16">
            <v>85.44</v>
          </cell>
          <cell r="R16">
            <v>10</v>
          </cell>
          <cell r="S16">
            <v>85.44</v>
          </cell>
        </row>
        <row r="17">
          <cell r="D17" t="str">
            <v>10 ГПЗ</v>
          </cell>
          <cell r="I17">
            <v>20</v>
          </cell>
          <cell r="Q17">
            <v>167.54399999999998</v>
          </cell>
          <cell r="R17">
            <v>20</v>
          </cell>
          <cell r="S17">
            <v>167.54399999999998</v>
          </cell>
        </row>
        <row r="18">
          <cell r="D18" t="str">
            <v>10 ГПЗ</v>
          </cell>
          <cell r="I18">
            <v>7</v>
          </cell>
          <cell r="Q18">
            <v>67.367999999999995</v>
          </cell>
          <cell r="R18">
            <v>7</v>
          </cell>
          <cell r="S18">
            <v>67.367999999999995</v>
          </cell>
        </row>
        <row r="19">
          <cell r="D19" t="str">
            <v>10 ГПЗ</v>
          </cell>
          <cell r="I19">
            <v>5</v>
          </cell>
          <cell r="Q19">
            <v>48.12</v>
          </cell>
          <cell r="R19">
            <v>5</v>
          </cell>
          <cell r="S19">
            <v>48.12</v>
          </cell>
        </row>
        <row r="20">
          <cell r="D20" t="str">
            <v>10 ГПЗ</v>
          </cell>
          <cell r="I20">
            <v>3</v>
          </cell>
          <cell r="Q20">
            <v>28.872</v>
          </cell>
          <cell r="R20">
            <v>3</v>
          </cell>
          <cell r="S20">
            <v>28.872</v>
          </cell>
        </row>
        <row r="21">
          <cell r="D21" t="str">
            <v>AUS TRADE</v>
          </cell>
          <cell r="I21">
            <v>65</v>
          </cell>
          <cell r="Q21">
            <v>465.6925</v>
          </cell>
          <cell r="R21">
            <v>0</v>
          </cell>
          <cell r="S21">
            <v>0</v>
          </cell>
        </row>
        <row r="22">
          <cell r="D22" t="str">
            <v>AUS TRADE</v>
          </cell>
          <cell r="I22">
            <v>65</v>
          </cell>
          <cell r="Q22">
            <v>445.44499999999999</v>
          </cell>
          <cell r="R22">
            <v>0</v>
          </cell>
          <cell r="S22">
            <v>0</v>
          </cell>
        </row>
        <row r="23">
          <cell r="D23" t="str">
            <v>AUS TRADE</v>
          </cell>
          <cell r="I23">
            <v>65</v>
          </cell>
          <cell r="Q23">
            <v>465.6925</v>
          </cell>
          <cell r="R23">
            <v>0</v>
          </cell>
          <cell r="S23">
            <v>0</v>
          </cell>
        </row>
        <row r="24">
          <cell r="D24" t="str">
            <v>AUS TRADE</v>
          </cell>
          <cell r="I24">
            <v>65</v>
          </cell>
          <cell r="Q24">
            <v>465.6925</v>
          </cell>
          <cell r="R24">
            <v>0</v>
          </cell>
          <cell r="S24">
            <v>0</v>
          </cell>
        </row>
        <row r="25">
          <cell r="D25" t="str">
            <v>AUS TRADE</v>
          </cell>
          <cell r="I25">
            <v>65</v>
          </cell>
          <cell r="Q25">
            <v>465.6925</v>
          </cell>
          <cell r="R25">
            <v>0</v>
          </cell>
          <cell r="S25">
            <v>0</v>
          </cell>
        </row>
        <row r="26">
          <cell r="D26" t="str">
            <v>AUS TRADE</v>
          </cell>
          <cell r="I26">
            <v>65</v>
          </cell>
          <cell r="Q26">
            <v>465.6925</v>
          </cell>
          <cell r="R26">
            <v>0</v>
          </cell>
          <cell r="S26">
            <v>0</v>
          </cell>
        </row>
        <row r="27">
          <cell r="D27" t="str">
            <v>AUS TRADE</v>
          </cell>
          <cell r="I27">
            <v>65</v>
          </cell>
          <cell r="Q27">
            <v>465.6925</v>
          </cell>
          <cell r="R27">
            <v>0</v>
          </cell>
          <cell r="S27">
            <v>0</v>
          </cell>
        </row>
        <row r="28">
          <cell r="D28" t="str">
            <v>AUS TRADE</v>
          </cell>
          <cell r="I28">
            <v>65</v>
          </cell>
          <cell r="Q28">
            <v>443.42024999999995</v>
          </cell>
          <cell r="R28">
            <v>0</v>
          </cell>
          <cell r="S28">
            <v>0</v>
          </cell>
        </row>
        <row r="29">
          <cell r="D29" t="str">
            <v>AUS TRADE</v>
          </cell>
          <cell r="I29">
            <v>195</v>
          </cell>
          <cell r="Q29">
            <v>3492.6937499999999</v>
          </cell>
          <cell r="R29">
            <v>0</v>
          </cell>
          <cell r="S29">
            <v>0</v>
          </cell>
        </row>
        <row r="30">
          <cell r="D30" t="str">
            <v>AUS TRADE</v>
          </cell>
          <cell r="I30">
            <v>65</v>
          </cell>
          <cell r="Q30">
            <v>516.31124999999997</v>
          </cell>
          <cell r="R30">
            <v>0</v>
          </cell>
          <cell r="S30">
            <v>0</v>
          </cell>
        </row>
        <row r="31">
          <cell r="D31" t="str">
            <v>AUS TRADE</v>
          </cell>
          <cell r="I31">
            <v>65</v>
          </cell>
          <cell r="Q31">
            <v>457.59350000000001</v>
          </cell>
          <cell r="R31">
            <v>0</v>
          </cell>
          <cell r="S31">
            <v>0</v>
          </cell>
        </row>
        <row r="32">
          <cell r="D32" t="str">
            <v>AUS TRADE</v>
          </cell>
          <cell r="I32">
            <v>65</v>
          </cell>
          <cell r="Q32">
            <v>457.59350000000001</v>
          </cell>
          <cell r="R32">
            <v>0</v>
          </cell>
          <cell r="S32">
            <v>0</v>
          </cell>
        </row>
        <row r="33">
          <cell r="D33" t="str">
            <v>AUS TRADE</v>
          </cell>
          <cell r="I33">
            <v>65</v>
          </cell>
          <cell r="Q33">
            <v>475.81625000000003</v>
          </cell>
          <cell r="R33">
            <v>0</v>
          </cell>
          <cell r="S33">
            <v>0</v>
          </cell>
        </row>
        <row r="34">
          <cell r="D34" t="str">
            <v>AUS TRADE</v>
          </cell>
          <cell r="I34">
            <v>65</v>
          </cell>
          <cell r="Q34">
            <v>475.81625000000003</v>
          </cell>
          <cell r="R34">
            <v>0</v>
          </cell>
          <cell r="S34">
            <v>0</v>
          </cell>
        </row>
        <row r="35">
          <cell r="D35" t="str">
            <v>AUS TRADE</v>
          </cell>
          <cell r="I35">
            <v>65</v>
          </cell>
          <cell r="Q35">
            <v>475.81625000000003</v>
          </cell>
          <cell r="R35">
            <v>0</v>
          </cell>
          <cell r="S35">
            <v>0</v>
          </cell>
        </row>
        <row r="36">
          <cell r="D36" t="str">
            <v>AUS TRADE</v>
          </cell>
          <cell r="I36">
            <v>130</v>
          </cell>
          <cell r="Q36">
            <v>1356.5825</v>
          </cell>
          <cell r="R36">
            <v>0</v>
          </cell>
          <cell r="S36">
            <v>0</v>
          </cell>
        </row>
        <row r="37">
          <cell r="D37" t="str">
            <v>AUS TRADE</v>
          </cell>
          <cell r="I37">
            <v>65</v>
          </cell>
          <cell r="Q37">
            <v>678.29124999999999</v>
          </cell>
          <cell r="R37">
            <v>0</v>
          </cell>
          <cell r="S37">
            <v>0</v>
          </cell>
        </row>
        <row r="38">
          <cell r="D38" t="str">
            <v>AUS TRADE</v>
          </cell>
          <cell r="I38">
            <v>65</v>
          </cell>
          <cell r="Q38">
            <v>556.80624999999998</v>
          </cell>
          <cell r="R38">
            <v>0</v>
          </cell>
          <cell r="S38">
            <v>0</v>
          </cell>
        </row>
        <row r="39">
          <cell r="D39" t="str">
            <v>AUS TRADE</v>
          </cell>
          <cell r="I39">
            <v>60</v>
          </cell>
          <cell r="Q39">
            <v>626.11500000000001</v>
          </cell>
          <cell r="R39">
            <v>0</v>
          </cell>
          <cell r="S39">
            <v>0</v>
          </cell>
        </row>
        <row r="40">
          <cell r="D40" t="str">
            <v>AUS TRADE</v>
          </cell>
          <cell r="I40">
            <v>20</v>
          </cell>
          <cell r="Q40">
            <v>208.70500000000001</v>
          </cell>
          <cell r="R40">
            <v>0</v>
          </cell>
          <cell r="S40">
            <v>0</v>
          </cell>
        </row>
        <row r="41">
          <cell r="D41" t="str">
            <v>AUS TRADE</v>
          </cell>
          <cell r="I41">
            <v>20</v>
          </cell>
          <cell r="Q41">
            <v>208.70500000000001</v>
          </cell>
          <cell r="R41">
            <v>0</v>
          </cell>
          <cell r="S41">
            <v>0</v>
          </cell>
        </row>
        <row r="42">
          <cell r="D42" t="str">
            <v>AUS TRADE</v>
          </cell>
          <cell r="I42">
            <v>20</v>
          </cell>
          <cell r="Q42">
            <v>205.59</v>
          </cell>
          <cell r="R42">
            <v>0</v>
          </cell>
          <cell r="S42">
            <v>0</v>
          </cell>
        </row>
        <row r="43">
          <cell r="D43" t="str">
            <v>Автокомплект</v>
          </cell>
          <cell r="I43">
            <v>260</v>
          </cell>
          <cell r="Q43">
            <v>2672.67</v>
          </cell>
          <cell r="R43">
            <v>260</v>
          </cell>
          <cell r="S43">
            <v>2672.67</v>
          </cell>
        </row>
        <row r="44">
          <cell r="D44" t="str">
            <v>Автопромсервис</v>
          </cell>
          <cell r="I44">
            <v>5</v>
          </cell>
          <cell r="Q44">
            <v>44.22</v>
          </cell>
          <cell r="R44">
            <v>5</v>
          </cell>
          <cell r="S44">
            <v>44.22</v>
          </cell>
        </row>
        <row r="45">
          <cell r="D45" t="str">
            <v>Авторемонтсервис</v>
          </cell>
          <cell r="I45">
            <v>10</v>
          </cell>
          <cell r="Q45">
            <v>70.319999999999993</v>
          </cell>
          <cell r="R45">
            <v>10</v>
          </cell>
          <cell r="S45">
            <v>70.319999999999993</v>
          </cell>
        </row>
        <row r="46">
          <cell r="D46" t="str">
            <v>Авторемонтсервис</v>
          </cell>
          <cell r="I46">
            <v>10</v>
          </cell>
          <cell r="Q46">
            <v>74.34</v>
          </cell>
          <cell r="R46">
            <v>10</v>
          </cell>
          <cell r="S46">
            <v>74.34</v>
          </cell>
        </row>
        <row r="47">
          <cell r="D47" t="str">
            <v>Авторемонтсервис</v>
          </cell>
          <cell r="I47">
            <v>45</v>
          </cell>
          <cell r="Q47">
            <v>348.94799999999998</v>
          </cell>
          <cell r="R47">
            <v>45</v>
          </cell>
          <cell r="S47">
            <v>348.94799999999998</v>
          </cell>
        </row>
        <row r="48">
          <cell r="D48" t="str">
            <v>Баррикады ПФС</v>
          </cell>
          <cell r="I48">
            <v>29</v>
          </cell>
          <cell r="Q48">
            <v>264.82799999999997</v>
          </cell>
          <cell r="R48">
            <v>29</v>
          </cell>
          <cell r="S48">
            <v>264.82799999999997</v>
          </cell>
        </row>
        <row r="49">
          <cell r="D49" t="str">
            <v>Белэнергомаш</v>
          </cell>
          <cell r="I49">
            <v>5</v>
          </cell>
          <cell r="Q49">
            <v>64.02</v>
          </cell>
          <cell r="R49">
            <v>5</v>
          </cell>
          <cell r="S49">
            <v>64.02</v>
          </cell>
        </row>
        <row r="50">
          <cell r="D50" t="str">
            <v>Белэнергомаш</v>
          </cell>
          <cell r="I50">
            <v>8</v>
          </cell>
          <cell r="Q50">
            <v>110.88</v>
          </cell>
          <cell r="R50">
            <v>8</v>
          </cell>
          <cell r="S50">
            <v>110.88</v>
          </cell>
        </row>
        <row r="51">
          <cell r="D51" t="str">
            <v>Белэнергомаш</v>
          </cell>
          <cell r="I51">
            <v>5</v>
          </cell>
          <cell r="Q51">
            <v>222.6</v>
          </cell>
          <cell r="R51">
            <v>5</v>
          </cell>
          <cell r="S51">
            <v>222.6</v>
          </cell>
        </row>
        <row r="52">
          <cell r="D52" t="str">
            <v>БЛМЗ</v>
          </cell>
          <cell r="I52">
            <v>5</v>
          </cell>
          <cell r="Q52">
            <v>75.39</v>
          </cell>
          <cell r="R52">
            <v>5</v>
          </cell>
          <cell r="S52">
            <v>75.39</v>
          </cell>
        </row>
        <row r="53">
          <cell r="D53" t="str">
            <v>БСК-84</v>
          </cell>
          <cell r="I53">
            <v>5</v>
          </cell>
          <cell r="Q53">
            <v>70.817999999999998</v>
          </cell>
          <cell r="R53">
            <v>5</v>
          </cell>
          <cell r="S53">
            <v>70.817999999999998</v>
          </cell>
        </row>
        <row r="54">
          <cell r="D54" t="str">
            <v>БСК-84</v>
          </cell>
          <cell r="I54">
            <v>5</v>
          </cell>
          <cell r="Q54">
            <v>32.1</v>
          </cell>
          <cell r="R54">
            <v>5</v>
          </cell>
          <cell r="S54">
            <v>32.1</v>
          </cell>
        </row>
        <row r="55">
          <cell r="D55" t="str">
            <v>БСК-84</v>
          </cell>
          <cell r="I55">
            <v>5</v>
          </cell>
          <cell r="Q55">
            <v>31.89</v>
          </cell>
          <cell r="R55">
            <v>5</v>
          </cell>
          <cell r="S55">
            <v>31.89</v>
          </cell>
        </row>
        <row r="56">
          <cell r="D56" t="str">
            <v>БСК-84</v>
          </cell>
          <cell r="I56">
            <v>5</v>
          </cell>
          <cell r="Q56">
            <v>32.1</v>
          </cell>
          <cell r="R56">
            <v>5</v>
          </cell>
          <cell r="S56">
            <v>32.1</v>
          </cell>
        </row>
        <row r="57">
          <cell r="D57" t="str">
            <v>БСК-84</v>
          </cell>
          <cell r="I57">
            <v>5</v>
          </cell>
          <cell r="Q57">
            <v>32.1</v>
          </cell>
          <cell r="R57">
            <v>5</v>
          </cell>
          <cell r="S57">
            <v>32.1</v>
          </cell>
        </row>
        <row r="58">
          <cell r="D58" t="str">
            <v>Буревестник</v>
          </cell>
          <cell r="I58">
            <v>3.5</v>
          </cell>
          <cell r="Q58">
            <v>89.165999999999997</v>
          </cell>
          <cell r="R58">
            <v>3.5</v>
          </cell>
          <cell r="S58">
            <v>89.165999999999997</v>
          </cell>
        </row>
        <row r="59">
          <cell r="D59" t="str">
            <v>Буревестник</v>
          </cell>
          <cell r="I59">
            <v>5</v>
          </cell>
          <cell r="Q59">
            <v>149.22</v>
          </cell>
          <cell r="R59">
            <v>5</v>
          </cell>
          <cell r="S59">
            <v>149.22</v>
          </cell>
        </row>
        <row r="60">
          <cell r="D60" t="str">
            <v>Буревестник</v>
          </cell>
          <cell r="I60">
            <v>3</v>
          </cell>
          <cell r="Q60">
            <v>76.427999999999997</v>
          </cell>
          <cell r="R60">
            <v>3</v>
          </cell>
          <cell r="S60">
            <v>76.427999999999997</v>
          </cell>
        </row>
        <row r="61">
          <cell r="D61" t="str">
            <v>Буревестник</v>
          </cell>
          <cell r="I61">
            <v>6.5</v>
          </cell>
          <cell r="Q61">
            <v>178.85400000000001</v>
          </cell>
          <cell r="R61">
            <v>6.5</v>
          </cell>
          <cell r="S61">
            <v>178.85400000000001</v>
          </cell>
        </row>
        <row r="62">
          <cell r="D62" t="str">
            <v>Буревестник</v>
          </cell>
          <cell r="I62">
            <v>8</v>
          </cell>
          <cell r="Q62">
            <v>220.12799999999999</v>
          </cell>
          <cell r="R62">
            <v>8</v>
          </cell>
          <cell r="S62">
            <v>220.12799999999999</v>
          </cell>
        </row>
        <row r="63">
          <cell r="D63" t="str">
            <v>Буревестник</v>
          </cell>
          <cell r="I63">
            <v>1.5</v>
          </cell>
          <cell r="Q63">
            <v>41.274000000000001</v>
          </cell>
          <cell r="R63">
            <v>1.5</v>
          </cell>
          <cell r="S63">
            <v>41.274000000000001</v>
          </cell>
        </row>
        <row r="64">
          <cell r="D64" t="str">
            <v>Буревестник</v>
          </cell>
          <cell r="I64">
            <v>1.5</v>
          </cell>
          <cell r="Q64">
            <v>41.274000000000001</v>
          </cell>
          <cell r="R64">
            <v>1.5</v>
          </cell>
          <cell r="S64">
            <v>41.274000000000001</v>
          </cell>
        </row>
        <row r="65">
          <cell r="D65" t="str">
            <v>Векта</v>
          </cell>
          <cell r="I65">
            <v>3</v>
          </cell>
          <cell r="Q65">
            <v>21.06</v>
          </cell>
          <cell r="R65">
            <v>3</v>
          </cell>
          <cell r="S65">
            <v>21.06</v>
          </cell>
        </row>
        <row r="66">
          <cell r="D66" t="str">
            <v>Векта</v>
          </cell>
          <cell r="I66">
            <v>10</v>
          </cell>
          <cell r="Q66">
            <v>75.671999999999997</v>
          </cell>
          <cell r="R66">
            <v>10</v>
          </cell>
          <cell r="S66">
            <v>75.671999999999997</v>
          </cell>
        </row>
        <row r="67">
          <cell r="D67" t="str">
            <v>Векта</v>
          </cell>
          <cell r="I67">
            <v>15</v>
          </cell>
          <cell r="Q67">
            <v>112.77</v>
          </cell>
          <cell r="R67">
            <v>15</v>
          </cell>
          <cell r="S67">
            <v>112.77</v>
          </cell>
        </row>
        <row r="68">
          <cell r="D68" t="str">
            <v>Векта</v>
          </cell>
          <cell r="I68">
            <v>7</v>
          </cell>
          <cell r="Q68">
            <v>49.14</v>
          </cell>
          <cell r="R68">
            <v>7</v>
          </cell>
          <cell r="S68">
            <v>49.14</v>
          </cell>
        </row>
        <row r="69">
          <cell r="D69" t="str">
            <v>Векта</v>
          </cell>
          <cell r="I69">
            <v>10</v>
          </cell>
          <cell r="Q69">
            <v>72.311999999999998</v>
          </cell>
          <cell r="R69">
            <v>10</v>
          </cell>
          <cell r="S69">
            <v>72.311999999999998</v>
          </cell>
        </row>
        <row r="70">
          <cell r="D70" t="str">
            <v>Векта</v>
          </cell>
          <cell r="I70">
            <v>8</v>
          </cell>
          <cell r="Q70">
            <v>57.436799999999998</v>
          </cell>
          <cell r="R70">
            <v>8</v>
          </cell>
          <cell r="S70">
            <v>57.436799999999998</v>
          </cell>
        </row>
        <row r="71">
          <cell r="D71" t="str">
            <v>Векта</v>
          </cell>
          <cell r="I71">
            <v>10</v>
          </cell>
          <cell r="Q71">
            <v>71.796000000000006</v>
          </cell>
          <cell r="R71">
            <v>10</v>
          </cell>
          <cell r="S71">
            <v>71.796000000000006</v>
          </cell>
        </row>
        <row r="72">
          <cell r="D72" t="str">
            <v>Векта</v>
          </cell>
          <cell r="I72">
            <v>3</v>
          </cell>
          <cell r="Q72">
            <v>23.623199999999997</v>
          </cell>
          <cell r="R72">
            <v>3</v>
          </cell>
          <cell r="S72">
            <v>23.623199999999997</v>
          </cell>
        </row>
        <row r="73">
          <cell r="D73" t="str">
            <v>Векта</v>
          </cell>
          <cell r="I73">
            <v>3</v>
          </cell>
          <cell r="Q73">
            <v>23.382000000000001</v>
          </cell>
          <cell r="R73">
            <v>3</v>
          </cell>
          <cell r="S73">
            <v>23.382000000000001</v>
          </cell>
        </row>
        <row r="74">
          <cell r="D74" t="str">
            <v>Векта</v>
          </cell>
          <cell r="I74">
            <v>3</v>
          </cell>
          <cell r="Q74">
            <v>23.230799999999999</v>
          </cell>
          <cell r="R74">
            <v>3</v>
          </cell>
          <cell r="S74">
            <v>23.230799999999999</v>
          </cell>
        </row>
        <row r="75">
          <cell r="D75" t="str">
            <v>Векта</v>
          </cell>
          <cell r="I75">
            <v>3</v>
          </cell>
          <cell r="Q75">
            <v>22.777199999999997</v>
          </cell>
          <cell r="R75">
            <v>3</v>
          </cell>
          <cell r="S75">
            <v>22.777199999999997</v>
          </cell>
        </row>
        <row r="76">
          <cell r="D76" t="str">
            <v>Векта</v>
          </cell>
          <cell r="I76">
            <v>3</v>
          </cell>
          <cell r="Q76">
            <v>22.777199999999997</v>
          </cell>
          <cell r="R76">
            <v>3</v>
          </cell>
          <cell r="S76">
            <v>22.777199999999997</v>
          </cell>
        </row>
        <row r="77">
          <cell r="D77" t="str">
            <v>Векта</v>
          </cell>
          <cell r="I77">
            <v>3</v>
          </cell>
          <cell r="Q77">
            <v>22.777199999999997</v>
          </cell>
          <cell r="R77">
            <v>3</v>
          </cell>
          <cell r="S77">
            <v>22.777199999999997</v>
          </cell>
        </row>
        <row r="78">
          <cell r="D78" t="str">
            <v>Векта</v>
          </cell>
          <cell r="I78">
            <v>4</v>
          </cell>
          <cell r="Q78">
            <v>28.924799999999998</v>
          </cell>
          <cell r="R78">
            <v>4</v>
          </cell>
          <cell r="S78">
            <v>28.924799999999998</v>
          </cell>
        </row>
        <row r="79">
          <cell r="D79" t="str">
            <v>Векта</v>
          </cell>
          <cell r="I79">
            <v>3</v>
          </cell>
          <cell r="Q79">
            <v>21.6936</v>
          </cell>
          <cell r="R79">
            <v>3</v>
          </cell>
          <cell r="S79">
            <v>21.6936</v>
          </cell>
        </row>
        <row r="80">
          <cell r="D80" t="str">
            <v>Векта</v>
          </cell>
          <cell r="I80">
            <v>3</v>
          </cell>
          <cell r="Q80">
            <v>21.6936</v>
          </cell>
          <cell r="R80">
            <v>3</v>
          </cell>
          <cell r="S80">
            <v>21.6936</v>
          </cell>
        </row>
        <row r="81">
          <cell r="D81" t="str">
            <v>Векта</v>
          </cell>
          <cell r="I81">
            <v>5</v>
          </cell>
          <cell r="Q81">
            <v>36.155999999999999</v>
          </cell>
          <cell r="R81">
            <v>5</v>
          </cell>
          <cell r="S81">
            <v>36.155999999999999</v>
          </cell>
        </row>
        <row r="82">
          <cell r="D82" t="str">
            <v>Векта</v>
          </cell>
          <cell r="I82">
            <v>5</v>
          </cell>
          <cell r="Q82">
            <v>52.295999999999992</v>
          </cell>
          <cell r="R82">
            <v>5</v>
          </cell>
          <cell r="S82">
            <v>52.295999999999992</v>
          </cell>
        </row>
        <row r="83">
          <cell r="D83" t="str">
            <v>Векта</v>
          </cell>
          <cell r="I83">
            <v>5</v>
          </cell>
          <cell r="Q83">
            <v>58.8</v>
          </cell>
          <cell r="R83">
            <v>5</v>
          </cell>
          <cell r="S83">
            <v>58.8</v>
          </cell>
        </row>
        <row r="84">
          <cell r="D84" t="str">
            <v>Векта</v>
          </cell>
          <cell r="I84">
            <v>10</v>
          </cell>
          <cell r="Q84">
            <v>117.6</v>
          </cell>
          <cell r="R84">
            <v>10</v>
          </cell>
          <cell r="S84">
            <v>117.6</v>
          </cell>
        </row>
        <row r="85">
          <cell r="D85" t="str">
            <v>Векта</v>
          </cell>
          <cell r="I85">
            <v>10</v>
          </cell>
          <cell r="Q85">
            <v>116.316</v>
          </cell>
          <cell r="R85">
            <v>10</v>
          </cell>
          <cell r="S85">
            <v>116.316</v>
          </cell>
        </row>
        <row r="86">
          <cell r="D86" t="str">
            <v>Векта</v>
          </cell>
          <cell r="I86">
            <v>5</v>
          </cell>
          <cell r="Q86">
            <v>58.158000000000001</v>
          </cell>
          <cell r="R86">
            <v>5</v>
          </cell>
          <cell r="S86">
            <v>58.158000000000001</v>
          </cell>
        </row>
        <row r="87">
          <cell r="D87" t="str">
            <v>Векта</v>
          </cell>
          <cell r="I87">
            <v>3</v>
          </cell>
          <cell r="Q87">
            <v>35.28</v>
          </cell>
          <cell r="R87">
            <v>3</v>
          </cell>
          <cell r="S87">
            <v>35.28</v>
          </cell>
        </row>
        <row r="88">
          <cell r="D88" t="str">
            <v>Векта</v>
          </cell>
          <cell r="I88">
            <v>3</v>
          </cell>
          <cell r="Q88">
            <v>35.28</v>
          </cell>
          <cell r="R88">
            <v>3</v>
          </cell>
          <cell r="S88">
            <v>35.28</v>
          </cell>
        </row>
        <row r="89">
          <cell r="D89" t="str">
            <v>Векта</v>
          </cell>
          <cell r="I89">
            <v>5</v>
          </cell>
          <cell r="Q89">
            <v>43.494</v>
          </cell>
          <cell r="R89">
            <v>5</v>
          </cell>
          <cell r="S89">
            <v>43.494</v>
          </cell>
        </row>
        <row r="90">
          <cell r="D90" t="str">
            <v>Векта</v>
          </cell>
          <cell r="I90">
            <v>5</v>
          </cell>
          <cell r="Q90">
            <v>43.494</v>
          </cell>
          <cell r="R90">
            <v>5</v>
          </cell>
          <cell r="S90">
            <v>43.494</v>
          </cell>
        </row>
        <row r="91">
          <cell r="D91" t="str">
            <v>Векта</v>
          </cell>
          <cell r="I91">
            <v>2</v>
          </cell>
          <cell r="Q91">
            <v>17.397599999999997</v>
          </cell>
          <cell r="R91">
            <v>2</v>
          </cell>
          <cell r="S91">
            <v>17.397599999999997</v>
          </cell>
        </row>
        <row r="92">
          <cell r="D92" t="str">
            <v>Векта</v>
          </cell>
          <cell r="I92">
            <v>3</v>
          </cell>
          <cell r="Q92">
            <v>26.096399999999999</v>
          </cell>
          <cell r="R92">
            <v>3</v>
          </cell>
          <cell r="S92">
            <v>26.096399999999999</v>
          </cell>
        </row>
        <row r="93">
          <cell r="D93" t="str">
            <v>Векта</v>
          </cell>
          <cell r="I93">
            <v>5</v>
          </cell>
          <cell r="Q93">
            <v>43.494</v>
          </cell>
          <cell r="R93">
            <v>5</v>
          </cell>
          <cell r="S93">
            <v>43.494</v>
          </cell>
        </row>
        <row r="94">
          <cell r="D94" t="str">
            <v>Векта</v>
          </cell>
          <cell r="I94">
            <v>5</v>
          </cell>
          <cell r="Q94">
            <v>43.494</v>
          </cell>
          <cell r="R94">
            <v>5</v>
          </cell>
          <cell r="S94">
            <v>43.494</v>
          </cell>
        </row>
        <row r="95">
          <cell r="D95" t="str">
            <v>Векта</v>
          </cell>
          <cell r="I95">
            <v>5</v>
          </cell>
          <cell r="Q95">
            <v>43.494</v>
          </cell>
          <cell r="R95">
            <v>5</v>
          </cell>
          <cell r="S95">
            <v>43.494</v>
          </cell>
        </row>
        <row r="96">
          <cell r="D96" t="str">
            <v>Векта</v>
          </cell>
          <cell r="I96">
            <v>10</v>
          </cell>
          <cell r="Q96">
            <v>86.988</v>
          </cell>
          <cell r="R96">
            <v>10</v>
          </cell>
          <cell r="S96">
            <v>86.988</v>
          </cell>
        </row>
        <row r="97">
          <cell r="D97" t="str">
            <v>Векта</v>
          </cell>
          <cell r="I97">
            <v>5</v>
          </cell>
          <cell r="Q97">
            <v>43.494</v>
          </cell>
          <cell r="R97">
            <v>5</v>
          </cell>
          <cell r="S97">
            <v>43.494</v>
          </cell>
        </row>
        <row r="98">
          <cell r="D98" t="str">
            <v>Векта</v>
          </cell>
          <cell r="I98">
            <v>5</v>
          </cell>
          <cell r="Q98">
            <v>43.362000000000002</v>
          </cell>
          <cell r="R98">
            <v>5</v>
          </cell>
          <cell r="S98">
            <v>43.362000000000002</v>
          </cell>
        </row>
        <row r="99">
          <cell r="D99" t="str">
            <v>Векта</v>
          </cell>
          <cell r="I99">
            <v>3</v>
          </cell>
          <cell r="Q99">
            <v>27.594000000000001</v>
          </cell>
          <cell r="R99">
            <v>3</v>
          </cell>
          <cell r="S99">
            <v>27.594000000000001</v>
          </cell>
        </row>
        <row r="100">
          <cell r="D100" t="str">
            <v>Векта</v>
          </cell>
          <cell r="I100">
            <v>5</v>
          </cell>
          <cell r="Q100">
            <v>45.99</v>
          </cell>
          <cell r="R100">
            <v>5</v>
          </cell>
          <cell r="S100">
            <v>45.99</v>
          </cell>
        </row>
        <row r="101">
          <cell r="D101" t="str">
            <v>ВЗТДиН</v>
          </cell>
          <cell r="I101">
            <v>300</v>
          </cell>
          <cell r="Q101">
            <v>2312.2800000000002</v>
          </cell>
          <cell r="R101">
            <v>300</v>
          </cell>
          <cell r="S101">
            <v>2312.2800000000002</v>
          </cell>
        </row>
        <row r="102">
          <cell r="D102" t="str">
            <v>ВЗТДиН</v>
          </cell>
          <cell r="I102">
            <v>10</v>
          </cell>
          <cell r="Q102">
            <v>75.804000000000002</v>
          </cell>
          <cell r="R102">
            <v>10</v>
          </cell>
          <cell r="S102">
            <v>75.804000000000002</v>
          </cell>
        </row>
        <row r="103">
          <cell r="D103" t="str">
            <v>ВЗТДиН</v>
          </cell>
          <cell r="I103">
            <v>5</v>
          </cell>
          <cell r="Q103">
            <v>39.372</v>
          </cell>
          <cell r="R103">
            <v>5</v>
          </cell>
          <cell r="S103">
            <v>39.372</v>
          </cell>
        </row>
        <row r="104">
          <cell r="D104" t="str">
            <v>ВЗТДиН</v>
          </cell>
          <cell r="I104">
            <v>5</v>
          </cell>
          <cell r="Q104">
            <v>48.234000000000002</v>
          </cell>
          <cell r="R104">
            <v>5</v>
          </cell>
          <cell r="S104">
            <v>48.234000000000002</v>
          </cell>
        </row>
        <row r="105">
          <cell r="D105" t="str">
            <v>ВЗТДиН</v>
          </cell>
          <cell r="I105">
            <v>10</v>
          </cell>
          <cell r="Q105">
            <v>96.468000000000004</v>
          </cell>
          <cell r="R105">
            <v>10</v>
          </cell>
          <cell r="S105">
            <v>96.468000000000004</v>
          </cell>
        </row>
        <row r="106">
          <cell r="D106" t="str">
            <v>ВЗТДиН</v>
          </cell>
          <cell r="I106">
            <v>10</v>
          </cell>
          <cell r="Q106">
            <v>91.99199999999999</v>
          </cell>
          <cell r="R106">
            <v>10</v>
          </cell>
          <cell r="S106">
            <v>91.99199999999999</v>
          </cell>
        </row>
        <row r="107">
          <cell r="D107" t="str">
            <v>ВЗТДиН</v>
          </cell>
          <cell r="I107">
            <v>10</v>
          </cell>
          <cell r="Q107">
            <v>91.99199999999999</v>
          </cell>
          <cell r="R107">
            <v>10</v>
          </cell>
          <cell r="S107">
            <v>91.99199999999999</v>
          </cell>
        </row>
        <row r="108">
          <cell r="D108" t="str">
            <v>ВЗТДиН</v>
          </cell>
          <cell r="I108">
            <v>20</v>
          </cell>
          <cell r="Q108">
            <v>183.98399999999998</v>
          </cell>
          <cell r="R108">
            <v>20</v>
          </cell>
          <cell r="S108">
            <v>183.98399999999998</v>
          </cell>
        </row>
        <row r="109">
          <cell r="D109" t="str">
            <v>ВЗТДиН</v>
          </cell>
          <cell r="I109">
            <v>20</v>
          </cell>
          <cell r="Q109">
            <v>182.18399999999997</v>
          </cell>
          <cell r="R109">
            <v>20</v>
          </cell>
          <cell r="S109">
            <v>182.18399999999997</v>
          </cell>
        </row>
        <row r="110">
          <cell r="D110" t="str">
            <v>ВЗТДиН</v>
          </cell>
          <cell r="I110">
            <v>90</v>
          </cell>
          <cell r="Q110">
            <v>780.08399999999995</v>
          </cell>
          <cell r="R110">
            <v>90</v>
          </cell>
          <cell r="S110">
            <v>780.08399999999995</v>
          </cell>
        </row>
        <row r="111">
          <cell r="D111" t="str">
            <v>ВЗТДиН</v>
          </cell>
          <cell r="I111">
            <v>35</v>
          </cell>
          <cell r="Q111">
            <v>303.36599999999999</v>
          </cell>
          <cell r="R111">
            <v>35</v>
          </cell>
          <cell r="S111">
            <v>303.36599999999999</v>
          </cell>
        </row>
        <row r="112">
          <cell r="D112" t="str">
            <v>ВМК</v>
          </cell>
          <cell r="I112">
            <v>15</v>
          </cell>
          <cell r="Q112">
            <v>138.33000000000001</v>
          </cell>
          <cell r="R112">
            <v>15</v>
          </cell>
          <cell r="S112">
            <v>138.33000000000001</v>
          </cell>
        </row>
        <row r="113">
          <cell r="D113" t="str">
            <v>ВМК</v>
          </cell>
          <cell r="I113">
            <v>15</v>
          </cell>
          <cell r="Q113">
            <v>186.57</v>
          </cell>
          <cell r="R113">
            <v>15</v>
          </cell>
          <cell r="S113">
            <v>186.57</v>
          </cell>
        </row>
        <row r="114">
          <cell r="D114" t="str">
            <v>ВМК</v>
          </cell>
          <cell r="I114">
            <v>15</v>
          </cell>
          <cell r="Q114">
            <v>172.8</v>
          </cell>
          <cell r="R114">
            <v>15</v>
          </cell>
          <cell r="S114">
            <v>172.8</v>
          </cell>
        </row>
        <row r="115">
          <cell r="D115" t="str">
            <v>ВМК</v>
          </cell>
          <cell r="I115">
            <v>10</v>
          </cell>
          <cell r="Q115">
            <v>76.680000000000007</v>
          </cell>
          <cell r="R115">
            <v>10</v>
          </cell>
          <cell r="S115">
            <v>76.680000000000007</v>
          </cell>
        </row>
        <row r="116">
          <cell r="D116" t="str">
            <v>ВМК</v>
          </cell>
          <cell r="I116">
            <v>10</v>
          </cell>
          <cell r="Q116">
            <v>76.680000000000007</v>
          </cell>
          <cell r="R116">
            <v>10</v>
          </cell>
          <cell r="S116">
            <v>76.680000000000007</v>
          </cell>
        </row>
        <row r="117">
          <cell r="D117" t="str">
            <v>ВМК</v>
          </cell>
          <cell r="I117">
            <v>30</v>
          </cell>
          <cell r="Q117">
            <v>229.5</v>
          </cell>
          <cell r="R117">
            <v>30</v>
          </cell>
          <cell r="S117">
            <v>229.5</v>
          </cell>
        </row>
        <row r="118">
          <cell r="D118" t="str">
            <v>ВМК</v>
          </cell>
          <cell r="I118">
            <v>15</v>
          </cell>
          <cell r="Q118">
            <v>114.75</v>
          </cell>
          <cell r="R118">
            <v>15</v>
          </cell>
          <cell r="S118">
            <v>114.75</v>
          </cell>
        </row>
        <row r="119">
          <cell r="D119" t="str">
            <v>ВолгаСталь</v>
          </cell>
          <cell r="I119">
            <v>5</v>
          </cell>
          <cell r="Q119">
            <v>46.991999999999997</v>
          </cell>
          <cell r="R119">
            <v>5</v>
          </cell>
          <cell r="S119">
            <v>46.991999999999997</v>
          </cell>
        </row>
        <row r="120">
          <cell r="D120" t="str">
            <v>ВолгаСталь</v>
          </cell>
          <cell r="I120">
            <v>2.5</v>
          </cell>
          <cell r="Q120">
            <v>44.7</v>
          </cell>
          <cell r="R120">
            <v>2.5</v>
          </cell>
          <cell r="S120">
            <v>44.7</v>
          </cell>
        </row>
        <row r="121">
          <cell r="D121" t="str">
            <v>ВолгаСталь</v>
          </cell>
          <cell r="I121">
            <v>5.5</v>
          </cell>
          <cell r="Q121">
            <v>58.607999999999997</v>
          </cell>
          <cell r="R121">
            <v>5.5</v>
          </cell>
          <cell r="S121">
            <v>58.607999999999997</v>
          </cell>
        </row>
        <row r="122">
          <cell r="D122" t="str">
            <v>ВолгаСталь</v>
          </cell>
          <cell r="I122">
            <v>2</v>
          </cell>
          <cell r="Q122">
            <v>24.564</v>
          </cell>
          <cell r="R122">
            <v>2</v>
          </cell>
          <cell r="S122">
            <v>24.564</v>
          </cell>
        </row>
        <row r="123">
          <cell r="D123" t="str">
            <v>ВолгаСталь</v>
          </cell>
          <cell r="I123">
            <v>3</v>
          </cell>
          <cell r="Q123">
            <v>36.845999999999997</v>
          </cell>
          <cell r="R123">
            <v>3</v>
          </cell>
          <cell r="S123">
            <v>36.845999999999997</v>
          </cell>
        </row>
        <row r="124">
          <cell r="D124" t="str">
            <v>Волгограднефтемаш</v>
          </cell>
          <cell r="I124">
            <v>40</v>
          </cell>
          <cell r="Q124">
            <v>346.56</v>
          </cell>
          <cell r="R124">
            <v>40</v>
          </cell>
          <cell r="S124">
            <v>346.56</v>
          </cell>
        </row>
        <row r="125">
          <cell r="D125" t="str">
            <v>Волгограднефтемаш</v>
          </cell>
          <cell r="I125">
            <v>30</v>
          </cell>
          <cell r="Q125">
            <v>259.92</v>
          </cell>
          <cell r="R125">
            <v>30</v>
          </cell>
          <cell r="S125">
            <v>259.92</v>
          </cell>
        </row>
        <row r="126">
          <cell r="D126" t="str">
            <v>Волгограднефтемаш</v>
          </cell>
          <cell r="I126">
            <v>30</v>
          </cell>
          <cell r="Q126">
            <v>256.68</v>
          </cell>
          <cell r="R126">
            <v>30</v>
          </cell>
          <cell r="S126">
            <v>256.68</v>
          </cell>
        </row>
        <row r="127">
          <cell r="D127" t="str">
            <v>Волгограднефтемаш</v>
          </cell>
          <cell r="I127">
            <v>30</v>
          </cell>
          <cell r="Q127">
            <v>223.2</v>
          </cell>
          <cell r="R127">
            <v>30</v>
          </cell>
          <cell r="S127">
            <v>223.2</v>
          </cell>
        </row>
        <row r="128">
          <cell r="D128" t="str">
            <v>Волгограднефтемаш</v>
          </cell>
          <cell r="I128">
            <v>50</v>
          </cell>
          <cell r="Q128">
            <v>369</v>
          </cell>
          <cell r="R128">
            <v>50</v>
          </cell>
          <cell r="S128">
            <v>369</v>
          </cell>
        </row>
        <row r="129">
          <cell r="D129" t="str">
            <v>Волгограднефтемаш</v>
          </cell>
          <cell r="I129">
            <v>30</v>
          </cell>
          <cell r="Q129">
            <v>221.4</v>
          </cell>
          <cell r="R129">
            <v>30</v>
          </cell>
          <cell r="S129">
            <v>221.4</v>
          </cell>
        </row>
        <row r="130">
          <cell r="D130" t="str">
            <v>Волгограднефтемаш</v>
          </cell>
          <cell r="I130">
            <v>25</v>
          </cell>
          <cell r="Q130">
            <v>567.29999999999995</v>
          </cell>
          <cell r="R130">
            <v>25</v>
          </cell>
          <cell r="S130">
            <v>567.29999999999995</v>
          </cell>
        </row>
        <row r="131">
          <cell r="D131" t="str">
            <v>Волгограднефтемаш</v>
          </cell>
          <cell r="I131">
            <v>10</v>
          </cell>
          <cell r="Q131">
            <v>77.760000000000005</v>
          </cell>
          <cell r="R131">
            <v>10</v>
          </cell>
          <cell r="S131">
            <v>77.760000000000005</v>
          </cell>
        </row>
        <row r="132">
          <cell r="D132" t="str">
            <v>Волгограднефтемаш</v>
          </cell>
          <cell r="I132">
            <v>10</v>
          </cell>
          <cell r="Q132">
            <v>79.92</v>
          </cell>
          <cell r="R132">
            <v>10</v>
          </cell>
          <cell r="S132">
            <v>79.92</v>
          </cell>
        </row>
        <row r="133">
          <cell r="D133" t="str">
            <v>Волгометснаб</v>
          </cell>
          <cell r="I133">
            <v>60</v>
          </cell>
          <cell r="Q133">
            <v>739.44</v>
          </cell>
          <cell r="R133">
            <v>60</v>
          </cell>
          <cell r="S133">
            <v>739.44</v>
          </cell>
        </row>
        <row r="134">
          <cell r="D134" t="str">
            <v>Волгометснаб</v>
          </cell>
          <cell r="I134">
            <v>240</v>
          </cell>
          <cell r="Q134">
            <v>2620.8000000000002</v>
          </cell>
          <cell r="R134">
            <v>240</v>
          </cell>
          <cell r="S134">
            <v>2620.8000000000002</v>
          </cell>
        </row>
        <row r="135">
          <cell r="D135" t="str">
            <v>Волгоремстрой</v>
          </cell>
          <cell r="I135">
            <v>20</v>
          </cell>
          <cell r="Q135">
            <v>152.63999999999999</v>
          </cell>
          <cell r="R135">
            <v>20</v>
          </cell>
          <cell r="S135">
            <v>152.63999999999999</v>
          </cell>
        </row>
        <row r="136">
          <cell r="D136" t="str">
            <v>Волгоремстрой</v>
          </cell>
          <cell r="I136">
            <v>20</v>
          </cell>
          <cell r="Q136">
            <v>139.416</v>
          </cell>
          <cell r="R136">
            <v>20</v>
          </cell>
          <cell r="S136">
            <v>139.416</v>
          </cell>
        </row>
        <row r="137">
          <cell r="D137" t="str">
            <v>Волгоремстрой</v>
          </cell>
          <cell r="I137">
            <v>20</v>
          </cell>
          <cell r="Q137">
            <v>151.34399999999999</v>
          </cell>
          <cell r="R137">
            <v>20</v>
          </cell>
          <cell r="S137">
            <v>151.34399999999999</v>
          </cell>
        </row>
        <row r="138">
          <cell r="D138" t="str">
            <v>Волгоремстрой</v>
          </cell>
          <cell r="I138">
            <v>20</v>
          </cell>
          <cell r="Q138">
            <v>150.36000000000001</v>
          </cell>
          <cell r="R138">
            <v>20</v>
          </cell>
          <cell r="S138">
            <v>150.36000000000001</v>
          </cell>
        </row>
        <row r="139">
          <cell r="D139" t="str">
            <v>Волгоремстрой</v>
          </cell>
          <cell r="I139">
            <v>18</v>
          </cell>
          <cell r="Q139">
            <v>193.88159999999996</v>
          </cell>
          <cell r="R139">
            <v>18</v>
          </cell>
          <cell r="S139">
            <v>193.88159999999996</v>
          </cell>
        </row>
        <row r="140">
          <cell r="D140" t="str">
            <v>Волгоремстрой</v>
          </cell>
          <cell r="I140">
            <v>15</v>
          </cell>
          <cell r="Q140">
            <v>161.56799999999998</v>
          </cell>
          <cell r="R140">
            <v>15</v>
          </cell>
          <cell r="S140">
            <v>161.56799999999998</v>
          </cell>
        </row>
        <row r="141">
          <cell r="D141" t="str">
            <v>Волгоремстрой</v>
          </cell>
          <cell r="I141">
            <v>5</v>
          </cell>
          <cell r="Q141">
            <v>52.8</v>
          </cell>
          <cell r="R141">
            <v>5</v>
          </cell>
          <cell r="S141">
            <v>52.8</v>
          </cell>
        </row>
        <row r="142">
          <cell r="D142" t="str">
            <v>Волгоремстрой</v>
          </cell>
          <cell r="I142">
            <v>2</v>
          </cell>
          <cell r="Q142">
            <v>21.724799999999998</v>
          </cell>
          <cell r="R142">
            <v>2</v>
          </cell>
          <cell r="S142">
            <v>21.724799999999998</v>
          </cell>
        </row>
        <row r="143">
          <cell r="D143" t="str">
            <v>Воронежхимсервис-99</v>
          </cell>
          <cell r="I143">
            <v>10</v>
          </cell>
          <cell r="Q143">
            <v>306.72000000000003</v>
          </cell>
          <cell r="R143">
            <v>10</v>
          </cell>
          <cell r="S143">
            <v>306.72000000000003</v>
          </cell>
        </row>
        <row r="144">
          <cell r="D144" t="str">
            <v>Воронежхимсервис-99</v>
          </cell>
          <cell r="I144">
            <v>1.5</v>
          </cell>
          <cell r="Q144">
            <v>45.503999999999998</v>
          </cell>
          <cell r="R144">
            <v>1.5</v>
          </cell>
          <cell r="S144">
            <v>45.503999999999998</v>
          </cell>
        </row>
        <row r="145">
          <cell r="D145" t="str">
            <v>Воронежхимсервис-99</v>
          </cell>
          <cell r="I145">
            <v>2</v>
          </cell>
          <cell r="Q145">
            <v>59.496000000000002</v>
          </cell>
          <cell r="R145">
            <v>2</v>
          </cell>
          <cell r="S145">
            <v>59.496000000000002</v>
          </cell>
        </row>
        <row r="146">
          <cell r="D146" t="str">
            <v>Воронежхимсервис-99</v>
          </cell>
          <cell r="I146">
            <v>2</v>
          </cell>
          <cell r="Q146">
            <v>56.207999999999998</v>
          </cell>
          <cell r="R146">
            <v>2</v>
          </cell>
          <cell r="S146">
            <v>56.207999999999998</v>
          </cell>
        </row>
        <row r="147">
          <cell r="D147" t="str">
            <v>Воронежхимсервис-99</v>
          </cell>
          <cell r="I147">
            <v>65</v>
          </cell>
          <cell r="Q147">
            <v>757.77</v>
          </cell>
          <cell r="R147">
            <v>65</v>
          </cell>
          <cell r="S147">
            <v>757.77</v>
          </cell>
        </row>
        <row r="148">
          <cell r="D148" t="str">
            <v>Воронежхимсервис-99</v>
          </cell>
          <cell r="I148">
            <v>65</v>
          </cell>
          <cell r="Q148">
            <v>701.61</v>
          </cell>
          <cell r="R148">
            <v>65</v>
          </cell>
          <cell r="S148">
            <v>701.61</v>
          </cell>
        </row>
        <row r="149">
          <cell r="D149" t="str">
            <v>Воронежхимсервис-99</v>
          </cell>
          <cell r="I149">
            <v>2.6</v>
          </cell>
          <cell r="Q149">
            <v>78.87360000000001</v>
          </cell>
          <cell r="R149">
            <v>2.6</v>
          </cell>
          <cell r="S149">
            <v>78.87360000000001</v>
          </cell>
        </row>
        <row r="150">
          <cell r="D150" t="str">
            <v>Воронежхимсервис-99</v>
          </cell>
          <cell r="I150">
            <v>2</v>
          </cell>
          <cell r="Q150">
            <v>59.496000000000002</v>
          </cell>
          <cell r="R150">
            <v>2</v>
          </cell>
          <cell r="S150">
            <v>59.496000000000002</v>
          </cell>
        </row>
        <row r="151">
          <cell r="D151" t="str">
            <v>Воронежхимсервис-99</v>
          </cell>
          <cell r="I151">
            <v>2</v>
          </cell>
          <cell r="Q151">
            <v>57.816000000000003</v>
          </cell>
          <cell r="R151">
            <v>2</v>
          </cell>
          <cell r="S151">
            <v>57.816000000000003</v>
          </cell>
        </row>
        <row r="152">
          <cell r="D152" t="str">
            <v>Воронежхимсервис-99</v>
          </cell>
          <cell r="I152">
            <v>1</v>
          </cell>
          <cell r="Q152">
            <v>28.92</v>
          </cell>
          <cell r="R152">
            <v>0</v>
          </cell>
          <cell r="S152">
            <v>0</v>
          </cell>
        </row>
        <row r="153">
          <cell r="D153" t="str">
            <v>Воронежхимсервис-99</v>
          </cell>
          <cell r="I153">
            <v>3</v>
          </cell>
          <cell r="Q153">
            <v>84.311999999999998</v>
          </cell>
          <cell r="R153">
            <v>0</v>
          </cell>
          <cell r="S153">
            <v>0</v>
          </cell>
        </row>
        <row r="154">
          <cell r="D154" t="str">
            <v>ВПЗ</v>
          </cell>
          <cell r="I154">
            <v>10</v>
          </cell>
          <cell r="Q154">
            <v>130.428</v>
          </cell>
          <cell r="R154">
            <v>10</v>
          </cell>
          <cell r="S154">
            <v>130.428</v>
          </cell>
        </row>
        <row r="155">
          <cell r="D155" t="str">
            <v>ВПЗ</v>
          </cell>
          <cell r="I155">
            <v>10</v>
          </cell>
          <cell r="Q155">
            <v>129.22800000000001</v>
          </cell>
          <cell r="R155">
            <v>10</v>
          </cell>
          <cell r="S155">
            <v>129.22800000000001</v>
          </cell>
        </row>
        <row r="156">
          <cell r="D156" t="str">
            <v>ВПЗ</v>
          </cell>
          <cell r="I156">
            <v>5</v>
          </cell>
          <cell r="Q156">
            <v>61.62</v>
          </cell>
          <cell r="R156">
            <v>5</v>
          </cell>
          <cell r="S156">
            <v>61.62</v>
          </cell>
        </row>
        <row r="157">
          <cell r="D157" t="str">
            <v>ВПЗ</v>
          </cell>
          <cell r="I157">
            <v>10</v>
          </cell>
          <cell r="Q157">
            <v>123.24</v>
          </cell>
          <cell r="R157">
            <v>10</v>
          </cell>
          <cell r="S157">
            <v>123.24</v>
          </cell>
        </row>
        <row r="158">
          <cell r="D158" t="str">
            <v>ВПЗ</v>
          </cell>
          <cell r="I158">
            <v>12</v>
          </cell>
          <cell r="Q158">
            <v>146.4624</v>
          </cell>
          <cell r="R158">
            <v>12</v>
          </cell>
          <cell r="S158">
            <v>146.4624</v>
          </cell>
        </row>
        <row r="159">
          <cell r="D159" t="str">
            <v>ВТЗ</v>
          </cell>
          <cell r="I159">
            <v>130</v>
          </cell>
          <cell r="Q159">
            <v>889.2</v>
          </cell>
          <cell r="R159">
            <v>130</v>
          </cell>
          <cell r="S159">
            <v>889.2</v>
          </cell>
        </row>
        <row r="160">
          <cell r="D160" t="str">
            <v>ВТЗ</v>
          </cell>
          <cell r="I160">
            <v>30</v>
          </cell>
          <cell r="Q160">
            <v>1620</v>
          </cell>
          <cell r="R160">
            <v>30</v>
          </cell>
          <cell r="S160">
            <v>1620</v>
          </cell>
        </row>
        <row r="161">
          <cell r="D161" t="str">
            <v>ВТЗ</v>
          </cell>
          <cell r="I161">
            <v>20</v>
          </cell>
          <cell r="Q161">
            <v>1080</v>
          </cell>
          <cell r="R161">
            <v>20</v>
          </cell>
          <cell r="S161">
            <v>1080</v>
          </cell>
        </row>
        <row r="162">
          <cell r="D162" t="str">
            <v>ВТЗ</v>
          </cell>
          <cell r="I162">
            <v>5</v>
          </cell>
          <cell r="Q162">
            <v>270</v>
          </cell>
          <cell r="R162">
            <v>5</v>
          </cell>
          <cell r="S162">
            <v>270</v>
          </cell>
        </row>
        <row r="163">
          <cell r="D163" t="str">
            <v>ВТЗ</v>
          </cell>
          <cell r="I163">
            <v>40</v>
          </cell>
          <cell r="Q163">
            <v>2160</v>
          </cell>
          <cell r="R163">
            <v>40</v>
          </cell>
          <cell r="S163">
            <v>2160</v>
          </cell>
        </row>
        <row r="164">
          <cell r="D164" t="str">
            <v>ВТЗ</v>
          </cell>
          <cell r="I164">
            <v>65</v>
          </cell>
          <cell r="Q164">
            <v>444.6</v>
          </cell>
          <cell r="R164">
            <v>65</v>
          </cell>
          <cell r="S164">
            <v>444.6</v>
          </cell>
        </row>
        <row r="165">
          <cell r="D165" t="str">
            <v>ВТЗ</v>
          </cell>
          <cell r="I165">
            <v>15</v>
          </cell>
          <cell r="Q165">
            <v>117</v>
          </cell>
          <cell r="R165">
            <v>15</v>
          </cell>
          <cell r="S165">
            <v>117</v>
          </cell>
        </row>
        <row r="166">
          <cell r="D166" t="str">
            <v>ВТЗ</v>
          </cell>
          <cell r="I166">
            <v>60</v>
          </cell>
          <cell r="Q166">
            <v>468</v>
          </cell>
          <cell r="R166">
            <v>60</v>
          </cell>
          <cell r="S166">
            <v>468</v>
          </cell>
        </row>
        <row r="167">
          <cell r="D167" t="str">
            <v>ВТЗ</v>
          </cell>
          <cell r="I167">
            <v>120</v>
          </cell>
          <cell r="Q167">
            <v>1064.1600000000001</v>
          </cell>
          <cell r="R167">
            <v>120</v>
          </cell>
          <cell r="S167">
            <v>1064.1600000000001</v>
          </cell>
        </row>
        <row r="168">
          <cell r="D168" t="str">
            <v>ВТЗ</v>
          </cell>
          <cell r="I168">
            <v>240</v>
          </cell>
          <cell r="Q168">
            <v>2128.3200000000002</v>
          </cell>
          <cell r="R168">
            <v>240</v>
          </cell>
          <cell r="S168">
            <v>2128.3200000000002</v>
          </cell>
        </row>
        <row r="169">
          <cell r="D169" t="str">
            <v>ВТЗ</v>
          </cell>
          <cell r="I169">
            <v>60</v>
          </cell>
          <cell r="Q169">
            <v>532.79999999999995</v>
          </cell>
          <cell r="R169">
            <v>60</v>
          </cell>
          <cell r="S169">
            <v>532.79999999999995</v>
          </cell>
        </row>
        <row r="170">
          <cell r="D170" t="str">
            <v>ВТЗ</v>
          </cell>
          <cell r="I170">
            <v>30</v>
          </cell>
          <cell r="Q170">
            <v>282.99599999999992</v>
          </cell>
          <cell r="R170">
            <v>30</v>
          </cell>
          <cell r="S170">
            <v>282.99599999999992</v>
          </cell>
        </row>
        <row r="171">
          <cell r="D171" t="str">
            <v>Втормет</v>
          </cell>
          <cell r="I171">
            <v>30</v>
          </cell>
          <cell r="Q171">
            <v>296.82</v>
          </cell>
          <cell r="R171">
            <v>0</v>
          </cell>
          <cell r="S171">
            <v>0</v>
          </cell>
        </row>
        <row r="172">
          <cell r="D172" t="str">
            <v>Втормет</v>
          </cell>
          <cell r="I172">
            <v>15</v>
          </cell>
          <cell r="Q172">
            <v>124.2</v>
          </cell>
          <cell r="R172">
            <v>15</v>
          </cell>
          <cell r="S172">
            <v>124.2</v>
          </cell>
        </row>
        <row r="173">
          <cell r="D173" t="str">
            <v>Втормет</v>
          </cell>
          <cell r="I173">
            <v>35</v>
          </cell>
          <cell r="Q173">
            <v>270.48</v>
          </cell>
          <cell r="R173">
            <v>35</v>
          </cell>
          <cell r="S173">
            <v>270.48</v>
          </cell>
        </row>
        <row r="174">
          <cell r="D174" t="str">
            <v>Втормет</v>
          </cell>
          <cell r="I174">
            <v>20</v>
          </cell>
          <cell r="Q174">
            <v>154.56</v>
          </cell>
          <cell r="R174">
            <v>20</v>
          </cell>
          <cell r="S174">
            <v>154.56</v>
          </cell>
        </row>
        <row r="175">
          <cell r="D175" t="str">
            <v>Втормет</v>
          </cell>
          <cell r="I175">
            <v>20</v>
          </cell>
          <cell r="Q175">
            <v>162.47999999999999</v>
          </cell>
          <cell r="R175">
            <v>20</v>
          </cell>
          <cell r="S175">
            <v>162.47999999999999</v>
          </cell>
        </row>
        <row r="176">
          <cell r="D176" t="str">
            <v>Втормет</v>
          </cell>
          <cell r="I176">
            <v>25</v>
          </cell>
          <cell r="Q176">
            <v>193.2</v>
          </cell>
          <cell r="R176">
            <v>25</v>
          </cell>
          <cell r="S176">
            <v>193.2</v>
          </cell>
        </row>
        <row r="177">
          <cell r="D177" t="str">
            <v>Втормет</v>
          </cell>
          <cell r="I177">
            <v>10</v>
          </cell>
          <cell r="Q177">
            <v>75.959999999999994</v>
          </cell>
          <cell r="R177">
            <v>10</v>
          </cell>
          <cell r="S177">
            <v>75.959999999999994</v>
          </cell>
        </row>
        <row r="178">
          <cell r="D178" t="str">
            <v>Втормет</v>
          </cell>
          <cell r="I178">
            <v>20</v>
          </cell>
          <cell r="Q178">
            <v>148.80000000000001</v>
          </cell>
          <cell r="R178">
            <v>20</v>
          </cell>
          <cell r="S178">
            <v>148.80000000000001</v>
          </cell>
        </row>
        <row r="179">
          <cell r="D179" t="str">
            <v>Втормет</v>
          </cell>
          <cell r="I179">
            <v>20</v>
          </cell>
          <cell r="Q179">
            <v>148.80000000000001</v>
          </cell>
          <cell r="R179">
            <v>20</v>
          </cell>
          <cell r="S179">
            <v>148.80000000000001</v>
          </cell>
        </row>
        <row r="180">
          <cell r="D180" t="str">
            <v>Втормет</v>
          </cell>
          <cell r="I180">
            <v>30</v>
          </cell>
          <cell r="Q180">
            <v>212.76</v>
          </cell>
          <cell r="R180">
            <v>30</v>
          </cell>
          <cell r="S180">
            <v>212.76</v>
          </cell>
        </row>
        <row r="181">
          <cell r="D181" t="str">
            <v>Втормет</v>
          </cell>
          <cell r="I181">
            <v>10</v>
          </cell>
          <cell r="Q181">
            <v>312</v>
          </cell>
          <cell r="R181">
            <v>10</v>
          </cell>
          <cell r="S181">
            <v>312</v>
          </cell>
        </row>
        <row r="182">
          <cell r="D182" t="str">
            <v>ДДЗ</v>
          </cell>
          <cell r="I182">
            <v>20</v>
          </cell>
          <cell r="Q182">
            <v>444.52</v>
          </cell>
          <cell r="R182">
            <v>0</v>
          </cell>
          <cell r="S182">
            <v>0</v>
          </cell>
        </row>
        <row r="183">
          <cell r="D183" t="str">
            <v>ДДЗ</v>
          </cell>
          <cell r="I183">
            <v>20</v>
          </cell>
          <cell r="Q183">
            <v>444.52</v>
          </cell>
          <cell r="R183">
            <v>0</v>
          </cell>
          <cell r="S183">
            <v>0</v>
          </cell>
        </row>
        <row r="184">
          <cell r="D184" t="str">
            <v>ДДЗ</v>
          </cell>
          <cell r="I184">
            <v>20</v>
          </cell>
          <cell r="Q184">
            <v>444.52</v>
          </cell>
          <cell r="R184">
            <v>0</v>
          </cell>
          <cell r="S184">
            <v>0</v>
          </cell>
        </row>
        <row r="185">
          <cell r="D185" t="str">
            <v>ДДЗ</v>
          </cell>
          <cell r="I185">
            <v>10</v>
          </cell>
          <cell r="Q185">
            <v>222.26</v>
          </cell>
          <cell r="R185">
            <v>0</v>
          </cell>
          <cell r="S185">
            <v>0</v>
          </cell>
        </row>
        <row r="186">
          <cell r="D186" t="str">
            <v>ДДЗ</v>
          </cell>
          <cell r="I186">
            <v>20</v>
          </cell>
          <cell r="Q186">
            <v>444.52</v>
          </cell>
          <cell r="R186">
            <v>0</v>
          </cell>
          <cell r="S186">
            <v>0</v>
          </cell>
        </row>
        <row r="187">
          <cell r="D187" t="str">
            <v>ДДЗ</v>
          </cell>
          <cell r="I187">
            <v>30</v>
          </cell>
          <cell r="Q187">
            <v>666.78</v>
          </cell>
          <cell r="R187">
            <v>0</v>
          </cell>
          <cell r="S187">
            <v>0</v>
          </cell>
        </row>
        <row r="188">
          <cell r="D188" t="str">
            <v>ДДЗ</v>
          </cell>
          <cell r="I188">
            <v>120</v>
          </cell>
          <cell r="Q188">
            <v>1457.64</v>
          </cell>
          <cell r="R188">
            <v>0</v>
          </cell>
          <cell r="S188">
            <v>0</v>
          </cell>
        </row>
        <row r="189">
          <cell r="D189" t="str">
            <v>ДДЗ</v>
          </cell>
          <cell r="I189">
            <v>10</v>
          </cell>
          <cell r="Q189">
            <v>121.47</v>
          </cell>
          <cell r="R189">
            <v>0</v>
          </cell>
          <cell r="S189">
            <v>0</v>
          </cell>
        </row>
        <row r="190">
          <cell r="D190" t="str">
            <v>ДДЗ</v>
          </cell>
          <cell r="I190">
            <v>60</v>
          </cell>
          <cell r="Q190">
            <v>728.82</v>
          </cell>
          <cell r="R190">
            <v>0</v>
          </cell>
          <cell r="S190">
            <v>0</v>
          </cell>
        </row>
        <row r="191">
          <cell r="D191" t="str">
            <v>Дзержинскхиммаш</v>
          </cell>
          <cell r="I191">
            <v>10</v>
          </cell>
          <cell r="Q191">
            <v>68.64</v>
          </cell>
          <cell r="R191">
            <v>10</v>
          </cell>
          <cell r="S191">
            <v>68.64</v>
          </cell>
        </row>
        <row r="192">
          <cell r="D192" t="str">
            <v>Дзержинскхиммаш</v>
          </cell>
          <cell r="I192">
            <v>15</v>
          </cell>
          <cell r="Q192">
            <v>102.96</v>
          </cell>
          <cell r="R192">
            <v>15</v>
          </cell>
          <cell r="S192">
            <v>102.96</v>
          </cell>
        </row>
        <row r="193">
          <cell r="D193" t="str">
            <v>Дзержинскхиммаш</v>
          </cell>
          <cell r="I193">
            <v>20</v>
          </cell>
          <cell r="Q193">
            <v>137.28</v>
          </cell>
          <cell r="R193">
            <v>20</v>
          </cell>
          <cell r="S193">
            <v>137.28</v>
          </cell>
        </row>
        <row r="194">
          <cell r="D194" t="str">
            <v>Дизель-МТС</v>
          </cell>
          <cell r="I194">
            <v>40</v>
          </cell>
          <cell r="Q194">
            <v>1058.8800000000001</v>
          </cell>
          <cell r="R194">
            <v>40</v>
          </cell>
          <cell r="S194">
            <v>1058.8800000000001</v>
          </cell>
        </row>
        <row r="195">
          <cell r="D195" t="str">
            <v>Дизель-МТС</v>
          </cell>
          <cell r="I195">
            <v>20</v>
          </cell>
          <cell r="Q195">
            <v>196.8</v>
          </cell>
          <cell r="R195">
            <v>20</v>
          </cell>
          <cell r="S195">
            <v>196.8</v>
          </cell>
        </row>
        <row r="196">
          <cell r="D196" t="str">
            <v>Дизель-МТС</v>
          </cell>
          <cell r="I196">
            <v>65</v>
          </cell>
          <cell r="Q196">
            <v>542.1</v>
          </cell>
          <cell r="R196">
            <v>65</v>
          </cell>
          <cell r="S196">
            <v>542.1</v>
          </cell>
        </row>
        <row r="197">
          <cell r="D197" t="str">
            <v>Дизель-МТС</v>
          </cell>
          <cell r="I197">
            <v>40</v>
          </cell>
          <cell r="Q197">
            <v>312</v>
          </cell>
          <cell r="R197">
            <v>40</v>
          </cell>
          <cell r="S197">
            <v>312</v>
          </cell>
        </row>
        <row r="198">
          <cell r="D198" t="str">
            <v>Дизель-МТС</v>
          </cell>
          <cell r="I198">
            <v>65</v>
          </cell>
          <cell r="Q198">
            <v>1067.04</v>
          </cell>
          <cell r="R198">
            <v>65</v>
          </cell>
          <cell r="S198">
            <v>1067.04</v>
          </cell>
        </row>
        <row r="199">
          <cell r="D199" t="str">
            <v>Дизель-МТС</v>
          </cell>
          <cell r="I199">
            <v>100</v>
          </cell>
          <cell r="Q199">
            <v>1632</v>
          </cell>
          <cell r="R199">
            <v>100</v>
          </cell>
          <cell r="S199">
            <v>1632</v>
          </cell>
        </row>
        <row r="200">
          <cell r="D200" t="str">
            <v>Дизель-МТС</v>
          </cell>
          <cell r="I200">
            <v>20</v>
          </cell>
          <cell r="Q200">
            <v>177.6</v>
          </cell>
          <cell r="R200">
            <v>20</v>
          </cell>
          <cell r="S200">
            <v>177.6</v>
          </cell>
        </row>
        <row r="201">
          <cell r="D201" t="str">
            <v>Дизель-МТС</v>
          </cell>
          <cell r="I201">
            <v>130</v>
          </cell>
          <cell r="Q201">
            <v>1482</v>
          </cell>
          <cell r="R201">
            <v>130</v>
          </cell>
          <cell r="S201">
            <v>1482</v>
          </cell>
        </row>
        <row r="202">
          <cell r="D202" t="str">
            <v>Дизель-МТС</v>
          </cell>
          <cell r="I202">
            <v>260</v>
          </cell>
          <cell r="Q202">
            <v>3026.4</v>
          </cell>
          <cell r="R202">
            <v>260</v>
          </cell>
          <cell r="S202">
            <v>3026.4</v>
          </cell>
        </row>
        <row r="203">
          <cell r="D203" t="str">
            <v>Дизель-МТС</v>
          </cell>
          <cell r="I203">
            <v>20</v>
          </cell>
          <cell r="Q203">
            <v>238.8</v>
          </cell>
          <cell r="R203">
            <v>0</v>
          </cell>
          <cell r="S203">
            <v>0</v>
          </cell>
        </row>
        <row r="204">
          <cell r="D204" t="str">
            <v>Дизель-МТС</v>
          </cell>
          <cell r="I204">
            <v>260</v>
          </cell>
          <cell r="Q204">
            <v>1896.96</v>
          </cell>
          <cell r="R204">
            <v>260</v>
          </cell>
          <cell r="S204">
            <v>1896.96</v>
          </cell>
        </row>
        <row r="205">
          <cell r="D205" t="str">
            <v>Дизель-МТС</v>
          </cell>
          <cell r="I205">
            <v>10</v>
          </cell>
          <cell r="Q205">
            <v>144</v>
          </cell>
          <cell r="R205">
            <v>10</v>
          </cell>
          <cell r="S205">
            <v>144</v>
          </cell>
        </row>
        <row r="206">
          <cell r="D206" t="str">
            <v>Дизель-МТС</v>
          </cell>
          <cell r="I206">
            <v>20</v>
          </cell>
          <cell r="Q206">
            <v>277.2</v>
          </cell>
          <cell r="R206">
            <v>20</v>
          </cell>
          <cell r="S206">
            <v>277.2</v>
          </cell>
        </row>
        <row r="207">
          <cell r="D207" t="str">
            <v>Дизель-МТС</v>
          </cell>
          <cell r="I207">
            <v>5</v>
          </cell>
          <cell r="Q207">
            <v>68.099999999999994</v>
          </cell>
          <cell r="R207">
            <v>5</v>
          </cell>
          <cell r="S207">
            <v>68.099999999999994</v>
          </cell>
        </row>
        <row r="208">
          <cell r="D208" t="str">
            <v>Дизельспецкомплект</v>
          </cell>
          <cell r="I208">
            <v>10</v>
          </cell>
          <cell r="Q208">
            <v>85.176000000000002</v>
          </cell>
          <cell r="R208">
            <v>10</v>
          </cell>
          <cell r="S208">
            <v>85.176000000000002</v>
          </cell>
        </row>
        <row r="209">
          <cell r="D209" t="str">
            <v>Запсибэнергомаш</v>
          </cell>
          <cell r="I209">
            <v>65</v>
          </cell>
          <cell r="Q209">
            <v>523.77</v>
          </cell>
          <cell r="R209">
            <v>65</v>
          </cell>
          <cell r="S209">
            <v>523.77</v>
          </cell>
        </row>
        <row r="210">
          <cell r="D210" t="str">
            <v>ЗЗГТ</v>
          </cell>
          <cell r="I210">
            <v>15</v>
          </cell>
          <cell r="Q210">
            <v>225.72</v>
          </cell>
          <cell r="R210">
            <v>15</v>
          </cell>
          <cell r="S210">
            <v>225.72</v>
          </cell>
        </row>
        <row r="211">
          <cell r="D211" t="str">
            <v>ЗИО-Подольск</v>
          </cell>
          <cell r="I211">
            <v>5</v>
          </cell>
          <cell r="Q211">
            <v>45.36</v>
          </cell>
          <cell r="R211">
            <v>0</v>
          </cell>
          <cell r="S211">
            <v>0</v>
          </cell>
        </row>
        <row r="212">
          <cell r="D212" t="str">
            <v>ЗИО-Подольск</v>
          </cell>
          <cell r="I212">
            <v>5</v>
          </cell>
          <cell r="Q212">
            <v>45.06</v>
          </cell>
          <cell r="R212">
            <v>0</v>
          </cell>
          <cell r="S212">
            <v>0</v>
          </cell>
        </row>
        <row r="213">
          <cell r="D213" t="str">
            <v>ЗИО-Подольск</v>
          </cell>
          <cell r="I213">
            <v>10</v>
          </cell>
          <cell r="Q213">
            <v>90.12</v>
          </cell>
          <cell r="R213">
            <v>0</v>
          </cell>
          <cell r="S213">
            <v>0</v>
          </cell>
        </row>
        <row r="214">
          <cell r="D214" t="str">
            <v>ЗИО-Подольск</v>
          </cell>
          <cell r="I214">
            <v>5</v>
          </cell>
          <cell r="Q214">
            <v>47.64</v>
          </cell>
          <cell r="R214">
            <v>0</v>
          </cell>
          <cell r="S214">
            <v>0</v>
          </cell>
        </row>
        <row r="215">
          <cell r="D215" t="str">
            <v>ЗИО-Подольск</v>
          </cell>
          <cell r="I215">
            <v>5</v>
          </cell>
          <cell r="Q215">
            <v>47.64</v>
          </cell>
          <cell r="R215">
            <v>0</v>
          </cell>
          <cell r="S215">
            <v>0</v>
          </cell>
        </row>
        <row r="216">
          <cell r="D216" t="str">
            <v>ЗИО-Подольск</v>
          </cell>
          <cell r="I216">
            <v>5</v>
          </cell>
          <cell r="Q216">
            <v>47.64</v>
          </cell>
          <cell r="R216">
            <v>0</v>
          </cell>
          <cell r="S216">
            <v>0</v>
          </cell>
        </row>
        <row r="217">
          <cell r="D217" t="str">
            <v>ЗИО-Подольск</v>
          </cell>
          <cell r="I217">
            <v>5</v>
          </cell>
          <cell r="Q217">
            <v>34.979999999999997</v>
          </cell>
          <cell r="R217">
            <v>0</v>
          </cell>
          <cell r="S217">
            <v>0</v>
          </cell>
        </row>
        <row r="218">
          <cell r="D218" t="str">
            <v>ЗИО-Подольск</v>
          </cell>
          <cell r="I218">
            <v>10</v>
          </cell>
          <cell r="Q218">
            <v>69.959999999999994</v>
          </cell>
          <cell r="R218">
            <v>0</v>
          </cell>
          <cell r="S218">
            <v>0</v>
          </cell>
        </row>
        <row r="219">
          <cell r="D219" t="str">
            <v>ЗИО-Подольск</v>
          </cell>
          <cell r="I219">
            <v>15</v>
          </cell>
          <cell r="Q219">
            <v>104.94</v>
          </cell>
          <cell r="R219">
            <v>0</v>
          </cell>
          <cell r="S219">
            <v>0</v>
          </cell>
        </row>
        <row r="220">
          <cell r="D220" t="str">
            <v>Кедр-89</v>
          </cell>
          <cell r="I220">
            <v>17</v>
          </cell>
          <cell r="Q220">
            <v>123.42</v>
          </cell>
          <cell r="R220">
            <v>17</v>
          </cell>
          <cell r="S220">
            <v>123.42</v>
          </cell>
        </row>
        <row r="221">
          <cell r="D221" t="str">
            <v>Кедр-89</v>
          </cell>
          <cell r="I221">
            <v>5</v>
          </cell>
          <cell r="Q221">
            <v>100.38</v>
          </cell>
          <cell r="R221">
            <v>5</v>
          </cell>
          <cell r="S221">
            <v>100.38</v>
          </cell>
        </row>
        <row r="222">
          <cell r="D222" t="str">
            <v>Кедр-89</v>
          </cell>
          <cell r="I222">
            <v>5</v>
          </cell>
          <cell r="Q222">
            <v>100.38</v>
          </cell>
          <cell r="R222">
            <v>5</v>
          </cell>
          <cell r="S222">
            <v>100.38</v>
          </cell>
        </row>
        <row r="223">
          <cell r="D223" t="str">
            <v>Кедр-89</v>
          </cell>
          <cell r="I223">
            <v>5</v>
          </cell>
          <cell r="Q223">
            <v>114.78</v>
          </cell>
          <cell r="R223">
            <v>5</v>
          </cell>
          <cell r="S223">
            <v>114.78</v>
          </cell>
        </row>
        <row r="224">
          <cell r="D224" t="str">
            <v>Коламбия</v>
          </cell>
          <cell r="I224">
            <v>5</v>
          </cell>
          <cell r="Q224">
            <v>34.085999999999999</v>
          </cell>
          <cell r="R224">
            <v>5</v>
          </cell>
          <cell r="S224">
            <v>34.085999999999999</v>
          </cell>
        </row>
        <row r="225">
          <cell r="D225" t="str">
            <v>Коламбия</v>
          </cell>
          <cell r="I225">
            <v>5</v>
          </cell>
          <cell r="Q225">
            <v>33.42</v>
          </cell>
          <cell r="R225">
            <v>5</v>
          </cell>
          <cell r="S225">
            <v>33.42</v>
          </cell>
        </row>
        <row r="226">
          <cell r="D226" t="str">
            <v>Коламбия</v>
          </cell>
          <cell r="I226">
            <v>5</v>
          </cell>
          <cell r="Q226">
            <v>33.317999999999998</v>
          </cell>
          <cell r="R226">
            <v>5</v>
          </cell>
          <cell r="S226">
            <v>33.317999999999998</v>
          </cell>
        </row>
        <row r="227">
          <cell r="D227" t="str">
            <v>Коламбия</v>
          </cell>
          <cell r="I227">
            <v>5</v>
          </cell>
          <cell r="Q227">
            <v>33.317999999999998</v>
          </cell>
          <cell r="R227">
            <v>5</v>
          </cell>
          <cell r="S227">
            <v>33.317999999999998</v>
          </cell>
        </row>
        <row r="228">
          <cell r="D228" t="str">
            <v>Коламбия</v>
          </cell>
          <cell r="I228">
            <v>5</v>
          </cell>
          <cell r="Q228">
            <v>35.340000000000003</v>
          </cell>
          <cell r="R228">
            <v>5</v>
          </cell>
          <cell r="S228">
            <v>35.340000000000003</v>
          </cell>
        </row>
        <row r="229">
          <cell r="D229" t="str">
            <v>Коламбия</v>
          </cell>
          <cell r="I229">
            <v>65</v>
          </cell>
          <cell r="Q229">
            <v>480.55799999999999</v>
          </cell>
          <cell r="R229">
            <v>65</v>
          </cell>
          <cell r="S229">
            <v>480.55799999999999</v>
          </cell>
        </row>
        <row r="230">
          <cell r="D230" t="str">
            <v>Коламбия</v>
          </cell>
          <cell r="I230">
            <v>5</v>
          </cell>
          <cell r="Q230">
            <v>33.654000000000003</v>
          </cell>
          <cell r="R230">
            <v>5</v>
          </cell>
          <cell r="S230">
            <v>33.654000000000003</v>
          </cell>
        </row>
        <row r="231">
          <cell r="D231" t="str">
            <v>Коламбия</v>
          </cell>
          <cell r="I231">
            <v>2.2000000000000002</v>
          </cell>
          <cell r="Q231">
            <v>411.57072000000005</v>
          </cell>
          <cell r="R231">
            <v>2.2000000000000002</v>
          </cell>
          <cell r="S231">
            <v>411.57072000000005</v>
          </cell>
        </row>
        <row r="232">
          <cell r="D232" t="str">
            <v>Коламбия</v>
          </cell>
          <cell r="I232">
            <v>1.6</v>
          </cell>
          <cell r="Q232">
            <v>299.32416000000001</v>
          </cell>
          <cell r="R232">
            <v>1.6</v>
          </cell>
          <cell r="S232">
            <v>299.32416000000001</v>
          </cell>
        </row>
        <row r="233">
          <cell r="D233" t="str">
            <v>Коламбия</v>
          </cell>
          <cell r="I233">
            <v>25</v>
          </cell>
          <cell r="Q233">
            <v>287.85000000000002</v>
          </cell>
          <cell r="R233">
            <v>25</v>
          </cell>
          <cell r="S233">
            <v>287.85000000000002</v>
          </cell>
        </row>
        <row r="234">
          <cell r="D234" t="str">
            <v>Коламбия</v>
          </cell>
          <cell r="I234">
            <v>15</v>
          </cell>
          <cell r="Q234">
            <v>779.05799999999999</v>
          </cell>
          <cell r="R234">
            <v>15</v>
          </cell>
          <cell r="S234">
            <v>779.05799999999999</v>
          </cell>
        </row>
        <row r="235">
          <cell r="D235" t="str">
            <v>Коламбия</v>
          </cell>
          <cell r="I235">
            <v>5</v>
          </cell>
          <cell r="Q235">
            <v>255.90600000000001</v>
          </cell>
          <cell r="R235">
            <v>5</v>
          </cell>
          <cell r="S235">
            <v>255.90600000000001</v>
          </cell>
        </row>
        <row r="236">
          <cell r="D236" t="str">
            <v>Коламбия</v>
          </cell>
          <cell r="I236">
            <v>5</v>
          </cell>
          <cell r="Q236">
            <v>281.39999999999998</v>
          </cell>
          <cell r="R236">
            <v>5</v>
          </cell>
          <cell r="S236">
            <v>281.39999999999998</v>
          </cell>
        </row>
        <row r="237">
          <cell r="D237" t="str">
            <v>Коламбия</v>
          </cell>
          <cell r="I237">
            <v>15</v>
          </cell>
          <cell r="Q237">
            <v>731.7</v>
          </cell>
          <cell r="R237">
            <v>15</v>
          </cell>
          <cell r="S237">
            <v>731.7</v>
          </cell>
        </row>
        <row r="238">
          <cell r="D238" t="str">
            <v>Коламбия</v>
          </cell>
          <cell r="I238">
            <v>4</v>
          </cell>
          <cell r="Q238">
            <v>74.447999999999993</v>
          </cell>
          <cell r="R238">
            <v>4</v>
          </cell>
          <cell r="S238">
            <v>74.447999999999993</v>
          </cell>
        </row>
        <row r="239">
          <cell r="D239" t="str">
            <v>Коламбия</v>
          </cell>
          <cell r="I239">
            <v>4</v>
          </cell>
          <cell r="Q239">
            <v>74.447999999999993</v>
          </cell>
          <cell r="R239">
            <v>4</v>
          </cell>
          <cell r="S239">
            <v>74.447999999999993</v>
          </cell>
        </row>
        <row r="240">
          <cell r="D240" t="str">
            <v>Коламбия</v>
          </cell>
          <cell r="I240">
            <v>4</v>
          </cell>
          <cell r="Q240">
            <v>68.9328</v>
          </cell>
          <cell r="R240">
            <v>4</v>
          </cell>
          <cell r="S240">
            <v>68.9328</v>
          </cell>
        </row>
        <row r="241">
          <cell r="D241" t="str">
            <v>Коламбия</v>
          </cell>
          <cell r="I241">
            <v>5</v>
          </cell>
          <cell r="Q241">
            <v>84.977999999999994</v>
          </cell>
          <cell r="R241">
            <v>5</v>
          </cell>
          <cell r="S241">
            <v>84.977999999999994</v>
          </cell>
        </row>
        <row r="242">
          <cell r="D242" t="str">
            <v>Коламбия</v>
          </cell>
          <cell r="I242">
            <v>5</v>
          </cell>
          <cell r="Q242">
            <v>86.291999999999987</v>
          </cell>
          <cell r="R242">
            <v>5</v>
          </cell>
          <cell r="S242">
            <v>86.291999999999987</v>
          </cell>
        </row>
        <row r="243">
          <cell r="D243" t="str">
            <v>Коламбия</v>
          </cell>
          <cell r="I243">
            <v>10</v>
          </cell>
          <cell r="Q243">
            <v>172.58399999999997</v>
          </cell>
          <cell r="R243">
            <v>10</v>
          </cell>
          <cell r="S243">
            <v>172.58399999999997</v>
          </cell>
        </row>
        <row r="244">
          <cell r="D244" t="str">
            <v>Коламбия</v>
          </cell>
          <cell r="I244">
            <v>10</v>
          </cell>
          <cell r="Q244">
            <v>172.58399999999997</v>
          </cell>
          <cell r="R244">
            <v>10</v>
          </cell>
          <cell r="S244">
            <v>172.58399999999997</v>
          </cell>
        </row>
        <row r="245">
          <cell r="D245" t="str">
            <v>Коламбия</v>
          </cell>
          <cell r="I245">
            <v>10</v>
          </cell>
          <cell r="Q245">
            <v>172.58399999999997</v>
          </cell>
          <cell r="R245">
            <v>10</v>
          </cell>
          <cell r="S245">
            <v>172.58399999999997</v>
          </cell>
        </row>
        <row r="246">
          <cell r="D246" t="str">
            <v>Коламбия</v>
          </cell>
          <cell r="I246">
            <v>5</v>
          </cell>
          <cell r="Q246">
            <v>193.23</v>
          </cell>
          <cell r="R246">
            <v>5</v>
          </cell>
          <cell r="S246">
            <v>193.23</v>
          </cell>
        </row>
        <row r="247">
          <cell r="D247" t="str">
            <v>Коламбия</v>
          </cell>
          <cell r="I247">
            <v>10</v>
          </cell>
          <cell r="Q247">
            <v>1019.364</v>
          </cell>
          <cell r="R247">
            <v>10</v>
          </cell>
          <cell r="S247">
            <v>1019.364</v>
          </cell>
        </row>
        <row r="248">
          <cell r="D248" t="str">
            <v>Коламбия</v>
          </cell>
          <cell r="I248">
            <v>384</v>
          </cell>
          <cell r="Q248">
            <v>6627.2255999999998</v>
          </cell>
          <cell r="R248">
            <v>384</v>
          </cell>
          <cell r="S248">
            <v>6627.2255999999998</v>
          </cell>
        </row>
        <row r="249">
          <cell r="D249" t="str">
            <v>Коламбия</v>
          </cell>
          <cell r="I249">
            <v>25</v>
          </cell>
          <cell r="Q249">
            <v>224.36999999999998</v>
          </cell>
          <cell r="R249">
            <v>25</v>
          </cell>
          <cell r="S249">
            <v>224.36999999999998</v>
          </cell>
        </row>
        <row r="250">
          <cell r="D250" t="str">
            <v>Коламбия</v>
          </cell>
          <cell r="I250">
            <v>60</v>
          </cell>
          <cell r="Q250">
            <v>400.392</v>
          </cell>
          <cell r="R250">
            <v>60</v>
          </cell>
          <cell r="S250">
            <v>400.392</v>
          </cell>
        </row>
        <row r="251">
          <cell r="D251" t="str">
            <v>Коламбия</v>
          </cell>
          <cell r="I251">
            <v>5</v>
          </cell>
          <cell r="Q251">
            <v>34.128</v>
          </cell>
          <cell r="R251">
            <v>5</v>
          </cell>
          <cell r="S251">
            <v>34.128</v>
          </cell>
        </row>
        <row r="252">
          <cell r="D252" t="str">
            <v>Коламбия</v>
          </cell>
          <cell r="I252">
            <v>16</v>
          </cell>
          <cell r="Q252">
            <v>109.20959999999999</v>
          </cell>
          <cell r="R252">
            <v>16</v>
          </cell>
          <cell r="S252">
            <v>109.20959999999999</v>
          </cell>
        </row>
        <row r="253">
          <cell r="D253" t="str">
            <v>Коламбия</v>
          </cell>
          <cell r="I253">
            <v>10</v>
          </cell>
          <cell r="Q253">
            <v>69.587999999999994</v>
          </cell>
          <cell r="R253">
            <v>10</v>
          </cell>
          <cell r="S253">
            <v>69.587999999999994</v>
          </cell>
        </row>
        <row r="254">
          <cell r="D254" t="str">
            <v>Коламбия</v>
          </cell>
          <cell r="I254">
            <v>6</v>
          </cell>
          <cell r="Q254">
            <v>40.953600000000002</v>
          </cell>
          <cell r="R254">
            <v>6</v>
          </cell>
          <cell r="S254">
            <v>40.953600000000002</v>
          </cell>
        </row>
        <row r="255">
          <cell r="D255" t="str">
            <v>Коламбия</v>
          </cell>
          <cell r="I255">
            <v>40</v>
          </cell>
          <cell r="Q255">
            <v>265.05599999999998</v>
          </cell>
          <cell r="R255">
            <v>40</v>
          </cell>
          <cell r="S255">
            <v>265.05599999999998</v>
          </cell>
        </row>
        <row r="256">
          <cell r="D256" t="str">
            <v>Коламбия</v>
          </cell>
          <cell r="I256">
            <v>65</v>
          </cell>
          <cell r="Q256">
            <v>777.34799999999984</v>
          </cell>
          <cell r="R256">
            <v>65</v>
          </cell>
          <cell r="S256">
            <v>777.34799999999984</v>
          </cell>
        </row>
        <row r="257">
          <cell r="D257" t="str">
            <v>Коламбия</v>
          </cell>
          <cell r="I257">
            <v>5</v>
          </cell>
          <cell r="Q257">
            <v>34.362000000000002</v>
          </cell>
          <cell r="R257">
            <v>5</v>
          </cell>
          <cell r="S257">
            <v>34.362000000000002</v>
          </cell>
        </row>
        <row r="258">
          <cell r="D258" t="str">
            <v>Коламбия</v>
          </cell>
          <cell r="I258">
            <v>10</v>
          </cell>
          <cell r="Q258">
            <v>71.471999999999994</v>
          </cell>
          <cell r="R258">
            <v>10</v>
          </cell>
          <cell r="S258">
            <v>71.471999999999994</v>
          </cell>
        </row>
        <row r="259">
          <cell r="D259" t="str">
            <v>Коламбия</v>
          </cell>
          <cell r="I259">
            <v>26</v>
          </cell>
          <cell r="Q259">
            <v>720.25199999999995</v>
          </cell>
          <cell r="R259">
            <v>26</v>
          </cell>
          <cell r="S259">
            <v>720.25199999999995</v>
          </cell>
        </row>
        <row r="260">
          <cell r="D260" t="str">
            <v>Коламбия</v>
          </cell>
          <cell r="I260">
            <v>5</v>
          </cell>
          <cell r="Q260">
            <v>135.822</v>
          </cell>
          <cell r="R260">
            <v>5</v>
          </cell>
          <cell r="S260">
            <v>135.822</v>
          </cell>
        </row>
        <row r="261">
          <cell r="D261" t="str">
            <v>Коламбия</v>
          </cell>
          <cell r="I261">
            <v>5</v>
          </cell>
          <cell r="Q261">
            <v>44.304000000000002</v>
          </cell>
          <cell r="R261">
            <v>5</v>
          </cell>
          <cell r="S261">
            <v>44.304000000000002</v>
          </cell>
        </row>
        <row r="262">
          <cell r="D262" t="str">
            <v>Коламбия</v>
          </cell>
          <cell r="I262">
            <v>10</v>
          </cell>
          <cell r="Q262">
            <v>88.355999999999995</v>
          </cell>
          <cell r="R262">
            <v>10</v>
          </cell>
          <cell r="S262">
            <v>88.355999999999995</v>
          </cell>
        </row>
        <row r="263">
          <cell r="D263" t="str">
            <v>Коламбия</v>
          </cell>
          <cell r="I263">
            <v>52</v>
          </cell>
          <cell r="Q263">
            <v>538.07520000000011</v>
          </cell>
          <cell r="R263">
            <v>52</v>
          </cell>
          <cell r="S263">
            <v>538.07520000000011</v>
          </cell>
        </row>
        <row r="264">
          <cell r="D264" t="str">
            <v>Коламбия</v>
          </cell>
          <cell r="I264">
            <v>10</v>
          </cell>
          <cell r="Q264">
            <v>110.328</v>
          </cell>
          <cell r="R264">
            <v>10</v>
          </cell>
          <cell r="S264">
            <v>110.328</v>
          </cell>
        </row>
        <row r="265">
          <cell r="D265" t="str">
            <v>Коламбия</v>
          </cell>
          <cell r="I265">
            <v>20</v>
          </cell>
          <cell r="Q265">
            <v>218.44800000000001</v>
          </cell>
          <cell r="R265">
            <v>20</v>
          </cell>
          <cell r="S265">
            <v>218.44800000000001</v>
          </cell>
        </row>
        <row r="266">
          <cell r="D266" t="str">
            <v>Коламбия</v>
          </cell>
          <cell r="I266">
            <v>55</v>
          </cell>
          <cell r="Q266">
            <v>590.76599999999985</v>
          </cell>
          <cell r="R266">
            <v>55</v>
          </cell>
          <cell r="S266">
            <v>590.76599999999985</v>
          </cell>
        </row>
        <row r="267">
          <cell r="D267" t="str">
            <v>Коламбия</v>
          </cell>
          <cell r="I267">
            <v>45</v>
          </cell>
          <cell r="Q267">
            <v>483.35399999999993</v>
          </cell>
          <cell r="R267">
            <v>45</v>
          </cell>
          <cell r="S267">
            <v>483.35399999999993</v>
          </cell>
        </row>
        <row r="268">
          <cell r="D268" t="str">
            <v>Коламбия</v>
          </cell>
          <cell r="I268">
            <v>15</v>
          </cell>
          <cell r="Q268">
            <v>145.11600000000001</v>
          </cell>
          <cell r="R268">
            <v>15</v>
          </cell>
          <cell r="S268">
            <v>145.11600000000001</v>
          </cell>
        </row>
        <row r="269">
          <cell r="D269" t="str">
            <v>Коламбия</v>
          </cell>
          <cell r="I269">
            <v>180</v>
          </cell>
          <cell r="Q269">
            <v>1645.92</v>
          </cell>
          <cell r="R269">
            <v>180</v>
          </cell>
          <cell r="S269">
            <v>1645.92</v>
          </cell>
        </row>
        <row r="270">
          <cell r="D270" t="str">
            <v>Комтекс</v>
          </cell>
          <cell r="I270">
            <v>5</v>
          </cell>
          <cell r="Q270">
            <v>105.78</v>
          </cell>
          <cell r="R270">
            <v>5</v>
          </cell>
          <cell r="S270">
            <v>105.78</v>
          </cell>
        </row>
        <row r="271">
          <cell r="D271" t="str">
            <v>Комтекс</v>
          </cell>
          <cell r="I271">
            <v>5</v>
          </cell>
          <cell r="Q271">
            <v>105.42</v>
          </cell>
          <cell r="R271">
            <v>5</v>
          </cell>
          <cell r="S271">
            <v>105.42</v>
          </cell>
        </row>
        <row r="272">
          <cell r="D272" t="str">
            <v>Комтекс</v>
          </cell>
          <cell r="I272">
            <v>5</v>
          </cell>
          <cell r="Q272">
            <v>118.26</v>
          </cell>
          <cell r="R272">
            <v>5</v>
          </cell>
          <cell r="S272">
            <v>118.26</v>
          </cell>
        </row>
        <row r="273">
          <cell r="D273" t="str">
            <v>Комтекс</v>
          </cell>
          <cell r="I273">
            <v>5</v>
          </cell>
          <cell r="Q273">
            <v>118.26</v>
          </cell>
          <cell r="R273">
            <v>5</v>
          </cell>
          <cell r="S273">
            <v>118.26</v>
          </cell>
        </row>
        <row r="274">
          <cell r="D274" t="str">
            <v>Комтекс</v>
          </cell>
          <cell r="I274">
            <v>15</v>
          </cell>
          <cell r="Q274">
            <v>129.41999999999999</v>
          </cell>
          <cell r="R274">
            <v>15</v>
          </cell>
          <cell r="S274">
            <v>129.41999999999999</v>
          </cell>
        </row>
        <row r="275">
          <cell r="D275" t="str">
            <v>Комтекс</v>
          </cell>
          <cell r="I275">
            <v>5</v>
          </cell>
          <cell r="Q275">
            <v>81.599999999999994</v>
          </cell>
          <cell r="R275">
            <v>5</v>
          </cell>
          <cell r="S275">
            <v>81.599999999999994</v>
          </cell>
        </row>
        <row r="276">
          <cell r="D276" t="str">
            <v>Комтекс</v>
          </cell>
          <cell r="I276">
            <v>5</v>
          </cell>
          <cell r="Q276">
            <v>81.12</v>
          </cell>
          <cell r="R276">
            <v>5</v>
          </cell>
          <cell r="S276">
            <v>81.12</v>
          </cell>
        </row>
        <row r="277">
          <cell r="D277" t="str">
            <v>Комтекс</v>
          </cell>
          <cell r="I277">
            <v>65</v>
          </cell>
          <cell r="Q277">
            <v>557.70000000000005</v>
          </cell>
          <cell r="R277">
            <v>65</v>
          </cell>
          <cell r="S277">
            <v>557.70000000000005</v>
          </cell>
        </row>
        <row r="278">
          <cell r="D278" t="str">
            <v>Комтекс</v>
          </cell>
          <cell r="I278">
            <v>130</v>
          </cell>
          <cell r="Q278">
            <v>1115.4000000000001</v>
          </cell>
          <cell r="R278">
            <v>130</v>
          </cell>
          <cell r="S278">
            <v>1115.4000000000001</v>
          </cell>
        </row>
        <row r="279">
          <cell r="D279" t="str">
            <v>Комтекс</v>
          </cell>
          <cell r="I279">
            <v>5</v>
          </cell>
          <cell r="Q279">
            <v>60.42</v>
          </cell>
          <cell r="R279">
            <v>5</v>
          </cell>
          <cell r="S279">
            <v>60.42</v>
          </cell>
        </row>
        <row r="280">
          <cell r="D280" t="str">
            <v>Комтекс</v>
          </cell>
          <cell r="I280">
            <v>5</v>
          </cell>
          <cell r="Q280">
            <v>60.06</v>
          </cell>
          <cell r="R280">
            <v>5</v>
          </cell>
          <cell r="S280">
            <v>60.06</v>
          </cell>
        </row>
        <row r="281">
          <cell r="D281" t="str">
            <v>Комтекс</v>
          </cell>
          <cell r="I281">
            <v>5</v>
          </cell>
          <cell r="Q281">
            <v>74.760000000000005</v>
          </cell>
          <cell r="R281">
            <v>5</v>
          </cell>
          <cell r="S281">
            <v>74.760000000000005</v>
          </cell>
        </row>
        <row r="282">
          <cell r="D282" t="str">
            <v>Комтекс</v>
          </cell>
          <cell r="I282">
            <v>5</v>
          </cell>
          <cell r="Q282">
            <v>74.760000000000005</v>
          </cell>
          <cell r="R282">
            <v>5</v>
          </cell>
          <cell r="S282">
            <v>74.760000000000005</v>
          </cell>
        </row>
        <row r="283">
          <cell r="D283" t="str">
            <v>Комтекс</v>
          </cell>
          <cell r="I283">
            <v>8</v>
          </cell>
          <cell r="Q283">
            <v>122.208</v>
          </cell>
          <cell r="R283">
            <v>8</v>
          </cell>
          <cell r="S283">
            <v>122.208</v>
          </cell>
        </row>
        <row r="284">
          <cell r="D284" t="str">
            <v>Комтекс</v>
          </cell>
          <cell r="I284">
            <v>18</v>
          </cell>
          <cell r="Q284">
            <v>1214.568</v>
          </cell>
          <cell r="R284">
            <v>18</v>
          </cell>
          <cell r="S284">
            <v>1214.568</v>
          </cell>
        </row>
        <row r="285">
          <cell r="D285" t="str">
            <v>Кулебакский мет.завод</v>
          </cell>
          <cell r="I285">
            <v>5</v>
          </cell>
          <cell r="Q285">
            <v>47.76</v>
          </cell>
          <cell r="R285">
            <v>5</v>
          </cell>
          <cell r="S285">
            <v>47.76</v>
          </cell>
        </row>
        <row r="286">
          <cell r="D286" t="str">
            <v>Кулебакский мет.завод</v>
          </cell>
          <cell r="I286">
            <v>35</v>
          </cell>
          <cell r="Q286">
            <v>334.32</v>
          </cell>
          <cell r="R286">
            <v>35</v>
          </cell>
          <cell r="S286">
            <v>334.32</v>
          </cell>
        </row>
        <row r="287">
          <cell r="D287" t="str">
            <v>Кулебакский мет.завод</v>
          </cell>
          <cell r="I287">
            <v>20</v>
          </cell>
          <cell r="Q287">
            <v>191.04</v>
          </cell>
          <cell r="R287">
            <v>20</v>
          </cell>
          <cell r="S287">
            <v>191.04</v>
          </cell>
        </row>
        <row r="288">
          <cell r="D288" t="str">
            <v>Кэнтри</v>
          </cell>
          <cell r="I288">
            <v>15</v>
          </cell>
          <cell r="Q288">
            <v>137.38</v>
          </cell>
          <cell r="R288">
            <v>15</v>
          </cell>
          <cell r="S288">
            <v>137.38</v>
          </cell>
        </row>
        <row r="289">
          <cell r="D289" t="str">
            <v>Кэнтри</v>
          </cell>
          <cell r="I289">
            <v>20</v>
          </cell>
          <cell r="Q289">
            <v>148.69333333333333</v>
          </cell>
          <cell r="R289">
            <v>20</v>
          </cell>
          <cell r="S289">
            <v>148.69333333333333</v>
          </cell>
        </row>
        <row r="290">
          <cell r="D290" t="str">
            <v>Кэнтри</v>
          </cell>
          <cell r="I290">
            <v>5</v>
          </cell>
          <cell r="Q290">
            <v>52.332000000000001</v>
          </cell>
          <cell r="R290">
            <v>5</v>
          </cell>
          <cell r="S290">
            <v>52.332000000000001</v>
          </cell>
        </row>
        <row r="291">
          <cell r="D291" t="str">
            <v>Кэнтри</v>
          </cell>
          <cell r="I291">
            <v>8</v>
          </cell>
          <cell r="Q291">
            <v>78.249599999999987</v>
          </cell>
          <cell r="R291">
            <v>8</v>
          </cell>
          <cell r="S291">
            <v>78.249599999999987</v>
          </cell>
        </row>
        <row r="292">
          <cell r="D292" t="str">
            <v>Кэнтри</v>
          </cell>
          <cell r="I292">
            <v>3</v>
          </cell>
          <cell r="Q292">
            <v>33.379199999999997</v>
          </cell>
          <cell r="R292">
            <v>3</v>
          </cell>
          <cell r="S292">
            <v>33.379199999999997</v>
          </cell>
        </row>
        <row r="293">
          <cell r="D293" t="str">
            <v>Кэнтри</v>
          </cell>
          <cell r="I293">
            <v>3</v>
          </cell>
          <cell r="Q293">
            <v>26.197199999999999</v>
          </cell>
          <cell r="R293">
            <v>3</v>
          </cell>
          <cell r="S293">
            <v>26.197199999999999</v>
          </cell>
        </row>
        <row r="294">
          <cell r="D294" t="str">
            <v>Кэнтри</v>
          </cell>
          <cell r="I294">
            <v>5</v>
          </cell>
          <cell r="Q294">
            <v>37.835999999999999</v>
          </cell>
          <cell r="R294">
            <v>5</v>
          </cell>
          <cell r="S294">
            <v>37.835999999999999</v>
          </cell>
        </row>
        <row r="295">
          <cell r="D295" t="str">
            <v>Кэнтри</v>
          </cell>
          <cell r="I295">
            <v>2</v>
          </cell>
          <cell r="Q295">
            <v>17.4648</v>
          </cell>
          <cell r="R295">
            <v>2</v>
          </cell>
          <cell r="S295">
            <v>17.4648</v>
          </cell>
        </row>
        <row r="296">
          <cell r="D296" t="str">
            <v>Кэнтри</v>
          </cell>
          <cell r="I296">
            <v>2</v>
          </cell>
          <cell r="Q296">
            <v>17.4648</v>
          </cell>
          <cell r="R296">
            <v>2</v>
          </cell>
          <cell r="S296">
            <v>17.4648</v>
          </cell>
        </row>
        <row r="297">
          <cell r="D297" t="str">
            <v>Кэнтри</v>
          </cell>
          <cell r="I297">
            <v>5</v>
          </cell>
          <cell r="Q297">
            <v>37.835999999999999</v>
          </cell>
          <cell r="R297">
            <v>5</v>
          </cell>
          <cell r="S297">
            <v>37.835999999999999</v>
          </cell>
        </row>
        <row r="298">
          <cell r="D298" t="str">
            <v>Кэнтри</v>
          </cell>
          <cell r="I298">
            <v>3</v>
          </cell>
          <cell r="Q298">
            <v>26.197199999999999</v>
          </cell>
          <cell r="R298">
            <v>3</v>
          </cell>
          <cell r="S298">
            <v>26.197199999999999</v>
          </cell>
        </row>
        <row r="299">
          <cell r="D299" t="str">
            <v>Кэнтри</v>
          </cell>
          <cell r="I299">
            <v>1</v>
          </cell>
          <cell r="Q299">
            <v>8.7324000000000002</v>
          </cell>
          <cell r="R299">
            <v>1</v>
          </cell>
          <cell r="S299">
            <v>8.7324000000000002</v>
          </cell>
        </row>
        <row r="300">
          <cell r="D300" t="str">
            <v>Кэнтри</v>
          </cell>
          <cell r="I300">
            <v>2</v>
          </cell>
          <cell r="Q300">
            <v>17.4648</v>
          </cell>
          <cell r="R300">
            <v>2</v>
          </cell>
          <cell r="S300">
            <v>17.4648</v>
          </cell>
        </row>
        <row r="301">
          <cell r="D301" t="str">
            <v>Кэнтри</v>
          </cell>
          <cell r="I301">
            <v>2</v>
          </cell>
          <cell r="Q301">
            <v>245.952</v>
          </cell>
          <cell r="R301">
            <v>2</v>
          </cell>
          <cell r="S301">
            <v>245.952</v>
          </cell>
        </row>
        <row r="302">
          <cell r="D302" t="str">
            <v>Кэнтри</v>
          </cell>
          <cell r="I302">
            <v>15</v>
          </cell>
          <cell r="Q302">
            <v>310.5</v>
          </cell>
          <cell r="R302">
            <v>15</v>
          </cell>
          <cell r="S302">
            <v>310.5</v>
          </cell>
        </row>
        <row r="303">
          <cell r="D303" t="str">
            <v>Кэнтри</v>
          </cell>
          <cell r="I303">
            <v>5</v>
          </cell>
          <cell r="Q303">
            <v>102.77333333333331</v>
          </cell>
          <cell r="R303">
            <v>5</v>
          </cell>
          <cell r="S303">
            <v>102.77333333333331</v>
          </cell>
        </row>
        <row r="304">
          <cell r="D304" t="str">
            <v>Кэнтри</v>
          </cell>
          <cell r="I304">
            <v>7</v>
          </cell>
          <cell r="Q304">
            <v>76.397999999999996</v>
          </cell>
          <cell r="R304">
            <v>7</v>
          </cell>
          <cell r="S304">
            <v>76.397999999999996</v>
          </cell>
        </row>
        <row r="305">
          <cell r="D305" t="str">
            <v>Кэнтри</v>
          </cell>
          <cell r="I305">
            <v>30</v>
          </cell>
          <cell r="Q305">
            <v>257.68799999999999</v>
          </cell>
          <cell r="R305">
            <v>30</v>
          </cell>
          <cell r="S305">
            <v>257.68799999999999</v>
          </cell>
        </row>
        <row r="306">
          <cell r="D306" t="str">
            <v>Кэнтри</v>
          </cell>
          <cell r="I306">
            <v>3</v>
          </cell>
          <cell r="Q306">
            <v>24.339599999999997</v>
          </cell>
          <cell r="R306">
            <v>3</v>
          </cell>
          <cell r="S306">
            <v>24.339599999999997</v>
          </cell>
        </row>
        <row r="307">
          <cell r="D307" t="str">
            <v>Кэнтри</v>
          </cell>
          <cell r="I307">
            <v>5</v>
          </cell>
          <cell r="Q307">
            <v>39.372</v>
          </cell>
          <cell r="R307">
            <v>5</v>
          </cell>
          <cell r="S307">
            <v>39.372</v>
          </cell>
        </row>
        <row r="308">
          <cell r="D308" t="str">
            <v>Кэнтри</v>
          </cell>
          <cell r="I308">
            <v>1</v>
          </cell>
          <cell r="Q308">
            <v>8.7324000000000002</v>
          </cell>
          <cell r="R308">
            <v>1</v>
          </cell>
          <cell r="S308">
            <v>8.7324000000000002</v>
          </cell>
        </row>
        <row r="309">
          <cell r="D309" t="str">
            <v>Кэнтри</v>
          </cell>
          <cell r="I309">
            <v>5</v>
          </cell>
          <cell r="Q309">
            <v>37.590000000000003</v>
          </cell>
          <cell r="R309">
            <v>5</v>
          </cell>
          <cell r="S309">
            <v>37.590000000000003</v>
          </cell>
        </row>
        <row r="310">
          <cell r="D310" t="str">
            <v>Кэнтри</v>
          </cell>
          <cell r="I310">
            <v>2</v>
          </cell>
          <cell r="Q310">
            <v>17.4648</v>
          </cell>
          <cell r="R310">
            <v>2</v>
          </cell>
          <cell r="S310">
            <v>17.4648</v>
          </cell>
        </row>
        <row r="311">
          <cell r="D311" t="str">
            <v>Кэнтри</v>
          </cell>
          <cell r="I311">
            <v>1</v>
          </cell>
          <cell r="Q311">
            <v>8.7324000000000002</v>
          </cell>
          <cell r="R311">
            <v>1</v>
          </cell>
          <cell r="S311">
            <v>8.7324000000000002</v>
          </cell>
        </row>
        <row r="312">
          <cell r="D312" t="str">
            <v>Кэнтри</v>
          </cell>
          <cell r="I312">
            <v>5</v>
          </cell>
          <cell r="Q312">
            <v>44.55</v>
          </cell>
          <cell r="R312">
            <v>5</v>
          </cell>
          <cell r="S312">
            <v>44.55</v>
          </cell>
        </row>
        <row r="313">
          <cell r="D313" t="str">
            <v>Кэнтри</v>
          </cell>
          <cell r="I313">
            <v>10</v>
          </cell>
          <cell r="Q313">
            <v>114.98666666666665</v>
          </cell>
          <cell r="R313">
            <v>10</v>
          </cell>
          <cell r="S313">
            <v>114.98666666666665</v>
          </cell>
        </row>
        <row r="314">
          <cell r="D314" t="str">
            <v>Кэнтри</v>
          </cell>
          <cell r="I314">
            <v>20</v>
          </cell>
          <cell r="Q314">
            <v>191.256</v>
          </cell>
          <cell r="R314">
            <v>20</v>
          </cell>
          <cell r="S314">
            <v>191.256</v>
          </cell>
        </row>
        <row r="315">
          <cell r="D315" t="str">
            <v>Кэнтри</v>
          </cell>
          <cell r="I315">
            <v>3</v>
          </cell>
          <cell r="Q315">
            <v>31.085999999999999</v>
          </cell>
          <cell r="R315">
            <v>3</v>
          </cell>
          <cell r="S315">
            <v>31.085999999999999</v>
          </cell>
        </row>
        <row r="316">
          <cell r="D316" t="str">
            <v>Кэнтри</v>
          </cell>
          <cell r="I316">
            <v>19</v>
          </cell>
          <cell r="Q316">
            <v>151.99999999999997</v>
          </cell>
          <cell r="R316">
            <v>19</v>
          </cell>
          <cell r="S316">
            <v>151.99999999999997</v>
          </cell>
        </row>
        <row r="317">
          <cell r="D317" t="str">
            <v>Лемет</v>
          </cell>
          <cell r="I317">
            <v>5</v>
          </cell>
          <cell r="Q317">
            <v>167.22</v>
          </cell>
          <cell r="R317">
            <v>5</v>
          </cell>
          <cell r="S317">
            <v>167.22</v>
          </cell>
        </row>
        <row r="318">
          <cell r="D318" t="str">
            <v>Лемет</v>
          </cell>
          <cell r="I318">
            <v>30</v>
          </cell>
          <cell r="Q318">
            <v>802.08</v>
          </cell>
          <cell r="R318">
            <v>30</v>
          </cell>
          <cell r="S318">
            <v>802.08</v>
          </cell>
        </row>
        <row r="319">
          <cell r="D319" t="str">
            <v>Лемет</v>
          </cell>
          <cell r="I319">
            <v>30</v>
          </cell>
          <cell r="Q319">
            <v>986.04</v>
          </cell>
          <cell r="R319">
            <v>30</v>
          </cell>
          <cell r="S319">
            <v>986.04</v>
          </cell>
        </row>
        <row r="320">
          <cell r="D320" t="str">
            <v>Лемет</v>
          </cell>
          <cell r="I320">
            <v>30</v>
          </cell>
          <cell r="Q320">
            <v>779.04</v>
          </cell>
          <cell r="R320">
            <v>30</v>
          </cell>
          <cell r="S320">
            <v>779.04</v>
          </cell>
        </row>
        <row r="321">
          <cell r="D321" t="str">
            <v>Лидер МТК</v>
          </cell>
          <cell r="I321">
            <v>11</v>
          </cell>
          <cell r="Q321">
            <v>762.49800000000005</v>
          </cell>
          <cell r="R321">
            <v>11</v>
          </cell>
          <cell r="S321">
            <v>762.49800000000005</v>
          </cell>
        </row>
        <row r="322">
          <cell r="D322" t="str">
            <v>Лидер МТК</v>
          </cell>
          <cell r="I322">
            <v>2</v>
          </cell>
          <cell r="Q322">
            <v>138.636</v>
          </cell>
          <cell r="R322">
            <v>2</v>
          </cell>
          <cell r="S322">
            <v>138.636</v>
          </cell>
        </row>
        <row r="323">
          <cell r="D323" t="str">
            <v>Лидер МТК</v>
          </cell>
          <cell r="I323">
            <v>2</v>
          </cell>
          <cell r="Q323">
            <v>149.73599999999999</v>
          </cell>
          <cell r="R323">
            <v>2</v>
          </cell>
          <cell r="S323">
            <v>149.73599999999999</v>
          </cell>
        </row>
        <row r="324">
          <cell r="D324" t="str">
            <v>Лидер МТК</v>
          </cell>
          <cell r="I324">
            <v>1</v>
          </cell>
          <cell r="Q324">
            <v>74.867999999999995</v>
          </cell>
          <cell r="R324">
            <v>1</v>
          </cell>
          <cell r="S324">
            <v>74.867999999999995</v>
          </cell>
        </row>
        <row r="325">
          <cell r="D325" t="str">
            <v>Лоекс</v>
          </cell>
          <cell r="I325">
            <v>5</v>
          </cell>
          <cell r="Q325">
            <v>45.6</v>
          </cell>
          <cell r="R325">
            <v>0</v>
          </cell>
          <cell r="S325">
            <v>0</v>
          </cell>
        </row>
        <row r="326">
          <cell r="D326" t="str">
            <v>Лоекс</v>
          </cell>
          <cell r="I326">
            <v>8</v>
          </cell>
          <cell r="Q326">
            <v>72.959999999999994</v>
          </cell>
          <cell r="R326">
            <v>0</v>
          </cell>
          <cell r="S326">
            <v>0</v>
          </cell>
        </row>
        <row r="327">
          <cell r="D327" t="str">
            <v>Лоекс</v>
          </cell>
          <cell r="I327">
            <v>12</v>
          </cell>
          <cell r="Q327">
            <v>109.44</v>
          </cell>
          <cell r="R327">
            <v>0</v>
          </cell>
          <cell r="S327">
            <v>0</v>
          </cell>
        </row>
        <row r="328">
          <cell r="D328" t="str">
            <v>Лоекс</v>
          </cell>
          <cell r="I328">
            <v>15</v>
          </cell>
          <cell r="Q328">
            <v>136.80000000000001</v>
          </cell>
          <cell r="R328">
            <v>0</v>
          </cell>
          <cell r="S328">
            <v>0</v>
          </cell>
        </row>
        <row r="329">
          <cell r="D329" t="str">
            <v>Лоекс</v>
          </cell>
          <cell r="I329">
            <v>15</v>
          </cell>
          <cell r="Q329">
            <v>136.80000000000001</v>
          </cell>
          <cell r="R329">
            <v>0</v>
          </cell>
          <cell r="S329">
            <v>0</v>
          </cell>
        </row>
        <row r="330">
          <cell r="D330" t="str">
            <v>МБК</v>
          </cell>
          <cell r="I330">
            <v>15</v>
          </cell>
          <cell r="Q330">
            <v>114.03</v>
          </cell>
          <cell r="R330">
            <v>15</v>
          </cell>
          <cell r="S330">
            <v>114.03</v>
          </cell>
        </row>
        <row r="331">
          <cell r="D331" t="str">
            <v>МБК</v>
          </cell>
          <cell r="I331">
            <v>5</v>
          </cell>
          <cell r="Q331">
            <v>52.302</v>
          </cell>
          <cell r="R331">
            <v>5</v>
          </cell>
          <cell r="S331">
            <v>52.302</v>
          </cell>
        </row>
        <row r="332">
          <cell r="D332" t="str">
            <v>МБК</v>
          </cell>
          <cell r="I332">
            <v>15</v>
          </cell>
          <cell r="Q332">
            <v>156.90600000000001</v>
          </cell>
          <cell r="R332">
            <v>15</v>
          </cell>
          <cell r="S332">
            <v>156.90600000000001</v>
          </cell>
        </row>
        <row r="333">
          <cell r="D333" t="str">
            <v>МБК</v>
          </cell>
          <cell r="I333">
            <v>5</v>
          </cell>
          <cell r="Q333">
            <v>71.093999999999994</v>
          </cell>
          <cell r="R333">
            <v>5</v>
          </cell>
          <cell r="S333">
            <v>71.093999999999994</v>
          </cell>
        </row>
        <row r="334">
          <cell r="D334" t="str">
            <v>Металлкомплект</v>
          </cell>
          <cell r="I334">
            <v>60</v>
          </cell>
          <cell r="Q334">
            <v>541.58399999999995</v>
          </cell>
          <cell r="R334">
            <v>60</v>
          </cell>
          <cell r="S334">
            <v>541.58399999999995</v>
          </cell>
        </row>
        <row r="335">
          <cell r="D335" t="str">
            <v>Металлкомплект</v>
          </cell>
          <cell r="I335">
            <v>60</v>
          </cell>
          <cell r="Q335">
            <v>530.78399999999999</v>
          </cell>
          <cell r="R335">
            <v>60</v>
          </cell>
          <cell r="S335">
            <v>530.78399999999999</v>
          </cell>
        </row>
        <row r="336">
          <cell r="D336" t="str">
            <v>Металлпромсервис</v>
          </cell>
          <cell r="I336">
            <v>15</v>
          </cell>
          <cell r="Q336">
            <v>1677.06</v>
          </cell>
          <cell r="R336">
            <v>0</v>
          </cell>
          <cell r="S336">
            <v>0</v>
          </cell>
        </row>
        <row r="337">
          <cell r="D337" t="str">
            <v>Металлпромсервис</v>
          </cell>
          <cell r="I337">
            <v>5</v>
          </cell>
          <cell r="Q337">
            <v>541.86</v>
          </cell>
          <cell r="R337">
            <v>0</v>
          </cell>
          <cell r="S337">
            <v>0</v>
          </cell>
        </row>
        <row r="338">
          <cell r="D338" t="str">
            <v>Металлпромсервис</v>
          </cell>
          <cell r="I338">
            <v>1</v>
          </cell>
          <cell r="Q338">
            <v>108.372</v>
          </cell>
          <cell r="R338">
            <v>0</v>
          </cell>
          <cell r="S338">
            <v>0</v>
          </cell>
        </row>
        <row r="339">
          <cell r="D339" t="str">
            <v>Минимакс</v>
          </cell>
          <cell r="I339">
            <v>5</v>
          </cell>
          <cell r="Q339">
            <v>66.546000000000006</v>
          </cell>
          <cell r="R339">
            <v>5</v>
          </cell>
          <cell r="S339">
            <v>66.546000000000006</v>
          </cell>
        </row>
        <row r="340">
          <cell r="D340" t="str">
            <v>Минимакс</v>
          </cell>
          <cell r="I340">
            <v>5</v>
          </cell>
          <cell r="Q340">
            <v>64.103999999999999</v>
          </cell>
          <cell r="R340">
            <v>5</v>
          </cell>
          <cell r="S340">
            <v>64.103999999999999</v>
          </cell>
        </row>
        <row r="341">
          <cell r="D341" t="str">
            <v>Минимакс</v>
          </cell>
          <cell r="I341">
            <v>10</v>
          </cell>
          <cell r="Q341">
            <v>123.324</v>
          </cell>
          <cell r="R341">
            <v>10</v>
          </cell>
          <cell r="S341">
            <v>123.324</v>
          </cell>
        </row>
        <row r="342">
          <cell r="D342" t="str">
            <v>Минимакс</v>
          </cell>
          <cell r="I342">
            <v>8</v>
          </cell>
          <cell r="Q342">
            <v>71.404800000000009</v>
          </cell>
          <cell r="R342">
            <v>8</v>
          </cell>
          <cell r="S342">
            <v>71.404800000000009</v>
          </cell>
        </row>
        <row r="343">
          <cell r="D343" t="str">
            <v>Минимакс</v>
          </cell>
          <cell r="I343">
            <v>8</v>
          </cell>
          <cell r="Q343">
            <v>71.404800000000009</v>
          </cell>
          <cell r="R343">
            <v>8</v>
          </cell>
          <cell r="S343">
            <v>71.404800000000009</v>
          </cell>
        </row>
        <row r="344">
          <cell r="D344" t="str">
            <v>Нефтехим</v>
          </cell>
          <cell r="I344">
            <v>65</v>
          </cell>
          <cell r="Q344">
            <v>657.54</v>
          </cell>
          <cell r="R344">
            <v>65</v>
          </cell>
          <cell r="S344">
            <v>657.54</v>
          </cell>
        </row>
        <row r="345">
          <cell r="D345" t="str">
            <v>Нефтехим</v>
          </cell>
          <cell r="I345">
            <v>20</v>
          </cell>
          <cell r="Q345">
            <v>184.32</v>
          </cell>
          <cell r="R345">
            <v>20</v>
          </cell>
          <cell r="S345">
            <v>184.32</v>
          </cell>
        </row>
        <row r="346">
          <cell r="D346" t="str">
            <v>Нефтехим</v>
          </cell>
          <cell r="I346">
            <v>10</v>
          </cell>
          <cell r="Q346">
            <v>92.16</v>
          </cell>
          <cell r="R346">
            <v>10</v>
          </cell>
          <cell r="S346">
            <v>92.16</v>
          </cell>
        </row>
        <row r="347">
          <cell r="D347" t="str">
            <v>Нефтехим</v>
          </cell>
          <cell r="I347">
            <v>10</v>
          </cell>
          <cell r="Q347">
            <v>95.88</v>
          </cell>
          <cell r="R347">
            <v>10</v>
          </cell>
          <cell r="S347">
            <v>95.88</v>
          </cell>
        </row>
        <row r="348">
          <cell r="D348" t="str">
            <v>Нижне-Волжский территориальный монтажный комплекс</v>
          </cell>
          <cell r="I348">
            <v>31</v>
          </cell>
          <cell r="Q348">
            <v>313.22399999999999</v>
          </cell>
          <cell r="R348">
            <v>31</v>
          </cell>
          <cell r="S348">
            <v>313.22399999999999</v>
          </cell>
        </row>
        <row r="349">
          <cell r="D349" t="str">
            <v>Нижне-Волжский территориальный монтажный комплекс</v>
          </cell>
          <cell r="I349">
            <v>20</v>
          </cell>
          <cell r="Q349">
            <v>227.56800000000001</v>
          </cell>
          <cell r="R349">
            <v>20</v>
          </cell>
          <cell r="S349">
            <v>227.56800000000001</v>
          </cell>
        </row>
        <row r="350">
          <cell r="D350" t="str">
            <v>Нижне-Волжский территориальный монтажный комплекс</v>
          </cell>
          <cell r="I350">
            <v>40</v>
          </cell>
          <cell r="Q350">
            <v>421.44</v>
          </cell>
          <cell r="R350">
            <v>40</v>
          </cell>
          <cell r="S350">
            <v>421.44</v>
          </cell>
        </row>
        <row r="351">
          <cell r="D351" t="str">
            <v>Нижне-Волжский территориальный монтажный комплекс</v>
          </cell>
          <cell r="I351">
            <v>10</v>
          </cell>
          <cell r="Q351">
            <v>83.664000000000001</v>
          </cell>
          <cell r="R351">
            <v>10</v>
          </cell>
          <cell r="S351">
            <v>83.664000000000001</v>
          </cell>
        </row>
        <row r="352">
          <cell r="D352" t="str">
            <v>Нижне-Волжский территориальный монтажный комплекс</v>
          </cell>
          <cell r="I352">
            <v>20</v>
          </cell>
          <cell r="Q352">
            <v>162</v>
          </cell>
          <cell r="R352">
            <v>20</v>
          </cell>
          <cell r="S352">
            <v>162</v>
          </cell>
        </row>
        <row r="353">
          <cell r="D353" t="str">
            <v>Нижне-Волжский территориальный монтажный комплекс</v>
          </cell>
          <cell r="I353">
            <v>10</v>
          </cell>
          <cell r="Q353">
            <v>81</v>
          </cell>
          <cell r="R353">
            <v>10</v>
          </cell>
          <cell r="S353">
            <v>81</v>
          </cell>
        </row>
        <row r="354">
          <cell r="D354" t="str">
            <v>Промвек</v>
          </cell>
          <cell r="I354">
            <v>2.5</v>
          </cell>
          <cell r="Q354">
            <v>220.95</v>
          </cell>
          <cell r="R354">
            <v>2.5</v>
          </cell>
          <cell r="S354">
            <v>220.95</v>
          </cell>
        </row>
        <row r="355">
          <cell r="D355" t="str">
            <v>Промвек</v>
          </cell>
          <cell r="I355">
            <v>4.5</v>
          </cell>
          <cell r="Q355">
            <v>397.71</v>
          </cell>
          <cell r="R355">
            <v>4.5</v>
          </cell>
          <cell r="S355">
            <v>397.71</v>
          </cell>
        </row>
        <row r="356">
          <cell r="D356" t="str">
            <v>Промвек</v>
          </cell>
          <cell r="I356">
            <v>1.5</v>
          </cell>
          <cell r="Q356">
            <v>17.577000000000002</v>
          </cell>
          <cell r="R356">
            <v>1.5</v>
          </cell>
          <cell r="S356">
            <v>17.577000000000002</v>
          </cell>
        </row>
        <row r="357">
          <cell r="D357" t="str">
            <v>Промвек</v>
          </cell>
          <cell r="I357">
            <v>60</v>
          </cell>
          <cell r="Q357">
            <v>779.4</v>
          </cell>
          <cell r="R357">
            <v>60</v>
          </cell>
          <cell r="S357">
            <v>779.4</v>
          </cell>
        </row>
        <row r="358">
          <cell r="D358" t="str">
            <v>Промгарант</v>
          </cell>
          <cell r="I358">
            <v>3</v>
          </cell>
          <cell r="Q358">
            <v>89.676000000000002</v>
          </cell>
          <cell r="R358">
            <v>3</v>
          </cell>
          <cell r="S358">
            <v>89.676000000000002</v>
          </cell>
        </row>
        <row r="359">
          <cell r="D359" t="str">
            <v>Промгарант</v>
          </cell>
          <cell r="I359">
            <v>3</v>
          </cell>
          <cell r="Q359">
            <v>89.676000000000002</v>
          </cell>
          <cell r="R359">
            <v>3</v>
          </cell>
          <cell r="S359">
            <v>89.676000000000002</v>
          </cell>
        </row>
        <row r="360">
          <cell r="D360" t="str">
            <v>Промгарант</v>
          </cell>
          <cell r="I360">
            <v>3</v>
          </cell>
          <cell r="Q360">
            <v>106.848</v>
          </cell>
          <cell r="R360">
            <v>3</v>
          </cell>
          <cell r="S360">
            <v>106.848</v>
          </cell>
        </row>
        <row r="361">
          <cell r="D361" t="str">
            <v>Промторгстрой</v>
          </cell>
          <cell r="I361">
            <v>13</v>
          </cell>
          <cell r="Q361">
            <v>164.42400000000001</v>
          </cell>
          <cell r="R361">
            <v>13</v>
          </cell>
          <cell r="S361">
            <v>164.42400000000001</v>
          </cell>
        </row>
        <row r="362">
          <cell r="D362" t="str">
            <v>Реал Альянс ХХ1 век</v>
          </cell>
          <cell r="I362">
            <v>30</v>
          </cell>
          <cell r="Q362">
            <v>316.08</v>
          </cell>
          <cell r="R362">
            <v>30</v>
          </cell>
          <cell r="S362">
            <v>316.08</v>
          </cell>
        </row>
        <row r="363">
          <cell r="D363" t="str">
            <v>Реал Альянс ХХ1 век</v>
          </cell>
          <cell r="I363">
            <v>35</v>
          </cell>
          <cell r="Q363">
            <v>398.37</v>
          </cell>
          <cell r="R363">
            <v>35</v>
          </cell>
          <cell r="S363">
            <v>398.37</v>
          </cell>
        </row>
        <row r="364">
          <cell r="D364" t="str">
            <v>Сибэнергомаш</v>
          </cell>
          <cell r="I364">
            <v>1.5</v>
          </cell>
          <cell r="Q364">
            <v>19.187999999999999</v>
          </cell>
          <cell r="R364">
            <v>1.5</v>
          </cell>
          <cell r="S364">
            <v>19.187999999999999</v>
          </cell>
        </row>
        <row r="365">
          <cell r="D365" t="str">
            <v>Сибэнергомаш</v>
          </cell>
          <cell r="I365">
            <v>3</v>
          </cell>
          <cell r="Q365">
            <v>39.491999999999997</v>
          </cell>
          <cell r="R365">
            <v>3</v>
          </cell>
          <cell r="S365">
            <v>39.491999999999997</v>
          </cell>
        </row>
        <row r="366">
          <cell r="D366" t="str">
            <v>Сибэнергомаш</v>
          </cell>
          <cell r="I366">
            <v>1.5</v>
          </cell>
          <cell r="Q366">
            <v>19.745999999999999</v>
          </cell>
          <cell r="R366">
            <v>1.5</v>
          </cell>
          <cell r="S366">
            <v>19.745999999999999</v>
          </cell>
        </row>
        <row r="367">
          <cell r="D367" t="str">
            <v>Сибэнергомаш</v>
          </cell>
          <cell r="I367">
            <v>10</v>
          </cell>
          <cell r="Q367">
            <v>138</v>
          </cell>
          <cell r="R367">
            <v>10</v>
          </cell>
          <cell r="S367">
            <v>138</v>
          </cell>
        </row>
        <row r="368">
          <cell r="D368" t="str">
            <v>Сибэнергомаш</v>
          </cell>
          <cell r="I368">
            <v>0.6</v>
          </cell>
          <cell r="Q368">
            <v>8.2080000000000002</v>
          </cell>
          <cell r="R368">
            <v>0.6</v>
          </cell>
          <cell r="S368">
            <v>8.2080000000000002</v>
          </cell>
        </row>
        <row r="369">
          <cell r="D369" t="str">
            <v>Сити Ресурс</v>
          </cell>
          <cell r="I369">
            <v>40</v>
          </cell>
          <cell r="Q369">
            <v>304.08</v>
          </cell>
          <cell r="R369">
            <v>40</v>
          </cell>
          <cell r="S369">
            <v>304.08</v>
          </cell>
        </row>
        <row r="370">
          <cell r="D370" t="str">
            <v>Сити Ресурс</v>
          </cell>
          <cell r="I370">
            <v>65</v>
          </cell>
          <cell r="Q370">
            <v>661.20600000000002</v>
          </cell>
          <cell r="R370">
            <v>65</v>
          </cell>
          <cell r="S370">
            <v>661.20600000000002</v>
          </cell>
        </row>
        <row r="371">
          <cell r="D371" t="str">
            <v>Снабсервис БМЗ</v>
          </cell>
          <cell r="I371">
            <v>5</v>
          </cell>
          <cell r="Q371">
            <v>86.94</v>
          </cell>
          <cell r="R371">
            <v>5</v>
          </cell>
          <cell r="S371">
            <v>86.94</v>
          </cell>
        </row>
        <row r="372">
          <cell r="D372" t="str">
            <v>Снабсервис БМЗ</v>
          </cell>
          <cell r="I372">
            <v>15</v>
          </cell>
          <cell r="Q372">
            <v>252.99</v>
          </cell>
          <cell r="R372">
            <v>15</v>
          </cell>
          <cell r="S372">
            <v>252.99</v>
          </cell>
        </row>
        <row r="373">
          <cell r="D373" t="str">
            <v>Спецсервис</v>
          </cell>
          <cell r="I373">
            <v>100</v>
          </cell>
          <cell r="Q373">
            <v>840</v>
          </cell>
          <cell r="R373">
            <v>100</v>
          </cell>
          <cell r="S373">
            <v>840</v>
          </cell>
        </row>
        <row r="374">
          <cell r="D374" t="str">
            <v>Спецсервис</v>
          </cell>
          <cell r="I374">
            <v>180</v>
          </cell>
          <cell r="Q374">
            <v>1512</v>
          </cell>
          <cell r="R374">
            <v>180</v>
          </cell>
          <cell r="S374">
            <v>1512</v>
          </cell>
        </row>
        <row r="375">
          <cell r="D375" t="str">
            <v>Спецсервис</v>
          </cell>
          <cell r="I375">
            <v>120</v>
          </cell>
          <cell r="Q375">
            <v>1008</v>
          </cell>
          <cell r="R375">
            <v>120</v>
          </cell>
          <cell r="S375">
            <v>1008</v>
          </cell>
        </row>
        <row r="376">
          <cell r="D376" t="str">
            <v>Спецсервис</v>
          </cell>
          <cell r="I376">
            <v>100</v>
          </cell>
          <cell r="Q376">
            <v>840</v>
          </cell>
          <cell r="R376">
            <v>100</v>
          </cell>
          <cell r="S376">
            <v>840</v>
          </cell>
        </row>
        <row r="377">
          <cell r="D377" t="str">
            <v>СПЗ, Самара</v>
          </cell>
          <cell r="I377">
            <v>60</v>
          </cell>
          <cell r="Q377">
            <v>496.8</v>
          </cell>
          <cell r="R377">
            <v>60</v>
          </cell>
          <cell r="S377">
            <v>496.8</v>
          </cell>
        </row>
        <row r="378">
          <cell r="D378" t="str">
            <v>СПЗ, Самара</v>
          </cell>
          <cell r="I378">
            <v>130</v>
          </cell>
          <cell r="Q378">
            <v>1076.4000000000001</v>
          </cell>
          <cell r="R378">
            <v>130</v>
          </cell>
          <cell r="S378">
            <v>1076.4000000000001</v>
          </cell>
        </row>
        <row r="379">
          <cell r="D379" t="str">
            <v>СПЗ, Самара</v>
          </cell>
          <cell r="I379">
            <v>130</v>
          </cell>
          <cell r="Q379">
            <v>1076.4000000000001</v>
          </cell>
          <cell r="R379">
            <v>130</v>
          </cell>
          <cell r="S379">
            <v>1076.4000000000001</v>
          </cell>
        </row>
        <row r="380">
          <cell r="D380" t="str">
            <v>СПЗ, Самара</v>
          </cell>
          <cell r="I380">
            <v>65</v>
          </cell>
          <cell r="Q380">
            <v>538.20000000000005</v>
          </cell>
          <cell r="R380">
            <v>65</v>
          </cell>
          <cell r="S380">
            <v>538.20000000000005</v>
          </cell>
        </row>
        <row r="381">
          <cell r="D381" t="str">
            <v>СПЗ, Самара</v>
          </cell>
          <cell r="I381">
            <v>130</v>
          </cell>
          <cell r="Q381">
            <v>1196.52</v>
          </cell>
          <cell r="R381">
            <v>130</v>
          </cell>
          <cell r="S381">
            <v>1196.52</v>
          </cell>
        </row>
        <row r="382">
          <cell r="D382" t="str">
            <v>СПЗ, Самара</v>
          </cell>
          <cell r="I382">
            <v>10</v>
          </cell>
          <cell r="Q382">
            <v>92.04</v>
          </cell>
          <cell r="R382">
            <v>10</v>
          </cell>
          <cell r="S382">
            <v>92.04</v>
          </cell>
        </row>
        <row r="383">
          <cell r="D383" t="str">
            <v>СПЗ, Самара</v>
          </cell>
          <cell r="I383">
            <v>65</v>
          </cell>
          <cell r="Q383">
            <v>598.26</v>
          </cell>
          <cell r="R383">
            <v>65</v>
          </cell>
          <cell r="S383">
            <v>598.26</v>
          </cell>
        </row>
        <row r="384">
          <cell r="D384" t="str">
            <v>СПЗ, Самара</v>
          </cell>
          <cell r="I384">
            <v>20</v>
          </cell>
          <cell r="Q384">
            <v>184.08</v>
          </cell>
          <cell r="R384">
            <v>20</v>
          </cell>
          <cell r="S384">
            <v>184.08</v>
          </cell>
        </row>
        <row r="385">
          <cell r="D385" t="str">
            <v>СПЗ, Самара</v>
          </cell>
          <cell r="I385">
            <v>35</v>
          </cell>
          <cell r="Q385">
            <v>322.14</v>
          </cell>
          <cell r="R385">
            <v>35</v>
          </cell>
          <cell r="S385">
            <v>322.14</v>
          </cell>
        </row>
        <row r="386">
          <cell r="D386" t="str">
            <v>СПЗ, Самара</v>
          </cell>
          <cell r="I386">
            <v>20</v>
          </cell>
          <cell r="Q386">
            <v>184.08</v>
          </cell>
          <cell r="R386">
            <v>20</v>
          </cell>
          <cell r="S386">
            <v>184.08</v>
          </cell>
        </row>
        <row r="387">
          <cell r="D387" t="str">
            <v>Сталь М</v>
          </cell>
          <cell r="I387">
            <v>5</v>
          </cell>
          <cell r="Q387">
            <v>44.64</v>
          </cell>
          <cell r="R387">
            <v>0</v>
          </cell>
          <cell r="S387">
            <v>0</v>
          </cell>
        </row>
        <row r="388">
          <cell r="D388" t="str">
            <v>Сталь М</v>
          </cell>
          <cell r="I388">
            <v>6</v>
          </cell>
          <cell r="Q388">
            <v>51.984000000000002</v>
          </cell>
          <cell r="R388">
            <v>0</v>
          </cell>
          <cell r="S388">
            <v>0</v>
          </cell>
        </row>
        <row r="389">
          <cell r="D389" t="str">
            <v>Сталь М</v>
          </cell>
          <cell r="I389">
            <v>15</v>
          </cell>
          <cell r="Q389">
            <v>113.94</v>
          </cell>
          <cell r="R389">
            <v>0</v>
          </cell>
          <cell r="S389">
            <v>0</v>
          </cell>
        </row>
        <row r="390">
          <cell r="D390" t="str">
            <v>Сталь М</v>
          </cell>
          <cell r="I390">
            <v>5</v>
          </cell>
          <cell r="Q390">
            <v>42.36</v>
          </cell>
          <cell r="R390">
            <v>0</v>
          </cell>
          <cell r="S390">
            <v>0</v>
          </cell>
        </row>
        <row r="391">
          <cell r="D391" t="str">
            <v>Сталь М</v>
          </cell>
          <cell r="I391">
            <v>5</v>
          </cell>
          <cell r="Q391">
            <v>59.22</v>
          </cell>
          <cell r="R391">
            <v>0</v>
          </cell>
          <cell r="S391">
            <v>0</v>
          </cell>
        </row>
        <row r="392">
          <cell r="D392" t="str">
            <v>Сталь М</v>
          </cell>
          <cell r="I392">
            <v>5</v>
          </cell>
          <cell r="Q392">
            <v>50.49</v>
          </cell>
          <cell r="R392">
            <v>0</v>
          </cell>
          <cell r="S392">
            <v>0</v>
          </cell>
        </row>
        <row r="393">
          <cell r="D393" t="str">
            <v>Сталь-Контракт</v>
          </cell>
          <cell r="I393">
            <v>67</v>
          </cell>
          <cell r="Q393">
            <v>506.84159999999997</v>
          </cell>
          <cell r="R393">
            <v>67</v>
          </cell>
          <cell r="S393">
            <v>506.84159999999997</v>
          </cell>
        </row>
        <row r="394">
          <cell r="D394" t="str">
            <v>Сталь-Контракт</v>
          </cell>
          <cell r="I394">
            <v>45</v>
          </cell>
          <cell r="Q394">
            <v>331.61399999999998</v>
          </cell>
          <cell r="R394">
            <v>45</v>
          </cell>
          <cell r="S394">
            <v>331.61399999999998</v>
          </cell>
        </row>
        <row r="395">
          <cell r="D395" t="str">
            <v>Сталь-Контракт</v>
          </cell>
          <cell r="I395">
            <v>45</v>
          </cell>
          <cell r="Q395">
            <v>331.61399999999998</v>
          </cell>
          <cell r="R395">
            <v>45</v>
          </cell>
          <cell r="S395">
            <v>331.61399999999998</v>
          </cell>
        </row>
        <row r="396">
          <cell r="D396" t="str">
            <v>Сталь-Контракт</v>
          </cell>
          <cell r="I396">
            <v>94</v>
          </cell>
          <cell r="Q396">
            <v>692.70479999999998</v>
          </cell>
          <cell r="R396">
            <v>94</v>
          </cell>
          <cell r="S396">
            <v>692.70479999999998</v>
          </cell>
        </row>
        <row r="397">
          <cell r="D397" t="str">
            <v>Сталь-Контракт</v>
          </cell>
          <cell r="I397">
            <v>165</v>
          </cell>
          <cell r="Q397">
            <v>1157.904</v>
          </cell>
          <cell r="R397">
            <v>165</v>
          </cell>
          <cell r="S397">
            <v>1157.904</v>
          </cell>
        </row>
        <row r="398">
          <cell r="D398" t="str">
            <v>Стальснаб 2000</v>
          </cell>
          <cell r="I398">
            <v>15</v>
          </cell>
          <cell r="Q398">
            <v>506.16</v>
          </cell>
          <cell r="R398">
            <v>15</v>
          </cell>
          <cell r="S398">
            <v>506.16</v>
          </cell>
        </row>
        <row r="399">
          <cell r="D399" t="str">
            <v>Станкомаш</v>
          </cell>
          <cell r="I399">
            <v>1</v>
          </cell>
          <cell r="Q399">
            <v>14.004</v>
          </cell>
          <cell r="R399">
            <v>1</v>
          </cell>
          <cell r="S399">
            <v>14.004</v>
          </cell>
        </row>
        <row r="400">
          <cell r="D400" t="str">
            <v>Стройинтерснаб</v>
          </cell>
          <cell r="I400">
            <v>6</v>
          </cell>
          <cell r="Q400">
            <v>187.92</v>
          </cell>
          <cell r="R400">
            <v>6</v>
          </cell>
          <cell r="S400">
            <v>187.92</v>
          </cell>
        </row>
        <row r="401">
          <cell r="D401" t="str">
            <v>Стройинтерснаб</v>
          </cell>
          <cell r="I401">
            <v>25</v>
          </cell>
          <cell r="Q401">
            <v>174.9</v>
          </cell>
          <cell r="R401">
            <v>25</v>
          </cell>
          <cell r="S401">
            <v>174.9</v>
          </cell>
        </row>
        <row r="402">
          <cell r="D402" t="str">
            <v>Стройинтерснаб</v>
          </cell>
          <cell r="I402">
            <v>5</v>
          </cell>
          <cell r="Q402">
            <v>37.020000000000003</v>
          </cell>
          <cell r="R402">
            <v>5</v>
          </cell>
          <cell r="S402">
            <v>37.020000000000003</v>
          </cell>
        </row>
        <row r="403">
          <cell r="D403" t="str">
            <v>Стройинтерснаб</v>
          </cell>
          <cell r="I403">
            <v>2</v>
          </cell>
          <cell r="Q403">
            <v>38.159999999999997</v>
          </cell>
          <cell r="R403">
            <v>2</v>
          </cell>
          <cell r="S403">
            <v>38.159999999999997</v>
          </cell>
        </row>
        <row r="404">
          <cell r="D404" t="str">
            <v>Стройинтерснаб</v>
          </cell>
          <cell r="I404">
            <v>1</v>
          </cell>
          <cell r="Q404">
            <v>18.72</v>
          </cell>
          <cell r="R404">
            <v>1</v>
          </cell>
          <cell r="S404">
            <v>18.72</v>
          </cell>
        </row>
        <row r="405">
          <cell r="D405" t="str">
            <v>Стройинтерснаб</v>
          </cell>
          <cell r="I405">
            <v>2</v>
          </cell>
          <cell r="Q405">
            <v>41.28</v>
          </cell>
          <cell r="R405">
            <v>2</v>
          </cell>
          <cell r="S405">
            <v>41.28</v>
          </cell>
        </row>
        <row r="406">
          <cell r="D406" t="str">
            <v>Стройинтерснаб</v>
          </cell>
          <cell r="I406">
            <v>30</v>
          </cell>
          <cell r="Q406">
            <v>236.88</v>
          </cell>
          <cell r="R406">
            <v>30</v>
          </cell>
          <cell r="S406">
            <v>236.88</v>
          </cell>
        </row>
        <row r="407">
          <cell r="D407" t="str">
            <v>Стройинтерснаб</v>
          </cell>
          <cell r="I407">
            <v>10</v>
          </cell>
          <cell r="Q407">
            <v>79.56</v>
          </cell>
          <cell r="R407">
            <v>10</v>
          </cell>
          <cell r="S407">
            <v>79.56</v>
          </cell>
        </row>
        <row r="408">
          <cell r="D408" t="str">
            <v>Стройинтерснаб</v>
          </cell>
          <cell r="I408">
            <v>20</v>
          </cell>
          <cell r="Q408">
            <v>156</v>
          </cell>
          <cell r="R408">
            <v>20</v>
          </cell>
          <cell r="S408">
            <v>156</v>
          </cell>
        </row>
        <row r="409">
          <cell r="D409" t="str">
            <v>Стройинтерснаб</v>
          </cell>
          <cell r="I409">
            <v>10</v>
          </cell>
          <cell r="Q409">
            <v>77.28</v>
          </cell>
          <cell r="R409">
            <v>10</v>
          </cell>
          <cell r="S409">
            <v>77.28</v>
          </cell>
        </row>
        <row r="410">
          <cell r="D410" t="str">
            <v>Стройинтерснаб</v>
          </cell>
          <cell r="I410">
            <v>20</v>
          </cell>
          <cell r="Q410">
            <v>153.6</v>
          </cell>
          <cell r="R410">
            <v>20</v>
          </cell>
          <cell r="S410">
            <v>153.6</v>
          </cell>
        </row>
        <row r="411">
          <cell r="D411" t="str">
            <v>ТД ВМЗ "Красный Октябрь"</v>
          </cell>
          <cell r="I411">
            <v>50</v>
          </cell>
          <cell r="Q411">
            <v>2620.1999999999998</v>
          </cell>
          <cell r="R411">
            <v>50</v>
          </cell>
          <cell r="S411">
            <v>2620.1999999999998</v>
          </cell>
        </row>
        <row r="412">
          <cell r="D412" t="str">
            <v>ТД ВМЗ "Красный Октябрь"</v>
          </cell>
          <cell r="I412">
            <v>10</v>
          </cell>
          <cell r="Q412">
            <v>524.04</v>
          </cell>
          <cell r="R412">
            <v>10</v>
          </cell>
          <cell r="S412">
            <v>524.04</v>
          </cell>
        </row>
        <row r="413">
          <cell r="D413" t="str">
            <v>ТД ВМЗ "Красный Октябрь"</v>
          </cell>
          <cell r="I413">
            <v>10</v>
          </cell>
          <cell r="Q413">
            <v>524.04</v>
          </cell>
          <cell r="R413">
            <v>10</v>
          </cell>
          <cell r="S413">
            <v>524.04</v>
          </cell>
        </row>
        <row r="414">
          <cell r="D414" t="str">
            <v>ТД ВМЗ "Красный Октябрь"</v>
          </cell>
          <cell r="I414">
            <v>15</v>
          </cell>
          <cell r="Q414">
            <v>880.2</v>
          </cell>
          <cell r="R414">
            <v>15</v>
          </cell>
          <cell r="S414">
            <v>880.2</v>
          </cell>
        </row>
        <row r="415">
          <cell r="D415" t="str">
            <v>ТД ВМЗ "Красный Октябрь"</v>
          </cell>
          <cell r="I415">
            <v>15</v>
          </cell>
          <cell r="Q415">
            <v>880.2</v>
          </cell>
          <cell r="R415">
            <v>15</v>
          </cell>
          <cell r="S415">
            <v>880.2</v>
          </cell>
        </row>
        <row r="416">
          <cell r="D416" t="str">
            <v>ТД ВМЗ "Красный Октябрь"</v>
          </cell>
          <cell r="I416">
            <v>20</v>
          </cell>
          <cell r="Q416">
            <v>1076.6400000000001</v>
          </cell>
          <cell r="R416">
            <v>20</v>
          </cell>
          <cell r="S416">
            <v>1076.6400000000001</v>
          </cell>
        </row>
        <row r="417">
          <cell r="D417" t="str">
            <v>ТД ВМЗ "Красный Октябрь"</v>
          </cell>
          <cell r="I417">
            <v>20</v>
          </cell>
          <cell r="Q417">
            <v>1076.6880000000001</v>
          </cell>
          <cell r="R417">
            <v>20</v>
          </cell>
          <cell r="S417">
            <v>1076.6880000000001</v>
          </cell>
        </row>
        <row r="418">
          <cell r="D418" t="str">
            <v>ТД ВМЗ "Красный Октябрь"</v>
          </cell>
          <cell r="I418">
            <v>20</v>
          </cell>
          <cell r="Q418">
            <v>1076.6400000000001</v>
          </cell>
          <cell r="R418">
            <v>20</v>
          </cell>
          <cell r="S418">
            <v>1076.6400000000001</v>
          </cell>
        </row>
        <row r="419">
          <cell r="D419" t="str">
            <v>ТД ВМЗ "Красный Октябрь"</v>
          </cell>
          <cell r="I419">
            <v>25</v>
          </cell>
          <cell r="Q419">
            <v>1345.86</v>
          </cell>
          <cell r="R419">
            <v>25</v>
          </cell>
          <cell r="S419">
            <v>1345.86</v>
          </cell>
        </row>
        <row r="420">
          <cell r="D420" t="str">
            <v>ТД ВМЗ "Красный Октябрь"</v>
          </cell>
          <cell r="I420">
            <v>30</v>
          </cell>
          <cell r="Q420">
            <v>1614.96</v>
          </cell>
          <cell r="R420">
            <v>30</v>
          </cell>
          <cell r="S420">
            <v>1614.96</v>
          </cell>
        </row>
        <row r="421">
          <cell r="D421" t="str">
            <v>ТД ВМЗ "Красный Октябрь"</v>
          </cell>
          <cell r="I421">
            <v>25</v>
          </cell>
          <cell r="Q421">
            <v>1345.86</v>
          </cell>
          <cell r="R421">
            <v>25</v>
          </cell>
          <cell r="S421">
            <v>1345.86</v>
          </cell>
        </row>
        <row r="422">
          <cell r="D422" t="str">
            <v>ТД ВМЗ "Красный Октябрь"</v>
          </cell>
          <cell r="I422">
            <v>30</v>
          </cell>
          <cell r="Q422">
            <v>1572.12</v>
          </cell>
          <cell r="R422">
            <v>30</v>
          </cell>
          <cell r="S422">
            <v>1572.12</v>
          </cell>
        </row>
        <row r="423">
          <cell r="D423" t="str">
            <v>ТД ВМЗ "Красный Октябрь"</v>
          </cell>
          <cell r="I423">
            <v>15</v>
          </cell>
          <cell r="Q423">
            <v>786.06</v>
          </cell>
          <cell r="R423">
            <v>15</v>
          </cell>
          <cell r="S423">
            <v>786.06</v>
          </cell>
        </row>
        <row r="424">
          <cell r="D424" t="str">
            <v>ТД ВМЗ "Красный Октябрь"</v>
          </cell>
          <cell r="I424">
            <v>15</v>
          </cell>
          <cell r="Q424">
            <v>786.06</v>
          </cell>
          <cell r="R424">
            <v>15</v>
          </cell>
          <cell r="S424">
            <v>786.06</v>
          </cell>
        </row>
        <row r="425">
          <cell r="D425" t="str">
            <v>ТД ВМЗ "Красный Октябрь"</v>
          </cell>
          <cell r="I425">
            <v>5</v>
          </cell>
          <cell r="Q425">
            <v>91.817999999999998</v>
          </cell>
          <cell r="R425">
            <v>5</v>
          </cell>
          <cell r="S425">
            <v>91.817999999999998</v>
          </cell>
        </row>
        <row r="426">
          <cell r="D426" t="str">
            <v>ТД ВМЗ "Красный Октябрь"</v>
          </cell>
          <cell r="I426">
            <v>5</v>
          </cell>
          <cell r="Q426">
            <v>91.817999999999998</v>
          </cell>
          <cell r="R426">
            <v>5</v>
          </cell>
          <cell r="S426">
            <v>91.817999999999998</v>
          </cell>
        </row>
        <row r="427">
          <cell r="D427" t="str">
            <v>ТД ВМЗ "Красный Октябрь"</v>
          </cell>
          <cell r="I427">
            <v>5</v>
          </cell>
          <cell r="Q427">
            <v>96.677999999999997</v>
          </cell>
          <cell r="R427">
            <v>5</v>
          </cell>
          <cell r="S427">
            <v>96.677999999999997</v>
          </cell>
        </row>
        <row r="428">
          <cell r="D428" t="str">
            <v>ТД ВМЗ "Красный Октябрь"</v>
          </cell>
          <cell r="I428">
            <v>10</v>
          </cell>
          <cell r="Q428">
            <v>193.35599999999999</v>
          </cell>
          <cell r="R428">
            <v>10</v>
          </cell>
          <cell r="S428">
            <v>193.35599999999999</v>
          </cell>
        </row>
        <row r="429">
          <cell r="D429" t="str">
            <v>ТД ВМЗ "Красный Октябрь"</v>
          </cell>
          <cell r="I429">
            <v>5</v>
          </cell>
          <cell r="Q429">
            <v>96.677999999999997</v>
          </cell>
          <cell r="R429">
            <v>5</v>
          </cell>
          <cell r="S429">
            <v>96.677999999999997</v>
          </cell>
        </row>
        <row r="430">
          <cell r="D430" t="str">
            <v>ТД ВМЗ "Красный Октябрь"</v>
          </cell>
          <cell r="I430">
            <v>5</v>
          </cell>
          <cell r="Q430">
            <v>96.677999999999997</v>
          </cell>
          <cell r="R430">
            <v>5</v>
          </cell>
          <cell r="S430">
            <v>96.677999999999997</v>
          </cell>
        </row>
        <row r="431">
          <cell r="D431" t="str">
            <v>ТД ВМЗ "Красный Октябрь"</v>
          </cell>
          <cell r="I431">
            <v>5</v>
          </cell>
          <cell r="Q431">
            <v>96.677999999999997</v>
          </cell>
          <cell r="R431">
            <v>5</v>
          </cell>
          <cell r="S431">
            <v>96.677999999999997</v>
          </cell>
        </row>
        <row r="432">
          <cell r="D432" t="str">
            <v>ТД ВМЗ "Красный Октябрь"</v>
          </cell>
          <cell r="I432">
            <v>5</v>
          </cell>
          <cell r="Q432">
            <v>96.677999999999997</v>
          </cell>
          <cell r="R432">
            <v>5</v>
          </cell>
          <cell r="S432">
            <v>96.677999999999997</v>
          </cell>
        </row>
        <row r="433">
          <cell r="D433" t="str">
            <v>ТД ВМЗ "Красный Октябрь"</v>
          </cell>
          <cell r="I433">
            <v>3</v>
          </cell>
          <cell r="Q433">
            <v>58.006799999999998</v>
          </cell>
          <cell r="R433">
            <v>3</v>
          </cell>
          <cell r="S433">
            <v>58.006799999999998</v>
          </cell>
        </row>
        <row r="434">
          <cell r="D434" t="str">
            <v>ТД ВМЗ "Красный Октябрь"</v>
          </cell>
          <cell r="I434">
            <v>7</v>
          </cell>
          <cell r="Q434">
            <v>135.3492</v>
          </cell>
          <cell r="R434">
            <v>7</v>
          </cell>
          <cell r="S434">
            <v>135.3492</v>
          </cell>
        </row>
        <row r="435">
          <cell r="D435" t="str">
            <v>ТД ВМЗ "Красный Октябрь"</v>
          </cell>
          <cell r="I435">
            <v>3</v>
          </cell>
          <cell r="Q435">
            <v>55.090799999999994</v>
          </cell>
          <cell r="R435">
            <v>3</v>
          </cell>
          <cell r="S435">
            <v>55.090799999999994</v>
          </cell>
        </row>
        <row r="436">
          <cell r="D436" t="str">
            <v>ТД ВМЗ "Красный Октябрь"</v>
          </cell>
          <cell r="I436">
            <v>7</v>
          </cell>
          <cell r="Q436">
            <v>128.54519999999999</v>
          </cell>
          <cell r="R436">
            <v>7</v>
          </cell>
          <cell r="S436">
            <v>128.54519999999999</v>
          </cell>
        </row>
        <row r="437">
          <cell r="D437" t="str">
            <v>ТД ВМЗ "Красный Октябрь"</v>
          </cell>
          <cell r="I437">
            <v>3</v>
          </cell>
          <cell r="Q437">
            <v>55.090799999999994</v>
          </cell>
          <cell r="R437">
            <v>3</v>
          </cell>
          <cell r="S437">
            <v>55.090799999999994</v>
          </cell>
        </row>
        <row r="438">
          <cell r="D438" t="str">
            <v>ТД ВМЗ "Красный Октябрь"</v>
          </cell>
          <cell r="I438">
            <v>7</v>
          </cell>
          <cell r="Q438">
            <v>128.54519999999999</v>
          </cell>
          <cell r="R438">
            <v>7</v>
          </cell>
          <cell r="S438">
            <v>128.54519999999999</v>
          </cell>
        </row>
        <row r="439">
          <cell r="D439" t="str">
            <v>ТД ВМЗ "Красный Октябрь"</v>
          </cell>
          <cell r="I439">
            <v>5</v>
          </cell>
          <cell r="Q439">
            <v>96.677999999999997</v>
          </cell>
          <cell r="R439">
            <v>5</v>
          </cell>
          <cell r="S439">
            <v>96.677999999999997</v>
          </cell>
        </row>
        <row r="440">
          <cell r="D440" t="str">
            <v>ТД ВМЗ "Красный Октябрь"</v>
          </cell>
          <cell r="I440">
            <v>2</v>
          </cell>
          <cell r="Q440">
            <v>38.671199999999999</v>
          </cell>
          <cell r="R440">
            <v>2</v>
          </cell>
          <cell r="S440">
            <v>38.671199999999999</v>
          </cell>
        </row>
        <row r="441">
          <cell r="D441" t="str">
            <v>ТД ВМЗ "Красный Октябрь"</v>
          </cell>
          <cell r="I441">
            <v>3</v>
          </cell>
          <cell r="Q441">
            <v>58.006799999999998</v>
          </cell>
          <cell r="R441">
            <v>3</v>
          </cell>
          <cell r="S441">
            <v>58.006799999999998</v>
          </cell>
        </row>
        <row r="442">
          <cell r="D442" t="str">
            <v>ТД ВМЗ "Красный Октябрь"</v>
          </cell>
          <cell r="I442">
            <v>2</v>
          </cell>
          <cell r="Q442">
            <v>38.671199999999999</v>
          </cell>
          <cell r="R442">
            <v>2</v>
          </cell>
          <cell r="S442">
            <v>38.671199999999999</v>
          </cell>
        </row>
        <row r="443">
          <cell r="D443" t="str">
            <v>ТД ВМЗ "Красный Октябрь"</v>
          </cell>
          <cell r="I443">
            <v>3</v>
          </cell>
          <cell r="Q443">
            <v>58.006799999999998</v>
          </cell>
          <cell r="R443">
            <v>3</v>
          </cell>
          <cell r="S443">
            <v>58.006799999999998</v>
          </cell>
        </row>
        <row r="444">
          <cell r="D444" t="str">
            <v>ТД ВМЗ "Красный Октябрь"</v>
          </cell>
          <cell r="I444">
            <v>3</v>
          </cell>
          <cell r="Q444">
            <v>58.006799999999998</v>
          </cell>
          <cell r="R444">
            <v>3</v>
          </cell>
          <cell r="S444">
            <v>58.006799999999998</v>
          </cell>
        </row>
        <row r="445">
          <cell r="D445" t="str">
            <v>ТД ВМЗ "Красный Октябрь"</v>
          </cell>
          <cell r="I445">
            <v>7</v>
          </cell>
          <cell r="Q445">
            <v>135.3492</v>
          </cell>
          <cell r="R445">
            <v>7</v>
          </cell>
          <cell r="S445">
            <v>135.3492</v>
          </cell>
        </row>
        <row r="446">
          <cell r="D446" t="str">
            <v>ТД ВМЗ "Красный Октябрь"</v>
          </cell>
          <cell r="I446">
            <v>5</v>
          </cell>
          <cell r="Q446">
            <v>91.817999999999998</v>
          </cell>
          <cell r="R446">
            <v>5</v>
          </cell>
          <cell r="S446">
            <v>91.817999999999998</v>
          </cell>
        </row>
        <row r="447">
          <cell r="D447" t="str">
            <v>ТД ВМЗ "Красный Октябрь"</v>
          </cell>
          <cell r="I447">
            <v>5</v>
          </cell>
          <cell r="Q447">
            <v>91.817999999999998</v>
          </cell>
          <cell r="R447">
            <v>5</v>
          </cell>
          <cell r="S447">
            <v>91.817999999999998</v>
          </cell>
        </row>
        <row r="448">
          <cell r="D448" t="str">
            <v>ТД ВМЗ "Красный Октябрь"</v>
          </cell>
          <cell r="I448">
            <v>5</v>
          </cell>
          <cell r="Q448">
            <v>91.817999999999998</v>
          </cell>
          <cell r="R448">
            <v>5</v>
          </cell>
          <cell r="S448">
            <v>91.817999999999998</v>
          </cell>
        </row>
        <row r="449">
          <cell r="D449" t="str">
            <v>ТД ВМЗ "Красный Октябрь"</v>
          </cell>
          <cell r="I449">
            <v>5</v>
          </cell>
          <cell r="Q449">
            <v>91.817999999999998</v>
          </cell>
          <cell r="R449">
            <v>5</v>
          </cell>
          <cell r="S449">
            <v>91.817999999999998</v>
          </cell>
        </row>
        <row r="450">
          <cell r="D450" t="str">
            <v>ТД ВМЗ "Красный Октябрь"</v>
          </cell>
          <cell r="I450">
            <v>5</v>
          </cell>
          <cell r="Q450">
            <v>91.817999999999998</v>
          </cell>
          <cell r="R450">
            <v>5</v>
          </cell>
          <cell r="S450">
            <v>91.817999999999998</v>
          </cell>
        </row>
        <row r="451">
          <cell r="D451" t="str">
            <v>ТД ВМЗ "Красный Октябрь"</v>
          </cell>
          <cell r="I451">
            <v>5</v>
          </cell>
          <cell r="Q451">
            <v>91.817999999999998</v>
          </cell>
          <cell r="R451">
            <v>5</v>
          </cell>
          <cell r="S451">
            <v>91.817999999999998</v>
          </cell>
        </row>
        <row r="452">
          <cell r="D452" t="str">
            <v>ТД ВМЗ "Красный Октябрь"</v>
          </cell>
          <cell r="I452">
            <v>2</v>
          </cell>
          <cell r="Q452">
            <v>38.671199999999999</v>
          </cell>
          <cell r="R452">
            <v>2</v>
          </cell>
          <cell r="S452">
            <v>38.671199999999999</v>
          </cell>
        </row>
        <row r="453">
          <cell r="D453" t="str">
            <v>ТД ВМЗ "Красный Октябрь"</v>
          </cell>
          <cell r="I453">
            <v>3</v>
          </cell>
          <cell r="Q453">
            <v>58.006799999999998</v>
          </cell>
          <cell r="R453">
            <v>3</v>
          </cell>
          <cell r="S453">
            <v>58.006799999999998</v>
          </cell>
        </row>
        <row r="454">
          <cell r="D454" t="str">
            <v>ТД ВМЗ "Красный Октябрь"</v>
          </cell>
          <cell r="I454">
            <v>2</v>
          </cell>
          <cell r="Q454">
            <v>38.671199999999999</v>
          </cell>
          <cell r="R454">
            <v>2</v>
          </cell>
          <cell r="S454">
            <v>38.671199999999999</v>
          </cell>
        </row>
        <row r="455">
          <cell r="D455" t="str">
            <v>ТД ВМЗ "Красный Октябрь"</v>
          </cell>
          <cell r="I455">
            <v>3</v>
          </cell>
          <cell r="Q455">
            <v>58.006799999999998</v>
          </cell>
          <cell r="R455">
            <v>3</v>
          </cell>
          <cell r="S455">
            <v>58.006799999999998</v>
          </cell>
        </row>
        <row r="456">
          <cell r="D456" t="str">
            <v>ТД ВМЗ "Красный Октябрь"</v>
          </cell>
          <cell r="I456">
            <v>5</v>
          </cell>
          <cell r="Q456">
            <v>96.677999999999997</v>
          </cell>
          <cell r="R456">
            <v>5</v>
          </cell>
          <cell r="S456">
            <v>96.677999999999997</v>
          </cell>
        </row>
        <row r="457">
          <cell r="D457" t="str">
            <v>ТД ВМЗ "Красный Октябрь"</v>
          </cell>
          <cell r="I457">
            <v>5</v>
          </cell>
          <cell r="Q457">
            <v>96.677999999999997</v>
          </cell>
          <cell r="R457">
            <v>5</v>
          </cell>
          <cell r="S457">
            <v>96.677999999999997</v>
          </cell>
        </row>
        <row r="458">
          <cell r="D458" t="str">
            <v>ТД ВМЗ "Красный Октябрь"</v>
          </cell>
          <cell r="I458">
            <v>5</v>
          </cell>
          <cell r="Q458">
            <v>96.677999999999997</v>
          </cell>
          <cell r="R458">
            <v>5</v>
          </cell>
          <cell r="S458">
            <v>96.677999999999997</v>
          </cell>
        </row>
        <row r="459">
          <cell r="D459" t="str">
            <v>ТД ВМЗ "Красный Октябрь"</v>
          </cell>
          <cell r="I459">
            <v>3</v>
          </cell>
          <cell r="Q459">
            <v>58.006799999999998</v>
          </cell>
          <cell r="R459">
            <v>3</v>
          </cell>
          <cell r="S459">
            <v>58.006799999999998</v>
          </cell>
        </row>
        <row r="460">
          <cell r="D460" t="str">
            <v>ТД ВМЗ "Красный Октябрь"</v>
          </cell>
          <cell r="I460">
            <v>7</v>
          </cell>
          <cell r="Q460">
            <v>135.3492</v>
          </cell>
          <cell r="R460">
            <v>7</v>
          </cell>
          <cell r="S460">
            <v>135.3492</v>
          </cell>
        </row>
        <row r="461">
          <cell r="D461" t="str">
            <v>ТД ВМЗ "Красный Октябрь"</v>
          </cell>
          <cell r="I461">
            <v>3</v>
          </cell>
          <cell r="Q461">
            <v>58.006799999999998</v>
          </cell>
          <cell r="R461">
            <v>3</v>
          </cell>
          <cell r="S461">
            <v>58.006799999999998</v>
          </cell>
        </row>
        <row r="462">
          <cell r="D462" t="str">
            <v>ТД ВМЗ "Красный Октябрь"</v>
          </cell>
          <cell r="I462">
            <v>7</v>
          </cell>
          <cell r="Q462">
            <v>135.3492</v>
          </cell>
          <cell r="R462">
            <v>7</v>
          </cell>
          <cell r="S462">
            <v>135.3492</v>
          </cell>
        </row>
        <row r="463">
          <cell r="D463" t="str">
            <v>ТД Нефтепромыслового оборудования</v>
          </cell>
          <cell r="I463">
            <v>15</v>
          </cell>
          <cell r="Q463">
            <v>121.5</v>
          </cell>
          <cell r="R463">
            <v>15</v>
          </cell>
          <cell r="S463">
            <v>121.5</v>
          </cell>
        </row>
        <row r="464">
          <cell r="D464" t="str">
            <v>ТД Нефтепромыслового оборудования</v>
          </cell>
          <cell r="I464">
            <v>40</v>
          </cell>
          <cell r="Q464">
            <v>324</v>
          </cell>
          <cell r="R464">
            <v>40</v>
          </cell>
          <cell r="S464">
            <v>324</v>
          </cell>
        </row>
        <row r="465">
          <cell r="D465" t="str">
            <v>ТД Нефтепромыслового оборудования</v>
          </cell>
          <cell r="I465">
            <v>10</v>
          </cell>
          <cell r="Q465">
            <v>81</v>
          </cell>
          <cell r="R465">
            <v>10</v>
          </cell>
          <cell r="S465">
            <v>81</v>
          </cell>
        </row>
        <row r="466">
          <cell r="D466" t="str">
            <v>Технодорс</v>
          </cell>
          <cell r="I466">
            <v>5</v>
          </cell>
          <cell r="Q466">
            <v>55.884</v>
          </cell>
          <cell r="R466">
            <v>5</v>
          </cell>
          <cell r="S466">
            <v>55.884</v>
          </cell>
        </row>
        <row r="467">
          <cell r="D467" t="str">
            <v>Технодорс</v>
          </cell>
          <cell r="I467">
            <v>15</v>
          </cell>
          <cell r="Q467">
            <v>167.65199999999999</v>
          </cell>
          <cell r="R467">
            <v>15</v>
          </cell>
          <cell r="S467">
            <v>167.65199999999999</v>
          </cell>
        </row>
        <row r="468">
          <cell r="D468" t="str">
            <v>Технодорс</v>
          </cell>
          <cell r="I468">
            <v>15</v>
          </cell>
          <cell r="Q468">
            <v>95.346000000000004</v>
          </cell>
          <cell r="R468">
            <v>15</v>
          </cell>
          <cell r="S468">
            <v>95.346000000000004</v>
          </cell>
        </row>
        <row r="469">
          <cell r="D469" t="str">
            <v>Технодорс</v>
          </cell>
          <cell r="I469">
            <v>5</v>
          </cell>
          <cell r="Q469">
            <v>63.378</v>
          </cell>
          <cell r="R469">
            <v>5</v>
          </cell>
          <cell r="S469">
            <v>63.378</v>
          </cell>
        </row>
        <row r="470">
          <cell r="D470" t="str">
            <v>Техноуайт</v>
          </cell>
          <cell r="I470">
            <v>5</v>
          </cell>
          <cell r="Q470">
            <v>35.159999999999997</v>
          </cell>
          <cell r="R470">
            <v>5</v>
          </cell>
          <cell r="S470">
            <v>35.159999999999997</v>
          </cell>
        </row>
        <row r="471">
          <cell r="D471" t="str">
            <v>Техноуайт</v>
          </cell>
          <cell r="I471">
            <v>5</v>
          </cell>
          <cell r="Q471">
            <v>35.159999999999997</v>
          </cell>
          <cell r="R471">
            <v>5</v>
          </cell>
          <cell r="S471">
            <v>35.159999999999997</v>
          </cell>
        </row>
        <row r="472">
          <cell r="D472" t="str">
            <v>Техноуайт</v>
          </cell>
          <cell r="I472">
            <v>5</v>
          </cell>
          <cell r="Q472">
            <v>35.159999999999997</v>
          </cell>
          <cell r="R472">
            <v>5</v>
          </cell>
          <cell r="S472">
            <v>35.159999999999997</v>
          </cell>
        </row>
        <row r="473">
          <cell r="D473" t="str">
            <v>Техноуайт</v>
          </cell>
          <cell r="I473">
            <v>1</v>
          </cell>
          <cell r="Q473">
            <v>60.948</v>
          </cell>
          <cell r="R473">
            <v>1</v>
          </cell>
          <cell r="S473">
            <v>60.948</v>
          </cell>
        </row>
        <row r="474">
          <cell r="D474" t="str">
            <v>Техноуайт</v>
          </cell>
          <cell r="I474">
            <v>3</v>
          </cell>
          <cell r="Q474">
            <v>177.21</v>
          </cell>
          <cell r="R474">
            <v>3</v>
          </cell>
          <cell r="S474">
            <v>177.21</v>
          </cell>
        </row>
        <row r="475">
          <cell r="D475" t="str">
            <v>Техноуайт</v>
          </cell>
          <cell r="I475">
            <v>3</v>
          </cell>
          <cell r="Q475">
            <v>177.21</v>
          </cell>
          <cell r="R475">
            <v>3</v>
          </cell>
          <cell r="S475">
            <v>177.21</v>
          </cell>
        </row>
        <row r="476">
          <cell r="D476" t="str">
            <v>Техноуайт</v>
          </cell>
          <cell r="I476">
            <v>4</v>
          </cell>
          <cell r="Q476">
            <v>81.816000000000003</v>
          </cell>
          <cell r="R476">
            <v>4</v>
          </cell>
          <cell r="S476">
            <v>81.816000000000003</v>
          </cell>
        </row>
        <row r="477">
          <cell r="D477" t="str">
            <v>Техноуайт</v>
          </cell>
          <cell r="I477">
            <v>2</v>
          </cell>
          <cell r="Q477">
            <v>43.067999999999998</v>
          </cell>
          <cell r="R477">
            <v>2</v>
          </cell>
          <cell r="S477">
            <v>43.067999999999998</v>
          </cell>
        </row>
        <row r="478">
          <cell r="D478" t="str">
            <v>Техноуайт</v>
          </cell>
          <cell r="I478">
            <v>2</v>
          </cell>
          <cell r="Q478">
            <v>43.067999999999998</v>
          </cell>
          <cell r="R478">
            <v>2</v>
          </cell>
          <cell r="S478">
            <v>43.067999999999998</v>
          </cell>
        </row>
        <row r="479">
          <cell r="D479" t="str">
            <v>Техноуайт</v>
          </cell>
          <cell r="I479">
            <v>2</v>
          </cell>
          <cell r="Q479">
            <v>43.067999999999998</v>
          </cell>
          <cell r="R479">
            <v>2</v>
          </cell>
          <cell r="S479">
            <v>43.067999999999998</v>
          </cell>
        </row>
        <row r="480">
          <cell r="D480" t="str">
            <v>Техноуайт</v>
          </cell>
          <cell r="I480">
            <v>4</v>
          </cell>
          <cell r="Q480">
            <v>86.135999999999996</v>
          </cell>
          <cell r="R480">
            <v>4</v>
          </cell>
          <cell r="S480">
            <v>86.135999999999996</v>
          </cell>
        </row>
        <row r="481">
          <cell r="D481" t="str">
            <v>Техноуайт</v>
          </cell>
          <cell r="I481">
            <v>4</v>
          </cell>
          <cell r="Q481">
            <v>86.135999999999996</v>
          </cell>
          <cell r="R481">
            <v>4</v>
          </cell>
          <cell r="S481">
            <v>86.135999999999996</v>
          </cell>
        </row>
        <row r="482">
          <cell r="D482" t="str">
            <v>Техноуайт</v>
          </cell>
          <cell r="I482">
            <v>6</v>
          </cell>
          <cell r="Q482">
            <v>41.824800000000003</v>
          </cell>
          <cell r="R482">
            <v>6</v>
          </cell>
          <cell r="S482">
            <v>41.824800000000003</v>
          </cell>
        </row>
        <row r="483">
          <cell r="D483" t="str">
            <v>Техноуайт</v>
          </cell>
          <cell r="I483">
            <v>6</v>
          </cell>
          <cell r="Q483">
            <v>41.824800000000003</v>
          </cell>
          <cell r="R483">
            <v>6</v>
          </cell>
          <cell r="S483">
            <v>41.824800000000003</v>
          </cell>
        </row>
        <row r="484">
          <cell r="D484" t="str">
            <v>Техноуайт</v>
          </cell>
          <cell r="I484">
            <v>6</v>
          </cell>
          <cell r="Q484">
            <v>41.824800000000003</v>
          </cell>
          <cell r="R484">
            <v>6</v>
          </cell>
          <cell r="S484">
            <v>41.824800000000003</v>
          </cell>
        </row>
        <row r="485">
          <cell r="D485" t="str">
            <v>Техноуайт</v>
          </cell>
          <cell r="I485">
            <v>6</v>
          </cell>
          <cell r="Q485">
            <v>41.824800000000003</v>
          </cell>
          <cell r="R485">
            <v>6</v>
          </cell>
          <cell r="S485">
            <v>41.824800000000003</v>
          </cell>
        </row>
        <row r="486">
          <cell r="D486" t="str">
            <v>Техноуайт</v>
          </cell>
          <cell r="I486">
            <v>5</v>
          </cell>
          <cell r="Q486">
            <v>34.853999999999999</v>
          </cell>
          <cell r="R486">
            <v>5</v>
          </cell>
          <cell r="S486">
            <v>34.853999999999999</v>
          </cell>
        </row>
        <row r="487">
          <cell r="D487" t="str">
            <v>Техноуайт</v>
          </cell>
          <cell r="I487">
            <v>5</v>
          </cell>
          <cell r="Q487">
            <v>34.853999999999999</v>
          </cell>
          <cell r="R487">
            <v>5</v>
          </cell>
          <cell r="S487">
            <v>34.853999999999999</v>
          </cell>
        </row>
        <row r="488">
          <cell r="D488" t="str">
            <v>Техноуайт</v>
          </cell>
          <cell r="I488">
            <v>2</v>
          </cell>
          <cell r="Q488">
            <v>14.747999999999999</v>
          </cell>
          <cell r="R488">
            <v>2</v>
          </cell>
          <cell r="S488">
            <v>14.747999999999999</v>
          </cell>
        </row>
        <row r="489">
          <cell r="D489" t="str">
            <v>Техноуайт</v>
          </cell>
          <cell r="I489">
            <v>4</v>
          </cell>
          <cell r="Q489">
            <v>28.08</v>
          </cell>
          <cell r="R489">
            <v>4</v>
          </cell>
          <cell r="S489">
            <v>28.08</v>
          </cell>
        </row>
        <row r="490">
          <cell r="D490" t="str">
            <v>Техноуайт</v>
          </cell>
          <cell r="I490">
            <v>6</v>
          </cell>
          <cell r="Q490">
            <v>41.824800000000003</v>
          </cell>
          <cell r="R490">
            <v>6</v>
          </cell>
          <cell r="S490">
            <v>41.824800000000003</v>
          </cell>
        </row>
        <row r="491">
          <cell r="D491" t="str">
            <v>Техноуайт</v>
          </cell>
          <cell r="I491">
            <v>64</v>
          </cell>
          <cell r="Q491">
            <v>560.64</v>
          </cell>
          <cell r="R491">
            <v>0</v>
          </cell>
          <cell r="S491">
            <v>0</v>
          </cell>
        </row>
        <row r="492">
          <cell r="D492" t="str">
            <v>Тинарт</v>
          </cell>
          <cell r="I492">
            <v>16</v>
          </cell>
          <cell r="Q492">
            <v>124.56959999999999</v>
          </cell>
          <cell r="R492">
            <v>16</v>
          </cell>
          <cell r="S492">
            <v>124.56959999999999</v>
          </cell>
        </row>
        <row r="493">
          <cell r="D493" t="str">
            <v>Тинарт</v>
          </cell>
          <cell r="I493">
            <v>5</v>
          </cell>
          <cell r="Q493">
            <v>112.608</v>
          </cell>
          <cell r="R493">
            <v>5</v>
          </cell>
          <cell r="S493">
            <v>112.608</v>
          </cell>
        </row>
        <row r="494">
          <cell r="D494" t="str">
            <v>Тинарт</v>
          </cell>
          <cell r="I494">
            <v>10</v>
          </cell>
          <cell r="Q494">
            <v>233.52</v>
          </cell>
          <cell r="R494">
            <v>10</v>
          </cell>
          <cell r="S494">
            <v>233.52</v>
          </cell>
        </row>
        <row r="495">
          <cell r="D495" t="str">
            <v>Тинарт</v>
          </cell>
          <cell r="I495">
            <v>10</v>
          </cell>
          <cell r="Q495">
            <v>233.52</v>
          </cell>
          <cell r="R495">
            <v>10</v>
          </cell>
          <cell r="S495">
            <v>233.52</v>
          </cell>
        </row>
        <row r="496">
          <cell r="D496" t="str">
            <v>Тинарт</v>
          </cell>
          <cell r="I496">
            <v>10</v>
          </cell>
          <cell r="Q496">
            <v>79.128</v>
          </cell>
          <cell r="R496">
            <v>10</v>
          </cell>
          <cell r="S496">
            <v>79.128</v>
          </cell>
        </row>
        <row r="497">
          <cell r="D497" t="str">
            <v>Тинарт</v>
          </cell>
          <cell r="I497">
            <v>14</v>
          </cell>
          <cell r="Q497">
            <v>110.77919999999999</v>
          </cell>
          <cell r="R497">
            <v>14</v>
          </cell>
          <cell r="S497">
            <v>110.77919999999999</v>
          </cell>
        </row>
        <row r="498">
          <cell r="D498" t="str">
            <v>Тинарт</v>
          </cell>
          <cell r="I498">
            <v>6</v>
          </cell>
          <cell r="Q498">
            <v>47.476799999999997</v>
          </cell>
          <cell r="R498">
            <v>6</v>
          </cell>
          <cell r="S498">
            <v>47.476799999999997</v>
          </cell>
        </row>
        <row r="499">
          <cell r="D499" t="str">
            <v>Тинарт</v>
          </cell>
          <cell r="I499">
            <v>5</v>
          </cell>
          <cell r="Q499">
            <v>45.575999999999993</v>
          </cell>
          <cell r="R499">
            <v>5</v>
          </cell>
          <cell r="S499">
            <v>45.575999999999993</v>
          </cell>
        </row>
        <row r="500">
          <cell r="D500" t="str">
            <v>Тинарт</v>
          </cell>
          <cell r="I500">
            <v>2</v>
          </cell>
          <cell r="Q500">
            <v>15.825599999999998</v>
          </cell>
          <cell r="R500">
            <v>2</v>
          </cell>
          <cell r="S500">
            <v>15.825599999999998</v>
          </cell>
        </row>
        <row r="501">
          <cell r="D501" t="str">
            <v>Тинарт</v>
          </cell>
          <cell r="I501">
            <v>13</v>
          </cell>
          <cell r="Q501">
            <v>102.8664</v>
          </cell>
          <cell r="R501">
            <v>13</v>
          </cell>
          <cell r="S501">
            <v>102.8664</v>
          </cell>
        </row>
        <row r="502">
          <cell r="D502" t="str">
            <v>Тинарт</v>
          </cell>
          <cell r="I502">
            <v>10</v>
          </cell>
          <cell r="Q502">
            <v>87.647999999999996</v>
          </cell>
          <cell r="R502">
            <v>10</v>
          </cell>
          <cell r="S502">
            <v>87.647999999999996</v>
          </cell>
        </row>
        <row r="503">
          <cell r="D503" t="str">
            <v>Тинарт</v>
          </cell>
          <cell r="I503">
            <v>5</v>
          </cell>
          <cell r="Q503">
            <v>39.444000000000003</v>
          </cell>
          <cell r="R503">
            <v>5</v>
          </cell>
          <cell r="S503">
            <v>39.444000000000003</v>
          </cell>
        </row>
        <row r="504">
          <cell r="D504" t="str">
            <v>Тинарт</v>
          </cell>
          <cell r="I504">
            <v>2</v>
          </cell>
          <cell r="Q504">
            <v>15.777599999999998</v>
          </cell>
          <cell r="R504">
            <v>2</v>
          </cell>
          <cell r="S504">
            <v>15.777599999999998</v>
          </cell>
        </row>
        <row r="505">
          <cell r="D505" t="str">
            <v>Тинарт</v>
          </cell>
          <cell r="I505">
            <v>10</v>
          </cell>
          <cell r="Q505">
            <v>78.888000000000005</v>
          </cell>
          <cell r="R505">
            <v>10</v>
          </cell>
          <cell r="S505">
            <v>78.888000000000005</v>
          </cell>
        </row>
        <row r="506">
          <cell r="D506" t="str">
            <v>Тинарт</v>
          </cell>
          <cell r="I506">
            <v>10</v>
          </cell>
          <cell r="Q506">
            <v>85.896000000000001</v>
          </cell>
          <cell r="R506">
            <v>10</v>
          </cell>
          <cell r="S506">
            <v>85.896000000000001</v>
          </cell>
        </row>
        <row r="507">
          <cell r="D507" t="str">
            <v>Тинарт</v>
          </cell>
          <cell r="I507">
            <v>15</v>
          </cell>
          <cell r="Q507">
            <v>127.99799999999999</v>
          </cell>
          <cell r="R507">
            <v>15</v>
          </cell>
          <cell r="S507">
            <v>127.99799999999999</v>
          </cell>
        </row>
        <row r="508">
          <cell r="D508" t="str">
            <v>Тинарт</v>
          </cell>
          <cell r="I508">
            <v>25</v>
          </cell>
          <cell r="Q508">
            <v>209.16</v>
          </cell>
          <cell r="R508">
            <v>25</v>
          </cell>
          <cell r="S508">
            <v>209.16</v>
          </cell>
        </row>
        <row r="509">
          <cell r="D509" t="str">
            <v>Тинарт</v>
          </cell>
          <cell r="I509">
            <v>15</v>
          </cell>
          <cell r="Q509">
            <v>125.496</v>
          </cell>
          <cell r="R509">
            <v>15</v>
          </cell>
          <cell r="S509">
            <v>125.496</v>
          </cell>
        </row>
        <row r="510">
          <cell r="D510" t="str">
            <v>Тинарт</v>
          </cell>
          <cell r="I510">
            <v>13</v>
          </cell>
          <cell r="Q510">
            <v>103.584</v>
          </cell>
          <cell r="R510">
            <v>13</v>
          </cell>
          <cell r="S510">
            <v>103.584</v>
          </cell>
        </row>
        <row r="511">
          <cell r="D511" t="str">
            <v>Тинарт</v>
          </cell>
          <cell r="I511">
            <v>20</v>
          </cell>
          <cell r="Q511">
            <v>159.36000000000001</v>
          </cell>
          <cell r="R511">
            <v>20</v>
          </cell>
          <cell r="S511">
            <v>159.36000000000001</v>
          </cell>
        </row>
        <row r="512">
          <cell r="D512" t="str">
            <v>Тинарт</v>
          </cell>
          <cell r="I512">
            <v>15</v>
          </cell>
          <cell r="Q512">
            <v>119.52</v>
          </cell>
          <cell r="R512">
            <v>15</v>
          </cell>
          <cell r="S512">
            <v>119.52</v>
          </cell>
        </row>
        <row r="513">
          <cell r="D513" t="str">
            <v>Тинарт</v>
          </cell>
          <cell r="I513">
            <v>5</v>
          </cell>
          <cell r="Q513">
            <v>39.840000000000003</v>
          </cell>
          <cell r="R513">
            <v>5</v>
          </cell>
          <cell r="S513">
            <v>39.840000000000003</v>
          </cell>
        </row>
        <row r="514">
          <cell r="D514" t="str">
            <v>Тинарт</v>
          </cell>
          <cell r="I514">
            <v>3</v>
          </cell>
          <cell r="Q514">
            <v>41.814</v>
          </cell>
          <cell r="R514">
            <v>3</v>
          </cell>
          <cell r="S514">
            <v>41.814</v>
          </cell>
        </row>
        <row r="515">
          <cell r="D515" t="str">
            <v>Тинарт</v>
          </cell>
          <cell r="I515">
            <v>6</v>
          </cell>
          <cell r="Q515">
            <v>83.628</v>
          </cell>
          <cell r="R515">
            <v>6</v>
          </cell>
          <cell r="S515">
            <v>83.628</v>
          </cell>
        </row>
        <row r="516">
          <cell r="D516" t="str">
            <v>Томская электронная компания</v>
          </cell>
          <cell r="I516">
            <v>40</v>
          </cell>
          <cell r="Q516">
            <v>334.36799999999994</v>
          </cell>
          <cell r="R516">
            <v>40</v>
          </cell>
          <cell r="S516">
            <v>334.36799999999994</v>
          </cell>
        </row>
        <row r="517">
          <cell r="D517" t="str">
            <v>Томская электронная компания</v>
          </cell>
          <cell r="I517">
            <v>50</v>
          </cell>
          <cell r="Q517">
            <v>413.7</v>
          </cell>
          <cell r="R517">
            <v>50</v>
          </cell>
          <cell r="S517">
            <v>413.7</v>
          </cell>
        </row>
        <row r="518">
          <cell r="D518" t="str">
            <v>Томская электронная компания</v>
          </cell>
          <cell r="I518">
            <v>40</v>
          </cell>
          <cell r="Q518">
            <v>322.416</v>
          </cell>
          <cell r="R518">
            <v>40</v>
          </cell>
          <cell r="S518">
            <v>322.416</v>
          </cell>
        </row>
        <row r="519">
          <cell r="D519" t="str">
            <v>Томская электронная компания</v>
          </cell>
          <cell r="I519">
            <v>50</v>
          </cell>
          <cell r="Q519">
            <v>403.02</v>
          </cell>
          <cell r="R519">
            <v>50</v>
          </cell>
          <cell r="S519">
            <v>403.02</v>
          </cell>
        </row>
        <row r="520">
          <cell r="D520" t="str">
            <v>Триумф</v>
          </cell>
          <cell r="I520">
            <v>5</v>
          </cell>
          <cell r="Q520">
            <v>41.4</v>
          </cell>
          <cell r="R520">
            <v>5</v>
          </cell>
          <cell r="S520">
            <v>41.4</v>
          </cell>
        </row>
        <row r="521">
          <cell r="D521" t="str">
            <v>Триумф</v>
          </cell>
          <cell r="I521">
            <v>5</v>
          </cell>
          <cell r="Q521">
            <v>40.200000000000003</v>
          </cell>
          <cell r="R521">
            <v>5</v>
          </cell>
          <cell r="S521">
            <v>40.200000000000003</v>
          </cell>
        </row>
        <row r="522">
          <cell r="D522" t="str">
            <v>Триумф</v>
          </cell>
          <cell r="I522">
            <v>10</v>
          </cell>
          <cell r="Q522">
            <v>80.400000000000006</v>
          </cell>
          <cell r="R522">
            <v>10</v>
          </cell>
          <cell r="S522">
            <v>80.400000000000006</v>
          </cell>
        </row>
        <row r="523">
          <cell r="D523" t="str">
            <v>УАЗ</v>
          </cell>
          <cell r="I523">
            <v>65</v>
          </cell>
          <cell r="Q523">
            <v>1485.51</v>
          </cell>
          <cell r="R523">
            <v>65</v>
          </cell>
          <cell r="S523">
            <v>1485.51</v>
          </cell>
        </row>
        <row r="524">
          <cell r="D524" t="str">
            <v>УАЗ</v>
          </cell>
          <cell r="I524">
            <v>35</v>
          </cell>
          <cell r="Q524">
            <v>734.58</v>
          </cell>
          <cell r="R524">
            <v>35</v>
          </cell>
          <cell r="S524">
            <v>734.58</v>
          </cell>
        </row>
        <row r="525">
          <cell r="D525" t="str">
            <v>УАЗ</v>
          </cell>
          <cell r="I525">
            <v>65</v>
          </cell>
          <cell r="Q525">
            <v>635.30999999999995</v>
          </cell>
          <cell r="R525">
            <v>65</v>
          </cell>
          <cell r="S525">
            <v>635.30999999999995</v>
          </cell>
        </row>
        <row r="526">
          <cell r="D526" t="str">
            <v>УАЗ</v>
          </cell>
          <cell r="I526">
            <v>95</v>
          </cell>
          <cell r="Q526">
            <v>1127.46</v>
          </cell>
          <cell r="R526">
            <v>95</v>
          </cell>
          <cell r="S526">
            <v>1127.46</v>
          </cell>
        </row>
        <row r="527">
          <cell r="D527" t="str">
            <v>Центрстальторг</v>
          </cell>
          <cell r="I527">
            <v>30</v>
          </cell>
          <cell r="Q527">
            <v>222.84</v>
          </cell>
          <cell r="R527">
            <v>30</v>
          </cell>
          <cell r="S527">
            <v>222.84</v>
          </cell>
        </row>
        <row r="528">
          <cell r="D528" t="str">
            <v>Центрстальторг</v>
          </cell>
          <cell r="I528">
            <v>30</v>
          </cell>
          <cell r="Q528">
            <v>221.4</v>
          </cell>
          <cell r="R528">
            <v>30</v>
          </cell>
          <cell r="S528">
            <v>221.4</v>
          </cell>
        </row>
        <row r="529">
          <cell r="D529" t="str">
            <v>Центрстальторг</v>
          </cell>
          <cell r="I529">
            <v>30</v>
          </cell>
          <cell r="Q529">
            <v>221.4</v>
          </cell>
          <cell r="R529">
            <v>30</v>
          </cell>
          <cell r="S529">
            <v>221.4</v>
          </cell>
        </row>
        <row r="530">
          <cell r="D530" t="str">
            <v>Центрстальторг</v>
          </cell>
          <cell r="I530">
            <v>30</v>
          </cell>
          <cell r="Q530">
            <v>221.4</v>
          </cell>
          <cell r="R530">
            <v>30</v>
          </cell>
          <cell r="S530">
            <v>221.4</v>
          </cell>
        </row>
        <row r="531">
          <cell r="D531" t="str">
            <v>Центрстальторг</v>
          </cell>
          <cell r="I531">
            <v>30</v>
          </cell>
          <cell r="Q531">
            <v>220.68</v>
          </cell>
          <cell r="R531">
            <v>30</v>
          </cell>
          <cell r="S531">
            <v>220.68</v>
          </cell>
        </row>
        <row r="532">
          <cell r="D532" t="str">
            <v>Центрстальторг</v>
          </cell>
          <cell r="I532">
            <v>50</v>
          </cell>
          <cell r="Q532">
            <v>400.8</v>
          </cell>
          <cell r="R532">
            <v>50</v>
          </cell>
          <cell r="S532">
            <v>400.8</v>
          </cell>
        </row>
        <row r="533">
          <cell r="D533" t="str">
            <v>Центрстальторг</v>
          </cell>
          <cell r="I533">
            <v>30</v>
          </cell>
          <cell r="Q533">
            <v>238.68</v>
          </cell>
          <cell r="R533">
            <v>30</v>
          </cell>
          <cell r="S533">
            <v>238.68</v>
          </cell>
        </row>
        <row r="534">
          <cell r="D534" t="str">
            <v>Центрстальторг</v>
          </cell>
          <cell r="I534">
            <v>30</v>
          </cell>
          <cell r="Q534">
            <v>222.84</v>
          </cell>
          <cell r="R534">
            <v>30</v>
          </cell>
          <cell r="S534">
            <v>222.84</v>
          </cell>
        </row>
        <row r="535">
          <cell r="D535" t="str">
            <v>Центрстальторг</v>
          </cell>
          <cell r="I535">
            <v>30</v>
          </cell>
          <cell r="Q535">
            <v>222.84</v>
          </cell>
          <cell r="R535">
            <v>30</v>
          </cell>
          <cell r="S535">
            <v>222.84</v>
          </cell>
        </row>
        <row r="536">
          <cell r="D536" t="str">
            <v>Центрстальторг</v>
          </cell>
          <cell r="I536">
            <v>30</v>
          </cell>
          <cell r="Q536">
            <v>222.84</v>
          </cell>
          <cell r="R536">
            <v>30</v>
          </cell>
          <cell r="S536">
            <v>222.84</v>
          </cell>
        </row>
        <row r="537">
          <cell r="D537" t="str">
            <v>Центрстальторг</v>
          </cell>
          <cell r="I537">
            <v>30</v>
          </cell>
          <cell r="Q537">
            <v>203.04</v>
          </cell>
          <cell r="R537">
            <v>30</v>
          </cell>
          <cell r="S537">
            <v>203.04</v>
          </cell>
        </row>
        <row r="538">
          <cell r="D538" t="str">
            <v>Центрстальторг</v>
          </cell>
          <cell r="I538">
            <v>30</v>
          </cell>
          <cell r="Q538">
            <v>214.56</v>
          </cell>
          <cell r="R538">
            <v>30</v>
          </cell>
          <cell r="S538">
            <v>214.56</v>
          </cell>
        </row>
        <row r="539">
          <cell r="D539" t="str">
            <v>Центрстальторг</v>
          </cell>
          <cell r="I539">
            <v>30</v>
          </cell>
          <cell r="Q539">
            <v>221.76</v>
          </cell>
          <cell r="R539">
            <v>30</v>
          </cell>
          <cell r="S539">
            <v>221.76</v>
          </cell>
        </row>
        <row r="540">
          <cell r="D540" t="str">
            <v>Центрстальторг</v>
          </cell>
          <cell r="I540">
            <v>5</v>
          </cell>
          <cell r="Q540">
            <v>46.32</v>
          </cell>
          <cell r="R540">
            <v>5</v>
          </cell>
          <cell r="S540">
            <v>46.32</v>
          </cell>
        </row>
        <row r="541">
          <cell r="D541" t="str">
            <v>Центрстальторг</v>
          </cell>
          <cell r="I541">
            <v>5</v>
          </cell>
          <cell r="Q541">
            <v>46.32</v>
          </cell>
          <cell r="R541">
            <v>5</v>
          </cell>
          <cell r="S541">
            <v>46.32</v>
          </cell>
        </row>
        <row r="542">
          <cell r="D542" t="str">
            <v>Центрстальторг</v>
          </cell>
          <cell r="I542">
            <v>5</v>
          </cell>
          <cell r="Q542">
            <v>50.28</v>
          </cell>
          <cell r="R542">
            <v>5</v>
          </cell>
          <cell r="S542">
            <v>50.28</v>
          </cell>
        </row>
        <row r="543">
          <cell r="D543" t="str">
            <v>Центрстальторг</v>
          </cell>
          <cell r="I543">
            <v>5</v>
          </cell>
          <cell r="Q543">
            <v>46.62</v>
          </cell>
          <cell r="R543">
            <v>5</v>
          </cell>
          <cell r="S543">
            <v>46.62</v>
          </cell>
        </row>
        <row r="544">
          <cell r="D544" t="str">
            <v>Центрстальторг</v>
          </cell>
          <cell r="I544">
            <v>30</v>
          </cell>
          <cell r="Q544">
            <v>203.04</v>
          </cell>
          <cell r="R544">
            <v>30</v>
          </cell>
          <cell r="S544">
            <v>203.04</v>
          </cell>
        </row>
        <row r="545">
          <cell r="D545" t="str">
            <v>Центрстальторг</v>
          </cell>
          <cell r="I545">
            <v>30</v>
          </cell>
          <cell r="Q545">
            <v>203.04</v>
          </cell>
          <cell r="R545">
            <v>30</v>
          </cell>
          <cell r="S545">
            <v>203.04</v>
          </cell>
        </row>
        <row r="546">
          <cell r="D546" t="str">
            <v>Центрстальторг</v>
          </cell>
          <cell r="I546">
            <v>30</v>
          </cell>
          <cell r="Q546">
            <v>214.56</v>
          </cell>
          <cell r="R546">
            <v>30</v>
          </cell>
          <cell r="S546">
            <v>214.56</v>
          </cell>
        </row>
        <row r="547">
          <cell r="D547" t="str">
            <v>Центрстальторг</v>
          </cell>
          <cell r="I547">
            <v>30</v>
          </cell>
          <cell r="Q547">
            <v>214.56</v>
          </cell>
          <cell r="R547">
            <v>30</v>
          </cell>
          <cell r="S547">
            <v>214.56</v>
          </cell>
        </row>
        <row r="548">
          <cell r="D548" t="str">
            <v>Центрстальторг</v>
          </cell>
          <cell r="I548">
            <v>30</v>
          </cell>
          <cell r="Q548">
            <v>214.56</v>
          </cell>
          <cell r="R548">
            <v>30</v>
          </cell>
          <cell r="S548">
            <v>214.56</v>
          </cell>
        </row>
        <row r="549">
          <cell r="D549" t="str">
            <v>Центрстальторг</v>
          </cell>
          <cell r="I549">
            <v>30</v>
          </cell>
          <cell r="Q549">
            <v>204.48</v>
          </cell>
          <cell r="R549">
            <v>30</v>
          </cell>
          <cell r="S549">
            <v>204.48</v>
          </cell>
        </row>
        <row r="550">
          <cell r="D550" t="str">
            <v>Центрстальторг</v>
          </cell>
          <cell r="I550">
            <v>30</v>
          </cell>
          <cell r="Q550">
            <v>204.48</v>
          </cell>
          <cell r="R550">
            <v>30</v>
          </cell>
          <cell r="S550">
            <v>204.48</v>
          </cell>
        </row>
        <row r="551">
          <cell r="D551" t="str">
            <v>Центрстальторг</v>
          </cell>
          <cell r="I551">
            <v>30</v>
          </cell>
          <cell r="Q551">
            <v>204.48</v>
          </cell>
          <cell r="R551">
            <v>30</v>
          </cell>
          <cell r="S551">
            <v>204.48</v>
          </cell>
        </row>
        <row r="552">
          <cell r="D552" t="str">
            <v>ЧП Кабанец</v>
          </cell>
          <cell r="I552">
            <v>120</v>
          </cell>
          <cell r="Q552">
            <v>1065.5999999999999</v>
          </cell>
          <cell r="R552">
            <v>120</v>
          </cell>
          <cell r="S552">
            <v>1065.5999999999999</v>
          </cell>
        </row>
        <row r="553">
          <cell r="D553" t="str">
            <v>Юг-Сталь</v>
          </cell>
          <cell r="I553">
            <v>65</v>
          </cell>
          <cell r="Q553">
            <v>756.6</v>
          </cell>
          <cell r="R553">
            <v>65</v>
          </cell>
          <cell r="S553">
            <v>756.6</v>
          </cell>
        </row>
        <row r="554">
          <cell r="D554" t="str">
            <v>ИТОГО основная загрузка</v>
          </cell>
          <cell r="I554">
            <v>13227.000000000002</v>
          </cell>
          <cell r="Q554">
            <v>162461.61921333332</v>
          </cell>
          <cell r="R554">
            <v>11132</v>
          </cell>
          <cell r="S554">
            <v>138676.75521333332</v>
          </cell>
        </row>
        <row r="557">
          <cell r="R557">
            <v>11745.374999999995</v>
          </cell>
        </row>
        <row r="558">
          <cell r="I558" t="str">
            <v>куратор</v>
          </cell>
        </row>
        <row r="560">
          <cell r="I560" t="str">
            <v>Авдеев</v>
          </cell>
        </row>
        <row r="561">
          <cell r="I561" t="str">
            <v>Вадим</v>
          </cell>
        </row>
        <row r="562">
          <cell r="I562" t="str">
            <v>Каркачева</v>
          </cell>
        </row>
        <row r="563">
          <cell r="I563" t="str">
            <v>Пивоваров</v>
          </cell>
        </row>
        <row r="564">
          <cell r="I564" t="str">
            <v>Попов</v>
          </cell>
        </row>
        <row r="565">
          <cell r="I565" t="str">
            <v>Суровцев</v>
          </cell>
        </row>
        <row r="566">
          <cell r="I566" t="str">
            <v>Швагерус</v>
          </cell>
        </row>
        <row r="568">
          <cell r="I568" t="str">
            <v>стан</v>
          </cell>
        </row>
        <row r="570">
          <cell r="I570">
            <v>14</v>
          </cell>
        </row>
        <row r="571">
          <cell r="I571">
            <v>260</v>
          </cell>
        </row>
        <row r="572">
          <cell r="I572">
            <v>325</v>
          </cell>
        </row>
        <row r="573">
          <cell r="I573">
            <v>452</v>
          </cell>
        </row>
        <row r="574">
          <cell r="I574">
            <v>453</v>
          </cell>
        </row>
        <row r="575">
          <cell r="I575">
            <v>850</v>
          </cell>
        </row>
        <row r="576">
          <cell r="I576">
            <v>858</v>
          </cell>
        </row>
        <row r="577">
          <cell r="I577">
            <v>1150</v>
          </cell>
        </row>
        <row r="578">
          <cell r="I578">
            <v>1400</v>
          </cell>
        </row>
        <row r="579">
          <cell r="I579">
            <v>2000</v>
          </cell>
        </row>
        <row r="580">
          <cell r="I580">
            <v>2002</v>
          </cell>
        </row>
        <row r="582">
          <cell r="D582" t="str">
            <v>Экспорт</v>
          </cell>
          <cell r="I582">
            <v>7008</v>
          </cell>
        </row>
        <row r="583">
          <cell r="D583" t="str">
            <v>РЭН</v>
          </cell>
          <cell r="I583">
            <v>371.75</v>
          </cell>
        </row>
        <row r="584">
          <cell r="D584" t="str">
            <v>ВМЗКО</v>
          </cell>
          <cell r="I584">
            <v>700</v>
          </cell>
        </row>
        <row r="586">
          <cell r="D586" t="str">
            <v>ИТОГО</v>
          </cell>
          <cell r="I586">
            <v>21306.75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естр"/>
      <sheetName val="итоги"/>
      <sheetName val="Лист3"/>
    </sheetNames>
    <sheetDataSet>
      <sheetData sheetId="0" refreshError="1">
        <row r="6">
          <cell r="A6">
            <v>37264</v>
          </cell>
          <cell r="C6" t="str">
            <v>Производство</v>
          </cell>
        </row>
        <row r="7">
          <cell r="C7" t="str">
            <v>Производство</v>
          </cell>
        </row>
        <row r="8">
          <cell r="C8" t="str">
            <v>Производство</v>
          </cell>
        </row>
        <row r="9">
          <cell r="C9" t="str">
            <v>Производство</v>
          </cell>
        </row>
        <row r="10">
          <cell r="C10" t="str">
            <v>Производство</v>
          </cell>
        </row>
        <row r="11">
          <cell r="C11" t="str">
            <v>Производство</v>
          </cell>
        </row>
        <row r="12">
          <cell r="C12" t="str">
            <v>Производство</v>
          </cell>
        </row>
        <row r="13">
          <cell r="C13" t="str">
            <v>Производство</v>
          </cell>
        </row>
        <row r="14">
          <cell r="C14" t="str">
            <v>Производство</v>
          </cell>
        </row>
        <row r="15">
          <cell r="C15" t="str">
            <v>Производство</v>
          </cell>
        </row>
        <row r="16">
          <cell r="C16" t="str">
            <v>Производство</v>
          </cell>
        </row>
        <row r="17">
          <cell r="C17" t="str">
            <v>Производство</v>
          </cell>
        </row>
        <row r="18">
          <cell r="C18" t="str">
            <v>Производство</v>
          </cell>
        </row>
        <row r="19">
          <cell r="C19" t="str">
            <v>Производство</v>
          </cell>
        </row>
        <row r="20">
          <cell r="C20" t="str">
            <v>Производство</v>
          </cell>
        </row>
        <row r="21">
          <cell r="C21" t="str">
            <v>Производство</v>
          </cell>
        </row>
        <row r="22">
          <cell r="C22" t="str">
            <v>Производство</v>
          </cell>
        </row>
        <row r="23">
          <cell r="C23" t="str">
            <v>Производство</v>
          </cell>
        </row>
        <row r="24">
          <cell r="C24" t="str">
            <v>Производство</v>
          </cell>
        </row>
        <row r="25">
          <cell r="C25" t="str">
            <v>Производство</v>
          </cell>
        </row>
        <row r="26">
          <cell r="C26" t="str">
            <v>Производство</v>
          </cell>
        </row>
        <row r="27">
          <cell r="C27" t="str">
            <v>Производство</v>
          </cell>
        </row>
        <row r="28">
          <cell r="C28" t="str">
            <v>Производство</v>
          </cell>
        </row>
        <row r="29">
          <cell r="C29" t="str">
            <v>Производство</v>
          </cell>
        </row>
        <row r="30">
          <cell r="C30" t="str">
            <v>Производство</v>
          </cell>
        </row>
        <row r="31">
          <cell r="C31" t="str">
            <v>Производство</v>
          </cell>
        </row>
        <row r="32">
          <cell r="C32" t="str">
            <v>Производство</v>
          </cell>
        </row>
        <row r="33">
          <cell r="C33" t="str">
            <v>Производство</v>
          </cell>
        </row>
        <row r="34">
          <cell r="C34" t="str">
            <v>Производство</v>
          </cell>
        </row>
        <row r="35">
          <cell r="C35" t="str">
            <v>Производство</v>
          </cell>
        </row>
        <row r="36">
          <cell r="C36" t="str">
            <v>Производство</v>
          </cell>
        </row>
        <row r="37">
          <cell r="C37" t="str">
            <v>Производство</v>
          </cell>
        </row>
        <row r="38">
          <cell r="C38" t="str">
            <v>Производство</v>
          </cell>
        </row>
        <row r="39">
          <cell r="C39" t="str">
            <v>Производство</v>
          </cell>
        </row>
        <row r="40">
          <cell r="C40" t="str">
            <v>Производство</v>
          </cell>
        </row>
        <row r="41">
          <cell r="C41" t="str">
            <v>Производство</v>
          </cell>
        </row>
        <row r="42">
          <cell r="C42" t="str">
            <v>Производство</v>
          </cell>
        </row>
        <row r="43">
          <cell r="C43" t="str">
            <v>Производство</v>
          </cell>
        </row>
        <row r="44">
          <cell r="C44" t="str">
            <v>Производство</v>
          </cell>
        </row>
        <row r="45">
          <cell r="C45" t="str">
            <v>Производство</v>
          </cell>
        </row>
        <row r="46">
          <cell r="C46" t="str">
            <v>Производство</v>
          </cell>
        </row>
        <row r="47">
          <cell r="C47" t="str">
            <v>Производство</v>
          </cell>
        </row>
        <row r="48">
          <cell r="C48" t="str">
            <v>Производство</v>
          </cell>
        </row>
        <row r="49">
          <cell r="C49" t="str">
            <v>Производство</v>
          </cell>
        </row>
        <row r="50">
          <cell r="C50" t="str">
            <v>Производство</v>
          </cell>
        </row>
        <row r="51">
          <cell r="C51" t="str">
            <v>Производство</v>
          </cell>
        </row>
        <row r="52">
          <cell r="C52" t="str">
            <v>Производство</v>
          </cell>
        </row>
        <row r="53">
          <cell r="C53" t="str">
            <v>Производство</v>
          </cell>
        </row>
        <row r="54">
          <cell r="C54" t="str">
            <v>Производство</v>
          </cell>
        </row>
        <row r="55">
          <cell r="C55" t="str">
            <v>Производство</v>
          </cell>
        </row>
        <row r="56">
          <cell r="C56" t="str">
            <v>Производство</v>
          </cell>
        </row>
        <row r="57">
          <cell r="C57" t="str">
            <v>Производство</v>
          </cell>
        </row>
        <row r="58">
          <cell r="C58" t="str">
            <v>Производство</v>
          </cell>
        </row>
        <row r="59">
          <cell r="C59" t="str">
            <v>Производство</v>
          </cell>
        </row>
        <row r="60">
          <cell r="C60" t="str">
            <v>Производство</v>
          </cell>
        </row>
        <row r="61">
          <cell r="C61" t="str">
            <v>Производство</v>
          </cell>
        </row>
        <row r="62">
          <cell r="C62" t="str">
            <v>Производство</v>
          </cell>
        </row>
        <row r="63">
          <cell r="C63" t="str">
            <v>Производство</v>
          </cell>
        </row>
        <row r="64">
          <cell r="C64" t="str">
            <v>Производство</v>
          </cell>
        </row>
        <row r="65">
          <cell r="C65" t="str">
            <v>Производство</v>
          </cell>
        </row>
        <row r="66">
          <cell r="C66" t="str">
            <v>Производство</v>
          </cell>
        </row>
        <row r="67">
          <cell r="C67" t="str">
            <v>Производство</v>
          </cell>
        </row>
        <row r="68">
          <cell r="C68" t="str">
            <v>Производство</v>
          </cell>
        </row>
        <row r="69">
          <cell r="C69" t="str">
            <v>Производство</v>
          </cell>
        </row>
        <row r="70">
          <cell r="C70" t="str">
            <v>Производство</v>
          </cell>
        </row>
        <row r="71">
          <cell r="C71" t="str">
            <v>Производство</v>
          </cell>
        </row>
        <row r="72">
          <cell r="C72" t="str">
            <v>Производство</v>
          </cell>
        </row>
        <row r="73">
          <cell r="C73" t="str">
            <v>Производство</v>
          </cell>
        </row>
        <row r="74">
          <cell r="C74" t="str">
            <v>Производство</v>
          </cell>
        </row>
        <row r="75">
          <cell r="C75" t="str">
            <v>Производство</v>
          </cell>
        </row>
        <row r="76">
          <cell r="C76" t="str">
            <v>Производство</v>
          </cell>
        </row>
        <row r="77">
          <cell r="C77" t="str">
            <v>Производство</v>
          </cell>
        </row>
        <row r="78">
          <cell r="C78" t="str">
            <v>Производство</v>
          </cell>
        </row>
        <row r="79">
          <cell r="C79" t="str">
            <v>Производство</v>
          </cell>
        </row>
        <row r="80">
          <cell r="C80" t="str">
            <v>Производство</v>
          </cell>
        </row>
        <row r="81">
          <cell r="C81" t="str">
            <v>Производство</v>
          </cell>
        </row>
        <row r="82">
          <cell r="C82" t="str">
            <v>Производство</v>
          </cell>
        </row>
        <row r="83">
          <cell r="C83" t="str">
            <v>Производство</v>
          </cell>
        </row>
        <row r="84">
          <cell r="C84" t="str">
            <v>Производство</v>
          </cell>
        </row>
        <row r="85">
          <cell r="C85" t="str">
            <v>Производство</v>
          </cell>
        </row>
        <row r="86">
          <cell r="C86" t="str">
            <v>Производство</v>
          </cell>
        </row>
        <row r="87">
          <cell r="C87" t="str">
            <v>Производство</v>
          </cell>
        </row>
        <row r="88">
          <cell r="C88" t="str">
            <v>Производство</v>
          </cell>
        </row>
        <row r="89">
          <cell r="C89" t="str">
            <v>Производство</v>
          </cell>
        </row>
        <row r="90">
          <cell r="C90" t="str">
            <v>Производство</v>
          </cell>
        </row>
        <row r="91">
          <cell r="C91" t="str">
            <v>Производство</v>
          </cell>
        </row>
        <row r="92">
          <cell r="C92" t="str">
            <v>Производство</v>
          </cell>
        </row>
        <row r="93">
          <cell r="C93" t="str">
            <v>Производство</v>
          </cell>
        </row>
        <row r="94">
          <cell r="C94" t="str">
            <v>Производство</v>
          </cell>
        </row>
        <row r="95">
          <cell r="C95" t="str">
            <v>Производство</v>
          </cell>
        </row>
        <row r="96">
          <cell r="C96" t="str">
            <v>Производство</v>
          </cell>
        </row>
        <row r="97">
          <cell r="C97" t="str">
            <v>Производство</v>
          </cell>
        </row>
        <row r="98">
          <cell r="C98" t="str">
            <v>Производство</v>
          </cell>
        </row>
        <row r="99">
          <cell r="C99" t="str">
            <v>Производство</v>
          </cell>
        </row>
        <row r="100">
          <cell r="C100" t="str">
            <v>Производство</v>
          </cell>
        </row>
        <row r="101">
          <cell r="C101" t="str">
            <v>Производство</v>
          </cell>
        </row>
        <row r="102">
          <cell r="C102" t="str">
            <v>Производство</v>
          </cell>
        </row>
        <row r="103">
          <cell r="C103" t="str">
            <v>Производство</v>
          </cell>
        </row>
        <row r="104">
          <cell r="C104" t="str">
            <v>Производство</v>
          </cell>
        </row>
        <row r="105">
          <cell r="C105" t="str">
            <v>Производство</v>
          </cell>
        </row>
        <row r="106">
          <cell r="C106" t="str">
            <v>Производство</v>
          </cell>
        </row>
        <row r="107">
          <cell r="C107" t="str">
            <v>Производство</v>
          </cell>
        </row>
        <row r="108">
          <cell r="C108" t="str">
            <v>Производство</v>
          </cell>
        </row>
        <row r="109">
          <cell r="C109" t="str">
            <v>Производство</v>
          </cell>
        </row>
        <row r="110">
          <cell r="C110" t="str">
            <v>Производство</v>
          </cell>
        </row>
        <row r="111">
          <cell r="C111" t="str">
            <v>Производство</v>
          </cell>
        </row>
        <row r="112">
          <cell r="C112" t="str">
            <v>Производство</v>
          </cell>
        </row>
        <row r="113">
          <cell r="C113" t="str">
            <v>Производство</v>
          </cell>
        </row>
        <row r="114">
          <cell r="C114" t="str">
            <v>Производство</v>
          </cell>
        </row>
        <row r="115">
          <cell r="C115" t="str">
            <v>Производство</v>
          </cell>
        </row>
        <row r="116">
          <cell r="C116" t="str">
            <v>Производство</v>
          </cell>
        </row>
        <row r="117">
          <cell r="C117" t="str">
            <v>Производство</v>
          </cell>
        </row>
        <row r="118">
          <cell r="C118" t="str">
            <v>Производство</v>
          </cell>
        </row>
        <row r="119">
          <cell r="C119" t="str">
            <v>Производство</v>
          </cell>
        </row>
        <row r="120">
          <cell r="C120" t="str">
            <v>Производство</v>
          </cell>
        </row>
        <row r="121">
          <cell r="C121" t="str">
            <v>Производство</v>
          </cell>
        </row>
        <row r="122">
          <cell r="C122" t="str">
            <v>Производство</v>
          </cell>
        </row>
        <row r="123">
          <cell r="C123" t="str">
            <v>Производство</v>
          </cell>
        </row>
        <row r="124">
          <cell r="C124" t="str">
            <v>Производство</v>
          </cell>
        </row>
        <row r="125">
          <cell r="C125" t="str">
            <v>Производство</v>
          </cell>
        </row>
        <row r="126">
          <cell r="C126" t="str">
            <v>Производство</v>
          </cell>
        </row>
        <row r="127">
          <cell r="C127" t="str">
            <v>Производство</v>
          </cell>
        </row>
        <row r="128">
          <cell r="C128" t="str">
            <v>Производство</v>
          </cell>
        </row>
        <row r="129">
          <cell r="C129" t="str">
            <v>Производство</v>
          </cell>
        </row>
        <row r="130">
          <cell r="C130" t="str">
            <v>Производство</v>
          </cell>
        </row>
        <row r="131">
          <cell r="C131" t="str">
            <v>Производство</v>
          </cell>
        </row>
        <row r="132">
          <cell r="C132" t="str">
            <v>Производство</v>
          </cell>
        </row>
        <row r="133">
          <cell r="C133" t="str">
            <v>Производство</v>
          </cell>
        </row>
        <row r="134">
          <cell r="C134" t="str">
            <v>Производство</v>
          </cell>
        </row>
        <row r="135">
          <cell r="C135" t="str">
            <v>Производство</v>
          </cell>
        </row>
        <row r="136">
          <cell r="C136" t="str">
            <v>Производство</v>
          </cell>
        </row>
        <row r="137">
          <cell r="C137" t="str">
            <v>Производство</v>
          </cell>
        </row>
        <row r="138">
          <cell r="C138" t="str">
            <v>Производство</v>
          </cell>
        </row>
        <row r="139">
          <cell r="C139" t="str">
            <v>Производство</v>
          </cell>
        </row>
        <row r="140">
          <cell r="C140" t="str">
            <v>Производство</v>
          </cell>
        </row>
        <row r="141">
          <cell r="C141" t="str">
            <v>Производство</v>
          </cell>
        </row>
        <row r="142">
          <cell r="C142" t="str">
            <v>Производство</v>
          </cell>
        </row>
        <row r="143">
          <cell r="C143" t="str">
            <v>Производство</v>
          </cell>
        </row>
        <row r="144">
          <cell r="C144" t="str">
            <v>Производство</v>
          </cell>
        </row>
        <row r="145">
          <cell r="C145" t="str">
            <v>Производство</v>
          </cell>
        </row>
        <row r="146">
          <cell r="C146" t="str">
            <v>Производство</v>
          </cell>
        </row>
        <row r="147">
          <cell r="C147" t="str">
            <v>Производство</v>
          </cell>
        </row>
        <row r="148">
          <cell r="C148" t="str">
            <v>Производство</v>
          </cell>
        </row>
        <row r="149">
          <cell r="C149" t="str">
            <v>Производство</v>
          </cell>
        </row>
        <row r="150">
          <cell r="C150" t="str">
            <v>Производство</v>
          </cell>
        </row>
        <row r="151">
          <cell r="C151" t="str">
            <v>Производство</v>
          </cell>
        </row>
        <row r="152">
          <cell r="C152" t="str">
            <v>Производство</v>
          </cell>
        </row>
        <row r="153">
          <cell r="C153" t="str">
            <v>Производство</v>
          </cell>
        </row>
        <row r="154">
          <cell r="C154" t="str">
            <v>Производство</v>
          </cell>
        </row>
        <row r="155">
          <cell r="C155" t="str">
            <v>Производство</v>
          </cell>
        </row>
        <row r="156">
          <cell r="C156" t="str">
            <v>Производство</v>
          </cell>
        </row>
        <row r="157">
          <cell r="C157" t="str">
            <v>Производство</v>
          </cell>
        </row>
        <row r="158">
          <cell r="C158" t="str">
            <v>Производство</v>
          </cell>
        </row>
        <row r="159">
          <cell r="C159" t="str">
            <v>Производство</v>
          </cell>
        </row>
        <row r="160">
          <cell r="C160" t="str">
            <v>Производство</v>
          </cell>
        </row>
        <row r="161">
          <cell r="C161" t="str">
            <v>Производство</v>
          </cell>
        </row>
        <row r="162">
          <cell r="C162" t="str">
            <v>Производство</v>
          </cell>
        </row>
        <row r="163">
          <cell r="C163" t="str">
            <v>Производство</v>
          </cell>
        </row>
        <row r="164">
          <cell r="C164" t="str">
            <v>Производство</v>
          </cell>
        </row>
        <row r="165">
          <cell r="C165" t="str">
            <v>Производство</v>
          </cell>
        </row>
        <row r="166">
          <cell r="C166" t="str">
            <v>Производство</v>
          </cell>
        </row>
        <row r="167">
          <cell r="C167" t="str">
            <v>Производство</v>
          </cell>
        </row>
        <row r="168">
          <cell r="C168" t="str">
            <v>Производство</v>
          </cell>
        </row>
        <row r="169">
          <cell r="C169" t="str">
            <v>Производство</v>
          </cell>
        </row>
        <row r="170">
          <cell r="C170" t="str">
            <v>Производство</v>
          </cell>
        </row>
        <row r="171">
          <cell r="C171" t="str">
            <v>Производство</v>
          </cell>
        </row>
        <row r="172">
          <cell r="C172" t="str">
            <v>Производство</v>
          </cell>
        </row>
        <row r="173">
          <cell r="C173" t="str">
            <v>Производство</v>
          </cell>
        </row>
        <row r="174">
          <cell r="C174" t="str">
            <v>Производство</v>
          </cell>
        </row>
        <row r="175">
          <cell r="C175" t="str">
            <v>Производство</v>
          </cell>
        </row>
        <row r="176">
          <cell r="C176" t="str">
            <v>Производство</v>
          </cell>
        </row>
        <row r="177">
          <cell r="C177" t="str">
            <v>Производство</v>
          </cell>
        </row>
        <row r="178">
          <cell r="C178" t="str">
            <v>Производство</v>
          </cell>
        </row>
        <row r="179">
          <cell r="C179" t="str">
            <v>Производство</v>
          </cell>
        </row>
        <row r="180">
          <cell r="C180" t="str">
            <v>Производство</v>
          </cell>
        </row>
        <row r="181">
          <cell r="C181" t="str">
            <v>Производство</v>
          </cell>
        </row>
        <row r="182">
          <cell r="C182" t="str">
            <v>Производство</v>
          </cell>
        </row>
        <row r="183">
          <cell r="C183" t="str">
            <v>Производство</v>
          </cell>
        </row>
        <row r="184">
          <cell r="C184" t="str">
            <v>Производство</v>
          </cell>
        </row>
        <row r="185">
          <cell r="C185" t="str">
            <v>Производство</v>
          </cell>
        </row>
        <row r="186">
          <cell r="C186" t="str">
            <v>Производство</v>
          </cell>
        </row>
        <row r="187">
          <cell r="C187" t="str">
            <v>Производство</v>
          </cell>
        </row>
        <row r="188">
          <cell r="C188" t="str">
            <v>Производство</v>
          </cell>
        </row>
        <row r="189">
          <cell r="C189" t="str">
            <v>Производство</v>
          </cell>
        </row>
        <row r="190">
          <cell r="C190" t="str">
            <v>Производство</v>
          </cell>
        </row>
        <row r="191">
          <cell r="C191" t="str">
            <v>Производство</v>
          </cell>
        </row>
        <row r="192">
          <cell r="C192" t="str">
            <v>Производство</v>
          </cell>
        </row>
        <row r="193">
          <cell r="C193" t="str">
            <v>Производство</v>
          </cell>
        </row>
        <row r="194">
          <cell r="C194" t="str">
            <v>Производство</v>
          </cell>
        </row>
        <row r="195">
          <cell r="C195" t="str">
            <v>Производство</v>
          </cell>
        </row>
        <row r="196">
          <cell r="C196" t="str">
            <v>Производство</v>
          </cell>
        </row>
        <row r="197">
          <cell r="C197" t="str">
            <v>Производство</v>
          </cell>
        </row>
        <row r="198">
          <cell r="C198" t="str">
            <v>Производство</v>
          </cell>
        </row>
        <row r="199">
          <cell r="C199" t="str">
            <v>Производство</v>
          </cell>
        </row>
        <row r="200">
          <cell r="C200" t="str">
            <v>Производство</v>
          </cell>
        </row>
        <row r="201">
          <cell r="C201" t="str">
            <v>Производство</v>
          </cell>
        </row>
        <row r="202">
          <cell r="C202" t="str">
            <v>Производство</v>
          </cell>
        </row>
        <row r="203">
          <cell r="C203" t="str">
            <v>Производство</v>
          </cell>
        </row>
        <row r="204">
          <cell r="C204" t="str">
            <v>Производство</v>
          </cell>
        </row>
        <row r="205">
          <cell r="C205" t="str">
            <v>Производство</v>
          </cell>
        </row>
        <row r="206">
          <cell r="C206" t="str">
            <v>Производство</v>
          </cell>
        </row>
        <row r="207">
          <cell r="C207" t="str">
            <v>Производство</v>
          </cell>
        </row>
        <row r="208">
          <cell r="C208" t="str">
            <v>Производство</v>
          </cell>
        </row>
        <row r="209">
          <cell r="C209" t="str">
            <v>Производство</v>
          </cell>
        </row>
        <row r="210">
          <cell r="C210" t="str">
            <v>Производство</v>
          </cell>
        </row>
        <row r="211">
          <cell r="C211" t="str">
            <v>Производство</v>
          </cell>
        </row>
        <row r="212">
          <cell r="C212" t="str">
            <v>Производство</v>
          </cell>
        </row>
        <row r="213">
          <cell r="C213" t="str">
            <v>Производство</v>
          </cell>
        </row>
        <row r="214">
          <cell r="C214" t="str">
            <v>Производство</v>
          </cell>
        </row>
        <row r="215">
          <cell r="C215" t="str">
            <v>Производство</v>
          </cell>
        </row>
        <row r="216">
          <cell r="C216" t="str">
            <v>Производство</v>
          </cell>
        </row>
        <row r="217">
          <cell r="C217" t="str">
            <v>Производство</v>
          </cell>
        </row>
        <row r="218">
          <cell r="C218" t="str">
            <v>Производство</v>
          </cell>
        </row>
        <row r="219">
          <cell r="C219" t="str">
            <v>Производство</v>
          </cell>
        </row>
        <row r="220">
          <cell r="C220" t="str">
            <v>Производство</v>
          </cell>
        </row>
        <row r="221">
          <cell r="C221" t="str">
            <v>Производство</v>
          </cell>
        </row>
        <row r="222">
          <cell r="C222" t="str">
            <v>Производство</v>
          </cell>
        </row>
        <row r="223">
          <cell r="C223" t="str">
            <v>Производство</v>
          </cell>
        </row>
        <row r="224">
          <cell r="C224" t="str">
            <v>Производство</v>
          </cell>
        </row>
        <row r="225">
          <cell r="C225" t="str">
            <v>Производство</v>
          </cell>
        </row>
        <row r="226">
          <cell r="C226" t="str">
            <v>Производство</v>
          </cell>
        </row>
        <row r="227">
          <cell r="C227" t="str">
            <v>Производство</v>
          </cell>
        </row>
        <row r="228">
          <cell r="C228" t="str">
            <v>Производство</v>
          </cell>
        </row>
        <row r="229">
          <cell r="C229" t="str">
            <v>Производство</v>
          </cell>
        </row>
        <row r="230">
          <cell r="C230" t="str">
            <v>Производство</v>
          </cell>
        </row>
        <row r="231">
          <cell r="C231" t="str">
            <v>Производство</v>
          </cell>
        </row>
        <row r="232">
          <cell r="C232" t="str">
            <v>Производство</v>
          </cell>
        </row>
        <row r="233">
          <cell r="C233" t="str">
            <v>Производство</v>
          </cell>
        </row>
        <row r="234">
          <cell r="C234" t="str">
            <v>Производство</v>
          </cell>
        </row>
        <row r="235">
          <cell r="C235" t="str">
            <v>Производство</v>
          </cell>
        </row>
        <row r="236">
          <cell r="C236" t="str">
            <v>Производство</v>
          </cell>
        </row>
        <row r="237">
          <cell r="C237" t="str">
            <v>Производство</v>
          </cell>
        </row>
        <row r="238">
          <cell r="C238" t="str">
            <v>Производство</v>
          </cell>
        </row>
        <row r="239">
          <cell r="C239" t="str">
            <v>Производство</v>
          </cell>
        </row>
        <row r="240">
          <cell r="C240" t="str">
            <v>Производство</v>
          </cell>
        </row>
        <row r="241">
          <cell r="C241" t="str">
            <v>Производство</v>
          </cell>
        </row>
        <row r="242">
          <cell r="C242" t="str">
            <v>Производство</v>
          </cell>
        </row>
        <row r="243">
          <cell r="C243" t="str">
            <v>Производство</v>
          </cell>
        </row>
        <row r="244">
          <cell r="C244" t="str">
            <v>Производство</v>
          </cell>
        </row>
        <row r="245">
          <cell r="C245" t="str">
            <v>Производство</v>
          </cell>
        </row>
        <row r="246">
          <cell r="C246" t="str">
            <v>Производство</v>
          </cell>
        </row>
        <row r="247">
          <cell r="C247" t="str">
            <v>Производство</v>
          </cell>
        </row>
        <row r="248">
          <cell r="C248" t="str">
            <v>Производство</v>
          </cell>
        </row>
        <row r="249">
          <cell r="C249" t="str">
            <v>Производство</v>
          </cell>
        </row>
        <row r="250">
          <cell r="C250" t="str">
            <v>Производство</v>
          </cell>
        </row>
        <row r="251">
          <cell r="C251" t="str">
            <v>Производство</v>
          </cell>
        </row>
        <row r="252">
          <cell r="C252" t="str">
            <v>Производство</v>
          </cell>
        </row>
        <row r="253">
          <cell r="C253" t="str">
            <v>Производство</v>
          </cell>
        </row>
        <row r="254">
          <cell r="C254" t="str">
            <v>Производство</v>
          </cell>
        </row>
        <row r="255">
          <cell r="C255" t="str">
            <v>Производство</v>
          </cell>
        </row>
        <row r="256">
          <cell r="C256" t="str">
            <v>Производство</v>
          </cell>
        </row>
        <row r="257">
          <cell r="C257" t="str">
            <v>Производство</v>
          </cell>
        </row>
        <row r="258">
          <cell r="C258" t="str">
            <v>Производство</v>
          </cell>
        </row>
        <row r="259">
          <cell r="C259" t="str">
            <v>Производство</v>
          </cell>
        </row>
        <row r="260">
          <cell r="C260" t="str">
            <v>Производство</v>
          </cell>
        </row>
        <row r="261">
          <cell r="C261" t="str">
            <v>Производство</v>
          </cell>
        </row>
        <row r="262">
          <cell r="C262" t="str">
            <v>Производство</v>
          </cell>
        </row>
        <row r="263">
          <cell r="C263" t="str">
            <v>Производство</v>
          </cell>
        </row>
        <row r="264">
          <cell r="C264" t="str">
            <v>Производство</v>
          </cell>
        </row>
        <row r="265">
          <cell r="C265" t="str">
            <v>Производство</v>
          </cell>
        </row>
        <row r="266">
          <cell r="C266" t="str">
            <v>Производство</v>
          </cell>
        </row>
        <row r="267">
          <cell r="C267" t="str">
            <v>Производство</v>
          </cell>
        </row>
        <row r="268">
          <cell r="C268" t="str">
            <v>Производство</v>
          </cell>
        </row>
        <row r="269">
          <cell r="C269" t="str">
            <v>Производство</v>
          </cell>
        </row>
        <row r="270">
          <cell r="C270" t="str">
            <v>Производство</v>
          </cell>
        </row>
        <row r="271">
          <cell r="C271" t="str">
            <v>Производство</v>
          </cell>
        </row>
        <row r="272">
          <cell r="C272" t="str">
            <v>Производство</v>
          </cell>
        </row>
        <row r="273">
          <cell r="C273" t="str">
            <v>Производство</v>
          </cell>
        </row>
        <row r="274">
          <cell r="C274" t="str">
            <v>Производство</v>
          </cell>
        </row>
        <row r="275">
          <cell r="C275" t="str">
            <v>Производство</v>
          </cell>
        </row>
        <row r="276">
          <cell r="C276" t="str">
            <v>Производство</v>
          </cell>
        </row>
        <row r="277">
          <cell r="C277" t="str">
            <v>Производство</v>
          </cell>
        </row>
        <row r="278">
          <cell r="C278" t="str">
            <v>Производство</v>
          </cell>
        </row>
        <row r="279">
          <cell r="C279" t="str">
            <v>Производство</v>
          </cell>
        </row>
        <row r="280">
          <cell r="C280" t="str">
            <v>Производство</v>
          </cell>
        </row>
        <row r="281">
          <cell r="C281" t="str">
            <v>Производство</v>
          </cell>
        </row>
        <row r="282">
          <cell r="C282" t="str">
            <v>Производство</v>
          </cell>
        </row>
        <row r="283">
          <cell r="C283" t="str">
            <v>Производство</v>
          </cell>
        </row>
        <row r="284">
          <cell r="C284" t="str">
            <v>Производство</v>
          </cell>
        </row>
        <row r="285">
          <cell r="C285" t="str">
            <v>Производство</v>
          </cell>
        </row>
        <row r="286">
          <cell r="C286" t="str">
            <v>Производство</v>
          </cell>
        </row>
        <row r="287">
          <cell r="C287" t="str">
            <v>Производство</v>
          </cell>
        </row>
        <row r="288">
          <cell r="C288" t="str">
            <v>Производство</v>
          </cell>
        </row>
        <row r="289">
          <cell r="C289" t="str">
            <v>Производство</v>
          </cell>
        </row>
        <row r="290">
          <cell r="C290" t="str">
            <v>Производство</v>
          </cell>
        </row>
        <row r="291">
          <cell r="C291" t="str">
            <v>Производство</v>
          </cell>
        </row>
        <row r="292">
          <cell r="C292" t="str">
            <v>Производство</v>
          </cell>
        </row>
        <row r="293">
          <cell r="C293" t="str">
            <v>Производство</v>
          </cell>
        </row>
        <row r="294">
          <cell r="C294" t="str">
            <v>Производство</v>
          </cell>
        </row>
        <row r="295">
          <cell r="C295" t="str">
            <v>Производство</v>
          </cell>
        </row>
        <row r="296">
          <cell r="C296" t="str">
            <v>Производство</v>
          </cell>
        </row>
        <row r="297">
          <cell r="C297" t="str">
            <v>Производство</v>
          </cell>
        </row>
        <row r="298">
          <cell r="C298" t="str">
            <v>Производство</v>
          </cell>
        </row>
        <row r="299">
          <cell r="C299" t="str">
            <v>Производство</v>
          </cell>
        </row>
        <row r="300">
          <cell r="C300" t="str">
            <v>Производство</v>
          </cell>
        </row>
        <row r="301">
          <cell r="C301" t="str">
            <v>Производство</v>
          </cell>
        </row>
        <row r="302">
          <cell r="C302" t="str">
            <v>Производство</v>
          </cell>
        </row>
        <row r="303">
          <cell r="C303" t="str">
            <v>Производство</v>
          </cell>
        </row>
        <row r="304">
          <cell r="C304" t="str">
            <v>Производство</v>
          </cell>
        </row>
        <row r="305">
          <cell r="C305" t="str">
            <v>Производство</v>
          </cell>
        </row>
        <row r="306">
          <cell r="C306" t="str">
            <v>Производство</v>
          </cell>
        </row>
        <row r="307">
          <cell r="C307" t="str">
            <v>Производство</v>
          </cell>
        </row>
        <row r="308">
          <cell r="C308" t="str">
            <v>Производство</v>
          </cell>
        </row>
        <row r="309">
          <cell r="C309" t="str">
            <v>Производство</v>
          </cell>
        </row>
        <row r="310">
          <cell r="C310" t="str">
            <v>Производство</v>
          </cell>
        </row>
        <row r="311">
          <cell r="C311" t="str">
            <v>Производство</v>
          </cell>
        </row>
        <row r="312">
          <cell r="C312" t="str">
            <v>Производство</v>
          </cell>
        </row>
        <row r="313">
          <cell r="C313" t="str">
            <v>Производство</v>
          </cell>
        </row>
        <row r="314">
          <cell r="C314" t="str">
            <v>Производство</v>
          </cell>
        </row>
        <row r="315">
          <cell r="C315" t="str">
            <v>Производство</v>
          </cell>
        </row>
        <row r="316">
          <cell r="C316" t="str">
            <v>Производство</v>
          </cell>
        </row>
        <row r="317">
          <cell r="C317" t="str">
            <v>Производство</v>
          </cell>
        </row>
        <row r="318">
          <cell r="C318" t="str">
            <v>Производство</v>
          </cell>
        </row>
        <row r="319">
          <cell r="C319" t="str">
            <v>Производство</v>
          </cell>
        </row>
        <row r="320">
          <cell r="C320" t="str">
            <v>Производство</v>
          </cell>
        </row>
        <row r="321">
          <cell r="C321" t="str">
            <v>Производство</v>
          </cell>
        </row>
        <row r="322">
          <cell r="C322" t="str">
            <v>Производство</v>
          </cell>
        </row>
        <row r="323">
          <cell r="C323" t="str">
            <v>Производство</v>
          </cell>
        </row>
        <row r="324">
          <cell r="C324" t="str">
            <v>Производство</v>
          </cell>
        </row>
        <row r="325">
          <cell r="C325" t="str">
            <v>Производство</v>
          </cell>
        </row>
        <row r="326">
          <cell r="C326" t="str">
            <v>Производство</v>
          </cell>
        </row>
        <row r="327">
          <cell r="C327" t="str">
            <v>Производство</v>
          </cell>
        </row>
        <row r="328">
          <cell r="C328" t="str">
            <v>Производство</v>
          </cell>
        </row>
        <row r="329">
          <cell r="C329" t="str">
            <v>Производство</v>
          </cell>
        </row>
        <row r="330">
          <cell r="C330" t="str">
            <v>Производство</v>
          </cell>
        </row>
        <row r="331">
          <cell r="C331" t="str">
            <v>Производство</v>
          </cell>
        </row>
        <row r="332">
          <cell r="C332" t="str">
            <v>Производство</v>
          </cell>
        </row>
        <row r="333">
          <cell r="C333" t="str">
            <v>Производство</v>
          </cell>
        </row>
        <row r="334">
          <cell r="C334" t="str">
            <v>Производство</v>
          </cell>
        </row>
        <row r="335">
          <cell r="C335" t="str">
            <v>Производство</v>
          </cell>
        </row>
        <row r="336">
          <cell r="C336" t="str">
            <v>Производство</v>
          </cell>
        </row>
        <row r="337">
          <cell r="C337" t="str">
            <v>Производство</v>
          </cell>
        </row>
        <row r="338">
          <cell r="C338" t="str">
            <v>Производство</v>
          </cell>
        </row>
        <row r="339">
          <cell r="C339" t="str">
            <v>Производство</v>
          </cell>
        </row>
        <row r="340">
          <cell r="C340" t="str">
            <v>Производство</v>
          </cell>
        </row>
        <row r="341">
          <cell r="C341" t="str">
            <v>Производство</v>
          </cell>
        </row>
        <row r="342">
          <cell r="C342" t="str">
            <v>Производство</v>
          </cell>
        </row>
        <row r="343">
          <cell r="C343" t="str">
            <v>Производство</v>
          </cell>
        </row>
        <row r="344">
          <cell r="C344" t="str">
            <v>Производство</v>
          </cell>
        </row>
        <row r="345">
          <cell r="C345" t="str">
            <v>Производство</v>
          </cell>
        </row>
        <row r="346">
          <cell r="C346" t="str">
            <v>Производство</v>
          </cell>
        </row>
        <row r="347">
          <cell r="C347" t="str">
            <v>Производство</v>
          </cell>
        </row>
        <row r="348">
          <cell r="C348" t="str">
            <v>Производство</v>
          </cell>
        </row>
        <row r="349">
          <cell r="C349" t="str">
            <v>Производство</v>
          </cell>
        </row>
        <row r="350">
          <cell r="C350" t="str">
            <v>Производство</v>
          </cell>
        </row>
        <row r="351">
          <cell r="C351" t="str">
            <v>Производство</v>
          </cell>
        </row>
        <row r="352">
          <cell r="C352" t="str">
            <v>Производство</v>
          </cell>
        </row>
        <row r="353">
          <cell r="C353" t="str">
            <v>Производство</v>
          </cell>
        </row>
        <row r="354">
          <cell r="C354" t="str">
            <v>Производство</v>
          </cell>
        </row>
        <row r="355">
          <cell r="C355" t="str">
            <v>Производство</v>
          </cell>
        </row>
        <row r="356">
          <cell r="C356" t="str">
            <v>Производство</v>
          </cell>
        </row>
        <row r="357">
          <cell r="C357" t="str">
            <v>Производство</v>
          </cell>
        </row>
        <row r="358">
          <cell r="C358" t="str">
            <v>Производство</v>
          </cell>
        </row>
        <row r="359">
          <cell r="C359" t="str">
            <v>Производство</v>
          </cell>
        </row>
        <row r="360">
          <cell r="C360" t="str">
            <v>Производство</v>
          </cell>
        </row>
        <row r="361">
          <cell r="C361" t="str">
            <v>Производство</v>
          </cell>
        </row>
        <row r="362">
          <cell r="C362" t="str">
            <v>Производство</v>
          </cell>
        </row>
        <row r="363">
          <cell r="C363" t="str">
            <v>Производство</v>
          </cell>
        </row>
        <row r="364">
          <cell r="C364" t="str">
            <v>Производство</v>
          </cell>
        </row>
        <row r="365">
          <cell r="C365" t="str">
            <v>Производство</v>
          </cell>
        </row>
        <row r="366">
          <cell r="C366" t="str">
            <v>Производство</v>
          </cell>
        </row>
        <row r="367">
          <cell r="C367" t="str">
            <v>Производство</v>
          </cell>
        </row>
        <row r="368">
          <cell r="C368" t="str">
            <v>Производство</v>
          </cell>
        </row>
        <row r="369">
          <cell r="C369" t="str">
            <v>Производство</v>
          </cell>
        </row>
        <row r="370">
          <cell r="C370" t="str">
            <v>Производство</v>
          </cell>
        </row>
        <row r="371">
          <cell r="C371" t="str">
            <v>Производство</v>
          </cell>
        </row>
        <row r="372">
          <cell r="C372" t="str">
            <v>Производство</v>
          </cell>
        </row>
        <row r="373">
          <cell r="C373" t="str">
            <v>Производство</v>
          </cell>
        </row>
        <row r="374">
          <cell r="C374" t="str">
            <v>Производство</v>
          </cell>
        </row>
        <row r="375">
          <cell r="C375" t="str">
            <v>Производство</v>
          </cell>
        </row>
        <row r="376">
          <cell r="C376" t="str">
            <v>Производство</v>
          </cell>
        </row>
        <row r="377">
          <cell r="C377" t="str">
            <v>Производство</v>
          </cell>
        </row>
        <row r="378">
          <cell r="C378" t="str">
            <v>Производство</v>
          </cell>
        </row>
        <row r="379">
          <cell r="C379" t="str">
            <v>Производство</v>
          </cell>
        </row>
        <row r="380">
          <cell r="C380" t="str">
            <v>Производство</v>
          </cell>
        </row>
        <row r="381">
          <cell r="C381" t="str">
            <v>Производство</v>
          </cell>
        </row>
        <row r="382">
          <cell r="C382" t="str">
            <v>Производство</v>
          </cell>
        </row>
        <row r="383">
          <cell r="C383" t="str">
            <v>Производство</v>
          </cell>
        </row>
        <row r="384">
          <cell r="C384" t="str">
            <v>Производство</v>
          </cell>
        </row>
        <row r="385">
          <cell r="C385" t="str">
            <v>Производство</v>
          </cell>
        </row>
        <row r="386">
          <cell r="C386" t="str">
            <v>Производство</v>
          </cell>
        </row>
        <row r="387">
          <cell r="C387" t="str">
            <v>Производство</v>
          </cell>
        </row>
        <row r="388">
          <cell r="C388" t="str">
            <v>Производство</v>
          </cell>
        </row>
        <row r="389">
          <cell r="C389" t="str">
            <v>Производство</v>
          </cell>
        </row>
        <row r="390">
          <cell r="C390" t="str">
            <v>Производство</v>
          </cell>
        </row>
        <row r="391">
          <cell r="C391" t="str">
            <v>Производство</v>
          </cell>
        </row>
        <row r="392">
          <cell r="C392" t="str">
            <v>Производство</v>
          </cell>
        </row>
        <row r="393">
          <cell r="C393" t="str">
            <v>Производство</v>
          </cell>
        </row>
        <row r="394">
          <cell r="C394" t="str">
            <v>Производство</v>
          </cell>
        </row>
        <row r="395">
          <cell r="C395" t="str">
            <v>Производство</v>
          </cell>
        </row>
        <row r="396">
          <cell r="C396" t="str">
            <v>Производство</v>
          </cell>
        </row>
        <row r="397">
          <cell r="C397" t="str">
            <v>Производство</v>
          </cell>
        </row>
        <row r="398">
          <cell r="C398" t="str">
            <v>Производство</v>
          </cell>
        </row>
        <row r="399">
          <cell r="C399" t="str">
            <v>Производство</v>
          </cell>
        </row>
        <row r="400">
          <cell r="C400" t="str">
            <v>Производство</v>
          </cell>
        </row>
        <row r="401">
          <cell r="C401" t="str">
            <v>Производство</v>
          </cell>
        </row>
        <row r="402">
          <cell r="C402" t="str">
            <v>Производство</v>
          </cell>
        </row>
        <row r="403">
          <cell r="C403" t="str">
            <v>Производство</v>
          </cell>
        </row>
        <row r="404">
          <cell r="C404" t="str">
            <v>Производство</v>
          </cell>
        </row>
        <row r="405">
          <cell r="C405" t="str">
            <v>Производство</v>
          </cell>
        </row>
        <row r="406">
          <cell r="C406" t="str">
            <v>Производство</v>
          </cell>
        </row>
        <row r="407">
          <cell r="C407" t="str">
            <v>Производство</v>
          </cell>
        </row>
        <row r="408">
          <cell r="C408" t="str">
            <v>Производство</v>
          </cell>
        </row>
        <row r="409">
          <cell r="C409" t="str">
            <v>Производство</v>
          </cell>
        </row>
        <row r="410">
          <cell r="C410" t="str">
            <v>Производство</v>
          </cell>
        </row>
        <row r="411">
          <cell r="C411" t="str">
            <v>Производство</v>
          </cell>
        </row>
        <row r="412">
          <cell r="C412" t="str">
            <v>Производство</v>
          </cell>
        </row>
        <row r="413">
          <cell r="C413" t="str">
            <v>Производство</v>
          </cell>
        </row>
        <row r="414">
          <cell r="C414" t="str">
            <v>Производство</v>
          </cell>
        </row>
        <row r="415">
          <cell r="C415" t="str">
            <v>Производство</v>
          </cell>
        </row>
        <row r="416">
          <cell r="C416" t="str">
            <v>Производство</v>
          </cell>
        </row>
        <row r="417">
          <cell r="C417" t="str">
            <v>Производство</v>
          </cell>
        </row>
        <row r="418">
          <cell r="C418" t="str">
            <v>Производство</v>
          </cell>
        </row>
        <row r="419">
          <cell r="C419" t="str">
            <v>Производство</v>
          </cell>
        </row>
        <row r="420">
          <cell r="C420" t="str">
            <v>Производство</v>
          </cell>
        </row>
        <row r="421">
          <cell r="C421" t="str">
            <v>Производство</v>
          </cell>
        </row>
        <row r="422">
          <cell r="C422" t="str">
            <v>Производство</v>
          </cell>
        </row>
        <row r="423">
          <cell r="C423" t="str">
            <v>Производство</v>
          </cell>
        </row>
        <row r="424">
          <cell r="C424" t="str">
            <v>Производство</v>
          </cell>
        </row>
        <row r="425">
          <cell r="C425" t="str">
            <v>Производство</v>
          </cell>
        </row>
        <row r="426">
          <cell r="C426" t="str">
            <v>Производство</v>
          </cell>
        </row>
        <row r="427">
          <cell r="C427" t="str">
            <v>Производство</v>
          </cell>
        </row>
        <row r="428">
          <cell r="C428" t="str">
            <v>Производство</v>
          </cell>
        </row>
        <row r="429">
          <cell r="C429" t="str">
            <v>Производство</v>
          </cell>
        </row>
        <row r="430">
          <cell r="C430" t="str">
            <v>Производство</v>
          </cell>
        </row>
        <row r="431">
          <cell r="C431" t="str">
            <v>Производство</v>
          </cell>
        </row>
        <row r="432">
          <cell r="C432" t="str">
            <v>Производство</v>
          </cell>
        </row>
        <row r="433">
          <cell r="C433" t="str">
            <v>Производство</v>
          </cell>
        </row>
        <row r="434">
          <cell r="C434" t="str">
            <v>Производство</v>
          </cell>
        </row>
        <row r="435">
          <cell r="C435" t="str">
            <v>Производство</v>
          </cell>
        </row>
        <row r="436">
          <cell r="C436" t="str">
            <v>Производство</v>
          </cell>
        </row>
        <row r="437">
          <cell r="C437" t="str">
            <v>Производство</v>
          </cell>
        </row>
        <row r="438">
          <cell r="C438" t="str">
            <v>Производство</v>
          </cell>
        </row>
        <row r="439">
          <cell r="C439" t="str">
            <v>Производство</v>
          </cell>
        </row>
        <row r="440">
          <cell r="C440" t="str">
            <v>Производство</v>
          </cell>
        </row>
        <row r="441">
          <cell r="C441" t="str">
            <v>Производство</v>
          </cell>
        </row>
        <row r="442">
          <cell r="C442" t="str">
            <v>Производство</v>
          </cell>
        </row>
        <row r="443">
          <cell r="C443" t="str">
            <v>Производство</v>
          </cell>
        </row>
        <row r="444">
          <cell r="C444" t="str">
            <v>Производство</v>
          </cell>
        </row>
        <row r="445">
          <cell r="C445" t="str">
            <v>Производство</v>
          </cell>
        </row>
        <row r="446">
          <cell r="C446" t="str">
            <v>Производство</v>
          </cell>
        </row>
        <row r="447">
          <cell r="C447" t="str">
            <v>Производство</v>
          </cell>
        </row>
        <row r="448">
          <cell r="C448" t="str">
            <v>Производство</v>
          </cell>
        </row>
        <row r="449">
          <cell r="C449" t="str">
            <v>Производство</v>
          </cell>
        </row>
        <row r="450">
          <cell r="C450" t="str">
            <v>Производство</v>
          </cell>
        </row>
        <row r="451">
          <cell r="C451" t="str">
            <v>Производство</v>
          </cell>
        </row>
        <row r="452">
          <cell r="C452" t="str">
            <v>Производство</v>
          </cell>
        </row>
        <row r="453">
          <cell r="C453" t="str">
            <v>Производство</v>
          </cell>
        </row>
        <row r="454">
          <cell r="C454" t="str">
            <v>Производство</v>
          </cell>
        </row>
        <row r="455">
          <cell r="C455" t="str">
            <v>Производство</v>
          </cell>
        </row>
        <row r="456">
          <cell r="C456" t="str">
            <v>Производство</v>
          </cell>
        </row>
        <row r="457">
          <cell r="C457" t="str">
            <v>Производство</v>
          </cell>
        </row>
        <row r="458">
          <cell r="C458" t="str">
            <v>Производство</v>
          </cell>
        </row>
        <row r="459">
          <cell r="C459" t="str">
            <v>Производство</v>
          </cell>
        </row>
        <row r="460">
          <cell r="C460" t="str">
            <v>Производство</v>
          </cell>
        </row>
        <row r="461">
          <cell r="C461" t="str">
            <v>Производство</v>
          </cell>
        </row>
        <row r="462">
          <cell r="C462" t="str">
            <v>Производство</v>
          </cell>
        </row>
        <row r="463">
          <cell r="C463" t="str">
            <v>Производство</v>
          </cell>
        </row>
        <row r="464">
          <cell r="C464" t="str">
            <v>Производство</v>
          </cell>
        </row>
        <row r="465">
          <cell r="C465" t="str">
            <v>Производство</v>
          </cell>
        </row>
        <row r="466">
          <cell r="C466" t="str">
            <v>Производство</v>
          </cell>
        </row>
        <row r="467">
          <cell r="C467" t="str">
            <v>Производство</v>
          </cell>
        </row>
        <row r="468">
          <cell r="C468" t="str">
            <v>Производство</v>
          </cell>
        </row>
        <row r="469">
          <cell r="C469" t="str">
            <v>Производство</v>
          </cell>
        </row>
        <row r="470">
          <cell r="C470" t="str">
            <v>Производство</v>
          </cell>
        </row>
        <row r="471">
          <cell r="C471" t="str">
            <v>Производство</v>
          </cell>
        </row>
        <row r="472">
          <cell r="C472" t="str">
            <v>Производство</v>
          </cell>
        </row>
        <row r="473">
          <cell r="C473" t="str">
            <v>Производство</v>
          </cell>
        </row>
        <row r="474">
          <cell r="C474" t="str">
            <v>Производство</v>
          </cell>
        </row>
        <row r="475">
          <cell r="C475" t="str">
            <v>Производство</v>
          </cell>
        </row>
        <row r="476">
          <cell r="C476" t="str">
            <v>Производство</v>
          </cell>
        </row>
        <row r="477">
          <cell r="C477" t="str">
            <v>Производство</v>
          </cell>
        </row>
        <row r="478">
          <cell r="C478" t="str">
            <v>Производство</v>
          </cell>
        </row>
        <row r="479">
          <cell r="C479" t="str">
            <v>Производство</v>
          </cell>
        </row>
        <row r="480">
          <cell r="C480" t="str">
            <v>Производство</v>
          </cell>
        </row>
        <row r="481">
          <cell r="C481" t="str">
            <v>Производство</v>
          </cell>
        </row>
        <row r="482">
          <cell r="C482" t="str">
            <v>Производство</v>
          </cell>
        </row>
        <row r="483">
          <cell r="C483" t="str">
            <v>Производство</v>
          </cell>
        </row>
        <row r="484">
          <cell r="C484" t="str">
            <v>Производство</v>
          </cell>
        </row>
        <row r="485">
          <cell r="C485" t="str">
            <v>Производство</v>
          </cell>
        </row>
        <row r="486">
          <cell r="C486" t="str">
            <v>Производство</v>
          </cell>
        </row>
        <row r="487">
          <cell r="C487" t="str">
            <v>Производство</v>
          </cell>
        </row>
        <row r="488">
          <cell r="C488" t="str">
            <v>Производство</v>
          </cell>
        </row>
        <row r="489">
          <cell r="C489" t="str">
            <v>Производство</v>
          </cell>
        </row>
        <row r="490">
          <cell r="C490" t="str">
            <v>Производство</v>
          </cell>
        </row>
        <row r="491">
          <cell r="C491" t="str">
            <v>Производство</v>
          </cell>
        </row>
        <row r="492">
          <cell r="C492" t="str">
            <v>Производство</v>
          </cell>
        </row>
        <row r="493">
          <cell r="C493" t="str">
            <v>Производство</v>
          </cell>
        </row>
        <row r="494">
          <cell r="C494" t="str">
            <v>Производство</v>
          </cell>
        </row>
        <row r="495">
          <cell r="C495" t="str">
            <v>Производство</v>
          </cell>
        </row>
        <row r="496">
          <cell r="C496" t="str">
            <v>Производство</v>
          </cell>
        </row>
        <row r="497">
          <cell r="C497" t="str">
            <v>Производство</v>
          </cell>
        </row>
        <row r="498">
          <cell r="C498" t="str">
            <v>Производство</v>
          </cell>
        </row>
        <row r="499">
          <cell r="C499" t="str">
            <v>Производство</v>
          </cell>
        </row>
        <row r="500">
          <cell r="C500" t="str">
            <v>Производство</v>
          </cell>
        </row>
        <row r="501">
          <cell r="C501" t="str">
            <v>Производство</v>
          </cell>
        </row>
        <row r="502">
          <cell r="C502" t="str">
            <v>Производство</v>
          </cell>
        </row>
        <row r="503">
          <cell r="C503" t="str">
            <v>Производство</v>
          </cell>
        </row>
        <row r="504">
          <cell r="C504" t="str">
            <v>Производство</v>
          </cell>
        </row>
        <row r="505">
          <cell r="C505" t="str">
            <v>Производство</v>
          </cell>
        </row>
        <row r="506">
          <cell r="C506" t="str">
            <v>Производство</v>
          </cell>
        </row>
        <row r="507">
          <cell r="C507" t="str">
            <v>Производство</v>
          </cell>
        </row>
        <row r="508">
          <cell r="C508" t="str">
            <v>Производство</v>
          </cell>
        </row>
        <row r="509">
          <cell r="C509" t="str">
            <v>Производство</v>
          </cell>
        </row>
        <row r="510">
          <cell r="C510" t="str">
            <v>Производство</v>
          </cell>
        </row>
        <row r="511">
          <cell r="C511" t="str">
            <v>Производство</v>
          </cell>
        </row>
        <row r="512">
          <cell r="C512" t="str">
            <v>Производство</v>
          </cell>
        </row>
        <row r="513">
          <cell r="C513" t="str">
            <v>Производство</v>
          </cell>
        </row>
        <row r="514">
          <cell r="C514" t="str">
            <v>Производство</v>
          </cell>
        </row>
        <row r="515">
          <cell r="C515" t="str">
            <v>Производство</v>
          </cell>
        </row>
        <row r="516">
          <cell r="C516" t="str">
            <v>Производство</v>
          </cell>
        </row>
        <row r="517">
          <cell r="C517" t="str">
            <v>Производство</v>
          </cell>
        </row>
        <row r="518">
          <cell r="C518" t="str">
            <v>Производство</v>
          </cell>
        </row>
        <row r="519">
          <cell r="C519" t="str">
            <v>Производство</v>
          </cell>
        </row>
        <row r="520">
          <cell r="C520" t="str">
            <v>Производство</v>
          </cell>
        </row>
        <row r="521">
          <cell r="C521" t="str">
            <v>Производство</v>
          </cell>
        </row>
        <row r="522">
          <cell r="C522" t="str">
            <v>Производство</v>
          </cell>
        </row>
        <row r="523">
          <cell r="C523" t="str">
            <v>Производство</v>
          </cell>
        </row>
        <row r="524">
          <cell r="C524" t="str">
            <v>Производство</v>
          </cell>
        </row>
        <row r="525">
          <cell r="C525" t="str">
            <v>Производство</v>
          </cell>
        </row>
        <row r="526">
          <cell r="C526" t="str">
            <v>Производство</v>
          </cell>
        </row>
        <row r="527">
          <cell r="C527" t="str">
            <v>Производство</v>
          </cell>
        </row>
        <row r="528">
          <cell r="C528" t="str">
            <v>Производство</v>
          </cell>
        </row>
        <row r="529">
          <cell r="C529" t="str">
            <v>Производство</v>
          </cell>
        </row>
        <row r="530">
          <cell r="C530" t="str">
            <v>Производство</v>
          </cell>
        </row>
        <row r="531">
          <cell r="C531" t="str">
            <v>Производство</v>
          </cell>
        </row>
        <row r="532">
          <cell r="C532" t="str">
            <v>Производство</v>
          </cell>
        </row>
        <row r="533">
          <cell r="C533" t="str">
            <v>Производство</v>
          </cell>
        </row>
        <row r="534">
          <cell r="C534" t="str">
            <v>Производство</v>
          </cell>
        </row>
        <row r="535">
          <cell r="C535" t="str">
            <v>Производство</v>
          </cell>
        </row>
        <row r="536">
          <cell r="C536" t="str">
            <v>Производство</v>
          </cell>
        </row>
        <row r="537">
          <cell r="C537" t="str">
            <v>Производство</v>
          </cell>
        </row>
        <row r="538">
          <cell r="C538" t="str">
            <v>Производство</v>
          </cell>
        </row>
        <row r="539">
          <cell r="C539" t="str">
            <v>Производство</v>
          </cell>
        </row>
        <row r="540">
          <cell r="C540" t="str">
            <v>Производство</v>
          </cell>
        </row>
        <row r="541">
          <cell r="C541" t="str">
            <v>Производство</v>
          </cell>
        </row>
        <row r="542">
          <cell r="C542" t="str">
            <v>Производство</v>
          </cell>
        </row>
        <row r="543">
          <cell r="C543" t="str">
            <v>Производство</v>
          </cell>
        </row>
        <row r="544">
          <cell r="C544" t="str">
            <v>Производство</v>
          </cell>
        </row>
        <row r="545">
          <cell r="C545" t="str">
            <v>Производство</v>
          </cell>
        </row>
        <row r="546">
          <cell r="C546" t="str">
            <v>Производство</v>
          </cell>
        </row>
        <row r="547">
          <cell r="C547" t="str">
            <v>Производство</v>
          </cell>
        </row>
        <row r="548">
          <cell r="C548" t="str">
            <v>Производство</v>
          </cell>
        </row>
        <row r="549">
          <cell r="C549" t="str">
            <v>Производство</v>
          </cell>
        </row>
        <row r="550">
          <cell r="C550" t="str">
            <v>Производство</v>
          </cell>
        </row>
        <row r="551">
          <cell r="C551" t="str">
            <v>Производство</v>
          </cell>
        </row>
        <row r="552">
          <cell r="C552" t="str">
            <v>Производство</v>
          </cell>
        </row>
        <row r="553">
          <cell r="C553" t="str">
            <v>Производство</v>
          </cell>
        </row>
        <row r="554">
          <cell r="C554" t="str">
            <v>Производство</v>
          </cell>
        </row>
        <row r="555">
          <cell r="C555" t="str">
            <v>Производство</v>
          </cell>
        </row>
        <row r="556">
          <cell r="C556" t="str">
            <v>Производство</v>
          </cell>
        </row>
        <row r="557">
          <cell r="C557" t="str">
            <v>Производство</v>
          </cell>
        </row>
        <row r="558">
          <cell r="C558" t="str">
            <v>Производство</v>
          </cell>
        </row>
        <row r="559">
          <cell r="C559" t="str">
            <v>Производство</v>
          </cell>
        </row>
        <row r="560">
          <cell r="C560" t="str">
            <v>Производство</v>
          </cell>
        </row>
        <row r="561">
          <cell r="C561" t="str">
            <v>Производство</v>
          </cell>
        </row>
        <row r="562">
          <cell r="C562" t="str">
            <v>Производство</v>
          </cell>
        </row>
        <row r="563">
          <cell r="C563" t="str">
            <v>Производство</v>
          </cell>
        </row>
        <row r="564">
          <cell r="C564" t="str">
            <v>Производство</v>
          </cell>
        </row>
        <row r="565">
          <cell r="C565" t="str">
            <v>Производство</v>
          </cell>
        </row>
        <row r="566">
          <cell r="C566" t="str">
            <v>Производство</v>
          </cell>
        </row>
        <row r="567">
          <cell r="C567" t="str">
            <v>Производство</v>
          </cell>
        </row>
        <row r="568">
          <cell r="C568" t="str">
            <v>Производство</v>
          </cell>
        </row>
        <row r="569">
          <cell r="C569" t="str">
            <v>Производство</v>
          </cell>
        </row>
        <row r="570">
          <cell r="C570" t="str">
            <v>Производство</v>
          </cell>
        </row>
        <row r="571">
          <cell r="C571" t="str">
            <v>Производство</v>
          </cell>
        </row>
        <row r="572">
          <cell r="C572" t="str">
            <v>Производство</v>
          </cell>
        </row>
        <row r="573">
          <cell r="C573" t="str">
            <v>Производство</v>
          </cell>
        </row>
        <row r="574">
          <cell r="C574" t="str">
            <v>Производство</v>
          </cell>
        </row>
        <row r="575">
          <cell r="C575" t="str">
            <v>Производство</v>
          </cell>
        </row>
        <row r="576">
          <cell r="C576" t="str">
            <v>Производство</v>
          </cell>
        </row>
        <row r="577">
          <cell r="C577" t="str">
            <v>Производство</v>
          </cell>
        </row>
        <row r="578">
          <cell r="C578" t="str">
            <v>Производство</v>
          </cell>
        </row>
        <row r="579">
          <cell r="C579" t="str">
            <v>Производство</v>
          </cell>
        </row>
        <row r="580">
          <cell r="C580" t="str">
            <v>Производство</v>
          </cell>
        </row>
        <row r="581">
          <cell r="C581" t="str">
            <v>Производство</v>
          </cell>
        </row>
        <row r="582">
          <cell r="C582" t="str">
            <v>Производство</v>
          </cell>
        </row>
        <row r="583">
          <cell r="C583" t="str">
            <v>Производство</v>
          </cell>
        </row>
        <row r="584">
          <cell r="C584" t="str">
            <v>Производство</v>
          </cell>
        </row>
        <row r="585">
          <cell r="C585" t="str">
            <v>Производство</v>
          </cell>
        </row>
        <row r="586">
          <cell r="C586" t="str">
            <v>Производство</v>
          </cell>
        </row>
        <row r="587">
          <cell r="C587" t="str">
            <v>Производство</v>
          </cell>
        </row>
        <row r="588">
          <cell r="C588" t="str">
            <v>Производство</v>
          </cell>
        </row>
        <row r="589">
          <cell r="C589" t="str">
            <v>Производство</v>
          </cell>
        </row>
        <row r="590">
          <cell r="C590" t="str">
            <v>Производство</v>
          </cell>
        </row>
        <row r="591">
          <cell r="C591" t="str">
            <v>Производство</v>
          </cell>
        </row>
        <row r="592">
          <cell r="C592" t="str">
            <v>Производство</v>
          </cell>
        </row>
        <row r="593">
          <cell r="C593" t="str">
            <v>Производство</v>
          </cell>
        </row>
        <row r="594">
          <cell r="C594" t="str">
            <v>Производство</v>
          </cell>
        </row>
        <row r="595">
          <cell r="C595" t="str">
            <v>Производство</v>
          </cell>
        </row>
        <row r="596">
          <cell r="C596" t="str">
            <v>Производство</v>
          </cell>
        </row>
        <row r="597">
          <cell r="C597" t="str">
            <v>Производство</v>
          </cell>
        </row>
        <row r="598">
          <cell r="C598" t="str">
            <v>Производство</v>
          </cell>
        </row>
        <row r="599">
          <cell r="C599" t="str">
            <v>Производство</v>
          </cell>
        </row>
        <row r="600">
          <cell r="C600" t="str">
            <v>Производство</v>
          </cell>
        </row>
        <row r="601">
          <cell r="C601" t="str">
            <v>Производство</v>
          </cell>
        </row>
        <row r="602">
          <cell r="C602" t="str">
            <v>Производство</v>
          </cell>
        </row>
        <row r="603">
          <cell r="C603" t="str">
            <v>Производство</v>
          </cell>
        </row>
        <row r="604">
          <cell r="C604" t="str">
            <v>Производство</v>
          </cell>
        </row>
        <row r="605">
          <cell r="C605" t="str">
            <v>Производство</v>
          </cell>
        </row>
        <row r="606">
          <cell r="C606" t="str">
            <v>Производство</v>
          </cell>
        </row>
        <row r="607">
          <cell r="C607" t="str">
            <v>Производство</v>
          </cell>
        </row>
        <row r="608">
          <cell r="C608" t="str">
            <v>Производство</v>
          </cell>
        </row>
        <row r="609">
          <cell r="C609" t="str">
            <v>Производство</v>
          </cell>
        </row>
        <row r="610">
          <cell r="C610" t="str">
            <v>Производство</v>
          </cell>
        </row>
        <row r="611">
          <cell r="C611" t="str">
            <v>Производство</v>
          </cell>
        </row>
        <row r="612">
          <cell r="C612" t="str">
            <v>Производство</v>
          </cell>
        </row>
        <row r="613">
          <cell r="C613" t="str">
            <v>Производство</v>
          </cell>
        </row>
        <row r="614">
          <cell r="C614" t="str">
            <v>Производство</v>
          </cell>
        </row>
        <row r="615">
          <cell r="C615" t="str">
            <v>Производство</v>
          </cell>
        </row>
        <row r="616">
          <cell r="C616" t="str">
            <v>Производство</v>
          </cell>
        </row>
        <row r="617">
          <cell r="C617" t="str">
            <v>Производство</v>
          </cell>
        </row>
        <row r="618">
          <cell r="C618" t="str">
            <v>Производство</v>
          </cell>
        </row>
        <row r="619">
          <cell r="C619" t="str">
            <v>Производство</v>
          </cell>
        </row>
        <row r="620">
          <cell r="C620" t="str">
            <v>Производство</v>
          </cell>
        </row>
        <row r="621">
          <cell r="C621" t="str">
            <v>Производство</v>
          </cell>
        </row>
        <row r="622">
          <cell r="C622" t="str">
            <v>Производство</v>
          </cell>
        </row>
        <row r="623">
          <cell r="C623" t="str">
            <v>Производство</v>
          </cell>
        </row>
        <row r="624">
          <cell r="C624" t="str">
            <v>Производство</v>
          </cell>
        </row>
        <row r="625">
          <cell r="C625" t="str">
            <v>Производство</v>
          </cell>
        </row>
        <row r="626">
          <cell r="C626" t="str">
            <v>Производство</v>
          </cell>
        </row>
        <row r="627">
          <cell r="C627" t="str">
            <v>Производство</v>
          </cell>
        </row>
        <row r="628">
          <cell r="C628" t="str">
            <v>Производство</v>
          </cell>
        </row>
        <row r="629">
          <cell r="C629" t="str">
            <v>Производство</v>
          </cell>
        </row>
        <row r="630">
          <cell r="C630" t="str">
            <v>Производство</v>
          </cell>
        </row>
        <row r="631">
          <cell r="C631" t="str">
            <v>Производство</v>
          </cell>
        </row>
        <row r="632">
          <cell r="C632" t="str">
            <v>Производство</v>
          </cell>
        </row>
        <row r="633">
          <cell r="C633" t="str">
            <v>Производство</v>
          </cell>
        </row>
        <row r="634">
          <cell r="C634" t="str">
            <v>Производство</v>
          </cell>
        </row>
        <row r="635">
          <cell r="C635" t="str">
            <v>Производство</v>
          </cell>
        </row>
        <row r="636">
          <cell r="C636" t="str">
            <v>Производство</v>
          </cell>
        </row>
        <row r="637">
          <cell r="C637" t="str">
            <v>Производство</v>
          </cell>
        </row>
        <row r="638">
          <cell r="C638" t="str">
            <v>Производство</v>
          </cell>
        </row>
        <row r="639">
          <cell r="C639" t="str">
            <v>Производство</v>
          </cell>
        </row>
        <row r="640">
          <cell r="C640" t="str">
            <v>Производство</v>
          </cell>
        </row>
        <row r="641">
          <cell r="C641" t="str">
            <v>Производство</v>
          </cell>
        </row>
        <row r="642">
          <cell r="C642" t="str">
            <v>Производство</v>
          </cell>
        </row>
        <row r="643">
          <cell r="C643" t="str">
            <v>Производство</v>
          </cell>
        </row>
        <row r="644">
          <cell r="C644" t="str">
            <v>Производство</v>
          </cell>
        </row>
        <row r="645">
          <cell r="C645" t="str">
            <v>Производство</v>
          </cell>
        </row>
        <row r="646">
          <cell r="C646" t="str">
            <v>Производство</v>
          </cell>
        </row>
        <row r="647">
          <cell r="C647" t="str">
            <v>Производство</v>
          </cell>
        </row>
        <row r="648">
          <cell r="C648" t="str">
            <v>Производство</v>
          </cell>
        </row>
        <row r="649">
          <cell r="C649" t="str">
            <v>Производство</v>
          </cell>
        </row>
        <row r="650">
          <cell r="C650" t="str">
            <v>Производство</v>
          </cell>
        </row>
        <row r="651">
          <cell r="C651" t="str">
            <v>Производство</v>
          </cell>
        </row>
        <row r="652">
          <cell r="C652" t="str">
            <v>Производство</v>
          </cell>
        </row>
        <row r="653">
          <cell r="C653" t="str">
            <v>Производство</v>
          </cell>
        </row>
        <row r="654">
          <cell r="C654" t="str">
            <v>Производство</v>
          </cell>
        </row>
        <row r="655">
          <cell r="C655" t="str">
            <v>Производство</v>
          </cell>
        </row>
        <row r="656">
          <cell r="C656" t="str">
            <v>Производство</v>
          </cell>
        </row>
        <row r="657">
          <cell r="C657" t="str">
            <v>Производство</v>
          </cell>
        </row>
        <row r="658">
          <cell r="C658" t="str">
            <v>Производство</v>
          </cell>
        </row>
        <row r="659">
          <cell r="C659" t="str">
            <v>Производство</v>
          </cell>
        </row>
        <row r="660">
          <cell r="C660" t="str">
            <v>Производство</v>
          </cell>
        </row>
        <row r="661">
          <cell r="C661" t="str">
            <v>Производство</v>
          </cell>
        </row>
        <row r="662">
          <cell r="C662" t="str">
            <v>Производство</v>
          </cell>
        </row>
        <row r="663">
          <cell r="C663" t="str">
            <v>Производство</v>
          </cell>
        </row>
        <row r="664">
          <cell r="C664" t="str">
            <v>Производство</v>
          </cell>
        </row>
        <row r="665">
          <cell r="C665" t="str">
            <v>Производство</v>
          </cell>
        </row>
        <row r="666">
          <cell r="C666" t="str">
            <v>Производство</v>
          </cell>
        </row>
        <row r="667">
          <cell r="C667" t="str">
            <v>Производство</v>
          </cell>
        </row>
        <row r="668">
          <cell r="C668" t="str">
            <v>Производство</v>
          </cell>
        </row>
        <row r="669">
          <cell r="C669" t="str">
            <v>Производство</v>
          </cell>
        </row>
        <row r="670">
          <cell r="C670" t="str">
            <v>Производство</v>
          </cell>
        </row>
        <row r="671">
          <cell r="C671" t="str">
            <v>Производство</v>
          </cell>
        </row>
        <row r="672">
          <cell r="C672" t="str">
            <v>Производство</v>
          </cell>
        </row>
        <row r="673">
          <cell r="C673" t="str">
            <v>Производство</v>
          </cell>
        </row>
        <row r="674">
          <cell r="C674" t="str">
            <v>Производство</v>
          </cell>
        </row>
        <row r="675">
          <cell r="C675" t="str">
            <v>Производство</v>
          </cell>
        </row>
        <row r="676">
          <cell r="C676" t="str">
            <v>Производство</v>
          </cell>
        </row>
        <row r="677">
          <cell r="C677" t="str">
            <v>Производство</v>
          </cell>
        </row>
        <row r="678">
          <cell r="C678" t="str">
            <v>Производство</v>
          </cell>
        </row>
        <row r="679">
          <cell r="C679" t="str">
            <v>Производство</v>
          </cell>
        </row>
        <row r="680">
          <cell r="C680" t="str">
            <v>Производство</v>
          </cell>
        </row>
        <row r="681">
          <cell r="C681" t="str">
            <v>Производство</v>
          </cell>
        </row>
        <row r="682">
          <cell r="C682" t="str">
            <v>Производство</v>
          </cell>
        </row>
        <row r="683">
          <cell r="C683" t="str">
            <v>Производство</v>
          </cell>
        </row>
        <row r="684">
          <cell r="C684" t="str">
            <v>Производство</v>
          </cell>
        </row>
        <row r="685">
          <cell r="C685" t="str">
            <v>Производство</v>
          </cell>
        </row>
        <row r="686">
          <cell r="C686" t="str">
            <v>Производство</v>
          </cell>
        </row>
        <row r="687">
          <cell r="C687" t="str">
            <v>Производство</v>
          </cell>
        </row>
        <row r="688">
          <cell r="C688" t="str">
            <v>Производство</v>
          </cell>
        </row>
        <row r="689">
          <cell r="C689" t="str">
            <v>Производство</v>
          </cell>
        </row>
        <row r="690">
          <cell r="C690" t="str">
            <v>Производство</v>
          </cell>
        </row>
        <row r="691">
          <cell r="C691" t="str">
            <v>Производство</v>
          </cell>
        </row>
        <row r="692">
          <cell r="C692" t="str">
            <v>Производство</v>
          </cell>
        </row>
        <row r="693">
          <cell r="C693" t="str">
            <v>Производство</v>
          </cell>
        </row>
        <row r="694">
          <cell r="C694" t="str">
            <v>Производство</v>
          </cell>
        </row>
        <row r="695">
          <cell r="C695" t="str">
            <v>Производство</v>
          </cell>
        </row>
        <row r="696">
          <cell r="C696" t="str">
            <v>Производство</v>
          </cell>
        </row>
        <row r="697">
          <cell r="C697" t="str">
            <v>Производство</v>
          </cell>
        </row>
        <row r="698">
          <cell r="C698" t="str">
            <v>Производство</v>
          </cell>
        </row>
        <row r="699">
          <cell r="C699" t="str">
            <v>Производство</v>
          </cell>
        </row>
        <row r="700">
          <cell r="C700" t="str">
            <v>Производство</v>
          </cell>
        </row>
        <row r="701">
          <cell r="C701" t="str">
            <v>Производство</v>
          </cell>
        </row>
        <row r="702">
          <cell r="C702" t="str">
            <v>Производство</v>
          </cell>
        </row>
        <row r="703">
          <cell r="C703" t="str">
            <v>Производство</v>
          </cell>
        </row>
        <row r="704">
          <cell r="C704" t="str">
            <v>Производство</v>
          </cell>
        </row>
        <row r="705">
          <cell r="C705" t="str">
            <v>Производство</v>
          </cell>
        </row>
        <row r="706">
          <cell r="C706" t="str">
            <v>Производство</v>
          </cell>
        </row>
        <row r="707">
          <cell r="C707" t="str">
            <v>Производство</v>
          </cell>
        </row>
        <row r="708">
          <cell r="C708" t="str">
            <v>Производство</v>
          </cell>
        </row>
        <row r="709">
          <cell r="C709" t="str">
            <v>Производство</v>
          </cell>
        </row>
        <row r="710">
          <cell r="C710" t="str">
            <v>Производство</v>
          </cell>
        </row>
        <row r="711">
          <cell r="C711" t="str">
            <v>Производство</v>
          </cell>
        </row>
        <row r="712">
          <cell r="C712" t="str">
            <v>Производство</v>
          </cell>
        </row>
        <row r="713">
          <cell r="C713" t="str">
            <v>Производство</v>
          </cell>
        </row>
        <row r="714">
          <cell r="C714" t="str">
            <v>Производство</v>
          </cell>
        </row>
        <row r="715">
          <cell r="C715" t="str">
            <v>Производство</v>
          </cell>
        </row>
        <row r="716">
          <cell r="C716" t="str">
            <v>Производство</v>
          </cell>
        </row>
        <row r="717">
          <cell r="C717" t="str">
            <v>Производство</v>
          </cell>
        </row>
        <row r="718">
          <cell r="C718" t="str">
            <v>Производство</v>
          </cell>
        </row>
        <row r="719">
          <cell r="C719" t="str">
            <v>Производство</v>
          </cell>
        </row>
        <row r="720">
          <cell r="C720" t="str">
            <v>Производство</v>
          </cell>
        </row>
        <row r="721">
          <cell r="C721" t="str">
            <v>Производство</v>
          </cell>
        </row>
        <row r="722">
          <cell r="C722" t="str">
            <v>Производство</v>
          </cell>
        </row>
        <row r="723">
          <cell r="C723" t="str">
            <v>Производство</v>
          </cell>
        </row>
        <row r="724">
          <cell r="C724" t="str">
            <v>Производство</v>
          </cell>
        </row>
        <row r="725">
          <cell r="C725" t="str">
            <v>Производство</v>
          </cell>
        </row>
        <row r="726">
          <cell r="C726" t="str">
            <v>Производство</v>
          </cell>
        </row>
        <row r="727">
          <cell r="C727" t="str">
            <v>Производство</v>
          </cell>
        </row>
        <row r="728">
          <cell r="C728" t="str">
            <v>Производство</v>
          </cell>
        </row>
        <row r="729">
          <cell r="C729" t="str">
            <v>Производство</v>
          </cell>
        </row>
        <row r="730">
          <cell r="C730" t="str">
            <v>Производство</v>
          </cell>
        </row>
        <row r="731">
          <cell r="C731" t="str">
            <v>Производство</v>
          </cell>
        </row>
        <row r="732">
          <cell r="C732" t="str">
            <v>Производство</v>
          </cell>
        </row>
        <row r="733">
          <cell r="C733" t="str">
            <v>Производство</v>
          </cell>
        </row>
        <row r="734">
          <cell r="C734" t="str">
            <v>Производство</v>
          </cell>
        </row>
        <row r="735">
          <cell r="C735" t="str">
            <v>Производство</v>
          </cell>
        </row>
        <row r="736">
          <cell r="C736" t="str">
            <v>Производство</v>
          </cell>
        </row>
        <row r="737">
          <cell r="C737" t="str">
            <v>Производство</v>
          </cell>
        </row>
        <row r="738">
          <cell r="C738" t="str">
            <v>Производство</v>
          </cell>
        </row>
        <row r="739">
          <cell r="C739" t="str">
            <v>Производство</v>
          </cell>
        </row>
        <row r="740">
          <cell r="C740" t="str">
            <v>Производство</v>
          </cell>
        </row>
        <row r="741">
          <cell r="C741" t="str">
            <v>Производство</v>
          </cell>
        </row>
        <row r="742">
          <cell r="C742" t="str">
            <v>Производство</v>
          </cell>
        </row>
        <row r="743">
          <cell r="C743" t="str">
            <v>Производство</v>
          </cell>
        </row>
        <row r="744">
          <cell r="C744" t="str">
            <v>Производство</v>
          </cell>
        </row>
        <row r="745">
          <cell r="C745" t="str">
            <v>Производство</v>
          </cell>
        </row>
        <row r="746">
          <cell r="C746" t="str">
            <v>Производство</v>
          </cell>
        </row>
        <row r="747">
          <cell r="C747" t="str">
            <v>Производство</v>
          </cell>
        </row>
        <row r="748">
          <cell r="C748" t="str">
            <v>Производство</v>
          </cell>
        </row>
        <row r="749">
          <cell r="C749" t="str">
            <v>Производство</v>
          </cell>
        </row>
        <row r="750">
          <cell r="C750" t="str">
            <v>Производство</v>
          </cell>
        </row>
        <row r="751">
          <cell r="C751" t="str">
            <v>Производство</v>
          </cell>
        </row>
        <row r="752">
          <cell r="C752" t="str">
            <v>Производство</v>
          </cell>
        </row>
        <row r="753">
          <cell r="C753" t="str">
            <v>Производство</v>
          </cell>
        </row>
        <row r="754">
          <cell r="C754" t="str">
            <v>Производство</v>
          </cell>
        </row>
        <row r="755">
          <cell r="C755" t="str">
            <v>Производство</v>
          </cell>
        </row>
        <row r="756">
          <cell r="C756" t="str">
            <v>Производство</v>
          </cell>
        </row>
        <row r="757">
          <cell r="C757" t="str">
            <v>Производство</v>
          </cell>
        </row>
        <row r="758">
          <cell r="C758" t="str">
            <v>Производство</v>
          </cell>
        </row>
        <row r="759">
          <cell r="C759" t="str">
            <v>Производство</v>
          </cell>
        </row>
        <row r="760">
          <cell r="C760" t="str">
            <v>Производство</v>
          </cell>
        </row>
        <row r="761">
          <cell r="C761" t="str">
            <v>Производство</v>
          </cell>
        </row>
        <row r="762">
          <cell r="C762" t="str">
            <v>Производство</v>
          </cell>
        </row>
        <row r="763">
          <cell r="C763" t="str">
            <v>Производство</v>
          </cell>
        </row>
        <row r="764">
          <cell r="C764" t="str">
            <v>Производство</v>
          </cell>
        </row>
        <row r="765">
          <cell r="C765" t="str">
            <v>Производство</v>
          </cell>
        </row>
        <row r="766">
          <cell r="C766" t="str">
            <v>Производство</v>
          </cell>
        </row>
        <row r="767">
          <cell r="C767" t="str">
            <v>Производство</v>
          </cell>
        </row>
        <row r="768">
          <cell r="C768" t="str">
            <v>Производство</v>
          </cell>
        </row>
        <row r="769">
          <cell r="C769" t="str">
            <v>Производство</v>
          </cell>
        </row>
        <row r="770">
          <cell r="C770" t="str">
            <v>Производство</v>
          </cell>
        </row>
        <row r="771">
          <cell r="C771" t="str">
            <v>Производство</v>
          </cell>
        </row>
        <row r="772">
          <cell r="C772" t="str">
            <v>Производство</v>
          </cell>
        </row>
        <row r="773">
          <cell r="C773" t="str">
            <v>Производство</v>
          </cell>
        </row>
        <row r="774">
          <cell r="C774" t="str">
            <v>Производство</v>
          </cell>
        </row>
        <row r="775">
          <cell r="C775" t="str">
            <v>Производство</v>
          </cell>
        </row>
        <row r="776">
          <cell r="C776" t="str">
            <v>Производство</v>
          </cell>
        </row>
        <row r="777">
          <cell r="C777" t="str">
            <v>Производство</v>
          </cell>
        </row>
        <row r="778">
          <cell r="C778" t="str">
            <v>Производство</v>
          </cell>
        </row>
        <row r="779">
          <cell r="C779" t="str">
            <v>Производство</v>
          </cell>
        </row>
        <row r="780">
          <cell r="C780" t="str">
            <v>Производство</v>
          </cell>
        </row>
        <row r="781">
          <cell r="C781" t="str">
            <v>Производство</v>
          </cell>
        </row>
        <row r="782">
          <cell r="C782" t="str">
            <v>Производство</v>
          </cell>
        </row>
        <row r="783">
          <cell r="C783" t="str">
            <v>Производство</v>
          </cell>
        </row>
        <row r="784">
          <cell r="C784" t="str">
            <v>Производство</v>
          </cell>
        </row>
        <row r="785">
          <cell r="C785" t="str">
            <v>Производство</v>
          </cell>
        </row>
        <row r="786">
          <cell r="C786" t="str">
            <v>Производство</v>
          </cell>
        </row>
        <row r="787">
          <cell r="C787" t="str">
            <v>Производство</v>
          </cell>
        </row>
        <row r="788">
          <cell r="C788" t="str">
            <v>Производство</v>
          </cell>
        </row>
        <row r="789">
          <cell r="C789" t="str">
            <v>Производство</v>
          </cell>
        </row>
        <row r="790">
          <cell r="C790" t="str">
            <v>Производство</v>
          </cell>
        </row>
        <row r="791">
          <cell r="C791" t="str">
            <v>Производство</v>
          </cell>
        </row>
        <row r="792">
          <cell r="C792" t="str">
            <v>Производство</v>
          </cell>
        </row>
        <row r="793">
          <cell r="C793" t="str">
            <v>Производство</v>
          </cell>
        </row>
        <row r="794">
          <cell r="C794" t="str">
            <v>Производство</v>
          </cell>
        </row>
        <row r="795">
          <cell r="C795" t="str">
            <v>Производство</v>
          </cell>
        </row>
        <row r="796">
          <cell r="C796" t="str">
            <v>Производство</v>
          </cell>
        </row>
        <row r="797">
          <cell r="C797" t="str">
            <v>Производство</v>
          </cell>
        </row>
        <row r="798">
          <cell r="C798" t="str">
            <v>Производство</v>
          </cell>
        </row>
        <row r="799">
          <cell r="C799" t="str">
            <v>Производство</v>
          </cell>
        </row>
        <row r="800">
          <cell r="C800" t="str">
            <v>Производство</v>
          </cell>
        </row>
        <row r="801">
          <cell r="C801" t="str">
            <v>Производство</v>
          </cell>
        </row>
        <row r="802">
          <cell r="C802" t="str">
            <v>Производство</v>
          </cell>
        </row>
        <row r="803">
          <cell r="C803" t="str">
            <v>Производство</v>
          </cell>
        </row>
        <row r="804">
          <cell r="C804" t="str">
            <v>Производство</v>
          </cell>
        </row>
        <row r="805">
          <cell r="C805" t="str">
            <v>Производство</v>
          </cell>
        </row>
        <row r="806">
          <cell r="C806" t="str">
            <v>Производство</v>
          </cell>
        </row>
        <row r="807">
          <cell r="C807" t="str">
            <v>Производство</v>
          </cell>
        </row>
        <row r="808">
          <cell r="C808" t="str">
            <v>Производство</v>
          </cell>
        </row>
        <row r="809">
          <cell r="C809" t="str">
            <v>Производство</v>
          </cell>
        </row>
        <row r="810">
          <cell r="C810" t="str">
            <v>Производство</v>
          </cell>
        </row>
        <row r="811">
          <cell r="C811" t="str">
            <v>Производство</v>
          </cell>
        </row>
        <row r="812">
          <cell r="C812" t="str">
            <v>Производство</v>
          </cell>
        </row>
        <row r="813">
          <cell r="C813" t="str">
            <v>Производство</v>
          </cell>
        </row>
        <row r="814">
          <cell r="C814" t="str">
            <v>Производство</v>
          </cell>
        </row>
        <row r="815">
          <cell r="C815" t="str">
            <v>Производство</v>
          </cell>
        </row>
        <row r="816">
          <cell r="C816" t="str">
            <v>Производство</v>
          </cell>
        </row>
        <row r="817">
          <cell r="C817" t="str">
            <v>Производство</v>
          </cell>
        </row>
        <row r="818">
          <cell r="C818" t="str">
            <v>Производство</v>
          </cell>
        </row>
        <row r="819">
          <cell r="C819" t="str">
            <v>Производство</v>
          </cell>
        </row>
        <row r="820">
          <cell r="C820" t="str">
            <v>Производство</v>
          </cell>
        </row>
        <row r="821">
          <cell r="C821" t="str">
            <v>Производство</v>
          </cell>
        </row>
        <row r="822">
          <cell r="C822" t="str">
            <v>Производство</v>
          </cell>
        </row>
        <row r="823">
          <cell r="C823" t="str">
            <v>Производство</v>
          </cell>
        </row>
        <row r="824">
          <cell r="C824" t="str">
            <v>Производство</v>
          </cell>
        </row>
        <row r="825">
          <cell r="C825" t="str">
            <v>Производство</v>
          </cell>
        </row>
        <row r="826">
          <cell r="C826" t="str">
            <v>Производство</v>
          </cell>
        </row>
        <row r="827">
          <cell r="C827" t="str">
            <v>Производство</v>
          </cell>
        </row>
        <row r="828">
          <cell r="C828" t="str">
            <v>Производство</v>
          </cell>
        </row>
        <row r="829">
          <cell r="C829" t="str">
            <v>Производство</v>
          </cell>
        </row>
        <row r="830">
          <cell r="C830" t="str">
            <v>Производство</v>
          </cell>
        </row>
        <row r="831">
          <cell r="C831" t="str">
            <v>Производство</v>
          </cell>
        </row>
        <row r="832">
          <cell r="C832" t="str">
            <v>Производство</v>
          </cell>
        </row>
        <row r="833">
          <cell r="C833" t="str">
            <v>Производство</v>
          </cell>
        </row>
        <row r="834">
          <cell r="C834" t="str">
            <v>Производство</v>
          </cell>
        </row>
        <row r="835">
          <cell r="C835" t="str">
            <v>Производство</v>
          </cell>
        </row>
        <row r="836">
          <cell r="C836" t="str">
            <v>Производство</v>
          </cell>
        </row>
        <row r="837">
          <cell r="C837" t="str">
            <v>Производство</v>
          </cell>
        </row>
        <row r="838">
          <cell r="C838" t="str">
            <v>Производство</v>
          </cell>
        </row>
        <row r="839">
          <cell r="C839" t="str">
            <v>Производство</v>
          </cell>
        </row>
        <row r="840">
          <cell r="C840" t="str">
            <v>Производство</v>
          </cell>
        </row>
        <row r="841">
          <cell r="C841" t="str">
            <v>Производство</v>
          </cell>
        </row>
        <row r="842">
          <cell r="C842" t="str">
            <v>Производство</v>
          </cell>
        </row>
        <row r="843">
          <cell r="C843" t="str">
            <v>Производство</v>
          </cell>
        </row>
        <row r="844">
          <cell r="C844" t="str">
            <v>Производство</v>
          </cell>
        </row>
        <row r="845">
          <cell r="C845" t="str">
            <v>Производство</v>
          </cell>
        </row>
        <row r="846">
          <cell r="C846" t="str">
            <v>Производство</v>
          </cell>
        </row>
        <row r="847">
          <cell r="C847" t="str">
            <v>Производство</v>
          </cell>
        </row>
        <row r="848">
          <cell r="C848" t="str">
            <v>Производство</v>
          </cell>
        </row>
        <row r="849">
          <cell r="C849" t="str">
            <v>Производство</v>
          </cell>
        </row>
        <row r="850">
          <cell r="C850" t="str">
            <v>Производство</v>
          </cell>
        </row>
        <row r="851">
          <cell r="C851" t="str">
            <v>Производство</v>
          </cell>
        </row>
        <row r="852">
          <cell r="C852" t="str">
            <v>Производство</v>
          </cell>
        </row>
        <row r="853">
          <cell r="C853" t="str">
            <v>Производство</v>
          </cell>
        </row>
        <row r="854">
          <cell r="C854" t="str">
            <v>Производство</v>
          </cell>
        </row>
        <row r="855">
          <cell r="C855" t="str">
            <v>Производство</v>
          </cell>
        </row>
        <row r="856">
          <cell r="C856" t="str">
            <v>Производство</v>
          </cell>
        </row>
        <row r="857">
          <cell r="C857" t="str">
            <v>Производство</v>
          </cell>
        </row>
        <row r="858">
          <cell r="C858" t="str">
            <v>Производство</v>
          </cell>
        </row>
        <row r="859">
          <cell r="C859" t="str">
            <v>Производство</v>
          </cell>
        </row>
        <row r="860">
          <cell r="C860" t="str">
            <v>Производство</v>
          </cell>
        </row>
        <row r="861">
          <cell r="C861" t="str">
            <v>Производство</v>
          </cell>
        </row>
        <row r="862">
          <cell r="C862" t="str">
            <v>Производство</v>
          </cell>
        </row>
        <row r="863">
          <cell r="C863" t="str">
            <v>Производство</v>
          </cell>
        </row>
        <row r="864">
          <cell r="C864" t="str">
            <v>Производство</v>
          </cell>
        </row>
        <row r="865">
          <cell r="C865" t="str">
            <v>Производство</v>
          </cell>
        </row>
        <row r="866">
          <cell r="C866" t="str">
            <v>Производство</v>
          </cell>
        </row>
        <row r="867">
          <cell r="C867" t="str">
            <v>Производство</v>
          </cell>
        </row>
        <row r="868">
          <cell r="C868" t="str">
            <v>Производство</v>
          </cell>
        </row>
        <row r="869">
          <cell r="C869" t="str">
            <v>Производство</v>
          </cell>
        </row>
        <row r="870">
          <cell r="C870" t="str">
            <v>Производство</v>
          </cell>
        </row>
        <row r="871">
          <cell r="C871" t="str">
            <v>Производство</v>
          </cell>
        </row>
        <row r="872">
          <cell r="C872" t="str">
            <v>Производство</v>
          </cell>
        </row>
        <row r="873">
          <cell r="C873" t="str">
            <v>Производство</v>
          </cell>
        </row>
        <row r="874">
          <cell r="C874" t="str">
            <v>Производство</v>
          </cell>
        </row>
        <row r="875">
          <cell r="C875" t="str">
            <v>Производство</v>
          </cell>
        </row>
        <row r="876">
          <cell r="C876" t="str">
            <v>Производство</v>
          </cell>
        </row>
        <row r="877">
          <cell r="C877" t="str">
            <v>Производство</v>
          </cell>
        </row>
        <row r="878">
          <cell r="C878" t="str">
            <v>Производство</v>
          </cell>
        </row>
        <row r="879">
          <cell r="C879" t="str">
            <v>Производство</v>
          </cell>
        </row>
        <row r="880">
          <cell r="C880" t="str">
            <v>Производство</v>
          </cell>
        </row>
        <row r="881">
          <cell r="C881" t="str">
            <v>Производство</v>
          </cell>
        </row>
        <row r="882">
          <cell r="C882" t="str">
            <v>Производство</v>
          </cell>
        </row>
        <row r="883">
          <cell r="C883" t="str">
            <v>Производство</v>
          </cell>
        </row>
        <row r="884">
          <cell r="C884" t="str">
            <v>Производство</v>
          </cell>
        </row>
        <row r="885">
          <cell r="C885" t="str">
            <v>Производство</v>
          </cell>
        </row>
        <row r="886">
          <cell r="C886" t="str">
            <v>Производство</v>
          </cell>
        </row>
        <row r="887">
          <cell r="C887" t="str">
            <v>Производство</v>
          </cell>
        </row>
        <row r="888">
          <cell r="C888" t="str">
            <v>Производство</v>
          </cell>
        </row>
        <row r="889">
          <cell r="C889" t="str">
            <v>Производство</v>
          </cell>
        </row>
        <row r="890">
          <cell r="C890" t="str">
            <v>Производство</v>
          </cell>
        </row>
        <row r="891">
          <cell r="C891" t="str">
            <v>Производство</v>
          </cell>
        </row>
        <row r="892">
          <cell r="C892" t="str">
            <v>Производство</v>
          </cell>
        </row>
        <row r="893">
          <cell r="C893" t="str">
            <v>Производство</v>
          </cell>
        </row>
        <row r="894">
          <cell r="C894" t="str">
            <v>Производство</v>
          </cell>
        </row>
        <row r="895">
          <cell r="C895" t="str">
            <v>Производство</v>
          </cell>
        </row>
        <row r="896">
          <cell r="C896" t="str">
            <v>Производство</v>
          </cell>
        </row>
        <row r="897">
          <cell r="C897" t="str">
            <v>Производство</v>
          </cell>
        </row>
        <row r="898">
          <cell r="C898" t="str">
            <v>Производство</v>
          </cell>
        </row>
        <row r="899">
          <cell r="C899" t="str">
            <v>Производство</v>
          </cell>
        </row>
        <row r="900">
          <cell r="C900" t="str">
            <v>Производство</v>
          </cell>
        </row>
        <row r="901">
          <cell r="C901" t="str">
            <v>Производство</v>
          </cell>
        </row>
        <row r="902">
          <cell r="C902" t="str">
            <v>Производство</v>
          </cell>
        </row>
        <row r="903">
          <cell r="C903" t="str">
            <v>Производство</v>
          </cell>
        </row>
        <row r="904">
          <cell r="C904" t="str">
            <v>Производство</v>
          </cell>
        </row>
        <row r="905">
          <cell r="C905" t="str">
            <v>Производство</v>
          </cell>
        </row>
        <row r="906">
          <cell r="C906" t="str">
            <v>Производство</v>
          </cell>
        </row>
        <row r="907">
          <cell r="C907" t="str">
            <v>Производство</v>
          </cell>
        </row>
        <row r="908">
          <cell r="C908" t="str">
            <v>Производство</v>
          </cell>
        </row>
        <row r="909">
          <cell r="C909" t="str">
            <v>Производство</v>
          </cell>
        </row>
        <row r="910">
          <cell r="C910" t="str">
            <v>Производство</v>
          </cell>
        </row>
        <row r="911">
          <cell r="C911" t="str">
            <v>Производство</v>
          </cell>
        </row>
        <row r="912">
          <cell r="C912" t="str">
            <v>Производство</v>
          </cell>
        </row>
        <row r="913">
          <cell r="C913" t="str">
            <v>Производство</v>
          </cell>
        </row>
        <row r="914">
          <cell r="C914" t="str">
            <v>Производство</v>
          </cell>
        </row>
        <row r="915">
          <cell r="C915" t="str">
            <v>Производство</v>
          </cell>
        </row>
        <row r="916">
          <cell r="C916" t="str">
            <v>Производство</v>
          </cell>
        </row>
        <row r="917">
          <cell r="C917" t="str">
            <v>Производство</v>
          </cell>
        </row>
        <row r="918">
          <cell r="C918" t="str">
            <v>Производство</v>
          </cell>
        </row>
        <row r="919">
          <cell r="C919" t="str">
            <v>Производство</v>
          </cell>
        </row>
        <row r="920">
          <cell r="C920" t="str">
            <v>Производство</v>
          </cell>
        </row>
        <row r="921">
          <cell r="C921" t="str">
            <v>Производство</v>
          </cell>
        </row>
        <row r="922">
          <cell r="C922" t="str">
            <v>Производство</v>
          </cell>
        </row>
        <row r="923">
          <cell r="C923" t="str">
            <v>Производство</v>
          </cell>
        </row>
        <row r="924">
          <cell r="C924" t="str">
            <v>Производство</v>
          </cell>
        </row>
        <row r="925">
          <cell r="C925" t="str">
            <v>Производство</v>
          </cell>
        </row>
        <row r="926">
          <cell r="C926" t="str">
            <v>Производство</v>
          </cell>
        </row>
        <row r="927">
          <cell r="C927" t="str">
            <v>Производство</v>
          </cell>
        </row>
        <row r="928">
          <cell r="C928" t="str">
            <v>Производство</v>
          </cell>
        </row>
        <row r="929">
          <cell r="C929" t="str">
            <v>Производство</v>
          </cell>
        </row>
        <row r="930">
          <cell r="C930" t="str">
            <v>Производство</v>
          </cell>
        </row>
        <row r="931">
          <cell r="C931" t="str">
            <v>Производство</v>
          </cell>
        </row>
        <row r="932">
          <cell r="C932" t="str">
            <v>Производство</v>
          </cell>
        </row>
        <row r="933">
          <cell r="C933" t="str">
            <v>Производство</v>
          </cell>
        </row>
        <row r="934">
          <cell r="C934" t="str">
            <v>Производство</v>
          </cell>
        </row>
        <row r="935">
          <cell r="C935" t="str">
            <v>Производство</v>
          </cell>
        </row>
        <row r="936">
          <cell r="C936" t="str">
            <v>Производство</v>
          </cell>
        </row>
        <row r="937">
          <cell r="C937" t="str">
            <v>Производство</v>
          </cell>
        </row>
        <row r="938">
          <cell r="C938" t="str">
            <v>Производство</v>
          </cell>
        </row>
        <row r="939">
          <cell r="C939" t="str">
            <v>Производство</v>
          </cell>
        </row>
        <row r="940">
          <cell r="C940" t="str">
            <v>Производство</v>
          </cell>
        </row>
        <row r="941">
          <cell r="C941" t="str">
            <v>Производство</v>
          </cell>
        </row>
        <row r="942">
          <cell r="C942" t="str">
            <v>Производство</v>
          </cell>
        </row>
        <row r="943">
          <cell r="C943" t="str">
            <v>Производство</v>
          </cell>
        </row>
        <row r="944">
          <cell r="C944" t="str">
            <v>Производство</v>
          </cell>
        </row>
        <row r="945">
          <cell r="C945" t="str">
            <v>Производство</v>
          </cell>
        </row>
        <row r="946">
          <cell r="C946" t="str">
            <v>Производство</v>
          </cell>
        </row>
        <row r="947">
          <cell r="C947" t="str">
            <v>Производство</v>
          </cell>
        </row>
        <row r="948">
          <cell r="C948" t="str">
            <v>Производство</v>
          </cell>
        </row>
        <row r="949">
          <cell r="C949" t="str">
            <v>Производство</v>
          </cell>
        </row>
        <row r="950">
          <cell r="C950" t="str">
            <v>Производство</v>
          </cell>
        </row>
        <row r="951">
          <cell r="C951" t="str">
            <v>Производство</v>
          </cell>
        </row>
        <row r="952">
          <cell r="C952" t="str">
            <v>Производство</v>
          </cell>
        </row>
        <row r="953">
          <cell r="C953" t="str">
            <v>Производство</v>
          </cell>
        </row>
        <row r="954">
          <cell r="C954" t="str">
            <v>Производство</v>
          </cell>
        </row>
        <row r="955">
          <cell r="C955" t="str">
            <v>Производство</v>
          </cell>
        </row>
        <row r="956">
          <cell r="C956" t="str">
            <v>Производство</v>
          </cell>
        </row>
        <row r="957">
          <cell r="C957" t="str">
            <v>Производство</v>
          </cell>
        </row>
        <row r="958">
          <cell r="C958" t="str">
            <v>Производство</v>
          </cell>
        </row>
        <row r="959">
          <cell r="C959" t="str">
            <v>Производство</v>
          </cell>
        </row>
        <row r="960">
          <cell r="C960" t="str">
            <v>Производство</v>
          </cell>
        </row>
        <row r="961">
          <cell r="C961" t="str">
            <v>Производство</v>
          </cell>
        </row>
        <row r="962">
          <cell r="C962" t="str">
            <v>Производство</v>
          </cell>
        </row>
        <row r="963">
          <cell r="C963" t="str">
            <v>Производство</v>
          </cell>
        </row>
        <row r="964">
          <cell r="C964" t="str">
            <v>Производство</v>
          </cell>
        </row>
        <row r="965">
          <cell r="C965" t="str">
            <v>Производство</v>
          </cell>
        </row>
        <row r="966">
          <cell r="C966" t="str">
            <v>Производство</v>
          </cell>
        </row>
        <row r="967">
          <cell r="C967" t="str">
            <v>Производство</v>
          </cell>
        </row>
        <row r="968">
          <cell r="C968" t="str">
            <v>Производство</v>
          </cell>
        </row>
        <row r="969">
          <cell r="C969" t="str">
            <v>Производство</v>
          </cell>
        </row>
        <row r="970">
          <cell r="C970" t="str">
            <v>Производство</v>
          </cell>
        </row>
        <row r="971">
          <cell r="C971" t="str">
            <v>Производство</v>
          </cell>
        </row>
        <row r="972">
          <cell r="C972" t="str">
            <v>Производство</v>
          </cell>
        </row>
        <row r="973">
          <cell r="C973" t="str">
            <v>Производство</v>
          </cell>
        </row>
        <row r="974">
          <cell r="C974" t="str">
            <v>Производство</v>
          </cell>
        </row>
        <row r="975">
          <cell r="C975" t="str">
            <v>Производство</v>
          </cell>
        </row>
        <row r="976">
          <cell r="C976" t="str">
            <v>Производство</v>
          </cell>
        </row>
        <row r="977">
          <cell r="C977" t="str">
            <v>Производство</v>
          </cell>
        </row>
        <row r="978">
          <cell r="C978" t="str">
            <v>Производство</v>
          </cell>
        </row>
        <row r="979">
          <cell r="C979" t="str">
            <v>Производство</v>
          </cell>
        </row>
        <row r="980">
          <cell r="C980" t="str">
            <v>Производство</v>
          </cell>
        </row>
        <row r="981">
          <cell r="C981" t="str">
            <v>Производство</v>
          </cell>
        </row>
        <row r="982">
          <cell r="C982" t="str">
            <v>Производство</v>
          </cell>
        </row>
        <row r="983">
          <cell r="C983" t="str">
            <v>Производство</v>
          </cell>
        </row>
        <row r="984">
          <cell r="C984" t="str">
            <v>Производство</v>
          </cell>
        </row>
        <row r="985">
          <cell r="C985" t="str">
            <v>Производство</v>
          </cell>
        </row>
        <row r="986">
          <cell r="C986" t="str">
            <v>Производство</v>
          </cell>
        </row>
        <row r="987">
          <cell r="C987" t="str">
            <v>Производство</v>
          </cell>
        </row>
        <row r="988">
          <cell r="C988" t="str">
            <v>Производство</v>
          </cell>
        </row>
        <row r="989">
          <cell r="C989" t="str">
            <v>Производство</v>
          </cell>
        </row>
        <row r="990">
          <cell r="C990" t="str">
            <v>Производство</v>
          </cell>
        </row>
        <row r="991">
          <cell r="C991" t="str">
            <v>Производство</v>
          </cell>
        </row>
        <row r="992">
          <cell r="C992" t="str">
            <v>Производство</v>
          </cell>
        </row>
        <row r="993">
          <cell r="C993" t="str">
            <v>Производство</v>
          </cell>
        </row>
        <row r="994">
          <cell r="C994" t="str">
            <v>Производство</v>
          </cell>
        </row>
        <row r="995">
          <cell r="C995" t="str">
            <v>Производство</v>
          </cell>
        </row>
        <row r="996">
          <cell r="C996" t="str">
            <v>Производство</v>
          </cell>
        </row>
        <row r="997">
          <cell r="C997" t="str">
            <v>Производство</v>
          </cell>
        </row>
        <row r="998">
          <cell r="C998" t="str">
            <v>Производство</v>
          </cell>
        </row>
        <row r="999">
          <cell r="C999" t="str">
            <v>Производство</v>
          </cell>
        </row>
        <row r="1000">
          <cell r="C1000" t="str">
            <v>Производство</v>
          </cell>
        </row>
        <row r="1001">
          <cell r="C1001" t="str">
            <v>Производство</v>
          </cell>
        </row>
        <row r="1002">
          <cell r="C1002" t="str">
            <v>Производство</v>
          </cell>
        </row>
        <row r="1003">
          <cell r="C1003" t="str">
            <v>Производство</v>
          </cell>
        </row>
        <row r="1004">
          <cell r="C1004" t="str">
            <v>Производство</v>
          </cell>
        </row>
        <row r="1005">
          <cell r="C1005" t="str">
            <v>Производство</v>
          </cell>
        </row>
        <row r="1006">
          <cell r="C1006" t="str">
            <v>Производство</v>
          </cell>
        </row>
        <row r="1007">
          <cell r="C1007" t="str">
            <v>Производство</v>
          </cell>
        </row>
        <row r="1008">
          <cell r="C1008" t="str">
            <v>Производство</v>
          </cell>
        </row>
        <row r="1009">
          <cell r="C1009" t="str">
            <v>Производство</v>
          </cell>
        </row>
        <row r="1010">
          <cell r="C1010" t="str">
            <v>Производство</v>
          </cell>
        </row>
        <row r="1011">
          <cell r="C1011" t="str">
            <v>Производство</v>
          </cell>
        </row>
        <row r="1012">
          <cell r="C1012" t="str">
            <v>Производство</v>
          </cell>
        </row>
        <row r="1013">
          <cell r="C1013" t="str">
            <v>Производство</v>
          </cell>
        </row>
        <row r="1014">
          <cell r="C1014" t="str">
            <v>Производство</v>
          </cell>
        </row>
        <row r="1015">
          <cell r="C1015" t="str">
            <v>Производство</v>
          </cell>
        </row>
        <row r="1016">
          <cell r="C1016" t="str">
            <v>Производство</v>
          </cell>
        </row>
        <row r="1017">
          <cell r="C1017" t="str">
            <v>Производство</v>
          </cell>
        </row>
        <row r="1018">
          <cell r="C1018" t="str">
            <v>Производство</v>
          </cell>
        </row>
        <row r="1019">
          <cell r="C1019" t="str">
            <v>Производство</v>
          </cell>
        </row>
        <row r="1020">
          <cell r="C1020" t="str">
            <v>Производство</v>
          </cell>
        </row>
        <row r="1021">
          <cell r="C1021" t="str">
            <v>Производство</v>
          </cell>
        </row>
        <row r="1022">
          <cell r="C1022" t="str">
            <v>Производство</v>
          </cell>
        </row>
        <row r="1023">
          <cell r="C1023" t="str">
            <v>Производство</v>
          </cell>
        </row>
        <row r="1024">
          <cell r="C1024" t="str">
            <v>Производство</v>
          </cell>
        </row>
        <row r="1025">
          <cell r="C1025" t="str">
            <v>Производство</v>
          </cell>
        </row>
        <row r="1026">
          <cell r="C1026" t="str">
            <v>Производство</v>
          </cell>
        </row>
        <row r="1027">
          <cell r="C1027" t="str">
            <v>Производство</v>
          </cell>
        </row>
        <row r="1028">
          <cell r="C1028" t="str">
            <v>Производство</v>
          </cell>
        </row>
        <row r="1029">
          <cell r="C1029" t="str">
            <v>Производство</v>
          </cell>
        </row>
        <row r="1030">
          <cell r="C1030" t="str">
            <v>Производство</v>
          </cell>
        </row>
        <row r="1031">
          <cell r="C1031" t="str">
            <v>Производство</v>
          </cell>
        </row>
        <row r="1032">
          <cell r="C1032" t="str">
            <v>Производство</v>
          </cell>
        </row>
        <row r="1033">
          <cell r="C1033" t="str">
            <v>Производство</v>
          </cell>
        </row>
        <row r="1034">
          <cell r="C1034" t="str">
            <v>Производство</v>
          </cell>
        </row>
        <row r="1035">
          <cell r="C1035" t="str">
            <v>Производство</v>
          </cell>
        </row>
        <row r="1036">
          <cell r="C1036" t="str">
            <v>Производство</v>
          </cell>
        </row>
        <row r="1037">
          <cell r="C1037" t="str">
            <v>Производство</v>
          </cell>
        </row>
        <row r="1038">
          <cell r="C1038" t="str">
            <v>Производство</v>
          </cell>
        </row>
        <row r="1039">
          <cell r="C1039" t="str">
            <v>Производство</v>
          </cell>
        </row>
        <row r="1040">
          <cell r="C1040" t="str">
            <v>Производство</v>
          </cell>
        </row>
        <row r="1041">
          <cell r="C1041" t="str">
            <v>Производство</v>
          </cell>
        </row>
        <row r="1042">
          <cell r="C1042" t="str">
            <v>Производство</v>
          </cell>
        </row>
        <row r="1043">
          <cell r="C1043" t="str">
            <v>Производство</v>
          </cell>
        </row>
        <row r="1044">
          <cell r="C1044" t="str">
            <v>Производство</v>
          </cell>
        </row>
        <row r="1045">
          <cell r="C1045" t="str">
            <v>Производство</v>
          </cell>
        </row>
        <row r="1046">
          <cell r="C1046" t="str">
            <v>Производство</v>
          </cell>
        </row>
        <row r="1047">
          <cell r="C1047" t="str">
            <v>Производство</v>
          </cell>
        </row>
        <row r="1048">
          <cell r="C1048" t="str">
            <v>Производство</v>
          </cell>
        </row>
        <row r="1049">
          <cell r="C1049" t="str">
            <v>Производство</v>
          </cell>
        </row>
        <row r="1050">
          <cell r="C1050" t="str">
            <v>Производство</v>
          </cell>
        </row>
        <row r="1051">
          <cell r="C1051" t="str">
            <v>Производство</v>
          </cell>
        </row>
        <row r="1052">
          <cell r="C1052" t="str">
            <v>Производство</v>
          </cell>
        </row>
        <row r="1053">
          <cell r="C1053" t="str">
            <v>Производство</v>
          </cell>
        </row>
        <row r="1054">
          <cell r="C1054" t="str">
            <v>Производство</v>
          </cell>
        </row>
        <row r="1055">
          <cell r="C1055" t="str">
            <v>Производство</v>
          </cell>
        </row>
        <row r="1056">
          <cell r="C1056" t="str">
            <v>Производство</v>
          </cell>
        </row>
        <row r="1057">
          <cell r="C1057" t="str">
            <v>Производство</v>
          </cell>
        </row>
        <row r="1058">
          <cell r="C1058" t="str">
            <v>Производство</v>
          </cell>
        </row>
        <row r="1059">
          <cell r="C1059" t="str">
            <v>Производство</v>
          </cell>
        </row>
        <row r="1060">
          <cell r="C1060" t="str">
            <v>Производство</v>
          </cell>
        </row>
        <row r="1061">
          <cell r="C1061" t="str">
            <v>Производство</v>
          </cell>
        </row>
        <row r="1062">
          <cell r="C1062" t="str">
            <v>Производство</v>
          </cell>
        </row>
        <row r="1063">
          <cell r="C1063" t="str">
            <v>Производство</v>
          </cell>
        </row>
        <row r="1064">
          <cell r="C1064" t="str">
            <v>Производство</v>
          </cell>
        </row>
        <row r="1065">
          <cell r="C1065" t="str">
            <v>Производство</v>
          </cell>
        </row>
        <row r="1066">
          <cell r="C1066" t="str">
            <v>Производство</v>
          </cell>
        </row>
        <row r="1067">
          <cell r="C1067" t="str">
            <v>Производство</v>
          </cell>
        </row>
        <row r="1068">
          <cell r="C1068" t="str">
            <v>Производство</v>
          </cell>
        </row>
        <row r="1069">
          <cell r="C1069" t="str">
            <v>Производство</v>
          </cell>
        </row>
        <row r="1070">
          <cell r="C1070" t="str">
            <v>Производство</v>
          </cell>
        </row>
        <row r="1071">
          <cell r="C1071" t="str">
            <v>Производство</v>
          </cell>
        </row>
        <row r="1072">
          <cell r="C1072" t="str">
            <v>Производство</v>
          </cell>
        </row>
        <row r="1073">
          <cell r="C1073" t="str">
            <v>Производство</v>
          </cell>
        </row>
        <row r="1074">
          <cell r="C1074" t="str">
            <v>Производство</v>
          </cell>
        </row>
        <row r="1075">
          <cell r="C1075" t="str">
            <v>Производство</v>
          </cell>
        </row>
        <row r="1076">
          <cell r="C1076" t="str">
            <v>Производство</v>
          </cell>
        </row>
        <row r="1077">
          <cell r="C1077" t="str">
            <v>Производство</v>
          </cell>
        </row>
        <row r="1078">
          <cell r="C1078" t="str">
            <v>Производство</v>
          </cell>
        </row>
        <row r="1079">
          <cell r="C1079" t="str">
            <v>Производство</v>
          </cell>
        </row>
        <row r="1080">
          <cell r="C1080" t="str">
            <v>Производство</v>
          </cell>
        </row>
        <row r="1081">
          <cell r="C1081" t="str">
            <v>Производство</v>
          </cell>
        </row>
        <row r="1082">
          <cell r="C1082" t="str">
            <v>Производство</v>
          </cell>
        </row>
        <row r="1083">
          <cell r="C1083" t="str">
            <v>Производство</v>
          </cell>
        </row>
        <row r="1084">
          <cell r="C1084" t="str">
            <v>Производство</v>
          </cell>
        </row>
        <row r="1085">
          <cell r="C1085" t="str">
            <v>Производство</v>
          </cell>
        </row>
        <row r="1086">
          <cell r="C1086" t="str">
            <v>Производство</v>
          </cell>
        </row>
        <row r="1087">
          <cell r="C1087" t="str">
            <v>Производство</v>
          </cell>
        </row>
        <row r="1088">
          <cell r="C1088" t="str">
            <v>Производство</v>
          </cell>
        </row>
        <row r="1089">
          <cell r="C1089" t="str">
            <v>Производство</v>
          </cell>
        </row>
        <row r="1090">
          <cell r="C1090" t="str">
            <v>Производство</v>
          </cell>
        </row>
        <row r="1091">
          <cell r="C1091" t="str">
            <v>Производство</v>
          </cell>
        </row>
        <row r="1092">
          <cell r="C1092" t="str">
            <v>Производство</v>
          </cell>
        </row>
        <row r="1093">
          <cell r="C1093" t="str">
            <v>Производство</v>
          </cell>
        </row>
        <row r="1094">
          <cell r="C1094" t="str">
            <v>Производство</v>
          </cell>
        </row>
        <row r="1095">
          <cell r="C1095" t="str">
            <v>Производство</v>
          </cell>
        </row>
        <row r="1096">
          <cell r="C1096" t="str">
            <v>Производство</v>
          </cell>
        </row>
        <row r="1097">
          <cell r="C1097" t="str">
            <v>Производство</v>
          </cell>
        </row>
        <row r="1098">
          <cell r="C1098" t="str">
            <v>Производство</v>
          </cell>
        </row>
        <row r="1099">
          <cell r="C1099" t="str">
            <v>Производство</v>
          </cell>
        </row>
        <row r="1100">
          <cell r="C1100" t="str">
            <v>Производство</v>
          </cell>
        </row>
        <row r="1101">
          <cell r="C1101" t="str">
            <v>Производство</v>
          </cell>
        </row>
        <row r="1102">
          <cell r="C1102" t="str">
            <v>Производство</v>
          </cell>
        </row>
        <row r="1103">
          <cell r="C1103" t="str">
            <v>Производство</v>
          </cell>
        </row>
        <row r="1104">
          <cell r="C1104" t="str">
            <v>Производство</v>
          </cell>
        </row>
        <row r="1105">
          <cell r="C1105" t="str">
            <v>Производство</v>
          </cell>
        </row>
        <row r="1106">
          <cell r="C1106" t="str">
            <v>Производство</v>
          </cell>
        </row>
        <row r="1107">
          <cell r="C1107" t="str">
            <v>Производство</v>
          </cell>
        </row>
        <row r="1108">
          <cell r="C1108" t="str">
            <v>Производство</v>
          </cell>
        </row>
        <row r="1109">
          <cell r="C1109" t="str">
            <v>Производство</v>
          </cell>
        </row>
        <row r="1110">
          <cell r="C1110" t="str">
            <v>Производство</v>
          </cell>
        </row>
        <row r="1111">
          <cell r="C1111" t="str">
            <v>Производство</v>
          </cell>
        </row>
        <row r="1112">
          <cell r="C1112" t="str">
            <v>Производство</v>
          </cell>
        </row>
        <row r="1113">
          <cell r="C1113" t="str">
            <v>Производство</v>
          </cell>
        </row>
        <row r="1114">
          <cell r="C1114" t="str">
            <v>Производство</v>
          </cell>
        </row>
        <row r="1115">
          <cell r="C1115" t="str">
            <v>Производство</v>
          </cell>
        </row>
        <row r="1116">
          <cell r="C1116" t="str">
            <v>Производство</v>
          </cell>
        </row>
        <row r="1117">
          <cell r="C1117" t="str">
            <v>Производство</v>
          </cell>
        </row>
        <row r="1118">
          <cell r="C1118" t="str">
            <v>Производство</v>
          </cell>
        </row>
        <row r="1119">
          <cell r="C1119" t="str">
            <v>Производство</v>
          </cell>
        </row>
        <row r="1120">
          <cell r="C1120" t="str">
            <v>Производство</v>
          </cell>
        </row>
        <row r="1121">
          <cell r="C1121" t="str">
            <v>Производство</v>
          </cell>
        </row>
        <row r="1122">
          <cell r="C1122" t="str">
            <v>Производство</v>
          </cell>
        </row>
        <row r="1123">
          <cell r="C1123" t="str">
            <v>Производство</v>
          </cell>
        </row>
        <row r="1124">
          <cell r="C1124" t="str">
            <v>Производство</v>
          </cell>
        </row>
        <row r="1125">
          <cell r="C1125" t="str">
            <v>Производство</v>
          </cell>
        </row>
        <row r="1126">
          <cell r="C1126" t="str">
            <v>Производство</v>
          </cell>
        </row>
        <row r="1127">
          <cell r="C1127" t="str">
            <v>Производство</v>
          </cell>
        </row>
        <row r="1128">
          <cell r="C1128" t="str">
            <v>Производство</v>
          </cell>
        </row>
        <row r="1129">
          <cell r="C1129" t="str">
            <v>Производство</v>
          </cell>
        </row>
        <row r="1130">
          <cell r="C1130" t="str">
            <v>Производство</v>
          </cell>
        </row>
        <row r="1131">
          <cell r="C1131" t="str">
            <v>Производство</v>
          </cell>
        </row>
        <row r="1132">
          <cell r="C1132" t="str">
            <v>Производство</v>
          </cell>
        </row>
        <row r="1133">
          <cell r="C1133" t="str">
            <v>Производство</v>
          </cell>
        </row>
        <row r="1134">
          <cell r="C1134" t="str">
            <v>Производство</v>
          </cell>
        </row>
        <row r="1135">
          <cell r="C1135" t="str">
            <v>Производство</v>
          </cell>
        </row>
        <row r="1136">
          <cell r="C1136" t="str">
            <v>Производство</v>
          </cell>
        </row>
        <row r="1137">
          <cell r="C1137" t="str">
            <v>Производство</v>
          </cell>
        </row>
        <row r="1138">
          <cell r="C1138" t="str">
            <v>Производство</v>
          </cell>
        </row>
        <row r="1139">
          <cell r="C1139" t="str">
            <v>Производство</v>
          </cell>
        </row>
        <row r="1140">
          <cell r="C1140" t="str">
            <v>Производство</v>
          </cell>
        </row>
        <row r="1141">
          <cell r="C1141" t="str">
            <v>Производство</v>
          </cell>
        </row>
        <row r="1142">
          <cell r="C1142" t="str">
            <v>Производство</v>
          </cell>
        </row>
        <row r="1143">
          <cell r="C1143" t="str">
            <v>Производство</v>
          </cell>
        </row>
        <row r="1144">
          <cell r="C1144" t="str">
            <v>Производство</v>
          </cell>
        </row>
        <row r="1145">
          <cell r="C1145" t="str">
            <v>Производство</v>
          </cell>
        </row>
        <row r="1146">
          <cell r="C1146" t="str">
            <v>Производство</v>
          </cell>
        </row>
        <row r="1147">
          <cell r="C1147" t="str">
            <v>Производство</v>
          </cell>
        </row>
        <row r="1148">
          <cell r="C1148" t="str">
            <v>Производство</v>
          </cell>
        </row>
        <row r="1149">
          <cell r="C1149" t="str">
            <v>Производство</v>
          </cell>
        </row>
        <row r="1150">
          <cell r="C1150" t="str">
            <v>Производство</v>
          </cell>
        </row>
        <row r="1151">
          <cell r="C1151" t="str">
            <v>Производство</v>
          </cell>
        </row>
        <row r="1152">
          <cell r="C1152" t="str">
            <v>Производство</v>
          </cell>
        </row>
        <row r="1153">
          <cell r="C1153" t="str">
            <v>Производство</v>
          </cell>
        </row>
        <row r="1154">
          <cell r="C1154" t="str">
            <v>Производство</v>
          </cell>
        </row>
        <row r="1155">
          <cell r="C1155" t="str">
            <v>Производство</v>
          </cell>
        </row>
        <row r="1156">
          <cell r="C1156" t="str">
            <v>Производство</v>
          </cell>
        </row>
        <row r="1157">
          <cell r="C1157" t="str">
            <v>Производство</v>
          </cell>
        </row>
        <row r="1158">
          <cell r="C1158" t="str">
            <v>Производство</v>
          </cell>
        </row>
        <row r="1159">
          <cell r="C1159" t="str">
            <v>Производство</v>
          </cell>
        </row>
        <row r="1160">
          <cell r="C1160" t="str">
            <v>Производство</v>
          </cell>
        </row>
        <row r="1161">
          <cell r="C1161" t="str">
            <v>Производство</v>
          </cell>
        </row>
        <row r="1162">
          <cell r="C1162" t="str">
            <v>Производство</v>
          </cell>
        </row>
        <row r="1163">
          <cell r="C1163" t="str">
            <v>Производство</v>
          </cell>
        </row>
        <row r="1164">
          <cell r="C1164" t="str">
            <v>Производство</v>
          </cell>
        </row>
        <row r="1165">
          <cell r="C1165" t="str">
            <v>Производство</v>
          </cell>
        </row>
        <row r="1166">
          <cell r="C1166" t="str">
            <v>Производство</v>
          </cell>
        </row>
        <row r="1167">
          <cell r="C1167" t="str">
            <v>Производство</v>
          </cell>
        </row>
        <row r="1168">
          <cell r="C1168" t="str">
            <v>Производство</v>
          </cell>
        </row>
        <row r="1169">
          <cell r="C1169" t="str">
            <v>Производство</v>
          </cell>
        </row>
        <row r="1170">
          <cell r="C1170" t="str">
            <v>Производство</v>
          </cell>
        </row>
        <row r="1171">
          <cell r="C1171" t="str">
            <v>Производство</v>
          </cell>
        </row>
        <row r="1172">
          <cell r="C1172" t="str">
            <v>Производство</v>
          </cell>
        </row>
        <row r="1173">
          <cell r="C1173" t="str">
            <v>Производство</v>
          </cell>
        </row>
        <row r="1174">
          <cell r="C1174" t="str">
            <v>Производство</v>
          </cell>
        </row>
        <row r="1175">
          <cell r="C1175" t="str">
            <v>Производство</v>
          </cell>
        </row>
        <row r="1176">
          <cell r="C1176" t="str">
            <v>Производство</v>
          </cell>
        </row>
        <row r="1177">
          <cell r="C1177" t="str">
            <v>Производство</v>
          </cell>
        </row>
        <row r="1178">
          <cell r="C1178" t="str">
            <v>Производство</v>
          </cell>
        </row>
        <row r="1179">
          <cell r="C1179" t="str">
            <v>Производство</v>
          </cell>
        </row>
        <row r="1180">
          <cell r="C1180" t="str">
            <v>Производство</v>
          </cell>
        </row>
        <row r="1181">
          <cell r="C1181" t="str">
            <v>Производство</v>
          </cell>
        </row>
        <row r="1182">
          <cell r="C1182" t="str">
            <v>Производство</v>
          </cell>
        </row>
        <row r="1183">
          <cell r="C1183" t="str">
            <v>Производство</v>
          </cell>
        </row>
        <row r="1184">
          <cell r="C1184" t="str">
            <v>Производство</v>
          </cell>
        </row>
        <row r="1185">
          <cell r="C1185" t="str">
            <v>Производство</v>
          </cell>
        </row>
        <row r="1186">
          <cell r="C1186" t="str">
            <v>Производство</v>
          </cell>
        </row>
        <row r="1187">
          <cell r="C1187" t="str">
            <v>Производство</v>
          </cell>
        </row>
        <row r="1188">
          <cell r="C1188" t="str">
            <v>Производство</v>
          </cell>
        </row>
        <row r="1189">
          <cell r="C1189" t="str">
            <v>Производство</v>
          </cell>
        </row>
        <row r="1190">
          <cell r="C1190" t="str">
            <v>Производство</v>
          </cell>
        </row>
        <row r="1191">
          <cell r="C1191" t="str">
            <v>Производство</v>
          </cell>
        </row>
        <row r="1192">
          <cell r="C1192" t="str">
            <v>Производство</v>
          </cell>
        </row>
        <row r="1193">
          <cell r="C1193" t="str">
            <v>Производство</v>
          </cell>
        </row>
        <row r="1194">
          <cell r="C1194" t="str">
            <v>Производство</v>
          </cell>
        </row>
        <row r="1195">
          <cell r="C1195" t="str">
            <v>Производство</v>
          </cell>
        </row>
        <row r="1196">
          <cell r="C1196" t="str">
            <v>Производство</v>
          </cell>
        </row>
        <row r="1197">
          <cell r="C1197" t="str">
            <v>Производство</v>
          </cell>
        </row>
        <row r="1198">
          <cell r="C1198" t="str">
            <v>Производство</v>
          </cell>
        </row>
        <row r="1199">
          <cell r="C1199" t="str">
            <v>Производство</v>
          </cell>
        </row>
        <row r="1200">
          <cell r="C1200" t="str">
            <v>Производство</v>
          </cell>
        </row>
        <row r="1201">
          <cell r="C1201" t="str">
            <v>Производство</v>
          </cell>
        </row>
        <row r="1202">
          <cell r="C1202" t="str">
            <v>Производство</v>
          </cell>
        </row>
        <row r="1203">
          <cell r="C1203" t="str">
            <v>Производство</v>
          </cell>
        </row>
        <row r="1204">
          <cell r="C1204" t="str">
            <v>Производство</v>
          </cell>
        </row>
        <row r="1205">
          <cell r="C1205" t="str">
            <v>Производство</v>
          </cell>
        </row>
        <row r="1206">
          <cell r="C1206" t="str">
            <v>Производство</v>
          </cell>
        </row>
        <row r="1207">
          <cell r="C1207" t="str">
            <v>Производство</v>
          </cell>
        </row>
        <row r="1208">
          <cell r="C1208" t="str">
            <v>Производство</v>
          </cell>
        </row>
        <row r="1209">
          <cell r="C1209" t="str">
            <v>Производство</v>
          </cell>
        </row>
        <row r="1210">
          <cell r="C1210" t="str">
            <v>Производство</v>
          </cell>
        </row>
        <row r="1211">
          <cell r="C1211" t="str">
            <v>Производство</v>
          </cell>
        </row>
        <row r="1212">
          <cell r="C1212" t="str">
            <v>Производство</v>
          </cell>
        </row>
        <row r="1213">
          <cell r="C1213" t="str">
            <v>Производство</v>
          </cell>
        </row>
        <row r="1214">
          <cell r="C1214" t="str">
            <v>Производство</v>
          </cell>
        </row>
        <row r="1215">
          <cell r="C1215" t="str">
            <v>Производство</v>
          </cell>
        </row>
        <row r="1216">
          <cell r="C1216" t="str">
            <v>Производство</v>
          </cell>
        </row>
        <row r="1217">
          <cell r="C1217" t="str">
            <v>Производство</v>
          </cell>
        </row>
        <row r="1218">
          <cell r="C1218" t="str">
            <v>Производство</v>
          </cell>
        </row>
        <row r="1219">
          <cell r="C1219" t="str">
            <v>Производство</v>
          </cell>
        </row>
        <row r="1220">
          <cell r="C1220" t="str">
            <v>Производство</v>
          </cell>
        </row>
        <row r="1221">
          <cell r="C1221" t="str">
            <v>Производство</v>
          </cell>
        </row>
        <row r="1222">
          <cell r="C1222" t="str">
            <v>Производство</v>
          </cell>
        </row>
        <row r="1223">
          <cell r="C1223" t="str">
            <v>Производство</v>
          </cell>
        </row>
        <row r="1224">
          <cell r="C1224" t="str">
            <v>Производство</v>
          </cell>
        </row>
        <row r="1225">
          <cell r="C1225" t="str">
            <v>Производство</v>
          </cell>
        </row>
        <row r="1226">
          <cell r="C1226" t="str">
            <v>Производство</v>
          </cell>
        </row>
        <row r="1227">
          <cell r="C1227" t="str">
            <v>Производство</v>
          </cell>
        </row>
        <row r="1228">
          <cell r="C1228" t="str">
            <v>Производство</v>
          </cell>
        </row>
        <row r="1229">
          <cell r="C1229" t="str">
            <v>Производство</v>
          </cell>
        </row>
        <row r="1230">
          <cell r="C1230" t="str">
            <v>Производство</v>
          </cell>
        </row>
        <row r="1231">
          <cell r="C1231" t="str">
            <v>Производство</v>
          </cell>
        </row>
        <row r="1232">
          <cell r="C1232" t="str">
            <v>Производство</v>
          </cell>
        </row>
        <row r="1233">
          <cell r="C1233" t="str">
            <v>Производство</v>
          </cell>
        </row>
        <row r="1234">
          <cell r="C1234" t="str">
            <v>Производство</v>
          </cell>
        </row>
        <row r="1235">
          <cell r="C1235" t="str">
            <v>Производство</v>
          </cell>
        </row>
        <row r="1236">
          <cell r="C1236" t="str">
            <v>Производство</v>
          </cell>
        </row>
        <row r="1237">
          <cell r="C1237" t="str">
            <v>Производство</v>
          </cell>
        </row>
        <row r="1238">
          <cell r="C1238" t="str">
            <v>Производство</v>
          </cell>
        </row>
        <row r="1239">
          <cell r="C1239" t="str">
            <v>Производство</v>
          </cell>
        </row>
        <row r="1240">
          <cell r="C1240" t="str">
            <v>Производство</v>
          </cell>
        </row>
        <row r="1241">
          <cell r="C1241" t="str">
            <v>Производство</v>
          </cell>
        </row>
        <row r="1242">
          <cell r="C1242" t="str">
            <v>Производство</v>
          </cell>
        </row>
        <row r="1243">
          <cell r="C1243" t="str">
            <v>Производство</v>
          </cell>
        </row>
        <row r="1244">
          <cell r="C1244" t="str">
            <v>Производство</v>
          </cell>
        </row>
        <row r="1245">
          <cell r="C1245" t="str">
            <v>Производство</v>
          </cell>
        </row>
        <row r="1246">
          <cell r="C1246" t="str">
            <v>Производство</v>
          </cell>
        </row>
        <row r="1247">
          <cell r="C1247" t="str">
            <v>Производство</v>
          </cell>
        </row>
        <row r="1248">
          <cell r="C1248" t="str">
            <v>Производство</v>
          </cell>
        </row>
        <row r="1249">
          <cell r="C1249" t="str">
            <v>Производство</v>
          </cell>
        </row>
        <row r="1250">
          <cell r="C1250" t="str">
            <v>Производство</v>
          </cell>
        </row>
        <row r="1251">
          <cell r="C1251" t="str">
            <v>Производство</v>
          </cell>
        </row>
        <row r="1252">
          <cell r="C1252" t="str">
            <v>Производство</v>
          </cell>
        </row>
        <row r="1253">
          <cell r="C1253" t="str">
            <v>Производство</v>
          </cell>
        </row>
        <row r="1254">
          <cell r="C1254" t="str">
            <v>Производство</v>
          </cell>
        </row>
        <row r="1255">
          <cell r="C1255" t="str">
            <v>Производство</v>
          </cell>
        </row>
        <row r="1256">
          <cell r="C1256" t="str">
            <v>Производство</v>
          </cell>
        </row>
        <row r="1257">
          <cell r="C1257" t="str">
            <v>Производство</v>
          </cell>
        </row>
        <row r="1258">
          <cell r="C1258" t="str">
            <v>Производство</v>
          </cell>
        </row>
        <row r="1259">
          <cell r="C1259" t="str">
            <v>Производство</v>
          </cell>
        </row>
        <row r="1260">
          <cell r="C1260" t="str">
            <v>Производство</v>
          </cell>
        </row>
        <row r="1261">
          <cell r="C1261" t="str">
            <v>Производство</v>
          </cell>
        </row>
        <row r="1262">
          <cell r="C1262" t="str">
            <v>Производство</v>
          </cell>
        </row>
        <row r="1263">
          <cell r="C1263" t="str">
            <v>Производство</v>
          </cell>
        </row>
        <row r="1264">
          <cell r="C1264" t="str">
            <v>Производство</v>
          </cell>
        </row>
        <row r="1265">
          <cell r="C1265" t="str">
            <v>Производство</v>
          </cell>
        </row>
        <row r="1266">
          <cell r="C1266" t="str">
            <v>Производство</v>
          </cell>
        </row>
        <row r="1267">
          <cell r="C1267" t="str">
            <v>Производство</v>
          </cell>
        </row>
        <row r="1268">
          <cell r="C1268" t="str">
            <v>Производство</v>
          </cell>
        </row>
        <row r="1269">
          <cell r="C1269" t="str">
            <v>Производство</v>
          </cell>
        </row>
        <row r="1270">
          <cell r="C1270" t="str">
            <v>Производство</v>
          </cell>
        </row>
        <row r="1271">
          <cell r="C1271" t="str">
            <v>Производство</v>
          </cell>
        </row>
        <row r="1272">
          <cell r="C1272" t="str">
            <v>Производство</v>
          </cell>
        </row>
        <row r="1273">
          <cell r="C1273" t="str">
            <v>Производство</v>
          </cell>
        </row>
        <row r="1274">
          <cell r="C1274" t="str">
            <v>Производство</v>
          </cell>
        </row>
        <row r="1275">
          <cell r="C1275" t="str">
            <v>Производство</v>
          </cell>
        </row>
        <row r="1276">
          <cell r="C1276" t="str">
            <v>Производство</v>
          </cell>
        </row>
        <row r="1277">
          <cell r="C1277" t="str">
            <v>Производство</v>
          </cell>
        </row>
        <row r="1278">
          <cell r="C1278" t="str">
            <v>Производство</v>
          </cell>
        </row>
        <row r="1279">
          <cell r="C1279" t="str">
            <v>Производство</v>
          </cell>
        </row>
        <row r="1280">
          <cell r="C1280" t="str">
            <v>Производство</v>
          </cell>
        </row>
        <row r="1281">
          <cell r="C1281" t="str">
            <v>Производство</v>
          </cell>
        </row>
        <row r="1282">
          <cell r="C1282" t="str">
            <v>Производство</v>
          </cell>
        </row>
        <row r="1283">
          <cell r="C1283" t="str">
            <v>Производство</v>
          </cell>
        </row>
        <row r="1284">
          <cell r="C1284" t="str">
            <v>Производство</v>
          </cell>
        </row>
        <row r="1285">
          <cell r="C1285" t="str">
            <v>Производство</v>
          </cell>
        </row>
        <row r="1286">
          <cell r="C1286" t="str">
            <v>Производство</v>
          </cell>
        </row>
        <row r="1287">
          <cell r="C1287" t="str">
            <v>Производство</v>
          </cell>
        </row>
        <row r="1288">
          <cell r="C1288" t="str">
            <v>Производство</v>
          </cell>
        </row>
        <row r="1289">
          <cell r="C1289" t="str">
            <v>Производство</v>
          </cell>
        </row>
        <row r="1290">
          <cell r="C1290" t="str">
            <v>Производство</v>
          </cell>
        </row>
        <row r="1291">
          <cell r="C1291" t="str">
            <v>Производство</v>
          </cell>
        </row>
        <row r="1292">
          <cell r="C1292" t="str">
            <v>Производство</v>
          </cell>
        </row>
        <row r="1293">
          <cell r="C1293" t="str">
            <v>Производство</v>
          </cell>
        </row>
        <row r="1294">
          <cell r="C1294" t="str">
            <v>Производство</v>
          </cell>
        </row>
        <row r="1295">
          <cell r="C1295" t="str">
            <v>Производство</v>
          </cell>
        </row>
        <row r="1296">
          <cell r="C1296" t="str">
            <v>Производство</v>
          </cell>
        </row>
        <row r="1297">
          <cell r="C1297" t="str">
            <v>Производство</v>
          </cell>
        </row>
        <row r="1298">
          <cell r="C1298" t="str">
            <v>Производство</v>
          </cell>
        </row>
        <row r="1299">
          <cell r="C1299" t="str">
            <v>Производство</v>
          </cell>
        </row>
        <row r="1300">
          <cell r="C1300" t="str">
            <v>Производство</v>
          </cell>
        </row>
        <row r="1301">
          <cell r="C1301" t="str">
            <v>Производство</v>
          </cell>
        </row>
        <row r="1302">
          <cell r="C1302" t="str">
            <v>Производство</v>
          </cell>
        </row>
        <row r="1303">
          <cell r="C1303" t="str">
            <v>Производство</v>
          </cell>
        </row>
        <row r="1304">
          <cell r="C1304" t="str">
            <v>Производство</v>
          </cell>
        </row>
        <row r="1305">
          <cell r="C1305" t="str">
            <v>Производство</v>
          </cell>
        </row>
        <row r="1306">
          <cell r="C1306" t="str">
            <v>Производство</v>
          </cell>
        </row>
        <row r="1307">
          <cell r="C1307" t="str">
            <v>Производство</v>
          </cell>
        </row>
        <row r="1308">
          <cell r="C1308" t="str">
            <v>Производство</v>
          </cell>
        </row>
        <row r="1309">
          <cell r="C1309" t="str">
            <v>Производство</v>
          </cell>
        </row>
        <row r="1310">
          <cell r="C1310" t="str">
            <v>Производство</v>
          </cell>
        </row>
        <row r="1311">
          <cell r="C1311" t="str">
            <v>Производство</v>
          </cell>
        </row>
        <row r="1312">
          <cell r="C1312" t="str">
            <v>Производство</v>
          </cell>
        </row>
        <row r="1313">
          <cell r="C1313" t="str">
            <v>Производство</v>
          </cell>
        </row>
        <row r="1314">
          <cell r="C1314" t="str">
            <v>Производство</v>
          </cell>
        </row>
        <row r="1315">
          <cell r="C1315" t="str">
            <v>Производство</v>
          </cell>
        </row>
        <row r="1316">
          <cell r="C1316" t="str">
            <v>Производство</v>
          </cell>
        </row>
        <row r="1317">
          <cell r="C1317" t="str">
            <v>Производство</v>
          </cell>
        </row>
        <row r="1318">
          <cell r="C1318" t="str">
            <v>Производство</v>
          </cell>
        </row>
        <row r="1319">
          <cell r="C1319" t="str">
            <v>Производство</v>
          </cell>
        </row>
        <row r="1320">
          <cell r="C1320" t="str">
            <v>Производство</v>
          </cell>
        </row>
        <row r="1321">
          <cell r="C1321" t="str">
            <v>Производство</v>
          </cell>
        </row>
        <row r="1322">
          <cell r="C1322" t="str">
            <v>Производство</v>
          </cell>
        </row>
        <row r="1323">
          <cell r="C1323" t="str">
            <v>Производство</v>
          </cell>
        </row>
        <row r="1324">
          <cell r="C1324" t="str">
            <v>Производство</v>
          </cell>
        </row>
        <row r="1325">
          <cell r="C1325" t="str">
            <v>Производство</v>
          </cell>
        </row>
        <row r="1326">
          <cell r="C1326" t="str">
            <v>Производство</v>
          </cell>
        </row>
        <row r="1327">
          <cell r="C1327" t="str">
            <v>Производство</v>
          </cell>
        </row>
        <row r="1328">
          <cell r="C1328" t="str">
            <v>Производство</v>
          </cell>
        </row>
        <row r="1329">
          <cell r="C1329" t="str">
            <v>Производство</v>
          </cell>
        </row>
        <row r="1330">
          <cell r="C1330" t="str">
            <v>Производство</v>
          </cell>
        </row>
        <row r="1331">
          <cell r="C1331" t="str">
            <v>Производство</v>
          </cell>
        </row>
        <row r="1332">
          <cell r="C1332" t="str">
            <v>Производство</v>
          </cell>
        </row>
        <row r="1333">
          <cell r="C1333" t="str">
            <v>Производство</v>
          </cell>
        </row>
        <row r="1334">
          <cell r="C1334" t="str">
            <v>Производство</v>
          </cell>
        </row>
        <row r="1335">
          <cell r="C1335" t="str">
            <v>Производство</v>
          </cell>
        </row>
        <row r="1336">
          <cell r="C1336" t="str">
            <v>Производство</v>
          </cell>
        </row>
        <row r="1337">
          <cell r="C1337" t="str">
            <v>Производство</v>
          </cell>
        </row>
        <row r="1338">
          <cell r="C1338" t="str">
            <v>Производство</v>
          </cell>
        </row>
        <row r="1339">
          <cell r="C1339" t="str">
            <v>Производство</v>
          </cell>
        </row>
        <row r="1340">
          <cell r="C1340" t="str">
            <v>Производство</v>
          </cell>
        </row>
        <row r="1341">
          <cell r="C1341" t="str">
            <v>Производство</v>
          </cell>
        </row>
        <row r="1342">
          <cell r="C1342" t="str">
            <v>Производство</v>
          </cell>
        </row>
        <row r="1343">
          <cell r="C1343" t="str">
            <v>Производство</v>
          </cell>
        </row>
        <row r="1344">
          <cell r="C1344" t="str">
            <v>Производство</v>
          </cell>
        </row>
        <row r="1345">
          <cell r="C1345" t="str">
            <v>Производство</v>
          </cell>
        </row>
        <row r="1346">
          <cell r="C1346" t="str">
            <v>Производство</v>
          </cell>
        </row>
        <row r="1347">
          <cell r="C1347" t="str">
            <v>Производство</v>
          </cell>
        </row>
        <row r="1348">
          <cell r="C1348" t="str">
            <v>Производство</v>
          </cell>
        </row>
        <row r="1349">
          <cell r="C1349" t="str">
            <v>Производство</v>
          </cell>
        </row>
        <row r="1350">
          <cell r="C1350" t="str">
            <v>Производство</v>
          </cell>
        </row>
        <row r="1351">
          <cell r="C1351" t="str">
            <v>Производство</v>
          </cell>
        </row>
        <row r="1352">
          <cell r="C1352" t="str">
            <v>Производство</v>
          </cell>
        </row>
        <row r="1353">
          <cell r="C1353" t="str">
            <v>Производство</v>
          </cell>
        </row>
        <row r="1354">
          <cell r="C1354" t="str">
            <v>Производство</v>
          </cell>
        </row>
        <row r="1355">
          <cell r="C1355" t="str">
            <v>Производство</v>
          </cell>
        </row>
        <row r="1356">
          <cell r="C1356" t="str">
            <v>Производство</v>
          </cell>
        </row>
        <row r="1357">
          <cell r="C1357" t="str">
            <v>Производство</v>
          </cell>
        </row>
        <row r="1358">
          <cell r="C1358" t="str">
            <v>Производство</v>
          </cell>
        </row>
        <row r="1359">
          <cell r="C1359" t="str">
            <v>Производство</v>
          </cell>
        </row>
        <row r="1360">
          <cell r="C1360" t="str">
            <v>Производство</v>
          </cell>
        </row>
        <row r="1361">
          <cell r="C1361" t="str">
            <v>Производство</v>
          </cell>
        </row>
        <row r="1362">
          <cell r="C1362" t="str">
            <v>Производство</v>
          </cell>
        </row>
        <row r="1363">
          <cell r="C1363" t="str">
            <v>Производство</v>
          </cell>
        </row>
        <row r="1364">
          <cell r="C1364" t="str">
            <v>Производство</v>
          </cell>
        </row>
        <row r="1365">
          <cell r="C1365" t="str">
            <v>Производство</v>
          </cell>
        </row>
        <row r="1366">
          <cell r="C1366" t="str">
            <v>Производство</v>
          </cell>
        </row>
        <row r="1367">
          <cell r="C1367" t="str">
            <v>Производство</v>
          </cell>
        </row>
        <row r="1368">
          <cell r="C1368" t="str">
            <v>Производство</v>
          </cell>
        </row>
        <row r="1369">
          <cell r="C1369" t="str">
            <v>Производство</v>
          </cell>
        </row>
        <row r="1370">
          <cell r="C1370" t="str">
            <v>Производство</v>
          </cell>
        </row>
        <row r="1371">
          <cell r="C1371" t="str">
            <v>Производство</v>
          </cell>
        </row>
        <row r="1372">
          <cell r="C1372" t="str">
            <v>Производство</v>
          </cell>
        </row>
        <row r="1373">
          <cell r="C1373" t="str">
            <v>Производство</v>
          </cell>
        </row>
        <row r="1374">
          <cell r="C1374" t="str">
            <v>Производство</v>
          </cell>
        </row>
        <row r="1375">
          <cell r="C1375" t="str">
            <v>Производство</v>
          </cell>
        </row>
        <row r="1376">
          <cell r="C1376" t="str">
            <v>Производство</v>
          </cell>
        </row>
        <row r="1377">
          <cell r="C1377" t="str">
            <v>Производство</v>
          </cell>
        </row>
        <row r="1378">
          <cell r="C1378" t="str">
            <v>Производство</v>
          </cell>
        </row>
        <row r="1379">
          <cell r="C1379" t="str">
            <v>Производство</v>
          </cell>
        </row>
        <row r="1380">
          <cell r="C1380" t="str">
            <v>Производство</v>
          </cell>
        </row>
        <row r="1381">
          <cell r="C1381" t="str">
            <v>Производство</v>
          </cell>
        </row>
        <row r="1382">
          <cell r="C1382" t="str">
            <v>Производство</v>
          </cell>
        </row>
        <row r="1383">
          <cell r="C1383" t="str">
            <v>Производство</v>
          </cell>
        </row>
        <row r="1384">
          <cell r="C1384" t="str">
            <v>Производство</v>
          </cell>
        </row>
        <row r="1385">
          <cell r="C1385" t="str">
            <v>Производство</v>
          </cell>
        </row>
        <row r="1386">
          <cell r="C1386" t="str">
            <v>Производство</v>
          </cell>
        </row>
        <row r="1387">
          <cell r="C1387" t="str">
            <v>Производство</v>
          </cell>
        </row>
        <row r="1388">
          <cell r="C1388" t="str">
            <v>Производство</v>
          </cell>
        </row>
        <row r="1389">
          <cell r="C1389" t="str">
            <v>Производство</v>
          </cell>
        </row>
        <row r="1390">
          <cell r="C1390" t="str">
            <v>Производство</v>
          </cell>
        </row>
        <row r="1391">
          <cell r="C1391" t="str">
            <v>Производство</v>
          </cell>
        </row>
        <row r="1392">
          <cell r="C1392" t="str">
            <v>Производство</v>
          </cell>
        </row>
        <row r="1393">
          <cell r="C1393" t="str">
            <v>Производство</v>
          </cell>
        </row>
        <row r="1394">
          <cell r="C1394" t="str">
            <v>Производство</v>
          </cell>
        </row>
        <row r="1395">
          <cell r="C1395" t="str">
            <v>Производство</v>
          </cell>
        </row>
        <row r="1396">
          <cell r="C1396" t="str">
            <v>Производство</v>
          </cell>
        </row>
        <row r="1397">
          <cell r="C1397" t="str">
            <v>Производство</v>
          </cell>
        </row>
        <row r="1398">
          <cell r="C1398" t="str">
            <v>Производство</v>
          </cell>
        </row>
        <row r="1399">
          <cell r="C1399" t="str">
            <v>Производство</v>
          </cell>
        </row>
        <row r="1400">
          <cell r="C1400" t="str">
            <v>Производство</v>
          </cell>
        </row>
        <row r="1401">
          <cell r="C1401" t="str">
            <v>Производство</v>
          </cell>
        </row>
        <row r="1402">
          <cell r="C1402" t="str">
            <v>Производство</v>
          </cell>
        </row>
        <row r="1403">
          <cell r="C1403" t="str">
            <v>Производство</v>
          </cell>
        </row>
        <row r="1404">
          <cell r="C1404" t="str">
            <v>Производство</v>
          </cell>
        </row>
        <row r="1405">
          <cell r="C1405" t="str">
            <v>Производство</v>
          </cell>
        </row>
        <row r="1406">
          <cell r="C1406" t="str">
            <v>Производство</v>
          </cell>
        </row>
        <row r="1407">
          <cell r="C1407" t="str">
            <v>Производство</v>
          </cell>
        </row>
        <row r="1408">
          <cell r="C1408" t="str">
            <v>Производство</v>
          </cell>
        </row>
        <row r="1409">
          <cell r="C1409" t="str">
            <v>Производство</v>
          </cell>
        </row>
        <row r="1410">
          <cell r="C1410" t="str">
            <v>Производство</v>
          </cell>
        </row>
        <row r="1411">
          <cell r="C1411" t="str">
            <v>Производство</v>
          </cell>
        </row>
        <row r="1412">
          <cell r="C1412" t="str">
            <v>Производство</v>
          </cell>
        </row>
        <row r="1413">
          <cell r="C1413" t="str">
            <v>Производство</v>
          </cell>
        </row>
        <row r="1414">
          <cell r="C1414" t="str">
            <v>Производство</v>
          </cell>
        </row>
        <row r="1415">
          <cell r="C1415" t="str">
            <v>Производство</v>
          </cell>
        </row>
        <row r="1416">
          <cell r="C1416" t="str">
            <v>Производство</v>
          </cell>
        </row>
        <row r="1417">
          <cell r="C1417" t="str">
            <v>Производство</v>
          </cell>
        </row>
        <row r="1418">
          <cell r="C1418" t="str">
            <v>Производство</v>
          </cell>
        </row>
        <row r="1419">
          <cell r="C1419" t="str">
            <v>Производство</v>
          </cell>
        </row>
        <row r="1420">
          <cell r="C1420" t="str">
            <v>Производство</v>
          </cell>
        </row>
        <row r="1421">
          <cell r="C1421" t="str">
            <v>Производство</v>
          </cell>
        </row>
        <row r="1422">
          <cell r="C1422" t="str">
            <v>Производство</v>
          </cell>
        </row>
        <row r="1423">
          <cell r="C1423" t="str">
            <v>Производство</v>
          </cell>
        </row>
        <row r="1424">
          <cell r="C1424" t="str">
            <v>Производство</v>
          </cell>
        </row>
        <row r="1425">
          <cell r="C1425" t="str">
            <v>Производство</v>
          </cell>
        </row>
        <row r="1426">
          <cell r="C1426" t="str">
            <v>Производство</v>
          </cell>
        </row>
        <row r="1427">
          <cell r="C1427" t="str">
            <v>Производство</v>
          </cell>
        </row>
        <row r="1428">
          <cell r="C1428" t="str">
            <v>Производство</v>
          </cell>
        </row>
        <row r="1429">
          <cell r="C1429" t="str">
            <v>Производство</v>
          </cell>
        </row>
        <row r="1430">
          <cell r="C1430" t="str">
            <v>Производство</v>
          </cell>
        </row>
        <row r="1431">
          <cell r="C1431" t="str">
            <v>Производство</v>
          </cell>
        </row>
        <row r="1432">
          <cell r="C1432" t="str">
            <v>Производство</v>
          </cell>
        </row>
        <row r="1433">
          <cell r="C1433" t="str">
            <v>Производство</v>
          </cell>
        </row>
        <row r="1434">
          <cell r="C1434" t="str">
            <v>Производство</v>
          </cell>
        </row>
        <row r="1435">
          <cell r="C1435" t="str">
            <v>Производство</v>
          </cell>
        </row>
        <row r="1436">
          <cell r="C1436" t="str">
            <v>Производство</v>
          </cell>
        </row>
        <row r="1437">
          <cell r="C1437" t="str">
            <v>Производство</v>
          </cell>
        </row>
        <row r="1438">
          <cell r="C1438" t="str">
            <v>Производство</v>
          </cell>
        </row>
        <row r="1439">
          <cell r="C1439" t="str">
            <v>Производство</v>
          </cell>
        </row>
        <row r="1440">
          <cell r="C1440" t="str">
            <v>Производство</v>
          </cell>
        </row>
        <row r="1441">
          <cell r="C1441" t="str">
            <v>Производство</v>
          </cell>
        </row>
        <row r="1442">
          <cell r="C1442" t="str">
            <v>Производство</v>
          </cell>
        </row>
        <row r="1443">
          <cell r="C1443" t="str">
            <v>Производство</v>
          </cell>
        </row>
        <row r="1444">
          <cell r="C1444" t="str">
            <v>Производство</v>
          </cell>
        </row>
        <row r="1445">
          <cell r="C1445" t="str">
            <v>Производство</v>
          </cell>
        </row>
        <row r="1446">
          <cell r="C1446" t="str">
            <v>Производство</v>
          </cell>
        </row>
        <row r="1447">
          <cell r="C1447" t="str">
            <v>Производство</v>
          </cell>
        </row>
        <row r="1448">
          <cell r="C1448" t="str">
            <v>Производство</v>
          </cell>
        </row>
        <row r="1449">
          <cell r="C1449" t="str">
            <v>Производство</v>
          </cell>
        </row>
        <row r="1450">
          <cell r="C1450" t="str">
            <v>Производство</v>
          </cell>
        </row>
        <row r="1451">
          <cell r="C1451" t="str">
            <v>Производство</v>
          </cell>
        </row>
        <row r="1452">
          <cell r="C1452" t="str">
            <v>Производство</v>
          </cell>
        </row>
        <row r="1453">
          <cell r="C1453" t="str">
            <v>Производство</v>
          </cell>
        </row>
        <row r="1454">
          <cell r="C1454" t="str">
            <v>Производство</v>
          </cell>
        </row>
        <row r="1455">
          <cell r="C1455" t="str">
            <v>Производство</v>
          </cell>
        </row>
        <row r="1456">
          <cell r="C1456" t="str">
            <v>Производство</v>
          </cell>
        </row>
        <row r="1457">
          <cell r="C1457" t="str">
            <v>Производство</v>
          </cell>
        </row>
        <row r="1458">
          <cell r="C1458" t="str">
            <v>Производство</v>
          </cell>
        </row>
        <row r="1459">
          <cell r="C1459" t="str">
            <v>Производство</v>
          </cell>
        </row>
        <row r="1460">
          <cell r="C1460" t="str">
            <v>Производство</v>
          </cell>
        </row>
        <row r="1461">
          <cell r="C1461" t="str">
            <v>Производство</v>
          </cell>
        </row>
        <row r="1462">
          <cell r="C1462" t="str">
            <v>Производство</v>
          </cell>
        </row>
        <row r="1463">
          <cell r="C1463" t="str">
            <v>Производство</v>
          </cell>
        </row>
        <row r="1464">
          <cell r="C1464" t="str">
            <v>Производство</v>
          </cell>
        </row>
        <row r="1465">
          <cell r="C1465" t="str">
            <v>Производство</v>
          </cell>
        </row>
        <row r="1466">
          <cell r="C1466" t="str">
            <v>Производство</v>
          </cell>
        </row>
        <row r="1467">
          <cell r="C1467" t="str">
            <v>Производство</v>
          </cell>
        </row>
        <row r="1468">
          <cell r="C1468" t="str">
            <v>Производство</v>
          </cell>
        </row>
        <row r="1469">
          <cell r="C1469" t="str">
            <v>Производство</v>
          </cell>
        </row>
        <row r="1470">
          <cell r="C1470" t="str">
            <v>Производство</v>
          </cell>
        </row>
        <row r="1471">
          <cell r="C1471" t="str">
            <v>Производство</v>
          </cell>
        </row>
        <row r="1472">
          <cell r="C1472" t="str">
            <v>Производство</v>
          </cell>
        </row>
        <row r="1473">
          <cell r="C1473" t="str">
            <v>Производство</v>
          </cell>
        </row>
        <row r="1474">
          <cell r="C1474" t="str">
            <v>Производство</v>
          </cell>
        </row>
        <row r="1475">
          <cell r="C1475" t="str">
            <v>Производство</v>
          </cell>
        </row>
        <row r="1476">
          <cell r="C1476" t="str">
            <v>Производство</v>
          </cell>
        </row>
        <row r="1477">
          <cell r="C1477" t="str">
            <v>Производство</v>
          </cell>
        </row>
        <row r="1478">
          <cell r="C1478" t="str">
            <v>Производство</v>
          </cell>
        </row>
        <row r="1479">
          <cell r="C1479" t="str">
            <v>Производство</v>
          </cell>
        </row>
        <row r="1480">
          <cell r="C1480" t="str">
            <v>Производство</v>
          </cell>
        </row>
        <row r="1481">
          <cell r="C1481" t="str">
            <v>Производство</v>
          </cell>
        </row>
        <row r="1482">
          <cell r="C1482" t="str">
            <v>Производство</v>
          </cell>
        </row>
        <row r="1483">
          <cell r="C1483" t="str">
            <v>Производство</v>
          </cell>
        </row>
        <row r="1484">
          <cell r="C1484" t="str">
            <v>Производство</v>
          </cell>
        </row>
        <row r="1485">
          <cell r="C1485" t="str">
            <v>Производство</v>
          </cell>
        </row>
        <row r="1486">
          <cell r="C1486" t="str">
            <v>Производство</v>
          </cell>
        </row>
        <row r="1487">
          <cell r="C1487" t="str">
            <v>Производство</v>
          </cell>
        </row>
        <row r="1488">
          <cell r="C1488" t="str">
            <v>Производство</v>
          </cell>
        </row>
        <row r="1489">
          <cell r="C1489" t="str">
            <v>Производство</v>
          </cell>
        </row>
        <row r="1490">
          <cell r="C1490" t="str">
            <v>Производство</v>
          </cell>
        </row>
        <row r="1491">
          <cell r="C1491" t="str">
            <v>Производство</v>
          </cell>
        </row>
        <row r="1492">
          <cell r="C1492" t="str">
            <v>Производство</v>
          </cell>
        </row>
        <row r="1493">
          <cell r="C1493" t="str">
            <v>Производство</v>
          </cell>
        </row>
        <row r="1494">
          <cell r="C1494" t="str">
            <v>Производство</v>
          </cell>
        </row>
        <row r="1495">
          <cell r="C1495" t="str">
            <v>Производство</v>
          </cell>
        </row>
        <row r="1496">
          <cell r="C1496" t="str">
            <v>Производство</v>
          </cell>
        </row>
        <row r="1497">
          <cell r="C1497" t="str">
            <v>Производство</v>
          </cell>
        </row>
        <row r="1498">
          <cell r="C1498" t="str">
            <v>Производство</v>
          </cell>
        </row>
        <row r="1499">
          <cell r="C1499" t="str">
            <v>Производство</v>
          </cell>
        </row>
        <row r="1500">
          <cell r="C1500" t="str">
            <v>Производство</v>
          </cell>
        </row>
        <row r="1501">
          <cell r="C1501" t="str">
            <v>Производство</v>
          </cell>
        </row>
        <row r="1502">
          <cell r="C1502" t="str">
            <v>Производство</v>
          </cell>
        </row>
        <row r="1503">
          <cell r="C1503" t="str">
            <v>Производство</v>
          </cell>
        </row>
        <row r="1504">
          <cell r="C1504" t="str">
            <v>Производство</v>
          </cell>
        </row>
        <row r="1505">
          <cell r="C1505" t="str">
            <v>Производство</v>
          </cell>
        </row>
        <row r="1506">
          <cell r="C1506" t="str">
            <v>Производство</v>
          </cell>
        </row>
        <row r="1507">
          <cell r="C1507" t="str">
            <v>Производство</v>
          </cell>
        </row>
        <row r="1508">
          <cell r="C1508" t="str">
            <v>Производство</v>
          </cell>
        </row>
        <row r="1509">
          <cell r="C1509" t="str">
            <v>Производство</v>
          </cell>
        </row>
        <row r="1510">
          <cell r="C1510" t="str">
            <v>Производство</v>
          </cell>
        </row>
        <row r="1511">
          <cell r="C1511" t="str">
            <v>Производство</v>
          </cell>
        </row>
        <row r="1512">
          <cell r="C1512" t="str">
            <v>Производство</v>
          </cell>
        </row>
        <row r="1513">
          <cell r="C1513" t="str">
            <v>Производство</v>
          </cell>
        </row>
        <row r="1514">
          <cell r="C1514" t="str">
            <v>Производство</v>
          </cell>
        </row>
        <row r="1515">
          <cell r="C1515" t="str">
            <v>Производство</v>
          </cell>
        </row>
        <row r="1516">
          <cell r="C1516" t="str">
            <v>Производство</v>
          </cell>
        </row>
        <row r="1517">
          <cell r="C1517" t="str">
            <v>Производство</v>
          </cell>
        </row>
        <row r="1518">
          <cell r="C1518" t="str">
            <v>Производство</v>
          </cell>
        </row>
        <row r="1519">
          <cell r="C1519" t="str">
            <v>Производство</v>
          </cell>
        </row>
        <row r="1520">
          <cell r="C1520" t="str">
            <v>Производство</v>
          </cell>
        </row>
        <row r="1521">
          <cell r="C1521" t="str">
            <v>Производство</v>
          </cell>
        </row>
        <row r="1522">
          <cell r="C1522" t="str">
            <v>Производство</v>
          </cell>
        </row>
        <row r="1523">
          <cell r="C1523" t="str">
            <v>Производство</v>
          </cell>
        </row>
        <row r="1524">
          <cell r="C1524" t="str">
            <v>Производство</v>
          </cell>
        </row>
        <row r="1525">
          <cell r="C1525" t="str">
            <v>Производство</v>
          </cell>
        </row>
        <row r="1526">
          <cell r="C1526" t="str">
            <v>Производство</v>
          </cell>
        </row>
        <row r="1527">
          <cell r="C1527" t="str">
            <v>Производство</v>
          </cell>
        </row>
        <row r="1528">
          <cell r="C1528" t="str">
            <v>Производство</v>
          </cell>
        </row>
        <row r="1529">
          <cell r="C1529" t="str">
            <v>Производство</v>
          </cell>
        </row>
        <row r="1530">
          <cell r="C1530" t="str">
            <v>Производство</v>
          </cell>
        </row>
        <row r="1531">
          <cell r="C1531" t="str">
            <v>Производство</v>
          </cell>
        </row>
        <row r="1532">
          <cell r="C1532" t="str">
            <v>Производство</v>
          </cell>
        </row>
        <row r="1533">
          <cell r="C1533" t="str">
            <v>Производство</v>
          </cell>
        </row>
        <row r="1534">
          <cell r="C1534" t="str">
            <v>Производство</v>
          </cell>
        </row>
        <row r="1535">
          <cell r="C1535" t="str">
            <v>Производство</v>
          </cell>
        </row>
        <row r="1536">
          <cell r="C1536" t="str">
            <v>Производство</v>
          </cell>
        </row>
        <row r="1537">
          <cell r="C1537" t="str">
            <v>Производство</v>
          </cell>
        </row>
        <row r="1538">
          <cell r="C1538" t="str">
            <v>Производство</v>
          </cell>
        </row>
        <row r="1539">
          <cell r="C1539" t="str">
            <v>Производство</v>
          </cell>
        </row>
        <row r="1540">
          <cell r="C1540" t="str">
            <v>Производство</v>
          </cell>
        </row>
        <row r="1541">
          <cell r="C1541" t="str">
            <v>Производство</v>
          </cell>
        </row>
        <row r="1542">
          <cell r="C1542" t="str">
            <v>Производство</v>
          </cell>
        </row>
        <row r="1543">
          <cell r="C1543" t="str">
            <v>Производство</v>
          </cell>
        </row>
        <row r="1544">
          <cell r="C1544" t="str">
            <v>Производство</v>
          </cell>
        </row>
        <row r="1545">
          <cell r="C1545" t="str">
            <v>Производство</v>
          </cell>
        </row>
        <row r="1546">
          <cell r="C1546" t="str">
            <v>Производство</v>
          </cell>
        </row>
        <row r="1547">
          <cell r="C1547" t="str">
            <v>Производство</v>
          </cell>
        </row>
        <row r="1548">
          <cell r="C1548" t="str">
            <v>Производство</v>
          </cell>
        </row>
        <row r="1549">
          <cell r="C1549" t="str">
            <v>Производство</v>
          </cell>
        </row>
        <row r="1550">
          <cell r="C1550" t="str">
            <v>Производство</v>
          </cell>
        </row>
        <row r="1551">
          <cell r="C1551" t="str">
            <v>Производство</v>
          </cell>
        </row>
        <row r="1552">
          <cell r="C1552" t="str">
            <v>Производство</v>
          </cell>
        </row>
        <row r="1553">
          <cell r="C1553" t="str">
            <v>Производство</v>
          </cell>
        </row>
        <row r="1554">
          <cell r="C1554" t="str">
            <v>Производство</v>
          </cell>
        </row>
        <row r="1555">
          <cell r="C1555" t="str">
            <v>Производство</v>
          </cell>
        </row>
        <row r="1556">
          <cell r="C1556" t="str">
            <v>Производство</v>
          </cell>
        </row>
        <row r="1557">
          <cell r="C1557" t="str">
            <v>Производство</v>
          </cell>
        </row>
        <row r="1558">
          <cell r="C1558" t="str">
            <v>Производство</v>
          </cell>
        </row>
        <row r="1559">
          <cell r="C1559" t="str">
            <v>Производство</v>
          </cell>
        </row>
        <row r="1560">
          <cell r="C1560" t="str">
            <v>Производство</v>
          </cell>
        </row>
        <row r="1561">
          <cell r="C1561" t="str">
            <v>Производство</v>
          </cell>
        </row>
        <row r="1562">
          <cell r="C1562" t="str">
            <v>Производство</v>
          </cell>
        </row>
        <row r="1563">
          <cell r="C1563" t="str">
            <v>Производство</v>
          </cell>
        </row>
        <row r="1564">
          <cell r="C1564" t="str">
            <v>Производство</v>
          </cell>
        </row>
        <row r="1565">
          <cell r="C1565" t="str">
            <v>Производство</v>
          </cell>
        </row>
        <row r="1566">
          <cell r="C1566" t="str">
            <v>Производство</v>
          </cell>
        </row>
        <row r="1567">
          <cell r="C1567" t="str">
            <v>Производство</v>
          </cell>
        </row>
        <row r="1568">
          <cell r="C1568" t="str">
            <v>Производство</v>
          </cell>
        </row>
        <row r="1569">
          <cell r="C1569" t="str">
            <v>Производство</v>
          </cell>
        </row>
        <row r="1570">
          <cell r="C1570" t="str">
            <v>Производство</v>
          </cell>
        </row>
        <row r="1571">
          <cell r="C1571" t="str">
            <v>Производство</v>
          </cell>
        </row>
        <row r="1572">
          <cell r="C1572" t="str">
            <v>Производство</v>
          </cell>
        </row>
        <row r="1573">
          <cell r="C1573" t="str">
            <v>Производство</v>
          </cell>
        </row>
        <row r="1574">
          <cell r="C1574" t="str">
            <v>Производство</v>
          </cell>
        </row>
        <row r="1575">
          <cell r="C1575" t="str">
            <v>Производство</v>
          </cell>
        </row>
        <row r="1576">
          <cell r="C1576" t="str">
            <v>Производство</v>
          </cell>
        </row>
        <row r="1577">
          <cell r="C1577" t="str">
            <v>Производство</v>
          </cell>
        </row>
        <row r="1578">
          <cell r="C1578" t="str">
            <v>Производство</v>
          </cell>
        </row>
        <row r="1579">
          <cell r="C1579" t="str">
            <v>Производство</v>
          </cell>
        </row>
        <row r="1580">
          <cell r="C1580" t="str">
            <v>Производство</v>
          </cell>
        </row>
        <row r="1581">
          <cell r="C1581" t="str">
            <v>Производство</v>
          </cell>
        </row>
        <row r="1582">
          <cell r="C1582" t="str">
            <v>Производство</v>
          </cell>
        </row>
        <row r="1583">
          <cell r="C1583" t="str">
            <v>Производство</v>
          </cell>
        </row>
        <row r="1584">
          <cell r="C1584" t="str">
            <v>Производство</v>
          </cell>
        </row>
        <row r="1585">
          <cell r="C1585" t="str">
            <v>Производство</v>
          </cell>
        </row>
        <row r="1586">
          <cell r="C1586" t="str">
            <v>Производство</v>
          </cell>
        </row>
        <row r="1587">
          <cell r="C1587" t="str">
            <v>Производство</v>
          </cell>
        </row>
        <row r="1588">
          <cell r="C1588" t="str">
            <v>Производство</v>
          </cell>
        </row>
        <row r="1589">
          <cell r="C1589" t="str">
            <v>Производство</v>
          </cell>
        </row>
        <row r="1590">
          <cell r="C1590" t="str">
            <v>Производство</v>
          </cell>
        </row>
        <row r="1591">
          <cell r="C1591" t="str">
            <v>Производство</v>
          </cell>
        </row>
        <row r="1592">
          <cell r="C1592" t="str">
            <v>Производство</v>
          </cell>
        </row>
        <row r="1593">
          <cell r="C1593" t="str">
            <v>Производство</v>
          </cell>
        </row>
        <row r="1594">
          <cell r="C1594" t="str">
            <v>Производство</v>
          </cell>
        </row>
        <row r="1595">
          <cell r="C1595" t="str">
            <v>Производство</v>
          </cell>
        </row>
        <row r="1596">
          <cell r="C1596" t="str">
            <v>Производство</v>
          </cell>
        </row>
        <row r="1597">
          <cell r="C1597" t="str">
            <v>Производство</v>
          </cell>
        </row>
        <row r="1598">
          <cell r="C1598" t="str">
            <v>Производство</v>
          </cell>
        </row>
        <row r="1599">
          <cell r="C1599" t="str">
            <v>Производство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wrap="none" lIns="18288" tIns="0" rIns="0" bIns="0" upright="1">
        <a:spAutoFit/>
      </a:bodyPr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wrap="none" lIns="18288" tIns="0" rIns="0" bIns="0" upright="1">
        <a:spAutoFit/>
      </a:bodyPr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0"/>
  </sheetPr>
  <dimension ref="A1:BG2581"/>
  <sheetViews>
    <sheetView showGridLines="0" topLeftCell="A14" zoomScale="75" zoomScaleNormal="75" zoomScaleSheetLayoutView="75" workbookViewId="0">
      <selection activeCell="J21" sqref="J21"/>
    </sheetView>
  </sheetViews>
  <sheetFormatPr defaultRowHeight="12.75"/>
  <cols>
    <col min="1" max="1" width="2.42578125" style="102" customWidth="1"/>
    <col min="2" max="2" width="3.140625" style="102" customWidth="1"/>
    <col min="3" max="9" width="11.7109375" style="102" customWidth="1"/>
    <col min="10" max="13" width="11.7109375" style="121" customWidth="1"/>
    <col min="14" max="23" width="11.7109375" style="102" customWidth="1"/>
    <col min="24" max="30" width="8.5703125" style="102" customWidth="1"/>
    <col min="31" max="31" width="8.42578125" style="102" customWidth="1"/>
    <col min="32" max="16384" width="9.140625" style="102"/>
  </cols>
  <sheetData>
    <row r="1" spans="2:31">
      <c r="X1" s="151"/>
      <c r="Z1" s="117"/>
    </row>
    <row r="2" spans="2:31" ht="12.75" customHeight="1">
      <c r="B2" s="75"/>
      <c r="C2" s="1050"/>
      <c r="D2" s="81"/>
      <c r="E2" s="81"/>
      <c r="F2" s="81"/>
      <c r="G2" s="81"/>
      <c r="H2" s="75"/>
      <c r="I2" s="81"/>
      <c r="J2" s="118"/>
      <c r="K2" s="118"/>
      <c r="L2" s="118"/>
      <c r="M2" s="118"/>
      <c r="N2" s="81"/>
      <c r="O2" s="81"/>
      <c r="P2" s="81"/>
      <c r="Q2" s="81"/>
      <c r="R2" s="81"/>
      <c r="S2" s="81"/>
      <c r="T2" s="81"/>
      <c r="U2" s="81"/>
      <c r="V2" s="81"/>
      <c r="W2" s="1051"/>
      <c r="X2" s="151"/>
      <c r="Z2" s="117"/>
    </row>
    <row r="3" spans="2:31" ht="27.75" customHeight="1">
      <c r="B3" s="75"/>
      <c r="C3" s="499" t="s">
        <v>348</v>
      </c>
      <c r="D3" s="117"/>
      <c r="E3" s="117"/>
      <c r="F3" s="117"/>
      <c r="V3" s="117"/>
      <c r="W3" s="117"/>
      <c r="X3" s="151"/>
      <c r="Z3" s="117"/>
    </row>
    <row r="4" spans="2:31" ht="3" customHeight="1">
      <c r="B4" s="75">
        <v>10</v>
      </c>
      <c r="C4" s="104"/>
      <c r="D4" s="104"/>
      <c r="E4" s="104"/>
      <c r="F4" s="104"/>
      <c r="G4" s="104"/>
      <c r="H4" s="104"/>
      <c r="I4" s="104"/>
      <c r="J4" s="104"/>
      <c r="K4" s="104"/>
      <c r="L4" s="420"/>
      <c r="M4" s="420"/>
      <c r="N4" s="420"/>
      <c r="O4" s="420"/>
      <c r="P4" s="420"/>
      <c r="Q4" s="420"/>
      <c r="R4" s="420"/>
      <c r="S4" s="420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</row>
    <row r="5" spans="2:31" ht="20.100000000000001" customHeight="1">
      <c r="B5" s="75"/>
      <c r="J5" s="102"/>
      <c r="K5" s="102"/>
      <c r="N5" s="121"/>
      <c r="O5" s="121"/>
      <c r="P5" s="121"/>
      <c r="Q5" s="121"/>
      <c r="R5" s="121"/>
      <c r="S5" s="121"/>
      <c r="X5" s="151"/>
      <c r="Z5" s="117"/>
    </row>
    <row r="6" spans="2:31" ht="20.100000000000001" customHeight="1">
      <c r="B6" s="75"/>
      <c r="C6" s="480" t="s">
        <v>364</v>
      </c>
      <c r="D6" s="117"/>
      <c r="E6" s="117"/>
      <c r="F6" s="117"/>
      <c r="G6" s="117"/>
      <c r="H6" s="117"/>
      <c r="I6" s="117"/>
      <c r="J6" s="118"/>
      <c r="K6" s="118"/>
      <c r="L6" s="118"/>
      <c r="M6" s="118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51"/>
      <c r="Z6" s="117"/>
    </row>
    <row r="7" spans="2:31" ht="20.100000000000001" customHeight="1">
      <c r="B7" s="75"/>
      <c r="C7" s="81"/>
      <c r="D7" s="117"/>
      <c r="E7" s="117"/>
      <c r="F7" s="117"/>
      <c r="G7" s="117"/>
      <c r="H7" s="117"/>
      <c r="I7" s="1052"/>
      <c r="J7" s="1052"/>
      <c r="K7" s="1052"/>
      <c r="L7" s="1052"/>
      <c r="M7" s="1052"/>
      <c r="N7" s="1052"/>
      <c r="O7" s="1052"/>
      <c r="P7" s="1052"/>
      <c r="Q7" s="1052"/>
      <c r="R7" s="1052"/>
      <c r="S7" s="1052"/>
      <c r="T7" s="1052"/>
      <c r="U7" s="1052"/>
      <c r="V7" s="1052"/>
      <c r="W7" s="1053"/>
      <c r="X7" s="151"/>
      <c r="Z7" s="117"/>
    </row>
    <row r="8" spans="2:31" ht="20.100000000000001" customHeight="1">
      <c r="B8" s="75"/>
      <c r="C8" s="100"/>
      <c r="D8" s="117"/>
      <c r="E8" s="117"/>
      <c r="F8" s="1054"/>
      <c r="G8" s="117"/>
      <c r="H8" s="117"/>
      <c r="I8" s="530"/>
      <c r="J8" s="530"/>
      <c r="K8" s="530"/>
      <c r="L8" s="530"/>
      <c r="M8" s="530"/>
      <c r="N8" s="530"/>
      <c r="O8" s="530"/>
      <c r="P8" s="530"/>
      <c r="Q8" s="530"/>
      <c r="R8" s="530"/>
      <c r="S8" s="530"/>
      <c r="T8" s="530"/>
      <c r="U8" s="530"/>
      <c r="V8" s="530"/>
      <c r="W8" s="530"/>
      <c r="X8" s="151"/>
      <c r="Z8" s="117"/>
    </row>
    <row r="9" spans="2:31" ht="20.100000000000001" customHeight="1">
      <c r="C9" s="100" t="s">
        <v>349</v>
      </c>
      <c r="D9" s="117"/>
      <c r="E9" s="117"/>
      <c r="F9" s="1054" t="s">
        <v>2059</v>
      </c>
      <c r="G9" s="117"/>
      <c r="H9" s="117"/>
      <c r="I9" s="1055"/>
      <c r="J9" s="1056"/>
      <c r="K9" s="1056"/>
      <c r="L9" s="1056"/>
      <c r="M9" s="1056"/>
      <c r="N9" s="117"/>
      <c r="O9" s="117"/>
      <c r="P9" s="117"/>
      <c r="Q9" s="117"/>
      <c r="R9" s="117"/>
      <c r="S9" s="117"/>
      <c r="T9" s="117"/>
      <c r="U9" s="117"/>
      <c r="V9" s="117"/>
      <c r="W9" s="80"/>
      <c r="X9" s="151"/>
      <c r="Z9" s="117"/>
    </row>
    <row r="10" spans="2:31" ht="20.100000000000001" customHeight="1">
      <c r="B10" s="111"/>
      <c r="C10" s="100" t="s">
        <v>350</v>
      </c>
      <c r="D10" s="110"/>
      <c r="E10" s="110"/>
      <c r="F10" s="1057"/>
      <c r="G10" s="110"/>
      <c r="H10" s="110"/>
      <c r="I10" s="1058"/>
      <c r="J10" s="1059"/>
      <c r="K10" s="1059"/>
      <c r="L10" s="1059"/>
      <c r="M10" s="1059"/>
      <c r="N10" s="110"/>
      <c r="O10" s="110"/>
      <c r="P10" s="110"/>
      <c r="Q10" s="110"/>
      <c r="R10" s="110"/>
      <c r="S10" s="110"/>
      <c r="T10" s="110"/>
      <c r="U10" s="110"/>
      <c r="V10" s="110"/>
      <c r="W10" s="80"/>
      <c r="X10" s="151"/>
      <c r="Z10" s="117"/>
    </row>
    <row r="11" spans="2:31" ht="20.100000000000001" customHeight="1">
      <c r="B11" s="111"/>
      <c r="C11" s="100" t="s">
        <v>351</v>
      </c>
      <c r="D11" s="110"/>
      <c r="E11" s="110"/>
      <c r="F11" s="1057" t="s">
        <v>369</v>
      </c>
      <c r="G11" s="110"/>
      <c r="H11" s="110"/>
      <c r="I11" s="1060"/>
      <c r="J11" s="510"/>
      <c r="K11" s="510"/>
      <c r="L11" s="510"/>
      <c r="M11" s="510"/>
      <c r="N11" s="510"/>
      <c r="O11" s="510"/>
      <c r="P11" s="510"/>
      <c r="Q11" s="510"/>
      <c r="R11" s="510"/>
      <c r="S11" s="510"/>
      <c r="T11" s="510"/>
      <c r="U11" s="510"/>
      <c r="V11" s="510"/>
      <c r="W11" s="80"/>
      <c r="X11" s="151"/>
      <c r="Z11" s="117"/>
    </row>
    <row r="12" spans="2:31" ht="20.100000000000001" customHeight="1">
      <c r="B12" s="111"/>
      <c r="C12" s="100" t="s">
        <v>352</v>
      </c>
      <c r="D12" s="110"/>
      <c r="E12" s="110"/>
      <c r="F12" s="1057"/>
      <c r="G12" s="110"/>
      <c r="H12" s="110"/>
      <c r="I12" s="1060"/>
      <c r="J12" s="510"/>
      <c r="K12" s="510"/>
      <c r="L12" s="510"/>
      <c r="M12" s="510"/>
      <c r="N12" s="510"/>
      <c r="O12" s="510"/>
      <c r="P12" s="510"/>
      <c r="Q12" s="510"/>
      <c r="R12" s="510"/>
      <c r="S12" s="510"/>
      <c r="T12" s="510"/>
      <c r="U12" s="510"/>
      <c r="V12" s="510"/>
      <c r="W12" s="80"/>
      <c r="X12" s="151"/>
      <c r="Z12" s="117"/>
    </row>
    <row r="13" spans="2:31" ht="20.100000000000001" customHeight="1">
      <c r="B13" s="111"/>
      <c r="C13" s="100" t="s">
        <v>546</v>
      </c>
      <c r="D13" s="110"/>
      <c r="E13" s="110"/>
      <c r="F13" s="1061" t="s">
        <v>547</v>
      </c>
      <c r="G13" s="110"/>
      <c r="H13" s="110"/>
      <c r="I13" s="1060"/>
      <c r="J13" s="510"/>
      <c r="K13" s="510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80"/>
      <c r="X13" s="151"/>
      <c r="Z13" s="117"/>
    </row>
    <row r="14" spans="2:31" s="1066" customFormat="1" ht="20.100000000000001" customHeight="1">
      <c r="B14" s="1062"/>
      <c r="C14" s="1063"/>
      <c r="D14" s="1064"/>
      <c r="E14" s="1064"/>
      <c r="F14" s="1065" t="s">
        <v>2079</v>
      </c>
      <c r="G14" s="1065" t="s">
        <v>2080</v>
      </c>
      <c r="H14" s="1065" t="s">
        <v>2081</v>
      </c>
      <c r="I14" s="1065" t="s">
        <v>2082</v>
      </c>
      <c r="J14" s="1065" t="s">
        <v>2083</v>
      </c>
      <c r="K14" s="1065" t="s">
        <v>2061</v>
      </c>
      <c r="L14" s="1065" t="s">
        <v>2062</v>
      </c>
      <c r="M14" s="1065" t="s">
        <v>2063</v>
      </c>
      <c r="N14" s="1065" t="s">
        <v>2064</v>
      </c>
      <c r="O14" s="1065" t="s">
        <v>2065</v>
      </c>
      <c r="P14" s="1065" t="s">
        <v>2066</v>
      </c>
      <c r="Q14" s="1065" t="s">
        <v>2067</v>
      </c>
      <c r="R14" s="1065" t="s">
        <v>2068</v>
      </c>
      <c r="S14" s="1065" t="s">
        <v>2069</v>
      </c>
      <c r="T14" s="1065" t="s">
        <v>2070</v>
      </c>
      <c r="U14" s="1065" t="s">
        <v>2071</v>
      </c>
      <c r="V14" s="1065" t="s">
        <v>2072</v>
      </c>
      <c r="W14" s="1065" t="s">
        <v>2073</v>
      </c>
      <c r="X14" s="1065" t="s">
        <v>2074</v>
      </c>
      <c r="Y14" s="1065" t="s">
        <v>2075</v>
      </c>
      <c r="Z14" s="1065" t="s">
        <v>2076</v>
      </c>
      <c r="AA14" s="1065" t="s">
        <v>2077</v>
      </c>
      <c r="AB14" s="1065" t="s">
        <v>2078</v>
      </c>
      <c r="AC14" s="1065"/>
    </row>
    <row r="15" spans="2:31" ht="20.100000000000001" customHeight="1">
      <c r="B15" s="111"/>
      <c r="C15" s="100" t="s">
        <v>590</v>
      </c>
      <c r="D15" s="110"/>
      <c r="E15" s="110"/>
      <c r="F15" s="1067">
        <v>6.0000000000000001E-3</v>
      </c>
      <c r="G15" s="1067">
        <v>6.0000000000000001E-3</v>
      </c>
      <c r="H15" s="1067">
        <v>6.0000000000000001E-3</v>
      </c>
      <c r="I15" s="1067">
        <v>6.0000000000000001E-3</v>
      </c>
      <c r="J15" s="1067">
        <v>6.0000000000000001E-3</v>
      </c>
      <c r="K15" s="1067">
        <v>6.0000000000000001E-3</v>
      </c>
      <c r="L15" s="1067">
        <v>6.0000000000000001E-3</v>
      </c>
      <c r="M15" s="1067">
        <v>8.9999999999999993E-3</v>
      </c>
      <c r="N15" s="1067">
        <f>M15</f>
        <v>8.9999999999999993E-3</v>
      </c>
      <c r="O15" s="1067">
        <f>N15</f>
        <v>8.9999999999999993E-3</v>
      </c>
      <c r="P15" s="1067">
        <f>O15</f>
        <v>8.9999999999999993E-3</v>
      </c>
      <c r="Q15" s="1067">
        <f>P15</f>
        <v>8.9999999999999993E-3</v>
      </c>
      <c r="R15" s="1067">
        <f>Q15</f>
        <v>8.9999999999999993E-3</v>
      </c>
      <c r="S15" s="510"/>
      <c r="T15" s="510"/>
      <c r="U15" s="510"/>
      <c r="V15" s="510"/>
      <c r="W15" s="80"/>
      <c r="X15" s="151"/>
      <c r="Z15" s="117"/>
    </row>
    <row r="16" spans="2:31">
      <c r="B16" s="111"/>
      <c r="C16" s="100" t="s">
        <v>676</v>
      </c>
      <c r="D16" s="110"/>
      <c r="E16" s="110"/>
      <c r="F16" s="1067"/>
      <c r="G16" s="110"/>
      <c r="H16" s="576"/>
      <c r="I16" s="1067">
        <v>-5.0000000000000001E-3</v>
      </c>
      <c r="J16" s="1067">
        <v>-5.0000000000000001E-3</v>
      </c>
      <c r="K16" s="1067">
        <v>-5.0000000000000001E-3</v>
      </c>
      <c r="L16" s="1067">
        <v>-5.0000000000000001E-3</v>
      </c>
      <c r="M16" s="1067">
        <v>-5.0000000000000001E-3</v>
      </c>
      <c r="N16" s="1067">
        <v>-5.0000000000000001E-3</v>
      </c>
      <c r="O16" s="1067">
        <v>-5.0000000000000001E-3</v>
      </c>
      <c r="P16" s="1067">
        <v>-5.0000000000000001E-3</v>
      </c>
      <c r="Q16" s="1067">
        <v>-5.0000000000000001E-3</v>
      </c>
      <c r="R16" s="1067">
        <v>-5.0000000000000001E-3</v>
      </c>
      <c r="S16" s="510"/>
      <c r="T16" s="510"/>
      <c r="U16" s="510"/>
      <c r="V16" s="510"/>
      <c r="W16" s="693"/>
      <c r="X16" s="151"/>
      <c r="Z16" s="117"/>
    </row>
    <row r="17" spans="2:32" ht="20.100000000000001" customHeight="1">
      <c r="B17" s="111"/>
      <c r="C17" s="100" t="s">
        <v>1824</v>
      </c>
      <c r="D17" s="110"/>
      <c r="E17" s="110"/>
      <c r="F17" s="1068"/>
      <c r="G17" s="1069">
        <v>1.1000000000000001</v>
      </c>
      <c r="H17" s="1069">
        <v>1.1000000000000001</v>
      </c>
      <c r="I17" s="1069">
        <v>1.1000000000000001</v>
      </c>
      <c r="J17" s="1069">
        <v>1.1000000000000001</v>
      </c>
      <c r="K17" s="1069">
        <v>1.1000000000000001</v>
      </c>
      <c r="L17" s="1069">
        <v>1.05</v>
      </c>
      <c r="M17" s="1069">
        <v>1.05</v>
      </c>
      <c r="N17" s="1069">
        <v>1.05</v>
      </c>
      <c r="O17" s="1069">
        <v>1.05</v>
      </c>
      <c r="P17" s="1069">
        <v>1.05</v>
      </c>
      <c r="Q17" s="1069">
        <v>1.05</v>
      </c>
      <c r="R17" s="1069">
        <v>1.05</v>
      </c>
      <c r="S17" s="111"/>
      <c r="T17" s="111"/>
      <c r="U17" s="111"/>
      <c r="V17" s="111"/>
      <c r="W17" s="80"/>
      <c r="X17" s="151"/>
      <c r="Z17" s="117"/>
    </row>
    <row r="18" spans="2:32" ht="20.100000000000001" customHeight="1">
      <c r="B18" s="111"/>
      <c r="C18" s="100" t="s">
        <v>658</v>
      </c>
      <c r="D18" s="110"/>
      <c r="E18" s="110"/>
      <c r="F18" s="1068"/>
      <c r="G18" s="114"/>
      <c r="H18" s="1071">
        <v>70</v>
      </c>
      <c r="I18" s="1071">
        <v>75</v>
      </c>
      <c r="J18" s="1071">
        <v>75</v>
      </c>
      <c r="K18" s="1072">
        <v>80</v>
      </c>
      <c r="L18" s="1072">
        <v>80</v>
      </c>
      <c r="M18" s="1072">
        <v>80</v>
      </c>
      <c r="N18" s="1072">
        <v>80</v>
      </c>
      <c r="O18" s="1072">
        <v>80</v>
      </c>
      <c r="P18" s="1072">
        <v>80</v>
      </c>
      <c r="Q18" s="1072">
        <v>80</v>
      </c>
      <c r="R18" s="1072">
        <v>80</v>
      </c>
      <c r="S18" s="111"/>
      <c r="T18" s="111"/>
      <c r="U18" s="111"/>
      <c r="V18" s="111"/>
      <c r="W18" s="80"/>
      <c r="X18" s="151"/>
      <c r="Z18" s="117"/>
    </row>
    <row r="19" spans="2:32" ht="19.5" customHeight="1">
      <c r="B19" s="111"/>
      <c r="C19" s="100" t="s">
        <v>680</v>
      </c>
      <c r="D19" s="110"/>
      <c r="E19" s="110"/>
      <c r="F19" s="1068"/>
      <c r="G19" s="110"/>
      <c r="H19" s="1069">
        <f>H17</f>
        <v>1.1000000000000001</v>
      </c>
      <c r="I19" s="1069">
        <f t="shared" ref="I19:R19" si="0">I17</f>
        <v>1.1000000000000001</v>
      </c>
      <c r="J19" s="1069">
        <f t="shared" si="0"/>
        <v>1.1000000000000001</v>
      </c>
      <c r="K19" s="1069">
        <f t="shared" si="0"/>
        <v>1.1000000000000001</v>
      </c>
      <c r="L19" s="1069">
        <f t="shared" si="0"/>
        <v>1.05</v>
      </c>
      <c r="M19" s="1069">
        <f t="shared" si="0"/>
        <v>1.05</v>
      </c>
      <c r="N19" s="1069">
        <f t="shared" si="0"/>
        <v>1.05</v>
      </c>
      <c r="O19" s="1069">
        <f t="shared" si="0"/>
        <v>1.05</v>
      </c>
      <c r="P19" s="1069">
        <f t="shared" si="0"/>
        <v>1.05</v>
      </c>
      <c r="Q19" s="1069">
        <f t="shared" si="0"/>
        <v>1.05</v>
      </c>
      <c r="R19" s="1069">
        <f t="shared" si="0"/>
        <v>1.05</v>
      </c>
      <c r="S19" s="111"/>
      <c r="T19" s="111"/>
      <c r="U19" s="111"/>
      <c r="V19" s="111"/>
      <c r="W19" s="80"/>
      <c r="X19" s="151"/>
      <c r="Z19" s="117"/>
    </row>
    <row r="20" spans="2:32" ht="19.5" customHeight="1">
      <c r="B20" s="111"/>
      <c r="C20" s="100" t="s">
        <v>2060</v>
      </c>
      <c r="D20" s="110"/>
      <c r="E20" s="110"/>
      <c r="F20" s="1068"/>
      <c r="G20" s="110"/>
      <c r="H20" s="1069"/>
      <c r="I20" s="1070"/>
      <c r="J20" s="1069"/>
      <c r="K20" s="1069"/>
      <c r="L20" s="1069">
        <f>L17</f>
        <v>1.05</v>
      </c>
      <c r="M20" s="1069">
        <f t="shared" ref="M20:R20" si="1">M17</f>
        <v>1.05</v>
      </c>
      <c r="N20" s="1069">
        <f t="shared" si="1"/>
        <v>1.05</v>
      </c>
      <c r="O20" s="1069">
        <f t="shared" si="1"/>
        <v>1.05</v>
      </c>
      <c r="P20" s="1069">
        <f t="shared" si="1"/>
        <v>1.05</v>
      </c>
      <c r="Q20" s="1069">
        <f t="shared" si="1"/>
        <v>1.05</v>
      </c>
      <c r="R20" s="1069">
        <f t="shared" si="1"/>
        <v>1.05</v>
      </c>
      <c r="S20" s="1069">
        <f t="shared" ref="S20:AB20" si="2">R20</f>
        <v>1.05</v>
      </c>
      <c r="T20" s="1069">
        <f t="shared" si="2"/>
        <v>1.05</v>
      </c>
      <c r="U20" s="1069">
        <f t="shared" si="2"/>
        <v>1.05</v>
      </c>
      <c r="V20" s="1069">
        <f t="shared" si="2"/>
        <v>1.05</v>
      </c>
      <c r="W20" s="1069">
        <f t="shared" si="2"/>
        <v>1.05</v>
      </c>
      <c r="X20" s="1069">
        <f t="shared" si="2"/>
        <v>1.05</v>
      </c>
      <c r="Y20" s="1069">
        <f t="shared" si="2"/>
        <v>1.05</v>
      </c>
      <c r="Z20" s="1069">
        <f t="shared" si="2"/>
        <v>1.05</v>
      </c>
      <c r="AA20" s="1069">
        <f t="shared" si="2"/>
        <v>1.05</v>
      </c>
      <c r="AB20" s="1069">
        <f t="shared" si="2"/>
        <v>1.05</v>
      </c>
    </row>
    <row r="21" spans="2:32" ht="19.5" customHeight="1">
      <c r="B21" s="111"/>
      <c r="C21" s="100" t="s">
        <v>679</v>
      </c>
      <c r="D21" s="110"/>
      <c r="E21" s="110"/>
      <c r="F21" s="1068"/>
      <c r="G21" s="110"/>
      <c r="H21" s="1069"/>
      <c r="I21" s="1070">
        <v>27</v>
      </c>
      <c r="J21" s="1070">
        <v>27</v>
      </c>
      <c r="K21" s="1070">
        <v>27</v>
      </c>
      <c r="L21" s="1070">
        <v>27</v>
      </c>
      <c r="M21" s="1070">
        <v>30</v>
      </c>
      <c r="N21" s="1070">
        <v>30</v>
      </c>
      <c r="O21" s="1070">
        <v>30</v>
      </c>
      <c r="P21" s="1070">
        <v>30</v>
      </c>
      <c r="Q21" s="1070">
        <v>30</v>
      </c>
      <c r="R21" s="1070">
        <v>30</v>
      </c>
      <c r="S21" s="111"/>
      <c r="T21" s="111"/>
      <c r="U21" s="111"/>
      <c r="V21" s="111"/>
      <c r="W21" s="80"/>
      <c r="X21" s="151"/>
      <c r="Z21" s="117"/>
    </row>
    <row r="22" spans="2:32" ht="19.5" customHeight="1">
      <c r="B22" s="111"/>
      <c r="C22" s="100" t="s">
        <v>730</v>
      </c>
      <c r="D22" s="100"/>
      <c r="E22" s="100" t="s">
        <v>729</v>
      </c>
      <c r="F22" s="1068"/>
      <c r="G22" s="110"/>
      <c r="H22" s="1069"/>
      <c r="I22" s="1070"/>
      <c r="J22" s="1070"/>
      <c r="K22" s="1070">
        <v>0.8</v>
      </c>
      <c r="L22" s="1070">
        <v>0.8</v>
      </c>
      <c r="M22" s="1070">
        <v>0.8</v>
      </c>
      <c r="N22" s="1070">
        <v>0.8</v>
      </c>
      <c r="O22" s="1070">
        <v>0.8</v>
      </c>
      <c r="P22" s="1070">
        <v>0.8</v>
      </c>
      <c r="Q22" s="1070">
        <v>0.8</v>
      </c>
      <c r="R22" s="1070">
        <v>0.8</v>
      </c>
      <c r="S22" s="111"/>
      <c r="T22" s="111"/>
      <c r="U22" s="111"/>
      <c r="V22" s="111"/>
      <c r="W22" s="80"/>
      <c r="X22" s="151"/>
      <c r="Z22" s="117"/>
    </row>
    <row r="23" spans="2:32" ht="19.5" customHeight="1">
      <c r="B23" s="111"/>
      <c r="C23" s="100" t="s">
        <v>731</v>
      </c>
      <c r="D23" s="100"/>
      <c r="E23" s="100" t="s">
        <v>732</v>
      </c>
      <c r="F23" s="1068"/>
      <c r="G23" s="110"/>
      <c r="H23" s="1069"/>
      <c r="I23" s="1070"/>
      <c r="J23" s="1070"/>
      <c r="K23" s="1070">
        <v>8</v>
      </c>
      <c r="L23" s="1070">
        <f t="shared" ref="L23:P24" si="3">K23</f>
        <v>8</v>
      </c>
      <c r="M23" s="1070">
        <f t="shared" si="3"/>
        <v>8</v>
      </c>
      <c r="N23" s="1070">
        <f t="shared" si="3"/>
        <v>8</v>
      </c>
      <c r="O23" s="1070">
        <f t="shared" si="3"/>
        <v>8</v>
      </c>
      <c r="P23" s="1070">
        <f t="shared" si="3"/>
        <v>8</v>
      </c>
      <c r="Q23" s="1070">
        <f>P23</f>
        <v>8</v>
      </c>
      <c r="R23" s="1070">
        <f>Q23</f>
        <v>8</v>
      </c>
      <c r="S23" s="111"/>
      <c r="T23" s="111"/>
      <c r="U23" s="111"/>
      <c r="V23" s="111"/>
      <c r="W23" s="80"/>
      <c r="X23" s="151"/>
      <c r="Z23" s="117"/>
    </row>
    <row r="24" spans="2:32" ht="19.5" customHeight="1">
      <c r="B24" s="111"/>
      <c r="C24" s="100" t="s">
        <v>733</v>
      </c>
      <c r="D24" s="100"/>
      <c r="E24" s="100" t="s">
        <v>734</v>
      </c>
      <c r="F24" s="1068"/>
      <c r="G24" s="110"/>
      <c r="H24" s="1069"/>
      <c r="I24" s="1070"/>
      <c r="J24" s="1070"/>
      <c r="K24" s="1070">
        <v>16</v>
      </c>
      <c r="L24" s="1070">
        <f t="shared" si="3"/>
        <v>16</v>
      </c>
      <c r="M24" s="1070">
        <f t="shared" si="3"/>
        <v>16</v>
      </c>
      <c r="N24" s="1070">
        <f t="shared" si="3"/>
        <v>16</v>
      </c>
      <c r="O24" s="1070">
        <f t="shared" si="3"/>
        <v>16</v>
      </c>
      <c r="P24" s="1070">
        <f t="shared" si="3"/>
        <v>16</v>
      </c>
      <c r="Q24" s="1070">
        <f>P24</f>
        <v>16</v>
      </c>
      <c r="R24" s="1070">
        <f>Q24</f>
        <v>16</v>
      </c>
      <c r="S24" s="111"/>
      <c r="T24" s="111"/>
      <c r="U24" s="111"/>
      <c r="V24" s="111"/>
      <c r="W24" s="80"/>
      <c r="X24" s="151"/>
      <c r="Z24" s="117"/>
    </row>
    <row r="25" spans="2:32" ht="20.100000000000001" customHeight="1">
      <c r="B25" s="111"/>
      <c r="C25" s="100" t="s">
        <v>353</v>
      </c>
      <c r="D25" s="110"/>
      <c r="E25" s="110"/>
      <c r="F25" s="1057"/>
      <c r="G25" s="110"/>
      <c r="H25" s="110"/>
      <c r="I25" s="510"/>
      <c r="J25" s="510"/>
      <c r="K25" s="510"/>
      <c r="L25" s="510"/>
      <c r="M25" s="510"/>
      <c r="N25" s="510"/>
      <c r="O25" s="510"/>
      <c r="P25" s="510"/>
      <c r="Q25" s="510"/>
      <c r="R25" s="510"/>
      <c r="S25" s="1060"/>
      <c r="T25" s="1060"/>
      <c r="U25" s="1060"/>
      <c r="V25" s="1060"/>
      <c r="W25" s="80"/>
      <c r="X25" s="151"/>
      <c r="Z25" s="117"/>
    </row>
    <row r="26" spans="2:32" ht="20.100000000000001" customHeight="1">
      <c r="B26" s="111"/>
      <c r="C26" s="100" t="s">
        <v>354</v>
      </c>
      <c r="D26" s="110"/>
      <c r="E26" s="110"/>
      <c r="F26" s="1057"/>
      <c r="G26" s="110"/>
      <c r="H26" s="110"/>
      <c r="I26" s="110"/>
      <c r="J26" s="114"/>
      <c r="K26" s="114"/>
      <c r="L26" s="114"/>
      <c r="M26" s="114"/>
      <c r="N26" s="111"/>
      <c r="O26" s="111"/>
      <c r="P26" s="111"/>
      <c r="Q26" s="111"/>
      <c r="R26" s="111"/>
      <c r="S26" s="510"/>
      <c r="T26" s="510"/>
      <c r="U26" s="1060"/>
      <c r="V26" s="1060"/>
      <c r="W26" s="80"/>
      <c r="X26" s="151"/>
      <c r="Z26" s="117"/>
    </row>
    <row r="27" spans="2:32" ht="20.100000000000001" customHeight="1">
      <c r="B27" s="111"/>
      <c r="C27" s="100" t="s">
        <v>355</v>
      </c>
      <c r="D27" s="110"/>
      <c r="E27" s="110"/>
      <c r="F27" s="1073"/>
      <c r="G27" s="110"/>
      <c r="H27" s="110"/>
      <c r="I27" s="1060"/>
      <c r="J27" s="1060"/>
      <c r="K27" s="1060"/>
      <c r="L27" s="1060"/>
      <c r="M27" s="1060"/>
      <c r="N27" s="1060"/>
      <c r="O27" s="1060"/>
      <c r="P27" s="1060"/>
      <c r="Q27" s="1060"/>
      <c r="R27" s="1060"/>
      <c r="S27" s="510"/>
      <c r="T27" s="510"/>
      <c r="U27" s="1060"/>
      <c r="V27" s="1060"/>
      <c r="W27" s="80"/>
      <c r="X27" s="151"/>
      <c r="Z27" s="117"/>
    </row>
    <row r="28" spans="2:32" ht="20.100000000000001" customHeight="1">
      <c r="B28" s="111"/>
      <c r="C28" s="100" t="s">
        <v>356</v>
      </c>
      <c r="D28" s="110"/>
      <c r="E28" s="110"/>
      <c r="F28" s="1074"/>
      <c r="G28" s="110"/>
      <c r="H28" s="110"/>
      <c r="I28" s="1060"/>
      <c r="J28" s="510"/>
      <c r="K28" s="510"/>
      <c r="L28" s="510"/>
      <c r="M28" s="510"/>
      <c r="N28" s="510"/>
      <c r="O28" s="510"/>
      <c r="P28" s="510"/>
      <c r="Q28" s="510"/>
      <c r="R28" s="510"/>
      <c r="S28" s="510"/>
      <c r="T28" s="510"/>
      <c r="U28" s="1060"/>
      <c r="V28" s="1060"/>
      <c r="W28" s="80"/>
      <c r="X28" s="151"/>
      <c r="Z28" s="117"/>
    </row>
    <row r="29" spans="2:32" ht="20.100000000000001" customHeight="1">
      <c r="B29" s="111"/>
      <c r="C29" s="100" t="s">
        <v>357</v>
      </c>
      <c r="D29" s="110"/>
      <c r="E29" s="110"/>
      <c r="F29" s="1075"/>
      <c r="G29" s="110"/>
      <c r="H29" s="110"/>
      <c r="I29" s="1076"/>
      <c r="J29" s="510"/>
      <c r="K29" s="510"/>
      <c r="L29" s="510"/>
      <c r="M29" s="510"/>
      <c r="N29" s="510"/>
      <c r="O29" s="510"/>
      <c r="P29" s="510"/>
      <c r="Q29" s="510"/>
      <c r="R29" s="510"/>
      <c r="S29" s="510"/>
      <c r="T29" s="510"/>
      <c r="U29" s="1060"/>
      <c r="V29" s="1060"/>
      <c r="W29" s="80"/>
      <c r="X29" s="151"/>
      <c r="Z29" s="117"/>
    </row>
    <row r="30" spans="2:32" ht="20.100000000000001" customHeight="1">
      <c r="C30" s="100" t="s">
        <v>358</v>
      </c>
      <c r="D30" s="110"/>
      <c r="E30" s="110"/>
      <c r="F30" s="100"/>
      <c r="G30" s="110"/>
      <c r="H30" s="110"/>
      <c r="I30" s="1076"/>
      <c r="J30" s="510"/>
      <c r="K30" s="510"/>
      <c r="L30" s="510"/>
      <c r="M30" s="510"/>
      <c r="N30" s="510"/>
      <c r="O30" s="510"/>
      <c r="P30" s="510"/>
      <c r="Q30" s="510"/>
      <c r="R30" s="510"/>
      <c r="S30" s="510"/>
      <c r="T30" s="510"/>
      <c r="U30" s="1060"/>
      <c r="V30" s="1060"/>
      <c r="W30" s="80"/>
      <c r="X30" s="151"/>
      <c r="Z30" s="117"/>
    </row>
    <row r="31" spans="2:32" ht="20.100000000000001" customHeight="1">
      <c r="C31" s="100" t="s">
        <v>359</v>
      </c>
      <c r="D31" s="110"/>
      <c r="E31" s="110"/>
      <c r="F31" s="1054">
        <v>0</v>
      </c>
      <c r="G31" s="110"/>
      <c r="H31" s="110"/>
      <c r="I31" s="510"/>
      <c r="J31" s="510"/>
      <c r="K31" s="510"/>
      <c r="L31" s="510"/>
      <c r="M31" s="510"/>
      <c r="N31" s="510"/>
      <c r="O31" s="510"/>
      <c r="P31" s="510"/>
      <c r="Q31" s="510"/>
      <c r="R31" s="510"/>
      <c r="S31" s="510"/>
      <c r="T31" s="510"/>
      <c r="U31" s="1060"/>
      <c r="V31" s="1060"/>
      <c r="W31" s="80"/>
      <c r="X31" s="151"/>
      <c r="Z31" s="117"/>
      <c r="AF31" s="151"/>
    </row>
    <row r="32" spans="2:32" ht="20.100000000000001" customHeight="1">
      <c r="B32" s="463"/>
      <c r="C32" s="100" t="s">
        <v>360</v>
      </c>
      <c r="D32" s="117"/>
      <c r="E32" s="110"/>
      <c r="F32" s="1054"/>
      <c r="G32" s="110"/>
      <c r="H32" s="110"/>
      <c r="I32" s="117"/>
      <c r="J32" s="118"/>
      <c r="K32" s="118"/>
      <c r="L32" s="118"/>
      <c r="M32" s="118"/>
      <c r="N32" s="510"/>
      <c r="O32" s="510"/>
      <c r="P32" s="510"/>
      <c r="Q32" s="510"/>
      <c r="R32" s="510"/>
      <c r="S32" s="510"/>
      <c r="T32" s="510"/>
      <c r="U32" s="1060"/>
      <c r="V32" s="1060"/>
      <c r="W32" s="80"/>
      <c r="X32" s="151"/>
      <c r="Z32" s="117"/>
    </row>
    <row r="33" spans="2:32" ht="20.100000000000001" customHeight="1">
      <c r="C33" s="100" t="s">
        <v>361</v>
      </c>
      <c r="D33" s="117"/>
      <c r="E33" s="110"/>
      <c r="F33" s="1054">
        <v>0</v>
      </c>
      <c r="G33" s="110"/>
      <c r="H33" s="110"/>
      <c r="I33" s="510"/>
      <c r="J33" s="510"/>
      <c r="K33" s="510"/>
      <c r="L33" s="510"/>
      <c r="M33" s="510"/>
      <c r="N33" s="510"/>
      <c r="O33" s="510"/>
      <c r="P33" s="510"/>
      <c r="Q33" s="510"/>
      <c r="R33" s="510"/>
      <c r="S33" s="117"/>
      <c r="T33" s="117"/>
      <c r="U33" s="117"/>
      <c r="V33" s="117"/>
      <c r="W33" s="80"/>
      <c r="X33" s="151"/>
      <c r="Z33" s="117"/>
    </row>
    <row r="34" spans="2:32" ht="20.100000000000001" customHeight="1">
      <c r="C34" s="100" t="s">
        <v>362</v>
      </c>
      <c r="D34" s="156"/>
      <c r="E34" s="110"/>
      <c r="F34" s="1077">
        <f ca="1">NOW()</f>
        <v>44701.558995486113</v>
      </c>
      <c r="G34" s="110"/>
      <c r="H34" s="1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1052"/>
      <c r="T34" s="1052"/>
      <c r="U34" s="1052"/>
      <c r="V34" s="1052"/>
      <c r="W34" s="80"/>
      <c r="X34" s="151"/>
      <c r="Z34" s="117"/>
    </row>
    <row r="35" spans="2:32" ht="20.100000000000001" customHeight="1">
      <c r="C35" s="100"/>
      <c r="D35" s="156"/>
      <c r="E35" s="110"/>
      <c r="F35" s="1077"/>
      <c r="G35" s="110"/>
      <c r="H35" s="110"/>
      <c r="I35" s="510"/>
      <c r="J35" s="510"/>
      <c r="K35" s="510"/>
      <c r="L35" s="510"/>
      <c r="M35" s="510"/>
      <c r="N35" s="510"/>
      <c r="O35" s="510"/>
      <c r="P35" s="510"/>
      <c r="Q35" s="510"/>
      <c r="R35" s="510"/>
      <c r="S35" s="1052"/>
      <c r="T35" s="1052"/>
      <c r="U35" s="1052"/>
      <c r="V35" s="1052"/>
      <c r="W35" s="80"/>
      <c r="X35" s="151"/>
      <c r="Z35" s="117"/>
    </row>
    <row r="36" spans="2:32" ht="20.100000000000001" customHeight="1">
      <c r="C36" s="1078" t="s">
        <v>1181</v>
      </c>
      <c r="D36" s="117"/>
      <c r="E36" s="117"/>
      <c r="F36" s="117"/>
      <c r="G36" s="117"/>
      <c r="H36" s="117"/>
      <c r="I36" s="117"/>
      <c r="J36" s="118"/>
      <c r="K36" s="118"/>
      <c r="L36" s="118"/>
      <c r="M36" s="118"/>
      <c r="N36" s="117"/>
      <c r="O36" s="117"/>
      <c r="P36" s="117"/>
      <c r="Q36" s="117"/>
      <c r="R36" s="117"/>
      <c r="S36" s="530"/>
      <c r="T36" s="530"/>
      <c r="U36" s="530"/>
      <c r="V36" s="530"/>
      <c r="W36" s="80"/>
      <c r="X36" s="151"/>
      <c r="Z36" s="117"/>
    </row>
    <row r="37" spans="2:32" ht="20.100000000000001" customHeight="1">
      <c r="B37" s="111"/>
      <c r="C37" s="163"/>
      <c r="D37" s="117"/>
      <c r="E37" s="117"/>
      <c r="F37" s="117"/>
      <c r="G37" s="117"/>
      <c r="H37" s="117"/>
      <c r="I37" s="1052"/>
      <c r="J37" s="1052"/>
      <c r="K37" s="1052"/>
      <c r="L37" s="1052"/>
      <c r="M37" s="1052"/>
      <c r="N37" s="1052"/>
      <c r="O37" s="1052"/>
      <c r="P37" s="1052"/>
      <c r="Q37" s="1052"/>
      <c r="R37" s="1052"/>
      <c r="S37" s="510"/>
      <c r="T37" s="510"/>
      <c r="U37" s="1060"/>
      <c r="V37" s="1060"/>
      <c r="W37" s="80"/>
      <c r="X37" s="151"/>
      <c r="Z37" s="117"/>
    </row>
    <row r="38" spans="2:32" ht="20.100000000000001" customHeight="1">
      <c r="B38" s="463"/>
      <c r="C38" s="1079"/>
      <c r="D38" s="117"/>
      <c r="E38" s="117"/>
      <c r="F38" s="117"/>
      <c r="G38" s="117"/>
      <c r="H38" s="117"/>
      <c r="I38" s="530"/>
      <c r="J38" s="530"/>
      <c r="K38" s="530"/>
      <c r="L38" s="530"/>
      <c r="M38" s="530"/>
      <c r="N38" s="530"/>
      <c r="O38" s="530"/>
      <c r="P38" s="530"/>
      <c r="Q38" s="530"/>
      <c r="R38" s="530"/>
      <c r="S38" s="510"/>
      <c r="T38" s="510"/>
      <c r="U38" s="1060"/>
      <c r="V38" s="1060"/>
      <c r="W38" s="80"/>
      <c r="X38" s="151"/>
      <c r="Z38" s="117"/>
    </row>
    <row r="39" spans="2:32" ht="20.100000000000001" customHeight="1">
      <c r="B39" s="1080"/>
      <c r="C39" s="110"/>
      <c r="D39" s="110"/>
      <c r="E39" s="110"/>
      <c r="F39" s="110"/>
      <c r="G39" s="110"/>
      <c r="H39" s="110"/>
      <c r="I39" s="510"/>
      <c r="J39" s="510"/>
      <c r="K39" s="510"/>
      <c r="L39" s="510"/>
      <c r="M39" s="510"/>
      <c r="N39" s="510"/>
      <c r="O39" s="510"/>
      <c r="P39" s="510"/>
      <c r="Q39" s="510"/>
      <c r="R39" s="510"/>
      <c r="S39" s="510"/>
      <c r="T39" s="510"/>
      <c r="U39" s="1060"/>
      <c r="V39" s="1060"/>
      <c r="W39" s="80"/>
      <c r="X39" s="151"/>
      <c r="Z39" s="117"/>
      <c r="AF39" s="151"/>
    </row>
    <row r="40" spans="2:32" ht="20.100000000000001" customHeight="1">
      <c r="B40" s="463"/>
      <c r="C40" s="110"/>
      <c r="D40" s="110"/>
      <c r="E40" s="110"/>
      <c r="F40" s="110"/>
      <c r="G40" s="110"/>
      <c r="H40" s="110"/>
      <c r="I40" s="510"/>
      <c r="J40" s="510"/>
      <c r="K40" s="510"/>
      <c r="L40" s="510"/>
      <c r="M40" s="510"/>
      <c r="N40" s="510"/>
      <c r="O40" s="510"/>
      <c r="P40" s="510"/>
      <c r="Q40" s="510"/>
      <c r="R40" s="510"/>
      <c r="S40" s="510"/>
      <c r="T40" s="510"/>
      <c r="U40" s="1060"/>
      <c r="V40" s="1060"/>
      <c r="W40" s="1081"/>
      <c r="X40" s="151"/>
      <c r="Z40" s="117"/>
    </row>
    <row r="41" spans="2:32" ht="20.100000000000001" customHeight="1">
      <c r="B41" s="463"/>
      <c r="C41" s="110"/>
      <c r="D41" s="117"/>
      <c r="E41" s="117"/>
      <c r="F41" s="117"/>
      <c r="G41" s="117"/>
      <c r="H41" s="117"/>
      <c r="I41" s="117"/>
      <c r="J41" s="118"/>
      <c r="K41" s="118"/>
      <c r="L41" s="118"/>
      <c r="M41" s="118"/>
      <c r="N41" s="510"/>
      <c r="O41" s="510"/>
      <c r="P41" s="510"/>
      <c r="Q41" s="510"/>
      <c r="R41" s="510"/>
      <c r="S41" s="510"/>
      <c r="T41" s="510"/>
      <c r="U41" s="1060"/>
      <c r="V41" s="1060"/>
      <c r="W41" s="1081"/>
      <c r="X41" s="151"/>
      <c r="Z41" s="117"/>
    </row>
    <row r="42" spans="2:32" ht="20.100000000000001" customHeight="1">
      <c r="B42" s="463"/>
      <c r="C42" s="110"/>
      <c r="D42" s="110"/>
      <c r="E42" s="110"/>
      <c r="F42" s="110"/>
      <c r="G42" s="110"/>
      <c r="H42" s="110"/>
      <c r="I42" s="510"/>
      <c r="J42" s="510"/>
      <c r="K42" s="510"/>
      <c r="L42" s="510"/>
      <c r="M42" s="510"/>
      <c r="N42" s="510"/>
      <c r="O42" s="510"/>
      <c r="P42" s="510"/>
      <c r="Q42" s="510"/>
      <c r="R42" s="510"/>
      <c r="S42" s="510"/>
      <c r="T42" s="510"/>
      <c r="U42" s="1060"/>
      <c r="V42" s="1060"/>
      <c r="W42" s="80"/>
      <c r="X42" s="151"/>
      <c r="Z42" s="117"/>
    </row>
    <row r="43" spans="2:32" ht="20.100000000000001" customHeight="1">
      <c r="B43" s="463"/>
      <c r="C43" s="110"/>
      <c r="D43" s="110"/>
      <c r="E43" s="110"/>
      <c r="F43" s="110"/>
      <c r="G43" s="110"/>
      <c r="H43" s="110"/>
      <c r="I43" s="510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60"/>
      <c r="V43" s="1060"/>
      <c r="W43" s="80"/>
      <c r="X43" s="151"/>
      <c r="Z43" s="117"/>
    </row>
    <row r="44" spans="2:32" ht="20.100000000000001" customHeight="1">
      <c r="C44" s="111"/>
      <c r="D44" s="111"/>
      <c r="E44" s="111"/>
      <c r="F44" s="111"/>
      <c r="G44" s="111"/>
      <c r="H44" s="111"/>
      <c r="I44" s="1082"/>
      <c r="J44" s="1082"/>
      <c r="K44" s="1082"/>
      <c r="L44" s="1082"/>
      <c r="M44" s="1082"/>
      <c r="N44" s="510"/>
      <c r="O44" s="510"/>
      <c r="P44" s="510"/>
      <c r="Q44" s="510"/>
      <c r="R44" s="510"/>
      <c r="S44" s="510"/>
      <c r="T44" s="510"/>
      <c r="U44" s="1060"/>
      <c r="V44" s="1060"/>
      <c r="W44" s="80"/>
      <c r="X44" s="151"/>
      <c r="Z44" s="117"/>
    </row>
    <row r="45" spans="2:32" ht="20.100000000000001" customHeight="1">
      <c r="B45" s="463"/>
      <c r="C45" s="110"/>
      <c r="D45" s="100"/>
      <c r="E45" s="111"/>
      <c r="F45" s="111"/>
      <c r="G45" s="111"/>
      <c r="H45" s="111"/>
      <c r="I45" s="510"/>
      <c r="J45" s="510"/>
      <c r="K45" s="510"/>
      <c r="L45" s="510"/>
      <c r="M45" s="510"/>
      <c r="N45" s="510"/>
      <c r="O45" s="510"/>
      <c r="P45" s="510"/>
      <c r="Q45" s="510"/>
      <c r="R45" s="510"/>
      <c r="S45" s="510"/>
      <c r="T45" s="510"/>
      <c r="U45" s="1060"/>
      <c r="V45" s="1060"/>
      <c r="W45" s="125"/>
      <c r="X45" s="151"/>
      <c r="Z45" s="117"/>
    </row>
    <row r="46" spans="2:32" ht="20.100000000000001" customHeight="1">
      <c r="D46" s="110"/>
      <c r="E46" s="111"/>
      <c r="F46" s="111"/>
      <c r="G46" s="111"/>
      <c r="H46" s="111"/>
      <c r="I46" s="510"/>
      <c r="J46" s="510"/>
      <c r="K46" s="510"/>
      <c r="L46" s="510"/>
      <c r="M46" s="510"/>
      <c r="N46" s="510"/>
      <c r="O46" s="510"/>
      <c r="P46" s="510"/>
      <c r="Q46" s="510"/>
      <c r="R46" s="510"/>
      <c r="S46" s="510"/>
      <c r="T46" s="510"/>
      <c r="U46" s="1060"/>
      <c r="V46" s="1060"/>
      <c r="W46" s="80"/>
      <c r="X46" s="151"/>
      <c r="Z46" s="117"/>
    </row>
    <row r="47" spans="2:32" ht="20.100000000000001" customHeight="1">
      <c r="B47" s="463"/>
      <c r="C47" s="110"/>
      <c r="D47" s="110"/>
      <c r="E47" s="111"/>
      <c r="F47" s="111"/>
      <c r="G47" s="111"/>
      <c r="H47" s="111"/>
      <c r="I47" s="510"/>
      <c r="J47" s="510"/>
      <c r="K47" s="510"/>
      <c r="L47" s="510"/>
      <c r="M47" s="510"/>
      <c r="N47" s="510"/>
      <c r="O47" s="510"/>
      <c r="P47" s="510"/>
      <c r="Q47" s="510"/>
      <c r="R47" s="510"/>
      <c r="S47" s="510"/>
      <c r="T47" s="510"/>
      <c r="U47" s="1060"/>
      <c r="V47" s="1060"/>
      <c r="W47" s="80"/>
      <c r="X47" s="151"/>
      <c r="Z47" s="117"/>
    </row>
    <row r="48" spans="2:32" ht="20.100000000000001" customHeight="1">
      <c r="B48" s="463"/>
      <c r="C48" s="111"/>
      <c r="D48" s="111"/>
      <c r="E48" s="111"/>
      <c r="F48" s="111"/>
      <c r="G48" s="111"/>
      <c r="H48" s="111"/>
      <c r="I48" s="510"/>
      <c r="J48" s="510"/>
      <c r="K48" s="510"/>
      <c r="L48" s="510"/>
      <c r="M48" s="510"/>
      <c r="N48" s="510"/>
      <c r="O48" s="510"/>
      <c r="P48" s="510"/>
      <c r="Q48" s="510"/>
      <c r="R48" s="510"/>
      <c r="S48" s="510"/>
      <c r="T48" s="510"/>
      <c r="U48" s="1060"/>
      <c r="V48" s="1060"/>
      <c r="W48" s="80"/>
      <c r="X48" s="151"/>
      <c r="Z48" s="117"/>
    </row>
    <row r="49" spans="1:59" ht="20.100000000000001" customHeight="1">
      <c r="C49" s="110"/>
      <c r="D49" s="110"/>
      <c r="E49" s="111"/>
      <c r="F49" s="111"/>
      <c r="G49" s="111"/>
      <c r="H49" s="111"/>
      <c r="I49" s="510"/>
      <c r="J49" s="510"/>
      <c r="K49" s="510"/>
      <c r="L49" s="510"/>
      <c r="M49" s="510"/>
      <c r="N49" s="510"/>
      <c r="O49" s="510"/>
      <c r="P49" s="510"/>
      <c r="Q49" s="510"/>
      <c r="R49" s="510"/>
      <c r="S49" s="1060"/>
      <c r="T49" s="1060"/>
      <c r="U49" s="1060"/>
      <c r="V49" s="1060"/>
      <c r="W49" s="80"/>
      <c r="X49" s="151"/>
      <c r="Z49" s="117"/>
    </row>
    <row r="50" spans="1:59" ht="20.100000000000001" customHeight="1">
      <c r="B50" s="463"/>
      <c r="C50" s="110"/>
      <c r="D50" s="110"/>
      <c r="E50" s="111"/>
      <c r="F50" s="111"/>
      <c r="G50" s="111"/>
      <c r="H50" s="111"/>
      <c r="I50" s="510"/>
      <c r="J50" s="510"/>
      <c r="K50" s="510"/>
      <c r="L50" s="510"/>
      <c r="M50" s="510"/>
      <c r="N50" s="510"/>
      <c r="O50" s="510"/>
      <c r="P50" s="510"/>
      <c r="Q50" s="510"/>
      <c r="R50" s="510"/>
      <c r="S50" s="1060"/>
      <c r="T50" s="1060"/>
      <c r="U50" s="1060"/>
      <c r="V50" s="1060"/>
      <c r="W50" s="1083"/>
      <c r="X50" s="151"/>
      <c r="Z50" s="117"/>
    </row>
    <row r="51" spans="1:59" ht="20.100000000000001" customHeight="1">
      <c r="B51" s="463"/>
      <c r="D51" s="110"/>
      <c r="E51" s="111"/>
      <c r="F51" s="111"/>
      <c r="G51" s="111"/>
      <c r="H51" s="111"/>
      <c r="I51" s="510"/>
      <c r="J51" s="510"/>
      <c r="K51" s="510"/>
      <c r="L51" s="510"/>
      <c r="M51" s="510"/>
      <c r="N51" s="1060"/>
      <c r="O51" s="1060"/>
      <c r="P51" s="1060"/>
      <c r="Q51" s="1060"/>
      <c r="R51" s="1060"/>
      <c r="S51" s="1060"/>
      <c r="T51" s="1060"/>
      <c r="U51" s="1060"/>
      <c r="V51" s="1060"/>
      <c r="W51" s="80"/>
      <c r="X51" s="151"/>
      <c r="Z51" s="117"/>
    </row>
    <row r="52" spans="1:59" ht="20.100000000000001" customHeight="1">
      <c r="B52" s="463"/>
      <c r="C52" s="110"/>
      <c r="D52" s="110"/>
      <c r="E52" s="111"/>
      <c r="F52" s="111"/>
      <c r="G52" s="111"/>
      <c r="H52" s="111"/>
      <c r="I52" s="510"/>
      <c r="J52" s="510"/>
      <c r="K52" s="510"/>
      <c r="L52" s="510"/>
      <c r="M52" s="510"/>
      <c r="N52" s="1060"/>
      <c r="O52" s="1060"/>
      <c r="P52" s="1060"/>
      <c r="Q52" s="1060"/>
      <c r="R52" s="1060"/>
      <c r="S52" s="1060"/>
      <c r="T52" s="1060"/>
      <c r="U52" s="1060"/>
      <c r="V52" s="1060"/>
      <c r="W52" s="80"/>
      <c r="X52" s="151"/>
      <c r="Z52" s="117"/>
    </row>
    <row r="53" spans="1:59" ht="20.100000000000001" customHeight="1">
      <c r="B53" s="463"/>
      <c r="C53" s="110"/>
      <c r="D53" s="110"/>
      <c r="E53" s="111"/>
      <c r="F53" s="111"/>
      <c r="G53" s="111"/>
      <c r="H53" s="111"/>
      <c r="I53" s="510"/>
      <c r="J53" s="510"/>
      <c r="K53" s="510"/>
      <c r="L53" s="510"/>
      <c r="M53" s="510"/>
      <c r="N53" s="1060"/>
      <c r="O53" s="1060"/>
      <c r="P53" s="1060"/>
      <c r="Q53" s="1060"/>
      <c r="R53" s="1060"/>
      <c r="S53" s="1060"/>
      <c r="T53" s="1060"/>
      <c r="U53" s="1060"/>
      <c r="V53" s="1060"/>
      <c r="W53" s="117"/>
      <c r="X53" s="151"/>
      <c r="Z53" s="117"/>
    </row>
    <row r="54" spans="1:59" ht="20.100000000000001" customHeight="1">
      <c r="B54" s="463"/>
      <c r="C54" s="110"/>
      <c r="D54" s="110"/>
      <c r="E54" s="111"/>
      <c r="F54" s="111"/>
      <c r="G54" s="111"/>
      <c r="H54" s="111"/>
      <c r="I54" s="1060"/>
      <c r="J54" s="1060"/>
      <c r="K54" s="1060"/>
      <c r="L54" s="1060"/>
      <c r="M54" s="1060"/>
      <c r="N54" s="1060"/>
      <c r="O54" s="1060"/>
      <c r="P54" s="1060"/>
      <c r="Q54" s="1060"/>
      <c r="R54" s="1060"/>
      <c r="S54" s="1060"/>
      <c r="T54" s="1060"/>
      <c r="U54" s="1060"/>
      <c r="V54" s="1060"/>
      <c r="X54" s="151"/>
      <c r="Z54" s="117"/>
    </row>
    <row r="55" spans="1:59" ht="20.100000000000001" customHeight="1">
      <c r="B55" s="463"/>
      <c r="C55" s="110"/>
      <c r="D55" s="110"/>
      <c r="E55" s="111"/>
      <c r="F55" s="111"/>
      <c r="G55" s="111"/>
      <c r="H55" s="111"/>
      <c r="I55" s="1060"/>
      <c r="J55" s="1060"/>
      <c r="K55" s="1060"/>
      <c r="L55" s="1060"/>
      <c r="M55" s="1060"/>
      <c r="N55" s="1060"/>
      <c r="O55" s="1060"/>
      <c r="P55" s="1060"/>
      <c r="Q55" s="1060"/>
      <c r="R55" s="1060"/>
      <c r="S55" s="111"/>
      <c r="T55" s="111"/>
      <c r="U55" s="111"/>
      <c r="V55" s="111"/>
      <c r="X55" s="151"/>
      <c r="Z55" s="117"/>
    </row>
    <row r="56" spans="1:59" ht="20.100000000000001" customHeight="1">
      <c r="B56" s="463"/>
      <c r="C56" s="110"/>
      <c r="D56" s="110"/>
      <c r="E56" s="111"/>
      <c r="F56" s="111"/>
      <c r="G56" s="111"/>
      <c r="H56" s="111"/>
      <c r="I56" s="1060"/>
      <c r="J56" s="1060"/>
      <c r="K56" s="1060"/>
      <c r="L56" s="1060"/>
      <c r="M56" s="1060"/>
      <c r="N56" s="1060"/>
      <c r="O56" s="1060"/>
      <c r="P56" s="1060"/>
      <c r="Q56" s="1060"/>
      <c r="R56" s="1060"/>
      <c r="S56" s="111"/>
      <c r="T56" s="111"/>
      <c r="U56" s="111"/>
      <c r="V56" s="111"/>
      <c r="X56" s="151"/>
      <c r="Y56" s="1051"/>
      <c r="Z56" s="117"/>
    </row>
    <row r="57" spans="1:59" ht="20.100000000000001" customHeight="1">
      <c r="B57" s="463"/>
      <c r="C57" s="110"/>
      <c r="D57" s="110"/>
      <c r="E57" s="111"/>
      <c r="F57" s="111"/>
      <c r="G57" s="111"/>
      <c r="H57" s="111"/>
      <c r="I57" s="1060"/>
      <c r="J57" s="1060"/>
      <c r="K57" s="1060"/>
      <c r="L57" s="1060"/>
      <c r="M57" s="1060"/>
      <c r="N57" s="111"/>
      <c r="O57" s="111"/>
      <c r="P57" s="111"/>
      <c r="Q57" s="111"/>
      <c r="R57" s="111"/>
      <c r="S57" s="111"/>
      <c r="T57" s="111"/>
      <c r="U57" s="111"/>
      <c r="V57" s="111"/>
      <c r="X57" s="151"/>
      <c r="Z57" s="117"/>
    </row>
    <row r="58" spans="1:59" ht="20.100000000000001" customHeight="1">
      <c r="B58" s="463"/>
      <c r="C58" s="111"/>
      <c r="D58" s="111"/>
      <c r="E58" s="111"/>
      <c r="F58" s="111"/>
      <c r="G58" s="111"/>
      <c r="H58" s="111"/>
      <c r="I58" s="1060"/>
      <c r="J58" s="1060"/>
      <c r="K58" s="1060"/>
      <c r="L58" s="1060"/>
      <c r="M58" s="1060"/>
      <c r="N58" s="111"/>
      <c r="O58" s="111"/>
      <c r="P58" s="111"/>
      <c r="Q58" s="111"/>
      <c r="R58" s="111"/>
      <c r="S58" s="111"/>
      <c r="T58" s="111"/>
      <c r="U58" s="111"/>
      <c r="V58" s="111"/>
      <c r="X58" s="151"/>
      <c r="Z58" s="117"/>
    </row>
    <row r="59" spans="1:59" ht="20.100000000000001" customHeight="1">
      <c r="C59" s="110"/>
      <c r="D59" s="110"/>
      <c r="E59" s="111"/>
      <c r="F59" s="111"/>
      <c r="G59" s="111"/>
      <c r="H59" s="111"/>
      <c r="I59" s="1060"/>
      <c r="J59" s="1060"/>
      <c r="K59" s="1060"/>
      <c r="L59" s="1060"/>
      <c r="M59" s="1060"/>
      <c r="N59" s="111"/>
      <c r="O59" s="111"/>
      <c r="P59" s="111"/>
      <c r="Q59" s="111"/>
      <c r="R59" s="111"/>
      <c r="S59" s="111"/>
      <c r="T59" s="111"/>
      <c r="U59" s="111"/>
      <c r="V59" s="111"/>
      <c r="X59" s="151"/>
      <c r="Z59" s="117"/>
    </row>
    <row r="60" spans="1:59" ht="20.100000000000001" customHeight="1">
      <c r="B60" s="111"/>
      <c r="C60" s="163"/>
      <c r="D60" s="110"/>
      <c r="E60" s="111"/>
      <c r="F60" s="111"/>
      <c r="G60" s="111"/>
      <c r="H60" s="111"/>
      <c r="I60" s="111"/>
      <c r="J60" s="128"/>
      <c r="K60" s="128"/>
      <c r="L60" s="128"/>
      <c r="M60" s="128"/>
      <c r="N60" s="111"/>
      <c r="O60" s="111"/>
      <c r="P60" s="111"/>
      <c r="Q60" s="111"/>
      <c r="R60" s="111"/>
      <c r="S60" s="128"/>
      <c r="T60" s="111"/>
      <c r="U60" s="111"/>
      <c r="V60" s="111"/>
      <c r="X60" s="151"/>
      <c r="Z60" s="117"/>
    </row>
    <row r="61" spans="1:59" ht="20.100000000000001" customHeight="1">
      <c r="B61" s="75"/>
      <c r="E61" s="111"/>
      <c r="F61" s="111"/>
      <c r="G61" s="111"/>
      <c r="H61" s="111"/>
      <c r="I61" s="111"/>
      <c r="J61" s="128"/>
      <c r="K61" s="128"/>
      <c r="L61" s="128"/>
      <c r="M61" s="128"/>
      <c r="N61" s="111"/>
      <c r="O61" s="111"/>
      <c r="P61" s="111"/>
      <c r="Q61" s="111"/>
      <c r="R61" s="111"/>
      <c r="S61" s="435"/>
      <c r="T61" s="1084"/>
      <c r="U61" s="1084"/>
      <c r="V61" s="81"/>
      <c r="W61" s="81"/>
      <c r="X61" s="151"/>
      <c r="Z61" s="117"/>
    </row>
    <row r="62" spans="1:59" s="1085" customFormat="1" ht="20.100000000000001" customHeight="1">
      <c r="B62" s="152"/>
      <c r="C62" s="111"/>
      <c r="D62" s="111"/>
      <c r="E62" s="111"/>
      <c r="F62" s="111"/>
      <c r="G62" s="111"/>
      <c r="H62" s="111"/>
      <c r="I62" s="111"/>
      <c r="J62" s="111"/>
      <c r="K62" s="111"/>
      <c r="L62" s="128"/>
      <c r="M62" s="128"/>
      <c r="N62" s="128"/>
      <c r="O62" s="128"/>
      <c r="P62" s="128"/>
      <c r="Q62" s="128"/>
      <c r="R62" s="128"/>
      <c r="S62" s="1086"/>
      <c r="T62" s="1087"/>
      <c r="U62" s="1087"/>
      <c r="V62" s="1088" t="str">
        <f>IF(draft=1,""&amp;F8&amp;" - "&amp;F9&amp;" - "&amp;F25&amp;" - "&amp;F32&amp;"",""&amp;F32&amp;"")</f>
        <v/>
      </c>
      <c r="W62" s="1089">
        <v>2</v>
      </c>
      <c r="X62" s="1090"/>
      <c r="Z62" s="1091"/>
    </row>
    <row r="63" spans="1:59" ht="12.75" customHeight="1">
      <c r="B63" s="75"/>
      <c r="C63" s="81"/>
      <c r="D63" s="81"/>
      <c r="E63" s="81"/>
      <c r="F63" s="81"/>
      <c r="I63" s="81"/>
      <c r="J63" s="75"/>
      <c r="K63" s="1084"/>
      <c r="L63" s="435"/>
      <c r="M63" s="435"/>
      <c r="N63" s="435"/>
      <c r="O63" s="435"/>
      <c r="P63" s="435"/>
      <c r="Q63" s="435"/>
      <c r="R63" s="435"/>
      <c r="S63" s="118"/>
      <c r="T63" s="81"/>
      <c r="U63" s="81"/>
      <c r="V63" s="81"/>
      <c r="X63" s="151"/>
      <c r="Z63" s="117"/>
    </row>
    <row r="64" spans="1:59" ht="27.75" customHeight="1">
      <c r="A64" s="117"/>
      <c r="B64" s="81"/>
      <c r="C64" s="152"/>
      <c r="D64" s="152"/>
      <c r="E64" s="152"/>
      <c r="F64" s="152"/>
      <c r="G64" s="1085"/>
      <c r="H64" s="1085"/>
      <c r="I64" s="152"/>
      <c r="J64" s="152"/>
      <c r="K64" s="1087"/>
      <c r="L64" s="1086"/>
      <c r="M64" s="1086"/>
      <c r="N64" s="1086"/>
      <c r="O64" s="1086"/>
      <c r="P64" s="1086"/>
      <c r="Q64" s="1086"/>
      <c r="R64" s="1086"/>
      <c r="S64" s="118"/>
      <c r="T64" s="117"/>
      <c r="U64" s="117"/>
      <c r="V64" s="117"/>
      <c r="W64" s="117"/>
      <c r="X64" s="43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</row>
    <row r="65" spans="1:59" ht="2.85" customHeight="1">
      <c r="A65" s="117"/>
      <c r="B65" s="81"/>
      <c r="C65" s="1050"/>
      <c r="D65" s="81"/>
      <c r="E65" s="81"/>
      <c r="F65" s="81"/>
      <c r="I65" s="81"/>
      <c r="J65" s="75"/>
      <c r="K65" s="81"/>
      <c r="L65" s="118"/>
      <c r="M65" s="118"/>
      <c r="N65" s="118"/>
      <c r="O65" s="118"/>
      <c r="P65" s="118"/>
      <c r="Q65" s="118"/>
      <c r="R65" s="118"/>
      <c r="S65" s="1092"/>
      <c r="T65" s="499"/>
      <c r="U65" s="499"/>
      <c r="V65" s="499"/>
      <c r="W65" s="499"/>
      <c r="X65" s="43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</row>
    <row r="66" spans="1:59" ht="15" customHeight="1">
      <c r="A66" s="117"/>
      <c r="B66" s="81"/>
      <c r="C66" s="499"/>
      <c r="D66" s="117"/>
      <c r="E66" s="117"/>
      <c r="F66" s="117"/>
      <c r="G66" s="117"/>
      <c r="H66" s="117"/>
      <c r="I66" s="117"/>
      <c r="J66" s="117"/>
      <c r="K66" s="117"/>
      <c r="L66" s="118"/>
      <c r="M66" s="118"/>
      <c r="N66" s="118"/>
      <c r="O66" s="118"/>
      <c r="P66" s="118"/>
      <c r="Q66" s="118"/>
      <c r="R66" s="118"/>
      <c r="S66" s="117"/>
      <c r="T66" s="117"/>
      <c r="U66" s="117"/>
      <c r="V66" s="117"/>
      <c r="W66" s="117"/>
      <c r="X66" s="43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</row>
    <row r="67" spans="1:59" ht="15" customHeight="1">
      <c r="A67" s="117"/>
      <c r="B67" s="81"/>
      <c r="C67" s="499"/>
      <c r="D67" s="499"/>
      <c r="E67" s="499"/>
      <c r="F67" s="499"/>
      <c r="G67" s="499"/>
      <c r="H67" s="499"/>
      <c r="I67" s="499"/>
      <c r="J67" s="499"/>
      <c r="K67" s="499"/>
      <c r="L67" s="1092"/>
      <c r="M67" s="1092"/>
      <c r="N67" s="1092"/>
      <c r="O67" s="1092"/>
      <c r="P67" s="1092"/>
      <c r="Q67" s="1092"/>
      <c r="R67" s="1092"/>
      <c r="S67" s="117"/>
      <c r="T67" s="117"/>
      <c r="U67" s="117"/>
      <c r="V67" s="117"/>
      <c r="W67" s="117"/>
      <c r="X67" s="43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</row>
    <row r="68" spans="1:59" ht="15" customHeight="1">
      <c r="A68" s="117"/>
      <c r="B68" s="81"/>
      <c r="C68" s="117"/>
      <c r="D68" s="117"/>
      <c r="E68" s="117"/>
      <c r="F68" s="117"/>
      <c r="G68" s="117"/>
      <c r="H68" s="117"/>
      <c r="I68" s="117"/>
      <c r="J68" s="118"/>
      <c r="K68" s="118"/>
      <c r="L68" s="118"/>
      <c r="M68" s="118"/>
      <c r="N68" s="117"/>
      <c r="O68" s="117"/>
      <c r="P68" s="117"/>
      <c r="Q68" s="117"/>
      <c r="R68" s="117"/>
      <c r="S68" s="1093"/>
      <c r="T68" s="1093"/>
      <c r="U68" s="1093"/>
      <c r="V68" s="1094"/>
      <c r="W68" s="1094"/>
      <c r="X68" s="43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</row>
    <row r="69" spans="1:59" ht="15" customHeight="1">
      <c r="A69" s="117"/>
      <c r="B69" s="88"/>
      <c r="C69" s="1078"/>
      <c r="D69" s="117"/>
      <c r="E69" s="117"/>
      <c r="F69" s="117"/>
      <c r="G69" s="117"/>
      <c r="H69" s="117"/>
      <c r="I69" s="117"/>
      <c r="J69" s="118"/>
      <c r="K69" s="118"/>
      <c r="L69" s="118"/>
      <c r="M69" s="118"/>
      <c r="N69" s="117"/>
      <c r="O69" s="117"/>
      <c r="P69" s="117"/>
      <c r="Q69" s="117"/>
      <c r="R69" s="117"/>
      <c r="S69" s="510"/>
      <c r="T69" s="510"/>
      <c r="U69" s="510"/>
      <c r="V69" s="510"/>
      <c r="W69" s="117"/>
      <c r="X69" s="43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</row>
    <row r="70" spans="1:59" ht="15" customHeight="1">
      <c r="A70" s="117"/>
      <c r="B70" s="88"/>
      <c r="C70" s="163"/>
      <c r="D70" s="110"/>
      <c r="E70" s="110"/>
      <c r="F70" s="110"/>
      <c r="G70" s="110"/>
      <c r="H70" s="110"/>
      <c r="I70" s="1095"/>
      <c r="J70" s="1095"/>
      <c r="K70" s="1095"/>
      <c r="L70" s="1095"/>
      <c r="M70" s="1095"/>
      <c r="N70" s="1093"/>
      <c r="O70" s="1093"/>
      <c r="P70" s="1093"/>
      <c r="Q70" s="1093"/>
      <c r="R70" s="1093"/>
      <c r="S70" s="510"/>
      <c r="T70" s="510"/>
      <c r="U70" s="510"/>
      <c r="V70" s="510"/>
      <c r="W70" s="117"/>
      <c r="X70" s="43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</row>
    <row r="71" spans="1:59" ht="15" customHeight="1">
      <c r="A71" s="117"/>
      <c r="B71" s="88"/>
      <c r="C71" s="110"/>
      <c r="D71" s="110"/>
      <c r="E71" s="110"/>
      <c r="F71" s="110"/>
      <c r="G71" s="110"/>
      <c r="H71" s="110"/>
      <c r="I71" s="510"/>
      <c r="J71" s="510"/>
      <c r="K71" s="510"/>
      <c r="L71" s="510"/>
      <c r="M71" s="510"/>
      <c r="N71" s="510"/>
      <c r="O71" s="510"/>
      <c r="P71" s="510"/>
      <c r="Q71" s="510"/>
      <c r="R71" s="510"/>
      <c r="S71" s="510"/>
      <c r="T71" s="510"/>
      <c r="U71" s="510"/>
      <c r="V71" s="510"/>
      <c r="W71" s="117"/>
      <c r="X71" s="43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</row>
    <row r="72" spans="1:59" ht="15" customHeight="1">
      <c r="A72" s="117"/>
      <c r="B72" s="88"/>
      <c r="C72" s="100"/>
      <c r="D72" s="100"/>
      <c r="E72" s="508"/>
      <c r="F72" s="508"/>
      <c r="G72" s="110"/>
      <c r="H72" s="110"/>
      <c r="I72" s="510"/>
      <c r="J72" s="510"/>
      <c r="K72" s="510"/>
      <c r="L72" s="510"/>
      <c r="M72" s="510"/>
      <c r="N72" s="510"/>
      <c r="O72" s="510"/>
      <c r="P72" s="510"/>
      <c r="Q72" s="510"/>
      <c r="R72" s="510"/>
      <c r="S72" s="510"/>
      <c r="T72" s="510"/>
      <c r="U72" s="510"/>
      <c r="V72" s="510"/>
      <c r="W72" s="117"/>
      <c r="X72" s="43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</row>
    <row r="73" spans="1:59" ht="15" customHeight="1">
      <c r="A73" s="117"/>
      <c r="B73" s="88"/>
      <c r="C73" s="156"/>
      <c r="D73" s="156"/>
      <c r="E73" s="530"/>
      <c r="F73" s="1096"/>
      <c r="G73" s="110"/>
      <c r="H73" s="1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510"/>
      <c r="T73" s="510"/>
      <c r="U73" s="510"/>
      <c r="V73" s="510"/>
      <c r="W73" s="117"/>
      <c r="X73" s="43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</row>
    <row r="74" spans="1:59" ht="15" customHeight="1">
      <c r="A74" s="117"/>
      <c r="B74" s="88"/>
      <c r="C74" s="110"/>
      <c r="D74" s="110"/>
      <c r="E74" s="524"/>
      <c r="F74" s="80"/>
      <c r="G74" s="110"/>
      <c r="H74" s="110"/>
      <c r="I74" s="510"/>
      <c r="J74" s="510"/>
      <c r="K74" s="510"/>
      <c r="L74" s="510"/>
      <c r="M74" s="510"/>
      <c r="N74" s="510"/>
      <c r="O74" s="510"/>
      <c r="P74" s="510"/>
      <c r="Q74" s="510"/>
      <c r="R74" s="510"/>
      <c r="S74" s="510"/>
      <c r="T74" s="510"/>
      <c r="U74" s="510"/>
      <c r="V74" s="510"/>
      <c r="W74" s="117"/>
      <c r="X74" s="43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</row>
    <row r="75" spans="1:59" ht="15" customHeight="1">
      <c r="A75" s="117"/>
      <c r="B75" s="88"/>
      <c r="C75" s="117"/>
      <c r="D75" s="117"/>
      <c r="E75" s="117"/>
      <c r="F75" s="117"/>
      <c r="G75" s="117"/>
      <c r="H75" s="117"/>
      <c r="I75" s="510"/>
      <c r="J75" s="510"/>
      <c r="K75" s="510"/>
      <c r="L75" s="510"/>
      <c r="M75" s="510"/>
      <c r="N75" s="510"/>
      <c r="O75" s="510"/>
      <c r="P75" s="510"/>
      <c r="Q75" s="510"/>
      <c r="R75" s="510"/>
      <c r="S75" s="510"/>
      <c r="T75" s="510"/>
      <c r="U75" s="510"/>
      <c r="V75" s="510"/>
      <c r="W75" s="117"/>
      <c r="X75" s="43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</row>
    <row r="76" spans="1:59" ht="15" customHeight="1">
      <c r="A76" s="117"/>
      <c r="B76" s="88"/>
      <c r="C76" s="110"/>
      <c r="D76" s="110"/>
      <c r="E76" s="524"/>
      <c r="F76" s="80"/>
      <c r="G76" s="110"/>
      <c r="H76" s="110"/>
      <c r="I76" s="510"/>
      <c r="J76" s="510"/>
      <c r="K76" s="510"/>
      <c r="L76" s="510"/>
      <c r="M76" s="510"/>
      <c r="N76" s="510"/>
      <c r="O76" s="510"/>
      <c r="P76" s="510"/>
      <c r="Q76" s="510"/>
      <c r="R76" s="510"/>
      <c r="S76" s="510"/>
      <c r="T76" s="510"/>
      <c r="U76" s="510"/>
      <c r="V76" s="510"/>
      <c r="W76" s="117"/>
      <c r="X76" s="43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</row>
    <row r="77" spans="1:59" ht="15" customHeight="1">
      <c r="A77" s="117"/>
      <c r="B77" s="88"/>
      <c r="C77" s="110"/>
      <c r="D77" s="110"/>
      <c r="E77" s="524"/>
      <c r="F77" s="80"/>
      <c r="G77" s="110"/>
      <c r="H77" s="110"/>
      <c r="I77" s="510"/>
      <c r="J77" s="510"/>
      <c r="K77" s="510"/>
      <c r="L77" s="510"/>
      <c r="M77" s="510"/>
      <c r="N77" s="510"/>
      <c r="O77" s="510"/>
      <c r="P77" s="510"/>
      <c r="Q77" s="510"/>
      <c r="R77" s="510"/>
      <c r="S77" s="510"/>
      <c r="T77" s="510"/>
      <c r="U77" s="510"/>
      <c r="V77" s="510"/>
      <c r="W77" s="117"/>
      <c r="X77" s="43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</row>
    <row r="78" spans="1:59" ht="15" customHeight="1">
      <c r="A78" s="117"/>
      <c r="B78" s="88"/>
      <c r="C78" s="110"/>
      <c r="D78" s="110"/>
      <c r="E78" s="524"/>
      <c r="F78" s="80"/>
      <c r="G78" s="110"/>
      <c r="H78" s="110"/>
      <c r="I78" s="510"/>
      <c r="J78" s="510"/>
      <c r="K78" s="510"/>
      <c r="L78" s="510"/>
      <c r="M78" s="510"/>
      <c r="N78" s="510"/>
      <c r="O78" s="510"/>
      <c r="P78" s="510"/>
      <c r="Q78" s="510"/>
      <c r="R78" s="510"/>
      <c r="S78" s="510"/>
      <c r="T78" s="510"/>
      <c r="U78" s="510"/>
      <c r="V78" s="510"/>
      <c r="W78" s="117"/>
      <c r="X78" s="43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</row>
    <row r="79" spans="1:59" ht="15" customHeight="1">
      <c r="A79" s="117"/>
      <c r="B79" s="88"/>
      <c r="C79" s="110"/>
      <c r="D79" s="110"/>
      <c r="E79" s="524"/>
      <c r="F79" s="80"/>
      <c r="G79" s="110"/>
      <c r="H79" s="110"/>
      <c r="I79" s="510"/>
      <c r="J79" s="510"/>
      <c r="K79" s="510"/>
      <c r="L79" s="510"/>
      <c r="M79" s="510"/>
      <c r="N79" s="510"/>
      <c r="O79" s="510"/>
      <c r="P79" s="510"/>
      <c r="Q79" s="510"/>
      <c r="R79" s="510"/>
      <c r="S79" s="510"/>
      <c r="T79" s="510"/>
      <c r="U79" s="510"/>
      <c r="V79" s="510"/>
      <c r="W79" s="117"/>
      <c r="X79" s="43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</row>
    <row r="80" spans="1:59" ht="15" customHeight="1">
      <c r="A80" s="117"/>
      <c r="B80" s="88"/>
      <c r="C80" s="110"/>
      <c r="D80" s="110"/>
      <c r="E80" s="524"/>
      <c r="F80" s="80"/>
      <c r="G80" s="110"/>
      <c r="H80" s="1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510"/>
      <c r="T80" s="510"/>
      <c r="U80" s="510"/>
      <c r="V80" s="510"/>
      <c r="W80" s="117"/>
      <c r="X80" s="43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</row>
    <row r="81" spans="1:59" ht="15" customHeight="1">
      <c r="A81" s="117"/>
      <c r="B81" s="88"/>
      <c r="C81" s="110"/>
      <c r="D81" s="110"/>
      <c r="E81" s="524"/>
      <c r="F81" s="80"/>
      <c r="G81" s="110"/>
      <c r="H81" s="110"/>
      <c r="I81" s="510"/>
      <c r="J81" s="510"/>
      <c r="K81" s="510"/>
      <c r="L81" s="510"/>
      <c r="M81" s="510"/>
      <c r="N81" s="510"/>
      <c r="O81" s="510"/>
      <c r="P81" s="510"/>
      <c r="Q81" s="510"/>
      <c r="R81" s="510"/>
      <c r="S81" s="510"/>
      <c r="T81" s="510"/>
      <c r="U81" s="510"/>
      <c r="V81" s="510"/>
      <c r="W81" s="117"/>
      <c r="X81" s="43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</row>
    <row r="82" spans="1:59" ht="15" customHeight="1">
      <c r="A82" s="117"/>
      <c r="B82" s="88"/>
      <c r="C82" s="110"/>
      <c r="D82" s="110"/>
      <c r="E82" s="524"/>
      <c r="F82" s="80"/>
      <c r="G82" s="110"/>
      <c r="H82" s="110"/>
      <c r="I82" s="510"/>
      <c r="J82" s="510"/>
      <c r="K82" s="510"/>
      <c r="L82" s="510"/>
      <c r="M82" s="510"/>
      <c r="N82" s="510"/>
      <c r="O82" s="510"/>
      <c r="P82" s="510"/>
      <c r="Q82" s="510"/>
      <c r="R82" s="510"/>
      <c r="S82" s="510"/>
      <c r="T82" s="510"/>
      <c r="U82" s="510"/>
      <c r="V82" s="510"/>
      <c r="W82" s="117"/>
      <c r="X82" s="43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</row>
    <row r="83" spans="1:59" ht="15" customHeight="1">
      <c r="A83" s="117"/>
      <c r="B83" s="88"/>
      <c r="C83" s="110"/>
      <c r="D83" s="110"/>
      <c r="E83" s="524"/>
      <c r="F83" s="80"/>
      <c r="G83" s="110"/>
      <c r="H83" s="110"/>
      <c r="I83" s="510"/>
      <c r="J83" s="510"/>
      <c r="K83" s="510"/>
      <c r="L83" s="510"/>
      <c r="M83" s="510"/>
      <c r="N83" s="510"/>
      <c r="O83" s="510"/>
      <c r="P83" s="510"/>
      <c r="Q83" s="510"/>
      <c r="R83" s="510"/>
      <c r="S83" s="510"/>
      <c r="T83" s="510"/>
      <c r="U83" s="510"/>
      <c r="V83" s="510"/>
      <c r="W83" s="117"/>
      <c r="X83" s="43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</row>
    <row r="84" spans="1:59" ht="15" customHeight="1">
      <c r="A84" s="117"/>
      <c r="B84" s="88"/>
      <c r="C84" s="110"/>
      <c r="D84" s="110"/>
      <c r="E84" s="524"/>
      <c r="F84" s="80"/>
      <c r="G84" s="110"/>
      <c r="H84" s="110"/>
      <c r="I84" s="510"/>
      <c r="J84" s="510"/>
      <c r="K84" s="510"/>
      <c r="L84" s="510"/>
      <c r="M84" s="510"/>
      <c r="N84" s="510"/>
      <c r="O84" s="510"/>
      <c r="P84" s="510"/>
      <c r="Q84" s="510"/>
      <c r="R84" s="510"/>
      <c r="S84" s="510"/>
      <c r="T84" s="510"/>
      <c r="U84" s="510"/>
      <c r="V84" s="510"/>
      <c r="W84" s="117"/>
      <c r="X84" s="43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</row>
    <row r="85" spans="1:59" ht="15" customHeight="1">
      <c r="A85" s="117"/>
      <c r="B85" s="88"/>
      <c r="C85" s="110"/>
      <c r="D85" s="110"/>
      <c r="E85" s="524"/>
      <c r="F85" s="80"/>
      <c r="G85" s="110"/>
      <c r="H85" s="110"/>
      <c r="I85" s="510"/>
      <c r="J85" s="510"/>
      <c r="K85" s="510"/>
      <c r="L85" s="510"/>
      <c r="M85" s="510"/>
      <c r="N85" s="510"/>
      <c r="O85" s="510"/>
      <c r="P85" s="510"/>
      <c r="Q85" s="510"/>
      <c r="R85" s="510"/>
      <c r="S85" s="510"/>
      <c r="T85" s="510"/>
      <c r="U85" s="510"/>
      <c r="V85" s="510"/>
      <c r="W85" s="117"/>
      <c r="X85" s="43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</row>
    <row r="86" spans="1:59" ht="15" customHeight="1">
      <c r="A86" s="117"/>
      <c r="B86" s="88"/>
      <c r="C86" s="110"/>
      <c r="D86" s="110"/>
      <c r="E86" s="524"/>
      <c r="F86" s="80"/>
      <c r="G86" s="110"/>
      <c r="H86" s="110"/>
      <c r="I86" s="510"/>
      <c r="J86" s="510"/>
      <c r="K86" s="510"/>
      <c r="L86" s="510"/>
      <c r="M86" s="510"/>
      <c r="N86" s="510"/>
      <c r="O86" s="510"/>
      <c r="P86" s="510"/>
      <c r="Q86" s="510"/>
      <c r="R86" s="510"/>
      <c r="S86" s="510"/>
      <c r="T86" s="510"/>
      <c r="U86" s="510"/>
      <c r="V86" s="510"/>
      <c r="W86" s="117"/>
      <c r="X86" s="43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</row>
    <row r="87" spans="1:59" ht="15" customHeight="1">
      <c r="A87" s="117"/>
      <c r="B87" s="88"/>
      <c r="C87" s="110"/>
      <c r="D87" s="110"/>
      <c r="E87" s="524"/>
      <c r="F87" s="80"/>
      <c r="G87" s="110"/>
      <c r="H87" s="110"/>
      <c r="I87" s="510"/>
      <c r="J87" s="510"/>
      <c r="K87" s="510"/>
      <c r="L87" s="510"/>
      <c r="M87" s="510"/>
      <c r="N87" s="510"/>
      <c r="O87" s="510"/>
      <c r="P87" s="510"/>
      <c r="Q87" s="510"/>
      <c r="R87" s="510"/>
      <c r="S87" s="510"/>
      <c r="T87" s="510"/>
      <c r="U87" s="510"/>
      <c r="V87" s="510"/>
      <c r="W87" s="117"/>
      <c r="X87" s="43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</row>
    <row r="88" spans="1:59" ht="15" customHeight="1">
      <c r="A88" s="117"/>
      <c r="B88" s="88"/>
      <c r="C88" s="117"/>
      <c r="D88" s="117"/>
      <c r="E88" s="117"/>
      <c r="F88" s="117"/>
      <c r="G88" s="117"/>
      <c r="H88" s="117"/>
      <c r="I88" s="510"/>
      <c r="J88" s="510"/>
      <c r="K88" s="510"/>
      <c r="L88" s="510"/>
      <c r="M88" s="510"/>
      <c r="N88" s="510"/>
      <c r="O88" s="510"/>
      <c r="P88" s="510"/>
      <c r="Q88" s="510"/>
      <c r="R88" s="510"/>
      <c r="S88" s="510"/>
      <c r="T88" s="510"/>
      <c r="U88" s="510"/>
      <c r="V88" s="510"/>
      <c r="W88" s="117"/>
      <c r="X88" s="43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</row>
    <row r="89" spans="1:59" ht="15" customHeight="1">
      <c r="A89" s="117"/>
      <c r="B89" s="100"/>
      <c r="C89" s="110"/>
      <c r="D89" s="110"/>
      <c r="E89" s="524"/>
      <c r="F89" s="80"/>
      <c r="G89" s="110"/>
      <c r="H89" s="110"/>
      <c r="I89" s="510"/>
      <c r="J89" s="510"/>
      <c r="K89" s="510"/>
      <c r="L89" s="510"/>
      <c r="M89" s="510"/>
      <c r="N89" s="510"/>
      <c r="O89" s="510"/>
      <c r="P89" s="510"/>
      <c r="Q89" s="510"/>
      <c r="R89" s="510"/>
      <c r="S89" s="117"/>
      <c r="T89" s="117"/>
      <c r="U89" s="117"/>
      <c r="V89" s="1081"/>
      <c r="W89" s="117"/>
      <c r="X89" s="43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</row>
    <row r="90" spans="1:59" ht="15" customHeight="1">
      <c r="A90" s="117"/>
      <c r="B90" s="100"/>
      <c r="C90" s="163"/>
      <c r="D90" s="110"/>
      <c r="E90" s="524"/>
      <c r="F90" s="80"/>
      <c r="G90" s="110"/>
      <c r="H90" s="110"/>
      <c r="I90" s="510"/>
      <c r="J90" s="510"/>
      <c r="K90" s="510"/>
      <c r="L90" s="510"/>
      <c r="M90" s="510"/>
      <c r="N90" s="510"/>
      <c r="O90" s="510"/>
      <c r="P90" s="510"/>
      <c r="Q90" s="510"/>
      <c r="R90" s="510"/>
      <c r="S90" s="117"/>
      <c r="T90" s="117"/>
      <c r="U90" s="117"/>
      <c r="V90" s="1081"/>
      <c r="W90" s="117"/>
      <c r="X90" s="43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</row>
    <row r="91" spans="1:59" ht="15" customHeight="1">
      <c r="A91" s="117"/>
      <c r="B91" s="100"/>
      <c r="C91" s="117"/>
      <c r="D91" s="117"/>
      <c r="E91" s="117"/>
      <c r="F91" s="117"/>
      <c r="G91" s="117"/>
      <c r="H91" s="117"/>
      <c r="I91" s="117"/>
      <c r="J91" s="118"/>
      <c r="K91" s="118"/>
      <c r="L91" s="118"/>
      <c r="M91" s="118"/>
      <c r="N91" s="117"/>
      <c r="O91" s="117"/>
      <c r="P91" s="117"/>
      <c r="Q91" s="117"/>
      <c r="R91" s="117"/>
      <c r="S91" s="82"/>
      <c r="T91" s="80"/>
      <c r="U91" s="80"/>
      <c r="V91" s="80"/>
      <c r="W91" s="117"/>
      <c r="X91" s="43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</row>
    <row r="92" spans="1:59" ht="15" customHeight="1">
      <c r="A92" s="117"/>
      <c r="B92" s="100"/>
      <c r="C92" s="117"/>
      <c r="D92" s="117"/>
      <c r="E92" s="117"/>
      <c r="F92" s="117"/>
      <c r="G92" s="117"/>
      <c r="H92" s="117"/>
      <c r="I92" s="117"/>
      <c r="J92" s="118"/>
      <c r="K92" s="118"/>
      <c r="L92" s="118"/>
      <c r="M92" s="118"/>
      <c r="N92" s="117"/>
      <c r="O92" s="117"/>
      <c r="P92" s="117"/>
      <c r="Q92" s="117"/>
      <c r="R92" s="117"/>
      <c r="S92" s="1095"/>
      <c r="T92" s="1095"/>
      <c r="U92" s="1095"/>
      <c r="V92" s="1095"/>
      <c r="W92" s="117"/>
      <c r="X92" s="43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</row>
    <row r="93" spans="1:59" ht="15" customHeight="1">
      <c r="A93" s="117"/>
      <c r="B93" s="100"/>
      <c r="C93" s="1078"/>
      <c r="D93" s="110"/>
      <c r="E93" s="524"/>
      <c r="F93" s="80"/>
      <c r="G93" s="110"/>
      <c r="H93" s="110"/>
      <c r="I93" s="80"/>
      <c r="J93" s="80"/>
      <c r="K93" s="80"/>
      <c r="L93" s="82"/>
      <c r="M93" s="82"/>
      <c r="N93" s="82"/>
      <c r="O93" s="82"/>
      <c r="P93" s="82"/>
      <c r="Q93" s="82"/>
      <c r="R93" s="82"/>
      <c r="S93" s="530"/>
      <c r="T93" s="530"/>
      <c r="U93" s="530"/>
      <c r="V93" s="530"/>
      <c r="W93" s="117"/>
      <c r="X93" s="43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</row>
    <row r="94" spans="1:59" ht="15" customHeight="1">
      <c r="A94" s="117"/>
      <c r="B94" s="100"/>
      <c r="C94" s="163"/>
      <c r="D94" s="117"/>
      <c r="E94" s="117"/>
      <c r="F94" s="117"/>
      <c r="G94" s="117"/>
      <c r="H94" s="117"/>
      <c r="I94" s="1095"/>
      <c r="J94" s="1095"/>
      <c r="K94" s="1095"/>
      <c r="L94" s="1095"/>
      <c r="M94" s="1095"/>
      <c r="N94" s="1095"/>
      <c r="O94" s="1095"/>
      <c r="P94" s="1095"/>
      <c r="Q94" s="1095"/>
      <c r="R94" s="1095"/>
      <c r="S94" s="1097"/>
      <c r="T94" s="1098"/>
      <c r="U94" s="133"/>
      <c r="V94" s="125"/>
      <c r="W94" s="117"/>
      <c r="X94" s="43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</row>
    <row r="95" spans="1:59" ht="15" customHeight="1">
      <c r="A95" s="117"/>
      <c r="B95" s="100"/>
      <c r="C95" s="163"/>
      <c r="D95" s="117"/>
      <c r="E95" s="117"/>
      <c r="F95" s="117"/>
      <c r="G95" s="117"/>
      <c r="H95" s="117"/>
      <c r="I95" s="530"/>
      <c r="J95" s="530"/>
      <c r="K95" s="530"/>
      <c r="L95" s="530"/>
      <c r="M95" s="530"/>
      <c r="N95" s="530"/>
      <c r="O95" s="530"/>
      <c r="P95" s="530"/>
      <c r="Q95" s="530"/>
      <c r="R95" s="530"/>
      <c r="S95" s="133"/>
      <c r="T95" s="133"/>
      <c r="U95" s="133"/>
      <c r="V95" s="133"/>
      <c r="W95" s="117"/>
      <c r="X95" s="43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</row>
    <row r="96" spans="1:59" ht="15" customHeight="1">
      <c r="A96" s="117"/>
      <c r="B96" s="100"/>
      <c r="C96" s="110"/>
      <c r="D96" s="110"/>
      <c r="E96" s="524"/>
      <c r="F96" s="80"/>
      <c r="G96" s="110"/>
      <c r="H96" s="110"/>
      <c r="I96" s="133"/>
      <c r="J96" s="133"/>
      <c r="K96" s="133"/>
      <c r="L96" s="133"/>
      <c r="M96" s="133"/>
      <c r="N96" s="1097"/>
      <c r="O96" s="1097"/>
      <c r="P96" s="1097"/>
      <c r="Q96" s="1097"/>
      <c r="R96" s="1097"/>
      <c r="S96" s="133"/>
      <c r="T96" s="133"/>
      <c r="U96" s="133"/>
      <c r="V96" s="133"/>
      <c r="W96" s="117"/>
      <c r="X96" s="43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</row>
    <row r="97" spans="1:59" ht="15" customHeight="1">
      <c r="A97" s="117"/>
      <c r="B97" s="100"/>
      <c r="C97" s="110"/>
      <c r="D97" s="110"/>
      <c r="E97" s="524"/>
      <c r="F97" s="80"/>
      <c r="G97" s="110"/>
      <c r="H97" s="110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17"/>
      <c r="X97" s="43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</row>
    <row r="98" spans="1:59" ht="15" customHeight="1">
      <c r="A98" s="117"/>
      <c r="B98" s="100"/>
      <c r="C98" s="110"/>
      <c r="D98" s="110"/>
      <c r="E98" s="524"/>
      <c r="F98" s="80"/>
      <c r="G98" s="110"/>
      <c r="H98" s="110"/>
      <c r="I98" s="133"/>
      <c r="J98" s="133"/>
      <c r="K98" s="133"/>
      <c r="L98" s="133"/>
      <c r="M98" s="133"/>
      <c r="N98" s="1098"/>
      <c r="O98" s="133"/>
      <c r="P98" s="133"/>
      <c r="Q98" s="133"/>
      <c r="R98" s="133"/>
      <c r="S98" s="1098"/>
      <c r="T98" s="133"/>
      <c r="U98" s="133"/>
      <c r="V98" s="133"/>
      <c r="W98" s="117"/>
      <c r="X98" s="43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</row>
    <row r="99" spans="1:59" ht="15" customHeight="1">
      <c r="A99" s="117"/>
      <c r="B99" s="100"/>
      <c r="C99" s="110"/>
      <c r="D99" s="110"/>
      <c r="E99" s="524"/>
      <c r="F99" s="80"/>
      <c r="G99" s="110"/>
      <c r="H99" s="110"/>
      <c r="I99" s="133"/>
      <c r="J99" s="133"/>
      <c r="K99" s="133"/>
      <c r="L99" s="133"/>
      <c r="M99" s="133"/>
      <c r="N99" s="1098"/>
      <c r="O99" s="133"/>
      <c r="P99" s="133"/>
      <c r="Q99" s="133"/>
      <c r="R99" s="133"/>
      <c r="S99" s="133"/>
      <c r="T99" s="133"/>
      <c r="U99" s="133"/>
      <c r="V99" s="133"/>
      <c r="W99" s="117"/>
      <c r="X99" s="43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</row>
    <row r="100" spans="1:59" ht="15" customHeight="1">
      <c r="A100" s="117"/>
      <c r="B100" s="100"/>
      <c r="C100" s="110"/>
      <c r="D100" s="110"/>
      <c r="E100" s="524"/>
      <c r="F100" s="80"/>
      <c r="G100" s="110"/>
      <c r="H100" s="110"/>
      <c r="I100" s="133"/>
      <c r="J100" s="133"/>
      <c r="K100" s="133"/>
      <c r="L100" s="133"/>
      <c r="M100" s="133"/>
      <c r="N100" s="133"/>
      <c r="O100" s="1098"/>
      <c r="P100" s="1098"/>
      <c r="Q100" s="1098"/>
      <c r="R100" s="1098"/>
      <c r="S100" s="133"/>
      <c r="T100" s="133"/>
      <c r="U100" s="133"/>
      <c r="V100" s="133"/>
      <c r="W100" s="117"/>
      <c r="X100" s="43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</row>
    <row r="101" spans="1:59" ht="15" customHeight="1">
      <c r="A101" s="117"/>
      <c r="B101" s="100"/>
      <c r="C101" s="110"/>
      <c r="D101" s="110"/>
      <c r="E101" s="524"/>
      <c r="F101" s="80"/>
      <c r="G101" s="110"/>
      <c r="H101" s="110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17"/>
      <c r="X101" s="43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</row>
    <row r="102" spans="1:59" ht="15" customHeight="1">
      <c r="A102" s="117"/>
      <c r="B102" s="117"/>
      <c r="C102" s="110"/>
      <c r="D102" s="110"/>
      <c r="E102" s="524"/>
      <c r="F102" s="80"/>
      <c r="G102" s="110"/>
      <c r="H102" s="110"/>
      <c r="I102" s="133"/>
      <c r="J102" s="133"/>
      <c r="K102" s="133"/>
      <c r="L102" s="133"/>
      <c r="M102" s="133"/>
      <c r="N102" s="1098"/>
      <c r="O102" s="133"/>
      <c r="P102" s="133"/>
      <c r="Q102" s="133"/>
      <c r="R102" s="133"/>
      <c r="S102" s="133"/>
      <c r="T102" s="133"/>
      <c r="U102" s="133"/>
      <c r="V102" s="133"/>
      <c r="W102" s="117"/>
      <c r="X102" s="43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</row>
    <row r="103" spans="1:59" ht="15" customHeight="1">
      <c r="A103" s="117"/>
      <c r="B103" s="117"/>
      <c r="C103" s="110"/>
      <c r="D103" s="110"/>
      <c r="E103" s="524"/>
      <c r="F103" s="80"/>
      <c r="G103" s="110"/>
      <c r="H103" s="110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17"/>
      <c r="X103" s="43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  <c r="BA103" s="117"/>
      <c r="BB103" s="117"/>
      <c r="BC103" s="117"/>
      <c r="BD103" s="117"/>
      <c r="BE103" s="117"/>
      <c r="BF103" s="117"/>
      <c r="BG103" s="117"/>
    </row>
    <row r="104" spans="1:59" ht="15" customHeight="1">
      <c r="A104" s="117"/>
      <c r="B104" s="81"/>
      <c r="C104" s="110"/>
      <c r="D104" s="110"/>
      <c r="E104" s="524"/>
      <c r="F104" s="80"/>
      <c r="G104" s="110"/>
      <c r="H104" s="110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17"/>
      <c r="T104" s="117"/>
      <c r="U104" s="117"/>
      <c r="V104" s="80"/>
      <c r="W104" s="80"/>
      <c r="X104" s="43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  <c r="BA104" s="117"/>
      <c r="BB104" s="117"/>
      <c r="BC104" s="117"/>
      <c r="BD104" s="117"/>
      <c r="BE104" s="117"/>
      <c r="BF104" s="117"/>
      <c r="BG104" s="117"/>
    </row>
    <row r="105" spans="1:59" ht="15" customHeight="1">
      <c r="A105" s="117"/>
      <c r="B105" s="81"/>
      <c r="C105" s="110"/>
      <c r="D105" s="110"/>
      <c r="E105" s="524"/>
      <c r="F105" s="80"/>
      <c r="G105" s="110"/>
      <c r="H105" s="110"/>
      <c r="I105" s="133"/>
      <c r="J105" s="133"/>
      <c r="K105" s="133"/>
      <c r="L105" s="133"/>
      <c r="M105" s="133"/>
      <c r="N105" s="1098"/>
      <c r="O105" s="133"/>
      <c r="P105" s="133"/>
      <c r="Q105" s="133"/>
      <c r="R105" s="133"/>
      <c r="S105" s="80"/>
      <c r="T105" s="80"/>
      <c r="U105" s="80"/>
      <c r="V105" s="80"/>
      <c r="W105" s="80"/>
      <c r="X105" s="43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</row>
    <row r="106" spans="1:59" ht="15" customHeight="1">
      <c r="A106" s="117"/>
      <c r="B106" s="81"/>
      <c r="C106" s="117"/>
      <c r="D106" s="117"/>
      <c r="E106" s="117"/>
      <c r="F106" s="117"/>
      <c r="G106" s="117"/>
      <c r="H106" s="117"/>
      <c r="I106" s="117"/>
      <c r="J106" s="118"/>
      <c r="K106" s="118"/>
      <c r="L106" s="118"/>
      <c r="M106" s="118"/>
      <c r="N106" s="117"/>
      <c r="O106" s="117"/>
      <c r="P106" s="117"/>
      <c r="Q106" s="117"/>
      <c r="R106" s="117"/>
      <c r="S106" s="1099"/>
      <c r="T106" s="80"/>
      <c r="U106" s="80"/>
      <c r="V106" s="80"/>
      <c r="W106" s="80"/>
      <c r="X106" s="43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</row>
    <row r="107" spans="1:59" ht="15" customHeight="1">
      <c r="A107" s="117"/>
      <c r="B107" s="81"/>
      <c r="C107" s="110"/>
      <c r="D107" s="110"/>
      <c r="E107" s="515"/>
      <c r="F107" s="80"/>
      <c r="G107" s="110"/>
      <c r="H107" s="110"/>
      <c r="I107" s="1083"/>
      <c r="J107" s="1083"/>
      <c r="K107" s="1083"/>
      <c r="L107" s="1083"/>
      <c r="M107" s="1083"/>
      <c r="N107" s="80"/>
      <c r="O107" s="80"/>
      <c r="P107" s="80"/>
      <c r="Q107" s="80"/>
      <c r="R107" s="80"/>
      <c r="S107" s="1100"/>
      <c r="T107" s="1101"/>
      <c r="U107" s="1101"/>
      <c r="V107" s="80"/>
      <c r="W107" s="80"/>
      <c r="X107" s="43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  <c r="BA107" s="117"/>
      <c r="BB107" s="117"/>
      <c r="BC107" s="117"/>
      <c r="BD107" s="117"/>
      <c r="BE107" s="117"/>
      <c r="BF107" s="117"/>
      <c r="BG107" s="117"/>
    </row>
    <row r="108" spans="1:59" ht="15" customHeight="1">
      <c r="A108" s="117"/>
      <c r="B108" s="81"/>
      <c r="C108" s="110"/>
      <c r="D108" s="110"/>
      <c r="E108" s="515"/>
      <c r="F108" s="80"/>
      <c r="G108" s="110"/>
      <c r="H108" s="110"/>
      <c r="I108" s="80"/>
      <c r="J108" s="1083"/>
      <c r="K108" s="1083"/>
      <c r="L108" s="1099"/>
      <c r="M108" s="1099"/>
      <c r="N108" s="1099"/>
      <c r="O108" s="1099"/>
      <c r="P108" s="1099"/>
      <c r="Q108" s="1099"/>
      <c r="R108" s="1099"/>
      <c r="S108" s="117"/>
      <c r="T108" s="117"/>
      <c r="U108" s="117"/>
      <c r="V108" s="80"/>
      <c r="W108" s="80"/>
      <c r="X108" s="43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  <c r="BA108" s="117"/>
      <c r="BB108" s="117"/>
      <c r="BC108" s="117"/>
      <c r="BD108" s="117"/>
      <c r="BE108" s="117"/>
      <c r="BF108" s="117"/>
      <c r="BG108" s="117"/>
    </row>
    <row r="109" spans="1:59" ht="15" customHeight="1">
      <c r="A109" s="117"/>
      <c r="B109" s="81"/>
      <c r="C109" s="1102"/>
      <c r="D109" s="1102"/>
      <c r="E109" s="1103"/>
      <c r="F109" s="1101"/>
      <c r="G109" s="1102"/>
      <c r="H109" s="1102"/>
      <c r="I109" s="1101"/>
      <c r="J109" s="1101"/>
      <c r="K109" s="1101"/>
      <c r="L109" s="1100"/>
      <c r="M109" s="1100"/>
      <c r="N109" s="1100"/>
      <c r="O109" s="1100"/>
      <c r="P109" s="1100"/>
      <c r="Q109" s="1100"/>
      <c r="R109" s="1100"/>
      <c r="S109" s="117"/>
      <c r="T109" s="117"/>
      <c r="U109" s="117"/>
      <c r="V109" s="80"/>
      <c r="W109" s="80"/>
      <c r="X109" s="43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7"/>
      <c r="BC109" s="117"/>
      <c r="BD109" s="117"/>
      <c r="BE109" s="117"/>
      <c r="BF109" s="117"/>
      <c r="BG109" s="117"/>
    </row>
    <row r="110" spans="1:59" ht="15" customHeight="1">
      <c r="A110" s="117"/>
      <c r="B110" s="81"/>
      <c r="C110" s="117"/>
      <c r="D110" s="117"/>
      <c r="E110" s="117"/>
      <c r="F110" s="117"/>
      <c r="G110" s="117"/>
      <c r="H110" s="117"/>
      <c r="I110" s="117"/>
      <c r="J110" s="118"/>
      <c r="K110" s="118"/>
      <c r="L110" s="118"/>
      <c r="M110" s="118"/>
      <c r="N110" s="117"/>
      <c r="O110" s="117"/>
      <c r="P110" s="117"/>
      <c r="Q110" s="117"/>
      <c r="R110" s="117"/>
      <c r="S110" s="117"/>
      <c r="T110" s="117"/>
      <c r="U110" s="117"/>
      <c r="V110" s="80"/>
      <c r="W110" s="80"/>
      <c r="X110" s="43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  <c r="BA110" s="117"/>
      <c r="BB110" s="117"/>
      <c r="BC110" s="117"/>
      <c r="BD110" s="117"/>
      <c r="BE110" s="117"/>
      <c r="BF110" s="117"/>
      <c r="BG110" s="117"/>
    </row>
    <row r="111" spans="1:59" ht="15" customHeight="1">
      <c r="A111" s="117"/>
      <c r="B111" s="81"/>
      <c r="C111" s="117"/>
      <c r="D111" s="117"/>
      <c r="E111" s="117"/>
      <c r="F111" s="117"/>
      <c r="G111" s="117"/>
      <c r="H111" s="117"/>
      <c r="I111" s="117"/>
      <c r="J111" s="118"/>
      <c r="K111" s="118"/>
      <c r="L111" s="118"/>
      <c r="M111" s="118"/>
      <c r="N111" s="117"/>
      <c r="O111" s="117"/>
      <c r="P111" s="117"/>
      <c r="Q111" s="117"/>
      <c r="R111" s="117"/>
      <c r="S111" s="117"/>
      <c r="T111" s="117"/>
      <c r="U111" s="117"/>
      <c r="V111" s="81"/>
      <c r="W111" s="81"/>
      <c r="X111" s="43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</row>
    <row r="112" spans="1:59" ht="15" customHeight="1">
      <c r="A112" s="117"/>
      <c r="B112" s="1104"/>
      <c r="C112" s="117"/>
      <c r="D112" s="117"/>
      <c r="E112" s="117"/>
      <c r="F112" s="117"/>
      <c r="G112" s="117"/>
      <c r="H112" s="117"/>
      <c r="I112" s="117"/>
      <c r="J112" s="118"/>
      <c r="K112" s="118"/>
      <c r="L112" s="118"/>
      <c r="M112" s="118"/>
      <c r="N112" s="117"/>
      <c r="O112" s="117"/>
      <c r="P112" s="117"/>
      <c r="Q112" s="117"/>
      <c r="R112" s="117"/>
      <c r="S112" s="117"/>
      <c r="T112" s="117"/>
      <c r="U112" s="117"/>
      <c r="V112" s="1105"/>
      <c r="W112" s="1105"/>
      <c r="X112" s="43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  <c r="BA112" s="117"/>
      <c r="BB112" s="117"/>
      <c r="BC112" s="117"/>
      <c r="BD112" s="117"/>
      <c r="BE112" s="117"/>
      <c r="BF112" s="117"/>
      <c r="BG112" s="117"/>
    </row>
    <row r="113" spans="1:59" ht="12.75" customHeight="1">
      <c r="A113" s="117"/>
      <c r="B113" s="81"/>
      <c r="C113" s="117"/>
      <c r="D113" s="117"/>
      <c r="E113" s="117"/>
      <c r="F113" s="117"/>
      <c r="G113" s="117"/>
      <c r="H113" s="117"/>
      <c r="I113" s="117"/>
      <c r="J113" s="118"/>
      <c r="K113" s="118"/>
      <c r="L113" s="118"/>
      <c r="M113" s="118"/>
      <c r="N113" s="117"/>
      <c r="O113" s="117"/>
      <c r="P113" s="117"/>
      <c r="Q113" s="117"/>
      <c r="R113" s="117"/>
      <c r="S113" s="117"/>
      <c r="T113" s="117"/>
      <c r="U113" s="117"/>
      <c r="V113" s="81"/>
      <c r="W113" s="1106"/>
      <c r="X113" s="43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  <c r="BA113" s="117"/>
      <c r="BB113" s="117"/>
      <c r="BC113" s="117"/>
      <c r="BD113" s="117"/>
      <c r="BE113" s="117"/>
      <c r="BF113" s="117"/>
      <c r="BG113" s="117"/>
    </row>
    <row r="114" spans="1:59" ht="27.75" customHeight="1">
      <c r="A114" s="117"/>
      <c r="B114" s="81"/>
      <c r="C114" s="117"/>
      <c r="D114" s="117"/>
      <c r="E114" s="117"/>
      <c r="F114" s="117"/>
      <c r="G114" s="117"/>
      <c r="H114" s="117"/>
      <c r="I114" s="117"/>
      <c r="J114" s="118"/>
      <c r="K114" s="118"/>
      <c r="L114" s="118"/>
      <c r="M114" s="118"/>
      <c r="N114" s="117"/>
      <c r="O114" s="117"/>
      <c r="P114" s="117"/>
      <c r="Q114" s="117"/>
      <c r="R114" s="117"/>
      <c r="S114" s="110"/>
      <c r="T114" s="110"/>
      <c r="U114" s="110"/>
      <c r="V114" s="117"/>
      <c r="W114" s="117"/>
      <c r="X114" s="43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</row>
    <row r="115" spans="1:59" ht="2.85" customHeight="1">
      <c r="A115" s="117"/>
      <c r="B115" s="81"/>
      <c r="C115" s="117"/>
      <c r="D115" s="117"/>
      <c r="E115" s="117"/>
      <c r="F115" s="117"/>
      <c r="G115" s="117"/>
      <c r="H115" s="117"/>
      <c r="I115" s="117"/>
      <c r="J115" s="118"/>
      <c r="K115" s="118"/>
      <c r="L115" s="118"/>
      <c r="M115" s="118"/>
      <c r="N115" s="117"/>
      <c r="O115" s="117"/>
      <c r="P115" s="117"/>
      <c r="Q115" s="117"/>
      <c r="R115" s="117"/>
      <c r="S115" s="499"/>
      <c r="T115" s="499"/>
      <c r="U115" s="499"/>
      <c r="V115" s="499"/>
      <c r="W115" s="499"/>
      <c r="X115" s="43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  <c r="BA115" s="117"/>
      <c r="BB115" s="117"/>
      <c r="BC115" s="117"/>
      <c r="BD115" s="117"/>
      <c r="BE115" s="117"/>
      <c r="BF115" s="117"/>
      <c r="BG115" s="117"/>
    </row>
    <row r="116" spans="1:59" s="111" customFormat="1" ht="15" customHeight="1">
      <c r="A116" s="110"/>
      <c r="B116" s="100"/>
      <c r="C116" s="499"/>
      <c r="D116" s="110"/>
      <c r="E116" s="110"/>
      <c r="F116" s="110"/>
      <c r="G116" s="110"/>
      <c r="H116" s="110"/>
      <c r="I116" s="110"/>
      <c r="J116" s="114"/>
      <c r="K116" s="114"/>
      <c r="L116" s="114"/>
      <c r="M116" s="114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8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10"/>
      <c r="BA116" s="110"/>
      <c r="BB116" s="110"/>
      <c r="BC116" s="110"/>
      <c r="BD116" s="110"/>
      <c r="BE116" s="110"/>
      <c r="BF116" s="110"/>
      <c r="BG116" s="110"/>
    </row>
    <row r="117" spans="1:59" s="111" customFormat="1" ht="15" customHeight="1">
      <c r="A117" s="110"/>
      <c r="B117" s="100"/>
      <c r="C117" s="499"/>
      <c r="D117" s="499"/>
      <c r="E117" s="499"/>
      <c r="F117" s="499"/>
      <c r="G117" s="499"/>
      <c r="H117" s="499"/>
      <c r="I117" s="499"/>
      <c r="J117" s="499"/>
      <c r="K117" s="499"/>
      <c r="L117" s="499"/>
      <c r="M117" s="499"/>
      <c r="N117" s="499"/>
      <c r="O117" s="499"/>
      <c r="P117" s="499"/>
      <c r="Q117" s="499"/>
      <c r="R117" s="499"/>
      <c r="S117" s="110"/>
      <c r="T117" s="110"/>
      <c r="U117" s="110"/>
      <c r="V117" s="110"/>
      <c r="W117" s="110"/>
      <c r="X117" s="80"/>
      <c r="Y117" s="110"/>
      <c r="Z117" s="110"/>
      <c r="AA117" s="110"/>
      <c r="AB117" s="110"/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10"/>
      <c r="BA117" s="110"/>
      <c r="BB117" s="110"/>
      <c r="BC117" s="110"/>
      <c r="BD117" s="110"/>
      <c r="BE117" s="110"/>
      <c r="BF117" s="110"/>
      <c r="BG117" s="110"/>
    </row>
    <row r="118" spans="1:59" s="111" customFormat="1" ht="15" customHeight="1">
      <c r="A118" s="110"/>
      <c r="B118" s="100"/>
      <c r="C118" s="110"/>
      <c r="D118" s="110"/>
      <c r="E118" s="110"/>
      <c r="F118" s="110"/>
      <c r="G118" s="110"/>
      <c r="H118" s="110"/>
      <c r="I118" s="110"/>
      <c r="J118" s="114"/>
      <c r="K118" s="114"/>
      <c r="L118" s="114"/>
      <c r="M118" s="114"/>
      <c r="N118" s="110"/>
      <c r="O118" s="110"/>
      <c r="P118" s="110"/>
      <c r="Q118" s="110"/>
      <c r="R118" s="110"/>
      <c r="S118" s="1095"/>
      <c r="T118" s="1095"/>
      <c r="U118" s="1095"/>
      <c r="V118" s="1053"/>
      <c r="W118" s="1053"/>
      <c r="X118" s="80"/>
      <c r="Y118" s="110"/>
      <c r="Z118" s="110"/>
      <c r="AA118" s="110"/>
      <c r="AB118" s="110"/>
      <c r="AC118" s="110"/>
      <c r="AD118" s="110"/>
      <c r="AE118" s="110"/>
      <c r="AF118" s="110"/>
      <c r="AG118" s="110"/>
      <c r="AH118" s="11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10"/>
      <c r="BA118" s="110"/>
      <c r="BB118" s="110"/>
      <c r="BC118" s="110"/>
      <c r="BD118" s="110"/>
      <c r="BE118" s="110"/>
      <c r="BF118" s="110"/>
      <c r="BG118" s="110"/>
    </row>
    <row r="119" spans="1:59" s="111" customFormat="1" ht="15" customHeight="1">
      <c r="A119" s="110"/>
      <c r="B119" s="100"/>
      <c r="C119" s="1078"/>
      <c r="D119" s="110"/>
      <c r="E119" s="110"/>
      <c r="F119" s="110"/>
      <c r="G119" s="110"/>
      <c r="H119" s="110"/>
      <c r="I119" s="110"/>
      <c r="J119" s="114"/>
      <c r="K119" s="114"/>
      <c r="L119" s="114"/>
      <c r="M119" s="114"/>
      <c r="N119" s="110"/>
      <c r="O119" s="110"/>
      <c r="P119" s="110"/>
      <c r="Q119" s="110"/>
      <c r="R119" s="110"/>
      <c r="S119" s="141"/>
      <c r="T119" s="141"/>
      <c r="U119" s="141"/>
      <c r="V119" s="1107"/>
      <c r="W119" s="1107"/>
      <c r="X119" s="80"/>
      <c r="Y119" s="110"/>
      <c r="Z119" s="110"/>
      <c r="AA119" s="110"/>
      <c r="AB119" s="110"/>
      <c r="AC119" s="110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0"/>
      <c r="BA119" s="110"/>
      <c r="BB119" s="110"/>
      <c r="BC119" s="110"/>
      <c r="BD119" s="110"/>
      <c r="BE119" s="110"/>
      <c r="BF119" s="110"/>
      <c r="BG119" s="110"/>
    </row>
    <row r="120" spans="1:59" s="111" customFormat="1" ht="15" customHeight="1">
      <c r="A120" s="110"/>
      <c r="B120" s="100"/>
      <c r="C120" s="163"/>
      <c r="D120" s="110"/>
      <c r="E120" s="110"/>
      <c r="F120" s="110"/>
      <c r="G120" s="110"/>
      <c r="H120" s="110"/>
      <c r="I120" s="1095"/>
      <c r="J120" s="1095"/>
      <c r="K120" s="1095"/>
      <c r="L120" s="1095"/>
      <c r="M120" s="1095"/>
      <c r="N120" s="1095"/>
      <c r="O120" s="1095"/>
      <c r="P120" s="1095"/>
      <c r="Q120" s="1095"/>
      <c r="R120" s="1095"/>
      <c r="S120" s="82"/>
      <c r="T120" s="80"/>
      <c r="U120" s="80"/>
      <c r="V120" s="110"/>
      <c r="W120" s="110"/>
      <c r="X120" s="8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10"/>
      <c r="BA120" s="110"/>
      <c r="BB120" s="110"/>
      <c r="BC120" s="110"/>
      <c r="BD120" s="110"/>
      <c r="BE120" s="110"/>
      <c r="BF120" s="110"/>
      <c r="BG120" s="110"/>
    </row>
    <row r="121" spans="1:59" s="111" customFormat="1" ht="15" customHeight="1">
      <c r="A121" s="110"/>
      <c r="B121" s="100"/>
      <c r="C121" s="163"/>
      <c r="D121" s="110"/>
      <c r="E121" s="515"/>
      <c r="F121" s="80"/>
      <c r="G121" s="110"/>
      <c r="H121" s="110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10"/>
      <c r="T121" s="110"/>
      <c r="U121" s="110"/>
      <c r="V121" s="83"/>
      <c r="W121" s="83"/>
      <c r="X121" s="80"/>
      <c r="Y121" s="110"/>
      <c r="Z121" s="110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</row>
    <row r="122" spans="1:59" s="111" customFormat="1" ht="15" customHeight="1">
      <c r="A122" s="110"/>
      <c r="B122" s="100"/>
      <c r="C122" s="110"/>
      <c r="D122" s="110"/>
      <c r="E122" s="515"/>
      <c r="F122" s="80"/>
      <c r="G122" s="110"/>
      <c r="H122" s="110"/>
      <c r="I122" s="80"/>
      <c r="J122" s="80"/>
      <c r="K122" s="80"/>
      <c r="L122" s="82"/>
      <c r="M122" s="82"/>
      <c r="N122" s="82"/>
      <c r="O122" s="82"/>
      <c r="P122" s="82"/>
      <c r="Q122" s="82"/>
      <c r="R122" s="82"/>
      <c r="S122" s="82"/>
      <c r="T122" s="80"/>
      <c r="U122" s="80"/>
      <c r="V122" s="83"/>
      <c r="W122" s="83"/>
      <c r="X122" s="8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10"/>
      <c r="BA122" s="110"/>
      <c r="BB122" s="110"/>
      <c r="BC122" s="110"/>
      <c r="BD122" s="110"/>
      <c r="BE122" s="110"/>
      <c r="BF122" s="110"/>
      <c r="BG122" s="110"/>
    </row>
    <row r="123" spans="1:59" s="111" customFormat="1" ht="15" customHeight="1">
      <c r="A123" s="110"/>
      <c r="B123" s="100"/>
      <c r="C123" s="110"/>
      <c r="D123" s="110"/>
      <c r="E123" s="110"/>
      <c r="F123" s="110"/>
      <c r="G123" s="110"/>
      <c r="H123" s="110"/>
      <c r="I123" s="110"/>
      <c r="J123" s="110"/>
      <c r="K123" s="110"/>
      <c r="L123" s="110"/>
      <c r="M123" s="110"/>
      <c r="N123" s="110"/>
      <c r="O123" s="110"/>
      <c r="P123" s="110"/>
      <c r="Q123" s="110"/>
      <c r="R123" s="110"/>
      <c r="S123" s="82"/>
      <c r="T123" s="80"/>
      <c r="U123" s="80"/>
      <c r="V123" s="83"/>
      <c r="W123" s="83"/>
      <c r="X123" s="80"/>
      <c r="Y123" s="110"/>
      <c r="Z123" s="110"/>
      <c r="AA123" s="110"/>
      <c r="AB123" s="110"/>
      <c r="AC123" s="110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0"/>
      <c r="BA123" s="110"/>
      <c r="BB123" s="110"/>
      <c r="BC123" s="110"/>
      <c r="BD123" s="110"/>
      <c r="BE123" s="110"/>
      <c r="BF123" s="110"/>
      <c r="BG123" s="110"/>
    </row>
    <row r="124" spans="1:59" s="111" customFormat="1" ht="15" customHeight="1">
      <c r="A124" s="110"/>
      <c r="B124" s="100"/>
      <c r="C124" s="110"/>
      <c r="D124" s="110"/>
      <c r="E124" s="515"/>
      <c r="F124" s="80"/>
      <c r="G124" s="110"/>
      <c r="H124" s="110"/>
      <c r="I124" s="80"/>
      <c r="J124" s="80"/>
      <c r="K124" s="80"/>
      <c r="L124" s="82"/>
      <c r="M124" s="82"/>
      <c r="N124" s="82"/>
      <c r="O124" s="82"/>
      <c r="P124" s="82"/>
      <c r="Q124" s="82"/>
      <c r="R124" s="82"/>
      <c r="S124" s="82"/>
      <c r="T124" s="80"/>
      <c r="U124" s="80"/>
      <c r="V124" s="83"/>
      <c r="W124" s="83"/>
      <c r="X124" s="80"/>
      <c r="Y124" s="110"/>
      <c r="Z124" s="110"/>
      <c r="AA124" s="110"/>
      <c r="AB124" s="110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10"/>
      <c r="BA124" s="110"/>
      <c r="BB124" s="110"/>
      <c r="BC124" s="110"/>
      <c r="BD124" s="110"/>
      <c r="BE124" s="110"/>
      <c r="BF124" s="110"/>
      <c r="BG124" s="110"/>
    </row>
    <row r="125" spans="1:59" s="111" customFormat="1" ht="15" customHeight="1">
      <c r="A125" s="110"/>
      <c r="B125" s="100"/>
      <c r="C125" s="110"/>
      <c r="D125" s="110"/>
      <c r="E125" s="515"/>
      <c r="F125" s="80"/>
      <c r="G125" s="110"/>
      <c r="H125" s="110"/>
      <c r="I125" s="80"/>
      <c r="J125" s="80"/>
      <c r="K125" s="80"/>
      <c r="L125" s="82"/>
      <c r="M125" s="82"/>
      <c r="N125" s="82"/>
      <c r="O125" s="82"/>
      <c r="P125" s="82"/>
      <c r="Q125" s="82"/>
      <c r="R125" s="82"/>
      <c r="S125" s="82"/>
      <c r="T125" s="80"/>
      <c r="U125" s="80"/>
      <c r="V125" s="83"/>
      <c r="W125" s="83"/>
      <c r="X125" s="8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</row>
    <row r="126" spans="1:59" s="111" customFormat="1" ht="15" customHeight="1">
      <c r="A126" s="110"/>
      <c r="B126" s="100"/>
      <c r="C126" s="110"/>
      <c r="D126" s="110"/>
      <c r="E126" s="515"/>
      <c r="F126" s="80"/>
      <c r="G126" s="110"/>
      <c r="H126" s="110"/>
      <c r="I126" s="80"/>
      <c r="J126" s="80"/>
      <c r="K126" s="80"/>
      <c r="L126" s="82"/>
      <c r="M126" s="82"/>
      <c r="N126" s="82"/>
      <c r="O126" s="82"/>
      <c r="P126" s="82"/>
      <c r="Q126" s="82"/>
      <c r="R126" s="82"/>
      <c r="S126" s="82"/>
      <c r="T126" s="80"/>
      <c r="U126" s="80"/>
      <c r="V126" s="1108"/>
      <c r="W126" s="1108"/>
      <c r="X126" s="8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</row>
    <row r="127" spans="1:59" s="111" customFormat="1" ht="15" customHeight="1">
      <c r="A127" s="110"/>
      <c r="B127" s="100"/>
      <c r="C127" s="110"/>
      <c r="D127" s="110"/>
      <c r="E127" s="515"/>
      <c r="F127" s="80"/>
      <c r="G127" s="110"/>
      <c r="H127" s="110"/>
      <c r="I127" s="80"/>
      <c r="J127" s="80"/>
      <c r="K127" s="80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1108"/>
      <c r="W127" s="1108"/>
      <c r="X127" s="8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</row>
    <row r="128" spans="1:59" s="111" customFormat="1" ht="15" customHeight="1">
      <c r="A128" s="110"/>
      <c r="B128" s="100"/>
      <c r="C128" s="110"/>
      <c r="D128" s="110"/>
      <c r="E128" s="515"/>
      <c r="F128" s="80"/>
      <c r="G128" s="110"/>
      <c r="H128" s="110"/>
      <c r="I128" s="80"/>
      <c r="J128" s="80"/>
      <c r="K128" s="80"/>
      <c r="L128" s="82"/>
      <c r="M128" s="82"/>
      <c r="N128" s="82"/>
      <c r="O128" s="82"/>
      <c r="P128" s="82"/>
      <c r="Q128" s="82"/>
      <c r="R128" s="82"/>
      <c r="S128" s="82"/>
      <c r="T128" s="80"/>
      <c r="U128" s="80"/>
      <c r="V128" s="83"/>
      <c r="W128" s="83"/>
      <c r="X128" s="80"/>
      <c r="Y128" s="110"/>
      <c r="Z128" s="110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</row>
    <row r="129" spans="1:59" s="111" customFormat="1" ht="15" customHeight="1">
      <c r="A129" s="110"/>
      <c r="B129" s="100"/>
      <c r="C129" s="110"/>
      <c r="D129" s="110"/>
      <c r="E129" s="515"/>
      <c r="F129" s="80"/>
      <c r="G129" s="110"/>
      <c r="H129" s="110"/>
      <c r="I129" s="80"/>
      <c r="J129" s="80"/>
      <c r="K129" s="80"/>
      <c r="L129" s="82"/>
      <c r="M129" s="82"/>
      <c r="N129" s="1099"/>
      <c r="O129" s="82"/>
      <c r="P129" s="82"/>
      <c r="Q129" s="82"/>
      <c r="R129" s="82"/>
      <c r="S129" s="110"/>
      <c r="T129" s="110"/>
      <c r="U129" s="110"/>
      <c r="V129" s="1109"/>
      <c r="W129" s="1109"/>
      <c r="X129" s="80"/>
      <c r="Y129" s="110"/>
      <c r="Z129" s="110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</row>
    <row r="130" spans="1:59" s="111" customFormat="1" ht="15" customHeight="1">
      <c r="A130" s="110"/>
      <c r="B130" s="100"/>
      <c r="C130" s="163"/>
      <c r="D130" s="163"/>
      <c r="E130" s="524"/>
      <c r="F130" s="525"/>
      <c r="G130" s="163"/>
      <c r="H130" s="163"/>
      <c r="I130" s="80"/>
      <c r="J130" s="80"/>
      <c r="K130" s="80"/>
      <c r="L130" s="82"/>
      <c r="M130" s="82"/>
      <c r="N130" s="82"/>
      <c r="O130" s="82"/>
      <c r="P130" s="82"/>
      <c r="Q130" s="82"/>
      <c r="R130" s="82"/>
      <c r="S130" s="82"/>
      <c r="T130" s="80"/>
      <c r="U130" s="80"/>
      <c r="V130" s="1110"/>
      <c r="W130" s="1110"/>
      <c r="X130" s="80"/>
      <c r="Y130" s="110"/>
      <c r="Z130" s="110"/>
      <c r="AA130" s="110"/>
      <c r="AB130" s="110"/>
      <c r="AC130" s="110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10"/>
      <c r="BA130" s="110"/>
      <c r="BB130" s="110"/>
      <c r="BC130" s="110"/>
      <c r="BD130" s="110"/>
      <c r="BE130" s="110"/>
      <c r="BF130" s="110"/>
      <c r="BG130" s="110"/>
    </row>
    <row r="131" spans="1:59" s="111" customFormat="1" ht="15" customHeight="1">
      <c r="A131" s="110"/>
      <c r="B131" s="100"/>
      <c r="C131" s="110"/>
      <c r="D131" s="110"/>
      <c r="E131" s="110"/>
      <c r="F131" s="110"/>
      <c r="G131" s="110"/>
      <c r="H131" s="110"/>
      <c r="I131" s="110"/>
      <c r="J131" s="110"/>
      <c r="K131" s="110"/>
      <c r="L131" s="110"/>
      <c r="M131" s="110"/>
      <c r="N131" s="110"/>
      <c r="O131" s="110"/>
      <c r="P131" s="110"/>
      <c r="Q131" s="110"/>
      <c r="R131" s="110"/>
      <c r="S131" s="513"/>
      <c r="T131" s="495"/>
      <c r="U131" s="495"/>
      <c r="V131" s="83"/>
      <c r="W131" s="83"/>
      <c r="X131" s="80"/>
      <c r="Y131" s="110"/>
      <c r="Z131" s="110"/>
      <c r="AA131" s="110"/>
      <c r="AB131" s="110"/>
      <c r="AC131" s="110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0"/>
      <c r="BA131" s="110"/>
      <c r="BB131" s="110"/>
      <c r="BC131" s="110"/>
      <c r="BD131" s="110"/>
      <c r="BE131" s="110"/>
      <c r="BF131" s="110"/>
      <c r="BG131" s="110"/>
    </row>
    <row r="132" spans="1:59" s="111" customFormat="1" ht="15" customHeight="1">
      <c r="A132" s="110"/>
      <c r="B132" s="100"/>
      <c r="C132" s="110"/>
      <c r="D132" s="110"/>
      <c r="E132" s="515"/>
      <c r="F132" s="80"/>
      <c r="G132" s="110"/>
      <c r="H132" s="110"/>
      <c r="I132" s="80"/>
      <c r="J132" s="80"/>
      <c r="K132" s="80"/>
      <c r="L132" s="82"/>
      <c r="M132" s="82"/>
      <c r="N132" s="82"/>
      <c r="O132" s="82"/>
      <c r="P132" s="82"/>
      <c r="Q132" s="82"/>
      <c r="R132" s="82"/>
      <c r="S132" s="82"/>
      <c r="T132" s="87"/>
      <c r="U132" s="87"/>
      <c r="V132" s="83"/>
      <c r="W132" s="83"/>
      <c r="X132" s="8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10"/>
      <c r="BA132" s="110"/>
      <c r="BB132" s="110"/>
      <c r="BC132" s="110"/>
      <c r="BD132" s="110"/>
      <c r="BE132" s="110"/>
      <c r="BF132" s="110"/>
      <c r="BG132" s="110"/>
    </row>
    <row r="133" spans="1:59" s="111" customFormat="1" ht="15" customHeight="1">
      <c r="A133" s="110"/>
      <c r="B133" s="100"/>
      <c r="C133" s="100"/>
      <c r="D133" s="100"/>
      <c r="E133" s="100"/>
      <c r="F133" s="100"/>
      <c r="G133" s="110"/>
      <c r="H133" s="110"/>
      <c r="I133" s="100"/>
      <c r="J133" s="100"/>
      <c r="K133" s="495"/>
      <c r="L133" s="513"/>
      <c r="M133" s="513"/>
      <c r="N133" s="513"/>
      <c r="O133" s="513"/>
      <c r="P133" s="513"/>
      <c r="Q133" s="513"/>
      <c r="R133" s="513"/>
      <c r="S133" s="82"/>
      <c r="T133" s="87"/>
      <c r="U133" s="87"/>
      <c r="V133" s="83"/>
      <c r="W133" s="83"/>
      <c r="X133" s="8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110"/>
    </row>
    <row r="134" spans="1:59" s="111" customFormat="1" ht="15" customHeight="1">
      <c r="A134" s="110"/>
      <c r="B134" s="100"/>
      <c r="C134" s="100"/>
      <c r="D134" s="100"/>
      <c r="E134" s="100"/>
      <c r="F134" s="100"/>
      <c r="G134" s="110"/>
      <c r="H134" s="110"/>
      <c r="I134" s="100"/>
      <c r="J134" s="100"/>
      <c r="K134" s="495"/>
      <c r="L134" s="513"/>
      <c r="M134" s="513"/>
      <c r="N134" s="82"/>
      <c r="O134" s="82"/>
      <c r="P134" s="82"/>
      <c r="Q134" s="82"/>
      <c r="R134" s="82"/>
      <c r="S134" s="82"/>
      <c r="T134" s="80"/>
      <c r="U134" s="80"/>
      <c r="V134" s="83"/>
      <c r="W134" s="83"/>
      <c r="X134" s="8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10"/>
      <c r="BA134" s="110"/>
      <c r="BB134" s="110"/>
      <c r="BC134" s="110"/>
      <c r="BD134" s="110"/>
      <c r="BE134" s="110"/>
      <c r="BF134" s="110"/>
      <c r="BG134" s="110"/>
    </row>
    <row r="135" spans="1:59" s="111" customFormat="1" ht="15" customHeight="1">
      <c r="A135" s="110"/>
      <c r="B135" s="100"/>
      <c r="C135" s="110"/>
      <c r="D135" s="100"/>
      <c r="E135" s="100"/>
      <c r="F135" s="100"/>
      <c r="G135" s="110"/>
      <c r="H135" s="110"/>
      <c r="I135" s="100"/>
      <c r="J135" s="100"/>
      <c r="K135" s="100"/>
      <c r="L135" s="114"/>
      <c r="M135" s="114"/>
      <c r="N135" s="82"/>
      <c r="O135" s="82"/>
      <c r="P135" s="82"/>
      <c r="Q135" s="82"/>
      <c r="R135" s="82"/>
      <c r="S135" s="82"/>
      <c r="T135" s="82"/>
      <c r="U135" s="82"/>
      <c r="V135" s="83"/>
      <c r="W135" s="83"/>
      <c r="X135" s="8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110"/>
    </row>
    <row r="136" spans="1:59" s="111" customFormat="1" ht="15" customHeight="1">
      <c r="A136" s="110"/>
      <c r="B136" s="100"/>
      <c r="C136" s="110"/>
      <c r="D136" s="110"/>
      <c r="E136" s="110"/>
      <c r="F136" s="110"/>
      <c r="G136" s="110"/>
      <c r="H136" s="110"/>
      <c r="I136" s="110"/>
      <c r="J136" s="110"/>
      <c r="K136" s="110"/>
      <c r="L136" s="114"/>
      <c r="M136" s="114"/>
      <c r="N136" s="82"/>
      <c r="O136" s="82"/>
      <c r="P136" s="82"/>
      <c r="Q136" s="82"/>
      <c r="R136" s="82"/>
      <c r="S136" s="114"/>
      <c r="T136" s="110"/>
      <c r="U136" s="110"/>
      <c r="V136" s="83"/>
      <c r="W136" s="83"/>
      <c r="X136" s="80"/>
      <c r="Y136" s="110"/>
      <c r="Z136" s="110"/>
      <c r="AA136" s="110"/>
      <c r="AB136" s="110"/>
      <c r="AC136" s="110"/>
      <c r="AD136" s="110"/>
      <c r="AE136" s="110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/>
      <c r="BG136" s="110"/>
    </row>
    <row r="137" spans="1:59" s="111" customFormat="1" ht="15" customHeight="1">
      <c r="A137" s="110"/>
      <c r="B137" s="100"/>
      <c r="C137" s="110"/>
      <c r="D137" s="110"/>
      <c r="E137" s="110"/>
      <c r="F137" s="110"/>
      <c r="G137" s="110"/>
      <c r="H137" s="110"/>
      <c r="I137" s="110"/>
      <c r="J137" s="110"/>
      <c r="K137" s="110"/>
      <c r="L137" s="114"/>
      <c r="M137" s="114"/>
      <c r="N137" s="1099"/>
      <c r="O137" s="82"/>
      <c r="P137" s="82"/>
      <c r="Q137" s="82"/>
      <c r="R137" s="82"/>
      <c r="S137" s="110"/>
      <c r="T137" s="110"/>
      <c r="U137" s="110"/>
      <c r="V137" s="83"/>
      <c r="W137" s="83"/>
      <c r="X137" s="80"/>
      <c r="Y137" s="110"/>
      <c r="Z137" s="110"/>
      <c r="AA137" s="110"/>
      <c r="AB137" s="110"/>
      <c r="AC137" s="110"/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/>
      <c r="BE137" s="110"/>
      <c r="BF137" s="110"/>
      <c r="BG137" s="110"/>
    </row>
    <row r="138" spans="1:59" s="111" customFormat="1" ht="15" customHeight="1">
      <c r="A138" s="110"/>
      <c r="B138" s="100"/>
      <c r="C138" s="163"/>
      <c r="D138" s="110"/>
      <c r="E138" s="110"/>
      <c r="F138" s="110"/>
      <c r="G138" s="110"/>
      <c r="H138" s="110"/>
      <c r="I138" s="110"/>
      <c r="J138" s="110"/>
      <c r="K138" s="110"/>
      <c r="L138" s="114"/>
      <c r="M138" s="114"/>
      <c r="N138" s="114"/>
      <c r="O138" s="114"/>
      <c r="P138" s="114"/>
      <c r="Q138" s="114"/>
      <c r="R138" s="114"/>
      <c r="S138" s="114"/>
      <c r="T138" s="110"/>
      <c r="U138" s="110"/>
      <c r="V138" s="83"/>
      <c r="W138" s="83"/>
      <c r="X138" s="8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/>
      <c r="BE138" s="110"/>
      <c r="BF138" s="110"/>
      <c r="BG138" s="110"/>
    </row>
    <row r="139" spans="1:59" s="111" customFormat="1" ht="15" customHeight="1">
      <c r="A139" s="110"/>
      <c r="B139" s="100"/>
      <c r="C139" s="110"/>
      <c r="D139" s="110"/>
      <c r="E139" s="110"/>
      <c r="F139" s="110"/>
      <c r="G139" s="110"/>
      <c r="H139" s="110"/>
      <c r="I139" s="110"/>
      <c r="J139" s="110"/>
      <c r="K139" s="110"/>
      <c r="L139" s="110"/>
      <c r="M139" s="110"/>
      <c r="N139" s="110"/>
      <c r="O139" s="110"/>
      <c r="P139" s="110"/>
      <c r="Q139" s="110"/>
      <c r="R139" s="110"/>
      <c r="S139" s="110"/>
      <c r="T139" s="110"/>
      <c r="U139" s="110"/>
      <c r="V139" s="83"/>
      <c r="W139" s="83"/>
      <c r="X139" s="80"/>
      <c r="Y139" s="110"/>
      <c r="Z139" s="110"/>
      <c r="AA139" s="110"/>
      <c r="AB139" s="110"/>
      <c r="AC139" s="110"/>
      <c r="AD139" s="110"/>
      <c r="AE139" s="110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10"/>
      <c r="BA139" s="110"/>
      <c r="BB139" s="110"/>
      <c r="BC139" s="110"/>
      <c r="BD139" s="110"/>
      <c r="BE139" s="110"/>
      <c r="BF139" s="110"/>
      <c r="BG139" s="110"/>
    </row>
    <row r="140" spans="1:59" s="111" customFormat="1" ht="15" customHeight="1">
      <c r="A140" s="110"/>
      <c r="B140" s="100"/>
      <c r="C140" s="163"/>
      <c r="D140" s="110"/>
      <c r="E140" s="110"/>
      <c r="F140" s="110"/>
      <c r="G140" s="110"/>
      <c r="H140" s="110"/>
      <c r="I140" s="110"/>
      <c r="J140" s="110"/>
      <c r="K140" s="110"/>
      <c r="L140" s="114"/>
      <c r="M140" s="114"/>
      <c r="N140" s="114"/>
      <c r="O140" s="114"/>
      <c r="P140" s="114"/>
      <c r="Q140" s="114"/>
      <c r="R140" s="114"/>
      <c r="S140" s="507"/>
      <c r="T140" s="1111"/>
      <c r="U140" s="1111"/>
      <c r="V140" s="83"/>
      <c r="W140" s="83"/>
      <c r="X140" s="80"/>
      <c r="Y140" s="110"/>
      <c r="Z140" s="110"/>
      <c r="AA140" s="110"/>
      <c r="AB140" s="110"/>
      <c r="AC140" s="110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10"/>
      <c r="BA140" s="110"/>
      <c r="BB140" s="110"/>
      <c r="BC140" s="110"/>
      <c r="BD140" s="110"/>
      <c r="BE140" s="110"/>
      <c r="BF140" s="110"/>
      <c r="BG140" s="110"/>
    </row>
    <row r="141" spans="1:59" s="111" customFormat="1" ht="15" customHeight="1">
      <c r="A141" s="110"/>
      <c r="B141" s="100"/>
      <c r="C141" s="110"/>
      <c r="D141" s="110"/>
      <c r="E141" s="110"/>
      <c r="F141" s="110"/>
      <c r="G141" s="110"/>
      <c r="H141" s="110"/>
      <c r="I141" s="110"/>
      <c r="J141" s="110"/>
      <c r="K141" s="110"/>
      <c r="L141" s="110"/>
      <c r="M141" s="110"/>
      <c r="N141" s="110"/>
      <c r="O141" s="110"/>
      <c r="P141" s="110"/>
      <c r="Q141" s="110"/>
      <c r="R141" s="110"/>
      <c r="S141" s="507"/>
      <c r="T141" s="507"/>
      <c r="U141" s="507"/>
      <c r="V141" s="83"/>
      <c r="W141" s="83"/>
      <c r="X141" s="80"/>
      <c r="Y141" s="110"/>
      <c r="Z141" s="110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10"/>
      <c r="BA141" s="110"/>
      <c r="BB141" s="110"/>
      <c r="BC141" s="110"/>
      <c r="BD141" s="110"/>
      <c r="BE141" s="110"/>
      <c r="BF141" s="110"/>
      <c r="BG141" s="110"/>
    </row>
    <row r="142" spans="1:59" s="111" customFormat="1" ht="15" customHeight="1">
      <c r="A142" s="110"/>
      <c r="B142" s="100"/>
      <c r="C142" s="508"/>
      <c r="D142" s="508"/>
      <c r="E142" s="508"/>
      <c r="F142" s="508"/>
      <c r="G142" s="110"/>
      <c r="H142" s="110"/>
      <c r="I142" s="508"/>
      <c r="J142" s="508"/>
      <c r="K142" s="508"/>
      <c r="L142" s="507"/>
      <c r="M142" s="507"/>
      <c r="N142" s="507"/>
      <c r="O142" s="507"/>
      <c r="P142" s="507"/>
      <c r="Q142" s="507"/>
      <c r="R142" s="507"/>
      <c r="S142" s="114"/>
      <c r="T142" s="110"/>
      <c r="U142" s="110"/>
      <c r="V142" s="83"/>
      <c r="W142" s="83"/>
      <c r="X142" s="80"/>
      <c r="Y142" s="110"/>
      <c r="Z142" s="110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10"/>
      <c r="BA142" s="110"/>
      <c r="BB142" s="110"/>
      <c r="BC142" s="110"/>
      <c r="BD142" s="110"/>
      <c r="BE142" s="110"/>
      <c r="BF142" s="110"/>
      <c r="BG142" s="110"/>
    </row>
    <row r="143" spans="1:59" s="111" customFormat="1" ht="15" customHeight="1">
      <c r="A143" s="110"/>
      <c r="B143" s="100"/>
      <c r="C143" s="100"/>
      <c r="D143" s="100"/>
      <c r="E143" s="114"/>
      <c r="F143" s="114"/>
      <c r="G143" s="110"/>
      <c r="H143" s="110"/>
      <c r="I143" s="114"/>
      <c r="J143" s="114"/>
      <c r="K143" s="507"/>
      <c r="L143" s="507"/>
      <c r="M143" s="507"/>
      <c r="N143" s="507"/>
      <c r="O143" s="507"/>
      <c r="P143" s="507"/>
      <c r="Q143" s="507"/>
      <c r="R143" s="507"/>
      <c r="S143" s="83"/>
      <c r="T143" s="83"/>
      <c r="U143" s="83"/>
      <c r="V143" s="83"/>
      <c r="W143" s="83"/>
      <c r="X143" s="8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10"/>
      <c r="BA143" s="110"/>
      <c r="BB143" s="110"/>
      <c r="BC143" s="110"/>
      <c r="BD143" s="110"/>
      <c r="BE143" s="110"/>
      <c r="BF143" s="110"/>
      <c r="BG143" s="110"/>
    </row>
    <row r="144" spans="1:59" s="111" customFormat="1" ht="15" customHeight="1">
      <c r="A144" s="110"/>
      <c r="B144" s="100"/>
      <c r="C144" s="110"/>
      <c r="D144" s="110"/>
      <c r="E144" s="110"/>
      <c r="F144" s="110"/>
      <c r="G144" s="110"/>
      <c r="H144" s="110"/>
      <c r="I144" s="110"/>
      <c r="J144" s="110"/>
      <c r="K144" s="110"/>
      <c r="L144" s="114"/>
      <c r="M144" s="114"/>
      <c r="N144" s="114"/>
      <c r="O144" s="114"/>
      <c r="P144" s="114"/>
      <c r="Q144" s="114"/>
      <c r="R144" s="114"/>
      <c r="S144" s="83"/>
      <c r="T144" s="83"/>
      <c r="U144" s="83"/>
      <c r="V144" s="83"/>
      <c r="W144" s="83"/>
      <c r="X144" s="8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10"/>
      <c r="BA144" s="110"/>
      <c r="BB144" s="110"/>
      <c r="BC144" s="110"/>
      <c r="BD144" s="110"/>
      <c r="BE144" s="110"/>
      <c r="BF144" s="110"/>
      <c r="BG144" s="110"/>
    </row>
    <row r="145" spans="1:59" s="111" customFormat="1" ht="15" customHeight="1">
      <c r="A145" s="110"/>
      <c r="B145" s="100"/>
      <c r="C145" s="110"/>
      <c r="D145" s="110"/>
      <c r="E145" s="83"/>
      <c r="F145" s="83"/>
      <c r="G145" s="110"/>
      <c r="H145" s="110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0"/>
      <c r="Y145" s="110"/>
      <c r="Z145" s="110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10"/>
      <c r="BA145" s="110"/>
      <c r="BB145" s="110"/>
      <c r="BC145" s="110"/>
      <c r="BD145" s="110"/>
      <c r="BE145" s="110"/>
      <c r="BF145" s="110"/>
      <c r="BG145" s="110"/>
    </row>
    <row r="146" spans="1:59" s="111" customFormat="1" ht="15" customHeight="1">
      <c r="A146" s="110"/>
      <c r="B146" s="100"/>
      <c r="C146" s="110"/>
      <c r="D146" s="110"/>
      <c r="E146" s="83"/>
      <c r="F146" s="83"/>
      <c r="G146" s="110"/>
      <c r="H146" s="110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10"/>
      <c r="BA146" s="110"/>
      <c r="BB146" s="110"/>
      <c r="BC146" s="110"/>
      <c r="BD146" s="110"/>
      <c r="BE146" s="110"/>
      <c r="BF146" s="110"/>
      <c r="BG146" s="110"/>
    </row>
    <row r="147" spans="1:59" s="111" customFormat="1" ht="15" customHeight="1">
      <c r="A147" s="110"/>
      <c r="B147" s="100"/>
      <c r="C147" s="110"/>
      <c r="D147" s="110"/>
      <c r="E147" s="83"/>
      <c r="F147" s="83"/>
      <c r="G147" s="110"/>
      <c r="H147" s="110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4"/>
      <c r="W147" s="84"/>
      <c r="X147" s="8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10"/>
      <c r="BA147" s="110"/>
      <c r="BB147" s="110"/>
      <c r="BC147" s="110"/>
      <c r="BD147" s="110"/>
      <c r="BE147" s="110"/>
      <c r="BF147" s="110"/>
      <c r="BG147" s="110"/>
    </row>
    <row r="148" spans="1:59" s="111" customFormat="1" ht="15" customHeight="1">
      <c r="A148" s="110"/>
      <c r="B148" s="100"/>
      <c r="C148" s="110"/>
      <c r="D148" s="110"/>
      <c r="E148" s="83"/>
      <c r="F148" s="83"/>
      <c r="G148" s="110"/>
      <c r="H148" s="110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1108"/>
      <c r="T148" s="1108"/>
      <c r="U148" s="1108"/>
      <c r="V148" s="83"/>
      <c r="W148" s="83"/>
      <c r="X148" s="80"/>
      <c r="Y148" s="110"/>
      <c r="Z148" s="110"/>
      <c r="AA148" s="110"/>
      <c r="AB148" s="110"/>
      <c r="AC148" s="110"/>
      <c r="AD148" s="110"/>
      <c r="AE148" s="110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10"/>
      <c r="BA148" s="110"/>
      <c r="BB148" s="110"/>
      <c r="BC148" s="110"/>
      <c r="BD148" s="110"/>
      <c r="BE148" s="110"/>
      <c r="BF148" s="110"/>
      <c r="BG148" s="110"/>
    </row>
    <row r="149" spans="1:59" s="111" customFormat="1" ht="15" customHeight="1">
      <c r="A149" s="110"/>
      <c r="B149" s="100"/>
      <c r="C149" s="163"/>
      <c r="D149" s="110"/>
      <c r="E149" s="83"/>
      <c r="F149" s="83"/>
      <c r="G149" s="110"/>
      <c r="H149" s="110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100"/>
      <c r="W149" s="100"/>
      <c r="X149" s="80"/>
      <c r="Y149" s="110"/>
      <c r="Z149" s="110"/>
      <c r="AA149" s="110"/>
      <c r="AB149" s="110"/>
      <c r="AC149" s="110"/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10"/>
      <c r="BA149" s="110"/>
      <c r="BB149" s="110"/>
      <c r="BC149" s="110"/>
      <c r="BD149" s="110"/>
      <c r="BE149" s="110"/>
      <c r="BF149" s="110"/>
      <c r="BG149" s="110"/>
    </row>
    <row r="150" spans="1:59" s="111" customFormat="1" ht="15" customHeight="1">
      <c r="A150" s="110"/>
      <c r="B150" s="100"/>
      <c r="C150" s="110"/>
      <c r="D150" s="110"/>
      <c r="E150" s="83"/>
      <c r="F150" s="83"/>
      <c r="G150" s="110"/>
      <c r="H150" s="110"/>
      <c r="I150" s="83"/>
      <c r="J150" s="1108"/>
      <c r="K150" s="1108"/>
      <c r="L150" s="1108"/>
      <c r="M150" s="1108"/>
      <c r="N150" s="1108"/>
      <c r="O150" s="1108"/>
      <c r="P150" s="1108"/>
      <c r="Q150" s="1108"/>
      <c r="R150" s="1108"/>
      <c r="S150" s="1109"/>
      <c r="T150" s="1109"/>
      <c r="U150" s="1109"/>
      <c r="V150" s="1053"/>
      <c r="W150" s="1053"/>
      <c r="X150" s="8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10"/>
      <c r="BA150" s="110"/>
      <c r="BB150" s="110"/>
      <c r="BC150" s="110"/>
      <c r="BD150" s="110"/>
      <c r="BE150" s="110"/>
      <c r="BF150" s="110"/>
      <c r="BG150" s="110"/>
    </row>
    <row r="151" spans="1:59" s="111" customFormat="1" ht="15" customHeight="1">
      <c r="A151" s="110"/>
      <c r="B151" s="100"/>
      <c r="C151" s="110"/>
      <c r="D151" s="110"/>
      <c r="E151" s="83"/>
      <c r="F151" s="83"/>
      <c r="G151" s="110"/>
      <c r="H151" s="110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1110"/>
      <c r="T151" s="1110"/>
      <c r="U151" s="1110"/>
      <c r="V151" s="530"/>
      <c r="W151" s="530"/>
      <c r="X151" s="80"/>
      <c r="Y151" s="110"/>
      <c r="Z151" s="110"/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10"/>
      <c r="BA151" s="110"/>
      <c r="BB151" s="110"/>
      <c r="BC151" s="110"/>
      <c r="BD151" s="110"/>
      <c r="BE151" s="110"/>
      <c r="BF151" s="110"/>
      <c r="BG151" s="110"/>
    </row>
    <row r="152" spans="1:59" s="111" customFormat="1" ht="15" customHeight="1">
      <c r="A152" s="110"/>
      <c r="B152" s="100"/>
      <c r="C152" s="110"/>
      <c r="D152" s="110"/>
      <c r="E152" s="83"/>
      <c r="F152" s="83"/>
      <c r="G152" s="110"/>
      <c r="H152" s="110"/>
      <c r="I152" s="83"/>
      <c r="J152" s="1109"/>
      <c r="K152" s="1109"/>
      <c r="L152" s="1109"/>
      <c r="M152" s="1109"/>
      <c r="N152" s="1109"/>
      <c r="O152" s="1109"/>
      <c r="P152" s="1109"/>
      <c r="Q152" s="1109"/>
      <c r="R152" s="1109"/>
      <c r="S152" s="83"/>
      <c r="T152" s="83"/>
      <c r="U152" s="83"/>
      <c r="V152" s="83"/>
      <c r="W152" s="83"/>
      <c r="X152" s="80"/>
      <c r="Y152" s="110"/>
      <c r="Z152" s="110"/>
      <c r="AA152" s="110"/>
      <c r="AB152" s="110"/>
      <c r="AC152" s="110"/>
      <c r="AD152" s="110"/>
      <c r="AE152" s="110"/>
      <c r="AF152" s="110"/>
      <c r="AG152" s="11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10"/>
      <c r="BA152" s="110"/>
      <c r="BB152" s="110"/>
      <c r="BC152" s="110"/>
      <c r="BD152" s="110"/>
      <c r="BE152" s="110"/>
      <c r="BF152" s="110"/>
      <c r="BG152" s="110"/>
    </row>
    <row r="153" spans="1:59" s="111" customFormat="1" ht="15" customHeight="1">
      <c r="A153" s="110"/>
      <c r="B153" s="100"/>
      <c r="C153" s="110"/>
      <c r="D153" s="110"/>
      <c r="E153" s="83"/>
      <c r="F153" s="83"/>
      <c r="G153" s="110"/>
      <c r="H153" s="110"/>
      <c r="I153" s="83"/>
      <c r="J153" s="1110"/>
      <c r="K153" s="1110"/>
      <c r="L153" s="1110"/>
      <c r="M153" s="1110"/>
      <c r="N153" s="1110"/>
      <c r="O153" s="1110"/>
      <c r="P153" s="1110"/>
      <c r="Q153" s="1110"/>
      <c r="R153" s="1110"/>
      <c r="S153" s="83"/>
      <c r="T153" s="83"/>
      <c r="U153" s="83"/>
      <c r="V153" s="133"/>
      <c r="W153" s="1097"/>
      <c r="X153" s="8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10"/>
      <c r="BA153" s="110"/>
      <c r="BB153" s="110"/>
      <c r="BC153" s="110"/>
      <c r="BD153" s="110"/>
      <c r="BE153" s="110"/>
      <c r="BF153" s="110"/>
      <c r="BG153" s="110"/>
    </row>
    <row r="154" spans="1:59" s="111" customFormat="1" ht="15" customHeight="1">
      <c r="A154" s="110"/>
      <c r="B154" s="100"/>
      <c r="C154" s="110"/>
      <c r="D154" s="110"/>
      <c r="E154" s="83"/>
      <c r="F154" s="83"/>
      <c r="G154" s="110"/>
      <c r="H154" s="110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110"/>
      <c r="T154" s="110"/>
      <c r="U154" s="110"/>
      <c r="V154" s="83"/>
      <c r="W154" s="83"/>
      <c r="X154" s="80"/>
      <c r="Y154" s="110"/>
      <c r="Z154" s="110"/>
      <c r="AA154" s="110"/>
      <c r="AB154" s="110"/>
      <c r="AC154" s="110"/>
      <c r="AD154" s="110"/>
      <c r="AE154" s="110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10"/>
      <c r="BA154" s="110"/>
      <c r="BB154" s="110"/>
      <c r="BC154" s="110"/>
      <c r="BD154" s="110"/>
      <c r="BE154" s="110"/>
      <c r="BF154" s="110"/>
      <c r="BG154" s="110"/>
    </row>
    <row r="155" spans="1:59" s="111" customFormat="1" ht="15" customHeight="1">
      <c r="A155" s="110"/>
      <c r="B155" s="100"/>
      <c r="C155" s="100"/>
      <c r="D155" s="100"/>
      <c r="E155" s="528"/>
      <c r="F155" s="83"/>
      <c r="G155" s="110"/>
      <c r="H155" s="110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10"/>
      <c r="BA155" s="110"/>
      <c r="BB155" s="110"/>
      <c r="BC155" s="110"/>
      <c r="BD155" s="110"/>
      <c r="BE155" s="110"/>
      <c r="BF155" s="110"/>
      <c r="BG155" s="110"/>
    </row>
    <row r="156" spans="1:59" s="111" customFormat="1" ht="15" customHeight="1">
      <c r="A156" s="110"/>
      <c r="B156" s="100"/>
      <c r="C156" s="110"/>
      <c r="D156" s="110"/>
      <c r="E156" s="110"/>
      <c r="F156" s="110"/>
      <c r="G156" s="110"/>
      <c r="H156" s="110"/>
      <c r="I156" s="110"/>
      <c r="J156" s="110"/>
      <c r="K156" s="110"/>
      <c r="L156" s="110"/>
      <c r="M156" s="110"/>
      <c r="N156" s="110"/>
      <c r="O156" s="110"/>
      <c r="P156" s="110"/>
      <c r="Q156" s="110"/>
      <c r="R156" s="110"/>
      <c r="S156" s="110"/>
      <c r="T156" s="110"/>
      <c r="U156" s="110"/>
      <c r="V156" s="83"/>
      <c r="W156" s="83"/>
      <c r="X156" s="80"/>
      <c r="Y156" s="110"/>
      <c r="Z156" s="110"/>
      <c r="AA156" s="110"/>
      <c r="AB156" s="110"/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/>
      <c r="BF156" s="110"/>
      <c r="BG156" s="110"/>
    </row>
    <row r="157" spans="1:59" s="111" customFormat="1" ht="15" customHeight="1">
      <c r="A157" s="110"/>
      <c r="B157" s="100"/>
      <c r="C157" s="516"/>
      <c r="D157" s="100"/>
      <c r="E157" s="528"/>
      <c r="F157" s="83"/>
      <c r="G157" s="110"/>
      <c r="H157" s="110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110"/>
      <c r="T157" s="110"/>
      <c r="U157" s="110"/>
      <c r="V157" s="83"/>
      <c r="W157" s="83"/>
      <c r="X157" s="8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10"/>
      <c r="BA157" s="110"/>
      <c r="BB157" s="110"/>
      <c r="BC157" s="110"/>
      <c r="BD157" s="110"/>
      <c r="BE157" s="110"/>
      <c r="BF157" s="110"/>
      <c r="BG157" s="110"/>
    </row>
    <row r="158" spans="1:59" s="111" customFormat="1" ht="15" customHeight="1">
      <c r="A158" s="110"/>
      <c r="B158" s="100"/>
      <c r="C158" s="110"/>
      <c r="D158" s="110"/>
      <c r="E158" s="110"/>
      <c r="F158" s="110"/>
      <c r="G158" s="110"/>
      <c r="H158" s="110"/>
      <c r="I158" s="110"/>
      <c r="J158" s="110"/>
      <c r="K158" s="110"/>
      <c r="L158" s="110"/>
      <c r="M158" s="110"/>
      <c r="N158" s="110"/>
      <c r="O158" s="110"/>
      <c r="P158" s="110"/>
      <c r="Q158" s="110"/>
      <c r="R158" s="110"/>
      <c r="S158" s="110"/>
      <c r="T158" s="110"/>
      <c r="U158" s="110"/>
      <c r="V158" s="83"/>
      <c r="W158" s="83"/>
      <c r="X158" s="8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10"/>
      <c r="BA158" s="110"/>
      <c r="BB158" s="110"/>
      <c r="BC158" s="110"/>
      <c r="BD158" s="110"/>
      <c r="BE158" s="110"/>
      <c r="BF158" s="110"/>
      <c r="BG158" s="110"/>
    </row>
    <row r="159" spans="1:59" s="111" customFormat="1" ht="15" customHeight="1">
      <c r="A159" s="110"/>
      <c r="B159" s="100"/>
      <c r="C159" s="110"/>
      <c r="D159" s="110"/>
      <c r="E159" s="110"/>
      <c r="F159" s="110"/>
      <c r="G159" s="110"/>
      <c r="H159" s="110"/>
      <c r="I159" s="110"/>
      <c r="J159" s="110"/>
      <c r="K159" s="110"/>
      <c r="L159" s="110"/>
      <c r="M159" s="110"/>
      <c r="N159" s="110"/>
      <c r="O159" s="110"/>
      <c r="P159" s="110"/>
      <c r="Q159" s="110"/>
      <c r="R159" s="110"/>
      <c r="S159" s="110"/>
      <c r="T159" s="110"/>
      <c r="U159" s="110"/>
      <c r="V159" s="83"/>
      <c r="W159" s="83"/>
      <c r="X159" s="8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10"/>
      <c r="BA159" s="110"/>
      <c r="BB159" s="110"/>
      <c r="BC159" s="110"/>
      <c r="BD159" s="110"/>
      <c r="BE159" s="110"/>
      <c r="BF159" s="110"/>
      <c r="BG159" s="110"/>
    </row>
    <row r="160" spans="1:59" s="111" customFormat="1" ht="15" customHeight="1">
      <c r="A160" s="110"/>
      <c r="B160" s="100"/>
      <c r="C160" s="110"/>
      <c r="D160" s="110"/>
      <c r="E160" s="110"/>
      <c r="F160" s="110"/>
      <c r="G160" s="110"/>
      <c r="H160" s="110"/>
      <c r="I160" s="110"/>
      <c r="J160" s="110"/>
      <c r="K160" s="110"/>
      <c r="L160" s="110"/>
      <c r="M160" s="110"/>
      <c r="N160" s="110"/>
      <c r="O160" s="110"/>
      <c r="P160" s="110"/>
      <c r="Q160" s="110"/>
      <c r="R160" s="110"/>
      <c r="S160" s="110"/>
      <c r="T160" s="110"/>
      <c r="U160" s="110"/>
      <c r="V160" s="83"/>
      <c r="W160" s="83"/>
      <c r="X160" s="8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10"/>
      <c r="BA160" s="110"/>
      <c r="BB160" s="110"/>
      <c r="BC160" s="110"/>
      <c r="BD160" s="110"/>
      <c r="BE160" s="110"/>
      <c r="BF160" s="110"/>
      <c r="BG160" s="110"/>
    </row>
    <row r="161" spans="1:59" s="111" customFormat="1" ht="15" customHeight="1">
      <c r="A161" s="110"/>
      <c r="B161" s="100"/>
      <c r="C161" s="110"/>
      <c r="D161" s="110"/>
      <c r="E161" s="110"/>
      <c r="F161" s="110"/>
      <c r="G161" s="110"/>
      <c r="H161" s="110"/>
      <c r="I161" s="110"/>
      <c r="J161" s="110"/>
      <c r="K161" s="110"/>
      <c r="L161" s="110"/>
      <c r="M161" s="110"/>
      <c r="N161" s="110"/>
      <c r="O161" s="110"/>
      <c r="P161" s="110"/>
      <c r="Q161" s="110"/>
      <c r="R161" s="110"/>
      <c r="S161" s="110"/>
      <c r="T161" s="110"/>
      <c r="U161" s="110"/>
      <c r="V161" s="100"/>
      <c r="W161" s="100"/>
      <c r="X161" s="8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0"/>
      <c r="BA161" s="110"/>
      <c r="BB161" s="110"/>
      <c r="BC161" s="110"/>
      <c r="BD161" s="110"/>
      <c r="BE161" s="110"/>
      <c r="BF161" s="110"/>
      <c r="BG161" s="110"/>
    </row>
    <row r="162" spans="1:59" s="111" customFormat="1" ht="15" customHeight="1">
      <c r="A162" s="110"/>
      <c r="B162" s="100"/>
      <c r="C162" s="110"/>
      <c r="D162" s="110"/>
      <c r="E162" s="110"/>
      <c r="F162" s="110"/>
      <c r="G162" s="110"/>
      <c r="H162" s="110"/>
      <c r="I162" s="110"/>
      <c r="J162" s="110"/>
      <c r="K162" s="110"/>
      <c r="L162" s="110"/>
      <c r="M162" s="110"/>
      <c r="N162" s="110"/>
      <c r="O162" s="110"/>
      <c r="P162" s="110"/>
      <c r="Q162" s="110"/>
      <c r="R162" s="110"/>
      <c r="S162" s="110"/>
      <c r="T162" s="110"/>
      <c r="U162" s="110"/>
      <c r="V162" s="1105"/>
      <c r="W162" s="1105"/>
      <c r="X162" s="8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</row>
    <row r="163" spans="1:59" s="75" customFormat="1">
      <c r="A163" s="81"/>
      <c r="B163" s="100"/>
      <c r="C163" s="110"/>
      <c r="D163" s="110"/>
      <c r="E163" s="110"/>
      <c r="F163" s="110"/>
      <c r="G163" s="110"/>
      <c r="H163" s="110"/>
      <c r="I163" s="110"/>
      <c r="J163" s="110"/>
      <c r="K163" s="110"/>
      <c r="L163" s="110"/>
      <c r="M163" s="110"/>
      <c r="N163" s="110"/>
      <c r="O163" s="110"/>
      <c r="P163" s="110"/>
      <c r="Q163" s="110"/>
      <c r="R163" s="110"/>
      <c r="S163" s="100"/>
      <c r="T163" s="100"/>
      <c r="U163" s="100"/>
      <c r="V163" s="100"/>
      <c r="W163" s="114"/>
      <c r="X163" s="437"/>
      <c r="Y163" s="117"/>
      <c r="Z163" s="117"/>
      <c r="AA163" s="117"/>
      <c r="AB163" s="117"/>
      <c r="AC163" s="117"/>
      <c r="AD163" s="117"/>
      <c r="AE163" s="117"/>
      <c r="AF163" s="81"/>
      <c r="AG163" s="81"/>
      <c r="AH163" s="81"/>
      <c r="AI163" s="81"/>
      <c r="AJ163" s="81"/>
      <c r="AK163" s="81"/>
      <c r="AL163" s="81"/>
      <c r="AM163" s="81"/>
      <c r="AN163" s="81"/>
      <c r="AO163" s="81"/>
      <c r="AP163" s="81"/>
      <c r="AQ163" s="81"/>
      <c r="AR163" s="81"/>
      <c r="AS163" s="81"/>
      <c r="AT163" s="81"/>
      <c r="AU163" s="81"/>
      <c r="AV163" s="81"/>
      <c r="AW163" s="81"/>
      <c r="AX163" s="81"/>
      <c r="AY163" s="81"/>
      <c r="AZ163" s="81"/>
      <c r="BA163" s="81"/>
      <c r="BB163" s="81"/>
      <c r="BC163" s="81"/>
      <c r="BD163" s="81"/>
      <c r="BE163" s="81"/>
      <c r="BF163" s="81"/>
      <c r="BG163" s="81"/>
    </row>
    <row r="164" spans="1:59" s="75" customFormat="1" ht="27.75" customHeight="1">
      <c r="A164" s="81"/>
      <c r="B164" s="100"/>
      <c r="C164" s="110"/>
      <c r="D164" s="110"/>
      <c r="E164" s="110"/>
      <c r="F164" s="110"/>
      <c r="G164" s="110"/>
      <c r="H164" s="110"/>
      <c r="I164" s="110"/>
      <c r="J164" s="110"/>
      <c r="K164" s="110"/>
      <c r="L164" s="110"/>
      <c r="M164" s="110"/>
      <c r="N164" s="110"/>
      <c r="O164" s="110"/>
      <c r="P164" s="110"/>
      <c r="Q164" s="110"/>
      <c r="R164" s="110"/>
      <c r="S164" s="83"/>
      <c r="T164" s="83"/>
      <c r="U164" s="83"/>
      <c r="V164" s="100"/>
      <c r="W164" s="100"/>
      <c r="X164" s="437"/>
      <c r="Y164" s="117"/>
      <c r="Z164" s="117"/>
      <c r="AA164" s="117"/>
      <c r="AB164" s="117"/>
      <c r="AC164" s="117"/>
      <c r="AD164" s="117"/>
      <c r="AE164" s="117"/>
      <c r="AF164" s="81"/>
      <c r="AG164" s="81"/>
      <c r="AH164" s="81"/>
      <c r="AI164" s="81"/>
      <c r="AJ164" s="81"/>
      <c r="AK164" s="81"/>
      <c r="AL164" s="81"/>
      <c r="AM164" s="81"/>
      <c r="AN164" s="81"/>
      <c r="AO164" s="81"/>
      <c r="AP164" s="81"/>
      <c r="AQ164" s="81"/>
      <c r="AR164" s="81"/>
      <c r="AS164" s="81"/>
      <c r="AT164" s="81"/>
      <c r="AU164" s="81"/>
      <c r="AV164" s="81"/>
      <c r="AW164" s="81"/>
      <c r="AX164" s="81"/>
      <c r="AY164" s="81"/>
      <c r="AZ164" s="81"/>
      <c r="BA164" s="81"/>
      <c r="BB164" s="81"/>
      <c r="BC164" s="81"/>
      <c r="BD164" s="81"/>
      <c r="BE164" s="81"/>
      <c r="BF164" s="81"/>
      <c r="BG164" s="81"/>
    </row>
    <row r="165" spans="1:59" s="75" customFormat="1" ht="2.85" customHeight="1">
      <c r="A165" s="81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499"/>
      <c r="T165" s="499"/>
      <c r="U165" s="499"/>
      <c r="V165" s="499"/>
      <c r="W165" s="499"/>
      <c r="X165" s="437"/>
      <c r="Y165" s="117"/>
      <c r="Z165" s="117"/>
      <c r="AA165" s="117"/>
      <c r="AB165" s="117"/>
      <c r="AC165" s="117"/>
      <c r="AD165" s="117"/>
      <c r="AE165" s="117"/>
      <c r="AF165" s="81"/>
      <c r="AG165" s="81"/>
      <c r="AH165" s="81"/>
      <c r="AI165" s="81"/>
      <c r="AJ165" s="81"/>
      <c r="AK165" s="81"/>
      <c r="AL165" s="81"/>
      <c r="AM165" s="81"/>
      <c r="AN165" s="81"/>
      <c r="AO165" s="81"/>
      <c r="AP165" s="81"/>
      <c r="AQ165" s="81"/>
      <c r="AR165" s="81"/>
      <c r="AS165" s="81"/>
      <c r="AT165" s="81"/>
      <c r="AU165" s="81"/>
      <c r="AV165" s="81"/>
      <c r="AW165" s="81"/>
      <c r="AX165" s="81"/>
      <c r="AY165" s="81"/>
      <c r="AZ165" s="81"/>
      <c r="BA165" s="81"/>
      <c r="BB165" s="81"/>
      <c r="BC165" s="81"/>
      <c r="BD165" s="81"/>
      <c r="BE165" s="81"/>
      <c r="BF165" s="81"/>
      <c r="BG165" s="81"/>
    </row>
    <row r="166" spans="1:59" s="75" customFormat="1" ht="15" customHeight="1">
      <c r="A166" s="81"/>
      <c r="B166" s="100"/>
      <c r="C166" s="499"/>
      <c r="D166" s="100"/>
      <c r="E166" s="528"/>
      <c r="F166" s="83"/>
      <c r="G166" s="110"/>
      <c r="H166" s="110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1"/>
      <c r="T166" s="81"/>
      <c r="U166" s="81"/>
      <c r="V166" s="100"/>
      <c r="W166" s="100"/>
      <c r="X166" s="437"/>
      <c r="Y166" s="117"/>
      <c r="Z166" s="117"/>
      <c r="AA166" s="117"/>
      <c r="AB166" s="117"/>
      <c r="AC166" s="117"/>
      <c r="AD166" s="117"/>
      <c r="AE166" s="117"/>
      <c r="AF166" s="81"/>
      <c r="AG166" s="81"/>
      <c r="AH166" s="81"/>
      <c r="AI166" s="81"/>
      <c r="AJ166" s="81"/>
      <c r="AK166" s="81"/>
      <c r="AL166" s="81"/>
      <c r="AM166" s="81"/>
      <c r="AN166" s="81"/>
      <c r="AO166" s="81"/>
      <c r="AP166" s="81"/>
      <c r="AQ166" s="81"/>
      <c r="AR166" s="81"/>
      <c r="AS166" s="81"/>
      <c r="AT166" s="81"/>
      <c r="AU166" s="81"/>
      <c r="AV166" s="81"/>
      <c r="AW166" s="81"/>
      <c r="AX166" s="81"/>
      <c r="AY166" s="81"/>
      <c r="AZ166" s="81"/>
      <c r="BA166" s="81"/>
      <c r="BB166" s="81"/>
      <c r="BC166" s="81"/>
      <c r="BD166" s="81"/>
      <c r="BE166" s="81"/>
      <c r="BF166" s="81"/>
      <c r="BG166" s="81"/>
    </row>
    <row r="167" spans="1:59" s="75" customFormat="1" ht="15" customHeight="1">
      <c r="A167" s="81"/>
      <c r="B167" s="100"/>
      <c r="C167" s="499"/>
      <c r="D167" s="499"/>
      <c r="E167" s="499"/>
      <c r="F167" s="499"/>
      <c r="G167" s="499"/>
      <c r="H167" s="499"/>
      <c r="I167" s="499"/>
      <c r="J167" s="499"/>
      <c r="K167" s="499"/>
      <c r="L167" s="499"/>
      <c r="M167" s="499"/>
      <c r="N167" s="499"/>
      <c r="O167" s="499"/>
      <c r="P167" s="499"/>
      <c r="Q167" s="499"/>
      <c r="R167" s="499"/>
      <c r="S167" s="81"/>
      <c r="T167" s="81"/>
      <c r="U167" s="81"/>
      <c r="V167" s="100"/>
      <c r="W167" s="100"/>
      <c r="X167" s="437"/>
      <c r="Y167" s="117"/>
      <c r="Z167" s="117"/>
      <c r="AA167" s="117"/>
      <c r="AB167" s="117"/>
      <c r="AC167" s="117"/>
      <c r="AD167" s="117"/>
      <c r="AE167" s="117"/>
      <c r="AF167" s="81"/>
      <c r="AG167" s="81"/>
      <c r="AH167" s="81"/>
      <c r="AI167" s="81"/>
      <c r="AJ167" s="81"/>
      <c r="AK167" s="81"/>
      <c r="AL167" s="81"/>
      <c r="AM167" s="81"/>
      <c r="AN167" s="81"/>
      <c r="AO167" s="81"/>
      <c r="AP167" s="81"/>
      <c r="AQ167" s="81"/>
      <c r="AR167" s="81"/>
      <c r="AS167" s="81"/>
      <c r="AT167" s="81"/>
      <c r="AU167" s="81"/>
      <c r="AV167" s="81"/>
      <c r="AW167" s="81"/>
      <c r="AX167" s="81"/>
      <c r="AY167" s="81"/>
      <c r="AZ167" s="81"/>
      <c r="BA167" s="81"/>
      <c r="BB167" s="81"/>
      <c r="BC167" s="81"/>
      <c r="BD167" s="81"/>
      <c r="BE167" s="81"/>
      <c r="BF167" s="81"/>
      <c r="BG167" s="81"/>
    </row>
    <row r="168" spans="1:59" s="75" customFormat="1" ht="15" customHeight="1">
      <c r="A168" s="81"/>
      <c r="B168" s="100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1095"/>
      <c r="T168" s="1095"/>
      <c r="U168" s="1095"/>
      <c r="V168" s="1053"/>
      <c r="W168" s="1053"/>
      <c r="X168" s="437"/>
      <c r="Y168" s="117"/>
      <c r="Z168" s="117"/>
      <c r="AA168" s="117"/>
      <c r="AB168" s="117"/>
      <c r="AC168" s="117"/>
      <c r="AD168" s="117"/>
      <c r="AE168" s="117"/>
      <c r="AF168" s="81"/>
      <c r="AG168" s="81"/>
      <c r="AH168" s="81"/>
      <c r="AI168" s="81"/>
      <c r="AJ168" s="81"/>
      <c r="AK168" s="81"/>
      <c r="AL168" s="81"/>
      <c r="AM168" s="81"/>
      <c r="AN168" s="81"/>
      <c r="AO168" s="81"/>
      <c r="AP168" s="81"/>
      <c r="AQ168" s="81"/>
      <c r="AR168" s="81"/>
      <c r="AS168" s="81"/>
      <c r="AT168" s="81"/>
      <c r="AU168" s="81"/>
      <c r="AV168" s="81"/>
      <c r="AW168" s="81"/>
      <c r="AX168" s="81"/>
      <c r="AY168" s="81"/>
      <c r="AZ168" s="81"/>
      <c r="BA168" s="81"/>
      <c r="BB168" s="81"/>
      <c r="BC168" s="81"/>
      <c r="BD168" s="81"/>
      <c r="BE168" s="81"/>
      <c r="BF168" s="81"/>
      <c r="BG168" s="81"/>
    </row>
    <row r="169" spans="1:59" s="75" customFormat="1" ht="15" customHeight="1">
      <c r="A169" s="81"/>
      <c r="B169" s="100"/>
      <c r="C169" s="4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141"/>
      <c r="T169" s="141"/>
      <c r="U169" s="141"/>
      <c r="V169" s="1107"/>
      <c r="W169" s="1107"/>
      <c r="X169" s="437"/>
      <c r="Y169" s="117"/>
      <c r="Z169" s="117"/>
      <c r="AA169" s="117"/>
      <c r="AB169" s="117"/>
      <c r="AC169" s="117"/>
      <c r="AD169" s="117"/>
      <c r="AE169" s="117"/>
      <c r="AF169" s="81"/>
      <c r="AG169" s="81"/>
      <c r="AH169" s="81"/>
      <c r="AI169" s="81"/>
      <c r="AJ169" s="81"/>
      <c r="AK169" s="81"/>
      <c r="AL169" s="81"/>
      <c r="AM169" s="81"/>
      <c r="AN169" s="81"/>
      <c r="AO169" s="81"/>
      <c r="AP169" s="81"/>
      <c r="AQ169" s="81"/>
      <c r="AR169" s="81"/>
      <c r="AS169" s="81"/>
      <c r="AT169" s="81"/>
      <c r="AU169" s="81"/>
      <c r="AV169" s="81"/>
      <c r="AW169" s="81"/>
      <c r="AX169" s="81"/>
      <c r="AY169" s="81"/>
      <c r="AZ169" s="81"/>
      <c r="BA169" s="81"/>
      <c r="BB169" s="81"/>
      <c r="BC169" s="81"/>
      <c r="BD169" s="81"/>
      <c r="BE169" s="81"/>
      <c r="BF169" s="81"/>
      <c r="BG169" s="81"/>
    </row>
    <row r="170" spans="1:59" s="75" customFormat="1" ht="15" customHeight="1">
      <c r="A170" s="81"/>
      <c r="B170" s="100"/>
      <c r="C170" s="156"/>
      <c r="D170" s="100"/>
      <c r="E170" s="100"/>
      <c r="F170" s="100"/>
      <c r="G170" s="100"/>
      <c r="H170" s="100"/>
      <c r="I170" s="1095"/>
      <c r="J170" s="1095"/>
      <c r="K170" s="1095"/>
      <c r="L170" s="1095"/>
      <c r="M170" s="1095"/>
      <c r="N170" s="1095"/>
      <c r="O170" s="1095"/>
      <c r="P170" s="1095"/>
      <c r="Q170" s="1095"/>
      <c r="R170" s="1095"/>
      <c r="S170" s="78"/>
      <c r="T170" s="78"/>
      <c r="U170" s="78"/>
      <c r="V170" s="1112"/>
      <c r="W170" s="1113"/>
      <c r="X170" s="437"/>
      <c r="Y170" s="117"/>
      <c r="Z170" s="117"/>
      <c r="AA170" s="117"/>
      <c r="AB170" s="117"/>
      <c r="AC170" s="117"/>
      <c r="AD170" s="117"/>
      <c r="AE170" s="117"/>
      <c r="AF170" s="81"/>
      <c r="AG170" s="81"/>
      <c r="AH170" s="81"/>
      <c r="AI170" s="81"/>
      <c r="AJ170" s="81"/>
      <c r="AK170" s="81"/>
      <c r="AL170" s="81"/>
      <c r="AM170" s="81"/>
      <c r="AN170" s="81"/>
      <c r="AO170" s="81"/>
      <c r="AP170" s="81"/>
      <c r="AQ170" s="81"/>
      <c r="AR170" s="81"/>
      <c r="AS170" s="81"/>
      <c r="AT170" s="81"/>
      <c r="AU170" s="81"/>
      <c r="AV170" s="81"/>
      <c r="AW170" s="81"/>
      <c r="AX170" s="81"/>
      <c r="AY170" s="81"/>
      <c r="AZ170" s="81"/>
      <c r="BA170" s="81"/>
      <c r="BB170" s="81"/>
      <c r="BC170" s="81"/>
      <c r="BD170" s="81"/>
      <c r="BE170" s="81"/>
      <c r="BF170" s="81"/>
      <c r="BG170" s="81"/>
    </row>
    <row r="171" spans="1:59" s="75" customFormat="1" ht="15" customHeight="1">
      <c r="A171" s="81"/>
      <c r="B171" s="100"/>
      <c r="C171" s="156"/>
      <c r="D171" s="100"/>
      <c r="E171" s="100"/>
      <c r="F171" s="100"/>
      <c r="G171" s="100"/>
      <c r="H171" s="100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78"/>
      <c r="T171" s="78"/>
      <c r="U171" s="78"/>
      <c r="V171" s="82"/>
      <c r="W171" s="82"/>
      <c r="X171" s="437"/>
      <c r="Y171" s="117"/>
      <c r="Z171" s="117"/>
      <c r="AA171" s="117"/>
      <c r="AB171" s="117"/>
      <c r="AC171" s="117"/>
      <c r="AD171" s="117"/>
      <c r="AE171" s="117"/>
      <c r="AF171" s="81"/>
      <c r="AG171" s="81"/>
      <c r="AH171" s="81"/>
      <c r="AI171" s="81"/>
      <c r="AJ171" s="81"/>
      <c r="AK171" s="81"/>
      <c r="AL171" s="81"/>
      <c r="AM171" s="81"/>
      <c r="AN171" s="81"/>
      <c r="AO171" s="81"/>
      <c r="AP171" s="81"/>
      <c r="AQ171" s="81"/>
      <c r="AR171" s="81"/>
      <c r="AS171" s="81"/>
      <c r="AT171" s="81"/>
      <c r="AU171" s="81"/>
      <c r="AV171" s="81"/>
      <c r="AW171" s="81"/>
      <c r="AX171" s="81"/>
      <c r="AY171" s="81"/>
      <c r="AZ171" s="81"/>
      <c r="BA171" s="81"/>
      <c r="BB171" s="81"/>
      <c r="BC171" s="81"/>
      <c r="BD171" s="81"/>
      <c r="BE171" s="81"/>
      <c r="BF171" s="81"/>
      <c r="BG171" s="81"/>
    </row>
    <row r="172" spans="1:59" s="75" customFormat="1" ht="15" customHeight="1">
      <c r="A172" s="81"/>
      <c r="B172" s="100"/>
      <c r="C172" s="483"/>
      <c r="D172" s="100"/>
      <c r="E172" s="528"/>
      <c r="F172" s="83"/>
      <c r="G172" s="110"/>
      <c r="H172" s="110"/>
      <c r="I172" s="1114"/>
      <c r="J172" s="78"/>
      <c r="K172" s="78"/>
      <c r="L172" s="78"/>
      <c r="M172" s="78"/>
      <c r="N172" s="78"/>
      <c r="O172" s="78"/>
      <c r="P172" s="78"/>
      <c r="Q172" s="78"/>
      <c r="R172" s="78"/>
      <c r="S172" s="81"/>
      <c r="T172" s="81"/>
      <c r="U172" s="81"/>
      <c r="V172" s="82"/>
      <c r="W172" s="82"/>
      <c r="X172" s="437"/>
      <c r="Y172" s="117"/>
      <c r="Z172" s="117"/>
      <c r="AA172" s="117"/>
      <c r="AB172" s="117"/>
      <c r="AC172" s="117"/>
      <c r="AD172" s="117"/>
      <c r="AE172" s="117"/>
      <c r="AF172" s="81"/>
      <c r="AG172" s="81"/>
      <c r="AH172" s="81"/>
      <c r="AI172" s="81"/>
      <c r="AJ172" s="81"/>
      <c r="AK172" s="81"/>
      <c r="AL172" s="81"/>
      <c r="AM172" s="81"/>
      <c r="AN172" s="81"/>
      <c r="AO172" s="81"/>
      <c r="AP172" s="81"/>
      <c r="AQ172" s="81"/>
      <c r="AR172" s="81"/>
      <c r="AS172" s="81"/>
      <c r="AT172" s="81"/>
      <c r="AU172" s="81"/>
      <c r="AV172" s="81"/>
      <c r="AW172" s="81"/>
      <c r="AX172" s="81"/>
      <c r="AY172" s="81"/>
      <c r="AZ172" s="81"/>
      <c r="BA172" s="81"/>
      <c r="BB172" s="81"/>
      <c r="BC172" s="81"/>
      <c r="BD172" s="81"/>
      <c r="BE172" s="81"/>
      <c r="BF172" s="81"/>
      <c r="BG172" s="81"/>
    </row>
    <row r="173" spans="1:59" s="75" customFormat="1" ht="15" customHeight="1">
      <c r="A173" s="81"/>
      <c r="B173" s="100"/>
      <c r="C173" s="483"/>
      <c r="D173" s="100"/>
      <c r="E173" s="528"/>
      <c r="F173" s="83"/>
      <c r="G173" s="110"/>
      <c r="H173" s="110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81"/>
      <c r="T173" s="81"/>
      <c r="U173" s="81"/>
      <c r="V173" s="82"/>
      <c r="W173" s="82"/>
      <c r="X173" s="437"/>
      <c r="Y173" s="117"/>
      <c r="Z173" s="117"/>
      <c r="AA173" s="117"/>
      <c r="AB173" s="117"/>
      <c r="AC173" s="117"/>
      <c r="AD173" s="117"/>
      <c r="AE173" s="117"/>
      <c r="AF173" s="81"/>
      <c r="AG173" s="81"/>
      <c r="AH173" s="81"/>
      <c r="AI173" s="81"/>
      <c r="AJ173" s="81"/>
      <c r="AK173" s="81"/>
      <c r="AL173" s="81"/>
      <c r="AM173" s="81"/>
      <c r="AN173" s="81"/>
      <c r="AO173" s="81"/>
      <c r="AP173" s="81"/>
      <c r="AQ173" s="81"/>
      <c r="AR173" s="81"/>
      <c r="AS173" s="81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  <c r="BD173" s="81"/>
      <c r="BE173" s="81"/>
      <c r="BF173" s="81"/>
      <c r="BG173" s="81"/>
    </row>
    <row r="174" spans="1:59" s="75" customFormat="1" ht="15" customHeight="1">
      <c r="A174" s="81"/>
      <c r="B174" s="100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1095"/>
      <c r="T174" s="1095"/>
      <c r="U174" s="1095"/>
      <c r="V174" s="82"/>
      <c r="W174" s="87"/>
      <c r="X174" s="437"/>
      <c r="Y174" s="117"/>
      <c r="Z174" s="117"/>
      <c r="AA174" s="117"/>
      <c r="AB174" s="117"/>
      <c r="AC174" s="117"/>
      <c r="AD174" s="117"/>
      <c r="AE174" s="117"/>
      <c r="AF174" s="81"/>
      <c r="AG174" s="81"/>
      <c r="AH174" s="81"/>
      <c r="AI174" s="81"/>
      <c r="AJ174" s="81"/>
      <c r="AK174" s="81"/>
      <c r="AL174" s="81"/>
      <c r="AM174" s="81"/>
      <c r="AN174" s="81"/>
      <c r="AO174" s="81"/>
      <c r="AP174" s="81"/>
      <c r="AQ174" s="81"/>
      <c r="AR174" s="81"/>
      <c r="AS174" s="81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  <c r="BD174" s="81"/>
      <c r="BE174" s="81"/>
      <c r="BF174" s="81"/>
      <c r="BG174" s="81"/>
    </row>
    <row r="175" spans="1:59" s="75" customFormat="1" ht="15" customHeight="1">
      <c r="A175" s="81"/>
      <c r="B175" s="100"/>
      <c r="C175" s="1115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1116"/>
      <c r="T175" s="1116"/>
      <c r="U175" s="1116"/>
      <c r="V175" s="82"/>
      <c r="W175" s="82"/>
      <c r="X175" s="437"/>
      <c r="Y175" s="117"/>
      <c r="Z175" s="117"/>
      <c r="AA175" s="117"/>
      <c r="AB175" s="117"/>
      <c r="AC175" s="117"/>
      <c r="AD175" s="117"/>
      <c r="AE175" s="117"/>
      <c r="AF175" s="81"/>
      <c r="AG175" s="81"/>
      <c r="AH175" s="81"/>
      <c r="AI175" s="81"/>
      <c r="AJ175" s="81"/>
      <c r="AK175" s="81"/>
      <c r="AL175" s="81"/>
      <c r="AM175" s="81"/>
      <c r="AN175" s="81"/>
      <c r="AO175" s="81"/>
      <c r="AP175" s="81"/>
      <c r="AQ175" s="81"/>
      <c r="AR175" s="81"/>
      <c r="AS175" s="81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  <c r="BD175" s="81"/>
      <c r="BE175" s="81"/>
      <c r="BF175" s="81"/>
      <c r="BG175" s="81"/>
    </row>
    <row r="176" spans="1:59" s="75" customFormat="1" ht="15" customHeight="1">
      <c r="A176" s="81"/>
      <c r="B176" s="100"/>
      <c r="C176" s="95"/>
      <c r="D176" s="530"/>
      <c r="E176" s="530"/>
      <c r="F176" s="530"/>
      <c r="G176" s="530"/>
      <c r="H176" s="530"/>
      <c r="I176" s="1095"/>
      <c r="J176" s="1095"/>
      <c r="K176" s="1095"/>
      <c r="L176" s="1095"/>
      <c r="M176" s="1095"/>
      <c r="N176" s="1095"/>
      <c r="O176" s="1095"/>
      <c r="P176" s="1095"/>
      <c r="Q176" s="1095"/>
      <c r="R176" s="1095"/>
      <c r="S176" s="78"/>
      <c r="T176" s="78"/>
      <c r="U176" s="78"/>
      <c r="V176" s="82"/>
      <c r="W176" s="82"/>
      <c r="X176" s="437"/>
      <c r="Y176" s="117"/>
      <c r="Z176" s="117"/>
      <c r="AA176" s="117"/>
      <c r="AB176" s="117"/>
      <c r="AC176" s="117"/>
      <c r="AD176" s="117"/>
      <c r="AE176" s="117"/>
      <c r="AF176" s="81"/>
      <c r="AG176" s="81"/>
      <c r="AH176" s="81"/>
      <c r="AI176" s="81"/>
      <c r="AJ176" s="81"/>
      <c r="AK176" s="81"/>
      <c r="AL176" s="81"/>
      <c r="AM176" s="81"/>
      <c r="AN176" s="81"/>
      <c r="AO176" s="81"/>
      <c r="AP176" s="81"/>
      <c r="AQ176" s="81"/>
      <c r="AR176" s="81"/>
      <c r="AS176" s="81"/>
      <c r="AT176" s="81"/>
      <c r="AU176" s="81"/>
      <c r="AV176" s="81"/>
      <c r="AW176" s="81"/>
      <c r="AX176" s="81"/>
      <c r="AY176" s="81"/>
      <c r="AZ176" s="81"/>
      <c r="BA176" s="81"/>
      <c r="BB176" s="81"/>
      <c r="BC176" s="81"/>
      <c r="BD176" s="81"/>
      <c r="BE176" s="81"/>
      <c r="BF176" s="81"/>
      <c r="BG176" s="81"/>
    </row>
    <row r="177" spans="1:59" s="75" customFormat="1" ht="15" customHeight="1">
      <c r="A177" s="81"/>
      <c r="B177" s="100"/>
      <c r="C177" s="95"/>
      <c r="D177" s="530"/>
      <c r="E177" s="531"/>
      <c r="F177" s="532"/>
      <c r="G177" s="530"/>
      <c r="H177" s="530"/>
      <c r="I177" s="1116"/>
      <c r="J177" s="1116"/>
      <c r="K177" s="1116"/>
      <c r="L177" s="1116"/>
      <c r="M177" s="1116"/>
      <c r="N177" s="1116"/>
      <c r="O177" s="1116"/>
      <c r="P177" s="1116"/>
      <c r="Q177" s="1116"/>
      <c r="R177" s="1116"/>
      <c r="S177" s="78"/>
      <c r="T177" s="78"/>
      <c r="U177" s="78"/>
      <c r="V177" s="100"/>
      <c r="W177" s="100"/>
      <c r="X177" s="437"/>
      <c r="Y177" s="117"/>
      <c r="Z177" s="117"/>
      <c r="AA177" s="117"/>
      <c r="AB177" s="117"/>
      <c r="AC177" s="117"/>
      <c r="AD177" s="117"/>
      <c r="AE177" s="117"/>
      <c r="AF177" s="81"/>
      <c r="AG177" s="81"/>
      <c r="AH177" s="81"/>
      <c r="AI177" s="81"/>
      <c r="AJ177" s="81"/>
      <c r="AK177" s="81"/>
      <c r="AL177" s="81"/>
      <c r="AM177" s="81"/>
      <c r="AN177" s="81"/>
      <c r="AO177" s="81"/>
      <c r="AP177" s="81"/>
      <c r="AQ177" s="81"/>
      <c r="AR177" s="81"/>
      <c r="AS177" s="81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  <c r="BD177" s="81"/>
      <c r="BE177" s="81"/>
      <c r="BF177" s="81"/>
      <c r="BG177" s="81"/>
    </row>
    <row r="178" spans="1:59" s="75" customFormat="1" ht="15" customHeight="1">
      <c r="A178" s="81"/>
      <c r="B178" s="100"/>
      <c r="C178" s="483"/>
      <c r="D178" s="100"/>
      <c r="E178" s="528"/>
      <c r="F178" s="83"/>
      <c r="G178" s="110"/>
      <c r="H178" s="110"/>
      <c r="I178" s="78"/>
      <c r="J178" s="78"/>
      <c r="K178" s="78"/>
      <c r="L178" s="78"/>
      <c r="M178" s="78"/>
      <c r="N178" s="1117"/>
      <c r="O178" s="78"/>
      <c r="P178" s="78"/>
      <c r="Q178" s="78"/>
      <c r="R178" s="78"/>
      <c r="S178" s="78"/>
      <c r="T178" s="78"/>
      <c r="U178" s="78"/>
      <c r="V178" s="100"/>
      <c r="W178" s="100"/>
      <c r="X178" s="437"/>
      <c r="Y178" s="117"/>
      <c r="Z178" s="117"/>
      <c r="AA178" s="117"/>
      <c r="AB178" s="117"/>
      <c r="AC178" s="117"/>
      <c r="AD178" s="117"/>
      <c r="AE178" s="117"/>
      <c r="AF178" s="81"/>
      <c r="AG178" s="81"/>
      <c r="AH178" s="81"/>
      <c r="AI178" s="81"/>
      <c r="AJ178" s="81"/>
      <c r="AK178" s="81"/>
      <c r="AL178" s="81"/>
      <c r="AM178" s="81"/>
      <c r="AN178" s="81"/>
      <c r="AO178" s="81"/>
      <c r="AP178" s="81"/>
      <c r="AQ178" s="81"/>
      <c r="AR178" s="81"/>
      <c r="AS178" s="81"/>
      <c r="AT178" s="81"/>
      <c r="AU178" s="81"/>
      <c r="AV178" s="81"/>
      <c r="AW178" s="81"/>
      <c r="AX178" s="81"/>
      <c r="AY178" s="81"/>
      <c r="AZ178" s="81"/>
      <c r="BA178" s="81"/>
      <c r="BB178" s="81"/>
      <c r="BC178" s="81"/>
      <c r="BD178" s="81"/>
      <c r="BE178" s="81"/>
      <c r="BF178" s="81"/>
      <c r="BG178" s="81"/>
    </row>
    <row r="179" spans="1:59" s="75" customFormat="1" ht="15" customHeight="1">
      <c r="A179" s="81"/>
      <c r="B179" s="100"/>
      <c r="C179" s="483"/>
      <c r="D179" s="100"/>
      <c r="E179" s="528"/>
      <c r="F179" s="83"/>
      <c r="G179" s="110"/>
      <c r="H179" s="110"/>
      <c r="I179" s="78"/>
      <c r="J179" s="78"/>
      <c r="K179" s="78"/>
      <c r="L179" s="78"/>
      <c r="M179" s="78"/>
      <c r="N179" s="1117"/>
      <c r="O179" s="78"/>
      <c r="P179" s="78"/>
      <c r="Q179" s="78"/>
      <c r="R179" s="78"/>
      <c r="S179" s="83"/>
      <c r="T179" s="83"/>
      <c r="U179" s="83"/>
      <c r="V179" s="100"/>
      <c r="W179" s="100"/>
      <c r="X179" s="437"/>
      <c r="Y179" s="117"/>
      <c r="Z179" s="117"/>
      <c r="AA179" s="117"/>
      <c r="AB179" s="117"/>
      <c r="AC179" s="117"/>
      <c r="AD179" s="117"/>
      <c r="AE179" s="117"/>
      <c r="AF179" s="81"/>
      <c r="AG179" s="81"/>
      <c r="AH179" s="81"/>
      <c r="AI179" s="81"/>
      <c r="AJ179" s="81"/>
      <c r="AK179" s="81"/>
      <c r="AL179" s="81"/>
      <c r="AM179" s="81"/>
      <c r="AN179" s="81"/>
      <c r="AO179" s="81"/>
      <c r="AP179" s="81"/>
      <c r="AQ179" s="81"/>
      <c r="AR179" s="81"/>
      <c r="AS179" s="81"/>
      <c r="AT179" s="81"/>
      <c r="AU179" s="81"/>
      <c r="AV179" s="81"/>
      <c r="AW179" s="81"/>
      <c r="AX179" s="81"/>
      <c r="AY179" s="81"/>
      <c r="AZ179" s="81"/>
      <c r="BA179" s="81"/>
      <c r="BB179" s="81"/>
      <c r="BC179" s="81"/>
      <c r="BD179" s="81"/>
      <c r="BE179" s="81"/>
      <c r="BF179" s="81"/>
      <c r="BG179" s="81"/>
    </row>
    <row r="180" spans="1:59" s="81" customFormat="1" ht="15" customHeight="1">
      <c r="B180" s="100"/>
      <c r="C180" s="483"/>
      <c r="D180" s="100"/>
      <c r="E180" s="528"/>
      <c r="F180" s="83"/>
      <c r="G180" s="110"/>
      <c r="H180" s="110"/>
      <c r="I180" s="78"/>
      <c r="J180" s="78"/>
      <c r="K180" s="78"/>
      <c r="L180" s="78"/>
      <c r="M180" s="78"/>
      <c r="N180" s="1117"/>
      <c r="O180" s="78"/>
      <c r="P180" s="78"/>
      <c r="Q180" s="78"/>
      <c r="R180" s="78"/>
      <c r="S180" s="83"/>
      <c r="T180" s="83"/>
      <c r="U180" s="83"/>
      <c r="V180" s="1053"/>
      <c r="W180" s="1053"/>
      <c r="X180" s="437"/>
      <c r="Y180" s="117"/>
      <c r="Z180" s="117"/>
      <c r="AA180" s="117"/>
      <c r="AB180" s="117"/>
      <c r="AC180" s="117"/>
      <c r="AD180" s="117"/>
      <c r="AE180" s="117"/>
    </row>
    <row r="181" spans="1:59" s="81" customFormat="1" ht="15" customHeight="1">
      <c r="B181" s="100"/>
      <c r="C181" s="483"/>
      <c r="D181" s="100"/>
      <c r="E181" s="528"/>
      <c r="F181" s="83"/>
      <c r="G181" s="110"/>
      <c r="H181" s="110"/>
      <c r="I181" s="83"/>
      <c r="J181" s="83"/>
      <c r="K181" s="83"/>
      <c r="L181" s="83"/>
      <c r="M181" s="83"/>
      <c r="N181" s="1076"/>
      <c r="O181" s="83"/>
      <c r="P181" s="83"/>
      <c r="Q181" s="83"/>
      <c r="R181" s="83"/>
      <c r="S181" s="78"/>
      <c r="T181" s="78"/>
      <c r="U181" s="78"/>
      <c r="V181" s="530"/>
      <c r="W181" s="530"/>
      <c r="X181" s="437"/>
      <c r="Y181" s="117"/>
      <c r="Z181" s="117"/>
      <c r="AA181" s="117"/>
      <c r="AB181" s="117"/>
      <c r="AC181" s="117"/>
      <c r="AD181" s="117"/>
      <c r="AE181" s="117"/>
    </row>
    <row r="182" spans="1:59" s="75" customFormat="1" ht="15" customHeight="1">
      <c r="A182" s="81"/>
      <c r="B182" s="100"/>
      <c r="C182" s="483"/>
      <c r="D182" s="100"/>
      <c r="E182" s="528"/>
      <c r="F182" s="83"/>
      <c r="G182" s="110"/>
      <c r="H182" s="110"/>
      <c r="I182" s="83"/>
      <c r="J182" s="83"/>
      <c r="K182" s="83"/>
      <c r="L182" s="83"/>
      <c r="M182" s="83"/>
      <c r="N182" s="1076"/>
      <c r="O182" s="83"/>
      <c r="P182" s="83"/>
      <c r="Q182" s="83"/>
      <c r="R182" s="83"/>
      <c r="S182" s="82"/>
      <c r="T182" s="87"/>
      <c r="U182" s="87"/>
      <c r="V182" s="1112"/>
      <c r="W182" s="1113"/>
      <c r="X182" s="437"/>
      <c r="Y182" s="117"/>
      <c r="Z182" s="117"/>
      <c r="AA182" s="117"/>
      <c r="AB182" s="117"/>
      <c r="AC182" s="117"/>
      <c r="AD182" s="117"/>
      <c r="AE182" s="117"/>
      <c r="AF182" s="81"/>
      <c r="AG182" s="81"/>
      <c r="AH182" s="81"/>
      <c r="AI182" s="81"/>
      <c r="AJ182" s="81"/>
      <c r="AK182" s="81"/>
      <c r="AL182" s="81"/>
      <c r="AM182" s="81"/>
      <c r="AN182" s="81"/>
      <c r="AO182" s="81"/>
      <c r="AP182" s="81"/>
      <c r="AQ182" s="81"/>
      <c r="AR182" s="81"/>
      <c r="AS182" s="81"/>
      <c r="AT182" s="81"/>
      <c r="AU182" s="81"/>
      <c r="AV182" s="81"/>
      <c r="AW182" s="81"/>
      <c r="AX182" s="81"/>
      <c r="AY182" s="81"/>
      <c r="AZ182" s="81"/>
      <c r="BA182" s="81"/>
      <c r="BB182" s="81"/>
      <c r="BC182" s="81"/>
      <c r="BD182" s="81"/>
      <c r="BE182" s="81"/>
      <c r="BF182" s="81"/>
      <c r="BG182" s="81"/>
    </row>
    <row r="183" spans="1:59" s="75" customFormat="1" ht="15" customHeight="1">
      <c r="A183" s="81"/>
      <c r="B183" s="100"/>
      <c r="C183" s="483"/>
      <c r="D183" s="110"/>
      <c r="E183" s="83"/>
      <c r="F183" s="83"/>
      <c r="G183" s="110"/>
      <c r="H183" s="110"/>
      <c r="I183" s="78"/>
      <c r="J183" s="78"/>
      <c r="K183" s="78"/>
      <c r="L183" s="78"/>
      <c r="M183" s="78"/>
      <c r="N183" s="1117"/>
      <c r="O183" s="78"/>
      <c r="P183" s="78"/>
      <c r="Q183" s="78"/>
      <c r="R183" s="78"/>
      <c r="S183" s="133"/>
      <c r="T183" s="563"/>
      <c r="U183" s="563"/>
      <c r="V183" s="83"/>
      <c r="W183" s="83"/>
      <c r="X183" s="437"/>
      <c r="Y183" s="117"/>
      <c r="Z183" s="117"/>
      <c r="AA183" s="117"/>
      <c r="AB183" s="117"/>
      <c r="AC183" s="117"/>
      <c r="AD183" s="117"/>
      <c r="AE183" s="117"/>
      <c r="AF183" s="81"/>
      <c r="AG183" s="81"/>
      <c r="AH183" s="81"/>
      <c r="AI183" s="81"/>
      <c r="AJ183" s="81"/>
      <c r="AK183" s="81"/>
      <c r="AL183" s="81"/>
      <c r="AM183" s="81"/>
      <c r="AN183" s="81"/>
      <c r="AO183" s="81"/>
      <c r="AP183" s="81"/>
      <c r="AQ183" s="81"/>
      <c r="AR183" s="81"/>
      <c r="AS183" s="81"/>
      <c r="AT183" s="81"/>
      <c r="AU183" s="81"/>
      <c r="AV183" s="81"/>
      <c r="AW183" s="81"/>
      <c r="AX183" s="81"/>
      <c r="AY183" s="81"/>
      <c r="AZ183" s="81"/>
      <c r="BA183" s="81"/>
      <c r="BB183" s="81"/>
      <c r="BC183" s="81"/>
      <c r="BD183" s="81"/>
      <c r="BE183" s="81"/>
      <c r="BF183" s="81"/>
      <c r="BG183" s="81"/>
    </row>
    <row r="184" spans="1:59" s="75" customFormat="1" ht="15" customHeight="1">
      <c r="A184" s="81"/>
      <c r="B184" s="100"/>
      <c r="C184" s="483"/>
      <c r="D184" s="100"/>
      <c r="E184" s="100"/>
      <c r="F184" s="100"/>
      <c r="G184" s="110"/>
      <c r="H184" s="110"/>
      <c r="I184" s="87"/>
      <c r="J184" s="87"/>
      <c r="K184" s="87"/>
      <c r="L184" s="82"/>
      <c r="M184" s="82"/>
      <c r="N184" s="1099"/>
      <c r="O184" s="82"/>
      <c r="P184" s="82"/>
      <c r="Q184" s="82"/>
      <c r="R184" s="82"/>
      <c r="S184" s="81"/>
      <c r="T184" s="81"/>
      <c r="U184" s="81"/>
      <c r="V184" s="83"/>
      <c r="W184" s="83"/>
      <c r="X184" s="437"/>
      <c r="Y184" s="117"/>
      <c r="Z184" s="117"/>
      <c r="AA184" s="117"/>
      <c r="AB184" s="117"/>
      <c r="AC184" s="117"/>
      <c r="AD184" s="117"/>
      <c r="AE184" s="117"/>
      <c r="AF184" s="81"/>
      <c r="AG184" s="81"/>
      <c r="AH184" s="81"/>
      <c r="AI184" s="81"/>
      <c r="AJ184" s="81"/>
      <c r="AK184" s="81"/>
      <c r="AL184" s="81"/>
      <c r="AM184" s="81"/>
      <c r="AN184" s="81"/>
      <c r="AO184" s="81"/>
      <c r="AP184" s="81"/>
      <c r="AQ184" s="81"/>
      <c r="AR184" s="81"/>
      <c r="AS184" s="81"/>
      <c r="AT184" s="81"/>
      <c r="AU184" s="81"/>
      <c r="AV184" s="81"/>
      <c r="AW184" s="81"/>
      <c r="AX184" s="81"/>
      <c r="AY184" s="81"/>
      <c r="AZ184" s="81"/>
      <c r="BA184" s="81"/>
      <c r="BB184" s="81"/>
      <c r="BC184" s="81"/>
      <c r="BD184" s="81"/>
      <c r="BE184" s="81"/>
      <c r="BF184" s="81"/>
      <c r="BG184" s="81"/>
    </row>
    <row r="185" spans="1:59" s="75" customFormat="1" ht="15" customHeight="1">
      <c r="A185" s="81"/>
      <c r="B185" s="100"/>
      <c r="C185" s="483"/>
      <c r="D185" s="100"/>
      <c r="E185" s="1118"/>
      <c r="F185" s="508"/>
      <c r="G185" s="110"/>
      <c r="H185" s="110"/>
      <c r="I185" s="563"/>
      <c r="J185" s="563"/>
      <c r="K185" s="563"/>
      <c r="L185" s="133"/>
      <c r="M185" s="133"/>
      <c r="N185" s="1098"/>
      <c r="O185" s="133"/>
      <c r="P185" s="133"/>
      <c r="Q185" s="133"/>
      <c r="R185" s="133"/>
      <c r="S185" s="81"/>
      <c r="T185" s="81"/>
      <c r="U185" s="81"/>
      <c r="V185" s="83"/>
      <c r="W185" s="83"/>
      <c r="X185" s="437"/>
      <c r="Y185" s="117"/>
      <c r="Z185" s="117"/>
      <c r="AA185" s="117"/>
      <c r="AB185" s="117"/>
      <c r="AC185" s="117"/>
      <c r="AD185" s="117"/>
      <c r="AE185" s="117"/>
      <c r="AF185" s="81"/>
      <c r="AG185" s="81"/>
      <c r="AH185" s="81"/>
      <c r="AI185" s="81"/>
      <c r="AJ185" s="81"/>
      <c r="AK185" s="81"/>
      <c r="AL185" s="81"/>
      <c r="AM185" s="81"/>
      <c r="AN185" s="81"/>
      <c r="AO185" s="81"/>
      <c r="AP185" s="81"/>
      <c r="AQ185" s="81"/>
      <c r="AR185" s="81"/>
      <c r="AS185" s="81"/>
      <c r="AT185" s="81"/>
      <c r="AU185" s="81"/>
      <c r="AV185" s="81"/>
      <c r="AW185" s="81"/>
      <c r="AX185" s="81"/>
      <c r="AY185" s="81"/>
      <c r="AZ185" s="81"/>
      <c r="BA185" s="81"/>
      <c r="BB185" s="81"/>
      <c r="BC185" s="81"/>
      <c r="BD185" s="81"/>
      <c r="BE185" s="81"/>
      <c r="BF185" s="81"/>
      <c r="BG185" s="81"/>
    </row>
    <row r="186" spans="1:59" s="75" customFormat="1" ht="15" customHeight="1">
      <c r="A186" s="81"/>
      <c r="B186" s="100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78"/>
      <c r="T186" s="78"/>
      <c r="U186" s="78"/>
      <c r="V186" s="83"/>
      <c r="W186" s="83"/>
      <c r="X186" s="437"/>
      <c r="Y186" s="117"/>
      <c r="Z186" s="117"/>
      <c r="AA186" s="117"/>
      <c r="AB186" s="117"/>
      <c r="AC186" s="117"/>
      <c r="AD186" s="117"/>
      <c r="AE186" s="117"/>
      <c r="AF186" s="81"/>
      <c r="AG186" s="81"/>
      <c r="AH186" s="81"/>
      <c r="AI186" s="81"/>
      <c r="AJ186" s="81"/>
      <c r="AK186" s="81"/>
      <c r="AL186" s="81"/>
      <c r="AM186" s="81"/>
      <c r="AN186" s="81"/>
      <c r="AO186" s="81"/>
      <c r="AP186" s="81"/>
      <c r="AQ186" s="81"/>
      <c r="AR186" s="81"/>
      <c r="AS186" s="81"/>
      <c r="AT186" s="81"/>
      <c r="AU186" s="81"/>
      <c r="AV186" s="81"/>
      <c r="AW186" s="81"/>
      <c r="AX186" s="81"/>
      <c r="AY186" s="81"/>
      <c r="AZ186" s="81"/>
      <c r="BA186" s="81"/>
      <c r="BB186" s="81"/>
      <c r="BC186" s="81"/>
      <c r="BD186" s="81"/>
      <c r="BE186" s="81"/>
      <c r="BF186" s="81"/>
      <c r="BG186" s="81"/>
    </row>
    <row r="187" spans="1:59" s="75" customFormat="1" ht="15" customHeight="1">
      <c r="A187" s="81"/>
      <c r="B187" s="100"/>
      <c r="C187" s="4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1119"/>
      <c r="T187" s="1119"/>
      <c r="U187" s="1119"/>
      <c r="V187" s="83"/>
      <c r="W187" s="83"/>
      <c r="X187" s="437"/>
      <c r="Y187" s="117"/>
      <c r="Z187" s="117"/>
      <c r="AA187" s="117"/>
      <c r="AB187" s="117"/>
      <c r="AC187" s="117"/>
      <c r="AD187" s="117"/>
      <c r="AE187" s="117"/>
      <c r="AF187" s="81"/>
      <c r="AG187" s="81"/>
      <c r="AH187" s="81"/>
      <c r="AI187" s="81"/>
      <c r="AJ187" s="81"/>
      <c r="AK187" s="81"/>
      <c r="AL187" s="81"/>
      <c r="AM187" s="81"/>
      <c r="AN187" s="81"/>
      <c r="AO187" s="81"/>
      <c r="AP187" s="81"/>
      <c r="AQ187" s="81"/>
      <c r="AR187" s="81"/>
      <c r="AS187" s="81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  <c r="BE187" s="81"/>
      <c r="BF187" s="81"/>
      <c r="BG187" s="81"/>
    </row>
    <row r="188" spans="1:59" s="75" customFormat="1" ht="15" customHeight="1">
      <c r="A188" s="81"/>
      <c r="B188" s="100"/>
      <c r="C188" s="483"/>
      <c r="D188" s="100"/>
      <c r="E188" s="528"/>
      <c r="F188" s="83"/>
      <c r="G188" s="110"/>
      <c r="H188" s="110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1119"/>
      <c r="T188" s="78"/>
      <c r="U188" s="1119"/>
      <c r="V188" s="83"/>
      <c r="W188" s="83"/>
      <c r="X188" s="437"/>
      <c r="Y188" s="117"/>
      <c r="Z188" s="117"/>
      <c r="AA188" s="117"/>
      <c r="AB188" s="117"/>
      <c r="AC188" s="117"/>
      <c r="AD188" s="117"/>
      <c r="AE188" s="117"/>
      <c r="AF188" s="81"/>
      <c r="AG188" s="81"/>
      <c r="AH188" s="81"/>
      <c r="AI188" s="81"/>
      <c r="AJ188" s="81"/>
      <c r="AK188" s="81"/>
      <c r="AL188" s="81"/>
      <c r="AM188" s="81"/>
      <c r="AN188" s="81"/>
      <c r="AO188" s="81"/>
      <c r="AP188" s="81"/>
      <c r="AQ188" s="81"/>
      <c r="AR188" s="81"/>
      <c r="AS188" s="81"/>
      <c r="AT188" s="81"/>
      <c r="AU188" s="81"/>
      <c r="AV188" s="81"/>
      <c r="AW188" s="81"/>
      <c r="AX188" s="81"/>
      <c r="AY188" s="81"/>
      <c r="AZ188" s="81"/>
      <c r="BA188" s="81"/>
      <c r="BB188" s="81"/>
      <c r="BC188" s="81"/>
      <c r="BD188" s="81"/>
      <c r="BE188" s="81"/>
      <c r="BF188" s="81"/>
      <c r="BG188" s="81"/>
    </row>
    <row r="189" spans="1:59" s="75" customFormat="1" ht="15" customHeight="1">
      <c r="A189" s="81"/>
      <c r="B189" s="110"/>
      <c r="C189" s="483"/>
      <c r="D189" s="100"/>
      <c r="E189" s="528"/>
      <c r="F189" s="83"/>
      <c r="G189" s="110"/>
      <c r="H189" s="110"/>
      <c r="I189" s="78"/>
      <c r="J189" s="78"/>
      <c r="K189" s="1119"/>
      <c r="L189" s="1119"/>
      <c r="M189" s="1119"/>
      <c r="N189" s="1119"/>
      <c r="O189" s="1119"/>
      <c r="P189" s="1119"/>
      <c r="Q189" s="1119"/>
      <c r="R189" s="1119"/>
      <c r="S189" s="1119"/>
      <c r="T189" s="78"/>
      <c r="U189" s="78"/>
      <c r="V189" s="83"/>
      <c r="W189" s="83"/>
      <c r="X189" s="437"/>
      <c r="Y189" s="117"/>
      <c r="Z189" s="117"/>
      <c r="AA189" s="117"/>
      <c r="AB189" s="117"/>
      <c r="AC189" s="117"/>
      <c r="AD189" s="117"/>
      <c r="AE189" s="117"/>
      <c r="AF189" s="81"/>
      <c r="AG189" s="81"/>
      <c r="AH189" s="81"/>
      <c r="AI189" s="81"/>
      <c r="AJ189" s="81"/>
      <c r="AK189" s="81"/>
      <c r="AL189" s="81"/>
      <c r="AM189" s="81"/>
      <c r="AN189" s="81"/>
      <c r="AO189" s="81"/>
      <c r="AP189" s="81"/>
      <c r="AQ189" s="81"/>
      <c r="AR189" s="81"/>
      <c r="AS189" s="81"/>
      <c r="AT189" s="81"/>
      <c r="AU189" s="81"/>
      <c r="AV189" s="81"/>
      <c r="AW189" s="81"/>
      <c r="AX189" s="81"/>
      <c r="AY189" s="81"/>
      <c r="AZ189" s="81"/>
      <c r="BA189" s="81"/>
      <c r="BB189" s="81"/>
      <c r="BC189" s="81"/>
      <c r="BD189" s="81"/>
      <c r="BE189" s="81"/>
      <c r="BF189" s="81"/>
      <c r="BG189" s="81"/>
    </row>
    <row r="190" spans="1:59" s="75" customFormat="1" ht="15" customHeight="1">
      <c r="A190" s="81"/>
      <c r="B190" s="110"/>
      <c r="C190" s="483"/>
      <c r="D190" s="100"/>
      <c r="E190" s="133"/>
      <c r="F190" s="83"/>
      <c r="G190" s="110"/>
      <c r="H190" s="110"/>
      <c r="I190" s="78"/>
      <c r="J190" s="78"/>
      <c r="K190" s="1119"/>
      <c r="L190" s="1119"/>
      <c r="M190" s="1119"/>
      <c r="N190" s="1119"/>
      <c r="O190" s="1119"/>
      <c r="P190" s="1119"/>
      <c r="Q190" s="1119"/>
      <c r="R190" s="1119"/>
      <c r="S190" s="1119"/>
      <c r="T190" s="78"/>
      <c r="U190" s="78"/>
      <c r="V190" s="83"/>
      <c r="W190" s="83"/>
      <c r="X190" s="437"/>
      <c r="Y190" s="117"/>
      <c r="Z190" s="117"/>
      <c r="AA190" s="117"/>
      <c r="AB190" s="117"/>
      <c r="AC190" s="117"/>
      <c r="AD190" s="117"/>
      <c r="AE190" s="117"/>
      <c r="AF190" s="81"/>
      <c r="AG190" s="81"/>
      <c r="AH190" s="81"/>
      <c r="AI190" s="81"/>
      <c r="AJ190" s="81"/>
      <c r="AK190" s="81"/>
      <c r="AL190" s="81"/>
      <c r="AM190" s="81"/>
      <c r="AN190" s="81"/>
      <c r="AO190" s="81"/>
      <c r="AP190" s="81"/>
      <c r="AQ190" s="81"/>
      <c r="AR190" s="81"/>
      <c r="AS190" s="81"/>
      <c r="AT190" s="81"/>
      <c r="AU190" s="81"/>
      <c r="AV190" s="81"/>
      <c r="AW190" s="81"/>
      <c r="AX190" s="81"/>
      <c r="AY190" s="81"/>
      <c r="AZ190" s="81"/>
      <c r="BA190" s="81"/>
      <c r="BB190" s="81"/>
      <c r="BC190" s="81"/>
      <c r="BD190" s="81"/>
      <c r="BE190" s="81"/>
      <c r="BF190" s="81"/>
      <c r="BG190" s="81"/>
    </row>
    <row r="191" spans="1:59" s="75" customFormat="1" ht="15" customHeight="1">
      <c r="A191" s="81"/>
      <c r="B191" s="110"/>
      <c r="C191" s="483"/>
      <c r="D191" s="100"/>
      <c r="E191" s="133"/>
      <c r="F191" s="83"/>
      <c r="G191" s="110"/>
      <c r="H191" s="110"/>
      <c r="I191" s="78"/>
      <c r="J191" s="78"/>
      <c r="K191" s="1119"/>
      <c r="L191" s="1119"/>
      <c r="M191" s="1119"/>
      <c r="N191" s="1119"/>
      <c r="O191" s="1119"/>
      <c r="P191" s="1119"/>
      <c r="Q191" s="1119"/>
      <c r="R191" s="1119"/>
      <c r="S191" s="78"/>
      <c r="T191" s="78"/>
      <c r="U191" s="78"/>
      <c r="V191" s="83"/>
      <c r="W191" s="83"/>
      <c r="X191" s="437"/>
      <c r="Y191" s="117"/>
      <c r="Z191" s="117"/>
      <c r="AA191" s="117"/>
      <c r="AB191" s="117"/>
      <c r="AC191" s="117"/>
      <c r="AD191" s="117"/>
      <c r="AE191" s="117"/>
      <c r="AF191" s="81"/>
      <c r="AG191" s="81"/>
      <c r="AH191" s="81"/>
      <c r="AI191" s="81"/>
      <c r="AJ191" s="81"/>
      <c r="AK191" s="81"/>
      <c r="AL191" s="81"/>
      <c r="AM191" s="81"/>
      <c r="AN191" s="81"/>
      <c r="AO191" s="81"/>
      <c r="AP191" s="81"/>
      <c r="AQ191" s="81"/>
      <c r="AR191" s="81"/>
      <c r="AS191" s="81"/>
      <c r="AT191" s="81"/>
      <c r="AU191" s="81"/>
      <c r="AV191" s="81"/>
      <c r="AW191" s="81"/>
      <c r="AX191" s="81"/>
      <c r="AY191" s="81"/>
      <c r="AZ191" s="81"/>
      <c r="BA191" s="81"/>
      <c r="BB191" s="81"/>
      <c r="BC191" s="81"/>
      <c r="BD191" s="81"/>
      <c r="BE191" s="81"/>
      <c r="BF191" s="81"/>
      <c r="BG191" s="81"/>
    </row>
    <row r="192" spans="1:59" s="75" customFormat="1" ht="15" customHeight="1">
      <c r="A192" s="81"/>
      <c r="B192" s="110"/>
      <c r="C192" s="483"/>
      <c r="D192" s="100"/>
      <c r="E192" s="133"/>
      <c r="F192" s="83"/>
      <c r="G192" s="110"/>
      <c r="H192" s="110"/>
      <c r="I192" s="78"/>
      <c r="J192" s="78"/>
      <c r="K192" s="1119"/>
      <c r="L192" s="1119"/>
      <c r="M192" s="1119"/>
      <c r="N192" s="1119"/>
      <c r="O192" s="1119"/>
      <c r="P192" s="1119"/>
      <c r="Q192" s="1119"/>
      <c r="R192" s="1119"/>
      <c r="S192" s="78"/>
      <c r="T192" s="78"/>
      <c r="U192" s="78"/>
      <c r="V192" s="83"/>
      <c r="W192" s="83"/>
      <c r="X192" s="437"/>
      <c r="Y192" s="117"/>
      <c r="Z192" s="117"/>
      <c r="AA192" s="117"/>
      <c r="AB192" s="117"/>
      <c r="AC192" s="117"/>
      <c r="AD192" s="117"/>
      <c r="AE192" s="117"/>
      <c r="AF192" s="81"/>
      <c r="AG192" s="81"/>
      <c r="AH192" s="81"/>
      <c r="AI192" s="81"/>
      <c r="AJ192" s="81"/>
      <c r="AK192" s="81"/>
      <c r="AL192" s="81"/>
      <c r="AM192" s="81"/>
      <c r="AN192" s="81"/>
      <c r="AO192" s="81"/>
      <c r="AP192" s="81"/>
      <c r="AQ192" s="81"/>
      <c r="AR192" s="81"/>
      <c r="AS192" s="81"/>
      <c r="AT192" s="81"/>
      <c r="AU192" s="81"/>
      <c r="AV192" s="81"/>
      <c r="AW192" s="81"/>
      <c r="AX192" s="81"/>
      <c r="AY192" s="81"/>
      <c r="AZ192" s="81"/>
      <c r="BA192" s="81"/>
      <c r="BB192" s="81"/>
      <c r="BC192" s="81"/>
      <c r="BD192" s="81"/>
      <c r="BE192" s="81"/>
      <c r="BF192" s="81"/>
      <c r="BG192" s="81"/>
    </row>
    <row r="193" spans="1:59" s="75" customFormat="1" ht="15" customHeight="1">
      <c r="A193" s="81"/>
      <c r="B193" s="110"/>
      <c r="C193" s="483"/>
      <c r="D193" s="100"/>
      <c r="E193" s="100"/>
      <c r="F193" s="83"/>
      <c r="G193" s="110"/>
      <c r="H193" s="110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83"/>
      <c r="W193" s="83"/>
      <c r="X193" s="437"/>
      <c r="Y193" s="117"/>
      <c r="Z193" s="117"/>
      <c r="AA193" s="117"/>
      <c r="AB193" s="117"/>
      <c r="AC193" s="117"/>
      <c r="AD193" s="117"/>
      <c r="AE193" s="117"/>
      <c r="AF193" s="81"/>
      <c r="AG193" s="81"/>
      <c r="AH193" s="81"/>
      <c r="AI193" s="81"/>
      <c r="AJ193" s="81"/>
      <c r="AK193" s="81"/>
      <c r="AL193" s="81"/>
      <c r="AM193" s="81"/>
      <c r="AN193" s="81"/>
      <c r="AO193" s="81"/>
      <c r="AP193" s="81"/>
      <c r="AQ193" s="81"/>
      <c r="AR193" s="81"/>
      <c r="AS193" s="81"/>
      <c r="AT193" s="81"/>
      <c r="AU193" s="81"/>
      <c r="AV193" s="81"/>
      <c r="AW193" s="81"/>
      <c r="AX193" s="81"/>
      <c r="AY193" s="81"/>
      <c r="AZ193" s="81"/>
      <c r="BA193" s="81"/>
      <c r="BB193" s="81"/>
      <c r="BC193" s="81"/>
      <c r="BD193" s="81"/>
      <c r="BE193" s="81"/>
      <c r="BF193" s="81"/>
      <c r="BG193" s="81"/>
    </row>
    <row r="194" spans="1:59" s="75" customFormat="1" ht="15" customHeight="1">
      <c r="A194" s="81"/>
      <c r="B194" s="110"/>
      <c r="C194" s="483"/>
      <c r="D194" s="100"/>
      <c r="E194" s="100"/>
      <c r="F194" s="83"/>
      <c r="G194" s="110"/>
      <c r="H194" s="110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82"/>
      <c r="T194" s="87"/>
      <c r="U194" s="87"/>
      <c r="V194" s="100"/>
      <c r="W194" s="100"/>
      <c r="X194" s="437"/>
      <c r="Y194" s="117"/>
      <c r="Z194" s="117"/>
      <c r="AA194" s="117"/>
      <c r="AB194" s="117"/>
      <c r="AC194" s="117"/>
      <c r="AD194" s="117"/>
      <c r="AE194" s="117"/>
      <c r="AF194" s="81"/>
      <c r="AG194" s="81"/>
      <c r="AH194" s="81"/>
      <c r="AI194" s="81"/>
      <c r="AJ194" s="81"/>
      <c r="AK194" s="81"/>
      <c r="AL194" s="81"/>
      <c r="AM194" s="81"/>
      <c r="AN194" s="81"/>
      <c r="AO194" s="81"/>
      <c r="AP194" s="81"/>
      <c r="AQ194" s="81"/>
      <c r="AR194" s="81"/>
      <c r="AS194" s="81"/>
      <c r="AT194" s="81"/>
      <c r="AU194" s="81"/>
      <c r="AV194" s="81"/>
      <c r="AW194" s="81"/>
      <c r="AX194" s="81"/>
      <c r="AY194" s="81"/>
      <c r="AZ194" s="81"/>
      <c r="BA194" s="81"/>
      <c r="BB194" s="81"/>
      <c r="BC194" s="81"/>
      <c r="BD194" s="81"/>
      <c r="BE194" s="81"/>
      <c r="BF194" s="81"/>
      <c r="BG194" s="81"/>
    </row>
    <row r="195" spans="1:59" s="75" customFormat="1" ht="15" customHeight="1">
      <c r="A195" s="81"/>
      <c r="B195" s="110"/>
      <c r="C195" s="483"/>
      <c r="D195" s="100"/>
      <c r="E195" s="100"/>
      <c r="F195" s="83"/>
      <c r="G195" s="110"/>
      <c r="H195" s="110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82"/>
      <c r="T195" s="87"/>
      <c r="U195" s="87"/>
      <c r="V195" s="100"/>
      <c r="W195" s="100"/>
      <c r="X195" s="437"/>
      <c r="Y195" s="117"/>
      <c r="Z195" s="117"/>
      <c r="AA195" s="117"/>
      <c r="AB195" s="117"/>
      <c r="AC195" s="117"/>
      <c r="AD195" s="117"/>
      <c r="AE195" s="117"/>
      <c r="AF195" s="81"/>
      <c r="AG195" s="81"/>
      <c r="AH195" s="81"/>
      <c r="AI195" s="81"/>
      <c r="AJ195" s="81"/>
      <c r="AK195" s="81"/>
      <c r="AL195" s="81"/>
      <c r="AM195" s="81"/>
      <c r="AN195" s="81"/>
      <c r="AO195" s="81"/>
      <c r="AP195" s="81"/>
      <c r="AQ195" s="81"/>
      <c r="AR195" s="81"/>
      <c r="AS195" s="81"/>
      <c r="AT195" s="81"/>
      <c r="AU195" s="81"/>
      <c r="AV195" s="81"/>
      <c r="AW195" s="81"/>
      <c r="AX195" s="81"/>
      <c r="AY195" s="81"/>
      <c r="AZ195" s="81"/>
      <c r="BA195" s="81"/>
      <c r="BB195" s="81"/>
      <c r="BC195" s="81"/>
      <c r="BD195" s="81"/>
      <c r="BE195" s="81"/>
      <c r="BF195" s="81"/>
      <c r="BG195" s="81"/>
    </row>
    <row r="196" spans="1:59" s="75" customFormat="1" ht="15" customHeight="1">
      <c r="A196" s="81"/>
      <c r="B196" s="110"/>
      <c r="C196" s="483"/>
      <c r="D196" s="100"/>
      <c r="E196" s="100"/>
      <c r="F196" s="100"/>
      <c r="G196" s="110"/>
      <c r="H196" s="110"/>
      <c r="I196" s="87"/>
      <c r="J196" s="87"/>
      <c r="K196" s="87"/>
      <c r="L196" s="82"/>
      <c r="M196" s="82"/>
      <c r="N196" s="82"/>
      <c r="O196" s="82"/>
      <c r="P196" s="82"/>
      <c r="Q196" s="82"/>
      <c r="R196" s="82"/>
      <c r="S196" s="82"/>
      <c r="T196" s="87"/>
      <c r="U196" s="87"/>
      <c r="V196" s="100"/>
      <c r="W196" s="100"/>
      <c r="X196" s="437"/>
      <c r="Y196" s="117"/>
      <c r="Z196" s="117"/>
      <c r="AA196" s="117"/>
      <c r="AB196" s="117"/>
      <c r="AC196" s="117"/>
      <c r="AD196" s="117"/>
      <c r="AE196" s="117"/>
      <c r="AF196" s="81"/>
      <c r="AG196" s="81"/>
      <c r="AH196" s="81"/>
      <c r="AI196" s="81"/>
      <c r="AJ196" s="81"/>
      <c r="AK196" s="81"/>
      <c r="AL196" s="81"/>
      <c r="AM196" s="81"/>
      <c r="AN196" s="81"/>
      <c r="AO196" s="81"/>
      <c r="AP196" s="81"/>
      <c r="AQ196" s="81"/>
      <c r="AR196" s="81"/>
      <c r="AS196" s="81"/>
      <c r="AT196" s="81"/>
      <c r="AU196" s="81"/>
      <c r="AV196" s="81"/>
      <c r="AW196" s="81"/>
      <c r="AX196" s="81"/>
      <c r="AY196" s="81"/>
      <c r="AZ196" s="81"/>
      <c r="BA196" s="81"/>
      <c r="BB196" s="81"/>
      <c r="BC196" s="81"/>
      <c r="BD196" s="81"/>
      <c r="BE196" s="81"/>
      <c r="BF196" s="81"/>
      <c r="BG196" s="81"/>
    </row>
    <row r="197" spans="1:59" s="75" customFormat="1" ht="15" customHeight="1">
      <c r="A197" s="81"/>
      <c r="B197" s="110"/>
      <c r="C197" s="483"/>
      <c r="D197" s="100"/>
      <c r="E197" s="100"/>
      <c r="F197" s="100"/>
      <c r="G197" s="110"/>
      <c r="H197" s="110"/>
      <c r="I197" s="87"/>
      <c r="J197" s="87"/>
      <c r="K197" s="87"/>
      <c r="L197" s="82"/>
      <c r="M197" s="82"/>
      <c r="N197" s="82"/>
      <c r="O197" s="82"/>
      <c r="P197" s="82"/>
      <c r="Q197" s="82"/>
      <c r="R197" s="82"/>
      <c r="S197" s="82"/>
      <c r="T197" s="87"/>
      <c r="U197" s="87"/>
      <c r="V197" s="100"/>
      <c r="W197" s="100"/>
      <c r="X197" s="437"/>
      <c r="Y197" s="117"/>
      <c r="Z197" s="117"/>
      <c r="AA197" s="117"/>
      <c r="AB197" s="117"/>
      <c r="AC197" s="117"/>
      <c r="AD197" s="117"/>
      <c r="AE197" s="117"/>
      <c r="AF197" s="81"/>
      <c r="AG197" s="81"/>
      <c r="AH197" s="81"/>
      <c r="AI197" s="81"/>
      <c r="AJ197" s="81"/>
      <c r="AK197" s="81"/>
      <c r="AL197" s="81"/>
      <c r="AM197" s="81"/>
      <c r="AN197" s="81"/>
      <c r="AO197" s="81"/>
      <c r="AP197" s="81"/>
      <c r="AQ197" s="81"/>
      <c r="AR197" s="81"/>
      <c r="AS197" s="81"/>
      <c r="AT197" s="81"/>
      <c r="AU197" s="81"/>
      <c r="AV197" s="81"/>
      <c r="AW197" s="81"/>
      <c r="AX197" s="81"/>
      <c r="AY197" s="81"/>
      <c r="AZ197" s="81"/>
      <c r="BA197" s="81"/>
      <c r="BB197" s="81"/>
      <c r="BC197" s="81"/>
      <c r="BD197" s="81"/>
      <c r="BE197" s="81"/>
      <c r="BF197" s="81"/>
      <c r="BG197" s="81"/>
    </row>
    <row r="198" spans="1:59" s="75" customFormat="1" ht="15" customHeight="1">
      <c r="A198" s="81"/>
      <c r="B198" s="110"/>
      <c r="C198" s="483"/>
      <c r="D198" s="100"/>
      <c r="E198" s="100"/>
      <c r="F198" s="100"/>
      <c r="G198" s="100"/>
      <c r="H198" s="100"/>
      <c r="I198" s="87"/>
      <c r="J198" s="87"/>
      <c r="K198" s="87"/>
      <c r="L198" s="82"/>
      <c r="M198" s="82"/>
      <c r="N198" s="82"/>
      <c r="O198" s="82"/>
      <c r="P198" s="82"/>
      <c r="Q198" s="82"/>
      <c r="R198" s="82"/>
      <c r="S198" s="81"/>
      <c r="T198" s="81"/>
      <c r="U198" s="81"/>
      <c r="V198" s="100"/>
      <c r="W198" s="100"/>
      <c r="X198" s="437"/>
      <c r="Y198" s="117"/>
      <c r="Z198" s="117"/>
      <c r="AA198" s="117"/>
      <c r="AB198" s="117"/>
      <c r="AC198" s="117"/>
      <c r="AD198" s="117"/>
      <c r="AE198" s="117"/>
      <c r="AF198" s="81"/>
      <c r="AG198" s="81"/>
      <c r="AH198" s="81"/>
      <c r="AI198" s="81"/>
      <c r="AJ198" s="81"/>
      <c r="AK198" s="81"/>
      <c r="AL198" s="81"/>
      <c r="AM198" s="81"/>
      <c r="AN198" s="81"/>
      <c r="AO198" s="81"/>
      <c r="AP198" s="81"/>
      <c r="AQ198" s="81"/>
      <c r="AR198" s="81"/>
      <c r="AS198" s="81"/>
      <c r="AT198" s="81"/>
      <c r="AU198" s="81"/>
      <c r="AV198" s="81"/>
      <c r="AW198" s="81"/>
      <c r="AX198" s="81"/>
      <c r="AY198" s="81"/>
      <c r="AZ198" s="81"/>
      <c r="BA198" s="81"/>
      <c r="BB198" s="81"/>
      <c r="BC198" s="81"/>
      <c r="BD198" s="81"/>
      <c r="BE198" s="81"/>
      <c r="BF198" s="81"/>
      <c r="BG198" s="81"/>
    </row>
    <row r="199" spans="1:59" s="75" customFormat="1" ht="15" customHeight="1">
      <c r="A199" s="81"/>
      <c r="B199" s="110"/>
      <c r="C199" s="483"/>
      <c r="D199" s="100"/>
      <c r="E199" s="100"/>
      <c r="F199" s="100"/>
      <c r="G199" s="100"/>
      <c r="H199" s="100"/>
      <c r="I199" s="87"/>
      <c r="J199" s="87"/>
      <c r="K199" s="87"/>
      <c r="L199" s="82"/>
      <c r="M199" s="82"/>
      <c r="N199" s="82"/>
      <c r="O199" s="82"/>
      <c r="P199" s="82"/>
      <c r="Q199" s="82"/>
      <c r="R199" s="82"/>
      <c r="S199" s="81"/>
      <c r="T199" s="81"/>
      <c r="U199" s="81"/>
      <c r="V199" s="100"/>
      <c r="W199" s="100"/>
      <c r="X199" s="437"/>
      <c r="Y199" s="117"/>
      <c r="Z199" s="117"/>
      <c r="AA199" s="117"/>
      <c r="AB199" s="117"/>
      <c r="AC199" s="117"/>
      <c r="AD199" s="117"/>
      <c r="AE199" s="117"/>
      <c r="AF199" s="81"/>
      <c r="AG199" s="81"/>
      <c r="AH199" s="81"/>
      <c r="AI199" s="81"/>
      <c r="AJ199" s="81"/>
      <c r="AK199" s="81"/>
      <c r="AL199" s="81"/>
      <c r="AM199" s="81"/>
      <c r="AN199" s="81"/>
      <c r="AO199" s="81"/>
      <c r="AP199" s="81"/>
      <c r="AQ199" s="81"/>
      <c r="AR199" s="81"/>
      <c r="AS199" s="81"/>
      <c r="AT199" s="81"/>
      <c r="AU199" s="81"/>
      <c r="AV199" s="81"/>
      <c r="AW199" s="81"/>
      <c r="AX199" s="81"/>
      <c r="AY199" s="81"/>
      <c r="AZ199" s="81"/>
      <c r="BA199" s="81"/>
      <c r="BB199" s="81"/>
      <c r="BC199" s="81"/>
      <c r="BD199" s="81"/>
      <c r="BE199" s="81"/>
      <c r="BF199" s="81"/>
      <c r="BG199" s="81"/>
    </row>
    <row r="200" spans="1:59" s="75" customFormat="1" ht="15" customHeight="1">
      <c r="A200" s="81"/>
      <c r="B200" s="110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100"/>
      <c r="W200" s="100"/>
      <c r="X200" s="437"/>
      <c r="Y200" s="117"/>
      <c r="Z200" s="117"/>
      <c r="AA200" s="117"/>
      <c r="AB200" s="117"/>
      <c r="AC200" s="117"/>
      <c r="AD200" s="117"/>
      <c r="AE200" s="117"/>
      <c r="AF200" s="81"/>
      <c r="AG200" s="81"/>
      <c r="AH200" s="81"/>
      <c r="AI200" s="81"/>
      <c r="AJ200" s="81"/>
      <c r="AK200" s="81"/>
      <c r="AL200" s="81"/>
      <c r="AM200" s="81"/>
      <c r="AN200" s="81"/>
      <c r="AO200" s="81"/>
      <c r="AP200" s="81"/>
      <c r="AQ200" s="81"/>
      <c r="AR200" s="81"/>
      <c r="AS200" s="81"/>
      <c r="AT200" s="81"/>
      <c r="AU200" s="81"/>
      <c r="AV200" s="81"/>
      <c r="AW200" s="81"/>
      <c r="AX200" s="81"/>
      <c r="AY200" s="81"/>
      <c r="AZ200" s="81"/>
      <c r="BA200" s="81"/>
      <c r="BB200" s="81"/>
      <c r="BC200" s="81"/>
      <c r="BD200" s="81"/>
      <c r="BE200" s="81"/>
      <c r="BF200" s="81"/>
      <c r="BG200" s="81"/>
    </row>
    <row r="201" spans="1:59" s="75" customFormat="1" ht="15" customHeight="1">
      <c r="A201" s="81"/>
      <c r="B201" s="110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100"/>
      <c r="W201" s="100"/>
      <c r="X201" s="437"/>
      <c r="Y201" s="117"/>
      <c r="Z201" s="117"/>
      <c r="AA201" s="117"/>
      <c r="AB201" s="117"/>
      <c r="AC201" s="117"/>
      <c r="AD201" s="117"/>
      <c r="AE201" s="117"/>
      <c r="AF201" s="81"/>
      <c r="AG201" s="81"/>
      <c r="AH201" s="81"/>
      <c r="AI201" s="81"/>
      <c r="AJ201" s="81"/>
      <c r="AK201" s="81"/>
      <c r="AL201" s="81"/>
      <c r="AM201" s="81"/>
      <c r="AN201" s="81"/>
      <c r="AO201" s="81"/>
      <c r="AP201" s="81"/>
      <c r="AQ201" s="81"/>
      <c r="AR201" s="81"/>
      <c r="AS201" s="81"/>
      <c r="AT201" s="81"/>
      <c r="AU201" s="81"/>
      <c r="AV201" s="81"/>
      <c r="AW201" s="81"/>
      <c r="AX201" s="81"/>
      <c r="AY201" s="81"/>
      <c r="AZ201" s="81"/>
      <c r="BA201" s="81"/>
      <c r="BB201" s="81"/>
      <c r="BC201" s="81"/>
      <c r="BD201" s="81"/>
      <c r="BE201" s="81"/>
      <c r="BF201" s="81"/>
      <c r="BG201" s="81"/>
    </row>
    <row r="202" spans="1:59" s="75" customFormat="1" ht="15" customHeight="1">
      <c r="A202" s="81"/>
      <c r="B202" s="110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100"/>
      <c r="W202" s="100"/>
      <c r="X202" s="437"/>
      <c r="Y202" s="117"/>
      <c r="Z202" s="117"/>
      <c r="AA202" s="117"/>
      <c r="AB202" s="117"/>
      <c r="AC202" s="117"/>
      <c r="AD202" s="117"/>
      <c r="AE202" s="117"/>
      <c r="AF202" s="81"/>
      <c r="AG202" s="81"/>
      <c r="AH202" s="81"/>
      <c r="AI202" s="81"/>
      <c r="AJ202" s="81"/>
      <c r="AK202" s="81"/>
      <c r="AL202" s="81"/>
      <c r="AM202" s="81"/>
      <c r="AN202" s="81"/>
      <c r="AO202" s="81"/>
      <c r="AP202" s="81"/>
      <c r="AQ202" s="81"/>
      <c r="AR202" s="81"/>
      <c r="AS202" s="81"/>
      <c r="AT202" s="81"/>
      <c r="AU202" s="81"/>
      <c r="AV202" s="81"/>
      <c r="AW202" s="81"/>
      <c r="AX202" s="81"/>
      <c r="AY202" s="81"/>
      <c r="AZ202" s="81"/>
      <c r="BA202" s="81"/>
      <c r="BB202" s="81"/>
      <c r="BC202" s="81"/>
      <c r="BD202" s="81"/>
      <c r="BE202" s="81"/>
      <c r="BF202" s="81"/>
      <c r="BG202" s="81"/>
    </row>
    <row r="203" spans="1:59" s="75" customFormat="1" ht="15" customHeight="1">
      <c r="A203" s="81"/>
      <c r="B203" s="100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100"/>
      <c r="W203" s="100"/>
      <c r="X203" s="437"/>
      <c r="Y203" s="117"/>
      <c r="Z203" s="117"/>
      <c r="AA203" s="117"/>
      <c r="AB203" s="117"/>
      <c r="AC203" s="117"/>
      <c r="AD203" s="117"/>
      <c r="AE203" s="117"/>
      <c r="AF203" s="81"/>
      <c r="AG203" s="81"/>
      <c r="AH203" s="81"/>
      <c r="AI203" s="81"/>
      <c r="AJ203" s="81"/>
      <c r="AK203" s="81"/>
      <c r="AL203" s="81"/>
      <c r="AM203" s="81"/>
      <c r="AN203" s="81"/>
      <c r="AO203" s="81"/>
      <c r="AP203" s="81"/>
      <c r="AQ203" s="81"/>
      <c r="AR203" s="81"/>
      <c r="AS203" s="81"/>
      <c r="AT203" s="81"/>
      <c r="AU203" s="81"/>
      <c r="AV203" s="81"/>
      <c r="AW203" s="81"/>
      <c r="AX203" s="81"/>
      <c r="AY203" s="81"/>
      <c r="AZ203" s="81"/>
      <c r="BA203" s="81"/>
      <c r="BB203" s="81"/>
      <c r="BC203" s="81"/>
      <c r="BD203" s="81"/>
      <c r="BE203" s="81"/>
      <c r="BF203" s="81"/>
      <c r="BG203" s="81"/>
    </row>
    <row r="204" spans="1:59" s="75" customFormat="1" ht="15" customHeight="1">
      <c r="A204" s="81"/>
      <c r="B204" s="100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100"/>
      <c r="W204" s="100"/>
      <c r="X204" s="437"/>
      <c r="Y204" s="117"/>
      <c r="Z204" s="117"/>
      <c r="AA204" s="117"/>
      <c r="AB204" s="117"/>
      <c r="AC204" s="117"/>
      <c r="AD204" s="117"/>
      <c r="AE204" s="117"/>
      <c r="AF204" s="81"/>
      <c r="AG204" s="81"/>
      <c r="AH204" s="81"/>
      <c r="AI204" s="81"/>
      <c r="AJ204" s="81"/>
      <c r="AK204" s="81"/>
      <c r="AL204" s="81"/>
      <c r="AM204" s="81"/>
      <c r="AN204" s="81"/>
      <c r="AO204" s="81"/>
      <c r="AP204" s="81"/>
      <c r="AQ204" s="81"/>
      <c r="AR204" s="81"/>
      <c r="AS204" s="81"/>
      <c r="AT204" s="81"/>
      <c r="AU204" s="81"/>
      <c r="AV204" s="81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</row>
    <row r="205" spans="1:59" s="75" customFormat="1" ht="15" customHeight="1">
      <c r="A205" s="81"/>
      <c r="B205" s="100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100"/>
      <c r="W205" s="100"/>
      <c r="X205" s="437"/>
      <c r="Y205" s="117"/>
      <c r="Z205" s="117"/>
      <c r="AA205" s="117"/>
      <c r="AB205" s="117"/>
      <c r="AC205" s="117"/>
      <c r="AD205" s="117"/>
      <c r="AE205" s="117"/>
      <c r="AF205" s="81"/>
      <c r="AG205" s="81"/>
      <c r="AH205" s="81"/>
      <c r="AI205" s="81"/>
      <c r="AJ205" s="81"/>
      <c r="AK205" s="81"/>
      <c r="AL205" s="81"/>
      <c r="AM205" s="81"/>
      <c r="AN205" s="81"/>
      <c r="AO205" s="81"/>
      <c r="AP205" s="81"/>
      <c r="AQ205" s="81"/>
      <c r="AR205" s="81"/>
      <c r="AS205" s="81"/>
      <c r="AT205" s="81"/>
      <c r="AU205" s="81"/>
      <c r="AV205" s="8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</row>
    <row r="206" spans="1:59" s="75" customFormat="1" ht="15" customHeight="1">
      <c r="A206" s="81"/>
      <c r="B206" s="100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100"/>
      <c r="W206" s="100"/>
      <c r="X206" s="437"/>
      <c r="Y206" s="117"/>
      <c r="Z206" s="117"/>
      <c r="AA206" s="117"/>
      <c r="AB206" s="117"/>
      <c r="AC206" s="117"/>
      <c r="AD206" s="117"/>
      <c r="AE206" s="117"/>
      <c r="AF206" s="81"/>
      <c r="AG206" s="81"/>
      <c r="AH206" s="81"/>
      <c r="AI206" s="81"/>
      <c r="AJ206" s="81"/>
      <c r="AK206" s="81"/>
      <c r="AL206" s="81"/>
      <c r="AM206" s="81"/>
      <c r="AN206" s="81"/>
      <c r="AO206" s="81"/>
      <c r="AP206" s="81"/>
      <c r="AQ206" s="81"/>
      <c r="AR206" s="81"/>
      <c r="AS206" s="81"/>
      <c r="AT206" s="81"/>
      <c r="AU206" s="81"/>
      <c r="AV206" s="81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</row>
    <row r="207" spans="1:59" s="75" customFormat="1" ht="15" customHeight="1">
      <c r="A207" s="81"/>
      <c r="B207" s="100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133"/>
      <c r="W207" s="133"/>
      <c r="X207" s="437"/>
      <c r="Y207" s="117"/>
      <c r="Z207" s="117"/>
      <c r="AA207" s="117"/>
      <c r="AB207" s="117"/>
      <c r="AC207" s="117"/>
      <c r="AD207" s="117"/>
      <c r="AE207" s="117"/>
      <c r="AF207" s="81"/>
      <c r="AG207" s="81"/>
      <c r="AH207" s="81"/>
      <c r="AI207" s="81"/>
      <c r="AJ207" s="81"/>
      <c r="AK207" s="81"/>
      <c r="AL207" s="81"/>
      <c r="AM207" s="81"/>
      <c r="AN207" s="81"/>
      <c r="AO207" s="81"/>
      <c r="AP207" s="81"/>
      <c r="AQ207" s="81"/>
      <c r="AR207" s="81"/>
      <c r="AS207" s="81"/>
      <c r="AT207" s="81"/>
      <c r="AU207" s="81"/>
      <c r="AV207" s="81"/>
      <c r="AW207" s="81"/>
      <c r="AX207" s="81"/>
      <c r="AY207" s="81"/>
      <c r="AZ207" s="81"/>
      <c r="BA207" s="81"/>
      <c r="BB207" s="81"/>
      <c r="BC207" s="81"/>
      <c r="BD207" s="81"/>
      <c r="BE207" s="81"/>
      <c r="BF207" s="81"/>
      <c r="BG207" s="81"/>
    </row>
    <row r="208" spans="1:59" s="75" customFormat="1" ht="15" customHeight="1">
      <c r="A208" s="81"/>
      <c r="B208" s="100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133"/>
      <c r="W208" s="133"/>
      <c r="X208" s="437"/>
      <c r="Y208" s="117"/>
      <c r="Z208" s="117"/>
      <c r="AA208" s="117"/>
      <c r="AB208" s="117"/>
      <c r="AC208" s="117"/>
      <c r="AD208" s="117"/>
      <c r="AE208" s="117"/>
      <c r="AF208" s="81"/>
      <c r="AG208" s="81"/>
      <c r="AH208" s="81"/>
      <c r="AI208" s="81"/>
      <c r="AJ208" s="81"/>
      <c r="AK208" s="81"/>
      <c r="AL208" s="81"/>
      <c r="AM208" s="81"/>
      <c r="AN208" s="81"/>
      <c r="AO208" s="81"/>
      <c r="AP208" s="81"/>
      <c r="AQ208" s="81"/>
      <c r="AR208" s="81"/>
      <c r="AS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  <c r="BD208" s="81"/>
      <c r="BE208" s="81"/>
      <c r="BF208" s="81"/>
      <c r="BG208" s="81"/>
    </row>
    <row r="209" spans="1:59" s="75" customFormat="1" ht="15" customHeight="1">
      <c r="A209" s="81"/>
      <c r="B209" s="100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133"/>
      <c r="W209" s="133"/>
      <c r="X209" s="437"/>
      <c r="Y209" s="117"/>
      <c r="Z209" s="117"/>
      <c r="AA209" s="117"/>
      <c r="AB209" s="117"/>
      <c r="AC209" s="117"/>
      <c r="AD209" s="117"/>
      <c r="AE209" s="117"/>
      <c r="AF209" s="81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81"/>
      <c r="AW209" s="81"/>
      <c r="AX209" s="81"/>
      <c r="AY209" s="81"/>
      <c r="AZ209" s="81"/>
      <c r="BA209" s="81"/>
      <c r="BB209" s="81"/>
      <c r="BC209" s="81"/>
      <c r="BD209" s="81"/>
      <c r="BE209" s="81"/>
      <c r="BF209" s="81"/>
      <c r="BG209" s="81"/>
    </row>
    <row r="210" spans="1:59" s="75" customFormat="1" ht="15" customHeight="1">
      <c r="A210" s="81"/>
      <c r="B210" s="100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100"/>
      <c r="W210" s="100"/>
      <c r="X210" s="437"/>
      <c r="Y210" s="117"/>
      <c r="Z210" s="117"/>
      <c r="AA210" s="117"/>
      <c r="AB210" s="117"/>
      <c r="AC210" s="117"/>
      <c r="AD210" s="117"/>
      <c r="AE210" s="117"/>
      <c r="AF210" s="81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81"/>
      <c r="AW210" s="81"/>
      <c r="AX210" s="81"/>
      <c r="AY210" s="81"/>
      <c r="AZ210" s="81"/>
      <c r="BA210" s="81"/>
      <c r="BB210" s="81"/>
      <c r="BC210" s="81"/>
      <c r="BD210" s="81"/>
      <c r="BE210" s="81"/>
      <c r="BF210" s="81"/>
      <c r="BG210" s="81"/>
    </row>
    <row r="211" spans="1:59" s="75" customFormat="1" ht="15" customHeight="1">
      <c r="A211" s="81"/>
      <c r="B211" s="100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100"/>
      <c r="W211" s="100"/>
      <c r="X211" s="437"/>
      <c r="Y211" s="117"/>
      <c r="Z211" s="117"/>
      <c r="AA211" s="117"/>
      <c r="AB211" s="117"/>
      <c r="AC211" s="117"/>
      <c r="AD211" s="117"/>
      <c r="AE211" s="117"/>
      <c r="AF211" s="81"/>
      <c r="AG211" s="81"/>
      <c r="AH211" s="81"/>
      <c r="AI211" s="81"/>
      <c r="AJ211" s="81"/>
      <c r="AK211" s="81"/>
      <c r="AL211" s="81"/>
      <c r="AM211" s="81"/>
      <c r="AN211" s="81"/>
      <c r="AO211" s="81"/>
      <c r="AP211" s="81"/>
      <c r="AQ211" s="81"/>
      <c r="AR211" s="81"/>
      <c r="AS211" s="81"/>
      <c r="AT211" s="81"/>
      <c r="AU211" s="81"/>
      <c r="AV211" s="81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</row>
    <row r="212" spans="1:59" s="75" customFormat="1" ht="15" customHeight="1">
      <c r="A212" s="81"/>
      <c r="B212" s="100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1105"/>
      <c r="W212" s="1105"/>
      <c r="X212" s="437"/>
      <c r="Y212" s="117"/>
      <c r="Z212" s="117"/>
      <c r="AA212" s="117"/>
      <c r="AB212" s="117"/>
      <c r="AC212" s="117"/>
      <c r="AD212" s="117"/>
      <c r="AE212" s="117"/>
      <c r="AF212" s="81"/>
      <c r="AG212" s="81"/>
      <c r="AH212" s="81"/>
      <c r="AI212" s="81"/>
      <c r="AJ212" s="81"/>
      <c r="AK212" s="81"/>
      <c r="AL212" s="81"/>
      <c r="AM212" s="81"/>
      <c r="AN212" s="81"/>
      <c r="AO212" s="81"/>
      <c r="AP212" s="81"/>
      <c r="AQ212" s="81"/>
      <c r="AR212" s="81"/>
      <c r="AS212" s="81"/>
      <c r="AT212" s="81"/>
      <c r="AU212" s="81"/>
      <c r="AV212" s="81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</row>
    <row r="213" spans="1:59" ht="12.75" customHeight="1">
      <c r="A213" s="117"/>
      <c r="B213" s="100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117"/>
      <c r="T213" s="117"/>
      <c r="U213" s="117"/>
      <c r="V213" s="100"/>
      <c r="W213" s="114"/>
      <c r="X213" s="43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  <c r="BA213" s="117"/>
      <c r="BB213" s="117"/>
      <c r="BC213" s="117"/>
      <c r="BD213" s="117"/>
      <c r="BE213" s="117"/>
      <c r="BF213" s="117"/>
      <c r="BG213" s="117"/>
    </row>
    <row r="214" spans="1:59" ht="27.75" customHeight="1">
      <c r="A214" s="117"/>
      <c r="B214" s="100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117"/>
      <c r="T214" s="117"/>
      <c r="U214" s="117"/>
      <c r="V214" s="110"/>
      <c r="W214" s="110"/>
      <c r="X214" s="43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  <c r="BA214" s="117"/>
      <c r="BB214" s="117"/>
      <c r="BC214" s="117"/>
      <c r="BD214" s="117"/>
      <c r="BE214" s="117"/>
      <c r="BF214" s="117"/>
      <c r="BG214" s="117"/>
    </row>
    <row r="215" spans="1:59" ht="2.85" customHeight="1">
      <c r="A215" s="117"/>
      <c r="B215" s="100"/>
      <c r="C215" s="117"/>
      <c r="D215" s="117"/>
      <c r="E215" s="117"/>
      <c r="F215" s="117"/>
      <c r="G215" s="117"/>
      <c r="H215" s="117"/>
      <c r="I215" s="117"/>
      <c r="J215" s="118"/>
      <c r="K215" s="118"/>
      <c r="L215" s="118"/>
      <c r="M215" s="118"/>
      <c r="N215" s="117"/>
      <c r="O215" s="117"/>
      <c r="P215" s="117"/>
      <c r="Q215" s="117"/>
      <c r="R215" s="117"/>
      <c r="S215" s="499"/>
      <c r="T215" s="499"/>
      <c r="U215" s="499"/>
      <c r="V215" s="499"/>
      <c r="W215" s="499"/>
      <c r="X215" s="43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7"/>
      <c r="BA215" s="117"/>
      <c r="BB215" s="117"/>
      <c r="BC215" s="117"/>
      <c r="BD215" s="117"/>
      <c r="BE215" s="117"/>
      <c r="BF215" s="117"/>
      <c r="BG215" s="117"/>
    </row>
    <row r="216" spans="1:59" ht="15" customHeight="1">
      <c r="A216" s="117"/>
      <c r="B216" s="100"/>
      <c r="C216" s="499"/>
      <c r="D216" s="117"/>
      <c r="E216" s="117"/>
      <c r="F216" s="117"/>
      <c r="G216" s="117"/>
      <c r="H216" s="117"/>
      <c r="I216" s="117"/>
      <c r="J216" s="118"/>
      <c r="K216" s="118"/>
      <c r="L216" s="118"/>
      <c r="M216" s="118"/>
      <c r="N216" s="117"/>
      <c r="O216" s="117"/>
      <c r="P216" s="117"/>
      <c r="Q216" s="117"/>
      <c r="R216" s="117"/>
      <c r="S216" s="117"/>
      <c r="T216" s="117"/>
      <c r="U216" s="117"/>
      <c r="V216" s="110"/>
      <c r="W216" s="110"/>
      <c r="X216" s="437"/>
      <c r="Y216" s="117"/>
      <c r="Z216" s="117"/>
      <c r="AA216" s="117"/>
      <c r="AB216" s="117"/>
      <c r="AC216" s="117"/>
      <c r="AD216" s="117"/>
      <c r="AE216" s="117"/>
      <c r="AF216" s="117"/>
      <c r="AG216" s="117"/>
      <c r="AH216" s="117"/>
      <c r="AI216" s="117"/>
      <c r="AJ216" s="117"/>
      <c r="AK216" s="117"/>
      <c r="AL216" s="117"/>
      <c r="AM216" s="117"/>
      <c r="AN216" s="117"/>
      <c r="AO216" s="117"/>
      <c r="AP216" s="117"/>
      <c r="AQ216" s="117"/>
      <c r="AR216" s="117"/>
      <c r="AS216" s="117"/>
      <c r="AT216" s="117"/>
      <c r="AU216" s="117"/>
      <c r="AV216" s="117"/>
      <c r="AW216" s="117"/>
      <c r="AX216" s="117"/>
      <c r="AY216" s="117"/>
      <c r="AZ216" s="117"/>
      <c r="BA216" s="117"/>
      <c r="BB216" s="117"/>
      <c r="BC216" s="117"/>
      <c r="BD216" s="117"/>
      <c r="BE216" s="117"/>
      <c r="BF216" s="117"/>
      <c r="BG216" s="117"/>
    </row>
    <row r="217" spans="1:59" ht="15" customHeight="1">
      <c r="A217" s="117"/>
      <c r="B217" s="81"/>
      <c r="C217" s="499"/>
      <c r="D217" s="499"/>
      <c r="E217" s="499"/>
      <c r="F217" s="499"/>
      <c r="G217" s="499"/>
      <c r="H217" s="499"/>
      <c r="I217" s="499"/>
      <c r="J217" s="499"/>
      <c r="K217" s="499"/>
      <c r="L217" s="499"/>
      <c r="M217" s="499"/>
      <c r="N217" s="499"/>
      <c r="O217" s="499"/>
      <c r="P217" s="499"/>
      <c r="Q217" s="499"/>
      <c r="R217" s="499"/>
      <c r="S217" s="82"/>
      <c r="T217" s="87"/>
      <c r="U217" s="87"/>
      <c r="V217" s="81"/>
      <c r="W217" s="81"/>
      <c r="X217" s="437"/>
      <c r="Y217" s="117"/>
      <c r="Z217" s="117"/>
      <c r="AA217" s="117"/>
      <c r="AB217" s="117"/>
      <c r="AC217" s="117"/>
      <c r="AD217" s="117"/>
      <c r="AE217" s="117"/>
      <c r="AF217" s="117"/>
      <c r="AG217" s="117"/>
      <c r="AH217" s="117"/>
      <c r="AI217" s="117"/>
      <c r="AJ217" s="117"/>
      <c r="AK217" s="117"/>
      <c r="AL217" s="117"/>
      <c r="AM217" s="117"/>
      <c r="AN217" s="117"/>
      <c r="AO217" s="117"/>
      <c r="AP217" s="117"/>
      <c r="AQ217" s="117"/>
      <c r="AR217" s="117"/>
      <c r="AS217" s="117"/>
      <c r="AT217" s="117"/>
      <c r="AU217" s="117"/>
      <c r="AV217" s="117"/>
      <c r="AW217" s="117"/>
      <c r="AX217" s="117"/>
      <c r="AY217" s="117"/>
      <c r="AZ217" s="117"/>
      <c r="BA217" s="117"/>
      <c r="BB217" s="117"/>
      <c r="BC217" s="117"/>
      <c r="BD217" s="117"/>
      <c r="BE217" s="117"/>
      <c r="BF217" s="117"/>
      <c r="BG217" s="117"/>
    </row>
    <row r="218" spans="1:59" ht="15" customHeight="1">
      <c r="A218" s="117"/>
      <c r="B218" s="81"/>
      <c r="C218" s="117"/>
      <c r="D218" s="117"/>
      <c r="E218" s="117"/>
      <c r="F218" s="117"/>
      <c r="G218" s="117"/>
      <c r="H218" s="117"/>
      <c r="I218" s="117"/>
      <c r="J218" s="118"/>
      <c r="K218" s="118"/>
      <c r="L218" s="118"/>
      <c r="M218" s="118"/>
      <c r="N218" s="117"/>
      <c r="O218" s="117"/>
      <c r="P218" s="117"/>
      <c r="Q218" s="117"/>
      <c r="R218" s="117"/>
      <c r="S218" s="1095"/>
      <c r="T218" s="1095"/>
      <c r="U218" s="1095"/>
      <c r="V218" s="1053"/>
      <c r="W218" s="1053"/>
      <c r="X218" s="437"/>
      <c r="Y218" s="117"/>
      <c r="Z218" s="117"/>
      <c r="AA218" s="117"/>
      <c r="AB218" s="117"/>
      <c r="AC218" s="117"/>
      <c r="AD218" s="117"/>
      <c r="AE218" s="117"/>
      <c r="AF218" s="117"/>
      <c r="AG218" s="117"/>
      <c r="AH218" s="117"/>
      <c r="AI218" s="117"/>
      <c r="AJ218" s="117"/>
      <c r="AK218" s="117"/>
      <c r="AL218" s="117"/>
      <c r="AM218" s="117"/>
      <c r="AN218" s="117"/>
      <c r="AO218" s="117"/>
      <c r="AP218" s="117"/>
      <c r="AQ218" s="117"/>
      <c r="AR218" s="117"/>
      <c r="AS218" s="117"/>
      <c r="AT218" s="117"/>
      <c r="AU218" s="117"/>
      <c r="AV218" s="117"/>
      <c r="AW218" s="117"/>
      <c r="AX218" s="117"/>
      <c r="AY218" s="117"/>
      <c r="AZ218" s="117"/>
      <c r="BA218" s="117"/>
      <c r="BB218" s="117"/>
      <c r="BC218" s="117"/>
      <c r="BD218" s="117"/>
      <c r="BE218" s="117"/>
      <c r="BF218" s="117"/>
      <c r="BG218" s="117"/>
    </row>
    <row r="219" spans="1:59" ht="15" customHeight="1">
      <c r="A219" s="117"/>
      <c r="B219" s="81"/>
      <c r="C219" s="1115"/>
      <c r="D219" s="100"/>
      <c r="E219" s="100"/>
      <c r="F219" s="100"/>
      <c r="G219" s="100"/>
      <c r="H219" s="100"/>
      <c r="I219" s="87"/>
      <c r="J219" s="87"/>
      <c r="K219" s="87"/>
      <c r="L219" s="82"/>
      <c r="M219" s="82"/>
      <c r="N219" s="82"/>
      <c r="O219" s="82"/>
      <c r="P219" s="82"/>
      <c r="Q219" s="82"/>
      <c r="R219" s="82"/>
      <c r="S219" s="141"/>
      <c r="T219" s="141"/>
      <c r="U219" s="141"/>
      <c r="V219" s="1107"/>
      <c r="W219" s="1107"/>
      <c r="X219" s="43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  <c r="AT219" s="117"/>
      <c r="AU219" s="117"/>
      <c r="AV219" s="117"/>
      <c r="AW219" s="117"/>
      <c r="AX219" s="117"/>
      <c r="AY219" s="117"/>
      <c r="AZ219" s="117"/>
      <c r="BA219" s="117"/>
      <c r="BB219" s="117"/>
      <c r="BC219" s="117"/>
      <c r="BD219" s="117"/>
      <c r="BE219" s="117"/>
      <c r="BF219" s="117"/>
      <c r="BG219" s="117"/>
    </row>
    <row r="220" spans="1:59" ht="15" customHeight="1">
      <c r="A220" s="117"/>
      <c r="B220" s="81"/>
      <c r="C220" s="163"/>
      <c r="D220" s="163"/>
      <c r="E220" s="163"/>
      <c r="F220" s="163"/>
      <c r="G220" s="163"/>
      <c r="H220" s="163"/>
      <c r="I220" s="1095"/>
      <c r="J220" s="1095"/>
      <c r="K220" s="1095"/>
      <c r="L220" s="1095"/>
      <c r="M220" s="1095"/>
      <c r="N220" s="1095"/>
      <c r="O220" s="1095"/>
      <c r="P220" s="1095"/>
      <c r="Q220" s="1095"/>
      <c r="R220" s="1095"/>
      <c r="S220" s="82"/>
      <c r="T220" s="87"/>
      <c r="U220" s="87"/>
      <c r="V220" s="110"/>
      <c r="W220" s="110"/>
      <c r="X220" s="43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  <c r="AT220" s="117"/>
      <c r="AU220" s="117"/>
      <c r="AV220" s="117"/>
      <c r="AW220" s="117"/>
      <c r="AX220" s="117"/>
      <c r="AY220" s="117"/>
      <c r="AZ220" s="117"/>
      <c r="BA220" s="117"/>
      <c r="BB220" s="117"/>
      <c r="BC220" s="117"/>
      <c r="BD220" s="117"/>
      <c r="BE220" s="117"/>
      <c r="BF220" s="117"/>
      <c r="BG220" s="117"/>
    </row>
    <row r="221" spans="1:59" ht="15" customHeight="1">
      <c r="A221" s="117"/>
      <c r="B221" s="81"/>
      <c r="C221" s="163"/>
      <c r="D221" s="163"/>
      <c r="E221" s="163"/>
      <c r="F221" s="163"/>
      <c r="G221" s="163"/>
      <c r="H221" s="163"/>
      <c r="I221" s="141"/>
      <c r="J221" s="141"/>
      <c r="K221" s="141"/>
      <c r="L221" s="141"/>
      <c r="M221" s="141"/>
      <c r="N221" s="141"/>
      <c r="O221" s="141"/>
      <c r="P221" s="141"/>
      <c r="Q221" s="141"/>
      <c r="R221" s="141"/>
      <c r="S221" s="82"/>
      <c r="T221" s="82"/>
      <c r="U221" s="82"/>
      <c r="V221" s="80"/>
      <c r="W221" s="80"/>
      <c r="X221" s="43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117"/>
      <c r="AU221" s="117"/>
      <c r="AV221" s="117"/>
      <c r="AW221" s="117"/>
      <c r="AX221" s="117"/>
      <c r="AY221" s="117"/>
      <c r="AZ221" s="117"/>
      <c r="BA221" s="117"/>
      <c r="BB221" s="117"/>
      <c r="BC221" s="117"/>
      <c r="BD221" s="117"/>
      <c r="BE221" s="117"/>
      <c r="BF221" s="117"/>
      <c r="BG221" s="117"/>
    </row>
    <row r="222" spans="1:59" ht="15" customHeight="1">
      <c r="A222" s="117"/>
      <c r="B222" s="81"/>
      <c r="C222" s="483"/>
      <c r="D222" s="100"/>
      <c r="E222" s="1118"/>
      <c r="F222" s="508"/>
      <c r="G222" s="100"/>
      <c r="H222" s="100"/>
      <c r="I222" s="87"/>
      <c r="J222" s="87"/>
      <c r="K222" s="87"/>
      <c r="L222" s="82"/>
      <c r="M222" s="82"/>
      <c r="N222" s="82"/>
      <c r="O222" s="82"/>
      <c r="P222" s="82"/>
      <c r="Q222" s="82"/>
      <c r="R222" s="82"/>
      <c r="S222" s="82"/>
      <c r="T222" s="564"/>
      <c r="U222" s="564"/>
      <c r="V222" s="80"/>
      <c r="W222" s="80"/>
      <c r="X222" s="43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117"/>
    </row>
    <row r="223" spans="1:59" ht="15" customHeight="1">
      <c r="A223" s="117"/>
      <c r="B223" s="81"/>
      <c r="C223" s="483"/>
      <c r="D223" s="100"/>
      <c r="E223" s="114"/>
      <c r="F223" s="507"/>
      <c r="G223" s="100"/>
      <c r="H223" s="100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700"/>
      <c r="W223" s="700"/>
      <c r="X223" s="43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7"/>
      <c r="BA223" s="117"/>
      <c r="BB223" s="117"/>
      <c r="BC223" s="117"/>
      <c r="BD223" s="117"/>
      <c r="BE223" s="117"/>
      <c r="BF223" s="117"/>
      <c r="BG223" s="117"/>
    </row>
    <row r="224" spans="1:59" ht="15" customHeight="1">
      <c r="A224" s="117"/>
      <c r="B224" s="81"/>
      <c r="C224" s="483"/>
      <c r="D224" s="483"/>
      <c r="E224" s="534"/>
      <c r="F224" s="528"/>
      <c r="G224" s="100"/>
      <c r="H224" s="100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0"/>
      <c r="W224" s="80"/>
      <c r="X224" s="43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</row>
    <row r="225" spans="1:59" ht="15" customHeight="1">
      <c r="A225" s="117"/>
      <c r="B225" s="81"/>
      <c r="C225" s="483"/>
      <c r="D225" s="483"/>
      <c r="E225" s="534"/>
      <c r="F225" s="82"/>
      <c r="G225" s="100"/>
      <c r="H225" s="100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700"/>
      <c r="W225" s="700"/>
      <c r="X225" s="43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117"/>
    </row>
    <row r="226" spans="1:59" ht="15" customHeight="1">
      <c r="A226" s="117"/>
      <c r="B226" s="81"/>
      <c r="C226" s="483"/>
      <c r="D226" s="483"/>
      <c r="E226" s="534"/>
      <c r="F226" s="1120"/>
      <c r="G226" s="100"/>
      <c r="H226" s="100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700"/>
      <c r="W226" s="700"/>
      <c r="X226" s="43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117"/>
    </row>
    <row r="227" spans="1:59" ht="15" customHeight="1">
      <c r="A227" s="117"/>
      <c r="B227" s="81"/>
      <c r="C227" s="483"/>
      <c r="D227" s="483"/>
      <c r="E227" s="534"/>
      <c r="F227" s="1120"/>
      <c r="G227" s="100"/>
      <c r="H227" s="100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0"/>
      <c r="W227" s="80"/>
      <c r="X227" s="43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/>
      <c r="BE227" s="117"/>
      <c r="BF227" s="117"/>
      <c r="BG227" s="117"/>
    </row>
    <row r="228" spans="1:59" ht="15" customHeight="1">
      <c r="A228" s="117"/>
      <c r="B228" s="81"/>
      <c r="C228" s="483"/>
      <c r="D228" s="483"/>
      <c r="E228" s="534"/>
      <c r="F228" s="82"/>
      <c r="G228" s="100"/>
      <c r="H228" s="100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0"/>
      <c r="W228" s="80"/>
      <c r="X228" s="43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7"/>
      <c r="BA228" s="117"/>
      <c r="BB228" s="117"/>
      <c r="BC228" s="117"/>
      <c r="BD228" s="117"/>
      <c r="BE228" s="117"/>
      <c r="BF228" s="117"/>
      <c r="BG228" s="117"/>
    </row>
    <row r="229" spans="1:59" ht="15" customHeight="1">
      <c r="A229" s="117"/>
      <c r="B229" s="117"/>
      <c r="C229" s="483"/>
      <c r="D229" s="483"/>
      <c r="E229" s="534"/>
      <c r="F229" s="1120"/>
      <c r="G229" s="100"/>
      <c r="H229" s="100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7"/>
      <c r="U229" s="87"/>
      <c r="V229" s="80"/>
      <c r="W229" s="80"/>
      <c r="X229" s="43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  <c r="AZ229" s="117"/>
      <c r="BA229" s="117"/>
      <c r="BB229" s="117"/>
      <c r="BC229" s="117"/>
      <c r="BD229" s="117"/>
      <c r="BE229" s="117"/>
      <c r="BF229" s="117"/>
      <c r="BG229" s="117"/>
    </row>
    <row r="230" spans="1:59" ht="15" customHeight="1">
      <c r="A230" s="117"/>
      <c r="B230" s="81"/>
      <c r="C230" s="483"/>
      <c r="D230" s="483"/>
      <c r="E230" s="534"/>
      <c r="F230" s="1120"/>
      <c r="G230" s="100"/>
      <c r="H230" s="100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117"/>
      <c r="T230" s="117"/>
      <c r="U230" s="117"/>
      <c r="V230" s="80"/>
      <c r="W230" s="80"/>
      <c r="X230" s="43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  <c r="AZ230" s="117"/>
      <c r="BA230" s="117"/>
      <c r="BB230" s="117"/>
      <c r="BC230" s="117"/>
      <c r="BD230" s="117"/>
      <c r="BE230" s="117"/>
      <c r="BF230" s="117"/>
      <c r="BG230" s="117"/>
    </row>
    <row r="231" spans="1:59" ht="15" customHeight="1">
      <c r="A231" s="117"/>
      <c r="B231" s="81"/>
      <c r="C231" s="117"/>
      <c r="D231" s="100"/>
      <c r="E231" s="100"/>
      <c r="F231" s="100"/>
      <c r="G231" s="100"/>
      <c r="H231" s="100"/>
      <c r="I231" s="87"/>
      <c r="J231" s="87"/>
      <c r="K231" s="87"/>
      <c r="L231" s="82"/>
      <c r="M231" s="82"/>
      <c r="N231" s="82"/>
      <c r="O231" s="82"/>
      <c r="P231" s="82"/>
      <c r="Q231" s="82"/>
      <c r="R231" s="82"/>
      <c r="S231" s="82"/>
      <c r="T231" s="87"/>
      <c r="U231" s="87"/>
      <c r="V231" s="80"/>
      <c r="W231" s="80"/>
      <c r="X231" s="43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117"/>
    </row>
    <row r="232" spans="1:59" ht="15" customHeight="1">
      <c r="A232" s="117"/>
      <c r="B232" s="81"/>
      <c r="C232" s="480"/>
      <c r="D232" s="117"/>
      <c r="E232" s="117"/>
      <c r="F232" s="117"/>
      <c r="G232" s="117"/>
      <c r="H232" s="117"/>
      <c r="I232" s="117"/>
      <c r="J232" s="118"/>
      <c r="K232" s="118"/>
      <c r="L232" s="118"/>
      <c r="M232" s="118"/>
      <c r="N232" s="117"/>
      <c r="O232" s="117"/>
      <c r="P232" s="117"/>
      <c r="Q232" s="117"/>
      <c r="R232" s="117"/>
      <c r="S232" s="82"/>
      <c r="T232" s="87"/>
      <c r="U232" s="87"/>
      <c r="V232" s="1083"/>
      <c r="W232" s="1083"/>
      <c r="X232" s="43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</row>
    <row r="233" spans="1:59" ht="15" customHeight="1">
      <c r="A233" s="117"/>
      <c r="B233" s="81"/>
      <c r="C233" s="100"/>
      <c r="D233" s="100"/>
      <c r="E233" s="100"/>
      <c r="F233" s="100"/>
      <c r="G233" s="100"/>
      <c r="H233" s="100"/>
      <c r="I233" s="87"/>
      <c r="J233" s="87"/>
      <c r="K233" s="87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0"/>
      <c r="W233" s="80"/>
      <c r="X233" s="43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/>
    </row>
    <row r="234" spans="1:59" ht="15" customHeight="1">
      <c r="A234" s="117"/>
      <c r="B234" s="81"/>
      <c r="C234" s="100"/>
      <c r="D234" s="100"/>
      <c r="E234" s="1118"/>
      <c r="F234" s="508"/>
      <c r="G234" s="100"/>
      <c r="H234" s="100"/>
      <c r="I234" s="87"/>
      <c r="J234" s="87"/>
      <c r="K234" s="87"/>
      <c r="L234" s="82"/>
      <c r="M234" s="82"/>
      <c r="N234" s="82"/>
      <c r="O234" s="82"/>
      <c r="P234" s="82"/>
      <c r="Q234" s="82"/>
      <c r="R234" s="82"/>
      <c r="S234" s="82"/>
      <c r="T234" s="564"/>
      <c r="U234" s="564"/>
      <c r="V234" s="80"/>
      <c r="W234" s="80"/>
      <c r="X234" s="437"/>
      <c r="Y234" s="117"/>
      <c r="Z234" s="117"/>
      <c r="AA234" s="117"/>
      <c r="AB234" s="117"/>
      <c r="AC234" s="117"/>
      <c r="AD234" s="117"/>
      <c r="AE234" s="117"/>
      <c r="AF234" s="117"/>
      <c r="AG234" s="117"/>
      <c r="AH234" s="117"/>
      <c r="AI234" s="117"/>
      <c r="AJ234" s="117"/>
      <c r="AK234" s="117"/>
      <c r="AL234" s="117"/>
      <c r="AM234" s="117"/>
      <c r="AN234" s="117"/>
      <c r="AO234" s="117"/>
      <c r="AP234" s="117"/>
      <c r="AQ234" s="117"/>
      <c r="AR234" s="117"/>
      <c r="AS234" s="117"/>
      <c r="AT234" s="117"/>
      <c r="AU234" s="117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/>
      <c r="BF234" s="117"/>
      <c r="BG234" s="117"/>
    </row>
    <row r="235" spans="1:59" ht="15" customHeight="1">
      <c r="A235" s="117"/>
      <c r="B235" s="81"/>
      <c r="C235" s="100"/>
      <c r="D235" s="100"/>
      <c r="E235" s="114"/>
      <c r="F235" s="114"/>
      <c r="G235" s="100"/>
      <c r="H235" s="100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78"/>
      <c r="T235" s="78"/>
      <c r="U235" s="1117"/>
      <c r="V235" s="80"/>
      <c r="W235" s="80"/>
      <c r="X235" s="43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  <c r="AZ235" s="117"/>
      <c r="BA235" s="117"/>
      <c r="BB235" s="117"/>
      <c r="BC235" s="117"/>
      <c r="BD235" s="117"/>
      <c r="BE235" s="117"/>
      <c r="BF235" s="117"/>
      <c r="BG235" s="117"/>
    </row>
    <row r="236" spans="1:59" ht="15" customHeight="1">
      <c r="A236" s="117"/>
      <c r="B236" s="81"/>
      <c r="C236" s="100"/>
      <c r="D236" s="483"/>
      <c r="E236" s="534"/>
      <c r="F236" s="528"/>
      <c r="G236" s="100"/>
      <c r="H236" s="100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78"/>
      <c r="T236" s="78"/>
      <c r="U236" s="1117"/>
      <c r="V236" s="81"/>
      <c r="W236" s="81"/>
      <c r="X236" s="43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7"/>
      <c r="AK236" s="117"/>
      <c r="AL236" s="117"/>
      <c r="AM236" s="117"/>
      <c r="AN236" s="117"/>
      <c r="AO236" s="117"/>
      <c r="AP236" s="117"/>
      <c r="AQ236" s="117"/>
      <c r="AR236" s="117"/>
      <c r="AS236" s="117"/>
      <c r="AT236" s="117"/>
      <c r="AU236" s="117"/>
      <c r="AV236" s="117"/>
      <c r="AW236" s="117"/>
      <c r="AX236" s="117"/>
      <c r="AY236" s="117"/>
      <c r="AZ236" s="117"/>
      <c r="BA236" s="117"/>
      <c r="BB236" s="117"/>
      <c r="BC236" s="117"/>
      <c r="BD236" s="117"/>
      <c r="BE236" s="117"/>
      <c r="BF236" s="117"/>
      <c r="BG236" s="117"/>
    </row>
    <row r="237" spans="1:59" ht="15" customHeight="1">
      <c r="A237" s="117"/>
      <c r="B237" s="81"/>
      <c r="C237" s="100"/>
      <c r="D237" s="110"/>
      <c r="E237" s="1121"/>
      <c r="F237" s="131"/>
      <c r="G237" s="100"/>
      <c r="H237" s="100"/>
      <c r="I237" s="80"/>
      <c r="J237" s="80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81"/>
      <c r="W237" s="81"/>
      <c r="X237" s="43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  <c r="BA237" s="117"/>
      <c r="BB237" s="117"/>
      <c r="BC237" s="117"/>
      <c r="BD237" s="117"/>
      <c r="BE237" s="117"/>
      <c r="BF237" s="117"/>
      <c r="BG237" s="117"/>
    </row>
    <row r="238" spans="1:59" ht="15" customHeight="1">
      <c r="A238" s="117"/>
      <c r="B238" s="81"/>
      <c r="C238" s="100"/>
      <c r="D238" s="110"/>
      <c r="E238" s="1121"/>
      <c r="F238" s="131"/>
      <c r="G238" s="100"/>
      <c r="H238" s="100"/>
      <c r="I238" s="80"/>
      <c r="J238" s="80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1053"/>
      <c r="W238" s="1053"/>
      <c r="X238" s="437"/>
      <c r="Y238" s="117"/>
      <c r="Z238" s="117"/>
      <c r="AA238" s="117"/>
      <c r="AB238" s="117"/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117"/>
    </row>
    <row r="239" spans="1:59" ht="15" customHeight="1">
      <c r="A239" s="117"/>
      <c r="B239" s="81"/>
      <c r="C239" s="100"/>
      <c r="D239" s="110"/>
      <c r="E239" s="1121"/>
      <c r="F239" s="131"/>
      <c r="G239" s="100"/>
      <c r="H239" s="100"/>
      <c r="I239" s="80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1107"/>
      <c r="W239" s="1107"/>
      <c r="X239" s="43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7"/>
      <c r="AX239" s="117"/>
      <c r="AY239" s="117"/>
      <c r="AZ239" s="117"/>
      <c r="BA239" s="117"/>
      <c r="BB239" s="117"/>
      <c r="BC239" s="117"/>
      <c r="BD239" s="117"/>
      <c r="BE239" s="117"/>
      <c r="BF239" s="117"/>
      <c r="BG239" s="117"/>
    </row>
    <row r="240" spans="1:59" ht="15" customHeight="1">
      <c r="A240" s="117"/>
      <c r="B240" s="81"/>
      <c r="C240" s="100"/>
      <c r="D240" s="110"/>
      <c r="E240" s="1121"/>
      <c r="F240" s="131"/>
      <c r="G240" s="100"/>
      <c r="H240" s="100"/>
      <c r="I240" s="80"/>
      <c r="J240" s="78"/>
      <c r="K240" s="78"/>
      <c r="L240" s="78"/>
      <c r="M240" s="78"/>
      <c r="N240" s="78"/>
      <c r="O240" s="78"/>
      <c r="P240" s="78"/>
      <c r="Q240" s="78"/>
      <c r="R240" s="78"/>
      <c r="S240" s="100"/>
      <c r="T240" s="100"/>
      <c r="U240" s="100"/>
      <c r="V240" s="100"/>
      <c r="W240" s="81"/>
      <c r="X240" s="43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  <c r="AZ240" s="117"/>
      <c r="BA240" s="117"/>
      <c r="BB240" s="117"/>
      <c r="BC240" s="117"/>
      <c r="BD240" s="117"/>
      <c r="BE240" s="117"/>
      <c r="BF240" s="117"/>
      <c r="BG240" s="117"/>
    </row>
    <row r="241" spans="1:59" ht="15" customHeight="1">
      <c r="A241" s="117"/>
      <c r="B241" s="81"/>
      <c r="C241" s="100"/>
      <c r="D241" s="110"/>
      <c r="E241" s="1121"/>
      <c r="F241" s="131"/>
      <c r="G241" s="100"/>
      <c r="H241" s="100"/>
      <c r="I241" s="80"/>
      <c r="J241" s="78"/>
      <c r="K241" s="78"/>
      <c r="L241" s="78"/>
      <c r="M241" s="78"/>
      <c r="N241" s="78"/>
      <c r="O241" s="78"/>
      <c r="P241" s="78"/>
      <c r="Q241" s="78"/>
      <c r="R241" s="78"/>
      <c r="S241" s="80"/>
      <c r="T241" s="80"/>
      <c r="U241" s="80"/>
      <c r="V241" s="80"/>
      <c r="W241" s="80"/>
      <c r="X241" s="43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</row>
    <row r="242" spans="1:59" ht="15" customHeight="1">
      <c r="A242" s="117"/>
      <c r="B242" s="81"/>
      <c r="C242" s="100"/>
      <c r="D242" s="100"/>
      <c r="E242" s="87"/>
      <c r="F242" s="100"/>
      <c r="G242" s="100"/>
      <c r="H242" s="100"/>
      <c r="I242" s="100"/>
      <c r="J242" s="114"/>
      <c r="K242" s="82"/>
      <c r="L242" s="114"/>
      <c r="M242" s="114"/>
      <c r="N242" s="100"/>
      <c r="O242" s="100"/>
      <c r="P242" s="100"/>
      <c r="Q242" s="100"/>
      <c r="R242" s="100"/>
      <c r="S242" s="700"/>
      <c r="T242" s="700"/>
      <c r="U242" s="700"/>
      <c r="V242" s="700"/>
      <c r="W242" s="700"/>
      <c r="X242" s="43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  <c r="AJ242" s="117"/>
      <c r="AK242" s="117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7"/>
      <c r="AX242" s="117"/>
      <c r="AY242" s="117"/>
      <c r="AZ242" s="117"/>
      <c r="BA242" s="117"/>
      <c r="BB242" s="117"/>
      <c r="BC242" s="117"/>
      <c r="BD242" s="117"/>
      <c r="BE242" s="117"/>
      <c r="BF242" s="117"/>
      <c r="BG242" s="117"/>
    </row>
    <row r="243" spans="1:59" ht="15" customHeight="1">
      <c r="A243" s="117"/>
      <c r="B243" s="81"/>
      <c r="C243" s="110"/>
      <c r="D243" s="110"/>
      <c r="E243" s="515"/>
      <c r="F243" s="80"/>
      <c r="G243" s="80"/>
      <c r="H243" s="80"/>
      <c r="I243" s="80"/>
      <c r="J243" s="82"/>
      <c r="K243" s="82"/>
      <c r="L243" s="82"/>
      <c r="M243" s="82"/>
      <c r="N243" s="80"/>
      <c r="O243" s="80"/>
      <c r="P243" s="80"/>
      <c r="Q243" s="80"/>
      <c r="R243" s="80"/>
      <c r="S243" s="700"/>
      <c r="T243" s="700"/>
      <c r="U243" s="700"/>
      <c r="V243" s="700"/>
      <c r="W243" s="700"/>
      <c r="X243" s="437"/>
      <c r="Y243" s="117"/>
      <c r="Z243" s="117"/>
      <c r="AA243" s="117"/>
      <c r="AB243" s="117"/>
      <c r="AC243" s="117"/>
      <c r="AD243" s="117"/>
      <c r="AE243" s="117"/>
      <c r="AF243" s="117"/>
      <c r="AG243" s="117"/>
      <c r="AH243" s="117"/>
      <c r="AI243" s="117"/>
      <c r="AJ243" s="117"/>
      <c r="AK243" s="117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117"/>
    </row>
    <row r="244" spans="1:59" ht="15" customHeight="1">
      <c r="A244" s="117"/>
      <c r="B244" s="81"/>
      <c r="C244" s="516"/>
      <c r="D244" s="110"/>
      <c r="E244" s="1122"/>
      <c r="F244" s="1083"/>
      <c r="G244" s="1083"/>
      <c r="H244" s="1083"/>
      <c r="I244" s="1083"/>
      <c r="J244" s="1099"/>
      <c r="K244" s="82"/>
      <c r="L244" s="82"/>
      <c r="M244" s="82"/>
      <c r="N244" s="700"/>
      <c r="O244" s="700"/>
      <c r="P244" s="700"/>
      <c r="Q244" s="700"/>
      <c r="R244" s="700"/>
      <c r="S244" s="700"/>
      <c r="T244" s="700"/>
      <c r="U244" s="700"/>
      <c r="V244" s="700"/>
      <c r="W244" s="700"/>
      <c r="X244" s="43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7"/>
      <c r="AX244" s="117"/>
      <c r="AY244" s="117"/>
      <c r="AZ244" s="117"/>
      <c r="BA244" s="117"/>
      <c r="BB244" s="117"/>
      <c r="BC244" s="117"/>
      <c r="BD244" s="117"/>
      <c r="BE244" s="117"/>
      <c r="BF244" s="117"/>
      <c r="BG244" s="117"/>
    </row>
    <row r="245" spans="1:59" ht="15" customHeight="1">
      <c r="A245" s="117"/>
      <c r="B245" s="81"/>
      <c r="C245" s="516"/>
      <c r="D245" s="110"/>
      <c r="E245" s="1122"/>
      <c r="F245" s="1083"/>
      <c r="G245" s="1083"/>
      <c r="H245" s="1083"/>
      <c r="I245" s="1083"/>
      <c r="J245" s="1099"/>
      <c r="K245" s="82"/>
      <c r="L245" s="82"/>
      <c r="M245" s="82"/>
      <c r="N245" s="700"/>
      <c r="O245" s="700"/>
      <c r="P245" s="700"/>
      <c r="Q245" s="700"/>
      <c r="R245" s="700"/>
      <c r="S245" s="700"/>
      <c r="T245" s="700"/>
      <c r="U245" s="700"/>
      <c r="V245" s="700"/>
      <c r="W245" s="700"/>
      <c r="X245" s="43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  <c r="AT245" s="117"/>
      <c r="AU245" s="117"/>
      <c r="AV245" s="117"/>
      <c r="AW245" s="117"/>
      <c r="AX245" s="117"/>
      <c r="AY245" s="117"/>
      <c r="AZ245" s="117"/>
      <c r="BA245" s="117"/>
      <c r="BB245" s="117"/>
      <c r="BC245" s="117"/>
      <c r="BD245" s="117"/>
      <c r="BE245" s="117"/>
      <c r="BF245" s="117"/>
      <c r="BG245" s="117"/>
    </row>
    <row r="246" spans="1:59" ht="15" customHeight="1">
      <c r="A246" s="117"/>
      <c r="B246" s="81"/>
      <c r="C246" s="516"/>
      <c r="D246" s="110"/>
      <c r="E246" s="1122"/>
      <c r="F246" s="1083"/>
      <c r="G246" s="1083"/>
      <c r="H246" s="1083"/>
      <c r="I246" s="1083"/>
      <c r="J246" s="1099"/>
      <c r="K246" s="82"/>
      <c r="L246" s="82"/>
      <c r="M246" s="82"/>
      <c r="N246" s="700"/>
      <c r="O246" s="700"/>
      <c r="P246" s="700"/>
      <c r="Q246" s="700"/>
      <c r="R246" s="700"/>
      <c r="S246" s="80"/>
      <c r="T246" s="80"/>
      <c r="U246" s="80"/>
      <c r="V246" s="80"/>
      <c r="W246" s="80"/>
      <c r="X246" s="43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117"/>
      <c r="AL246" s="117"/>
      <c r="AM246" s="117"/>
      <c r="AN246" s="117"/>
      <c r="AO246" s="117"/>
      <c r="AP246" s="117"/>
      <c r="AQ246" s="117"/>
      <c r="AR246" s="117"/>
      <c r="AS246" s="117"/>
      <c r="AT246" s="117"/>
      <c r="AU246" s="117"/>
      <c r="AV246" s="117"/>
      <c r="AW246" s="117"/>
      <c r="AX246" s="117"/>
      <c r="AY246" s="117"/>
      <c r="AZ246" s="117"/>
      <c r="BA246" s="117"/>
      <c r="BB246" s="117"/>
      <c r="BC246" s="117"/>
      <c r="BD246" s="117"/>
      <c r="BE246" s="117"/>
      <c r="BF246" s="117"/>
      <c r="BG246" s="117"/>
    </row>
    <row r="247" spans="1:59" ht="15" customHeight="1">
      <c r="A247" s="117"/>
      <c r="B247" s="81"/>
      <c r="C247" s="110"/>
      <c r="D247" s="110"/>
      <c r="E247" s="1122"/>
      <c r="F247" s="1083"/>
      <c r="G247" s="1083"/>
      <c r="H247" s="1083"/>
      <c r="I247" s="1083"/>
      <c r="J247" s="1099"/>
      <c r="K247" s="82"/>
      <c r="L247" s="82"/>
      <c r="M247" s="82"/>
      <c r="N247" s="700"/>
      <c r="O247" s="700"/>
      <c r="P247" s="700"/>
      <c r="Q247" s="700"/>
      <c r="R247" s="700"/>
      <c r="S247" s="80"/>
      <c r="T247" s="80"/>
      <c r="U247" s="80"/>
      <c r="V247" s="80"/>
      <c r="W247" s="80"/>
      <c r="X247" s="437"/>
      <c r="Y247" s="117"/>
      <c r="Z247" s="117"/>
      <c r="AA247" s="117"/>
      <c r="AB247" s="117"/>
      <c r="AC247" s="117"/>
      <c r="AD247" s="117"/>
      <c r="AE247" s="117"/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7"/>
      <c r="AW247" s="117"/>
      <c r="AX247" s="117"/>
      <c r="AY247" s="117"/>
      <c r="AZ247" s="117"/>
      <c r="BA247" s="117"/>
      <c r="BB247" s="117"/>
      <c r="BC247" s="117"/>
      <c r="BD247" s="117"/>
      <c r="BE247" s="117"/>
      <c r="BF247" s="117"/>
      <c r="BG247" s="117"/>
    </row>
    <row r="248" spans="1:59" ht="15" customHeight="1">
      <c r="A248" s="117"/>
      <c r="B248" s="81"/>
      <c r="C248" s="110"/>
      <c r="D248" s="110"/>
      <c r="E248" s="515"/>
      <c r="F248" s="80"/>
      <c r="G248" s="80"/>
      <c r="H248" s="80"/>
      <c r="I248" s="80"/>
      <c r="J248" s="82"/>
      <c r="K248" s="82"/>
      <c r="L248" s="82"/>
      <c r="M248" s="82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437"/>
      <c r="Y248" s="117"/>
      <c r="Z248" s="117"/>
      <c r="AA248" s="117"/>
      <c r="AB248" s="117"/>
      <c r="AC248" s="117"/>
      <c r="AD248" s="117"/>
      <c r="AE248" s="117"/>
      <c r="AF248" s="117"/>
      <c r="AG248" s="117"/>
      <c r="AH248" s="117"/>
      <c r="AI248" s="117"/>
      <c r="AJ248" s="117"/>
      <c r="AK248" s="117"/>
      <c r="AL248" s="117"/>
      <c r="AM248" s="117"/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117"/>
      <c r="AY248" s="117"/>
      <c r="AZ248" s="117"/>
      <c r="BA248" s="117"/>
      <c r="BB248" s="117"/>
      <c r="BC248" s="117"/>
      <c r="BD248" s="117"/>
      <c r="BE248" s="117"/>
      <c r="BF248" s="117"/>
      <c r="BG248" s="117"/>
    </row>
    <row r="249" spans="1:59" ht="15" customHeight="1">
      <c r="A249" s="117"/>
      <c r="B249" s="81"/>
      <c r="C249" s="110"/>
      <c r="D249" s="110"/>
      <c r="E249" s="515"/>
      <c r="F249" s="80"/>
      <c r="G249" s="80"/>
      <c r="H249" s="80"/>
      <c r="I249" s="80"/>
      <c r="J249" s="82"/>
      <c r="K249" s="82"/>
      <c r="L249" s="82"/>
      <c r="M249" s="82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43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117"/>
      <c r="AW249" s="117"/>
      <c r="AX249" s="117"/>
      <c r="AY249" s="117"/>
      <c r="AZ249" s="117"/>
      <c r="BA249" s="117"/>
      <c r="BB249" s="117"/>
      <c r="BC249" s="117"/>
      <c r="BD249" s="117"/>
      <c r="BE249" s="117"/>
      <c r="BF249" s="117"/>
      <c r="BG249" s="117"/>
    </row>
    <row r="250" spans="1:59" ht="15" customHeight="1">
      <c r="A250" s="117"/>
      <c r="B250" s="81"/>
      <c r="C250" s="110"/>
      <c r="D250" s="110"/>
      <c r="E250" s="1122"/>
      <c r="F250" s="1083"/>
      <c r="G250" s="1083"/>
      <c r="H250" s="1083"/>
      <c r="I250" s="1083"/>
      <c r="J250" s="1123"/>
      <c r="K250" s="82"/>
      <c r="L250" s="82"/>
      <c r="M250" s="82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43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  <c r="AT250" s="117"/>
      <c r="AU250" s="117"/>
      <c r="AV250" s="117"/>
      <c r="AW250" s="117"/>
      <c r="AX250" s="117"/>
      <c r="AY250" s="117"/>
      <c r="AZ250" s="117"/>
      <c r="BA250" s="117"/>
      <c r="BB250" s="117"/>
      <c r="BC250" s="117"/>
      <c r="BD250" s="117"/>
      <c r="BE250" s="117"/>
      <c r="BF250" s="117"/>
      <c r="BG250" s="117"/>
    </row>
    <row r="251" spans="1:59" ht="15" customHeight="1">
      <c r="A251" s="117"/>
      <c r="B251" s="81"/>
      <c r="C251" s="110"/>
      <c r="D251" s="110"/>
      <c r="E251" s="1122"/>
      <c r="F251" s="1083"/>
      <c r="G251" s="1083"/>
      <c r="H251" s="1083"/>
      <c r="I251" s="1083"/>
      <c r="J251" s="1123"/>
      <c r="K251" s="82"/>
      <c r="L251" s="82"/>
      <c r="M251" s="82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437"/>
      <c r="Y251" s="117"/>
      <c r="Z251" s="117"/>
      <c r="AA251" s="117"/>
      <c r="AB251" s="117"/>
      <c r="AC251" s="117"/>
      <c r="AD251" s="117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117"/>
      <c r="AR251" s="117"/>
      <c r="AS251" s="117"/>
      <c r="AT251" s="117"/>
      <c r="AU251" s="117"/>
      <c r="AV251" s="117"/>
      <c r="AW251" s="117"/>
      <c r="AX251" s="117"/>
      <c r="AY251" s="117"/>
      <c r="AZ251" s="117"/>
      <c r="BA251" s="117"/>
      <c r="BB251" s="117"/>
      <c r="BC251" s="117"/>
      <c r="BD251" s="117"/>
      <c r="BE251" s="117"/>
      <c r="BF251" s="117"/>
      <c r="BG251" s="117"/>
    </row>
    <row r="252" spans="1:59" ht="15" customHeight="1">
      <c r="A252" s="117"/>
      <c r="B252" s="81"/>
      <c r="C252" s="110"/>
      <c r="D252" s="110"/>
      <c r="E252" s="1122"/>
      <c r="F252" s="1083"/>
      <c r="G252" s="1083"/>
      <c r="H252" s="1083"/>
      <c r="I252" s="1083"/>
      <c r="J252" s="1099"/>
      <c r="K252" s="82"/>
      <c r="L252" s="82"/>
      <c r="M252" s="82"/>
      <c r="N252" s="80"/>
      <c r="O252" s="80"/>
      <c r="P252" s="80"/>
      <c r="Q252" s="80"/>
      <c r="R252" s="80"/>
      <c r="S252" s="87"/>
      <c r="T252" s="87"/>
      <c r="U252" s="87"/>
      <c r="V252" s="87"/>
      <c r="W252" s="87"/>
      <c r="X252" s="437"/>
      <c r="Y252" s="117"/>
      <c r="Z252" s="117"/>
      <c r="AA252" s="117"/>
      <c r="AB252" s="117"/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117"/>
      <c r="AP252" s="117"/>
      <c r="AQ252" s="117"/>
      <c r="AR252" s="117"/>
      <c r="AS252" s="117"/>
      <c r="AT252" s="117"/>
      <c r="AU252" s="117"/>
      <c r="AV252" s="117"/>
      <c r="AW252" s="117"/>
      <c r="AX252" s="117"/>
      <c r="AY252" s="117"/>
      <c r="AZ252" s="117"/>
      <c r="BA252" s="117"/>
      <c r="BB252" s="117"/>
      <c r="BC252" s="117"/>
      <c r="BD252" s="117"/>
      <c r="BE252" s="117"/>
      <c r="BF252" s="117"/>
      <c r="BG252" s="117"/>
    </row>
    <row r="253" spans="1:59" ht="15" customHeight="1">
      <c r="A253" s="117"/>
      <c r="B253" s="81"/>
      <c r="C253" s="110"/>
      <c r="D253" s="110"/>
      <c r="E253" s="515"/>
      <c r="F253" s="80"/>
      <c r="G253" s="80"/>
      <c r="H253" s="80"/>
      <c r="I253" s="80"/>
      <c r="J253" s="82"/>
      <c r="K253" s="82"/>
      <c r="L253" s="82"/>
      <c r="M253" s="82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43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117"/>
      <c r="BD253" s="117"/>
      <c r="BE253" s="117"/>
      <c r="BF253" s="117"/>
      <c r="BG253" s="117"/>
    </row>
    <row r="254" spans="1:59" ht="15" customHeight="1">
      <c r="A254" s="117"/>
      <c r="B254" s="81"/>
      <c r="C254" s="100"/>
      <c r="D254" s="100"/>
      <c r="E254" s="495"/>
      <c r="F254" s="87"/>
      <c r="G254" s="87"/>
      <c r="H254" s="87"/>
      <c r="I254" s="87"/>
      <c r="J254" s="82"/>
      <c r="K254" s="82"/>
      <c r="L254" s="82"/>
      <c r="M254" s="82"/>
      <c r="N254" s="87"/>
      <c r="O254" s="87"/>
      <c r="P254" s="87"/>
      <c r="Q254" s="87"/>
      <c r="R254" s="87"/>
      <c r="S254" s="80"/>
      <c r="T254" s="80"/>
      <c r="U254" s="80"/>
      <c r="V254" s="80"/>
      <c r="W254" s="80"/>
      <c r="X254" s="43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117"/>
      <c r="BD254" s="117"/>
      <c r="BE254" s="117"/>
      <c r="BF254" s="117"/>
      <c r="BG254" s="117"/>
    </row>
    <row r="255" spans="1:59" ht="15" customHeight="1">
      <c r="A255" s="117"/>
      <c r="B255" s="81"/>
      <c r="C255" s="110"/>
      <c r="D255" s="110"/>
      <c r="E255" s="1122"/>
      <c r="F255" s="1083"/>
      <c r="G255" s="1083"/>
      <c r="H255" s="1083"/>
      <c r="I255" s="1083"/>
      <c r="J255" s="1123"/>
      <c r="K255" s="82"/>
      <c r="L255" s="82"/>
      <c r="M255" s="82"/>
      <c r="N255" s="87"/>
      <c r="O255" s="80"/>
      <c r="P255" s="80"/>
      <c r="Q255" s="80"/>
      <c r="R255" s="80"/>
      <c r="S255" s="80"/>
      <c r="T255" s="80"/>
      <c r="U255" s="80"/>
      <c r="V255" s="80"/>
      <c r="W255" s="80"/>
      <c r="X255" s="43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</row>
    <row r="256" spans="1:59" ht="15" customHeight="1">
      <c r="A256" s="117"/>
      <c r="B256" s="81"/>
      <c r="C256" s="110"/>
      <c r="D256" s="110"/>
      <c r="E256" s="1122"/>
      <c r="F256" s="1083"/>
      <c r="G256" s="1083"/>
      <c r="H256" s="1083"/>
      <c r="I256" s="1083"/>
      <c r="J256" s="82"/>
      <c r="K256" s="82"/>
      <c r="L256" s="82"/>
      <c r="M256" s="82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43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</row>
    <row r="257" spans="1:59" ht="15" customHeight="1">
      <c r="A257" s="117"/>
      <c r="B257" s="81"/>
      <c r="C257" s="110"/>
      <c r="D257" s="110"/>
      <c r="E257" s="515"/>
      <c r="F257" s="80"/>
      <c r="G257" s="80"/>
      <c r="H257" s="80"/>
      <c r="I257" s="80"/>
      <c r="J257" s="82"/>
      <c r="K257" s="82"/>
      <c r="L257" s="82"/>
      <c r="M257" s="82"/>
      <c r="N257" s="80"/>
      <c r="O257" s="80"/>
      <c r="P257" s="80"/>
      <c r="Q257" s="80"/>
      <c r="R257" s="80"/>
      <c r="S257" s="1124"/>
      <c r="T257" s="1124"/>
      <c r="U257" s="1124"/>
      <c r="V257" s="1124"/>
      <c r="W257" s="1124"/>
      <c r="X257" s="43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  <c r="AZ257" s="117"/>
      <c r="BA257" s="117"/>
      <c r="BB257" s="117"/>
      <c r="BC257" s="117"/>
      <c r="BD257" s="117"/>
      <c r="BE257" s="117"/>
      <c r="BF257" s="117"/>
      <c r="BG257" s="117"/>
    </row>
    <row r="258" spans="1:59" ht="15" customHeight="1">
      <c r="A258" s="117"/>
      <c r="B258" s="81"/>
      <c r="C258" s="110"/>
      <c r="D258" s="110"/>
      <c r="E258" s="515"/>
      <c r="F258" s="80"/>
      <c r="G258" s="80"/>
      <c r="H258" s="80"/>
      <c r="I258" s="80"/>
      <c r="J258" s="82"/>
      <c r="K258" s="82"/>
      <c r="L258" s="82"/>
      <c r="M258" s="82"/>
      <c r="N258" s="80"/>
      <c r="O258" s="80"/>
      <c r="P258" s="80"/>
      <c r="Q258" s="80"/>
      <c r="R258" s="80"/>
      <c r="S258" s="117"/>
      <c r="T258" s="117"/>
      <c r="U258" s="117"/>
      <c r="V258" s="117"/>
      <c r="W258" s="117"/>
      <c r="X258" s="43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</row>
    <row r="259" spans="1:59" ht="15" customHeight="1">
      <c r="A259" s="117"/>
      <c r="B259" s="81"/>
      <c r="C259" s="1125"/>
      <c r="D259" s="1125"/>
      <c r="E259" s="1126"/>
      <c r="F259" s="1124"/>
      <c r="G259" s="1124"/>
      <c r="H259" s="1124"/>
      <c r="I259" s="1124"/>
      <c r="J259" s="1124"/>
      <c r="K259" s="1124"/>
      <c r="L259" s="1124"/>
      <c r="M259" s="1124"/>
      <c r="N259" s="1124"/>
      <c r="O259" s="1124"/>
      <c r="P259" s="1124"/>
      <c r="Q259" s="1124"/>
      <c r="R259" s="1124"/>
      <c r="S259" s="117"/>
      <c r="T259" s="117"/>
      <c r="U259" s="117"/>
      <c r="V259" s="117"/>
      <c r="W259" s="117"/>
      <c r="X259" s="43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  <c r="BA259" s="117"/>
      <c r="BB259" s="117"/>
      <c r="BC259" s="117"/>
      <c r="BD259" s="117"/>
      <c r="BE259" s="117"/>
      <c r="BF259" s="117"/>
      <c r="BG259" s="117"/>
    </row>
    <row r="260" spans="1:59" ht="15" customHeight="1">
      <c r="A260" s="117"/>
      <c r="B260" s="81"/>
      <c r="C260" s="117"/>
      <c r="D260" s="117"/>
      <c r="E260" s="117"/>
      <c r="F260" s="117"/>
      <c r="G260" s="117"/>
      <c r="H260" s="117"/>
      <c r="I260" s="117"/>
      <c r="J260" s="716"/>
      <c r="K260" s="118"/>
      <c r="L260" s="118"/>
      <c r="M260" s="118"/>
      <c r="N260" s="117"/>
      <c r="O260" s="117"/>
      <c r="P260" s="117"/>
      <c r="Q260" s="117"/>
      <c r="R260" s="117"/>
      <c r="S260" s="87"/>
      <c r="T260" s="87"/>
      <c r="U260" s="87"/>
      <c r="V260" s="87"/>
      <c r="W260" s="87"/>
      <c r="X260" s="43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  <c r="AZ260" s="117"/>
      <c r="BA260" s="117"/>
      <c r="BB260" s="117"/>
      <c r="BC260" s="117"/>
      <c r="BD260" s="117"/>
      <c r="BE260" s="117"/>
      <c r="BF260" s="117"/>
      <c r="BG260" s="117"/>
    </row>
    <row r="261" spans="1:59" ht="15" customHeight="1">
      <c r="A261" s="117"/>
      <c r="B261" s="81"/>
      <c r="C261" s="117"/>
      <c r="D261" s="117"/>
      <c r="E261" s="117"/>
      <c r="F261" s="117"/>
      <c r="G261" s="117"/>
      <c r="H261" s="117"/>
      <c r="I261" s="80"/>
      <c r="J261" s="118"/>
      <c r="K261" s="118"/>
      <c r="L261" s="118"/>
      <c r="M261" s="118"/>
      <c r="N261" s="117"/>
      <c r="O261" s="117"/>
      <c r="P261" s="117"/>
      <c r="Q261" s="117"/>
      <c r="R261" s="117"/>
      <c r="S261" s="81"/>
      <c r="T261" s="81"/>
      <c r="U261" s="81"/>
      <c r="V261" s="81"/>
      <c r="W261" s="81"/>
      <c r="X261" s="43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  <c r="AZ261" s="117"/>
      <c r="BA261" s="117"/>
      <c r="BB261" s="117"/>
      <c r="BC261" s="117"/>
      <c r="BD261" s="117"/>
      <c r="BE261" s="117"/>
      <c r="BF261" s="117"/>
      <c r="BG261" s="117"/>
    </row>
    <row r="262" spans="1:59" ht="15" customHeight="1">
      <c r="A262" s="117"/>
      <c r="B262" s="1104"/>
      <c r="C262" s="100"/>
      <c r="D262" s="100"/>
      <c r="E262" s="100"/>
      <c r="F262" s="100"/>
      <c r="G262" s="100"/>
      <c r="H262" s="100"/>
      <c r="I262" s="100"/>
      <c r="J262" s="114"/>
      <c r="K262" s="82"/>
      <c r="L262" s="114"/>
      <c r="M262" s="114"/>
      <c r="N262" s="87"/>
      <c r="O262" s="87"/>
      <c r="P262" s="87"/>
      <c r="Q262" s="87"/>
      <c r="R262" s="87"/>
      <c r="S262" s="81"/>
      <c r="T262" s="81"/>
      <c r="U262" s="81"/>
      <c r="V262" s="1105"/>
      <c r="W262" s="1105"/>
      <c r="X262" s="43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117"/>
      <c r="BD262" s="117"/>
      <c r="BE262" s="117"/>
      <c r="BF262" s="117"/>
      <c r="BG262" s="117"/>
    </row>
    <row r="263" spans="1:59">
      <c r="A263" s="117"/>
      <c r="B263" s="81"/>
      <c r="C263" s="81"/>
      <c r="D263" s="81"/>
      <c r="E263" s="81"/>
      <c r="F263" s="81"/>
      <c r="G263" s="81"/>
      <c r="H263" s="430"/>
      <c r="I263" s="81"/>
      <c r="J263" s="118"/>
      <c r="K263" s="716"/>
      <c r="L263" s="118"/>
      <c r="M263" s="118"/>
      <c r="N263" s="81"/>
      <c r="O263" s="81"/>
      <c r="P263" s="81"/>
      <c r="Q263" s="81"/>
      <c r="R263" s="81"/>
      <c r="S263" s="81"/>
      <c r="T263" s="81"/>
      <c r="U263" s="81"/>
      <c r="V263" s="81"/>
      <c r="W263" s="1106"/>
      <c r="X263" s="43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117"/>
    </row>
    <row r="264" spans="1:59">
      <c r="A264" s="117"/>
      <c r="B264" s="81"/>
      <c r="C264" s="81"/>
      <c r="D264" s="81"/>
      <c r="E264" s="81"/>
      <c r="F264" s="81"/>
      <c r="G264" s="81"/>
      <c r="H264" s="81"/>
      <c r="I264" s="430"/>
      <c r="J264" s="118"/>
      <c r="K264" s="118"/>
      <c r="L264" s="118"/>
      <c r="M264" s="118"/>
      <c r="N264" s="81"/>
      <c r="O264" s="81"/>
      <c r="P264" s="81"/>
      <c r="Q264" s="81"/>
      <c r="R264" s="81"/>
      <c r="S264" s="117"/>
      <c r="T264" s="117"/>
      <c r="U264" s="117"/>
      <c r="V264" s="117"/>
      <c r="W264" s="117"/>
      <c r="X264" s="43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  <c r="AZ264" s="117"/>
      <c r="BA264" s="117"/>
      <c r="BB264" s="117"/>
      <c r="BC264" s="117"/>
      <c r="BD264" s="117"/>
      <c r="BE264" s="117"/>
      <c r="BF264" s="117"/>
      <c r="BG264" s="117"/>
    </row>
    <row r="265" spans="1:59" ht="3" customHeight="1">
      <c r="A265" s="117"/>
      <c r="B265" s="81"/>
      <c r="C265" s="1050"/>
      <c r="D265" s="81"/>
      <c r="E265" s="81"/>
      <c r="F265" s="81"/>
      <c r="G265" s="81"/>
      <c r="H265" s="81"/>
      <c r="I265" s="81"/>
      <c r="J265" s="118"/>
      <c r="K265" s="118"/>
      <c r="L265" s="118"/>
      <c r="M265" s="118"/>
      <c r="N265" s="81"/>
      <c r="O265" s="81"/>
      <c r="P265" s="81"/>
      <c r="Q265" s="81"/>
      <c r="R265" s="81"/>
      <c r="S265" s="499"/>
      <c r="T265" s="499"/>
      <c r="U265" s="499"/>
      <c r="V265" s="499"/>
      <c r="W265" s="499"/>
      <c r="X265" s="43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  <c r="BA265" s="117"/>
      <c r="BB265" s="117"/>
      <c r="BC265" s="117"/>
      <c r="BD265" s="117"/>
      <c r="BE265" s="117"/>
      <c r="BF265" s="117"/>
      <c r="BG265" s="117"/>
    </row>
    <row r="266" spans="1:59" ht="15" customHeight="1">
      <c r="A266" s="117"/>
      <c r="B266" s="81"/>
      <c r="C266" s="499"/>
      <c r="D266" s="117"/>
      <c r="E266" s="117"/>
      <c r="F266" s="117"/>
      <c r="G266" s="117"/>
      <c r="H266" s="117"/>
      <c r="I266" s="117"/>
      <c r="J266" s="118"/>
      <c r="K266" s="118"/>
      <c r="L266" s="118"/>
      <c r="M266" s="118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43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  <c r="AZ266" s="117"/>
      <c r="BA266" s="117"/>
      <c r="BB266" s="117"/>
      <c r="BC266" s="117"/>
      <c r="BD266" s="117"/>
      <c r="BE266" s="117"/>
      <c r="BF266" s="117"/>
      <c r="BG266" s="117"/>
    </row>
    <row r="267" spans="1:59" ht="15" customHeight="1">
      <c r="A267" s="117"/>
      <c r="B267" s="81"/>
      <c r="C267" s="499"/>
      <c r="D267" s="499"/>
      <c r="E267" s="499"/>
      <c r="F267" s="499"/>
      <c r="G267" s="499"/>
      <c r="H267" s="499"/>
      <c r="I267" s="499"/>
      <c r="J267" s="1092"/>
      <c r="K267" s="1092"/>
      <c r="L267" s="1092"/>
      <c r="M267" s="1092"/>
      <c r="N267" s="499"/>
      <c r="O267" s="499"/>
      <c r="P267" s="499"/>
      <c r="Q267" s="499"/>
      <c r="R267" s="499"/>
      <c r="S267" s="117"/>
      <c r="T267" s="117"/>
      <c r="U267" s="117"/>
      <c r="V267" s="81"/>
      <c r="W267" s="81"/>
      <c r="X267" s="43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  <c r="AZ267" s="117"/>
      <c r="BA267" s="117"/>
      <c r="BB267" s="117"/>
      <c r="BC267" s="117"/>
      <c r="BD267" s="117"/>
      <c r="BE267" s="117"/>
      <c r="BF267" s="117"/>
      <c r="BG267" s="117"/>
    </row>
    <row r="268" spans="1:59" ht="15" customHeight="1">
      <c r="A268" s="117"/>
      <c r="B268" s="100"/>
      <c r="C268" s="117"/>
      <c r="D268" s="117"/>
      <c r="E268" s="117"/>
      <c r="F268" s="117"/>
      <c r="G268" s="117"/>
      <c r="H268" s="117"/>
      <c r="I268" s="117"/>
      <c r="J268" s="118"/>
      <c r="K268" s="118"/>
      <c r="L268" s="118"/>
      <c r="M268" s="118"/>
      <c r="N268" s="117"/>
      <c r="O268" s="117"/>
      <c r="P268" s="117"/>
      <c r="Q268" s="117"/>
      <c r="R268" s="117"/>
      <c r="S268" s="1053"/>
      <c r="T268" s="1053"/>
      <c r="U268" s="1053"/>
      <c r="V268" s="1053"/>
      <c r="W268" s="1053"/>
      <c r="X268" s="43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  <c r="BA268" s="117"/>
      <c r="BB268" s="117"/>
      <c r="BC268" s="117"/>
      <c r="BD268" s="117"/>
      <c r="BE268" s="117"/>
      <c r="BF268" s="117"/>
      <c r="BG268" s="117"/>
    </row>
    <row r="269" spans="1:59" ht="15" customHeight="1">
      <c r="A269" s="117"/>
      <c r="B269" s="100"/>
      <c r="C269" s="1078"/>
      <c r="D269" s="117"/>
      <c r="E269" s="117"/>
      <c r="F269" s="117"/>
      <c r="G269" s="117"/>
      <c r="H269" s="117"/>
      <c r="I269" s="117"/>
      <c r="J269" s="118"/>
      <c r="K269" s="118"/>
      <c r="L269" s="118"/>
      <c r="M269" s="118"/>
      <c r="N269" s="117"/>
      <c r="O269" s="117"/>
      <c r="P269" s="117"/>
      <c r="Q269" s="117"/>
      <c r="R269" s="117"/>
      <c r="S269" s="530"/>
      <c r="T269" s="530"/>
      <c r="U269" s="530"/>
      <c r="V269" s="530"/>
      <c r="W269" s="530"/>
      <c r="X269" s="43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</row>
    <row r="270" spans="1:59" ht="15" customHeight="1">
      <c r="A270" s="117"/>
      <c r="B270" s="100"/>
      <c r="C270" s="156"/>
      <c r="D270" s="100"/>
      <c r="E270" s="1127"/>
      <c r="F270" s="1127"/>
      <c r="G270" s="1127"/>
      <c r="H270" s="1127"/>
      <c r="I270" s="1127"/>
      <c r="J270" s="1094"/>
      <c r="K270" s="1094"/>
      <c r="L270" s="1094"/>
      <c r="M270" s="1094"/>
      <c r="N270" s="1053"/>
      <c r="O270" s="1053"/>
      <c r="P270" s="1053"/>
      <c r="Q270" s="1053"/>
      <c r="R270" s="1053"/>
      <c r="S270" s="110"/>
      <c r="T270" s="110"/>
      <c r="U270" s="110"/>
      <c r="V270" s="110"/>
      <c r="W270" s="100"/>
      <c r="X270" s="43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  <c r="BA270" s="117"/>
      <c r="BB270" s="117"/>
      <c r="BC270" s="117"/>
      <c r="BD270" s="117"/>
      <c r="BE270" s="117"/>
      <c r="BF270" s="117"/>
      <c r="BG270" s="117"/>
    </row>
    <row r="271" spans="1:59" ht="15" customHeight="1">
      <c r="A271" s="117"/>
      <c r="B271" s="100"/>
      <c r="C271" s="156"/>
      <c r="D271" s="156"/>
      <c r="E271" s="1107"/>
      <c r="F271" s="1107"/>
      <c r="G271" s="1107"/>
      <c r="H271" s="530"/>
      <c r="I271" s="1107"/>
      <c r="J271" s="1107"/>
      <c r="K271" s="1107"/>
      <c r="L271" s="1107"/>
      <c r="M271" s="1107"/>
      <c r="N271" s="1107"/>
      <c r="O271" s="530"/>
      <c r="P271" s="530"/>
      <c r="Q271" s="530"/>
      <c r="R271" s="530"/>
      <c r="S271" s="80"/>
      <c r="T271" s="80"/>
      <c r="U271" s="80"/>
      <c r="V271" s="80"/>
      <c r="W271" s="80"/>
      <c r="X271" s="43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  <c r="AZ271" s="117"/>
      <c r="BA271" s="117"/>
      <c r="BB271" s="117"/>
      <c r="BC271" s="117"/>
      <c r="BD271" s="117"/>
      <c r="BE271" s="117"/>
      <c r="BF271" s="117"/>
      <c r="BG271" s="117"/>
    </row>
    <row r="272" spans="1:59" ht="15" customHeight="1">
      <c r="A272" s="117"/>
      <c r="B272" s="100"/>
      <c r="C272" s="163"/>
      <c r="D272" s="110"/>
      <c r="E272" s="110"/>
      <c r="F272" s="110"/>
      <c r="G272" s="110"/>
      <c r="H272" s="110"/>
      <c r="I272" s="110"/>
      <c r="J272" s="82"/>
      <c r="K272" s="82"/>
      <c r="L272" s="82"/>
      <c r="M272" s="82"/>
      <c r="N272" s="80"/>
      <c r="O272" s="110"/>
      <c r="P272" s="110"/>
      <c r="Q272" s="110"/>
      <c r="R272" s="110"/>
      <c r="S272" s="700"/>
      <c r="T272" s="700"/>
      <c r="U272" s="700"/>
      <c r="V272" s="700"/>
      <c r="W272" s="700"/>
      <c r="X272" s="43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/>
      <c r="BG272" s="117"/>
    </row>
    <row r="273" spans="1:59" ht="15" customHeight="1">
      <c r="A273" s="117"/>
      <c r="B273" s="100"/>
      <c r="C273" s="483"/>
      <c r="D273" s="110"/>
      <c r="E273" s="515"/>
      <c r="F273" s="515"/>
      <c r="G273" s="515"/>
      <c r="H273" s="515"/>
      <c r="I273" s="515"/>
      <c r="J273" s="513"/>
      <c r="K273" s="513"/>
      <c r="L273" s="513"/>
      <c r="M273" s="513"/>
      <c r="N273" s="80"/>
      <c r="O273" s="80"/>
      <c r="P273" s="80"/>
      <c r="Q273" s="80"/>
      <c r="R273" s="80"/>
      <c r="S273" s="700"/>
      <c r="T273" s="700"/>
      <c r="U273" s="700"/>
      <c r="V273" s="700"/>
      <c r="W273" s="700"/>
      <c r="X273" s="43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</row>
    <row r="274" spans="1:59" ht="15" customHeight="1">
      <c r="A274" s="117"/>
      <c r="B274" s="100"/>
      <c r="C274" s="516"/>
      <c r="D274" s="110"/>
      <c r="E274" s="515"/>
      <c r="F274" s="515"/>
      <c r="G274" s="515"/>
      <c r="H274" s="515"/>
      <c r="I274" s="515"/>
      <c r="J274" s="700"/>
      <c r="K274" s="82"/>
      <c r="L274" s="82"/>
      <c r="M274" s="82"/>
      <c r="N274" s="700"/>
      <c r="O274" s="700"/>
      <c r="P274" s="700"/>
      <c r="Q274" s="700"/>
      <c r="R274" s="700"/>
      <c r="S274" s="700"/>
      <c r="T274" s="700"/>
      <c r="U274" s="700"/>
      <c r="V274" s="700"/>
      <c r="W274" s="700"/>
      <c r="X274" s="43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  <c r="AJ274" s="117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/>
      <c r="BE274" s="117"/>
      <c r="BF274" s="117"/>
      <c r="BG274" s="117"/>
    </row>
    <row r="275" spans="1:59" ht="15" customHeight="1">
      <c r="A275" s="117"/>
      <c r="B275" s="100"/>
      <c r="C275" s="516"/>
      <c r="D275" s="110"/>
      <c r="E275" s="515"/>
      <c r="F275" s="515"/>
      <c r="G275" s="515"/>
      <c r="H275" s="515"/>
      <c r="I275" s="515"/>
      <c r="J275" s="700"/>
      <c r="K275" s="82"/>
      <c r="L275" s="82"/>
      <c r="M275" s="82"/>
      <c r="N275" s="700"/>
      <c r="O275" s="700"/>
      <c r="P275" s="700"/>
      <c r="Q275" s="700"/>
      <c r="R275" s="700"/>
      <c r="S275" s="700"/>
      <c r="T275" s="700"/>
      <c r="U275" s="700"/>
      <c r="V275" s="700"/>
      <c r="W275" s="700"/>
      <c r="X275" s="43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</row>
    <row r="276" spans="1:59" ht="15" customHeight="1">
      <c r="A276" s="117"/>
      <c r="B276" s="100"/>
      <c r="C276" s="516"/>
      <c r="D276" s="110"/>
      <c r="E276" s="515"/>
      <c r="F276" s="515"/>
      <c r="G276" s="515"/>
      <c r="H276" s="515"/>
      <c r="I276" s="515"/>
      <c r="J276" s="700"/>
      <c r="K276" s="82"/>
      <c r="L276" s="82"/>
      <c r="M276" s="82"/>
      <c r="N276" s="700"/>
      <c r="O276" s="700"/>
      <c r="P276" s="700"/>
      <c r="Q276" s="700"/>
      <c r="R276" s="700"/>
      <c r="S276" s="80"/>
      <c r="T276" s="80"/>
      <c r="U276" s="80"/>
      <c r="V276" s="80"/>
      <c r="W276" s="80"/>
      <c r="X276" s="43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/>
      <c r="BG276" s="117"/>
    </row>
    <row r="277" spans="1:59" ht="15" customHeight="1">
      <c r="A277" s="117"/>
      <c r="B277" s="100"/>
      <c r="C277" s="516"/>
      <c r="D277" s="110"/>
      <c r="E277" s="515"/>
      <c r="F277" s="515"/>
      <c r="G277" s="515"/>
      <c r="H277" s="515"/>
      <c r="I277" s="515"/>
      <c r="J277" s="700"/>
      <c r="K277" s="82"/>
      <c r="L277" s="82"/>
      <c r="M277" s="82"/>
      <c r="N277" s="700"/>
      <c r="O277" s="700"/>
      <c r="P277" s="700"/>
      <c r="Q277" s="700"/>
      <c r="R277" s="700"/>
      <c r="S277" s="80"/>
      <c r="T277" s="80"/>
      <c r="U277" s="80"/>
      <c r="V277" s="80"/>
      <c r="W277" s="80"/>
      <c r="X277" s="43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7"/>
      <c r="BA277" s="117"/>
      <c r="BB277" s="117"/>
      <c r="BC277" s="117"/>
      <c r="BD277" s="117"/>
      <c r="BE277" s="117"/>
      <c r="BF277" s="117"/>
      <c r="BG277" s="117"/>
    </row>
    <row r="278" spans="1:59" ht="15" customHeight="1">
      <c r="A278" s="117"/>
      <c r="B278" s="100"/>
      <c r="C278" s="516"/>
      <c r="D278" s="110"/>
      <c r="E278" s="515"/>
      <c r="F278" s="515"/>
      <c r="G278" s="515"/>
      <c r="H278" s="515"/>
      <c r="I278" s="515"/>
      <c r="J278" s="80"/>
      <c r="K278" s="82"/>
      <c r="L278" s="82"/>
      <c r="M278" s="82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43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  <c r="AZ278" s="117"/>
      <c r="BA278" s="117"/>
      <c r="BB278" s="117"/>
      <c r="BC278" s="117"/>
      <c r="BD278" s="117"/>
      <c r="BE278" s="117"/>
      <c r="BF278" s="117"/>
      <c r="BG278" s="117"/>
    </row>
    <row r="279" spans="1:59" ht="15" customHeight="1">
      <c r="A279" s="117"/>
      <c r="B279" s="100"/>
      <c r="C279" s="483"/>
      <c r="D279" s="110"/>
      <c r="E279" s="515"/>
      <c r="F279" s="515"/>
      <c r="G279" s="515"/>
      <c r="H279" s="515"/>
      <c r="I279" s="515"/>
      <c r="J279" s="80"/>
      <c r="K279" s="82"/>
      <c r="L279" s="82"/>
      <c r="M279" s="82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43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7"/>
      <c r="BA279" s="117"/>
      <c r="BB279" s="117"/>
      <c r="BC279" s="117"/>
      <c r="BD279" s="117"/>
      <c r="BE279" s="117"/>
      <c r="BF279" s="117"/>
      <c r="BG279" s="117"/>
    </row>
    <row r="280" spans="1:59" ht="15" customHeight="1">
      <c r="A280" s="117"/>
      <c r="B280" s="100"/>
      <c r="C280" s="516"/>
      <c r="D280" s="110"/>
      <c r="E280" s="515"/>
      <c r="F280" s="515"/>
      <c r="G280" s="515"/>
      <c r="H280" s="515"/>
      <c r="I280" s="515"/>
      <c r="J280" s="80"/>
      <c r="K280" s="82"/>
      <c r="L280" s="82"/>
      <c r="M280" s="82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43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</row>
    <row r="281" spans="1:59" ht="15" customHeight="1">
      <c r="A281" s="117"/>
      <c r="B281" s="100"/>
      <c r="C281" s="516"/>
      <c r="D281" s="110"/>
      <c r="E281" s="515"/>
      <c r="F281" s="515"/>
      <c r="G281" s="515"/>
      <c r="H281" s="515"/>
      <c r="I281" s="515"/>
      <c r="J281" s="80"/>
      <c r="K281" s="82"/>
      <c r="L281" s="82"/>
      <c r="M281" s="82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437"/>
      <c r="Y281" s="117"/>
      <c r="Z281" s="117"/>
      <c r="AA281" s="117"/>
      <c r="AB281" s="117"/>
      <c r="AC281" s="117"/>
      <c r="AD281" s="117"/>
      <c r="AE281" s="117"/>
      <c r="AF281" s="117"/>
      <c r="AG281" s="117"/>
      <c r="AH281" s="117"/>
      <c r="AI281" s="117"/>
      <c r="AJ281" s="117"/>
      <c r="AK281" s="117"/>
      <c r="AL281" s="117"/>
      <c r="AM281" s="117"/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</row>
    <row r="282" spans="1:59" ht="15" customHeight="1">
      <c r="A282" s="117"/>
      <c r="B282" s="100"/>
      <c r="C282" s="95"/>
      <c r="D282" s="110"/>
      <c r="E282" s="515"/>
      <c r="F282" s="515"/>
      <c r="G282" s="515"/>
      <c r="H282" s="515"/>
      <c r="I282" s="515"/>
      <c r="J282" s="80"/>
      <c r="K282" s="82"/>
      <c r="L282" s="82"/>
      <c r="M282" s="82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43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  <c r="AT282" s="117"/>
      <c r="AU282" s="117"/>
      <c r="AV282" s="117"/>
      <c r="AW282" s="117"/>
      <c r="AX282" s="117"/>
      <c r="AY282" s="117"/>
      <c r="AZ282" s="117"/>
      <c r="BA282" s="117"/>
      <c r="BB282" s="117"/>
      <c r="BC282" s="117"/>
      <c r="BD282" s="117"/>
      <c r="BE282" s="117"/>
      <c r="BF282" s="117"/>
      <c r="BG282" s="117"/>
    </row>
    <row r="283" spans="1:59" ht="15" customHeight="1">
      <c r="A283" s="117"/>
      <c r="B283" s="100"/>
      <c r="C283" s="117"/>
      <c r="D283" s="110"/>
      <c r="E283" s="515"/>
      <c r="F283" s="515"/>
      <c r="G283" s="515"/>
      <c r="H283" s="515"/>
      <c r="I283" s="515"/>
      <c r="J283" s="80"/>
      <c r="K283" s="82"/>
      <c r="L283" s="82"/>
      <c r="M283" s="82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43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117"/>
      <c r="BD283" s="117"/>
      <c r="BE283" s="117"/>
      <c r="BF283" s="117"/>
      <c r="BG283" s="117"/>
    </row>
    <row r="284" spans="1:59" ht="15" customHeight="1">
      <c r="A284" s="117"/>
      <c r="B284" s="100"/>
      <c r="C284" s="483"/>
      <c r="D284" s="110"/>
      <c r="E284" s="515"/>
      <c r="F284" s="515"/>
      <c r="G284" s="515"/>
      <c r="H284" s="515"/>
      <c r="I284" s="515"/>
      <c r="J284" s="1083"/>
      <c r="K284" s="82"/>
      <c r="L284" s="82"/>
      <c r="M284" s="82"/>
      <c r="N284" s="1083"/>
      <c r="O284" s="80"/>
      <c r="P284" s="80"/>
      <c r="Q284" s="80"/>
      <c r="R284" s="80"/>
      <c r="S284" s="80"/>
      <c r="T284" s="80"/>
      <c r="U284" s="80"/>
      <c r="V284" s="80"/>
      <c r="W284" s="80"/>
      <c r="X284" s="43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  <c r="BA284" s="117"/>
      <c r="BB284" s="117"/>
      <c r="BC284" s="117"/>
      <c r="BD284" s="117"/>
      <c r="BE284" s="117"/>
      <c r="BF284" s="117"/>
      <c r="BG284" s="117"/>
    </row>
    <row r="285" spans="1:59" ht="15" customHeight="1">
      <c r="A285" s="117"/>
      <c r="B285" s="100"/>
      <c r="C285" s="516"/>
      <c r="D285" s="110"/>
      <c r="E285" s="515"/>
      <c r="F285" s="515"/>
      <c r="G285" s="515"/>
      <c r="H285" s="515"/>
      <c r="I285" s="515"/>
      <c r="J285" s="80"/>
      <c r="K285" s="80"/>
      <c r="L285" s="82"/>
      <c r="M285" s="82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437"/>
      <c r="Y285" s="117"/>
      <c r="Z285" s="117"/>
      <c r="AA285" s="117"/>
      <c r="AB285" s="117"/>
      <c r="AC285" s="117"/>
      <c r="AD285" s="117"/>
      <c r="AE285" s="117"/>
      <c r="AF285" s="117"/>
      <c r="AG285" s="117"/>
      <c r="AH285" s="117"/>
      <c r="AI285" s="117"/>
      <c r="AJ285" s="117"/>
      <c r="AK285" s="117"/>
      <c r="AL285" s="117"/>
      <c r="AM285" s="117"/>
      <c r="AN285" s="117"/>
      <c r="AO285" s="117"/>
      <c r="AP285" s="117"/>
      <c r="AQ285" s="117"/>
      <c r="AR285" s="117"/>
      <c r="AS285" s="117"/>
      <c r="AT285" s="117"/>
      <c r="AU285" s="117"/>
      <c r="AV285" s="117"/>
      <c r="AW285" s="117"/>
      <c r="AX285" s="117"/>
      <c r="AY285" s="117"/>
      <c r="AZ285" s="117"/>
      <c r="BA285" s="117"/>
      <c r="BB285" s="117"/>
      <c r="BC285" s="117"/>
      <c r="BD285" s="117"/>
      <c r="BE285" s="117"/>
      <c r="BF285" s="117"/>
      <c r="BG285" s="117"/>
    </row>
    <row r="286" spans="1:59" ht="15" customHeight="1">
      <c r="A286" s="117"/>
      <c r="B286" s="100"/>
      <c r="C286" s="516"/>
      <c r="D286" s="110"/>
      <c r="E286" s="515"/>
      <c r="F286" s="515"/>
      <c r="G286" s="515"/>
      <c r="H286" s="515"/>
      <c r="I286" s="515"/>
      <c r="J286" s="80"/>
      <c r="K286" s="82"/>
      <c r="L286" s="82"/>
      <c r="M286" s="82"/>
      <c r="N286" s="80"/>
      <c r="O286" s="80"/>
      <c r="P286" s="80"/>
      <c r="Q286" s="80"/>
      <c r="R286" s="80"/>
      <c r="S286" s="1083"/>
      <c r="T286" s="1083"/>
      <c r="U286" s="1083"/>
      <c r="V286" s="1083"/>
      <c r="W286" s="1083"/>
      <c r="X286" s="437"/>
      <c r="Y286" s="117"/>
      <c r="Z286" s="117"/>
      <c r="AA286" s="117"/>
      <c r="AB286" s="117"/>
      <c r="AC286" s="117"/>
      <c r="AD286" s="117"/>
      <c r="AE286" s="117"/>
      <c r="AF286" s="117"/>
      <c r="AG286" s="117"/>
      <c r="AH286" s="117"/>
      <c r="AI286" s="117"/>
      <c r="AJ286" s="117"/>
      <c r="AK286" s="117"/>
      <c r="AL286" s="117"/>
      <c r="AM286" s="117"/>
      <c r="AN286" s="117"/>
      <c r="AO286" s="117"/>
      <c r="AP286" s="117"/>
      <c r="AQ286" s="117"/>
      <c r="AR286" s="117"/>
      <c r="AS286" s="117"/>
      <c r="AT286" s="117"/>
      <c r="AU286" s="117"/>
      <c r="AV286" s="117"/>
      <c r="AW286" s="117"/>
      <c r="AX286" s="117"/>
      <c r="AY286" s="117"/>
      <c r="AZ286" s="117"/>
      <c r="BA286" s="117"/>
      <c r="BB286" s="117"/>
      <c r="BC286" s="117"/>
      <c r="BD286" s="117"/>
      <c r="BE286" s="117"/>
      <c r="BF286" s="117"/>
      <c r="BG286" s="117"/>
    </row>
    <row r="287" spans="1:59" ht="15" customHeight="1">
      <c r="A287" s="117"/>
      <c r="B287" s="100"/>
      <c r="C287" s="516"/>
      <c r="D287" s="110"/>
      <c r="E287" s="515"/>
      <c r="F287" s="515"/>
      <c r="G287" s="515"/>
      <c r="H287" s="515"/>
      <c r="I287" s="515"/>
      <c r="J287" s="80"/>
      <c r="K287" s="82"/>
      <c r="L287" s="82"/>
      <c r="M287" s="82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437"/>
      <c r="Y287" s="117"/>
      <c r="Z287" s="117"/>
      <c r="AA287" s="117"/>
      <c r="AB287" s="117"/>
      <c r="AC287" s="117"/>
      <c r="AD287" s="117"/>
      <c r="AE287" s="117"/>
      <c r="AF287" s="117"/>
      <c r="AG287" s="117"/>
      <c r="AH287" s="117"/>
      <c r="AI287" s="117"/>
      <c r="AJ287" s="117"/>
      <c r="AK287" s="117"/>
      <c r="AL287" s="117"/>
      <c r="AM287" s="117"/>
      <c r="AN287" s="117"/>
      <c r="AO287" s="117"/>
      <c r="AP287" s="117"/>
      <c r="AQ287" s="117"/>
      <c r="AR287" s="117"/>
      <c r="AS287" s="117"/>
      <c r="AT287" s="117"/>
      <c r="AU287" s="117"/>
      <c r="AV287" s="117"/>
      <c r="AW287" s="117"/>
      <c r="AX287" s="117"/>
      <c r="AY287" s="117"/>
      <c r="AZ287" s="117"/>
      <c r="BA287" s="117"/>
      <c r="BB287" s="117"/>
      <c r="BC287" s="117"/>
      <c r="BD287" s="117"/>
      <c r="BE287" s="117"/>
      <c r="BF287" s="117"/>
      <c r="BG287" s="117"/>
    </row>
    <row r="288" spans="1:59" ht="15" customHeight="1">
      <c r="A288" s="117"/>
      <c r="B288" s="100"/>
      <c r="C288" s="516"/>
      <c r="D288" s="110"/>
      <c r="E288" s="515"/>
      <c r="F288" s="515"/>
      <c r="G288" s="515"/>
      <c r="H288" s="515"/>
      <c r="I288" s="515"/>
      <c r="J288" s="1083"/>
      <c r="K288" s="1099"/>
      <c r="L288" s="1099"/>
      <c r="M288" s="1099"/>
      <c r="N288" s="1083"/>
      <c r="O288" s="1083"/>
      <c r="P288" s="1083"/>
      <c r="Q288" s="1083"/>
      <c r="R288" s="1083"/>
      <c r="S288" s="80"/>
      <c r="T288" s="80"/>
      <c r="U288" s="80"/>
      <c r="V288" s="80"/>
      <c r="W288" s="80"/>
      <c r="X288" s="43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  <c r="AT288" s="117"/>
      <c r="AU288" s="117"/>
      <c r="AV288" s="117"/>
      <c r="AW288" s="117"/>
      <c r="AX288" s="117"/>
      <c r="AY288" s="117"/>
      <c r="AZ288" s="117"/>
      <c r="BA288" s="117"/>
      <c r="BB288" s="117"/>
      <c r="BC288" s="117"/>
      <c r="BD288" s="117"/>
      <c r="BE288" s="117"/>
      <c r="BF288" s="117"/>
      <c r="BG288" s="117"/>
    </row>
    <row r="289" spans="1:59" ht="15" customHeight="1">
      <c r="A289" s="117"/>
      <c r="B289" s="100"/>
      <c r="C289" s="95"/>
      <c r="D289" s="110"/>
      <c r="E289" s="515"/>
      <c r="F289" s="515"/>
      <c r="G289" s="515"/>
      <c r="H289" s="515"/>
      <c r="I289" s="515"/>
      <c r="J289" s="80"/>
      <c r="K289" s="82"/>
      <c r="L289" s="82"/>
      <c r="M289" s="82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43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  <c r="AZ289" s="117"/>
      <c r="BA289" s="117"/>
      <c r="BB289" s="117"/>
      <c r="BC289" s="117"/>
      <c r="BD289" s="117"/>
      <c r="BE289" s="117"/>
      <c r="BF289" s="117"/>
      <c r="BG289" s="117"/>
    </row>
    <row r="290" spans="1:59" ht="15" customHeight="1">
      <c r="A290" s="117"/>
      <c r="B290" s="100"/>
      <c r="C290" s="117"/>
      <c r="D290" s="110"/>
      <c r="E290" s="515"/>
      <c r="F290" s="515"/>
      <c r="G290" s="515"/>
      <c r="H290" s="515"/>
      <c r="I290" s="515"/>
      <c r="J290" s="80"/>
      <c r="K290" s="82"/>
      <c r="L290" s="82"/>
      <c r="M290" s="82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43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</row>
    <row r="291" spans="1:59" ht="15" customHeight="1">
      <c r="A291" s="117"/>
      <c r="B291" s="100"/>
      <c r="C291" s="95"/>
      <c r="D291" s="110"/>
      <c r="E291" s="515"/>
      <c r="F291" s="515"/>
      <c r="G291" s="515"/>
      <c r="H291" s="515"/>
      <c r="I291" s="515"/>
      <c r="J291" s="80"/>
      <c r="K291" s="82"/>
      <c r="L291" s="82"/>
      <c r="M291" s="82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437"/>
      <c r="Y291" s="117"/>
      <c r="Z291" s="117"/>
      <c r="AA291" s="117"/>
      <c r="AB291" s="117"/>
      <c r="AC291" s="117"/>
      <c r="AD291" s="117"/>
      <c r="AE291" s="117"/>
      <c r="AF291" s="117"/>
      <c r="AG291" s="117"/>
      <c r="AH291" s="117"/>
      <c r="AI291" s="117"/>
      <c r="AJ291" s="117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7"/>
      <c r="AY291" s="117"/>
      <c r="AZ291" s="117"/>
      <c r="BA291" s="117"/>
      <c r="BB291" s="117"/>
      <c r="BC291" s="117"/>
      <c r="BD291" s="117"/>
      <c r="BE291" s="117"/>
      <c r="BF291" s="117"/>
      <c r="BG291" s="117"/>
    </row>
    <row r="292" spans="1:59" ht="15" customHeight="1">
      <c r="A292" s="117"/>
      <c r="B292" s="100"/>
      <c r="C292" s="95"/>
      <c r="D292" s="110"/>
      <c r="E292" s="515"/>
      <c r="F292" s="515"/>
      <c r="G292" s="515"/>
      <c r="H292" s="515"/>
      <c r="I292" s="515"/>
      <c r="J292" s="80"/>
      <c r="K292" s="82"/>
      <c r="L292" s="82"/>
      <c r="M292" s="82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437"/>
      <c r="Y292" s="117"/>
      <c r="Z292" s="117"/>
      <c r="AA292" s="117"/>
      <c r="AB292" s="117"/>
      <c r="AC292" s="117"/>
      <c r="AD292" s="117"/>
      <c r="AE292" s="117"/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  <c r="BA292" s="117"/>
      <c r="BB292" s="117"/>
      <c r="BC292" s="117"/>
      <c r="BD292" s="117"/>
      <c r="BE292" s="117"/>
      <c r="BF292" s="117"/>
      <c r="BG292" s="117"/>
    </row>
    <row r="293" spans="1:59" ht="15" customHeight="1">
      <c r="A293" s="117"/>
      <c r="B293" s="100"/>
      <c r="C293" s="483"/>
      <c r="D293" s="110"/>
      <c r="E293" s="515"/>
      <c r="F293" s="515"/>
      <c r="G293" s="515"/>
      <c r="H293" s="515"/>
      <c r="I293" s="515"/>
      <c r="J293" s="80"/>
      <c r="K293" s="82"/>
      <c r="L293" s="82"/>
      <c r="M293" s="82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437"/>
      <c r="Y293" s="117"/>
      <c r="Z293" s="117"/>
      <c r="AA293" s="117"/>
      <c r="AB293" s="117"/>
      <c r="AC293" s="117"/>
      <c r="AD293" s="117"/>
      <c r="AE293" s="117"/>
      <c r="AF293" s="117"/>
      <c r="AG293" s="117"/>
      <c r="AH293" s="117"/>
      <c r="AI293" s="117"/>
      <c r="AJ293" s="117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7"/>
      <c r="AY293" s="117"/>
      <c r="AZ293" s="117"/>
      <c r="BA293" s="117"/>
      <c r="BB293" s="117"/>
      <c r="BC293" s="117"/>
      <c r="BD293" s="117"/>
      <c r="BE293" s="117"/>
      <c r="BF293" s="117"/>
      <c r="BG293" s="117"/>
    </row>
    <row r="294" spans="1:59" ht="15" customHeight="1">
      <c r="A294" s="117"/>
      <c r="B294" s="100"/>
      <c r="C294" s="516"/>
      <c r="D294" s="110"/>
      <c r="E294" s="515"/>
      <c r="F294" s="515"/>
      <c r="G294" s="515"/>
      <c r="H294" s="515"/>
      <c r="I294" s="515"/>
      <c r="J294" s="80"/>
      <c r="K294" s="82"/>
      <c r="L294" s="82"/>
      <c r="M294" s="82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43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7"/>
      <c r="AY294" s="117"/>
      <c r="AZ294" s="117"/>
      <c r="BA294" s="117"/>
      <c r="BB294" s="117"/>
      <c r="BC294" s="117"/>
      <c r="BD294" s="117"/>
      <c r="BE294" s="117"/>
      <c r="BF294" s="117"/>
      <c r="BG294" s="117"/>
    </row>
    <row r="295" spans="1:59" ht="15" customHeight="1">
      <c r="A295" s="117"/>
      <c r="B295" s="100"/>
      <c r="C295" s="516"/>
      <c r="D295" s="110"/>
      <c r="E295" s="515"/>
      <c r="F295" s="515"/>
      <c r="G295" s="515"/>
      <c r="H295" s="515"/>
      <c r="I295" s="515"/>
      <c r="J295" s="80"/>
      <c r="K295" s="82"/>
      <c r="L295" s="82"/>
      <c r="M295" s="82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43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7"/>
      <c r="AY295" s="117"/>
      <c r="AZ295" s="117"/>
      <c r="BA295" s="117"/>
      <c r="BB295" s="117"/>
      <c r="BC295" s="117"/>
      <c r="BD295" s="117"/>
      <c r="BE295" s="117"/>
      <c r="BF295" s="117"/>
      <c r="BG295" s="117"/>
    </row>
    <row r="296" spans="1:59" ht="15" customHeight="1">
      <c r="A296" s="117"/>
      <c r="B296" s="100"/>
      <c r="C296" s="516"/>
      <c r="D296" s="110"/>
      <c r="E296" s="515"/>
      <c r="F296" s="515"/>
      <c r="G296" s="515"/>
      <c r="H296" s="515"/>
      <c r="I296" s="515"/>
      <c r="J296" s="80"/>
      <c r="K296" s="82"/>
      <c r="L296" s="82"/>
      <c r="M296" s="82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43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  <c r="AZ296" s="117"/>
      <c r="BA296" s="117"/>
      <c r="BB296" s="117"/>
      <c r="BC296" s="117"/>
      <c r="BD296" s="117"/>
      <c r="BE296" s="117"/>
      <c r="BF296" s="117"/>
      <c r="BG296" s="117"/>
    </row>
    <row r="297" spans="1:59" ht="15" customHeight="1">
      <c r="A297" s="117"/>
      <c r="B297" s="100"/>
      <c r="C297" s="516"/>
      <c r="D297" s="110"/>
      <c r="E297" s="515"/>
      <c r="F297" s="515"/>
      <c r="G297" s="515"/>
      <c r="H297" s="515"/>
      <c r="I297" s="515"/>
      <c r="J297" s="80"/>
      <c r="K297" s="82"/>
      <c r="L297" s="82"/>
      <c r="M297" s="82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43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117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117"/>
      <c r="BD297" s="117"/>
      <c r="BE297" s="117"/>
      <c r="BF297" s="117"/>
      <c r="BG297" s="117"/>
    </row>
    <row r="298" spans="1:59" ht="15" customHeight="1">
      <c r="A298" s="117"/>
      <c r="B298" s="100"/>
      <c r="C298" s="516"/>
      <c r="D298" s="110"/>
      <c r="E298" s="515"/>
      <c r="F298" s="515"/>
      <c r="G298" s="515"/>
      <c r="H298" s="515"/>
      <c r="I298" s="515"/>
      <c r="J298" s="80"/>
      <c r="K298" s="82"/>
      <c r="L298" s="82"/>
      <c r="M298" s="82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437"/>
      <c r="Y298" s="117"/>
      <c r="Z298" s="117"/>
      <c r="AA298" s="117"/>
      <c r="AB298" s="117"/>
      <c r="AC298" s="117"/>
      <c r="AD298" s="117"/>
      <c r="AE298" s="117"/>
      <c r="AF298" s="117"/>
      <c r="AG298" s="117"/>
      <c r="AH298" s="117"/>
      <c r="AI298" s="117"/>
      <c r="AJ298" s="117"/>
      <c r="AK298" s="117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  <c r="AZ298" s="117"/>
      <c r="BA298" s="117"/>
      <c r="BB298" s="117"/>
      <c r="BC298" s="117"/>
      <c r="BD298" s="117"/>
      <c r="BE298" s="117"/>
      <c r="BF298" s="117"/>
      <c r="BG298" s="117"/>
    </row>
    <row r="299" spans="1:59" ht="15" customHeight="1">
      <c r="A299" s="117"/>
      <c r="B299" s="100"/>
      <c r="C299" s="516"/>
      <c r="D299" s="110"/>
      <c r="E299" s="515"/>
      <c r="F299" s="515"/>
      <c r="G299" s="515"/>
      <c r="H299" s="515"/>
      <c r="I299" s="515"/>
      <c r="J299" s="80"/>
      <c r="K299" s="82"/>
      <c r="L299" s="82"/>
      <c r="M299" s="82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437"/>
      <c r="Y299" s="117"/>
      <c r="Z299" s="117"/>
      <c r="AA299" s="117"/>
      <c r="AB299" s="117"/>
      <c r="AC299" s="117"/>
      <c r="AD299" s="117"/>
      <c r="AE299" s="117"/>
      <c r="AF299" s="117"/>
      <c r="AG299" s="117"/>
      <c r="AH299" s="117"/>
      <c r="AI299" s="117"/>
      <c r="AJ299" s="117"/>
      <c r="AK299" s="117"/>
      <c r="AL299" s="117"/>
      <c r="AM299" s="117"/>
      <c r="AN299" s="117"/>
      <c r="AO299" s="117"/>
      <c r="AP299" s="117"/>
      <c r="AQ299" s="117"/>
      <c r="AR299" s="117"/>
      <c r="AS299" s="117"/>
      <c r="AT299" s="117"/>
      <c r="AU299" s="117"/>
      <c r="AV299" s="117"/>
      <c r="AW299" s="117"/>
      <c r="AX299" s="117"/>
      <c r="AY299" s="117"/>
      <c r="AZ299" s="117"/>
      <c r="BA299" s="117"/>
      <c r="BB299" s="117"/>
      <c r="BC299" s="117"/>
      <c r="BD299" s="117"/>
      <c r="BE299" s="117"/>
      <c r="BF299" s="117"/>
      <c r="BG299" s="117"/>
    </row>
    <row r="300" spans="1:59" ht="15" customHeight="1">
      <c r="A300" s="117"/>
      <c r="B300" s="100"/>
      <c r="C300" s="516"/>
      <c r="D300" s="110"/>
      <c r="E300" s="515"/>
      <c r="F300" s="515"/>
      <c r="G300" s="515"/>
      <c r="H300" s="515"/>
      <c r="I300" s="515"/>
      <c r="J300" s="80"/>
      <c r="K300" s="82"/>
      <c r="L300" s="82"/>
      <c r="M300" s="82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437"/>
      <c r="Y300" s="117"/>
      <c r="Z300" s="117"/>
      <c r="AA300" s="117"/>
      <c r="AB300" s="117"/>
      <c r="AC300" s="117"/>
      <c r="AD300" s="117"/>
      <c r="AE300" s="117"/>
      <c r="AF300" s="117"/>
      <c r="AG300" s="117"/>
      <c r="AH300" s="117"/>
      <c r="AI300" s="117"/>
      <c r="AJ300" s="117"/>
      <c r="AK300" s="117"/>
      <c r="AL300" s="117"/>
      <c r="AM300" s="117"/>
      <c r="AN300" s="117"/>
      <c r="AO300" s="117"/>
      <c r="AP300" s="117"/>
      <c r="AQ300" s="117"/>
      <c r="AR300" s="117"/>
      <c r="AS300" s="117"/>
      <c r="AT300" s="117"/>
      <c r="AU300" s="117"/>
      <c r="AV300" s="117"/>
      <c r="AW300" s="117"/>
      <c r="AX300" s="117"/>
      <c r="AY300" s="117"/>
      <c r="AZ300" s="117"/>
      <c r="BA300" s="117"/>
      <c r="BB300" s="117"/>
      <c r="BC300" s="117"/>
      <c r="BD300" s="117"/>
      <c r="BE300" s="117"/>
      <c r="BF300" s="117"/>
      <c r="BG300" s="117"/>
    </row>
    <row r="301" spans="1:59" ht="15" customHeight="1">
      <c r="A301" s="117"/>
      <c r="B301" s="100"/>
      <c r="C301" s="95"/>
      <c r="D301" s="110"/>
      <c r="E301" s="515"/>
      <c r="F301" s="515"/>
      <c r="G301" s="515"/>
      <c r="H301" s="515"/>
      <c r="I301" s="515"/>
      <c r="J301" s="80"/>
      <c r="K301" s="82"/>
      <c r="L301" s="82"/>
      <c r="M301" s="82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437"/>
      <c r="Y301" s="117"/>
      <c r="Z301" s="117"/>
      <c r="AA301" s="117"/>
      <c r="AB301" s="117"/>
      <c r="AC301" s="117"/>
      <c r="AD301" s="117"/>
      <c r="AE301" s="117"/>
      <c r="AF301" s="117"/>
      <c r="AG301" s="117"/>
      <c r="AH301" s="117"/>
      <c r="AI301" s="117"/>
      <c r="AJ301" s="117"/>
      <c r="AK301" s="117"/>
      <c r="AL301" s="117"/>
      <c r="AM301" s="117"/>
      <c r="AN301" s="117"/>
      <c r="AO301" s="117"/>
      <c r="AP301" s="117"/>
      <c r="AQ301" s="117"/>
      <c r="AR301" s="117"/>
      <c r="AS301" s="117"/>
      <c r="AT301" s="117"/>
      <c r="AU301" s="117"/>
      <c r="AV301" s="117"/>
      <c r="AW301" s="117"/>
      <c r="AX301" s="117"/>
      <c r="AY301" s="117"/>
      <c r="AZ301" s="117"/>
      <c r="BA301" s="117"/>
      <c r="BB301" s="117"/>
      <c r="BC301" s="117"/>
      <c r="BD301" s="117"/>
      <c r="BE301" s="117"/>
      <c r="BF301" s="117"/>
      <c r="BG301" s="117"/>
    </row>
    <row r="302" spans="1:59" ht="15" customHeight="1">
      <c r="A302" s="117"/>
      <c r="B302" s="100"/>
      <c r="C302" s="117"/>
      <c r="D302" s="110"/>
      <c r="E302" s="515"/>
      <c r="F302" s="515"/>
      <c r="G302" s="515"/>
      <c r="H302" s="515"/>
      <c r="I302" s="515"/>
      <c r="J302" s="80"/>
      <c r="K302" s="82"/>
      <c r="L302" s="82"/>
      <c r="M302" s="82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437"/>
      <c r="Y302" s="117"/>
      <c r="Z302" s="117"/>
      <c r="AA302" s="117"/>
      <c r="AB302" s="117"/>
      <c r="AC302" s="117"/>
      <c r="AD302" s="117"/>
      <c r="AE302" s="117"/>
      <c r="AF302" s="117"/>
      <c r="AG302" s="117"/>
      <c r="AH302" s="117"/>
      <c r="AI302" s="117"/>
      <c r="AJ302" s="117"/>
      <c r="AK302" s="117"/>
      <c r="AL302" s="117"/>
      <c r="AM302" s="117"/>
      <c r="AN302" s="117"/>
      <c r="AO302" s="117"/>
      <c r="AP302" s="117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117"/>
    </row>
    <row r="303" spans="1:59" ht="15" customHeight="1">
      <c r="A303" s="117"/>
      <c r="B303" s="100"/>
      <c r="C303" s="110"/>
      <c r="D303" s="110"/>
      <c r="E303" s="515"/>
      <c r="F303" s="515"/>
      <c r="G303" s="515"/>
      <c r="H303" s="515"/>
      <c r="I303" s="515"/>
      <c r="J303" s="80"/>
      <c r="K303" s="82"/>
      <c r="L303" s="82"/>
      <c r="M303" s="82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43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  <c r="BA303" s="117"/>
      <c r="BB303" s="117"/>
      <c r="BC303" s="117"/>
      <c r="BD303" s="117"/>
      <c r="BE303" s="117"/>
      <c r="BF303" s="117"/>
      <c r="BG303" s="117"/>
    </row>
    <row r="304" spans="1:59" ht="15" customHeight="1">
      <c r="A304" s="117"/>
      <c r="B304" s="100"/>
      <c r="C304" s="483"/>
      <c r="D304" s="110"/>
      <c r="E304" s="515"/>
      <c r="F304" s="515"/>
      <c r="G304" s="515"/>
      <c r="H304" s="515"/>
      <c r="I304" s="515"/>
      <c r="J304" s="80"/>
      <c r="K304" s="82"/>
      <c r="L304" s="82"/>
      <c r="M304" s="82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437"/>
      <c r="Y304" s="117"/>
      <c r="Z304" s="117"/>
      <c r="AA304" s="117"/>
      <c r="AB304" s="117"/>
      <c r="AC304" s="117"/>
      <c r="AD304" s="117"/>
      <c r="AE304" s="117"/>
      <c r="AF304" s="117"/>
      <c r="AG304" s="117"/>
      <c r="AH304" s="117"/>
      <c r="AI304" s="117"/>
      <c r="AJ304" s="117"/>
      <c r="AK304" s="117"/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  <c r="AZ304" s="117"/>
      <c r="BA304" s="117"/>
      <c r="BB304" s="117"/>
      <c r="BC304" s="117"/>
      <c r="BD304" s="117"/>
      <c r="BE304" s="117"/>
      <c r="BF304" s="117"/>
      <c r="BG304" s="117"/>
    </row>
    <row r="305" spans="1:59" ht="15" customHeight="1">
      <c r="A305" s="117"/>
      <c r="B305" s="100"/>
      <c r="C305" s="117"/>
      <c r="D305" s="110"/>
      <c r="E305" s="515"/>
      <c r="F305" s="515"/>
      <c r="G305" s="515"/>
      <c r="H305" s="515"/>
      <c r="I305" s="515"/>
      <c r="J305" s="80"/>
      <c r="K305" s="82"/>
      <c r="L305" s="82"/>
      <c r="M305" s="82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437"/>
      <c r="Y305" s="117"/>
      <c r="Z305" s="117"/>
      <c r="AA305" s="117"/>
      <c r="AB305" s="117"/>
      <c r="AC305" s="117"/>
      <c r="AD305" s="117"/>
      <c r="AE305" s="117"/>
      <c r="AF305" s="117"/>
      <c r="AG305" s="117"/>
      <c r="AH305" s="117"/>
      <c r="AI305" s="117"/>
      <c r="AJ305" s="117"/>
      <c r="AK305" s="117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</row>
    <row r="306" spans="1:59" ht="15" customHeight="1">
      <c r="A306" s="117"/>
      <c r="B306" s="81"/>
      <c r="C306" s="483"/>
      <c r="D306" s="110"/>
      <c r="E306" s="515"/>
      <c r="F306" s="515"/>
      <c r="G306" s="515"/>
      <c r="H306" s="515"/>
      <c r="I306" s="515"/>
      <c r="J306" s="80"/>
      <c r="K306" s="82"/>
      <c r="L306" s="82"/>
      <c r="M306" s="82"/>
      <c r="N306" s="80"/>
      <c r="O306" s="80"/>
      <c r="P306" s="80"/>
      <c r="Q306" s="80"/>
      <c r="R306" s="80"/>
      <c r="S306" s="1128"/>
      <c r="T306" s="1129"/>
      <c r="U306" s="1129"/>
      <c r="V306" s="1128"/>
      <c r="W306" s="1128"/>
      <c r="X306" s="437"/>
      <c r="Y306" s="117"/>
      <c r="Z306" s="117"/>
      <c r="AA306" s="117"/>
      <c r="AB306" s="117"/>
      <c r="AC306" s="117"/>
      <c r="AD306" s="117"/>
      <c r="AE306" s="117"/>
      <c r="AF306" s="117"/>
      <c r="AG306" s="117"/>
      <c r="AH306" s="117"/>
      <c r="AI306" s="117"/>
      <c r="AJ306" s="117"/>
      <c r="AK306" s="117"/>
      <c r="AL306" s="117"/>
      <c r="AM306" s="117"/>
      <c r="AN306" s="117"/>
      <c r="AO306" s="117"/>
      <c r="AP306" s="117"/>
      <c r="AQ306" s="117"/>
      <c r="AR306" s="117"/>
      <c r="AS306" s="117"/>
      <c r="AT306" s="117"/>
      <c r="AU306" s="117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/>
      <c r="BG306" s="117"/>
    </row>
    <row r="307" spans="1:59" ht="15" customHeight="1">
      <c r="A307" s="117"/>
      <c r="B307" s="81"/>
      <c r="C307" s="483"/>
      <c r="D307" s="110"/>
      <c r="E307" s="515"/>
      <c r="F307" s="515"/>
      <c r="G307" s="515"/>
      <c r="H307" s="515"/>
      <c r="I307" s="515"/>
      <c r="J307" s="80"/>
      <c r="K307" s="82"/>
      <c r="L307" s="82"/>
      <c r="M307" s="82"/>
      <c r="N307" s="80"/>
      <c r="O307" s="80"/>
      <c r="P307" s="80"/>
      <c r="Q307" s="80"/>
      <c r="R307" s="80"/>
      <c r="S307" s="1124"/>
      <c r="T307" s="1124"/>
      <c r="U307" s="1124"/>
      <c r="V307" s="1124"/>
      <c r="W307" s="1124"/>
      <c r="X307" s="437"/>
      <c r="Y307" s="117"/>
      <c r="Z307" s="117"/>
      <c r="AA307" s="117"/>
      <c r="AB307" s="117"/>
      <c r="AC307" s="117"/>
      <c r="AD307" s="117"/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/>
      <c r="BE307" s="117"/>
      <c r="BF307" s="117"/>
      <c r="BG307" s="117"/>
    </row>
    <row r="308" spans="1:59" ht="15" customHeight="1">
      <c r="A308" s="117"/>
      <c r="B308" s="81"/>
      <c r="C308" s="483"/>
      <c r="D308" s="117"/>
      <c r="E308" s="515"/>
      <c r="F308" s="515"/>
      <c r="G308" s="81"/>
      <c r="H308" s="81"/>
      <c r="I308" s="1130"/>
      <c r="J308" s="1131"/>
      <c r="K308" s="1131"/>
      <c r="L308" s="1131"/>
      <c r="M308" s="1131"/>
      <c r="N308" s="1132"/>
      <c r="O308" s="1128"/>
      <c r="P308" s="1128"/>
      <c r="Q308" s="1128"/>
      <c r="R308" s="1128"/>
      <c r="S308" s="81"/>
      <c r="T308" s="515"/>
      <c r="U308" s="515"/>
      <c r="V308" s="81"/>
      <c r="W308" s="81"/>
      <c r="X308" s="43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117"/>
      <c r="AW308" s="117"/>
      <c r="AX308" s="117"/>
      <c r="AY308" s="117"/>
      <c r="AZ308" s="117"/>
      <c r="BA308" s="117"/>
      <c r="BB308" s="117"/>
      <c r="BC308" s="117"/>
      <c r="BD308" s="117"/>
      <c r="BE308" s="117"/>
      <c r="BF308" s="117"/>
      <c r="BG308" s="117"/>
    </row>
    <row r="309" spans="1:59" ht="15" customHeight="1">
      <c r="A309" s="117"/>
      <c r="B309" s="81"/>
      <c r="C309" s="1125"/>
      <c r="D309" s="1133"/>
      <c r="E309" s="1126"/>
      <c r="F309" s="1124"/>
      <c r="G309" s="1124"/>
      <c r="H309" s="1124"/>
      <c r="I309" s="1124"/>
      <c r="J309" s="1124"/>
      <c r="K309" s="1124"/>
      <c r="L309" s="1124"/>
      <c r="M309" s="1124"/>
      <c r="N309" s="1124"/>
      <c r="O309" s="1124"/>
      <c r="P309" s="1124"/>
      <c r="Q309" s="1124"/>
      <c r="R309" s="1124"/>
      <c r="S309" s="81"/>
      <c r="T309" s="515"/>
      <c r="U309" s="515"/>
      <c r="V309" s="81"/>
      <c r="W309" s="81"/>
      <c r="X309" s="43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</row>
    <row r="310" spans="1:59" ht="15" customHeight="1">
      <c r="A310" s="117"/>
      <c r="B310" s="81"/>
      <c r="C310" s="110"/>
      <c r="D310" s="117"/>
      <c r="E310" s="515"/>
      <c r="F310" s="515"/>
      <c r="G310" s="81"/>
      <c r="H310" s="81"/>
      <c r="I310" s="81"/>
      <c r="J310" s="118"/>
      <c r="K310" s="118"/>
      <c r="L310" s="118"/>
      <c r="M310" s="118"/>
      <c r="N310" s="81"/>
      <c r="O310" s="81"/>
      <c r="P310" s="81"/>
      <c r="Q310" s="81"/>
      <c r="R310" s="81"/>
      <c r="S310" s="81"/>
      <c r="T310" s="515"/>
      <c r="U310" s="515"/>
      <c r="V310" s="81"/>
      <c r="W310" s="81"/>
      <c r="X310" s="43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  <c r="AZ310" s="117"/>
      <c r="BA310" s="117"/>
      <c r="BB310" s="117"/>
      <c r="BC310" s="117"/>
      <c r="BD310" s="117"/>
      <c r="BE310" s="117"/>
      <c r="BF310" s="117"/>
      <c r="BG310" s="117"/>
    </row>
    <row r="311" spans="1:59">
      <c r="A311" s="117"/>
      <c r="B311" s="81"/>
      <c r="C311" s="110"/>
      <c r="D311" s="117"/>
      <c r="E311" s="515"/>
      <c r="F311" s="515"/>
      <c r="G311" s="81"/>
      <c r="H311" s="81"/>
      <c r="I311" s="81"/>
      <c r="J311" s="118"/>
      <c r="K311" s="118"/>
      <c r="L311" s="118"/>
      <c r="M311" s="118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43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117"/>
      <c r="AR311" s="117"/>
      <c r="AS311" s="117"/>
      <c r="AT311" s="117"/>
      <c r="AU311" s="117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117"/>
    </row>
    <row r="312" spans="1:59" ht="15">
      <c r="A312" s="117"/>
      <c r="B312" s="1104"/>
      <c r="C312" s="110"/>
      <c r="D312" s="117"/>
      <c r="E312" s="515"/>
      <c r="F312" s="515"/>
      <c r="G312" s="81"/>
      <c r="H312" s="81"/>
      <c r="I312" s="81"/>
      <c r="J312" s="118"/>
      <c r="K312" s="118"/>
      <c r="L312" s="118"/>
      <c r="M312" s="118"/>
      <c r="N312" s="81"/>
      <c r="O312" s="81"/>
      <c r="P312" s="81"/>
      <c r="Q312" s="81"/>
      <c r="R312" s="81"/>
      <c r="S312" s="81"/>
      <c r="T312" s="81"/>
      <c r="U312" s="81"/>
      <c r="V312" s="1105"/>
      <c r="W312" s="1105"/>
      <c r="X312" s="437"/>
      <c r="Y312" s="117"/>
      <c r="Z312" s="117"/>
      <c r="AA312" s="117"/>
      <c r="AB312" s="117"/>
      <c r="AC312" s="117"/>
      <c r="AD312" s="117"/>
      <c r="AE312" s="117"/>
      <c r="AF312" s="117"/>
      <c r="AG312" s="117"/>
      <c r="AH312" s="117"/>
      <c r="AI312" s="117"/>
      <c r="AJ312" s="117"/>
      <c r="AK312" s="117"/>
      <c r="AL312" s="117"/>
      <c r="AM312" s="117"/>
      <c r="AN312" s="117"/>
      <c r="AO312" s="117"/>
      <c r="AP312" s="117"/>
      <c r="AQ312" s="117"/>
      <c r="AR312" s="117"/>
      <c r="AS312" s="117"/>
      <c r="AT312" s="117"/>
      <c r="AU312" s="117"/>
      <c r="AV312" s="117"/>
      <c r="AW312" s="117"/>
      <c r="AX312" s="117"/>
      <c r="AY312" s="117"/>
      <c r="AZ312" s="117"/>
      <c r="BA312" s="117"/>
      <c r="BB312" s="117"/>
      <c r="BC312" s="117"/>
      <c r="BD312" s="117"/>
      <c r="BE312" s="117"/>
      <c r="BF312" s="117"/>
      <c r="BG312" s="117"/>
    </row>
    <row r="313" spans="1:59">
      <c r="A313" s="117"/>
      <c r="B313" s="81"/>
      <c r="C313" s="81"/>
      <c r="D313" s="81"/>
      <c r="E313" s="81"/>
      <c r="F313" s="81"/>
      <c r="G313" s="81"/>
      <c r="H313" s="81"/>
      <c r="I313" s="81"/>
      <c r="J313" s="118"/>
      <c r="K313" s="118"/>
      <c r="L313" s="118"/>
      <c r="M313" s="118"/>
      <c r="N313" s="81"/>
      <c r="O313" s="81"/>
      <c r="P313" s="81"/>
      <c r="Q313" s="81"/>
      <c r="R313" s="81"/>
      <c r="S313" s="81"/>
      <c r="T313" s="81"/>
      <c r="U313" s="81"/>
      <c r="V313" s="81"/>
      <c r="W313" s="1106"/>
      <c r="X313" s="437"/>
      <c r="Y313" s="117"/>
      <c r="Z313" s="117"/>
      <c r="AA313" s="117"/>
      <c r="AB313" s="117"/>
      <c r="AC313" s="117"/>
      <c r="AD313" s="117"/>
      <c r="AE313" s="117"/>
      <c r="AF313" s="117"/>
      <c r="AG313" s="117"/>
      <c r="AH313" s="117"/>
      <c r="AI313" s="117"/>
      <c r="AJ313" s="117"/>
      <c r="AK313" s="117"/>
      <c r="AL313" s="117"/>
      <c r="AM313" s="117"/>
      <c r="AN313" s="117"/>
      <c r="AO313" s="117"/>
      <c r="AP313" s="117"/>
      <c r="AQ313" s="117"/>
      <c r="AR313" s="117"/>
      <c r="AS313" s="117"/>
      <c r="AT313" s="117"/>
      <c r="AU313" s="117"/>
      <c r="AV313" s="117"/>
      <c r="AW313" s="117"/>
      <c r="AX313" s="117"/>
      <c r="AY313" s="117"/>
      <c r="AZ313" s="117"/>
      <c r="BA313" s="117"/>
      <c r="BB313" s="117"/>
      <c r="BC313" s="117"/>
      <c r="BD313" s="117"/>
      <c r="BE313" s="117"/>
      <c r="BF313" s="117"/>
      <c r="BG313" s="117"/>
    </row>
    <row r="314" spans="1:59">
      <c r="A314" s="117"/>
      <c r="B314" s="81"/>
      <c r="C314" s="81"/>
      <c r="D314" s="81"/>
      <c r="E314" s="81"/>
      <c r="F314" s="81"/>
      <c r="G314" s="81"/>
      <c r="H314" s="81"/>
      <c r="I314" s="81"/>
      <c r="J314" s="118"/>
      <c r="K314" s="118"/>
      <c r="L314" s="118"/>
      <c r="M314" s="118"/>
      <c r="N314" s="81"/>
      <c r="O314" s="81"/>
      <c r="P314" s="81"/>
      <c r="Q314" s="81"/>
      <c r="R314" s="81"/>
      <c r="S314" s="117"/>
      <c r="T314" s="117"/>
      <c r="U314" s="117"/>
      <c r="V314" s="117"/>
      <c r="W314" s="117"/>
      <c r="X314" s="437"/>
      <c r="Y314" s="117"/>
      <c r="Z314" s="117"/>
      <c r="AA314" s="117"/>
      <c r="AB314" s="117"/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/>
      <c r="AN314" s="117"/>
      <c r="AO314" s="117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117"/>
    </row>
    <row r="315" spans="1:59" ht="3" customHeight="1">
      <c r="A315" s="117"/>
      <c r="B315" s="81"/>
      <c r="C315" s="1050"/>
      <c r="D315" s="81"/>
      <c r="E315" s="81"/>
      <c r="F315" s="81"/>
      <c r="G315" s="81"/>
      <c r="H315" s="81"/>
      <c r="I315" s="81"/>
      <c r="J315" s="118"/>
      <c r="K315" s="118"/>
      <c r="L315" s="118"/>
      <c r="M315" s="118"/>
      <c r="N315" s="81"/>
      <c r="O315" s="81"/>
      <c r="P315" s="81"/>
      <c r="Q315" s="81"/>
      <c r="R315" s="81"/>
      <c r="S315" s="1091"/>
      <c r="T315" s="1091"/>
      <c r="U315" s="1091"/>
      <c r="V315" s="1091"/>
      <c r="W315" s="1091"/>
      <c r="X315" s="437"/>
      <c r="Y315" s="117"/>
      <c r="Z315" s="117"/>
      <c r="AA315" s="117"/>
      <c r="AB315" s="117"/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117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117"/>
    </row>
    <row r="316" spans="1:59" ht="15" customHeight="1">
      <c r="A316" s="117"/>
      <c r="B316" s="81"/>
      <c r="C316" s="499"/>
      <c r="D316" s="117"/>
      <c r="E316" s="117"/>
      <c r="F316" s="117"/>
      <c r="G316" s="117"/>
      <c r="H316" s="117"/>
      <c r="I316" s="117"/>
      <c r="J316" s="118"/>
      <c r="K316" s="118"/>
      <c r="L316" s="118"/>
      <c r="M316" s="118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437"/>
      <c r="Y316" s="117"/>
      <c r="Z316" s="117"/>
      <c r="AA316" s="117"/>
      <c r="AB316" s="117"/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  <c r="AZ316" s="117"/>
      <c r="BA316" s="117"/>
      <c r="BB316" s="117"/>
      <c r="BC316" s="117"/>
      <c r="BD316" s="117"/>
      <c r="BE316" s="117"/>
      <c r="BF316" s="117"/>
      <c r="BG316" s="117"/>
    </row>
    <row r="317" spans="1:59" ht="15" customHeight="1">
      <c r="A317" s="117"/>
      <c r="B317" s="81"/>
      <c r="C317" s="1091"/>
      <c r="D317" s="1091"/>
      <c r="E317" s="1091"/>
      <c r="F317" s="1091"/>
      <c r="G317" s="1091"/>
      <c r="H317" s="1091"/>
      <c r="I317" s="1091"/>
      <c r="J317" s="1134"/>
      <c r="K317" s="1134"/>
      <c r="L317" s="1134"/>
      <c r="M317" s="1134"/>
      <c r="N317" s="1091"/>
      <c r="O317" s="1091"/>
      <c r="P317" s="1091"/>
      <c r="Q317" s="1091"/>
      <c r="R317" s="1091"/>
      <c r="S317" s="117"/>
      <c r="T317" s="117"/>
      <c r="U317" s="117"/>
      <c r="V317" s="117"/>
      <c r="W317" s="117"/>
      <c r="X317" s="43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  <c r="AZ317" s="117"/>
      <c r="BA317" s="117"/>
      <c r="BB317" s="117"/>
      <c r="BC317" s="117"/>
      <c r="BD317" s="117"/>
      <c r="BE317" s="117"/>
      <c r="BF317" s="117"/>
      <c r="BG317" s="117"/>
    </row>
    <row r="318" spans="1:59" ht="15" customHeight="1">
      <c r="A318" s="117"/>
      <c r="B318" s="81"/>
      <c r="C318" s="117"/>
      <c r="D318" s="117"/>
      <c r="E318" s="117"/>
      <c r="F318" s="117"/>
      <c r="G318" s="117"/>
      <c r="H318" s="117"/>
      <c r="I318" s="117"/>
      <c r="J318" s="118"/>
      <c r="K318" s="118"/>
      <c r="L318" s="118"/>
      <c r="M318" s="118"/>
      <c r="N318" s="117"/>
      <c r="O318" s="117"/>
      <c r="P318" s="117"/>
      <c r="Q318" s="117"/>
      <c r="R318" s="117"/>
      <c r="S318" s="1053"/>
      <c r="T318" s="1053"/>
      <c r="U318" s="1053"/>
      <c r="V318" s="1053"/>
      <c r="W318" s="1053"/>
      <c r="X318" s="43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  <c r="AZ318" s="117"/>
      <c r="BA318" s="117"/>
      <c r="BB318" s="117"/>
      <c r="BC318" s="117"/>
      <c r="BD318" s="117"/>
      <c r="BE318" s="117"/>
      <c r="BF318" s="117"/>
      <c r="BG318" s="117"/>
    </row>
    <row r="319" spans="1:59" ht="15" customHeight="1">
      <c r="A319" s="117"/>
      <c r="B319" s="81"/>
      <c r="C319" s="1078"/>
      <c r="D319" s="117"/>
      <c r="E319" s="117"/>
      <c r="F319" s="117"/>
      <c r="G319" s="117"/>
      <c r="H319" s="117"/>
      <c r="I319" s="117"/>
      <c r="J319" s="118"/>
      <c r="K319" s="118"/>
      <c r="L319" s="118"/>
      <c r="M319" s="118"/>
      <c r="N319" s="117"/>
      <c r="O319" s="117"/>
      <c r="P319" s="117"/>
      <c r="Q319" s="117"/>
      <c r="R319" s="117"/>
      <c r="S319" s="530"/>
      <c r="T319" s="530"/>
      <c r="U319" s="530"/>
      <c r="V319" s="530"/>
      <c r="W319" s="530"/>
      <c r="X319" s="43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  <c r="AZ319" s="117"/>
      <c r="BA319" s="117"/>
      <c r="BB319" s="117"/>
      <c r="BC319" s="117"/>
      <c r="BD319" s="117"/>
      <c r="BE319" s="117"/>
      <c r="BF319" s="117"/>
      <c r="BG319" s="117"/>
    </row>
    <row r="320" spans="1:59" ht="15" customHeight="1">
      <c r="A320" s="117"/>
      <c r="B320" s="81"/>
      <c r="C320" s="156"/>
      <c r="D320" s="100"/>
      <c r="E320" s="1127"/>
      <c r="F320" s="1127"/>
      <c r="G320" s="1127"/>
      <c r="H320" s="1127"/>
      <c r="I320" s="1127"/>
      <c r="J320" s="1094"/>
      <c r="K320" s="1094"/>
      <c r="L320" s="1094"/>
      <c r="M320" s="1094"/>
      <c r="N320" s="1053"/>
      <c r="O320" s="1053"/>
      <c r="P320" s="1053"/>
      <c r="Q320" s="1053"/>
      <c r="R320" s="1053"/>
      <c r="S320" s="1081"/>
      <c r="T320" s="1081"/>
      <c r="U320" s="1081"/>
      <c r="V320" s="1081"/>
      <c r="W320" s="1081"/>
      <c r="X320" s="437"/>
      <c r="Y320" s="117"/>
      <c r="Z320" s="117"/>
      <c r="AA320" s="117"/>
      <c r="AB320" s="117"/>
      <c r="AC320" s="117"/>
      <c r="AD320" s="117"/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/>
      <c r="AU320" s="117"/>
      <c r="AV320" s="117"/>
      <c r="AW320" s="117"/>
      <c r="AX320" s="117"/>
      <c r="AY320" s="117"/>
      <c r="AZ320" s="117"/>
      <c r="BA320" s="117"/>
      <c r="BB320" s="117"/>
      <c r="BC320" s="117"/>
      <c r="BD320" s="117"/>
      <c r="BE320" s="117"/>
      <c r="BF320" s="117"/>
      <c r="BG320" s="117"/>
    </row>
    <row r="321" spans="1:59" ht="15" customHeight="1">
      <c r="A321" s="117"/>
      <c r="B321" s="81"/>
      <c r="C321" s="156"/>
      <c r="D321" s="156"/>
      <c r="E321" s="530"/>
      <c r="F321" s="530"/>
      <c r="G321" s="530"/>
      <c r="H321" s="530"/>
      <c r="I321" s="1094"/>
      <c r="J321" s="1094"/>
      <c r="K321" s="1094"/>
      <c r="L321" s="1094"/>
      <c r="M321" s="1094"/>
      <c r="N321" s="1094"/>
      <c r="O321" s="530"/>
      <c r="P321" s="530"/>
      <c r="Q321" s="530"/>
      <c r="R321" s="530"/>
      <c r="S321" s="1081"/>
      <c r="T321" s="1081"/>
      <c r="U321" s="1081"/>
      <c r="V321" s="1081"/>
      <c r="W321" s="1081"/>
      <c r="X321" s="437"/>
      <c r="Y321" s="117"/>
      <c r="Z321" s="117"/>
      <c r="AA321" s="117"/>
      <c r="AB321" s="117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/>
      <c r="AS321" s="117"/>
      <c r="AT321" s="117"/>
      <c r="AU321" s="117"/>
      <c r="AV321" s="117"/>
      <c r="AW321" s="117"/>
      <c r="AX321" s="117"/>
      <c r="AY321" s="117"/>
      <c r="AZ321" s="117"/>
      <c r="BA321" s="117"/>
      <c r="BB321" s="117"/>
      <c r="BC321" s="117"/>
      <c r="BD321" s="117"/>
      <c r="BE321" s="117"/>
      <c r="BF321" s="117"/>
      <c r="BG321" s="117"/>
    </row>
    <row r="322" spans="1:59" ht="15" customHeight="1">
      <c r="A322" s="117"/>
      <c r="B322" s="81"/>
      <c r="C322" s="110"/>
      <c r="D322" s="110"/>
      <c r="E322" s="1135"/>
      <c r="F322" s="1081"/>
      <c r="G322" s="1081"/>
      <c r="H322" s="1081"/>
      <c r="I322" s="1081"/>
      <c r="J322" s="1136"/>
      <c r="K322" s="1136"/>
      <c r="L322" s="1136"/>
      <c r="M322" s="1136"/>
      <c r="N322" s="1081"/>
      <c r="O322" s="1081"/>
      <c r="P322" s="1081"/>
      <c r="Q322" s="1081"/>
      <c r="R322" s="1081"/>
      <c r="S322" s="515"/>
      <c r="T322" s="515"/>
      <c r="U322" s="515"/>
      <c r="V322" s="515"/>
      <c r="W322" s="515"/>
      <c r="X322" s="437"/>
      <c r="Y322" s="117"/>
      <c r="Z322" s="117"/>
      <c r="AA322" s="117"/>
      <c r="AB322" s="117"/>
      <c r="AC322" s="117"/>
      <c r="AD322" s="117"/>
      <c r="AE322" s="117"/>
      <c r="AF322" s="117"/>
      <c r="AG322" s="117"/>
      <c r="AH322" s="117"/>
      <c r="AI322" s="117"/>
      <c r="AJ322" s="117"/>
      <c r="AK322" s="117"/>
      <c r="AL322" s="117"/>
      <c r="AM322" s="117"/>
      <c r="AN322" s="117"/>
      <c r="AO322" s="117"/>
      <c r="AP322" s="117"/>
      <c r="AQ322" s="117"/>
      <c r="AR322" s="117"/>
      <c r="AS322" s="117"/>
      <c r="AT322" s="117"/>
      <c r="AU322" s="117"/>
      <c r="AV322" s="117"/>
      <c r="AW322" s="117"/>
      <c r="AX322" s="117"/>
      <c r="AY322" s="117"/>
      <c r="AZ322" s="117"/>
      <c r="BA322" s="117"/>
      <c r="BB322" s="117"/>
      <c r="BC322" s="117"/>
      <c r="BD322" s="117"/>
      <c r="BE322" s="117"/>
      <c r="BF322" s="117"/>
      <c r="BG322" s="117"/>
    </row>
    <row r="323" spans="1:59" ht="15" customHeight="1">
      <c r="A323" s="117"/>
      <c r="B323" s="81"/>
      <c r="C323" s="110"/>
      <c r="D323" s="110"/>
      <c r="E323" s="1135"/>
      <c r="F323" s="1081"/>
      <c r="G323" s="1081"/>
      <c r="H323" s="1081"/>
      <c r="I323" s="1081"/>
      <c r="J323" s="1136"/>
      <c r="K323" s="1136"/>
      <c r="L323" s="1136"/>
      <c r="M323" s="1136"/>
      <c r="N323" s="1081"/>
      <c r="O323" s="1081"/>
      <c r="P323" s="1081"/>
      <c r="Q323" s="1081"/>
      <c r="R323" s="1081"/>
      <c r="S323" s="83"/>
      <c r="T323" s="83"/>
      <c r="U323" s="83"/>
      <c r="V323" s="83"/>
      <c r="W323" s="83"/>
      <c r="X323" s="437"/>
      <c r="Y323" s="117"/>
      <c r="Z323" s="117"/>
      <c r="AA323" s="117"/>
      <c r="AB323" s="117"/>
      <c r="AC323" s="117"/>
      <c r="AD323" s="117"/>
      <c r="AE323" s="117"/>
      <c r="AF323" s="117"/>
      <c r="AG323" s="117"/>
      <c r="AH323" s="117"/>
      <c r="AI323" s="117"/>
      <c r="AJ323" s="117"/>
      <c r="AK323" s="117"/>
      <c r="AL323" s="117"/>
      <c r="AM323" s="117"/>
      <c r="AN323" s="117"/>
      <c r="AO323" s="117"/>
      <c r="AP323" s="117"/>
      <c r="AQ323" s="117"/>
      <c r="AR323" s="117"/>
      <c r="AS323" s="117"/>
      <c r="AT323" s="117"/>
      <c r="AU323" s="117"/>
      <c r="AV323" s="117"/>
      <c r="AW323" s="117"/>
      <c r="AX323" s="117"/>
      <c r="AY323" s="117"/>
      <c r="AZ323" s="117"/>
      <c r="BA323" s="117"/>
      <c r="BB323" s="117"/>
      <c r="BC323" s="117"/>
      <c r="BD323" s="117"/>
      <c r="BE323" s="117"/>
      <c r="BF323" s="117"/>
      <c r="BG323" s="117"/>
    </row>
    <row r="324" spans="1:59" ht="15" customHeight="1">
      <c r="A324" s="117"/>
      <c r="B324" s="81"/>
      <c r="C324" s="110"/>
      <c r="D324" s="110"/>
      <c r="E324" s="515"/>
      <c r="F324" s="515"/>
      <c r="G324" s="515"/>
      <c r="H324" s="515"/>
      <c r="I324" s="515"/>
      <c r="J324" s="513"/>
      <c r="K324" s="513"/>
      <c r="L324" s="513"/>
      <c r="M324" s="513"/>
      <c r="N324" s="515"/>
      <c r="O324" s="515"/>
      <c r="P324" s="515"/>
      <c r="Q324" s="515"/>
      <c r="R324" s="515"/>
      <c r="S324" s="83"/>
      <c r="T324" s="83"/>
      <c r="U324" s="83"/>
      <c r="V324" s="83"/>
      <c r="W324" s="83"/>
      <c r="X324" s="437"/>
      <c r="Y324" s="117"/>
      <c r="Z324" s="117"/>
      <c r="AA324" s="117"/>
      <c r="AB324" s="117"/>
      <c r="AC324" s="117"/>
      <c r="AD324" s="117"/>
      <c r="AE324" s="117"/>
      <c r="AF324" s="117"/>
      <c r="AG324" s="117"/>
      <c r="AH324" s="117"/>
      <c r="AI324" s="117"/>
      <c r="AJ324" s="117"/>
      <c r="AK324" s="117"/>
      <c r="AL324" s="117"/>
      <c r="AM324" s="117"/>
      <c r="AN324" s="117"/>
      <c r="AO324" s="117"/>
      <c r="AP324" s="117"/>
      <c r="AQ324" s="117"/>
      <c r="AR324" s="117"/>
      <c r="AS324" s="117"/>
      <c r="AT324" s="117"/>
      <c r="AU324" s="117"/>
      <c r="AV324" s="117"/>
      <c r="AW324" s="117"/>
      <c r="AX324" s="117"/>
      <c r="AY324" s="117"/>
      <c r="AZ324" s="117"/>
      <c r="BA324" s="117"/>
      <c r="BB324" s="117"/>
      <c r="BC324" s="117"/>
      <c r="BD324" s="117"/>
      <c r="BE324" s="117"/>
      <c r="BF324" s="117"/>
      <c r="BG324" s="117"/>
    </row>
    <row r="325" spans="1:59" ht="15" customHeight="1">
      <c r="A325" s="117"/>
      <c r="B325" s="81"/>
      <c r="C325" s="110"/>
      <c r="D325" s="110"/>
      <c r="E325" s="83"/>
      <c r="F325" s="83"/>
      <c r="G325" s="83"/>
      <c r="H325" s="83"/>
      <c r="I325" s="83"/>
      <c r="J325" s="83"/>
      <c r="K325" s="1137"/>
      <c r="L325" s="1137"/>
      <c r="M325" s="1137"/>
      <c r="N325" s="526"/>
      <c r="O325" s="83"/>
      <c r="P325" s="83"/>
      <c r="Q325" s="83"/>
      <c r="R325" s="83"/>
      <c r="S325" s="83"/>
      <c r="T325" s="83"/>
      <c r="U325" s="83"/>
      <c r="V325" s="83"/>
      <c r="W325" s="83"/>
      <c r="X325" s="43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  <c r="AJ325" s="117"/>
      <c r="AK325" s="117"/>
      <c r="AL325" s="117"/>
      <c r="AM325" s="117"/>
      <c r="AN325" s="117"/>
      <c r="AO325" s="117"/>
      <c r="AP325" s="117"/>
      <c r="AQ325" s="117"/>
      <c r="AR325" s="117"/>
      <c r="AS325" s="117"/>
      <c r="AT325" s="117"/>
      <c r="AU325" s="117"/>
      <c r="AV325" s="117"/>
      <c r="AW325" s="117"/>
      <c r="AX325" s="117"/>
      <c r="AY325" s="117"/>
      <c r="AZ325" s="117"/>
      <c r="BA325" s="117"/>
      <c r="BB325" s="117"/>
      <c r="BC325" s="117"/>
      <c r="BD325" s="117"/>
      <c r="BE325" s="117"/>
      <c r="BF325" s="117"/>
      <c r="BG325" s="117"/>
    </row>
    <row r="326" spans="1:59" ht="15" customHeight="1">
      <c r="A326" s="117"/>
      <c r="B326" s="81"/>
      <c r="C326" s="110"/>
      <c r="D326" s="110"/>
      <c r="E326" s="83"/>
      <c r="F326" s="83"/>
      <c r="G326" s="83"/>
      <c r="H326" s="83"/>
      <c r="I326" s="83"/>
      <c r="J326" s="83"/>
      <c r="K326" s="1137"/>
      <c r="L326" s="1137"/>
      <c r="M326" s="1137"/>
      <c r="N326" s="526"/>
      <c r="O326" s="83"/>
      <c r="P326" s="83"/>
      <c r="Q326" s="83"/>
      <c r="R326" s="83"/>
      <c r="S326" s="83"/>
      <c r="T326" s="83"/>
      <c r="U326" s="83"/>
      <c r="V326" s="83"/>
      <c r="W326" s="83"/>
      <c r="X326" s="43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  <c r="BA326" s="117"/>
      <c r="BB326" s="117"/>
      <c r="BC326" s="117"/>
      <c r="BD326" s="117"/>
      <c r="BE326" s="117"/>
      <c r="BF326" s="117"/>
      <c r="BG326" s="117"/>
    </row>
    <row r="327" spans="1:59" ht="15" customHeight="1">
      <c r="A327" s="117"/>
      <c r="B327" s="81"/>
      <c r="C327" s="110"/>
      <c r="D327" s="110"/>
      <c r="E327" s="83"/>
      <c r="F327" s="83"/>
      <c r="G327" s="83"/>
      <c r="H327" s="83"/>
      <c r="I327" s="83"/>
      <c r="J327" s="83"/>
      <c r="K327" s="1137"/>
      <c r="L327" s="1137"/>
      <c r="M327" s="1137"/>
      <c r="N327" s="526"/>
      <c r="O327" s="83"/>
      <c r="P327" s="83"/>
      <c r="Q327" s="83"/>
      <c r="R327" s="83"/>
      <c r="S327" s="83"/>
      <c r="T327" s="83"/>
      <c r="U327" s="83"/>
      <c r="V327" s="83"/>
      <c r="W327" s="83"/>
      <c r="X327" s="43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  <c r="AK327" s="117"/>
      <c r="AL327" s="117"/>
      <c r="AM327" s="117"/>
      <c r="AN327" s="117"/>
      <c r="AO327" s="117"/>
      <c r="AP327" s="117"/>
      <c r="AQ327" s="117"/>
      <c r="AR327" s="117"/>
      <c r="AS327" s="117"/>
      <c r="AT327" s="117"/>
      <c r="AU327" s="117"/>
      <c r="AV327" s="117"/>
      <c r="AW327" s="117"/>
      <c r="AX327" s="117"/>
      <c r="AY327" s="117"/>
      <c r="AZ327" s="117"/>
      <c r="BA327" s="117"/>
      <c r="BB327" s="117"/>
      <c r="BC327" s="117"/>
      <c r="BD327" s="117"/>
      <c r="BE327" s="117"/>
      <c r="BF327" s="117"/>
      <c r="BG327" s="117"/>
    </row>
    <row r="328" spans="1:59" ht="15" customHeight="1">
      <c r="A328" s="117"/>
      <c r="B328" s="81"/>
      <c r="C328" s="110"/>
      <c r="D328" s="110"/>
      <c r="E328" s="83"/>
      <c r="F328" s="83"/>
      <c r="G328" s="83"/>
      <c r="H328" s="83"/>
      <c r="I328" s="83"/>
      <c r="J328" s="83"/>
      <c r="K328" s="1137"/>
      <c r="L328" s="1137"/>
      <c r="M328" s="1137"/>
      <c r="N328" s="526"/>
      <c r="O328" s="83"/>
      <c r="P328" s="83"/>
      <c r="Q328" s="83"/>
      <c r="R328" s="83"/>
      <c r="S328" s="83"/>
      <c r="T328" s="83"/>
      <c r="U328" s="83"/>
      <c r="V328" s="83"/>
      <c r="W328" s="83"/>
      <c r="X328" s="43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  <c r="AK328" s="117"/>
      <c r="AL328" s="117"/>
      <c r="AM328" s="117"/>
      <c r="AN328" s="117"/>
      <c r="AO328" s="117"/>
      <c r="AP328" s="117"/>
      <c r="AQ328" s="117"/>
      <c r="AR328" s="117"/>
      <c r="AS328" s="117"/>
      <c r="AT328" s="117"/>
      <c r="AU328" s="117"/>
      <c r="AV328" s="117"/>
      <c r="AW328" s="117"/>
      <c r="AX328" s="117"/>
      <c r="AY328" s="117"/>
      <c r="AZ328" s="117"/>
      <c r="BA328" s="117"/>
      <c r="BB328" s="117"/>
      <c r="BC328" s="117"/>
      <c r="BD328" s="117"/>
      <c r="BE328" s="117"/>
      <c r="BF328" s="117"/>
      <c r="BG328" s="117"/>
    </row>
    <row r="329" spans="1:59" ht="15" customHeight="1">
      <c r="A329" s="117"/>
      <c r="B329" s="81"/>
      <c r="C329" s="110"/>
      <c r="D329" s="110"/>
      <c r="E329" s="83"/>
      <c r="F329" s="83"/>
      <c r="G329" s="83"/>
      <c r="H329" s="83"/>
      <c r="I329" s="83"/>
      <c r="J329" s="83"/>
      <c r="K329" s="1137"/>
      <c r="L329" s="1137"/>
      <c r="M329" s="1137"/>
      <c r="N329" s="526"/>
      <c r="O329" s="83"/>
      <c r="P329" s="83"/>
      <c r="Q329" s="83"/>
      <c r="R329" s="83"/>
      <c r="S329" s="515"/>
      <c r="T329" s="515"/>
      <c r="U329" s="515"/>
      <c r="V329" s="515"/>
      <c r="W329" s="515"/>
      <c r="X329" s="437"/>
      <c r="Y329" s="117"/>
      <c r="Z329" s="117"/>
      <c r="AA329" s="117"/>
      <c r="AB329" s="117"/>
      <c r="AC329" s="117"/>
      <c r="AD329" s="117"/>
      <c r="AE329" s="117"/>
      <c r="AF329" s="117"/>
      <c r="AG329" s="117"/>
      <c r="AH329" s="117"/>
      <c r="AI329" s="117"/>
      <c r="AJ329" s="117"/>
      <c r="AK329" s="117"/>
      <c r="AL329" s="117"/>
      <c r="AM329" s="117"/>
      <c r="AN329" s="117"/>
      <c r="AO329" s="117"/>
      <c r="AP329" s="117"/>
      <c r="AQ329" s="117"/>
      <c r="AR329" s="117"/>
      <c r="AS329" s="117"/>
      <c r="AT329" s="117"/>
      <c r="AU329" s="117"/>
      <c r="AV329" s="117"/>
      <c r="AW329" s="117"/>
      <c r="AX329" s="117"/>
      <c r="AY329" s="117"/>
      <c r="AZ329" s="117"/>
      <c r="BA329" s="117"/>
      <c r="BB329" s="117"/>
      <c r="BC329" s="117"/>
      <c r="BD329" s="117"/>
      <c r="BE329" s="117"/>
      <c r="BF329" s="117"/>
      <c r="BG329" s="117"/>
    </row>
    <row r="330" spans="1:59" ht="15" customHeight="1">
      <c r="A330" s="117"/>
      <c r="B330" s="110"/>
      <c r="C330" s="110"/>
      <c r="D330" s="110"/>
      <c r="E330" s="1138"/>
      <c r="F330" s="83"/>
      <c r="G330" s="83"/>
      <c r="H330" s="83"/>
      <c r="I330" s="83"/>
      <c r="J330" s="133"/>
      <c r="K330" s="133"/>
      <c r="L330" s="133"/>
      <c r="M330" s="133"/>
      <c r="N330" s="1139"/>
      <c r="O330" s="83"/>
      <c r="P330" s="83"/>
      <c r="Q330" s="83"/>
      <c r="R330" s="83"/>
      <c r="S330" s="80"/>
      <c r="T330" s="80"/>
      <c r="U330" s="80"/>
      <c r="V330" s="80"/>
      <c r="W330" s="80"/>
      <c r="X330" s="437"/>
      <c r="Y330" s="117"/>
      <c r="Z330" s="117"/>
      <c r="AA330" s="117"/>
      <c r="AB330" s="117"/>
      <c r="AC330" s="117"/>
      <c r="AD330" s="117"/>
      <c r="AE330" s="117"/>
      <c r="AF330" s="117"/>
      <c r="AG330" s="117"/>
      <c r="AH330" s="117"/>
      <c r="AI330" s="117"/>
      <c r="AJ330" s="117"/>
      <c r="AK330" s="117"/>
      <c r="AL330" s="117"/>
      <c r="AM330" s="117"/>
      <c r="AN330" s="117"/>
      <c r="AO330" s="117"/>
      <c r="AP330" s="117"/>
      <c r="AQ330" s="117"/>
      <c r="AR330" s="117"/>
      <c r="AS330" s="117"/>
      <c r="AT330" s="117"/>
      <c r="AU330" s="117"/>
      <c r="AV330" s="117"/>
      <c r="AW330" s="117"/>
      <c r="AX330" s="117"/>
      <c r="AY330" s="117"/>
      <c r="AZ330" s="117"/>
      <c r="BA330" s="117"/>
      <c r="BB330" s="117"/>
      <c r="BC330" s="117"/>
      <c r="BD330" s="117"/>
      <c r="BE330" s="117"/>
      <c r="BF330" s="117"/>
      <c r="BG330" s="117"/>
    </row>
    <row r="331" spans="1:59" ht="15" customHeight="1">
      <c r="A331" s="117"/>
      <c r="B331" s="81"/>
      <c r="C331" s="110"/>
      <c r="D331" s="110"/>
      <c r="E331" s="515"/>
      <c r="F331" s="515"/>
      <c r="G331" s="515"/>
      <c r="H331" s="515"/>
      <c r="I331" s="515"/>
      <c r="J331" s="513"/>
      <c r="K331" s="513"/>
      <c r="L331" s="513"/>
      <c r="M331" s="513"/>
      <c r="N331" s="515"/>
      <c r="O331" s="515"/>
      <c r="P331" s="515"/>
      <c r="Q331" s="515"/>
      <c r="R331" s="515"/>
      <c r="S331" s="80"/>
      <c r="T331" s="80"/>
      <c r="U331" s="80"/>
      <c r="V331" s="80"/>
      <c r="W331" s="80"/>
      <c r="X331" s="43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  <c r="AZ331" s="117"/>
      <c r="BA331" s="117"/>
      <c r="BB331" s="117"/>
      <c r="BC331" s="117"/>
      <c r="BD331" s="117"/>
      <c r="BE331" s="117"/>
      <c r="BF331" s="117"/>
      <c r="BG331" s="117"/>
    </row>
    <row r="332" spans="1:59" ht="15" customHeight="1">
      <c r="A332" s="117"/>
      <c r="B332" s="81"/>
      <c r="C332" s="110"/>
      <c r="D332" s="110"/>
      <c r="E332" s="515"/>
      <c r="F332" s="80"/>
      <c r="G332" s="80"/>
      <c r="H332" s="80"/>
      <c r="I332" s="80"/>
      <c r="J332" s="80"/>
      <c r="K332" s="80"/>
      <c r="L332" s="80"/>
      <c r="M332" s="80"/>
      <c r="N332" s="525"/>
      <c r="O332" s="80"/>
      <c r="P332" s="80"/>
      <c r="Q332" s="80"/>
      <c r="R332" s="80"/>
      <c r="S332" s="80"/>
      <c r="T332" s="80"/>
      <c r="U332" s="80"/>
      <c r="V332" s="80"/>
      <c r="W332" s="80"/>
      <c r="X332" s="437"/>
      <c r="Y332" s="117"/>
      <c r="Z332" s="117"/>
      <c r="AA332" s="117"/>
      <c r="AB332" s="117"/>
      <c r="AC332" s="117"/>
      <c r="AD332" s="117"/>
      <c r="AE332" s="117"/>
      <c r="AF332" s="117"/>
      <c r="AG332" s="117"/>
      <c r="AH332" s="117"/>
      <c r="AI332" s="117"/>
      <c r="AJ332" s="117"/>
      <c r="AK332" s="117"/>
      <c r="AL332" s="117"/>
      <c r="AM332" s="117"/>
      <c r="AN332" s="117"/>
      <c r="AO332" s="117"/>
      <c r="AP332" s="117"/>
      <c r="AQ332" s="117"/>
      <c r="AR332" s="117"/>
      <c r="AS332" s="117"/>
      <c r="AT332" s="117"/>
      <c r="AU332" s="117"/>
      <c r="AV332" s="117"/>
      <c r="AW332" s="117"/>
      <c r="AX332" s="117"/>
      <c r="AY332" s="117"/>
      <c r="AZ332" s="117"/>
      <c r="BA332" s="117"/>
      <c r="BB332" s="117"/>
      <c r="BC332" s="117"/>
      <c r="BD332" s="117"/>
      <c r="BE332" s="117"/>
      <c r="BF332" s="117"/>
      <c r="BG332" s="117"/>
    </row>
    <row r="333" spans="1:59" ht="15" customHeight="1">
      <c r="A333" s="117"/>
      <c r="B333" s="81"/>
      <c r="C333" s="110"/>
      <c r="D333" s="110"/>
      <c r="E333" s="515"/>
      <c r="F333" s="80"/>
      <c r="G333" s="80"/>
      <c r="H333" s="80"/>
      <c r="I333" s="80"/>
      <c r="J333" s="80"/>
      <c r="K333" s="80"/>
      <c r="L333" s="80"/>
      <c r="M333" s="80"/>
      <c r="N333" s="525"/>
      <c r="O333" s="80"/>
      <c r="P333" s="80"/>
      <c r="Q333" s="80"/>
      <c r="R333" s="80"/>
      <c r="S333" s="80"/>
      <c r="T333" s="80"/>
      <c r="U333" s="80"/>
      <c r="V333" s="80"/>
      <c r="W333" s="80"/>
      <c r="X333" s="437"/>
      <c r="Y333" s="117"/>
      <c r="Z333" s="117"/>
      <c r="AA333" s="117"/>
      <c r="AB333" s="117"/>
      <c r="AC333" s="117"/>
      <c r="AD333" s="117"/>
      <c r="AE333" s="117"/>
      <c r="AF333" s="117"/>
      <c r="AG333" s="117"/>
      <c r="AH333" s="117"/>
      <c r="AI333" s="117"/>
      <c r="AJ333" s="117"/>
      <c r="AK333" s="117"/>
      <c r="AL333" s="117"/>
      <c r="AM333" s="117"/>
      <c r="AN333" s="117"/>
      <c r="AO333" s="117"/>
      <c r="AP333" s="117"/>
      <c r="AQ333" s="117"/>
      <c r="AR333" s="117"/>
      <c r="AS333" s="117"/>
      <c r="AT333" s="117"/>
      <c r="AU333" s="117"/>
      <c r="AV333" s="117"/>
      <c r="AW333" s="117"/>
      <c r="AX333" s="117"/>
      <c r="AY333" s="117"/>
      <c r="AZ333" s="117"/>
      <c r="BA333" s="117"/>
      <c r="BB333" s="117"/>
      <c r="BC333" s="117"/>
      <c r="BD333" s="117"/>
      <c r="BE333" s="117"/>
      <c r="BF333" s="117"/>
      <c r="BG333" s="117"/>
    </row>
    <row r="334" spans="1:59" ht="15" customHeight="1">
      <c r="A334" s="117"/>
      <c r="B334" s="81"/>
      <c r="C334" s="110"/>
      <c r="D334" s="110"/>
      <c r="E334" s="515"/>
      <c r="F334" s="80"/>
      <c r="G334" s="80"/>
      <c r="H334" s="80"/>
      <c r="I334" s="80"/>
      <c r="J334" s="80"/>
      <c r="K334" s="80"/>
      <c r="L334" s="80"/>
      <c r="M334" s="80"/>
      <c r="N334" s="525"/>
      <c r="O334" s="80"/>
      <c r="P334" s="80"/>
      <c r="Q334" s="80"/>
      <c r="R334" s="80"/>
      <c r="S334" s="80"/>
      <c r="T334" s="80"/>
      <c r="U334" s="80"/>
      <c r="V334" s="80"/>
      <c r="W334" s="80"/>
      <c r="X334" s="437"/>
      <c r="Y334" s="117"/>
      <c r="Z334" s="117"/>
      <c r="AA334" s="117"/>
      <c r="AB334" s="117"/>
      <c r="AC334" s="117"/>
      <c r="AD334" s="117"/>
      <c r="AE334" s="117"/>
      <c r="AF334" s="117"/>
      <c r="AG334" s="117"/>
      <c r="AH334" s="117"/>
      <c r="AI334" s="117"/>
      <c r="AJ334" s="117"/>
      <c r="AK334" s="117"/>
      <c r="AL334" s="117"/>
      <c r="AM334" s="117"/>
      <c r="AN334" s="117"/>
      <c r="AO334" s="117"/>
      <c r="AP334" s="117"/>
      <c r="AQ334" s="117"/>
      <c r="AR334" s="117"/>
      <c r="AS334" s="117"/>
      <c r="AT334" s="117"/>
      <c r="AU334" s="117"/>
      <c r="AV334" s="117"/>
      <c r="AW334" s="117"/>
      <c r="AX334" s="117"/>
      <c r="AY334" s="117"/>
      <c r="AZ334" s="117"/>
      <c r="BA334" s="117"/>
      <c r="BB334" s="117"/>
      <c r="BC334" s="117"/>
      <c r="BD334" s="117"/>
      <c r="BE334" s="117"/>
      <c r="BF334" s="117"/>
      <c r="BG334" s="117"/>
    </row>
    <row r="335" spans="1:59" ht="15" customHeight="1">
      <c r="A335" s="117"/>
      <c r="B335" s="81"/>
      <c r="C335" s="110"/>
      <c r="D335" s="11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437"/>
      <c r="Y335" s="117"/>
      <c r="Z335" s="117"/>
      <c r="AA335" s="117"/>
      <c r="AB335" s="117"/>
      <c r="AC335" s="117"/>
      <c r="AD335" s="117"/>
      <c r="AE335" s="117"/>
      <c r="AF335" s="117"/>
      <c r="AG335" s="117"/>
      <c r="AH335" s="117"/>
      <c r="AI335" s="117"/>
      <c r="AJ335" s="117"/>
      <c r="AK335" s="117"/>
      <c r="AL335" s="117"/>
      <c r="AM335" s="117"/>
      <c r="AN335" s="117"/>
      <c r="AO335" s="117"/>
      <c r="AP335" s="117"/>
      <c r="AQ335" s="117"/>
      <c r="AR335" s="117"/>
      <c r="AS335" s="117"/>
      <c r="AT335" s="117"/>
      <c r="AU335" s="117"/>
      <c r="AV335" s="117"/>
      <c r="AW335" s="117"/>
      <c r="AX335" s="117"/>
      <c r="AY335" s="117"/>
      <c r="AZ335" s="117"/>
      <c r="BA335" s="117"/>
      <c r="BB335" s="117"/>
      <c r="BC335" s="117"/>
      <c r="BD335" s="117"/>
      <c r="BE335" s="117"/>
      <c r="BF335" s="117"/>
      <c r="BG335" s="117"/>
    </row>
    <row r="336" spans="1:59" ht="15" customHeight="1">
      <c r="A336" s="117"/>
      <c r="B336" s="81"/>
      <c r="C336" s="110"/>
      <c r="D336" s="110"/>
      <c r="E336" s="515"/>
      <c r="F336" s="80"/>
      <c r="G336" s="80"/>
      <c r="H336" s="80"/>
      <c r="I336" s="80"/>
      <c r="J336" s="80"/>
      <c r="K336" s="80"/>
      <c r="L336" s="80"/>
      <c r="M336" s="80"/>
      <c r="N336" s="525"/>
      <c r="O336" s="80"/>
      <c r="P336" s="80"/>
      <c r="Q336" s="80"/>
      <c r="R336" s="80"/>
      <c r="S336" s="80"/>
      <c r="T336" s="80"/>
      <c r="U336" s="80"/>
      <c r="V336" s="80"/>
      <c r="W336" s="80"/>
      <c r="X336" s="437"/>
      <c r="Y336" s="117"/>
      <c r="Z336" s="117"/>
      <c r="AA336" s="117"/>
      <c r="AB336" s="117"/>
      <c r="AC336" s="117"/>
      <c r="AD336" s="117"/>
      <c r="AE336" s="117"/>
      <c r="AF336" s="117"/>
      <c r="AG336" s="117"/>
      <c r="AH336" s="117"/>
      <c r="AI336" s="117"/>
      <c r="AJ336" s="117"/>
      <c r="AK336" s="117"/>
      <c r="AL336" s="117"/>
      <c r="AM336" s="117"/>
      <c r="AN336" s="117"/>
      <c r="AO336" s="117"/>
      <c r="AP336" s="117"/>
      <c r="AQ336" s="117"/>
      <c r="AR336" s="117"/>
      <c r="AS336" s="117"/>
      <c r="AT336" s="117"/>
      <c r="AU336" s="117"/>
      <c r="AV336" s="117"/>
      <c r="AW336" s="117"/>
      <c r="AX336" s="117"/>
      <c r="AY336" s="117"/>
      <c r="AZ336" s="117"/>
      <c r="BA336" s="117"/>
      <c r="BB336" s="117"/>
      <c r="BC336" s="117"/>
      <c r="BD336" s="117"/>
      <c r="BE336" s="117"/>
      <c r="BF336" s="117"/>
      <c r="BG336" s="117"/>
    </row>
    <row r="337" spans="1:59" ht="15" customHeight="1">
      <c r="A337" s="117"/>
      <c r="B337" s="81"/>
      <c r="C337" s="110"/>
      <c r="D337" s="110"/>
      <c r="E337" s="515"/>
      <c r="F337" s="80"/>
      <c r="G337" s="80"/>
      <c r="H337" s="80"/>
      <c r="I337" s="80"/>
      <c r="J337" s="80"/>
      <c r="K337" s="80"/>
      <c r="L337" s="80"/>
      <c r="M337" s="80"/>
      <c r="N337" s="525"/>
      <c r="O337" s="80"/>
      <c r="P337" s="80"/>
      <c r="Q337" s="80"/>
      <c r="R337" s="80"/>
      <c r="S337" s="80"/>
      <c r="T337" s="80"/>
      <c r="U337" s="80"/>
      <c r="V337" s="80"/>
      <c r="W337" s="80"/>
      <c r="X337" s="437"/>
      <c r="Y337" s="117"/>
      <c r="Z337" s="117"/>
      <c r="AA337" s="117"/>
      <c r="AB337" s="117"/>
      <c r="AC337" s="117"/>
      <c r="AD337" s="117"/>
      <c r="AE337" s="117"/>
      <c r="AF337" s="117"/>
      <c r="AG337" s="117"/>
      <c r="AH337" s="117"/>
      <c r="AI337" s="117"/>
      <c r="AJ337" s="117"/>
      <c r="AK337" s="117"/>
      <c r="AL337" s="117"/>
      <c r="AM337" s="117"/>
      <c r="AN337" s="117"/>
      <c r="AO337" s="117"/>
      <c r="AP337" s="117"/>
      <c r="AQ337" s="117"/>
      <c r="AR337" s="117"/>
      <c r="AS337" s="117"/>
      <c r="AT337" s="117"/>
      <c r="AU337" s="117"/>
      <c r="AV337" s="117"/>
      <c r="AW337" s="117"/>
      <c r="AX337" s="117"/>
      <c r="AY337" s="117"/>
      <c r="AZ337" s="117"/>
      <c r="BA337" s="117"/>
      <c r="BB337" s="117"/>
      <c r="BC337" s="117"/>
      <c r="BD337" s="117"/>
      <c r="BE337" s="117"/>
      <c r="BF337" s="117"/>
      <c r="BG337" s="117"/>
    </row>
    <row r="338" spans="1:59" ht="15" customHeight="1">
      <c r="A338" s="117"/>
      <c r="B338" s="81"/>
      <c r="C338" s="110"/>
      <c r="D338" s="110"/>
      <c r="E338" s="515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437"/>
      <c r="Y338" s="117"/>
      <c r="Z338" s="117"/>
      <c r="AA338" s="117"/>
      <c r="AB338" s="117"/>
      <c r="AC338" s="117"/>
      <c r="AD338" s="117"/>
      <c r="AE338" s="117"/>
      <c r="AF338" s="117"/>
      <c r="AG338" s="117"/>
      <c r="AH338" s="117"/>
      <c r="AI338" s="117"/>
      <c r="AJ338" s="117"/>
      <c r="AK338" s="117"/>
      <c r="AL338" s="117"/>
      <c r="AM338" s="117"/>
      <c r="AN338" s="117"/>
      <c r="AO338" s="117"/>
      <c r="AP338" s="117"/>
      <c r="AQ338" s="117"/>
      <c r="AR338" s="117"/>
      <c r="AS338" s="117"/>
      <c r="AT338" s="117"/>
      <c r="AU338" s="117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117"/>
    </row>
    <row r="339" spans="1:59" ht="15" customHeight="1">
      <c r="A339" s="117"/>
      <c r="B339" s="81"/>
      <c r="C339" s="110"/>
      <c r="D339" s="110"/>
      <c r="E339" s="515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437"/>
      <c r="Y339" s="117"/>
      <c r="Z339" s="117"/>
      <c r="AA339" s="117"/>
      <c r="AB339" s="117"/>
      <c r="AC339" s="117"/>
      <c r="AD339" s="117"/>
      <c r="AE339" s="117"/>
      <c r="AF339" s="117"/>
      <c r="AG339" s="117"/>
      <c r="AH339" s="117"/>
      <c r="AI339" s="117"/>
      <c r="AJ339" s="117"/>
      <c r="AK339" s="117"/>
      <c r="AL339" s="117"/>
      <c r="AM339" s="117"/>
      <c r="AN339" s="117"/>
      <c r="AO339" s="117"/>
      <c r="AP339" s="117"/>
      <c r="AQ339" s="117"/>
      <c r="AR339" s="117"/>
      <c r="AS339" s="117"/>
      <c r="AT339" s="117"/>
      <c r="AU339" s="117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/>
      <c r="BF339" s="117"/>
      <c r="BG339" s="117"/>
    </row>
    <row r="340" spans="1:59" ht="15" customHeight="1">
      <c r="A340" s="117"/>
      <c r="B340" s="117"/>
      <c r="C340" s="163"/>
      <c r="D340" s="110"/>
      <c r="E340" s="515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3"/>
      <c r="T340" s="83"/>
      <c r="U340" s="83"/>
      <c r="V340" s="83"/>
      <c r="W340" s="83"/>
      <c r="X340" s="437"/>
      <c r="Y340" s="117"/>
      <c r="Z340" s="117"/>
      <c r="AA340" s="117"/>
      <c r="AB340" s="117"/>
      <c r="AC340" s="117"/>
      <c r="AD340" s="117"/>
      <c r="AE340" s="117"/>
      <c r="AF340" s="117"/>
      <c r="AG340" s="117"/>
      <c r="AH340" s="117"/>
      <c r="AI340" s="117"/>
      <c r="AJ340" s="117"/>
      <c r="AK340" s="117"/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117"/>
    </row>
    <row r="341" spans="1:59" ht="15" customHeight="1">
      <c r="A341" s="117"/>
      <c r="B341" s="117"/>
      <c r="C341" s="110"/>
      <c r="D341" s="110"/>
      <c r="E341" s="515"/>
      <c r="F341" s="515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3"/>
      <c r="T341" s="83"/>
      <c r="U341" s="83"/>
      <c r="V341" s="83"/>
      <c r="W341" s="83"/>
      <c r="X341" s="437"/>
      <c r="Y341" s="117"/>
      <c r="Z341" s="117"/>
      <c r="AA341" s="117"/>
      <c r="AB341" s="117"/>
      <c r="AC341" s="117"/>
      <c r="AD341" s="117"/>
      <c r="AE341" s="117"/>
      <c r="AF341" s="117"/>
      <c r="AG341" s="117"/>
      <c r="AH341" s="117"/>
      <c r="AI341" s="117"/>
      <c r="AJ341" s="117"/>
      <c r="AK341" s="117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  <c r="BA341" s="117"/>
      <c r="BB341" s="117"/>
      <c r="BC341" s="117"/>
      <c r="BD341" s="117"/>
      <c r="BE341" s="117"/>
      <c r="BF341" s="117"/>
      <c r="BG341" s="117"/>
    </row>
    <row r="342" spans="1:59" ht="15" customHeight="1">
      <c r="A342" s="117"/>
      <c r="B342" s="117"/>
      <c r="C342" s="110"/>
      <c r="D342" s="110"/>
      <c r="E342" s="86"/>
      <c r="F342" s="86"/>
      <c r="G342" s="86"/>
      <c r="H342" s="83"/>
      <c r="I342" s="83"/>
      <c r="J342" s="83"/>
      <c r="K342" s="1137"/>
      <c r="L342" s="1137"/>
      <c r="M342" s="1137"/>
      <c r="N342" s="526"/>
      <c r="O342" s="83"/>
      <c r="P342" s="83"/>
      <c r="Q342" s="83"/>
      <c r="R342" s="83"/>
      <c r="S342" s="83"/>
      <c r="T342" s="83"/>
      <c r="U342" s="83"/>
      <c r="V342" s="83"/>
      <c r="W342" s="83"/>
      <c r="X342" s="437"/>
      <c r="Y342" s="117"/>
      <c r="Z342" s="117"/>
      <c r="AA342" s="117"/>
      <c r="AB342" s="117"/>
      <c r="AC342" s="117"/>
      <c r="AD342" s="117"/>
      <c r="AE342" s="117"/>
      <c r="AF342" s="117"/>
      <c r="AG342" s="117"/>
      <c r="AH342" s="117"/>
      <c r="AI342" s="117"/>
      <c r="AJ342" s="117"/>
      <c r="AK342" s="117"/>
      <c r="AL342" s="117"/>
      <c r="AM342" s="117"/>
      <c r="AN342" s="117"/>
      <c r="AO342" s="117"/>
      <c r="AP342" s="117"/>
      <c r="AQ342" s="117"/>
      <c r="AR342" s="117"/>
      <c r="AS342" s="117"/>
      <c r="AT342" s="117"/>
      <c r="AU342" s="117"/>
      <c r="AV342" s="117"/>
      <c r="AW342" s="117"/>
      <c r="AX342" s="117"/>
      <c r="AY342" s="117"/>
      <c r="AZ342" s="117"/>
      <c r="BA342" s="117"/>
      <c r="BB342" s="117"/>
      <c r="BC342" s="117"/>
      <c r="BD342" s="117"/>
      <c r="BE342" s="117"/>
      <c r="BF342" s="117"/>
      <c r="BG342" s="117"/>
    </row>
    <row r="343" spans="1:59" ht="15" customHeight="1">
      <c r="A343" s="117"/>
      <c r="B343" s="117"/>
      <c r="C343" s="110"/>
      <c r="D343" s="110"/>
      <c r="E343" s="86"/>
      <c r="F343" s="86"/>
      <c r="G343" s="86"/>
      <c r="H343" s="83"/>
      <c r="I343" s="83"/>
      <c r="J343" s="83"/>
      <c r="K343" s="1137"/>
      <c r="L343" s="1137"/>
      <c r="M343" s="1137"/>
      <c r="N343" s="526"/>
      <c r="O343" s="83"/>
      <c r="P343" s="83"/>
      <c r="Q343" s="83"/>
      <c r="R343" s="83"/>
      <c r="S343" s="83"/>
      <c r="T343" s="83"/>
      <c r="U343" s="83"/>
      <c r="V343" s="83"/>
      <c r="W343" s="83"/>
      <c r="X343" s="437"/>
      <c r="Y343" s="117"/>
      <c r="Z343" s="117"/>
      <c r="AA343" s="117"/>
      <c r="AB343" s="117"/>
      <c r="AC343" s="117"/>
      <c r="AD343" s="117"/>
      <c r="AE343" s="117"/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  <c r="BA343" s="117"/>
      <c r="BB343" s="117"/>
      <c r="BC343" s="117"/>
      <c r="BD343" s="117"/>
      <c r="BE343" s="117"/>
      <c r="BF343" s="117"/>
      <c r="BG343" s="117"/>
    </row>
    <row r="344" spans="1:59" ht="15" customHeight="1">
      <c r="A344" s="117"/>
      <c r="B344" s="117"/>
      <c r="C344" s="110"/>
      <c r="D344" s="110"/>
      <c r="E344" s="86"/>
      <c r="F344" s="86"/>
      <c r="G344" s="86"/>
      <c r="H344" s="83"/>
      <c r="I344" s="83"/>
      <c r="J344" s="83"/>
      <c r="K344" s="1137"/>
      <c r="L344" s="1137"/>
      <c r="M344" s="1137"/>
      <c r="N344" s="526"/>
      <c r="O344" s="83"/>
      <c r="P344" s="83"/>
      <c r="Q344" s="83"/>
      <c r="R344" s="83"/>
      <c r="S344" s="80"/>
      <c r="T344" s="80"/>
      <c r="U344" s="80"/>
      <c r="V344" s="80"/>
      <c r="W344" s="80"/>
      <c r="X344" s="43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7"/>
      <c r="AK344" s="117"/>
      <c r="AL344" s="117"/>
      <c r="AM344" s="117"/>
      <c r="AN344" s="117"/>
      <c r="AO344" s="117"/>
      <c r="AP344" s="117"/>
      <c r="AQ344" s="117"/>
      <c r="AR344" s="117"/>
      <c r="AS344" s="117"/>
      <c r="AT344" s="117"/>
      <c r="AU344" s="117"/>
      <c r="AV344" s="117"/>
      <c r="AW344" s="117"/>
      <c r="AX344" s="117"/>
      <c r="AY344" s="117"/>
      <c r="AZ344" s="117"/>
      <c r="BA344" s="117"/>
      <c r="BB344" s="117"/>
      <c r="BC344" s="117"/>
      <c r="BD344" s="117"/>
      <c r="BE344" s="117"/>
      <c r="BF344" s="117"/>
      <c r="BG344" s="117"/>
    </row>
    <row r="345" spans="1:59" ht="15" customHeight="1">
      <c r="A345" s="117"/>
      <c r="B345" s="117"/>
      <c r="C345" s="110"/>
      <c r="D345" s="110"/>
      <c r="E345" s="86"/>
      <c r="F345" s="86"/>
      <c r="G345" s="86"/>
      <c r="H345" s="83"/>
      <c r="I345" s="83"/>
      <c r="J345" s="83"/>
      <c r="K345" s="1137"/>
      <c r="L345" s="1137"/>
      <c r="M345" s="1137"/>
      <c r="N345" s="526"/>
      <c r="O345" s="83"/>
      <c r="P345" s="83"/>
      <c r="Q345" s="83"/>
      <c r="R345" s="83"/>
      <c r="S345" s="80"/>
      <c r="T345" s="80"/>
      <c r="U345" s="80"/>
      <c r="V345" s="80"/>
      <c r="W345" s="80"/>
      <c r="X345" s="43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  <c r="BA345" s="117"/>
      <c r="BB345" s="117"/>
      <c r="BC345" s="117"/>
      <c r="BD345" s="117"/>
      <c r="BE345" s="117"/>
      <c r="BF345" s="117"/>
      <c r="BG345" s="117"/>
    </row>
    <row r="346" spans="1:59" ht="15" customHeight="1">
      <c r="A346" s="117"/>
      <c r="B346" s="117"/>
      <c r="C346" s="110"/>
      <c r="D346" s="110"/>
      <c r="E346" s="515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1083"/>
      <c r="T346" s="1083"/>
      <c r="U346" s="1083"/>
      <c r="V346" s="1083"/>
      <c r="W346" s="1083"/>
      <c r="X346" s="437"/>
      <c r="Y346" s="117"/>
      <c r="Z346" s="117"/>
      <c r="AA346" s="117"/>
      <c r="AB346" s="117"/>
      <c r="AC346" s="117"/>
      <c r="AD346" s="117"/>
      <c r="AE346" s="117"/>
      <c r="AF346" s="117"/>
      <c r="AG346" s="117"/>
      <c r="AH346" s="117"/>
      <c r="AI346" s="117"/>
      <c r="AJ346" s="117"/>
      <c r="AK346" s="117"/>
      <c r="AL346" s="117"/>
      <c r="AM346" s="117"/>
      <c r="AN346" s="117"/>
      <c r="AO346" s="117"/>
      <c r="AP346" s="117"/>
      <c r="AQ346" s="117"/>
      <c r="AR346" s="117"/>
      <c r="AS346" s="117"/>
      <c r="AT346" s="117"/>
      <c r="AU346" s="117"/>
      <c r="AV346" s="117"/>
      <c r="AW346" s="117"/>
      <c r="AX346" s="117"/>
      <c r="AY346" s="117"/>
      <c r="AZ346" s="117"/>
      <c r="BA346" s="117"/>
      <c r="BB346" s="117"/>
      <c r="BC346" s="117"/>
      <c r="BD346" s="117"/>
      <c r="BE346" s="117"/>
      <c r="BF346" s="117"/>
      <c r="BG346" s="117"/>
    </row>
    <row r="347" spans="1:59" ht="15" customHeight="1">
      <c r="A347" s="117"/>
      <c r="B347" s="117"/>
      <c r="C347" s="110"/>
      <c r="D347" s="110"/>
      <c r="E347" s="515"/>
      <c r="F347" s="80"/>
      <c r="G347" s="80"/>
      <c r="H347" s="80"/>
      <c r="I347" s="80"/>
      <c r="J347" s="80"/>
      <c r="K347" s="80"/>
      <c r="L347" s="80"/>
      <c r="M347" s="80"/>
      <c r="N347" s="525"/>
      <c r="O347" s="80"/>
      <c r="P347" s="80"/>
      <c r="Q347" s="80"/>
      <c r="R347" s="80"/>
      <c r="S347" s="80"/>
      <c r="T347" s="80"/>
      <c r="U347" s="80"/>
      <c r="V347" s="80"/>
      <c r="W347" s="80"/>
      <c r="X347" s="43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  <c r="AZ347" s="117"/>
      <c r="BA347" s="117"/>
      <c r="BB347" s="117"/>
      <c r="BC347" s="117"/>
      <c r="BD347" s="117"/>
      <c r="BE347" s="117"/>
      <c r="BF347" s="117"/>
      <c r="BG347" s="117"/>
    </row>
    <row r="348" spans="1:59" ht="15" customHeight="1">
      <c r="A348" s="117"/>
      <c r="B348" s="117"/>
      <c r="C348" s="110"/>
      <c r="D348" s="110"/>
      <c r="E348" s="110"/>
      <c r="F348" s="80"/>
      <c r="G348" s="80"/>
      <c r="H348" s="80"/>
      <c r="I348" s="80"/>
      <c r="J348" s="80"/>
      <c r="K348" s="1083"/>
      <c r="L348" s="1083"/>
      <c r="M348" s="1083"/>
      <c r="N348" s="80"/>
      <c r="O348" s="1083"/>
      <c r="P348" s="1083"/>
      <c r="Q348" s="1083"/>
      <c r="R348" s="1083"/>
      <c r="S348" s="80"/>
      <c r="T348" s="80"/>
      <c r="U348" s="80"/>
      <c r="V348" s="80"/>
      <c r="W348" s="80"/>
      <c r="X348" s="437"/>
      <c r="Y348" s="117"/>
      <c r="Z348" s="117"/>
      <c r="AA348" s="117"/>
      <c r="AB348" s="117"/>
      <c r="AC348" s="117"/>
      <c r="AD348" s="117"/>
      <c r="AE348" s="117"/>
      <c r="AF348" s="117"/>
      <c r="AG348" s="117"/>
      <c r="AH348" s="117"/>
      <c r="AI348" s="117"/>
      <c r="AJ348" s="117"/>
      <c r="AK348" s="117"/>
      <c r="AL348" s="117"/>
      <c r="AM348" s="117"/>
      <c r="AN348" s="117"/>
      <c r="AO348" s="117"/>
      <c r="AP348" s="117"/>
      <c r="AQ348" s="117"/>
      <c r="AR348" s="117"/>
      <c r="AS348" s="117"/>
      <c r="AT348" s="117"/>
      <c r="AU348" s="117"/>
      <c r="AV348" s="117"/>
      <c r="AW348" s="117"/>
      <c r="AX348" s="117"/>
      <c r="AY348" s="117"/>
      <c r="AZ348" s="117"/>
      <c r="BA348" s="117"/>
      <c r="BB348" s="117"/>
      <c r="BC348" s="117"/>
      <c r="BD348" s="117"/>
      <c r="BE348" s="117"/>
      <c r="BF348" s="117"/>
      <c r="BG348" s="117"/>
    </row>
    <row r="349" spans="1:59" ht="15" customHeight="1">
      <c r="A349" s="117"/>
      <c r="B349" s="117"/>
      <c r="C349" s="110"/>
      <c r="D349" s="110"/>
      <c r="E349" s="515"/>
      <c r="F349" s="80"/>
      <c r="G349" s="80"/>
      <c r="H349" s="80"/>
      <c r="I349" s="80"/>
      <c r="J349" s="80"/>
      <c r="K349" s="80"/>
      <c r="L349" s="80"/>
      <c r="M349" s="80"/>
      <c r="N349" s="525"/>
      <c r="O349" s="80"/>
      <c r="P349" s="80"/>
      <c r="Q349" s="80"/>
      <c r="R349" s="80"/>
      <c r="S349" s="80"/>
      <c r="T349" s="80"/>
      <c r="U349" s="80"/>
      <c r="V349" s="80"/>
      <c r="W349" s="80"/>
      <c r="X349" s="437"/>
      <c r="Y349" s="117"/>
      <c r="Z349" s="117"/>
      <c r="AA349" s="117"/>
      <c r="AB349" s="117"/>
      <c r="AC349" s="117"/>
      <c r="AD349" s="117"/>
      <c r="AE349" s="117"/>
      <c r="AF349" s="117"/>
      <c r="AG349" s="117"/>
      <c r="AH349" s="117"/>
      <c r="AI349" s="117"/>
      <c r="AJ349" s="117"/>
      <c r="AK349" s="117"/>
      <c r="AL349" s="117"/>
      <c r="AM349" s="117"/>
      <c r="AN349" s="117"/>
      <c r="AO349" s="117"/>
      <c r="AP349" s="117"/>
      <c r="AQ349" s="117"/>
      <c r="AR349" s="117"/>
      <c r="AS349" s="117"/>
      <c r="AT349" s="117"/>
      <c r="AU349" s="117"/>
      <c r="AV349" s="117"/>
      <c r="AW349" s="117"/>
      <c r="AX349" s="117"/>
      <c r="AY349" s="117"/>
      <c r="AZ349" s="117"/>
      <c r="BA349" s="117"/>
      <c r="BB349" s="117"/>
      <c r="BC349" s="117"/>
      <c r="BD349" s="117"/>
      <c r="BE349" s="117"/>
      <c r="BF349" s="117"/>
      <c r="BG349" s="117"/>
    </row>
    <row r="350" spans="1:59" ht="15" customHeight="1">
      <c r="A350" s="117"/>
      <c r="B350" s="117"/>
      <c r="C350" s="110"/>
      <c r="D350" s="110"/>
      <c r="E350" s="515"/>
      <c r="F350" s="80"/>
      <c r="G350" s="80"/>
      <c r="H350" s="80"/>
      <c r="I350" s="80"/>
      <c r="J350" s="80"/>
      <c r="K350" s="1083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43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  <c r="BA350" s="117"/>
      <c r="BB350" s="117"/>
      <c r="BC350" s="117"/>
      <c r="BD350" s="117"/>
      <c r="BE350" s="117"/>
      <c r="BF350" s="117"/>
      <c r="BG350" s="117"/>
    </row>
    <row r="351" spans="1:59" ht="15" customHeight="1">
      <c r="A351" s="117"/>
      <c r="B351" s="117"/>
      <c r="C351" s="110"/>
      <c r="D351" s="110"/>
      <c r="E351" s="515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437"/>
      <c r="Y351" s="117"/>
      <c r="Z351" s="117"/>
      <c r="AA351" s="117"/>
      <c r="AB351" s="117"/>
      <c r="AC351" s="117"/>
      <c r="AD351" s="117"/>
      <c r="AE351" s="117"/>
      <c r="AF351" s="117"/>
      <c r="AG351" s="117"/>
      <c r="AH351" s="117"/>
      <c r="AI351" s="117"/>
      <c r="AJ351" s="117"/>
      <c r="AK351" s="117"/>
      <c r="AL351" s="117"/>
      <c r="AM351" s="117"/>
      <c r="AN351" s="117"/>
      <c r="AO351" s="117"/>
      <c r="AP351" s="117"/>
      <c r="AQ351" s="117"/>
      <c r="AR351" s="117"/>
      <c r="AS351" s="117"/>
      <c r="AT351" s="117"/>
      <c r="AU351" s="117"/>
      <c r="AV351" s="117"/>
      <c r="AW351" s="117"/>
      <c r="AX351" s="117"/>
      <c r="AY351" s="117"/>
      <c r="AZ351" s="117"/>
      <c r="BA351" s="117"/>
      <c r="BB351" s="117"/>
      <c r="BC351" s="117"/>
      <c r="BD351" s="117"/>
      <c r="BE351" s="117"/>
      <c r="BF351" s="117"/>
      <c r="BG351" s="117"/>
    </row>
    <row r="352" spans="1:59" ht="15" customHeight="1">
      <c r="A352" s="117"/>
      <c r="B352" s="117"/>
      <c r="C352" s="533"/>
      <c r="D352" s="110"/>
      <c r="E352" s="515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43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  <c r="AZ352" s="117"/>
      <c r="BA352" s="117"/>
      <c r="BB352" s="117"/>
      <c r="BC352" s="117"/>
      <c r="BD352" s="117"/>
      <c r="BE352" s="117"/>
      <c r="BF352" s="117"/>
      <c r="BG352" s="117"/>
    </row>
    <row r="353" spans="1:59" ht="15" customHeight="1">
      <c r="A353" s="117"/>
      <c r="B353" s="117"/>
      <c r="C353" s="110"/>
      <c r="D353" s="110"/>
      <c r="E353" s="515"/>
      <c r="F353" s="80"/>
      <c r="G353" s="80"/>
      <c r="H353" s="80"/>
      <c r="I353" s="80"/>
      <c r="J353" s="80"/>
      <c r="K353" s="80"/>
      <c r="L353" s="80"/>
      <c r="M353" s="80"/>
      <c r="N353" s="525"/>
      <c r="O353" s="80"/>
      <c r="P353" s="80"/>
      <c r="Q353" s="80"/>
      <c r="R353" s="80"/>
      <c r="S353" s="80"/>
      <c r="T353" s="80"/>
      <c r="U353" s="80"/>
      <c r="V353" s="80"/>
      <c r="W353" s="80"/>
      <c r="X353" s="43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  <c r="AZ353" s="117"/>
      <c r="BA353" s="117"/>
      <c r="BB353" s="117"/>
      <c r="BC353" s="117"/>
      <c r="BD353" s="117"/>
      <c r="BE353" s="117"/>
      <c r="BF353" s="117"/>
      <c r="BG353" s="117"/>
    </row>
    <row r="354" spans="1:59" ht="15" customHeight="1">
      <c r="A354" s="117"/>
      <c r="B354" s="117"/>
      <c r="C354" s="483"/>
      <c r="D354" s="110"/>
      <c r="E354" s="515"/>
      <c r="F354" s="80"/>
      <c r="G354" s="80"/>
      <c r="H354" s="80"/>
      <c r="I354" s="80"/>
      <c r="J354" s="80"/>
      <c r="K354" s="80"/>
      <c r="L354" s="80"/>
      <c r="M354" s="80"/>
      <c r="N354" s="525"/>
      <c r="O354" s="80"/>
      <c r="P354" s="80"/>
      <c r="Q354" s="80"/>
      <c r="R354" s="80"/>
      <c r="S354" s="80"/>
      <c r="T354" s="80"/>
      <c r="U354" s="80"/>
      <c r="V354" s="80"/>
      <c r="W354" s="80"/>
      <c r="X354" s="43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  <c r="AZ354" s="117"/>
      <c r="BA354" s="117"/>
      <c r="BB354" s="117"/>
      <c r="BC354" s="117"/>
      <c r="BD354" s="117"/>
      <c r="BE354" s="117"/>
      <c r="BF354" s="117"/>
      <c r="BG354" s="117"/>
    </row>
    <row r="355" spans="1:59" ht="15" customHeight="1">
      <c r="A355" s="117"/>
      <c r="B355" s="117"/>
      <c r="C355" s="110"/>
      <c r="D355" s="110"/>
      <c r="E355" s="515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43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  <c r="AZ355" s="117"/>
      <c r="BA355" s="117"/>
      <c r="BB355" s="117"/>
      <c r="BC355" s="117"/>
      <c r="BD355" s="117"/>
      <c r="BE355" s="117"/>
      <c r="BF355" s="117"/>
      <c r="BG355" s="117"/>
    </row>
    <row r="356" spans="1:59" ht="15" customHeight="1">
      <c r="A356" s="117"/>
      <c r="B356" s="117"/>
      <c r="C356" s="533"/>
      <c r="D356" s="110"/>
      <c r="E356" s="515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43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  <c r="AZ356" s="117"/>
      <c r="BA356" s="117"/>
      <c r="BB356" s="117"/>
      <c r="BC356" s="117"/>
      <c r="BD356" s="117"/>
      <c r="BE356" s="117"/>
      <c r="BF356" s="117"/>
      <c r="BG356" s="117"/>
    </row>
    <row r="357" spans="1:59" ht="15" customHeight="1">
      <c r="A357" s="117"/>
      <c r="B357" s="117"/>
      <c r="C357" s="110"/>
      <c r="D357" s="110"/>
      <c r="E357" s="515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43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  <c r="AZ357" s="117"/>
      <c r="BA357" s="117"/>
      <c r="BB357" s="117"/>
      <c r="BC357" s="117"/>
      <c r="BD357" s="117"/>
      <c r="BE357" s="117"/>
      <c r="BF357" s="117"/>
      <c r="BG357" s="117"/>
    </row>
    <row r="358" spans="1:59" ht="15" customHeight="1">
      <c r="A358" s="117"/>
      <c r="B358" s="117"/>
      <c r="C358" s="110"/>
      <c r="D358" s="110"/>
      <c r="E358" s="515"/>
      <c r="F358" s="80"/>
      <c r="G358" s="80"/>
      <c r="H358" s="80"/>
      <c r="I358" s="80"/>
      <c r="J358" s="80"/>
      <c r="K358" s="80"/>
      <c r="L358" s="80"/>
      <c r="M358" s="80"/>
      <c r="N358" s="525"/>
      <c r="O358" s="80"/>
      <c r="P358" s="80"/>
      <c r="Q358" s="80"/>
      <c r="R358" s="80"/>
      <c r="S358" s="117"/>
      <c r="T358" s="117"/>
      <c r="U358" s="117"/>
      <c r="V358" s="117"/>
      <c r="W358" s="117"/>
      <c r="X358" s="43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  <c r="AZ358" s="117"/>
      <c r="BA358" s="117"/>
      <c r="BB358" s="117"/>
      <c r="BC358" s="117"/>
      <c r="BD358" s="117"/>
      <c r="BE358" s="117"/>
      <c r="BF358" s="117"/>
      <c r="BG358" s="117"/>
    </row>
    <row r="359" spans="1:59" ht="15" customHeight="1">
      <c r="A359" s="117"/>
      <c r="B359" s="117"/>
      <c r="C359" s="533"/>
      <c r="D359" s="110"/>
      <c r="E359" s="515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43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  <c r="AZ359" s="117"/>
      <c r="BA359" s="117"/>
      <c r="BB359" s="117"/>
      <c r="BC359" s="117"/>
      <c r="BD359" s="117"/>
      <c r="BE359" s="117"/>
      <c r="BF359" s="117"/>
      <c r="BG359" s="117"/>
    </row>
    <row r="360" spans="1:59" ht="15" customHeight="1">
      <c r="A360" s="117"/>
      <c r="B360" s="81"/>
      <c r="C360" s="117"/>
      <c r="D360" s="117"/>
      <c r="E360" s="117"/>
      <c r="F360" s="117"/>
      <c r="G360" s="117"/>
      <c r="H360" s="117"/>
      <c r="I360" s="117"/>
      <c r="J360" s="118"/>
      <c r="K360" s="118"/>
      <c r="L360" s="118"/>
      <c r="M360" s="118"/>
      <c r="N360" s="117"/>
      <c r="O360" s="117"/>
      <c r="P360" s="117"/>
      <c r="Q360" s="117"/>
      <c r="R360" s="117"/>
      <c r="S360" s="80"/>
      <c r="T360" s="80"/>
      <c r="U360" s="80"/>
      <c r="V360" s="80"/>
      <c r="W360" s="80"/>
      <c r="X360" s="43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</row>
    <row r="361" spans="1:59">
      <c r="A361" s="117"/>
      <c r="B361" s="81"/>
      <c r="C361" s="110"/>
      <c r="D361" s="110"/>
      <c r="E361" s="515"/>
      <c r="F361" s="80"/>
      <c r="G361" s="80"/>
      <c r="H361" s="80"/>
      <c r="I361" s="80"/>
      <c r="J361" s="82"/>
      <c r="K361" s="82"/>
      <c r="L361" s="82"/>
      <c r="M361" s="82"/>
      <c r="N361" s="80"/>
      <c r="O361" s="80"/>
      <c r="P361" s="80"/>
      <c r="Q361" s="80"/>
      <c r="R361" s="80"/>
      <c r="S361" s="81"/>
      <c r="T361" s="81"/>
      <c r="U361" s="81"/>
      <c r="V361" s="81"/>
      <c r="W361" s="81"/>
      <c r="X361" s="43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  <c r="BA361" s="117"/>
      <c r="BB361" s="117"/>
      <c r="BC361" s="117"/>
      <c r="BD361" s="117"/>
      <c r="BE361" s="117"/>
      <c r="BF361" s="117"/>
      <c r="BG361" s="117"/>
    </row>
    <row r="362" spans="1:59" ht="15">
      <c r="A362" s="117"/>
      <c r="B362" s="1104"/>
      <c r="C362" s="110"/>
      <c r="D362" s="110"/>
      <c r="E362" s="515"/>
      <c r="F362" s="80"/>
      <c r="G362" s="80"/>
      <c r="H362" s="80"/>
      <c r="I362" s="80"/>
      <c r="J362" s="82"/>
      <c r="K362" s="82"/>
      <c r="L362" s="82"/>
      <c r="M362" s="82"/>
      <c r="N362" s="80"/>
      <c r="O362" s="80"/>
      <c r="P362" s="80"/>
      <c r="Q362" s="80"/>
      <c r="R362" s="80"/>
      <c r="S362" s="81"/>
      <c r="T362" s="81"/>
      <c r="U362" s="81"/>
      <c r="V362" s="1105"/>
      <c r="W362" s="1105"/>
      <c r="X362" s="43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  <c r="AZ362" s="117"/>
      <c r="BA362" s="117"/>
      <c r="BB362" s="117"/>
      <c r="BC362" s="117"/>
      <c r="BD362" s="117"/>
      <c r="BE362" s="117"/>
      <c r="BF362" s="117"/>
      <c r="BG362" s="117"/>
    </row>
    <row r="363" spans="1:59">
      <c r="A363" s="117"/>
      <c r="B363" s="81"/>
      <c r="C363" s="81"/>
      <c r="D363" s="81"/>
      <c r="E363" s="81"/>
      <c r="F363" s="81"/>
      <c r="G363" s="81"/>
      <c r="H363" s="81"/>
      <c r="I363" s="81"/>
      <c r="J363" s="118"/>
      <c r="K363" s="118"/>
      <c r="L363" s="118"/>
      <c r="M363" s="118"/>
      <c r="N363" s="81"/>
      <c r="O363" s="81"/>
      <c r="P363" s="81"/>
      <c r="Q363" s="81"/>
      <c r="R363" s="81"/>
      <c r="S363" s="81"/>
      <c r="T363" s="81"/>
      <c r="U363" s="81"/>
      <c r="V363" s="81"/>
      <c r="W363" s="1106"/>
      <c r="X363" s="43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117"/>
    </row>
    <row r="364" spans="1:59">
      <c r="A364" s="117"/>
      <c r="B364" s="81"/>
      <c r="C364" s="81"/>
      <c r="D364" s="81"/>
      <c r="E364" s="81"/>
      <c r="F364" s="81"/>
      <c r="G364" s="81"/>
      <c r="H364" s="81"/>
      <c r="I364" s="81"/>
      <c r="J364" s="118"/>
      <c r="K364" s="118"/>
      <c r="L364" s="118"/>
      <c r="M364" s="118"/>
      <c r="N364" s="81"/>
      <c r="O364" s="81"/>
      <c r="P364" s="81"/>
      <c r="Q364" s="81"/>
      <c r="R364" s="81"/>
      <c r="S364" s="117"/>
      <c r="T364" s="117"/>
      <c r="U364" s="117"/>
      <c r="V364" s="117"/>
      <c r="W364" s="117"/>
      <c r="X364" s="43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  <c r="AZ364" s="117"/>
      <c r="BA364" s="117"/>
      <c r="BB364" s="117"/>
      <c r="BC364" s="117"/>
      <c r="BD364" s="117"/>
      <c r="BE364" s="117"/>
      <c r="BF364" s="117"/>
      <c r="BG364" s="117"/>
    </row>
    <row r="365" spans="1:59" ht="3" customHeight="1">
      <c r="A365" s="117"/>
      <c r="B365" s="81"/>
      <c r="C365" s="1050"/>
      <c r="D365" s="81"/>
      <c r="E365" s="81"/>
      <c r="F365" s="81"/>
      <c r="G365" s="81"/>
      <c r="H365" s="81"/>
      <c r="I365" s="81"/>
      <c r="J365" s="118"/>
      <c r="K365" s="118"/>
      <c r="L365" s="118"/>
      <c r="M365" s="118"/>
      <c r="N365" s="81"/>
      <c r="O365" s="81"/>
      <c r="P365" s="81"/>
      <c r="Q365" s="81"/>
      <c r="R365" s="81"/>
      <c r="S365" s="1091"/>
      <c r="T365" s="1091"/>
      <c r="U365" s="1091"/>
      <c r="V365" s="1091"/>
      <c r="W365" s="1091"/>
      <c r="X365" s="43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  <c r="AZ365" s="117"/>
      <c r="BA365" s="117"/>
      <c r="BB365" s="117"/>
      <c r="BC365" s="117"/>
      <c r="BD365" s="117"/>
      <c r="BE365" s="117"/>
      <c r="BF365" s="117"/>
      <c r="BG365" s="117"/>
    </row>
    <row r="366" spans="1:59" ht="15" customHeight="1">
      <c r="A366" s="117"/>
      <c r="B366" s="81"/>
      <c r="C366" s="499"/>
      <c r="D366" s="117"/>
      <c r="E366" s="117"/>
      <c r="F366" s="117"/>
      <c r="G366" s="117"/>
      <c r="H366" s="117"/>
      <c r="I366" s="117"/>
      <c r="J366" s="118"/>
      <c r="K366" s="118"/>
      <c r="L366" s="1140"/>
      <c r="M366" s="118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43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  <c r="AZ366" s="117"/>
      <c r="BA366" s="117"/>
      <c r="BB366" s="117"/>
      <c r="BC366" s="117"/>
      <c r="BD366" s="117"/>
      <c r="BE366" s="117"/>
      <c r="BF366" s="117"/>
      <c r="BG366" s="117"/>
    </row>
    <row r="367" spans="1:59" ht="15" customHeight="1">
      <c r="A367" s="117"/>
      <c r="B367" s="81"/>
      <c r="C367" s="1091"/>
      <c r="D367" s="1091"/>
      <c r="E367" s="1091"/>
      <c r="F367" s="1091"/>
      <c r="G367" s="1091"/>
      <c r="H367" s="1091"/>
      <c r="I367" s="1091"/>
      <c r="J367" s="1134"/>
      <c r="K367" s="1134"/>
      <c r="L367" s="1134"/>
      <c r="M367" s="1134"/>
      <c r="N367" s="1091"/>
      <c r="O367" s="1091"/>
      <c r="P367" s="1091"/>
      <c r="Q367" s="1091"/>
      <c r="R367" s="1091"/>
      <c r="S367" s="117"/>
      <c r="T367" s="117"/>
      <c r="U367" s="117"/>
      <c r="V367" s="117"/>
      <c r="W367" s="117"/>
      <c r="X367" s="43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  <c r="AZ367" s="117"/>
      <c r="BA367" s="117"/>
      <c r="BB367" s="117"/>
      <c r="BC367" s="117"/>
      <c r="BD367" s="117"/>
      <c r="BE367" s="117"/>
      <c r="BF367" s="117"/>
      <c r="BG367" s="117"/>
    </row>
    <row r="368" spans="1:59" ht="15" customHeight="1">
      <c r="A368" s="117"/>
      <c r="B368" s="81"/>
      <c r="C368" s="117"/>
      <c r="D368" s="117"/>
      <c r="E368" s="117"/>
      <c r="F368" s="117"/>
      <c r="G368" s="117"/>
      <c r="H368" s="117"/>
      <c r="I368" s="117"/>
      <c r="J368" s="118"/>
      <c r="K368" s="118"/>
      <c r="L368" s="118"/>
      <c r="M368" s="118"/>
      <c r="N368" s="117"/>
      <c r="O368" s="117"/>
      <c r="P368" s="117"/>
      <c r="Q368" s="117"/>
      <c r="R368" s="117"/>
      <c r="S368" s="1053"/>
      <c r="T368" s="1053"/>
      <c r="U368" s="1053"/>
      <c r="V368" s="1053"/>
      <c r="W368" s="1053"/>
      <c r="X368" s="43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  <c r="AZ368" s="117"/>
      <c r="BA368" s="117"/>
      <c r="BB368" s="117"/>
      <c r="BC368" s="117"/>
      <c r="BD368" s="117"/>
      <c r="BE368" s="117"/>
      <c r="BF368" s="117"/>
      <c r="BG368" s="117"/>
    </row>
    <row r="369" spans="1:59" ht="15" customHeight="1">
      <c r="A369" s="117"/>
      <c r="B369" s="81"/>
      <c r="C369" s="1078"/>
      <c r="D369" s="117"/>
      <c r="E369" s="117"/>
      <c r="F369" s="117"/>
      <c r="G369" s="117"/>
      <c r="H369" s="117"/>
      <c r="I369" s="117"/>
      <c r="J369" s="118"/>
      <c r="K369" s="118"/>
      <c r="L369" s="118"/>
      <c r="M369" s="118"/>
      <c r="N369" s="117"/>
      <c r="O369" s="117"/>
      <c r="P369" s="117"/>
      <c r="Q369" s="117"/>
      <c r="R369" s="117"/>
      <c r="S369" s="530"/>
      <c r="T369" s="530"/>
      <c r="U369" s="530"/>
      <c r="V369" s="530"/>
      <c r="W369" s="530"/>
      <c r="X369" s="43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  <c r="AZ369" s="117"/>
      <c r="BA369" s="117"/>
      <c r="BB369" s="117"/>
      <c r="BC369" s="117"/>
      <c r="BD369" s="117"/>
      <c r="BE369" s="117"/>
      <c r="BF369" s="117"/>
      <c r="BG369" s="117"/>
    </row>
    <row r="370" spans="1:59" ht="15" customHeight="1">
      <c r="A370" s="117"/>
      <c r="B370" s="81"/>
      <c r="C370" s="156"/>
      <c r="D370" s="100"/>
      <c r="E370" s="1127"/>
      <c r="F370" s="1127"/>
      <c r="G370" s="1127"/>
      <c r="H370" s="1127"/>
      <c r="I370" s="1127"/>
      <c r="J370" s="1094"/>
      <c r="K370" s="1094"/>
      <c r="L370" s="1094"/>
      <c r="M370" s="1094"/>
      <c r="N370" s="1053"/>
      <c r="O370" s="1053"/>
      <c r="P370" s="1053"/>
      <c r="Q370" s="1053"/>
      <c r="R370" s="1053"/>
      <c r="S370" s="80"/>
      <c r="T370" s="80"/>
      <c r="U370" s="80"/>
      <c r="V370" s="80"/>
      <c r="W370" s="80"/>
      <c r="X370" s="43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  <c r="AZ370" s="117"/>
      <c r="BA370" s="117"/>
      <c r="BB370" s="117"/>
      <c r="BC370" s="117"/>
      <c r="BD370" s="117"/>
      <c r="BE370" s="117"/>
      <c r="BF370" s="117"/>
      <c r="BG370" s="117"/>
    </row>
    <row r="371" spans="1:59" ht="15" customHeight="1">
      <c r="A371" s="117"/>
      <c r="B371" s="81"/>
      <c r="C371" s="156"/>
      <c r="D371" s="156"/>
      <c r="E371" s="530"/>
      <c r="F371" s="530"/>
      <c r="G371" s="530"/>
      <c r="H371" s="530"/>
      <c r="I371" s="1094"/>
      <c r="J371" s="1094"/>
      <c r="K371" s="1094"/>
      <c r="L371" s="1094"/>
      <c r="M371" s="1094"/>
      <c r="N371" s="1094"/>
      <c r="O371" s="530"/>
      <c r="P371" s="530"/>
      <c r="Q371" s="530"/>
      <c r="R371" s="530"/>
      <c r="S371" s="80"/>
      <c r="T371" s="80"/>
      <c r="U371" s="80"/>
      <c r="V371" s="80"/>
      <c r="W371" s="80"/>
      <c r="X371" s="43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  <c r="AZ371" s="117"/>
      <c r="BA371" s="117"/>
      <c r="BB371" s="117"/>
      <c r="BC371" s="117"/>
      <c r="BD371" s="117"/>
      <c r="BE371" s="117"/>
      <c r="BF371" s="117"/>
      <c r="BG371" s="117"/>
    </row>
    <row r="372" spans="1:59" ht="15" customHeight="1">
      <c r="A372" s="117"/>
      <c r="B372" s="81"/>
      <c r="C372" s="110"/>
      <c r="D372" s="110"/>
      <c r="E372" s="515"/>
      <c r="F372" s="80"/>
      <c r="G372" s="80"/>
      <c r="H372" s="80"/>
      <c r="I372" s="80"/>
      <c r="J372" s="82"/>
      <c r="K372" s="82"/>
      <c r="L372" s="82"/>
      <c r="M372" s="82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43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  <c r="BA372" s="117"/>
      <c r="BB372" s="117"/>
      <c r="BC372" s="117"/>
      <c r="BD372" s="117"/>
      <c r="BE372" s="117"/>
      <c r="BF372" s="117"/>
      <c r="BG372" s="117"/>
    </row>
    <row r="373" spans="1:59" ht="15" customHeight="1">
      <c r="A373" s="117"/>
      <c r="B373" s="117"/>
      <c r="C373" s="110"/>
      <c r="D373" s="110"/>
      <c r="E373" s="1122"/>
      <c r="F373" s="1083"/>
      <c r="G373" s="1083"/>
      <c r="H373" s="1141"/>
      <c r="I373" s="1141"/>
      <c r="J373" s="82"/>
      <c r="K373" s="82"/>
      <c r="L373" s="82"/>
      <c r="M373" s="82"/>
      <c r="N373" s="80"/>
      <c r="O373" s="80"/>
      <c r="P373" s="80"/>
      <c r="Q373" s="80"/>
      <c r="R373" s="80"/>
      <c r="S373" s="1142"/>
      <c r="T373" s="86"/>
      <c r="U373" s="86"/>
      <c r="V373" s="86"/>
      <c r="W373" s="86"/>
      <c r="X373" s="43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  <c r="AZ373" s="117"/>
      <c r="BA373" s="117"/>
      <c r="BB373" s="117"/>
      <c r="BC373" s="117"/>
      <c r="BD373" s="117"/>
      <c r="BE373" s="117"/>
      <c r="BF373" s="117"/>
      <c r="BG373" s="117"/>
    </row>
    <row r="374" spans="1:59" ht="15" customHeight="1">
      <c r="A374" s="117"/>
      <c r="B374" s="117"/>
      <c r="C374" s="516"/>
      <c r="D374" s="110"/>
      <c r="E374" s="515"/>
      <c r="F374" s="80"/>
      <c r="G374" s="80"/>
      <c r="H374" s="80"/>
      <c r="I374" s="80"/>
      <c r="J374" s="1083"/>
      <c r="K374" s="1083"/>
      <c r="L374" s="1083"/>
      <c r="M374" s="1083"/>
      <c r="N374" s="525"/>
      <c r="O374" s="80"/>
      <c r="P374" s="80"/>
      <c r="Q374" s="80"/>
      <c r="R374" s="80"/>
      <c r="S374" s="80"/>
      <c r="T374" s="80"/>
      <c r="U374" s="80"/>
      <c r="V374" s="80"/>
      <c r="W374" s="80"/>
      <c r="X374" s="43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  <c r="AZ374" s="117"/>
      <c r="BA374" s="117"/>
      <c r="BB374" s="117"/>
      <c r="BC374" s="117"/>
      <c r="BD374" s="117"/>
      <c r="BE374" s="117"/>
      <c r="BF374" s="117"/>
      <c r="BG374" s="117"/>
    </row>
    <row r="375" spans="1:59" ht="15" customHeight="1">
      <c r="A375" s="117"/>
      <c r="B375" s="81"/>
      <c r="C375" s="110"/>
      <c r="D375" s="110"/>
      <c r="E375" s="86"/>
      <c r="F375" s="86"/>
      <c r="G375" s="86"/>
      <c r="H375" s="86"/>
      <c r="I375" s="86"/>
      <c r="J375" s="556"/>
      <c r="K375" s="556"/>
      <c r="L375" s="556"/>
      <c r="M375" s="556"/>
      <c r="N375" s="86"/>
      <c r="O375" s="1142"/>
      <c r="P375" s="1142"/>
      <c r="Q375" s="1142"/>
      <c r="R375" s="1142"/>
      <c r="S375" s="80"/>
      <c r="T375" s="80"/>
      <c r="U375" s="80"/>
      <c r="V375" s="80"/>
      <c r="W375" s="80"/>
      <c r="X375" s="43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  <c r="AZ375" s="117"/>
      <c r="BA375" s="117"/>
      <c r="BB375" s="117"/>
      <c r="BC375" s="117"/>
      <c r="BD375" s="117"/>
      <c r="BE375" s="117"/>
      <c r="BF375" s="117"/>
      <c r="BG375" s="117"/>
    </row>
    <row r="376" spans="1:59" ht="15" customHeight="1">
      <c r="A376" s="117"/>
      <c r="B376" s="81"/>
      <c r="C376" s="110"/>
      <c r="D376" s="110"/>
      <c r="E376" s="110"/>
      <c r="F376" s="110"/>
      <c r="G376" s="80"/>
      <c r="H376" s="80"/>
      <c r="I376" s="80"/>
      <c r="J376" s="82"/>
      <c r="K376" s="82"/>
      <c r="L376" s="82"/>
      <c r="M376" s="82"/>
      <c r="N376" s="525"/>
      <c r="O376" s="80"/>
      <c r="P376" s="80"/>
      <c r="Q376" s="80"/>
      <c r="R376" s="80"/>
      <c r="S376" s="80"/>
      <c r="T376" s="80"/>
      <c r="U376" s="80"/>
      <c r="V376" s="80"/>
      <c r="W376" s="80"/>
      <c r="X376" s="43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  <c r="AZ376" s="117"/>
      <c r="BA376" s="117"/>
      <c r="BB376" s="117"/>
      <c r="BC376" s="117"/>
      <c r="BD376" s="117"/>
      <c r="BE376" s="117"/>
      <c r="BF376" s="117"/>
      <c r="BG376" s="117"/>
    </row>
    <row r="377" spans="1:59" ht="15" customHeight="1">
      <c r="A377" s="117"/>
      <c r="B377" s="117"/>
      <c r="C377" s="110"/>
      <c r="D377" s="110"/>
      <c r="E377" s="515"/>
      <c r="F377" s="515"/>
      <c r="G377" s="80"/>
      <c r="H377" s="80"/>
      <c r="I377" s="80"/>
      <c r="J377" s="82"/>
      <c r="K377" s="82"/>
      <c r="L377" s="82"/>
      <c r="M377" s="82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43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</row>
    <row r="378" spans="1:59" ht="15" customHeight="1">
      <c r="A378" s="117"/>
      <c r="B378" s="81"/>
      <c r="C378" s="110"/>
      <c r="D378" s="110"/>
      <c r="E378" s="515"/>
      <c r="F378" s="515"/>
      <c r="G378" s="80"/>
      <c r="H378" s="80"/>
      <c r="I378" s="80"/>
      <c r="J378" s="82"/>
      <c r="K378" s="82"/>
      <c r="L378" s="82"/>
      <c r="M378" s="82"/>
      <c r="N378" s="80"/>
      <c r="O378" s="80"/>
      <c r="P378" s="80"/>
      <c r="Q378" s="80"/>
      <c r="R378" s="80"/>
      <c r="S378" s="1083"/>
      <c r="T378" s="1083"/>
      <c r="U378" s="1083"/>
      <c r="V378" s="1083"/>
      <c r="W378" s="1083"/>
      <c r="X378" s="43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  <c r="AZ378" s="117"/>
      <c r="BA378" s="117"/>
      <c r="BB378" s="117"/>
      <c r="BC378" s="117"/>
      <c r="BD378" s="117"/>
      <c r="BE378" s="117"/>
      <c r="BF378" s="117"/>
      <c r="BG378" s="117"/>
    </row>
    <row r="379" spans="1:59" ht="15" customHeight="1">
      <c r="A379" s="117"/>
      <c r="B379" s="81"/>
      <c r="C379" s="110"/>
      <c r="D379" s="110"/>
      <c r="E379" s="515"/>
      <c r="F379" s="515"/>
      <c r="G379" s="80"/>
      <c r="H379" s="80"/>
      <c r="I379" s="80"/>
      <c r="J379" s="82"/>
      <c r="K379" s="82"/>
      <c r="L379" s="82"/>
      <c r="M379" s="82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43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  <c r="BA379" s="117"/>
      <c r="BB379" s="117"/>
      <c r="BC379" s="117"/>
      <c r="BD379" s="117"/>
      <c r="BE379" s="117"/>
      <c r="BF379" s="117"/>
      <c r="BG379" s="117"/>
    </row>
    <row r="380" spans="1:59" ht="15" customHeight="1">
      <c r="A380" s="117"/>
      <c r="B380" s="81"/>
      <c r="C380" s="110"/>
      <c r="D380" s="110"/>
      <c r="E380" s="515"/>
      <c r="F380" s="515"/>
      <c r="G380" s="80"/>
      <c r="H380" s="80"/>
      <c r="I380" s="80"/>
      <c r="J380" s="1123"/>
      <c r="K380" s="1099"/>
      <c r="L380" s="1099"/>
      <c r="M380" s="1099"/>
      <c r="N380" s="80"/>
      <c r="O380" s="1083"/>
      <c r="P380" s="1083"/>
      <c r="Q380" s="1083"/>
      <c r="R380" s="1083"/>
      <c r="S380" s="80"/>
      <c r="T380" s="80"/>
      <c r="U380" s="80"/>
      <c r="V380" s="80"/>
      <c r="W380" s="80"/>
      <c r="X380" s="43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  <c r="AZ380" s="117"/>
      <c r="BA380" s="117"/>
      <c r="BB380" s="117"/>
      <c r="BC380" s="117"/>
      <c r="BD380" s="117"/>
      <c r="BE380" s="117"/>
      <c r="BF380" s="117"/>
      <c r="BG380" s="117"/>
    </row>
    <row r="381" spans="1:59" ht="15" customHeight="1">
      <c r="A381" s="117"/>
      <c r="B381" s="81"/>
      <c r="C381" s="110"/>
      <c r="D381" s="110"/>
      <c r="E381" s="515"/>
      <c r="F381" s="515"/>
      <c r="G381" s="80"/>
      <c r="H381" s="80"/>
      <c r="I381" s="80"/>
      <c r="J381" s="1123"/>
      <c r="K381" s="82"/>
      <c r="L381" s="82"/>
      <c r="M381" s="82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43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  <c r="BA381" s="117"/>
      <c r="BB381" s="117"/>
      <c r="BC381" s="117"/>
      <c r="BD381" s="117"/>
      <c r="BE381" s="117"/>
      <c r="BF381" s="117"/>
      <c r="BG381" s="117"/>
    </row>
    <row r="382" spans="1:59" ht="15" customHeight="1">
      <c r="A382" s="117"/>
      <c r="B382" s="81"/>
      <c r="C382" s="110"/>
      <c r="D382" s="110"/>
      <c r="E382" s="515"/>
      <c r="F382" s="515"/>
      <c r="G382" s="80"/>
      <c r="H382" s="1143"/>
      <c r="I382" s="1083"/>
      <c r="J382" s="82"/>
      <c r="K382" s="82"/>
      <c r="L382" s="82"/>
      <c r="M382" s="82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43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  <c r="BA382" s="117"/>
      <c r="BB382" s="117"/>
      <c r="BC382" s="117"/>
      <c r="BD382" s="117"/>
      <c r="BE382" s="117"/>
      <c r="BF382" s="117"/>
      <c r="BG382" s="117"/>
    </row>
    <row r="383" spans="1:59" ht="15" customHeight="1">
      <c r="A383" s="117"/>
      <c r="B383" s="81"/>
      <c r="C383" s="110"/>
      <c r="D383" s="110"/>
      <c r="E383" s="515"/>
      <c r="F383" s="80"/>
      <c r="G383" s="80"/>
      <c r="H383" s="80"/>
      <c r="I383" s="80"/>
      <c r="J383" s="82"/>
      <c r="K383" s="82"/>
      <c r="L383" s="82"/>
      <c r="M383" s="82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43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  <c r="AZ383" s="117"/>
      <c r="BA383" s="117"/>
      <c r="BB383" s="117"/>
      <c r="BC383" s="117"/>
      <c r="BD383" s="117"/>
      <c r="BE383" s="117"/>
      <c r="BF383" s="117"/>
      <c r="BG383" s="117"/>
    </row>
    <row r="384" spans="1:59" ht="15" customHeight="1">
      <c r="A384" s="117"/>
      <c r="B384" s="81"/>
      <c r="C384" s="110"/>
      <c r="D384" s="110"/>
      <c r="E384" s="1122"/>
      <c r="F384" s="1083"/>
      <c r="G384" s="80"/>
      <c r="H384" s="80"/>
      <c r="I384" s="80"/>
      <c r="J384" s="82"/>
      <c r="K384" s="82"/>
      <c r="L384" s="82"/>
      <c r="M384" s="82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43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  <c r="AZ384" s="117"/>
      <c r="BA384" s="117"/>
      <c r="BB384" s="117"/>
      <c r="BC384" s="117"/>
      <c r="BD384" s="117"/>
      <c r="BE384" s="117"/>
      <c r="BF384" s="117"/>
      <c r="BG384" s="117"/>
    </row>
    <row r="385" spans="1:59" ht="15" customHeight="1">
      <c r="A385" s="117"/>
      <c r="B385" s="81"/>
      <c r="C385" s="110"/>
      <c r="D385" s="110"/>
      <c r="E385" s="515"/>
      <c r="F385" s="80"/>
      <c r="G385" s="1083"/>
      <c r="H385" s="80"/>
      <c r="I385" s="80"/>
      <c r="J385" s="82"/>
      <c r="K385" s="82"/>
      <c r="L385" s="82"/>
      <c r="M385" s="82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43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  <c r="BA385" s="117"/>
      <c r="BB385" s="117"/>
      <c r="BC385" s="117"/>
      <c r="BD385" s="117"/>
      <c r="BE385" s="117"/>
      <c r="BF385" s="117"/>
      <c r="BG385" s="117"/>
    </row>
    <row r="386" spans="1:59" ht="15" customHeight="1">
      <c r="A386" s="117"/>
      <c r="B386" s="81"/>
      <c r="C386" s="110"/>
      <c r="D386" s="110"/>
      <c r="E386" s="515"/>
      <c r="F386" s="82"/>
      <c r="G386" s="80"/>
      <c r="H386" s="80"/>
      <c r="I386" s="80"/>
      <c r="J386" s="82"/>
      <c r="K386" s="82"/>
      <c r="L386" s="82"/>
      <c r="M386" s="82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43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  <c r="BA386" s="117"/>
      <c r="BB386" s="117"/>
      <c r="BC386" s="117"/>
      <c r="BD386" s="117"/>
      <c r="BE386" s="117"/>
      <c r="BF386" s="117"/>
      <c r="BG386" s="117"/>
    </row>
    <row r="387" spans="1:59" ht="15" customHeight="1">
      <c r="A387" s="117"/>
      <c r="B387" s="81"/>
      <c r="C387" s="110"/>
      <c r="D387" s="110"/>
      <c r="E387" s="513"/>
      <c r="F387" s="82"/>
      <c r="G387" s="80"/>
      <c r="H387" s="80"/>
      <c r="I387" s="80"/>
      <c r="J387" s="82"/>
      <c r="K387" s="82"/>
      <c r="L387" s="82"/>
      <c r="M387" s="82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43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/>
      <c r="BB387" s="117"/>
      <c r="BC387" s="117"/>
      <c r="BD387" s="117"/>
      <c r="BE387" s="117"/>
      <c r="BF387" s="117"/>
      <c r="BG387" s="117"/>
    </row>
    <row r="388" spans="1:59" ht="15" customHeight="1">
      <c r="A388" s="117"/>
      <c r="B388" s="81"/>
      <c r="C388" s="110"/>
      <c r="D388" s="110"/>
      <c r="E388" s="513"/>
      <c r="F388" s="82"/>
      <c r="G388" s="80"/>
      <c r="H388" s="80"/>
      <c r="I388" s="80"/>
      <c r="J388" s="82"/>
      <c r="K388" s="82"/>
      <c r="L388" s="82"/>
      <c r="M388" s="82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43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  <c r="BA388" s="117"/>
      <c r="BB388" s="117"/>
      <c r="BC388" s="117"/>
      <c r="BD388" s="117"/>
      <c r="BE388" s="117"/>
      <c r="BF388" s="117"/>
      <c r="BG388" s="117"/>
    </row>
    <row r="389" spans="1:59" ht="15" customHeight="1">
      <c r="A389" s="117"/>
      <c r="B389" s="81"/>
      <c r="C389" s="110"/>
      <c r="D389" s="110"/>
      <c r="E389" s="513"/>
      <c r="F389" s="82"/>
      <c r="G389" s="80"/>
      <c r="H389" s="80"/>
      <c r="I389" s="80"/>
      <c r="J389" s="82"/>
      <c r="K389" s="82"/>
      <c r="L389" s="82"/>
      <c r="M389" s="82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43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117"/>
    </row>
    <row r="390" spans="1:59" ht="15" customHeight="1">
      <c r="A390" s="117"/>
      <c r="B390" s="81"/>
      <c r="C390" s="110"/>
      <c r="D390" s="110"/>
      <c r="E390" s="513"/>
      <c r="F390" s="82"/>
      <c r="G390" s="80"/>
      <c r="H390" s="80"/>
      <c r="I390" s="80"/>
      <c r="J390" s="82"/>
      <c r="K390" s="82"/>
      <c r="L390" s="82"/>
      <c r="M390" s="82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43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/>
      <c r="BD390" s="117"/>
      <c r="BE390" s="117"/>
      <c r="BF390" s="117"/>
      <c r="BG390" s="117"/>
    </row>
    <row r="391" spans="1:59" ht="15" customHeight="1">
      <c r="A391" s="117"/>
      <c r="B391" s="81"/>
      <c r="C391" s="110"/>
      <c r="D391" s="110"/>
      <c r="E391" s="1144"/>
      <c r="F391" s="80"/>
      <c r="G391" s="80"/>
      <c r="H391" s="80"/>
      <c r="I391" s="80"/>
      <c r="J391" s="82"/>
      <c r="K391" s="82"/>
      <c r="L391" s="82"/>
      <c r="M391" s="82"/>
      <c r="N391" s="525"/>
      <c r="O391" s="80"/>
      <c r="P391" s="80"/>
      <c r="Q391" s="80"/>
      <c r="R391" s="80"/>
      <c r="S391" s="80"/>
      <c r="T391" s="80"/>
      <c r="U391" s="80"/>
      <c r="V391" s="80"/>
      <c r="W391" s="80"/>
      <c r="X391" s="43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</row>
    <row r="392" spans="1:59" ht="15" customHeight="1">
      <c r="A392" s="117"/>
      <c r="B392" s="81"/>
      <c r="C392" s="110"/>
      <c r="D392" s="110"/>
      <c r="E392" s="1144"/>
      <c r="F392" s="80"/>
      <c r="G392" s="80"/>
      <c r="H392" s="80"/>
      <c r="I392" s="80"/>
      <c r="J392" s="82"/>
      <c r="K392" s="82"/>
      <c r="L392" s="82"/>
      <c r="M392" s="82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43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117"/>
    </row>
    <row r="393" spans="1:59" ht="15" customHeight="1">
      <c r="A393" s="117"/>
      <c r="B393" s="81"/>
      <c r="C393" s="110"/>
      <c r="D393" s="110"/>
      <c r="E393" s="1144"/>
      <c r="F393" s="80"/>
      <c r="G393" s="80"/>
      <c r="H393" s="80"/>
      <c r="I393" s="80"/>
      <c r="J393" s="82"/>
      <c r="K393" s="82"/>
      <c r="L393" s="82"/>
      <c r="M393" s="82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43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/>
    </row>
    <row r="394" spans="1:59" ht="15" customHeight="1">
      <c r="A394" s="117"/>
      <c r="B394" s="81"/>
      <c r="C394" s="110"/>
      <c r="D394" s="110"/>
      <c r="E394" s="1144"/>
      <c r="F394" s="80"/>
      <c r="G394" s="80"/>
      <c r="H394" s="80"/>
      <c r="I394" s="80"/>
      <c r="J394" s="82"/>
      <c r="K394" s="82"/>
      <c r="L394" s="82"/>
      <c r="M394" s="82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43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</row>
    <row r="395" spans="1:59" ht="15" customHeight="1">
      <c r="A395" s="117"/>
      <c r="B395" s="81"/>
      <c r="C395" s="110"/>
      <c r="D395" s="110"/>
      <c r="E395" s="1144"/>
      <c r="F395" s="80"/>
      <c r="G395" s="80"/>
      <c r="H395" s="80"/>
      <c r="I395" s="80"/>
      <c r="J395" s="82"/>
      <c r="K395" s="82"/>
      <c r="L395" s="82"/>
      <c r="M395" s="82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43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  <c r="AZ395" s="117"/>
      <c r="BA395" s="117"/>
      <c r="BB395" s="117"/>
      <c r="BC395" s="117"/>
      <c r="BD395" s="117"/>
      <c r="BE395" s="117"/>
      <c r="BF395" s="117"/>
      <c r="BG395" s="117"/>
    </row>
    <row r="396" spans="1:59" ht="15" customHeight="1">
      <c r="A396" s="117"/>
      <c r="B396" s="81"/>
      <c r="C396" s="117"/>
      <c r="D396" s="117"/>
      <c r="E396" s="1144"/>
      <c r="F396" s="80"/>
      <c r="G396" s="80"/>
      <c r="H396" s="80"/>
      <c r="I396" s="80"/>
      <c r="J396" s="82"/>
      <c r="K396" s="82"/>
      <c r="L396" s="82"/>
      <c r="M396" s="82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43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  <c r="AZ396" s="117"/>
      <c r="BA396" s="117"/>
      <c r="BB396" s="117"/>
      <c r="BC396" s="117"/>
      <c r="BD396" s="117"/>
      <c r="BE396" s="117"/>
      <c r="BF396" s="117"/>
      <c r="BG396" s="117"/>
    </row>
    <row r="397" spans="1:59" ht="15" customHeight="1">
      <c r="A397" s="117"/>
      <c r="B397" s="81"/>
      <c r="C397" s="117"/>
      <c r="D397" s="117"/>
      <c r="E397" s="1144"/>
      <c r="F397" s="80"/>
      <c r="G397" s="80"/>
      <c r="H397" s="80"/>
      <c r="I397" s="80"/>
      <c r="J397" s="82"/>
      <c r="K397" s="82"/>
      <c r="L397" s="82"/>
      <c r="M397" s="82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43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  <c r="AZ397" s="117"/>
      <c r="BA397" s="117"/>
      <c r="BB397" s="117"/>
      <c r="BC397" s="117"/>
      <c r="BD397" s="117"/>
      <c r="BE397" s="117"/>
      <c r="BF397" s="117"/>
      <c r="BG397" s="117"/>
    </row>
    <row r="398" spans="1:59" ht="15" customHeight="1">
      <c r="A398" s="117"/>
      <c r="B398" s="81"/>
      <c r="C398" s="163"/>
      <c r="D398" s="110"/>
      <c r="E398" s="1122"/>
      <c r="F398" s="1083"/>
      <c r="G398" s="1083"/>
      <c r="H398" s="1083"/>
      <c r="I398" s="1083"/>
      <c r="J398" s="82"/>
      <c r="K398" s="82"/>
      <c r="L398" s="82"/>
      <c r="M398" s="82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43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  <c r="AZ398" s="117"/>
      <c r="BA398" s="117"/>
      <c r="BB398" s="117"/>
      <c r="BC398" s="117"/>
      <c r="BD398" s="117"/>
      <c r="BE398" s="117"/>
      <c r="BF398" s="117"/>
      <c r="BG398" s="117"/>
    </row>
    <row r="399" spans="1:59" ht="15" customHeight="1">
      <c r="A399" s="117"/>
      <c r="B399" s="81"/>
      <c r="C399" s="110"/>
      <c r="D399" s="110"/>
      <c r="E399" s="515"/>
      <c r="F399" s="80"/>
      <c r="G399" s="80"/>
      <c r="H399" s="80"/>
      <c r="I399" s="1083"/>
      <c r="J399" s="82"/>
      <c r="K399" s="82"/>
      <c r="L399" s="82"/>
      <c r="M399" s="82"/>
      <c r="N399" s="80"/>
      <c r="O399" s="80"/>
      <c r="P399" s="80"/>
      <c r="Q399" s="80"/>
      <c r="R399" s="80"/>
      <c r="S399" s="83"/>
      <c r="T399" s="83"/>
      <c r="U399" s="83"/>
      <c r="V399" s="83"/>
      <c r="W399" s="83"/>
      <c r="X399" s="43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  <c r="AZ399" s="117"/>
      <c r="BA399" s="117"/>
      <c r="BB399" s="117"/>
      <c r="BC399" s="117"/>
      <c r="BD399" s="117"/>
      <c r="BE399" s="117"/>
      <c r="BF399" s="117"/>
      <c r="BG399" s="117"/>
    </row>
    <row r="400" spans="1:59" ht="15" customHeight="1">
      <c r="A400" s="117"/>
      <c r="B400" s="81"/>
      <c r="C400" s="110"/>
      <c r="D400" s="110"/>
      <c r="E400" s="515"/>
      <c r="F400" s="80"/>
      <c r="G400" s="80"/>
      <c r="H400" s="80"/>
      <c r="I400" s="80"/>
      <c r="J400" s="82"/>
      <c r="K400" s="82"/>
      <c r="L400" s="82"/>
      <c r="M400" s="82"/>
      <c r="N400" s="80"/>
      <c r="O400" s="80"/>
      <c r="P400" s="80"/>
      <c r="Q400" s="80"/>
      <c r="R400" s="80"/>
      <c r="S400" s="83"/>
      <c r="T400" s="83"/>
      <c r="U400" s="83"/>
      <c r="V400" s="83"/>
      <c r="W400" s="83"/>
      <c r="X400" s="43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  <c r="BA400" s="117"/>
      <c r="BB400" s="117"/>
      <c r="BC400" s="117"/>
      <c r="BD400" s="117"/>
      <c r="BE400" s="117"/>
      <c r="BF400" s="117"/>
      <c r="BG400" s="117"/>
    </row>
    <row r="401" spans="1:59" ht="15" customHeight="1">
      <c r="A401" s="117"/>
      <c r="B401" s="81"/>
      <c r="C401" s="110"/>
      <c r="D401" s="533"/>
      <c r="E401" s="515"/>
      <c r="F401" s="80"/>
      <c r="G401" s="80"/>
      <c r="H401" s="83"/>
      <c r="I401" s="83"/>
      <c r="J401" s="133"/>
      <c r="K401" s="133"/>
      <c r="L401" s="133"/>
      <c r="M401" s="133"/>
      <c r="N401" s="83"/>
      <c r="O401" s="83"/>
      <c r="P401" s="83"/>
      <c r="Q401" s="83"/>
      <c r="R401" s="83"/>
      <c r="S401" s="117"/>
      <c r="T401" s="117"/>
      <c r="U401" s="117"/>
      <c r="V401" s="117"/>
      <c r="W401" s="117"/>
      <c r="X401" s="43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  <c r="BA401" s="117"/>
      <c r="BB401" s="117"/>
      <c r="BC401" s="117"/>
      <c r="BD401" s="117"/>
      <c r="BE401" s="117"/>
      <c r="BF401" s="117"/>
      <c r="BG401" s="117"/>
    </row>
    <row r="402" spans="1:59" ht="15" customHeight="1">
      <c r="A402" s="117"/>
      <c r="B402" s="81"/>
      <c r="C402" s="110"/>
      <c r="D402" s="533"/>
      <c r="E402" s="515"/>
      <c r="F402" s="80"/>
      <c r="G402" s="80"/>
      <c r="H402" s="83"/>
      <c r="I402" s="83"/>
      <c r="J402" s="133"/>
      <c r="K402" s="133"/>
      <c r="L402" s="133"/>
      <c r="M402" s="133"/>
      <c r="N402" s="83"/>
      <c r="O402" s="83"/>
      <c r="P402" s="83"/>
      <c r="Q402" s="83"/>
      <c r="R402" s="83"/>
      <c r="S402" s="117"/>
      <c r="T402" s="117"/>
      <c r="U402" s="117"/>
      <c r="V402" s="117"/>
      <c r="W402" s="117"/>
      <c r="X402" s="43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  <c r="BA402" s="117"/>
      <c r="BB402" s="117"/>
      <c r="BC402" s="117"/>
      <c r="BD402" s="117"/>
      <c r="BE402" s="117"/>
      <c r="BF402" s="117"/>
      <c r="BG402" s="117"/>
    </row>
    <row r="403" spans="1:59" ht="15" customHeight="1">
      <c r="A403" s="117"/>
      <c r="B403" s="81"/>
      <c r="C403" s="117"/>
      <c r="D403" s="117"/>
      <c r="E403" s="117"/>
      <c r="F403" s="117"/>
      <c r="G403" s="117"/>
      <c r="H403" s="117"/>
      <c r="I403" s="117"/>
      <c r="J403" s="118"/>
      <c r="K403" s="118"/>
      <c r="L403" s="118"/>
      <c r="M403" s="118"/>
      <c r="N403" s="117"/>
      <c r="O403" s="117"/>
      <c r="P403" s="117"/>
      <c r="Q403" s="117"/>
      <c r="R403" s="117"/>
      <c r="S403" s="80"/>
      <c r="T403" s="80"/>
      <c r="U403" s="80"/>
      <c r="V403" s="80"/>
      <c r="W403" s="80"/>
      <c r="X403" s="43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  <c r="AZ403" s="117"/>
      <c r="BA403" s="117"/>
      <c r="BB403" s="117"/>
      <c r="BC403" s="117"/>
      <c r="BD403" s="117"/>
      <c r="BE403" s="117"/>
      <c r="BF403" s="117"/>
      <c r="BG403" s="117"/>
    </row>
    <row r="404" spans="1:59" ht="15" customHeight="1">
      <c r="A404" s="117"/>
      <c r="B404" s="81"/>
      <c r="C404" s="117"/>
      <c r="D404" s="117"/>
      <c r="E404" s="117"/>
      <c r="F404" s="117"/>
      <c r="G404" s="117"/>
      <c r="H404" s="117"/>
      <c r="I404" s="117"/>
      <c r="J404" s="118"/>
      <c r="K404" s="118"/>
      <c r="L404" s="118"/>
      <c r="M404" s="118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43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  <c r="AZ404" s="117"/>
      <c r="BA404" s="117"/>
      <c r="BB404" s="117"/>
      <c r="BC404" s="117"/>
      <c r="BD404" s="117"/>
      <c r="BE404" s="117"/>
      <c r="BF404" s="117"/>
      <c r="BG404" s="117"/>
    </row>
    <row r="405" spans="1:59" ht="15" customHeight="1">
      <c r="A405" s="117"/>
      <c r="B405" s="81"/>
      <c r="C405" s="110"/>
      <c r="D405" s="110"/>
      <c r="E405" s="1144"/>
      <c r="F405" s="80"/>
      <c r="G405" s="80"/>
      <c r="H405" s="80"/>
      <c r="I405" s="80"/>
      <c r="J405" s="82"/>
      <c r="K405" s="82"/>
      <c r="L405" s="82"/>
      <c r="M405" s="82"/>
      <c r="N405" s="80"/>
      <c r="O405" s="80"/>
      <c r="P405" s="80"/>
      <c r="Q405" s="80"/>
      <c r="R405" s="80"/>
      <c r="S405" s="117"/>
      <c r="T405" s="117"/>
      <c r="U405" s="117"/>
      <c r="V405" s="117"/>
      <c r="W405" s="117"/>
      <c r="X405" s="43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  <c r="AZ405" s="117"/>
      <c r="BA405" s="117"/>
      <c r="BB405" s="117"/>
      <c r="BC405" s="117"/>
      <c r="BD405" s="117"/>
      <c r="BE405" s="117"/>
      <c r="BF405" s="117"/>
      <c r="BG405" s="117"/>
    </row>
    <row r="406" spans="1:59" ht="15" customHeight="1">
      <c r="A406" s="117"/>
      <c r="B406" s="81"/>
      <c r="C406" s="117"/>
      <c r="D406" s="117"/>
      <c r="E406" s="117"/>
      <c r="F406" s="117"/>
      <c r="G406" s="117"/>
      <c r="H406" s="117"/>
      <c r="I406" s="117"/>
      <c r="J406" s="118"/>
      <c r="K406" s="118"/>
      <c r="L406" s="118"/>
      <c r="M406" s="118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43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  <c r="AZ406" s="117"/>
      <c r="BA406" s="117"/>
      <c r="BB406" s="117"/>
      <c r="BC406" s="117"/>
      <c r="BD406" s="117"/>
      <c r="BE406" s="117"/>
      <c r="BF406" s="117"/>
      <c r="BG406" s="117"/>
    </row>
    <row r="407" spans="1:59" ht="15" customHeight="1">
      <c r="A407" s="117"/>
      <c r="B407" s="81"/>
      <c r="C407" s="117"/>
      <c r="D407" s="117"/>
      <c r="E407" s="117"/>
      <c r="F407" s="117"/>
      <c r="G407" s="117"/>
      <c r="H407" s="117"/>
      <c r="I407" s="117"/>
      <c r="J407" s="118"/>
      <c r="K407" s="118"/>
      <c r="L407" s="118"/>
      <c r="M407" s="118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43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  <c r="AZ407" s="117"/>
      <c r="BA407" s="117"/>
      <c r="BB407" s="117"/>
      <c r="BC407" s="117"/>
      <c r="BD407" s="117"/>
      <c r="BE407" s="117"/>
      <c r="BF407" s="117"/>
      <c r="BG407" s="117"/>
    </row>
    <row r="408" spans="1:59" ht="15" customHeight="1">
      <c r="A408" s="117"/>
      <c r="B408" s="81"/>
      <c r="C408" s="117"/>
      <c r="D408" s="117"/>
      <c r="E408" s="117"/>
      <c r="F408" s="117"/>
      <c r="G408" s="117"/>
      <c r="H408" s="117"/>
      <c r="I408" s="117"/>
      <c r="J408" s="118"/>
      <c r="K408" s="118"/>
      <c r="L408" s="118"/>
      <c r="M408" s="118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43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  <c r="AZ408" s="117"/>
      <c r="BA408" s="117"/>
      <c r="BB408" s="117"/>
      <c r="BC408" s="117"/>
      <c r="BD408" s="117"/>
      <c r="BE408" s="117"/>
      <c r="BF408" s="117"/>
      <c r="BG408" s="117"/>
    </row>
    <row r="409" spans="1:59" ht="15" customHeight="1">
      <c r="A409" s="117"/>
      <c r="B409" s="81"/>
      <c r="C409" s="117"/>
      <c r="D409" s="117"/>
      <c r="E409" s="117"/>
      <c r="F409" s="117"/>
      <c r="G409" s="117"/>
      <c r="H409" s="117"/>
      <c r="I409" s="117"/>
      <c r="J409" s="118"/>
      <c r="K409" s="118"/>
      <c r="L409" s="118"/>
      <c r="M409" s="118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43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  <c r="AZ409" s="117"/>
      <c r="BA409" s="117"/>
      <c r="BB409" s="117"/>
      <c r="BC409" s="117"/>
      <c r="BD409" s="117"/>
      <c r="BE409" s="117"/>
      <c r="BF409" s="117"/>
      <c r="BG409" s="117"/>
    </row>
    <row r="410" spans="1:59" ht="15" customHeight="1">
      <c r="A410" s="117"/>
      <c r="B410" s="81"/>
      <c r="C410" s="117"/>
      <c r="D410" s="117"/>
      <c r="E410" s="117"/>
      <c r="F410" s="117"/>
      <c r="G410" s="117"/>
      <c r="H410" s="117"/>
      <c r="I410" s="117"/>
      <c r="J410" s="118"/>
      <c r="K410" s="118"/>
      <c r="L410" s="118"/>
      <c r="M410" s="118"/>
      <c r="N410" s="117"/>
      <c r="O410" s="117"/>
      <c r="P410" s="117"/>
      <c r="Q410" s="117"/>
      <c r="R410" s="117"/>
      <c r="S410" s="81"/>
      <c r="T410" s="81"/>
      <c r="U410" s="81"/>
      <c r="V410" s="100"/>
      <c r="W410" s="81"/>
      <c r="X410" s="43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  <c r="AZ410" s="117"/>
      <c r="BA410" s="117"/>
      <c r="BB410" s="117"/>
      <c r="BC410" s="117"/>
      <c r="BD410" s="117"/>
      <c r="BE410" s="117"/>
      <c r="BF410" s="117"/>
      <c r="BG410" s="117"/>
    </row>
    <row r="411" spans="1:59">
      <c r="A411" s="117"/>
      <c r="B411" s="81"/>
      <c r="C411" s="117"/>
      <c r="D411" s="117"/>
      <c r="E411" s="117"/>
      <c r="F411" s="117"/>
      <c r="G411" s="117"/>
      <c r="H411" s="117"/>
      <c r="I411" s="117"/>
      <c r="J411" s="118"/>
      <c r="K411" s="118"/>
      <c r="L411" s="118"/>
      <c r="M411" s="118"/>
      <c r="N411" s="117"/>
      <c r="O411" s="117"/>
      <c r="P411" s="117"/>
      <c r="Q411" s="117"/>
      <c r="R411" s="117"/>
      <c r="S411" s="81"/>
      <c r="T411" s="81"/>
      <c r="U411" s="81"/>
      <c r="V411" s="81"/>
      <c r="W411" s="81"/>
      <c r="X411" s="43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</row>
    <row r="412" spans="1:59" ht="15">
      <c r="A412" s="117"/>
      <c r="B412" s="1104"/>
      <c r="C412" s="81"/>
      <c r="D412" s="81"/>
      <c r="E412" s="100"/>
      <c r="F412" s="100"/>
      <c r="G412" s="100"/>
      <c r="H412" s="81"/>
      <c r="I412" s="81"/>
      <c r="J412" s="118"/>
      <c r="K412" s="118"/>
      <c r="L412" s="118"/>
      <c r="M412" s="118"/>
      <c r="N412" s="81"/>
      <c r="O412" s="81"/>
      <c r="P412" s="81"/>
      <c r="Q412" s="81"/>
      <c r="R412" s="81"/>
      <c r="S412" s="81"/>
      <c r="T412" s="81"/>
      <c r="U412" s="81"/>
      <c r="V412" s="1105"/>
      <c r="W412" s="1105"/>
      <c r="X412" s="43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  <c r="AZ412" s="117"/>
      <c r="BA412" s="117"/>
      <c r="BB412" s="117"/>
      <c r="BC412" s="117"/>
      <c r="BD412" s="117"/>
      <c r="BE412" s="117"/>
      <c r="BF412" s="117"/>
      <c r="BG412" s="117"/>
    </row>
    <row r="413" spans="1:59">
      <c r="A413" s="117"/>
      <c r="B413" s="81"/>
      <c r="C413" s="81"/>
      <c r="D413" s="81"/>
      <c r="E413" s="81"/>
      <c r="F413" s="81"/>
      <c r="G413" s="81"/>
      <c r="H413" s="81"/>
      <c r="I413" s="81"/>
      <c r="J413" s="118"/>
      <c r="K413" s="118"/>
      <c r="L413" s="118"/>
      <c r="M413" s="118"/>
      <c r="N413" s="81"/>
      <c r="O413" s="81"/>
      <c r="P413" s="81"/>
      <c r="Q413" s="81"/>
      <c r="R413" s="81"/>
      <c r="S413" s="81"/>
      <c r="T413" s="81"/>
      <c r="U413" s="81"/>
      <c r="V413" s="81"/>
      <c r="W413" s="1106"/>
      <c r="X413" s="43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</row>
    <row r="414" spans="1:59">
      <c r="A414" s="117"/>
      <c r="B414" s="81"/>
      <c r="C414" s="81"/>
      <c r="D414" s="81"/>
      <c r="E414" s="81"/>
      <c r="F414" s="81"/>
      <c r="G414" s="81"/>
      <c r="H414" s="81"/>
      <c r="I414" s="81"/>
      <c r="J414" s="118"/>
      <c r="K414" s="118"/>
      <c r="L414" s="118"/>
      <c r="M414" s="118"/>
      <c r="N414" s="81"/>
      <c r="O414" s="81"/>
      <c r="P414" s="81"/>
      <c r="Q414" s="81"/>
      <c r="R414" s="81"/>
      <c r="S414" s="117"/>
      <c r="T414" s="117"/>
      <c r="U414" s="117"/>
      <c r="V414" s="117"/>
      <c r="W414" s="117"/>
      <c r="X414" s="43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  <c r="AZ414" s="117"/>
      <c r="BA414" s="117"/>
      <c r="BB414" s="117"/>
      <c r="BC414" s="117"/>
      <c r="BD414" s="117"/>
      <c r="BE414" s="117"/>
      <c r="BF414" s="117"/>
      <c r="BG414" s="117"/>
    </row>
    <row r="415" spans="1:59" ht="3" customHeight="1">
      <c r="A415" s="117"/>
      <c r="B415" s="81"/>
      <c r="C415" s="1050"/>
      <c r="D415" s="81"/>
      <c r="E415" s="81"/>
      <c r="F415" s="81"/>
      <c r="G415" s="81"/>
      <c r="H415" s="81"/>
      <c r="I415" s="81"/>
      <c r="J415" s="118"/>
      <c r="K415" s="118"/>
      <c r="L415" s="118"/>
      <c r="M415" s="118"/>
      <c r="N415" s="81"/>
      <c r="O415" s="81"/>
      <c r="P415" s="81"/>
      <c r="Q415" s="81"/>
      <c r="R415" s="81"/>
      <c r="S415" s="1091"/>
      <c r="T415" s="1091"/>
      <c r="U415" s="1091"/>
      <c r="V415" s="1091"/>
      <c r="W415" s="1091"/>
      <c r="X415" s="43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  <c r="BA415" s="117"/>
      <c r="BB415" s="117"/>
      <c r="BC415" s="117"/>
      <c r="BD415" s="117"/>
      <c r="BE415" s="117"/>
      <c r="BF415" s="117"/>
      <c r="BG415" s="117"/>
    </row>
    <row r="416" spans="1:59" ht="15" customHeight="1">
      <c r="A416" s="117"/>
      <c r="B416" s="81"/>
      <c r="C416" s="499"/>
      <c r="D416" s="117"/>
      <c r="E416" s="117"/>
      <c r="F416" s="117"/>
      <c r="G416" s="117"/>
      <c r="H416" s="117"/>
      <c r="I416" s="117"/>
      <c r="J416" s="118"/>
      <c r="K416" s="118"/>
      <c r="L416" s="118"/>
      <c r="M416" s="118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43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  <c r="AZ416" s="117"/>
      <c r="BA416" s="117"/>
      <c r="BB416" s="117"/>
      <c r="BC416" s="117"/>
      <c r="BD416" s="117"/>
      <c r="BE416" s="117"/>
      <c r="BF416" s="117"/>
      <c r="BG416" s="117"/>
    </row>
    <row r="417" spans="1:59" ht="15" customHeight="1">
      <c r="A417" s="117"/>
      <c r="B417" s="81"/>
      <c r="C417" s="1091"/>
      <c r="D417" s="1091"/>
      <c r="E417" s="1091"/>
      <c r="F417" s="1091"/>
      <c r="G417" s="1091"/>
      <c r="H417" s="1091"/>
      <c r="I417" s="1091"/>
      <c r="J417" s="1134"/>
      <c r="K417" s="1134"/>
      <c r="L417" s="1134"/>
      <c r="M417" s="1134"/>
      <c r="N417" s="1091"/>
      <c r="O417" s="1091"/>
      <c r="P417" s="1091"/>
      <c r="Q417" s="1091"/>
      <c r="R417" s="1091"/>
      <c r="S417" s="117"/>
      <c r="T417" s="117"/>
      <c r="U417" s="117"/>
      <c r="V417" s="81"/>
      <c r="W417" s="81"/>
      <c r="X417" s="43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  <c r="BA417" s="117"/>
      <c r="BB417" s="117"/>
      <c r="BC417" s="117"/>
      <c r="BD417" s="117"/>
      <c r="BE417" s="117"/>
      <c r="BF417" s="117"/>
      <c r="BG417" s="117"/>
    </row>
    <row r="418" spans="1:59" ht="15" customHeight="1">
      <c r="A418" s="117"/>
      <c r="B418" s="81"/>
      <c r="C418" s="117"/>
      <c r="D418" s="117"/>
      <c r="E418" s="117"/>
      <c r="F418" s="117"/>
      <c r="G418" s="117"/>
      <c r="H418" s="117"/>
      <c r="I418" s="117"/>
      <c r="J418" s="118"/>
      <c r="K418" s="118"/>
      <c r="L418" s="118"/>
      <c r="M418" s="118"/>
      <c r="N418" s="117"/>
      <c r="O418" s="117"/>
      <c r="P418" s="117"/>
      <c r="Q418" s="117"/>
      <c r="R418" s="117"/>
      <c r="S418" s="1053"/>
      <c r="T418" s="1053"/>
      <c r="U418" s="1053"/>
      <c r="V418" s="1053"/>
      <c r="W418" s="1053"/>
      <c r="X418" s="43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  <c r="AZ418" s="117"/>
      <c r="BA418" s="117"/>
      <c r="BB418" s="117"/>
      <c r="BC418" s="117"/>
      <c r="BD418" s="117"/>
      <c r="BE418" s="117"/>
      <c r="BF418" s="117"/>
      <c r="BG418" s="117"/>
    </row>
    <row r="419" spans="1:59" ht="15" customHeight="1">
      <c r="A419" s="117"/>
      <c r="B419" s="81"/>
      <c r="C419" s="1078"/>
      <c r="D419" s="117"/>
      <c r="E419" s="117"/>
      <c r="F419" s="117"/>
      <c r="G419" s="117"/>
      <c r="H419" s="117"/>
      <c r="I419" s="117"/>
      <c r="J419" s="118"/>
      <c r="K419" s="118"/>
      <c r="L419" s="118"/>
      <c r="M419" s="118"/>
      <c r="N419" s="117"/>
      <c r="O419" s="117"/>
      <c r="P419" s="117"/>
      <c r="Q419" s="117"/>
      <c r="R419" s="117"/>
      <c r="S419" s="530"/>
      <c r="T419" s="530"/>
      <c r="U419" s="530"/>
      <c r="V419" s="530"/>
      <c r="W419" s="530"/>
      <c r="X419" s="43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  <c r="AZ419" s="117"/>
      <c r="BA419" s="117"/>
      <c r="BB419" s="117"/>
      <c r="BC419" s="117"/>
      <c r="BD419" s="117"/>
      <c r="BE419" s="117"/>
      <c r="BF419" s="117"/>
      <c r="BG419" s="117"/>
    </row>
    <row r="420" spans="1:59" ht="15" customHeight="1">
      <c r="A420" s="117"/>
      <c r="B420" s="81"/>
      <c r="C420" s="156"/>
      <c r="D420" s="100"/>
      <c r="E420" s="1127"/>
      <c r="F420" s="1127"/>
      <c r="G420" s="1127"/>
      <c r="H420" s="1127"/>
      <c r="I420" s="1127"/>
      <c r="J420" s="1094"/>
      <c r="K420" s="1094"/>
      <c r="L420" s="1094"/>
      <c r="M420" s="1094"/>
      <c r="N420" s="1053"/>
      <c r="O420" s="1053"/>
      <c r="P420" s="1053"/>
      <c r="Q420" s="1053"/>
      <c r="R420" s="1053"/>
      <c r="S420" s="80"/>
      <c r="T420" s="80"/>
      <c r="U420" s="80"/>
      <c r="V420" s="80"/>
      <c r="W420" s="80"/>
      <c r="X420" s="43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  <c r="AZ420" s="117"/>
      <c r="BA420" s="117"/>
      <c r="BB420" s="117"/>
      <c r="BC420" s="117"/>
      <c r="BD420" s="117"/>
      <c r="BE420" s="117"/>
      <c r="BF420" s="117"/>
      <c r="BG420" s="117"/>
    </row>
    <row r="421" spans="1:59" ht="15" customHeight="1">
      <c r="A421" s="117"/>
      <c r="B421" s="81"/>
      <c r="C421" s="156"/>
      <c r="D421" s="156"/>
      <c r="E421" s="530"/>
      <c r="F421" s="530"/>
      <c r="G421" s="530"/>
      <c r="H421" s="530"/>
      <c r="I421" s="1094"/>
      <c r="J421" s="1094"/>
      <c r="K421" s="1094"/>
      <c r="L421" s="1094"/>
      <c r="M421" s="1094"/>
      <c r="N421" s="1094"/>
      <c r="O421" s="530"/>
      <c r="P421" s="530"/>
      <c r="Q421" s="530"/>
      <c r="R421" s="530"/>
      <c r="S421" s="80"/>
      <c r="T421" s="80"/>
      <c r="U421" s="80"/>
      <c r="V421" s="80"/>
      <c r="W421" s="80"/>
      <c r="X421" s="43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  <c r="BA421" s="117"/>
      <c r="BB421" s="117"/>
      <c r="BC421" s="117"/>
      <c r="BD421" s="117"/>
      <c r="BE421" s="117"/>
      <c r="BF421" s="117"/>
      <c r="BG421" s="117"/>
    </row>
    <row r="422" spans="1:59" ht="15" customHeight="1">
      <c r="A422" s="117"/>
      <c r="B422" s="81"/>
      <c r="C422" s="110"/>
      <c r="D422" s="110"/>
      <c r="E422" s="1145"/>
      <c r="F422" s="515"/>
      <c r="G422" s="80"/>
      <c r="H422" s="80"/>
      <c r="I422" s="80"/>
      <c r="J422" s="82"/>
      <c r="K422" s="82"/>
      <c r="L422" s="82"/>
      <c r="M422" s="82"/>
      <c r="N422" s="80"/>
      <c r="O422" s="80"/>
      <c r="P422" s="80"/>
      <c r="Q422" s="80"/>
      <c r="R422" s="80"/>
      <c r="S422" s="83"/>
      <c r="T422" s="83"/>
      <c r="U422" s="83"/>
      <c r="V422" s="83"/>
      <c r="W422" s="83"/>
      <c r="X422" s="43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  <c r="AZ422" s="117"/>
      <c r="BA422" s="117"/>
      <c r="BB422" s="117"/>
      <c r="BC422" s="117"/>
      <c r="BD422" s="117"/>
      <c r="BE422" s="117"/>
      <c r="BF422" s="117"/>
      <c r="BG422" s="117"/>
    </row>
    <row r="423" spans="1:59" ht="15" customHeight="1">
      <c r="A423" s="117"/>
      <c r="B423" s="81"/>
      <c r="C423" s="110"/>
      <c r="D423" s="110"/>
      <c r="E423" s="1121"/>
      <c r="F423" s="1121"/>
      <c r="G423" s="80"/>
      <c r="H423" s="80"/>
      <c r="I423" s="80"/>
      <c r="J423" s="1099"/>
      <c r="K423" s="1099"/>
      <c r="L423" s="1099"/>
      <c r="M423" s="1099"/>
      <c r="N423" s="525"/>
      <c r="O423" s="80"/>
      <c r="P423" s="80"/>
      <c r="Q423" s="80"/>
      <c r="R423" s="80"/>
      <c r="S423" s="80"/>
      <c r="T423" s="80"/>
      <c r="U423" s="80"/>
      <c r="V423" s="80"/>
      <c r="W423" s="80"/>
      <c r="X423" s="43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  <c r="AZ423" s="117"/>
      <c r="BA423" s="117"/>
      <c r="BB423" s="117"/>
      <c r="BC423" s="117"/>
      <c r="BD423" s="117"/>
      <c r="BE423" s="117"/>
      <c r="BF423" s="117"/>
      <c r="BG423" s="117"/>
    </row>
    <row r="424" spans="1:59" ht="15" customHeight="1">
      <c r="A424" s="117"/>
      <c r="B424" s="81"/>
      <c r="C424" s="533"/>
      <c r="D424" s="110"/>
      <c r="E424" s="576"/>
      <c r="F424" s="576"/>
      <c r="G424" s="80"/>
      <c r="H424" s="83"/>
      <c r="I424" s="83"/>
      <c r="J424" s="133"/>
      <c r="K424" s="133"/>
      <c r="L424" s="133"/>
      <c r="M424" s="133"/>
      <c r="N424" s="83"/>
      <c r="O424" s="83"/>
      <c r="P424" s="83"/>
      <c r="Q424" s="83"/>
      <c r="R424" s="83"/>
      <c r="S424" s="80"/>
      <c r="T424" s="80"/>
      <c r="U424" s="80"/>
      <c r="V424" s="80"/>
      <c r="W424" s="80"/>
      <c r="X424" s="43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  <c r="AZ424" s="117"/>
      <c r="BA424" s="117"/>
      <c r="BB424" s="117"/>
      <c r="BC424" s="117"/>
      <c r="BD424" s="117"/>
      <c r="BE424" s="117"/>
      <c r="BF424" s="117"/>
      <c r="BG424" s="117"/>
    </row>
    <row r="425" spans="1:59" ht="15" customHeight="1">
      <c r="A425" s="117"/>
      <c r="B425" s="81"/>
      <c r="C425" s="110"/>
      <c r="D425" s="110"/>
      <c r="E425" s="1121"/>
      <c r="F425" s="1121"/>
      <c r="G425" s="80"/>
      <c r="H425" s="80"/>
      <c r="I425" s="80"/>
      <c r="J425" s="82"/>
      <c r="K425" s="82"/>
      <c r="L425" s="82"/>
      <c r="M425" s="82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43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  <c r="AZ425" s="117"/>
      <c r="BA425" s="117"/>
      <c r="BB425" s="117"/>
      <c r="BC425" s="117"/>
      <c r="BD425" s="117"/>
      <c r="BE425" s="117"/>
      <c r="BF425" s="117"/>
      <c r="BG425" s="117"/>
    </row>
    <row r="426" spans="1:59" ht="15" customHeight="1">
      <c r="A426" s="117"/>
      <c r="B426" s="81"/>
      <c r="C426" s="110"/>
      <c r="D426" s="110"/>
      <c r="E426" s="1121"/>
      <c r="F426" s="1121"/>
      <c r="G426" s="80"/>
      <c r="H426" s="80"/>
      <c r="I426" s="80"/>
      <c r="J426" s="82"/>
      <c r="K426" s="82"/>
      <c r="L426" s="82"/>
      <c r="M426" s="82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43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  <c r="AZ426" s="117"/>
      <c r="BA426" s="117"/>
      <c r="BB426" s="117"/>
      <c r="BC426" s="117"/>
      <c r="BD426" s="117"/>
      <c r="BE426" s="117"/>
      <c r="BF426" s="117"/>
      <c r="BG426" s="117"/>
    </row>
    <row r="427" spans="1:59" ht="15" customHeight="1">
      <c r="A427" s="117"/>
      <c r="B427" s="81"/>
      <c r="C427" s="110"/>
      <c r="D427" s="110"/>
      <c r="E427" s="1121"/>
      <c r="F427" s="1121"/>
      <c r="G427" s="80"/>
      <c r="H427" s="80"/>
      <c r="I427" s="80"/>
      <c r="J427" s="82"/>
      <c r="K427" s="82"/>
      <c r="L427" s="82"/>
      <c r="M427" s="82"/>
      <c r="N427" s="80"/>
      <c r="O427" s="80"/>
      <c r="P427" s="80"/>
      <c r="Q427" s="80"/>
      <c r="R427" s="80"/>
      <c r="S427" s="1083"/>
      <c r="T427" s="1083"/>
      <c r="U427" s="1083"/>
      <c r="V427" s="1083"/>
      <c r="W427" s="1083"/>
      <c r="X427" s="43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  <c r="BA427" s="117"/>
      <c r="BB427" s="117"/>
      <c r="BC427" s="117"/>
      <c r="BD427" s="117"/>
      <c r="BE427" s="117"/>
      <c r="BF427" s="117"/>
      <c r="BG427" s="117"/>
    </row>
    <row r="428" spans="1:59" ht="15" customHeight="1">
      <c r="A428" s="117"/>
      <c r="B428" s="81"/>
      <c r="C428" s="110"/>
      <c r="D428" s="110"/>
      <c r="E428" s="1121"/>
      <c r="F428" s="1121"/>
      <c r="G428" s="80"/>
      <c r="H428" s="80"/>
      <c r="I428" s="80"/>
      <c r="J428" s="82"/>
      <c r="K428" s="82"/>
      <c r="L428" s="82"/>
      <c r="M428" s="82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43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</row>
    <row r="429" spans="1:59" ht="15" customHeight="1">
      <c r="A429" s="117"/>
      <c r="B429" s="81"/>
      <c r="C429" s="110"/>
      <c r="D429" s="110"/>
      <c r="E429" s="110"/>
      <c r="F429" s="110"/>
      <c r="G429" s="80"/>
      <c r="H429" s="1083"/>
      <c r="I429" s="80"/>
      <c r="J429" s="1123"/>
      <c r="K429" s="1099"/>
      <c r="L429" s="1099"/>
      <c r="M429" s="1099"/>
      <c r="N429" s="525"/>
      <c r="O429" s="1083"/>
      <c r="P429" s="1083"/>
      <c r="Q429" s="1083"/>
      <c r="R429" s="1083"/>
      <c r="S429" s="80"/>
      <c r="T429" s="80"/>
      <c r="U429" s="80"/>
      <c r="V429" s="80"/>
      <c r="W429" s="80"/>
      <c r="X429" s="43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  <c r="AZ429" s="117"/>
      <c r="BA429" s="117"/>
      <c r="BB429" s="117"/>
      <c r="BC429" s="117"/>
      <c r="BD429" s="117"/>
      <c r="BE429" s="117"/>
      <c r="BF429" s="117"/>
      <c r="BG429" s="117"/>
    </row>
    <row r="430" spans="1:59" ht="15" customHeight="1">
      <c r="A430" s="117"/>
      <c r="B430" s="81"/>
      <c r="C430" s="110"/>
      <c r="D430" s="110"/>
      <c r="E430" s="1146"/>
      <c r="F430" s="1146"/>
      <c r="G430" s="1083"/>
      <c r="H430" s="80"/>
      <c r="I430" s="80"/>
      <c r="J430" s="1123"/>
      <c r="K430" s="82"/>
      <c r="L430" s="82"/>
      <c r="M430" s="82"/>
      <c r="N430" s="80"/>
      <c r="O430" s="80"/>
      <c r="P430" s="80"/>
      <c r="Q430" s="80"/>
      <c r="R430" s="80"/>
      <c r="S430" s="510"/>
      <c r="T430" s="510"/>
      <c r="U430" s="510"/>
      <c r="V430" s="510"/>
      <c r="W430" s="510"/>
      <c r="X430" s="43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  <c r="AZ430" s="117"/>
      <c r="BA430" s="117"/>
      <c r="BB430" s="117"/>
      <c r="BC430" s="117"/>
      <c r="BD430" s="117"/>
      <c r="BE430" s="117"/>
      <c r="BF430" s="117"/>
      <c r="BG430" s="117"/>
    </row>
    <row r="431" spans="1:59" ht="15" customHeight="1">
      <c r="A431" s="117"/>
      <c r="B431" s="81"/>
      <c r="C431" s="110"/>
      <c r="D431" s="110"/>
      <c r="E431" s="110"/>
      <c r="F431" s="110"/>
      <c r="G431" s="80"/>
      <c r="H431" s="80"/>
      <c r="I431" s="80"/>
      <c r="J431" s="82"/>
      <c r="K431" s="82"/>
      <c r="L431" s="82"/>
      <c r="M431" s="82"/>
      <c r="N431" s="80"/>
      <c r="O431" s="80"/>
      <c r="P431" s="80"/>
      <c r="Q431" s="80"/>
      <c r="R431" s="80"/>
      <c r="S431" s="510"/>
      <c r="T431" s="510"/>
      <c r="U431" s="510"/>
      <c r="V431" s="510"/>
      <c r="W431" s="510"/>
      <c r="X431" s="43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  <c r="AZ431" s="117"/>
      <c r="BA431" s="117"/>
      <c r="BB431" s="117"/>
      <c r="BC431" s="117"/>
      <c r="BD431" s="117"/>
      <c r="BE431" s="117"/>
      <c r="BF431" s="117"/>
      <c r="BG431" s="117"/>
    </row>
    <row r="432" spans="1:59" ht="15" customHeight="1">
      <c r="A432" s="117"/>
      <c r="B432" s="81"/>
      <c r="C432" s="110"/>
      <c r="D432" s="110"/>
      <c r="E432" s="110"/>
      <c r="F432" s="110"/>
      <c r="G432" s="80"/>
      <c r="H432" s="1147"/>
      <c r="I432" s="1060"/>
      <c r="J432" s="1015"/>
      <c r="K432" s="1015"/>
      <c r="L432" s="1015"/>
      <c r="M432" s="1015"/>
      <c r="N432" s="510"/>
      <c r="O432" s="510"/>
      <c r="P432" s="510"/>
      <c r="Q432" s="510"/>
      <c r="R432" s="510"/>
      <c r="S432" s="510"/>
      <c r="T432" s="510"/>
      <c r="U432" s="510"/>
      <c r="V432" s="510"/>
      <c r="W432" s="510"/>
      <c r="X432" s="43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  <c r="AZ432" s="117"/>
      <c r="BA432" s="117"/>
      <c r="BB432" s="117"/>
      <c r="BC432" s="117"/>
      <c r="BD432" s="117"/>
      <c r="BE432" s="117"/>
      <c r="BF432" s="117"/>
      <c r="BG432" s="117"/>
    </row>
    <row r="433" spans="1:59" ht="15" customHeight="1">
      <c r="A433" s="117"/>
      <c r="B433" s="81"/>
      <c r="C433" s="110"/>
      <c r="D433" s="110"/>
      <c r="E433" s="110"/>
      <c r="F433" s="110"/>
      <c r="G433" s="110"/>
      <c r="H433" s="510"/>
      <c r="I433" s="510"/>
      <c r="J433" s="1015"/>
      <c r="K433" s="1015"/>
      <c r="L433" s="1015"/>
      <c r="M433" s="1015"/>
      <c r="N433" s="510"/>
      <c r="O433" s="510"/>
      <c r="P433" s="510"/>
      <c r="Q433" s="510"/>
      <c r="R433" s="510"/>
      <c r="S433" s="510"/>
      <c r="T433" s="510"/>
      <c r="U433" s="510"/>
      <c r="V433" s="510"/>
      <c r="W433" s="510"/>
      <c r="X433" s="43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  <c r="AZ433" s="117"/>
      <c r="BA433" s="117"/>
      <c r="BB433" s="117"/>
      <c r="BC433" s="117"/>
      <c r="BD433" s="117"/>
      <c r="BE433" s="117"/>
      <c r="BF433" s="117"/>
      <c r="BG433" s="117"/>
    </row>
    <row r="434" spans="1:59" ht="15" customHeight="1">
      <c r="A434" s="117"/>
      <c r="B434" s="81"/>
      <c r="C434" s="110"/>
      <c r="D434" s="110"/>
      <c r="E434" s="1148"/>
      <c r="F434" s="80"/>
      <c r="G434" s="1149"/>
      <c r="H434" s="510"/>
      <c r="I434" s="510"/>
      <c r="J434" s="1015"/>
      <c r="K434" s="1015"/>
      <c r="L434" s="1015"/>
      <c r="M434" s="1015"/>
      <c r="N434" s="510"/>
      <c r="O434" s="510"/>
      <c r="P434" s="510"/>
      <c r="Q434" s="510"/>
      <c r="R434" s="510"/>
      <c r="S434" s="510"/>
      <c r="T434" s="510"/>
      <c r="U434" s="510"/>
      <c r="V434" s="510"/>
      <c r="W434" s="510"/>
      <c r="X434" s="43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  <c r="AZ434" s="117"/>
      <c r="BA434" s="117"/>
      <c r="BB434" s="117"/>
      <c r="BC434" s="117"/>
      <c r="BD434" s="117"/>
      <c r="BE434" s="117"/>
      <c r="BF434" s="117"/>
      <c r="BG434" s="117"/>
    </row>
    <row r="435" spans="1:59" ht="15" customHeight="1">
      <c r="A435" s="117"/>
      <c r="B435" s="81"/>
      <c r="C435" s="110"/>
      <c r="D435" s="110"/>
      <c r="E435" s="114"/>
      <c r="F435" s="80"/>
      <c r="G435" s="110"/>
      <c r="H435" s="510"/>
      <c r="I435" s="510"/>
      <c r="J435" s="1015"/>
      <c r="K435" s="1015"/>
      <c r="L435" s="1015"/>
      <c r="M435" s="1015"/>
      <c r="N435" s="510"/>
      <c r="O435" s="510"/>
      <c r="P435" s="510"/>
      <c r="Q435" s="510"/>
      <c r="R435" s="510"/>
      <c r="S435" s="510"/>
      <c r="T435" s="510"/>
      <c r="U435" s="510"/>
      <c r="V435" s="510"/>
      <c r="W435" s="510"/>
      <c r="X435" s="43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  <c r="AZ435" s="117"/>
      <c r="BA435" s="117"/>
      <c r="BB435" s="117"/>
      <c r="BC435" s="117"/>
      <c r="BD435" s="117"/>
      <c r="BE435" s="117"/>
      <c r="BF435" s="117"/>
      <c r="BG435" s="117"/>
    </row>
    <row r="436" spans="1:59" ht="15" customHeight="1">
      <c r="A436" s="117"/>
      <c r="B436" s="81"/>
      <c r="C436" s="110"/>
      <c r="D436" s="110"/>
      <c r="E436" s="114"/>
      <c r="F436" s="82"/>
      <c r="G436" s="110"/>
      <c r="H436" s="510"/>
      <c r="I436" s="510"/>
      <c r="J436" s="1015"/>
      <c r="K436" s="1015"/>
      <c r="L436" s="1015"/>
      <c r="M436" s="1015"/>
      <c r="N436" s="510"/>
      <c r="O436" s="510"/>
      <c r="P436" s="510"/>
      <c r="Q436" s="510"/>
      <c r="R436" s="510"/>
      <c r="S436" s="510"/>
      <c r="T436" s="510"/>
      <c r="U436" s="510"/>
      <c r="V436" s="510"/>
      <c r="W436" s="510"/>
      <c r="X436" s="43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  <c r="AZ436" s="117"/>
      <c r="BA436" s="117"/>
      <c r="BB436" s="117"/>
      <c r="BC436" s="117"/>
      <c r="BD436" s="117"/>
      <c r="BE436" s="117"/>
      <c r="BF436" s="117"/>
      <c r="BG436" s="117"/>
    </row>
    <row r="437" spans="1:59" ht="15" customHeight="1">
      <c r="A437" s="117"/>
      <c r="B437" s="81"/>
      <c r="C437" s="110"/>
      <c r="D437" s="110"/>
      <c r="E437" s="1150"/>
      <c r="F437" s="80"/>
      <c r="G437" s="154"/>
      <c r="H437" s="510"/>
      <c r="I437" s="510"/>
      <c r="J437" s="82"/>
      <c r="K437" s="82"/>
      <c r="L437" s="82"/>
      <c r="M437" s="82"/>
      <c r="N437" s="510"/>
      <c r="O437" s="510"/>
      <c r="P437" s="510"/>
      <c r="Q437" s="510"/>
      <c r="R437" s="510"/>
      <c r="S437" s="510"/>
      <c r="T437" s="510"/>
      <c r="U437" s="510"/>
      <c r="V437" s="510"/>
      <c r="W437" s="510"/>
      <c r="X437" s="43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  <c r="AZ437" s="117"/>
      <c r="BA437" s="117"/>
      <c r="BB437" s="117"/>
      <c r="BC437" s="117"/>
      <c r="BD437" s="117"/>
      <c r="BE437" s="117"/>
      <c r="BF437" s="117"/>
      <c r="BG437" s="117"/>
    </row>
    <row r="438" spans="1:59" ht="15" customHeight="1">
      <c r="A438" s="117"/>
      <c r="B438" s="81"/>
      <c r="C438" s="110"/>
      <c r="D438" s="110"/>
      <c r="E438" s="1150"/>
      <c r="F438" s="80"/>
      <c r="G438" s="154"/>
      <c r="H438" s="510"/>
      <c r="I438" s="510"/>
      <c r="J438" s="82"/>
      <c r="K438" s="82"/>
      <c r="L438" s="82"/>
      <c r="M438" s="82"/>
      <c r="N438" s="510"/>
      <c r="O438" s="510"/>
      <c r="P438" s="510"/>
      <c r="Q438" s="510"/>
      <c r="R438" s="510"/>
      <c r="S438" s="510"/>
      <c r="T438" s="510"/>
      <c r="U438" s="510"/>
      <c r="V438" s="510"/>
      <c r="W438" s="510"/>
      <c r="X438" s="43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  <c r="AZ438" s="117"/>
      <c r="BA438" s="117"/>
      <c r="BB438" s="117"/>
      <c r="BC438" s="117"/>
      <c r="BD438" s="117"/>
      <c r="BE438" s="117"/>
      <c r="BF438" s="117"/>
      <c r="BG438" s="117"/>
    </row>
    <row r="439" spans="1:59" ht="15" customHeight="1">
      <c r="A439" s="117"/>
      <c r="B439" s="81"/>
      <c r="C439" s="110"/>
      <c r="D439" s="110"/>
      <c r="E439" s="1150"/>
      <c r="F439" s="80"/>
      <c r="G439" s="154"/>
      <c r="H439" s="510"/>
      <c r="I439" s="510"/>
      <c r="J439" s="82"/>
      <c r="K439" s="82"/>
      <c r="L439" s="82"/>
      <c r="M439" s="82"/>
      <c r="N439" s="510"/>
      <c r="O439" s="510"/>
      <c r="P439" s="510"/>
      <c r="Q439" s="510"/>
      <c r="R439" s="510"/>
      <c r="S439" s="510"/>
      <c r="T439" s="510"/>
      <c r="U439" s="510"/>
      <c r="V439" s="510"/>
      <c r="W439" s="510"/>
      <c r="X439" s="43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  <c r="AZ439" s="117"/>
      <c r="BA439" s="117"/>
      <c r="BB439" s="117"/>
      <c r="BC439" s="117"/>
      <c r="BD439" s="117"/>
      <c r="BE439" s="117"/>
      <c r="BF439" s="117"/>
      <c r="BG439" s="117"/>
    </row>
    <row r="440" spans="1:59" ht="15" customHeight="1">
      <c r="A440" s="117"/>
      <c r="B440" s="81"/>
      <c r="C440" s="110"/>
      <c r="D440" s="110"/>
      <c r="E440" s="1150"/>
      <c r="F440" s="80"/>
      <c r="G440" s="154"/>
      <c r="H440" s="510"/>
      <c r="I440" s="510"/>
      <c r="J440" s="82"/>
      <c r="K440" s="82"/>
      <c r="L440" s="82"/>
      <c r="M440" s="82"/>
      <c r="N440" s="510"/>
      <c r="O440" s="510"/>
      <c r="P440" s="510"/>
      <c r="Q440" s="510"/>
      <c r="R440" s="510"/>
      <c r="S440" s="510"/>
      <c r="T440" s="510"/>
      <c r="U440" s="510"/>
      <c r="V440" s="510"/>
      <c r="W440" s="510"/>
      <c r="X440" s="43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  <c r="AZ440" s="117"/>
      <c r="BA440" s="117"/>
      <c r="BB440" s="117"/>
      <c r="BC440" s="117"/>
      <c r="BD440" s="117"/>
      <c r="BE440" s="117"/>
      <c r="BF440" s="117"/>
      <c r="BG440" s="117"/>
    </row>
    <row r="441" spans="1:59" ht="15" customHeight="1">
      <c r="A441" s="117"/>
      <c r="B441" s="81"/>
      <c r="C441" s="110"/>
      <c r="D441" s="110"/>
      <c r="E441" s="1150"/>
      <c r="F441" s="80"/>
      <c r="G441" s="154"/>
      <c r="H441" s="510"/>
      <c r="I441" s="510"/>
      <c r="J441" s="82"/>
      <c r="K441" s="82"/>
      <c r="L441" s="82"/>
      <c r="M441" s="82"/>
      <c r="N441" s="525"/>
      <c r="O441" s="510"/>
      <c r="P441" s="510"/>
      <c r="Q441" s="510"/>
      <c r="R441" s="510"/>
      <c r="S441" s="510"/>
      <c r="T441" s="510"/>
      <c r="U441" s="510"/>
      <c r="V441" s="510"/>
      <c r="W441" s="510"/>
      <c r="X441" s="43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  <c r="AZ441" s="117"/>
      <c r="BA441" s="117"/>
      <c r="BB441" s="117"/>
      <c r="BC441" s="117"/>
      <c r="BD441" s="117"/>
      <c r="BE441" s="117"/>
      <c r="BF441" s="117"/>
      <c r="BG441" s="117"/>
    </row>
    <row r="442" spans="1:59" ht="15" customHeight="1">
      <c r="A442" s="117"/>
      <c r="B442" s="81"/>
      <c r="C442" s="110"/>
      <c r="D442" s="110"/>
      <c r="E442" s="1150"/>
      <c r="F442" s="80"/>
      <c r="G442" s="154"/>
      <c r="H442" s="510"/>
      <c r="I442" s="510"/>
      <c r="J442" s="1015"/>
      <c r="K442" s="1015"/>
      <c r="L442" s="1015"/>
      <c r="M442" s="1015"/>
      <c r="N442" s="510"/>
      <c r="O442" s="510"/>
      <c r="P442" s="510"/>
      <c r="Q442" s="510"/>
      <c r="R442" s="510"/>
      <c r="S442" s="510"/>
      <c r="T442" s="510"/>
      <c r="U442" s="510"/>
      <c r="V442" s="510"/>
      <c r="W442" s="510"/>
      <c r="X442" s="43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  <c r="AZ442" s="117"/>
      <c r="BA442" s="117"/>
      <c r="BB442" s="117"/>
      <c r="BC442" s="117"/>
      <c r="BD442" s="117"/>
      <c r="BE442" s="117"/>
      <c r="BF442" s="117"/>
      <c r="BG442" s="117"/>
    </row>
    <row r="443" spans="1:59" ht="15" customHeight="1">
      <c r="A443" s="117"/>
      <c r="B443" s="81"/>
      <c r="C443" s="110"/>
      <c r="D443" s="110"/>
      <c r="E443" s="1151"/>
      <c r="F443" s="80"/>
      <c r="G443" s="154"/>
      <c r="H443" s="510"/>
      <c r="I443" s="510"/>
      <c r="J443" s="1015"/>
      <c r="K443" s="1015"/>
      <c r="L443" s="1015"/>
      <c r="M443" s="1015"/>
      <c r="N443" s="510"/>
      <c r="O443" s="510"/>
      <c r="P443" s="510"/>
      <c r="Q443" s="510"/>
      <c r="R443" s="510"/>
      <c r="S443" s="510"/>
      <c r="T443" s="510"/>
      <c r="U443" s="510"/>
      <c r="V443" s="510"/>
      <c r="W443" s="510"/>
      <c r="X443" s="43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  <c r="BA443" s="117"/>
      <c r="BB443" s="117"/>
      <c r="BC443" s="117"/>
      <c r="BD443" s="117"/>
      <c r="BE443" s="117"/>
      <c r="BF443" s="117"/>
      <c r="BG443" s="117"/>
    </row>
    <row r="444" spans="1:59" ht="15" customHeight="1">
      <c r="A444" s="117"/>
      <c r="B444" s="81"/>
      <c r="C444" s="110"/>
      <c r="D444" s="110"/>
      <c r="E444" s="1151"/>
      <c r="F444" s="80"/>
      <c r="G444" s="154"/>
      <c r="H444" s="510"/>
      <c r="I444" s="510"/>
      <c r="J444" s="1015"/>
      <c r="K444" s="1015"/>
      <c r="L444" s="1015"/>
      <c r="M444" s="1015"/>
      <c r="N444" s="510"/>
      <c r="O444" s="510"/>
      <c r="P444" s="510"/>
      <c r="Q444" s="510"/>
      <c r="R444" s="510"/>
      <c r="S444" s="510"/>
      <c r="T444" s="510"/>
      <c r="U444" s="510"/>
      <c r="V444" s="510"/>
      <c r="W444" s="510"/>
      <c r="X444" s="43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  <c r="AZ444" s="117"/>
      <c r="BA444" s="117"/>
      <c r="BB444" s="117"/>
      <c r="BC444" s="117"/>
      <c r="BD444" s="117"/>
      <c r="BE444" s="117"/>
      <c r="BF444" s="117"/>
      <c r="BG444" s="117"/>
    </row>
    <row r="445" spans="1:59" ht="15" customHeight="1">
      <c r="A445" s="117"/>
      <c r="B445" s="81"/>
      <c r="C445" s="110"/>
      <c r="D445" s="110"/>
      <c r="E445" s="1151"/>
      <c r="F445" s="80"/>
      <c r="G445" s="154"/>
      <c r="H445" s="510"/>
      <c r="I445" s="510"/>
      <c r="J445" s="1015"/>
      <c r="K445" s="1015"/>
      <c r="L445" s="1015"/>
      <c r="M445" s="1015"/>
      <c r="N445" s="510"/>
      <c r="O445" s="510"/>
      <c r="P445" s="510"/>
      <c r="Q445" s="510"/>
      <c r="R445" s="510"/>
      <c r="S445" s="510"/>
      <c r="T445" s="510"/>
      <c r="U445" s="510"/>
      <c r="V445" s="510"/>
      <c r="W445" s="510"/>
      <c r="X445" s="43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</row>
    <row r="446" spans="1:59" ht="15" customHeight="1">
      <c r="A446" s="117"/>
      <c r="B446" s="81"/>
      <c r="C446" s="110"/>
      <c r="D446" s="110"/>
      <c r="E446" s="1151"/>
      <c r="F446" s="80"/>
      <c r="G446" s="154"/>
      <c r="H446" s="510"/>
      <c r="I446" s="510"/>
      <c r="J446" s="1015"/>
      <c r="K446" s="1015"/>
      <c r="L446" s="1015"/>
      <c r="M446" s="1015"/>
      <c r="N446" s="510"/>
      <c r="O446" s="510"/>
      <c r="P446" s="510"/>
      <c r="Q446" s="510"/>
      <c r="R446" s="510"/>
      <c r="S446" s="510"/>
      <c r="T446" s="510"/>
      <c r="U446" s="510"/>
      <c r="V446" s="510"/>
      <c r="W446" s="510"/>
      <c r="X446" s="43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  <c r="AZ446" s="117"/>
      <c r="BA446" s="117"/>
      <c r="BB446" s="117"/>
      <c r="BC446" s="117"/>
      <c r="BD446" s="117"/>
      <c r="BE446" s="117"/>
      <c r="BF446" s="117"/>
      <c r="BG446" s="117"/>
    </row>
    <row r="447" spans="1:59" ht="15" customHeight="1">
      <c r="A447" s="117"/>
      <c r="B447" s="81"/>
      <c r="C447" s="110"/>
      <c r="D447" s="110"/>
      <c r="E447" s="1151"/>
      <c r="F447" s="80"/>
      <c r="G447" s="154"/>
      <c r="H447" s="510"/>
      <c r="I447" s="510"/>
      <c r="J447" s="1015"/>
      <c r="K447" s="1015"/>
      <c r="L447" s="1015"/>
      <c r="M447" s="1015"/>
      <c r="N447" s="510"/>
      <c r="O447" s="510"/>
      <c r="P447" s="510"/>
      <c r="Q447" s="510"/>
      <c r="R447" s="510"/>
      <c r="S447" s="510"/>
      <c r="T447" s="510"/>
      <c r="U447" s="510"/>
      <c r="V447" s="510"/>
      <c r="W447" s="510"/>
      <c r="X447" s="43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  <c r="AZ447" s="117"/>
      <c r="BA447" s="117"/>
      <c r="BB447" s="117"/>
      <c r="BC447" s="117"/>
      <c r="BD447" s="117"/>
      <c r="BE447" s="117"/>
      <c r="BF447" s="117"/>
      <c r="BG447" s="117"/>
    </row>
    <row r="448" spans="1:59" ht="15" customHeight="1">
      <c r="A448" s="117"/>
      <c r="B448" s="81"/>
      <c r="C448" s="163"/>
      <c r="D448" s="110"/>
      <c r="E448" s="1145"/>
      <c r="F448" s="154"/>
      <c r="G448" s="154"/>
      <c r="H448" s="510"/>
      <c r="I448" s="510"/>
      <c r="J448" s="1015"/>
      <c r="K448" s="1015"/>
      <c r="L448" s="1015"/>
      <c r="M448" s="1015"/>
      <c r="N448" s="510"/>
      <c r="O448" s="510"/>
      <c r="P448" s="510"/>
      <c r="Q448" s="510"/>
      <c r="R448" s="510"/>
      <c r="S448" s="510"/>
      <c r="T448" s="510"/>
      <c r="U448" s="510"/>
      <c r="V448" s="510"/>
      <c r="W448" s="510"/>
      <c r="X448" s="43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  <c r="AZ448" s="117"/>
      <c r="BA448" s="117"/>
      <c r="BB448" s="117"/>
      <c r="BC448" s="117"/>
      <c r="BD448" s="117"/>
      <c r="BE448" s="117"/>
      <c r="BF448" s="117"/>
      <c r="BG448" s="117"/>
    </row>
    <row r="449" spans="1:59" ht="15" customHeight="1">
      <c r="A449" s="117"/>
      <c r="B449" s="81"/>
      <c r="C449" s="110"/>
      <c r="D449" s="110"/>
      <c r="E449" s="110"/>
      <c r="F449" s="154"/>
      <c r="G449" s="154"/>
      <c r="H449" s="510"/>
      <c r="I449" s="1060"/>
      <c r="J449" s="1152"/>
      <c r="K449" s="1152"/>
      <c r="L449" s="1152"/>
      <c r="M449" s="1152"/>
      <c r="N449" s="510"/>
      <c r="O449" s="510"/>
      <c r="P449" s="510"/>
      <c r="Q449" s="510"/>
      <c r="R449" s="510"/>
      <c r="S449" s="510"/>
      <c r="T449" s="510"/>
      <c r="U449" s="510"/>
      <c r="V449" s="510"/>
      <c r="W449" s="510"/>
      <c r="X449" s="43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  <c r="BA449" s="117"/>
      <c r="BB449" s="117"/>
      <c r="BC449" s="117"/>
      <c r="BD449" s="117"/>
      <c r="BE449" s="117"/>
      <c r="BF449" s="117"/>
      <c r="BG449" s="117"/>
    </row>
    <row r="450" spans="1:59" ht="15" customHeight="1">
      <c r="A450" s="117"/>
      <c r="B450" s="81"/>
      <c r="C450" s="110"/>
      <c r="D450" s="110"/>
      <c r="E450" s="110"/>
      <c r="F450" s="154"/>
      <c r="G450" s="154"/>
      <c r="H450" s="510"/>
      <c r="I450" s="510"/>
      <c r="J450" s="1015"/>
      <c r="K450" s="1015"/>
      <c r="L450" s="1015"/>
      <c r="M450" s="1015"/>
      <c r="N450" s="510"/>
      <c r="O450" s="510"/>
      <c r="P450" s="510"/>
      <c r="Q450" s="510"/>
      <c r="R450" s="510"/>
      <c r="S450" s="84"/>
      <c r="T450" s="84"/>
      <c r="U450" s="84"/>
      <c r="V450" s="84"/>
      <c r="W450" s="84"/>
      <c r="X450" s="43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  <c r="AZ450" s="117"/>
      <c r="BA450" s="117"/>
      <c r="BB450" s="117"/>
      <c r="BC450" s="117"/>
      <c r="BD450" s="117"/>
      <c r="BE450" s="117"/>
      <c r="BF450" s="117"/>
      <c r="BG450" s="117"/>
    </row>
    <row r="451" spans="1:59" ht="15" customHeight="1">
      <c r="A451" s="117"/>
      <c r="B451" s="81"/>
      <c r="C451" s="110"/>
      <c r="D451" s="110"/>
      <c r="E451" s="110"/>
      <c r="F451" s="154"/>
      <c r="G451" s="154"/>
      <c r="H451" s="510"/>
      <c r="I451" s="510"/>
      <c r="J451" s="1015"/>
      <c r="K451" s="1015"/>
      <c r="L451" s="1015"/>
      <c r="M451" s="1015"/>
      <c r="N451" s="510"/>
      <c r="O451" s="510"/>
      <c r="P451" s="510"/>
      <c r="Q451" s="510"/>
      <c r="R451" s="510"/>
      <c r="S451" s="117"/>
      <c r="T451" s="117"/>
      <c r="U451" s="117"/>
      <c r="V451" s="117"/>
      <c r="W451" s="117"/>
      <c r="X451" s="43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  <c r="AZ451" s="117"/>
      <c r="BA451" s="117"/>
      <c r="BB451" s="117"/>
      <c r="BC451" s="117"/>
      <c r="BD451" s="117"/>
      <c r="BE451" s="117"/>
      <c r="BF451" s="117"/>
      <c r="BG451" s="117"/>
    </row>
    <row r="452" spans="1:59" ht="15" customHeight="1">
      <c r="A452" s="117"/>
      <c r="B452" s="81"/>
      <c r="C452" s="110"/>
      <c r="D452" s="533"/>
      <c r="E452" s="110"/>
      <c r="F452" s="110"/>
      <c r="G452" s="110"/>
      <c r="H452" s="84"/>
      <c r="I452" s="84"/>
      <c r="J452" s="123"/>
      <c r="K452" s="123"/>
      <c r="L452" s="123"/>
      <c r="M452" s="123"/>
      <c r="N452" s="84"/>
      <c r="O452" s="84"/>
      <c r="P452" s="84"/>
      <c r="Q452" s="84"/>
      <c r="R452" s="84"/>
      <c r="S452" s="117"/>
      <c r="T452" s="117"/>
      <c r="U452" s="117"/>
      <c r="V452" s="117"/>
      <c r="W452" s="117"/>
      <c r="X452" s="43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  <c r="BA452" s="117"/>
      <c r="BB452" s="117"/>
      <c r="BC452" s="117"/>
      <c r="BD452" s="117"/>
      <c r="BE452" s="117"/>
      <c r="BF452" s="117"/>
      <c r="BG452" s="117"/>
    </row>
    <row r="453" spans="1:59" ht="15" customHeight="1">
      <c r="A453" s="117"/>
      <c r="B453" s="81"/>
      <c r="C453" s="117"/>
      <c r="D453" s="117"/>
      <c r="E453" s="117"/>
      <c r="F453" s="117"/>
      <c r="G453" s="117"/>
      <c r="H453" s="117"/>
      <c r="I453" s="117"/>
      <c r="J453" s="118"/>
      <c r="K453" s="118"/>
      <c r="L453" s="118"/>
      <c r="M453" s="118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43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  <c r="BA453" s="117"/>
      <c r="BB453" s="117"/>
      <c r="BC453" s="117"/>
      <c r="BD453" s="117"/>
      <c r="BE453" s="117"/>
      <c r="BF453" s="117"/>
      <c r="BG453" s="117"/>
    </row>
    <row r="454" spans="1:59" ht="15" customHeight="1">
      <c r="A454" s="117"/>
      <c r="B454" s="81"/>
      <c r="C454" s="117"/>
      <c r="D454" s="117"/>
      <c r="E454" s="117"/>
      <c r="F454" s="117"/>
      <c r="G454" s="117"/>
      <c r="H454" s="117"/>
      <c r="I454" s="117"/>
      <c r="J454" s="118"/>
      <c r="K454" s="118"/>
      <c r="L454" s="118"/>
      <c r="M454" s="118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43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  <c r="AZ454" s="117"/>
      <c r="BA454" s="117"/>
      <c r="BB454" s="117"/>
      <c r="BC454" s="117"/>
      <c r="BD454" s="117"/>
      <c r="BE454" s="117"/>
      <c r="BF454" s="117"/>
      <c r="BG454" s="117"/>
    </row>
    <row r="455" spans="1:59" ht="15" customHeight="1">
      <c r="A455" s="117"/>
      <c r="B455" s="81"/>
      <c r="C455" s="117"/>
      <c r="D455" s="117"/>
      <c r="E455" s="117"/>
      <c r="F455" s="117"/>
      <c r="G455" s="117"/>
      <c r="H455" s="117"/>
      <c r="I455" s="117"/>
      <c r="J455" s="118"/>
      <c r="K455" s="118"/>
      <c r="L455" s="118"/>
      <c r="M455" s="118"/>
      <c r="N455" s="117"/>
      <c r="O455" s="117"/>
      <c r="P455" s="117"/>
      <c r="Q455" s="117"/>
      <c r="R455" s="117"/>
      <c r="S455" s="117"/>
      <c r="T455" s="117"/>
      <c r="U455" s="117"/>
      <c r="V455" s="81"/>
      <c r="W455" s="81"/>
      <c r="X455" s="43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  <c r="AZ455" s="117"/>
      <c r="BA455" s="117"/>
      <c r="BB455" s="117"/>
      <c r="BC455" s="117"/>
      <c r="BD455" s="117"/>
      <c r="BE455" s="117"/>
      <c r="BF455" s="117"/>
      <c r="BG455" s="117"/>
    </row>
    <row r="456" spans="1:59" ht="15" customHeight="1">
      <c r="A456" s="117"/>
      <c r="B456" s="81"/>
      <c r="C456" s="117"/>
      <c r="D456" s="117"/>
      <c r="E456" s="117"/>
      <c r="F456" s="117"/>
      <c r="G456" s="117"/>
      <c r="H456" s="117"/>
      <c r="I456" s="117"/>
      <c r="J456" s="118"/>
      <c r="K456" s="118"/>
      <c r="L456" s="118"/>
      <c r="M456" s="118"/>
      <c r="N456" s="117"/>
      <c r="O456" s="117"/>
      <c r="P456" s="117"/>
      <c r="Q456" s="117"/>
      <c r="R456" s="117"/>
      <c r="S456" s="117"/>
      <c r="T456" s="117"/>
      <c r="U456" s="117"/>
      <c r="V456" s="81"/>
      <c r="W456" s="81"/>
      <c r="X456" s="43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  <c r="AZ456" s="117"/>
      <c r="BA456" s="117"/>
      <c r="BB456" s="117"/>
      <c r="BC456" s="117"/>
      <c r="BD456" s="117"/>
      <c r="BE456" s="117"/>
      <c r="BF456" s="117"/>
      <c r="BG456" s="117"/>
    </row>
    <row r="457" spans="1:59" ht="15" customHeight="1">
      <c r="A457" s="117"/>
      <c r="B457" s="81"/>
      <c r="C457" s="117"/>
      <c r="D457" s="117"/>
      <c r="E457" s="117"/>
      <c r="F457" s="117"/>
      <c r="G457" s="117"/>
      <c r="H457" s="117"/>
      <c r="I457" s="117"/>
      <c r="J457" s="118"/>
      <c r="K457" s="118"/>
      <c r="L457" s="118"/>
      <c r="M457" s="118"/>
      <c r="N457" s="117"/>
      <c r="O457" s="117"/>
      <c r="P457" s="117"/>
      <c r="Q457" s="117"/>
      <c r="R457" s="117"/>
      <c r="S457" s="117"/>
      <c r="T457" s="117"/>
      <c r="U457" s="117"/>
      <c r="V457" s="81"/>
      <c r="W457" s="81"/>
      <c r="X457" s="43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  <c r="AZ457" s="117"/>
      <c r="BA457" s="117"/>
      <c r="BB457" s="117"/>
      <c r="BC457" s="117"/>
      <c r="BD457" s="117"/>
      <c r="BE457" s="117"/>
      <c r="BF457" s="117"/>
      <c r="BG457" s="117"/>
    </row>
    <row r="458" spans="1:59" ht="15" customHeight="1">
      <c r="A458" s="117"/>
      <c r="B458" s="81"/>
      <c r="C458" s="117"/>
      <c r="D458" s="117"/>
      <c r="E458" s="117"/>
      <c r="F458" s="117"/>
      <c r="G458" s="117"/>
      <c r="H458" s="117"/>
      <c r="I458" s="117"/>
      <c r="J458" s="118"/>
      <c r="K458" s="118"/>
      <c r="L458" s="118"/>
      <c r="M458" s="118"/>
      <c r="N458" s="117"/>
      <c r="O458" s="117"/>
      <c r="P458" s="117"/>
      <c r="Q458" s="117"/>
      <c r="R458" s="117"/>
      <c r="S458" s="81"/>
      <c r="T458" s="81"/>
      <c r="U458" s="81"/>
      <c r="V458" s="81"/>
      <c r="W458" s="81"/>
      <c r="X458" s="43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  <c r="AZ458" s="117"/>
      <c r="BA458" s="117"/>
      <c r="BB458" s="117"/>
      <c r="BC458" s="117"/>
      <c r="BD458" s="117"/>
      <c r="BE458" s="117"/>
      <c r="BF458" s="117"/>
      <c r="BG458" s="117"/>
    </row>
    <row r="459" spans="1:59" ht="15" customHeight="1">
      <c r="A459" s="117"/>
      <c r="B459" s="81"/>
      <c r="C459" s="117"/>
      <c r="D459" s="117"/>
      <c r="E459" s="117"/>
      <c r="F459" s="117"/>
      <c r="G459" s="117"/>
      <c r="H459" s="117"/>
      <c r="I459" s="117"/>
      <c r="J459" s="118"/>
      <c r="K459" s="118"/>
      <c r="L459" s="118"/>
      <c r="M459" s="118"/>
      <c r="N459" s="117"/>
      <c r="O459" s="117"/>
      <c r="P459" s="117"/>
      <c r="Q459" s="117"/>
      <c r="R459" s="117"/>
      <c r="S459" s="81"/>
      <c r="T459" s="81"/>
      <c r="U459" s="81"/>
      <c r="V459" s="81"/>
      <c r="W459" s="81"/>
      <c r="X459" s="43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  <c r="AZ459" s="117"/>
      <c r="BA459" s="117"/>
      <c r="BB459" s="117"/>
      <c r="BC459" s="117"/>
      <c r="BD459" s="117"/>
      <c r="BE459" s="117"/>
      <c r="BF459" s="117"/>
      <c r="BG459" s="117"/>
    </row>
    <row r="460" spans="1:59" ht="15" customHeight="1">
      <c r="A460" s="117"/>
      <c r="B460" s="81"/>
      <c r="C460" s="81"/>
      <c r="D460" s="81"/>
      <c r="E460" s="81"/>
      <c r="F460" s="81"/>
      <c r="G460" s="81"/>
      <c r="H460" s="81"/>
      <c r="I460" s="81"/>
      <c r="J460" s="118"/>
      <c r="K460" s="118"/>
      <c r="L460" s="118"/>
      <c r="M460" s="118"/>
      <c r="N460" s="81"/>
      <c r="O460" s="81"/>
      <c r="P460" s="81"/>
      <c r="Q460" s="81"/>
      <c r="R460" s="81"/>
      <c r="S460" s="81"/>
      <c r="T460" s="81"/>
      <c r="U460" s="81"/>
      <c r="V460" s="100"/>
      <c r="W460" s="81"/>
      <c r="X460" s="43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  <c r="BA460" s="117"/>
      <c r="BB460" s="117"/>
      <c r="BC460" s="117"/>
      <c r="BD460" s="117"/>
      <c r="BE460" s="117"/>
      <c r="BF460" s="117"/>
      <c r="BG460" s="117"/>
    </row>
    <row r="461" spans="1:59">
      <c r="A461" s="117"/>
      <c r="B461" s="81"/>
      <c r="C461" s="81"/>
      <c r="D461" s="81"/>
      <c r="E461" s="81"/>
      <c r="F461" s="81"/>
      <c r="G461" s="81"/>
      <c r="H461" s="81"/>
      <c r="I461" s="81"/>
      <c r="J461" s="118"/>
      <c r="K461" s="118"/>
      <c r="L461" s="118"/>
      <c r="M461" s="118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43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  <c r="AZ461" s="117"/>
      <c r="BA461" s="117"/>
      <c r="BB461" s="117"/>
      <c r="BC461" s="117"/>
      <c r="BD461" s="117"/>
      <c r="BE461" s="117"/>
      <c r="BF461" s="117"/>
      <c r="BG461" s="117"/>
    </row>
    <row r="462" spans="1:59" ht="15">
      <c r="A462" s="117"/>
      <c r="B462" s="1104"/>
      <c r="C462" s="81"/>
      <c r="D462" s="81"/>
      <c r="E462" s="100"/>
      <c r="F462" s="100"/>
      <c r="G462" s="100"/>
      <c r="H462" s="81"/>
      <c r="I462" s="81"/>
      <c r="J462" s="118"/>
      <c r="K462" s="118"/>
      <c r="L462" s="118"/>
      <c r="M462" s="118"/>
      <c r="N462" s="81"/>
      <c r="O462" s="81"/>
      <c r="P462" s="81"/>
      <c r="Q462" s="81"/>
      <c r="R462" s="81"/>
      <c r="S462" s="81"/>
      <c r="T462" s="81"/>
      <c r="U462" s="81"/>
      <c r="V462" s="1105"/>
      <c r="W462" s="1105"/>
      <c r="X462" s="43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</row>
    <row r="463" spans="1:59">
      <c r="A463" s="117"/>
      <c r="B463" s="81"/>
      <c r="C463" s="81"/>
      <c r="D463" s="81"/>
      <c r="E463" s="81"/>
      <c r="F463" s="81"/>
      <c r="G463" s="81"/>
      <c r="H463" s="81"/>
      <c r="I463" s="81"/>
      <c r="J463" s="118"/>
      <c r="K463" s="118"/>
      <c r="L463" s="118"/>
      <c r="M463" s="118"/>
      <c r="N463" s="81"/>
      <c r="O463" s="81"/>
      <c r="P463" s="81"/>
      <c r="Q463" s="81"/>
      <c r="R463" s="81"/>
      <c r="S463" s="81"/>
      <c r="T463" s="81"/>
      <c r="U463" s="81"/>
      <c r="V463" s="81"/>
      <c r="W463" s="1106"/>
      <c r="X463" s="43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  <c r="BA463" s="117"/>
      <c r="BB463" s="117"/>
      <c r="BC463" s="117"/>
      <c r="BD463" s="117"/>
      <c r="BE463" s="117"/>
      <c r="BF463" s="117"/>
      <c r="BG463" s="117"/>
    </row>
    <row r="464" spans="1:59">
      <c r="A464" s="117"/>
      <c r="B464" s="81"/>
      <c r="C464" s="81"/>
      <c r="D464" s="81"/>
      <c r="E464" s="81"/>
      <c r="F464" s="81"/>
      <c r="G464" s="81"/>
      <c r="H464" s="81"/>
      <c r="I464" s="81"/>
      <c r="J464" s="118"/>
      <c r="K464" s="118"/>
      <c r="L464" s="118"/>
      <c r="M464" s="118"/>
      <c r="N464" s="81"/>
      <c r="O464" s="81"/>
      <c r="P464" s="81"/>
      <c r="Q464" s="81"/>
      <c r="R464" s="81"/>
      <c r="S464" s="117"/>
      <c r="T464" s="117"/>
      <c r="U464" s="117"/>
      <c r="V464" s="117"/>
      <c r="W464" s="117"/>
      <c r="X464" s="43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  <c r="AZ464" s="117"/>
      <c r="BA464" s="117"/>
      <c r="BB464" s="117"/>
      <c r="BC464" s="117"/>
      <c r="BD464" s="117"/>
      <c r="BE464" s="117"/>
      <c r="BF464" s="117"/>
      <c r="BG464" s="117"/>
    </row>
    <row r="465" spans="1:59" ht="3" customHeight="1">
      <c r="A465" s="117"/>
      <c r="B465" s="81"/>
      <c r="C465" s="1050"/>
      <c r="D465" s="81"/>
      <c r="E465" s="81"/>
      <c r="F465" s="81"/>
      <c r="G465" s="81"/>
      <c r="H465" s="81"/>
      <c r="I465" s="81"/>
      <c r="J465" s="118"/>
      <c r="K465" s="118"/>
      <c r="L465" s="118"/>
      <c r="M465" s="118"/>
      <c r="N465" s="81"/>
      <c r="O465" s="81"/>
      <c r="P465" s="81"/>
      <c r="Q465" s="81"/>
      <c r="R465" s="81"/>
      <c r="S465" s="1091"/>
      <c r="T465" s="1091"/>
      <c r="U465" s="1091"/>
      <c r="V465" s="1091"/>
      <c r="W465" s="1091"/>
      <c r="X465" s="43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  <c r="AZ465" s="117"/>
      <c r="BA465" s="117"/>
      <c r="BB465" s="117"/>
      <c r="BC465" s="117"/>
      <c r="BD465" s="117"/>
      <c r="BE465" s="117"/>
      <c r="BF465" s="117"/>
      <c r="BG465" s="117"/>
    </row>
    <row r="466" spans="1:59" ht="15" customHeight="1">
      <c r="A466" s="117"/>
      <c r="B466" s="81"/>
      <c r="C466" s="499"/>
      <c r="D466" s="117"/>
      <c r="E466" s="117"/>
      <c r="F466" s="117"/>
      <c r="G466" s="117"/>
      <c r="H466" s="117"/>
      <c r="I466" s="117"/>
      <c r="J466" s="118"/>
      <c r="K466" s="118"/>
      <c r="L466" s="118"/>
      <c r="M466" s="118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43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  <c r="AZ466" s="117"/>
      <c r="BA466" s="117"/>
      <c r="BB466" s="117"/>
      <c r="BC466" s="117"/>
      <c r="BD466" s="117"/>
      <c r="BE466" s="117"/>
      <c r="BF466" s="117"/>
      <c r="BG466" s="117"/>
    </row>
    <row r="467" spans="1:59" ht="15" customHeight="1">
      <c r="A467" s="117"/>
      <c r="B467" s="81"/>
      <c r="C467" s="1091"/>
      <c r="D467" s="1091"/>
      <c r="E467" s="1091"/>
      <c r="F467" s="1091"/>
      <c r="G467" s="1091"/>
      <c r="H467" s="1091"/>
      <c r="I467" s="1091"/>
      <c r="J467" s="1134"/>
      <c r="K467" s="1134"/>
      <c r="L467" s="1134"/>
      <c r="M467" s="1134"/>
      <c r="N467" s="1091"/>
      <c r="O467" s="1091"/>
      <c r="P467" s="1091"/>
      <c r="Q467" s="1091"/>
      <c r="R467" s="1091"/>
      <c r="S467" s="117"/>
      <c r="T467" s="117"/>
      <c r="U467" s="117"/>
      <c r="V467" s="117"/>
      <c r="W467" s="81"/>
      <c r="X467" s="43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  <c r="AZ467" s="117"/>
      <c r="BA467" s="117"/>
      <c r="BB467" s="117"/>
      <c r="BC467" s="117"/>
      <c r="BD467" s="117"/>
      <c r="BE467" s="117"/>
      <c r="BF467" s="117"/>
      <c r="BG467" s="117"/>
    </row>
    <row r="468" spans="1:59" ht="15" customHeight="1">
      <c r="A468" s="117"/>
      <c r="B468" s="81"/>
      <c r="C468" s="117"/>
      <c r="D468" s="117"/>
      <c r="E468" s="117"/>
      <c r="F468" s="117"/>
      <c r="G468" s="117"/>
      <c r="H468" s="117"/>
      <c r="I468" s="117"/>
      <c r="J468" s="118"/>
      <c r="K468" s="118"/>
      <c r="L468" s="118"/>
      <c r="M468" s="118"/>
      <c r="N468" s="117"/>
      <c r="O468" s="117"/>
      <c r="P468" s="117"/>
      <c r="Q468" s="117"/>
      <c r="R468" s="117"/>
      <c r="S468" s="1053"/>
      <c r="T468" s="1053"/>
      <c r="U468" s="1053"/>
      <c r="V468" s="1053"/>
      <c r="W468" s="1053"/>
      <c r="X468" s="43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  <c r="BA468" s="117"/>
      <c r="BB468" s="117"/>
      <c r="BC468" s="117"/>
      <c r="BD468" s="117"/>
      <c r="BE468" s="117"/>
      <c r="BF468" s="117"/>
      <c r="BG468" s="117"/>
    </row>
    <row r="469" spans="1:59" ht="15" customHeight="1">
      <c r="A469" s="117"/>
      <c r="B469" s="81"/>
      <c r="C469" s="1078"/>
      <c r="D469" s="117"/>
      <c r="E469" s="117"/>
      <c r="F469" s="117"/>
      <c r="G469" s="117"/>
      <c r="H469" s="117"/>
      <c r="I469" s="117"/>
      <c r="J469" s="118"/>
      <c r="K469" s="118"/>
      <c r="L469" s="118"/>
      <c r="M469" s="118"/>
      <c r="N469" s="117"/>
      <c r="O469" s="117"/>
      <c r="P469" s="117"/>
      <c r="Q469" s="117"/>
      <c r="R469" s="117"/>
      <c r="S469" s="1107"/>
      <c r="T469" s="1107"/>
      <c r="U469" s="1107"/>
      <c r="V469" s="1107"/>
      <c r="W469" s="1107"/>
      <c r="X469" s="43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  <c r="AZ469" s="117"/>
      <c r="BA469" s="117"/>
      <c r="BB469" s="117"/>
      <c r="BC469" s="117"/>
      <c r="BD469" s="117"/>
      <c r="BE469" s="117"/>
      <c r="BF469" s="117"/>
      <c r="BG469" s="117"/>
    </row>
    <row r="470" spans="1:59" ht="15" customHeight="1">
      <c r="A470" s="117"/>
      <c r="B470" s="81"/>
      <c r="C470" s="156"/>
      <c r="D470" s="100"/>
      <c r="E470" s="1127"/>
      <c r="F470" s="1127"/>
      <c r="G470" s="1127"/>
      <c r="H470" s="1127"/>
      <c r="I470" s="1127"/>
      <c r="J470" s="1094"/>
      <c r="K470" s="1094"/>
      <c r="L470" s="1094"/>
      <c r="M470" s="1094"/>
      <c r="N470" s="1053"/>
      <c r="O470" s="1053"/>
      <c r="P470" s="1053"/>
      <c r="Q470" s="1053"/>
      <c r="R470" s="1053"/>
      <c r="S470" s="80"/>
      <c r="T470" s="80"/>
      <c r="U470" s="80"/>
      <c r="V470" s="80"/>
      <c r="W470" s="80"/>
      <c r="X470" s="43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  <c r="AZ470" s="117"/>
      <c r="BA470" s="117"/>
      <c r="BB470" s="117"/>
      <c r="BC470" s="117"/>
      <c r="BD470" s="117"/>
      <c r="BE470" s="117"/>
      <c r="BF470" s="117"/>
      <c r="BG470" s="117"/>
    </row>
    <row r="471" spans="1:59" ht="15" customHeight="1">
      <c r="A471" s="117"/>
      <c r="B471" s="81"/>
      <c r="C471" s="156"/>
      <c r="D471" s="156"/>
      <c r="E471" s="530"/>
      <c r="F471" s="1107"/>
      <c r="G471" s="1107"/>
      <c r="H471" s="1107"/>
      <c r="I471" s="1107"/>
      <c r="J471" s="1107"/>
      <c r="K471" s="1107"/>
      <c r="L471" s="1107"/>
      <c r="M471" s="1107"/>
      <c r="N471" s="1107"/>
      <c r="O471" s="1107"/>
      <c r="P471" s="1107"/>
      <c r="Q471" s="1107"/>
      <c r="R471" s="1107"/>
      <c r="S471" s="80"/>
      <c r="T471" s="80"/>
      <c r="U471" s="80"/>
      <c r="V471" s="80"/>
      <c r="W471" s="80"/>
      <c r="X471" s="43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  <c r="AZ471" s="117"/>
      <c r="BA471" s="117"/>
      <c r="BB471" s="117"/>
      <c r="BC471" s="117"/>
      <c r="BD471" s="117"/>
      <c r="BE471" s="117"/>
      <c r="BF471" s="117"/>
      <c r="BG471" s="117"/>
    </row>
    <row r="472" spans="1:59" ht="15" customHeight="1">
      <c r="A472" s="117"/>
      <c r="B472" s="81"/>
      <c r="C472" s="110"/>
      <c r="D472" s="110"/>
      <c r="E472" s="1122"/>
      <c r="F472" s="1083"/>
      <c r="G472" s="1083"/>
      <c r="H472" s="1083"/>
      <c r="I472" s="1083"/>
      <c r="J472" s="82"/>
      <c r="K472" s="82"/>
      <c r="L472" s="82"/>
      <c r="M472" s="82"/>
      <c r="N472" s="80"/>
      <c r="O472" s="80"/>
      <c r="P472" s="80"/>
      <c r="Q472" s="80"/>
      <c r="R472" s="80"/>
      <c r="S472" s="1153"/>
      <c r="T472" s="1153"/>
      <c r="U472" s="1153"/>
      <c r="V472" s="1153"/>
      <c r="W472" s="1153"/>
      <c r="X472" s="43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  <c r="AZ472" s="117"/>
      <c r="BA472" s="117"/>
      <c r="BB472" s="117"/>
      <c r="BC472" s="117"/>
      <c r="BD472" s="117"/>
      <c r="BE472" s="117"/>
      <c r="BF472" s="117"/>
      <c r="BG472" s="117"/>
    </row>
    <row r="473" spans="1:59" ht="15" customHeight="1">
      <c r="A473" s="117"/>
      <c r="B473" s="81"/>
      <c r="C473" s="110"/>
      <c r="D473" s="110"/>
      <c r="E473" s="1122"/>
      <c r="F473" s="1083"/>
      <c r="G473" s="1083"/>
      <c r="H473" s="1083"/>
      <c r="I473" s="1083"/>
      <c r="J473" s="82"/>
      <c r="K473" s="82"/>
      <c r="L473" s="82"/>
      <c r="M473" s="82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43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  <c r="AZ473" s="117"/>
      <c r="BA473" s="117"/>
      <c r="BB473" s="117"/>
      <c r="BC473" s="117"/>
      <c r="BD473" s="117"/>
      <c r="BE473" s="117"/>
      <c r="BF473" s="117"/>
      <c r="BG473" s="117"/>
    </row>
    <row r="474" spans="1:59" ht="15" customHeight="1">
      <c r="A474" s="117"/>
      <c r="B474" s="81"/>
      <c r="C474" s="110"/>
      <c r="D474" s="110"/>
      <c r="E474" s="1122"/>
      <c r="F474" s="1083"/>
      <c r="G474" s="1083"/>
      <c r="H474" s="1083"/>
      <c r="I474" s="1083"/>
      <c r="J474" s="1154"/>
      <c r="K474" s="1154"/>
      <c r="L474" s="1154"/>
      <c r="M474" s="1154"/>
      <c r="N474" s="1153"/>
      <c r="O474" s="1153"/>
      <c r="P474" s="1153"/>
      <c r="Q474" s="1153"/>
      <c r="R474" s="1153"/>
      <c r="S474" s="80"/>
      <c r="T474" s="80"/>
      <c r="U474" s="80"/>
      <c r="V474" s="80"/>
      <c r="W474" s="80"/>
      <c r="X474" s="43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  <c r="BA474" s="117"/>
      <c r="BB474" s="117"/>
      <c r="BC474" s="117"/>
      <c r="BD474" s="117"/>
      <c r="BE474" s="117"/>
      <c r="BF474" s="117"/>
      <c r="BG474" s="117"/>
    </row>
    <row r="475" spans="1:59" ht="15" customHeight="1">
      <c r="A475" s="117"/>
      <c r="B475" s="81"/>
      <c r="C475" s="110"/>
      <c r="D475" s="110"/>
      <c r="E475" s="1122"/>
      <c r="F475" s="1083"/>
      <c r="G475" s="1083"/>
      <c r="H475" s="1083"/>
      <c r="I475" s="1083"/>
      <c r="J475" s="82"/>
      <c r="K475" s="82"/>
      <c r="L475" s="82"/>
      <c r="M475" s="82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43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  <c r="AZ475" s="117"/>
      <c r="BA475" s="117"/>
      <c r="BB475" s="117"/>
      <c r="BC475" s="117"/>
      <c r="BD475" s="117"/>
      <c r="BE475" s="117"/>
      <c r="BF475" s="117"/>
      <c r="BG475" s="117"/>
    </row>
    <row r="476" spans="1:59" ht="15" customHeight="1">
      <c r="A476" s="117"/>
      <c r="B476" s="81"/>
      <c r="C476" s="110"/>
      <c r="D476" s="110"/>
      <c r="E476" s="1122"/>
      <c r="F476" s="1083"/>
      <c r="G476" s="1083"/>
      <c r="H476" s="1083"/>
      <c r="I476" s="1083"/>
      <c r="J476" s="82"/>
      <c r="K476" s="82"/>
      <c r="L476" s="82"/>
      <c r="M476" s="82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43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  <c r="AZ476" s="117"/>
      <c r="BA476" s="117"/>
      <c r="BB476" s="117"/>
      <c r="BC476" s="117"/>
      <c r="BD476" s="117"/>
      <c r="BE476" s="117"/>
      <c r="BF476" s="117"/>
      <c r="BG476" s="117"/>
    </row>
    <row r="477" spans="1:59" ht="15" customHeight="1">
      <c r="A477" s="117"/>
      <c r="B477" s="81"/>
      <c r="C477" s="110"/>
      <c r="D477" s="110"/>
      <c r="E477" s="1122"/>
      <c r="F477" s="1083"/>
      <c r="G477" s="1083"/>
      <c r="H477" s="1083"/>
      <c r="I477" s="1083"/>
      <c r="J477" s="82"/>
      <c r="K477" s="82"/>
      <c r="L477" s="82"/>
      <c r="M477" s="82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43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  <c r="AZ477" s="117"/>
      <c r="BA477" s="117"/>
      <c r="BB477" s="117"/>
      <c r="BC477" s="117"/>
      <c r="BD477" s="117"/>
      <c r="BE477" s="117"/>
      <c r="BF477" s="117"/>
      <c r="BG477" s="117"/>
    </row>
    <row r="478" spans="1:59" ht="15" customHeight="1">
      <c r="A478" s="117"/>
      <c r="B478" s="81"/>
      <c r="C478" s="110"/>
      <c r="D478" s="110"/>
      <c r="E478" s="1122"/>
      <c r="F478" s="1083"/>
      <c r="G478" s="1083"/>
      <c r="H478" s="1083"/>
      <c r="I478" s="1083"/>
      <c r="J478" s="82"/>
      <c r="K478" s="82"/>
      <c r="L478" s="82"/>
      <c r="M478" s="82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43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  <c r="AZ478" s="117"/>
      <c r="BA478" s="117"/>
      <c r="BB478" s="117"/>
      <c r="BC478" s="117"/>
      <c r="BD478" s="117"/>
      <c r="BE478" s="117"/>
      <c r="BF478" s="117"/>
      <c r="BG478" s="117"/>
    </row>
    <row r="479" spans="1:59" ht="15" customHeight="1">
      <c r="A479" s="117"/>
      <c r="B479" s="81"/>
      <c r="C479" s="110"/>
      <c r="D479" s="110"/>
      <c r="E479" s="1122"/>
      <c r="F479" s="1083"/>
      <c r="G479" s="1083"/>
      <c r="H479" s="1083"/>
      <c r="I479" s="1083"/>
      <c r="J479" s="1099"/>
      <c r="K479" s="1099"/>
      <c r="L479" s="1099"/>
      <c r="M479" s="1099"/>
      <c r="N479" s="1083"/>
      <c r="O479" s="80"/>
      <c r="P479" s="80"/>
      <c r="Q479" s="80"/>
      <c r="R479" s="80"/>
      <c r="S479" s="80"/>
      <c r="T479" s="80"/>
      <c r="U479" s="80"/>
      <c r="V479" s="80"/>
      <c r="W479" s="80"/>
      <c r="X479" s="43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</row>
    <row r="480" spans="1:59" ht="15" customHeight="1">
      <c r="A480" s="117"/>
      <c r="B480" s="81"/>
      <c r="C480" s="110"/>
      <c r="D480" s="110"/>
      <c r="E480" s="1122"/>
      <c r="F480" s="1083"/>
      <c r="G480" s="1083"/>
      <c r="H480" s="80"/>
      <c r="I480" s="80"/>
      <c r="J480" s="82"/>
      <c r="K480" s="82"/>
      <c r="L480" s="82"/>
      <c r="M480" s="82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43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  <c r="AZ480" s="117"/>
      <c r="BA480" s="117"/>
      <c r="BB480" s="117"/>
      <c r="BC480" s="117"/>
      <c r="BD480" s="117"/>
      <c r="BE480" s="117"/>
      <c r="BF480" s="117"/>
      <c r="BG480" s="117"/>
    </row>
    <row r="481" spans="1:59" ht="15" customHeight="1">
      <c r="A481" s="117"/>
      <c r="B481" s="81"/>
      <c r="C481" s="110"/>
      <c r="D481" s="110"/>
      <c r="E481" s="515"/>
      <c r="F481" s="80"/>
      <c r="G481" s="80"/>
      <c r="H481" s="80"/>
      <c r="I481" s="80"/>
      <c r="J481" s="82"/>
      <c r="K481" s="82"/>
      <c r="L481" s="82"/>
      <c r="M481" s="82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43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  <c r="BA481" s="117"/>
      <c r="BB481" s="117"/>
      <c r="BC481" s="117"/>
      <c r="BD481" s="117"/>
      <c r="BE481" s="117"/>
      <c r="BF481" s="117"/>
      <c r="BG481" s="117"/>
    </row>
    <row r="482" spans="1:59" ht="15" customHeight="1">
      <c r="A482" s="117"/>
      <c r="B482" s="81"/>
      <c r="C482" s="110"/>
      <c r="D482" s="110"/>
      <c r="E482" s="515"/>
      <c r="F482" s="80"/>
      <c r="G482" s="80"/>
      <c r="H482" s="80"/>
      <c r="I482" s="80"/>
      <c r="J482" s="82"/>
      <c r="K482" s="82"/>
      <c r="L482" s="82"/>
      <c r="M482" s="82"/>
      <c r="N482" s="80"/>
      <c r="O482" s="80"/>
      <c r="P482" s="80"/>
      <c r="Q482" s="80"/>
      <c r="R482" s="80"/>
      <c r="S482" s="1083"/>
      <c r="T482" s="1083"/>
      <c r="U482" s="1083"/>
      <c r="V482" s="1083"/>
      <c r="W482" s="1083"/>
      <c r="X482" s="43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  <c r="BA482" s="117"/>
      <c r="BB482" s="117"/>
      <c r="BC482" s="117"/>
      <c r="BD482" s="117"/>
      <c r="BE482" s="117"/>
      <c r="BF482" s="117"/>
      <c r="BG482" s="117"/>
    </row>
    <row r="483" spans="1:59" ht="15" customHeight="1">
      <c r="A483" s="117"/>
      <c r="B483" s="81"/>
      <c r="C483" s="110"/>
      <c r="D483" s="110"/>
      <c r="E483" s="515"/>
      <c r="F483" s="80"/>
      <c r="G483" s="80"/>
      <c r="H483" s="80"/>
      <c r="I483" s="80"/>
      <c r="J483" s="82"/>
      <c r="K483" s="82"/>
      <c r="L483" s="82"/>
      <c r="M483" s="82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43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  <c r="BA483" s="117"/>
      <c r="BB483" s="117"/>
      <c r="BC483" s="117"/>
      <c r="BD483" s="117"/>
      <c r="BE483" s="117"/>
      <c r="BF483" s="117"/>
      <c r="BG483" s="117"/>
    </row>
    <row r="484" spans="1:59" ht="15" customHeight="1">
      <c r="A484" s="117"/>
      <c r="B484" s="81"/>
      <c r="C484" s="110"/>
      <c r="D484" s="110"/>
      <c r="E484" s="515"/>
      <c r="F484" s="80"/>
      <c r="G484" s="80"/>
      <c r="H484" s="80"/>
      <c r="I484" s="80"/>
      <c r="J484" s="1123"/>
      <c r="K484" s="1099"/>
      <c r="L484" s="1099"/>
      <c r="M484" s="1099"/>
      <c r="N484" s="525"/>
      <c r="O484" s="1083"/>
      <c r="P484" s="1083"/>
      <c r="Q484" s="1083"/>
      <c r="R484" s="1083"/>
      <c r="S484" s="80"/>
      <c r="T484" s="80"/>
      <c r="U484" s="80"/>
      <c r="V484" s="80"/>
      <c r="W484" s="80"/>
      <c r="X484" s="43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  <c r="BA484" s="117"/>
      <c r="BB484" s="117"/>
      <c r="BC484" s="117"/>
      <c r="BD484" s="117"/>
      <c r="BE484" s="117"/>
      <c r="BF484" s="117"/>
      <c r="BG484" s="117"/>
    </row>
    <row r="485" spans="1:59" ht="15" customHeight="1">
      <c r="A485" s="117"/>
      <c r="B485" s="81"/>
      <c r="C485" s="110"/>
      <c r="D485" s="110"/>
      <c r="E485" s="515"/>
      <c r="F485" s="80"/>
      <c r="G485" s="80"/>
      <c r="H485" s="80"/>
      <c r="I485" s="80"/>
      <c r="J485" s="1123"/>
      <c r="K485" s="82"/>
      <c r="L485" s="82"/>
      <c r="M485" s="82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43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  <c r="BA485" s="117"/>
      <c r="BB485" s="117"/>
      <c r="BC485" s="117"/>
      <c r="BD485" s="117"/>
      <c r="BE485" s="117"/>
      <c r="BF485" s="117"/>
      <c r="BG485" s="117"/>
    </row>
    <row r="486" spans="1:59" ht="15" customHeight="1">
      <c r="A486" s="117"/>
      <c r="B486" s="81"/>
      <c r="C486" s="110"/>
      <c r="D486" s="110"/>
      <c r="E486" s="515"/>
      <c r="F486" s="80"/>
      <c r="G486" s="80"/>
      <c r="H486" s="80"/>
      <c r="I486" s="80"/>
      <c r="J486" s="82"/>
      <c r="K486" s="82"/>
      <c r="L486" s="82"/>
      <c r="M486" s="82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43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  <c r="BA486" s="117"/>
      <c r="BB486" s="117"/>
      <c r="BC486" s="117"/>
      <c r="BD486" s="117"/>
      <c r="BE486" s="117"/>
      <c r="BF486" s="117"/>
      <c r="BG486" s="117"/>
    </row>
    <row r="487" spans="1:59" ht="15" customHeight="1">
      <c r="A487" s="117"/>
      <c r="B487" s="81"/>
      <c r="C487" s="110"/>
      <c r="D487" s="110"/>
      <c r="E487" s="515"/>
      <c r="F487" s="80"/>
      <c r="G487" s="80"/>
      <c r="H487" s="1083"/>
      <c r="I487" s="1083"/>
      <c r="J487" s="82"/>
      <c r="K487" s="82"/>
      <c r="L487" s="82"/>
      <c r="M487" s="82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43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  <c r="BA487" s="117"/>
      <c r="BB487" s="117"/>
      <c r="BC487" s="117"/>
      <c r="BD487" s="117"/>
      <c r="BE487" s="117"/>
      <c r="BF487" s="117"/>
      <c r="BG487" s="117"/>
    </row>
    <row r="488" spans="1:59" ht="15" customHeight="1">
      <c r="A488" s="117"/>
      <c r="B488" s="81"/>
      <c r="C488" s="110"/>
      <c r="D488" s="110"/>
      <c r="E488" s="515"/>
      <c r="F488" s="80"/>
      <c r="G488" s="80"/>
      <c r="H488" s="80"/>
      <c r="I488" s="80"/>
      <c r="J488" s="1099"/>
      <c r="K488" s="1099"/>
      <c r="L488" s="1099"/>
      <c r="M488" s="1099"/>
      <c r="N488" s="1083"/>
      <c r="O488" s="80"/>
      <c r="P488" s="80"/>
      <c r="Q488" s="80"/>
      <c r="R488" s="80"/>
      <c r="S488" s="80"/>
      <c r="T488" s="80"/>
      <c r="U488" s="80"/>
      <c r="V488" s="80"/>
      <c r="W488" s="80"/>
      <c r="X488" s="43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  <c r="BA488" s="117"/>
      <c r="BB488" s="117"/>
      <c r="BC488" s="117"/>
      <c r="BD488" s="117"/>
      <c r="BE488" s="117"/>
      <c r="BF488" s="117"/>
      <c r="BG488" s="117"/>
    </row>
    <row r="489" spans="1:59" ht="15" customHeight="1">
      <c r="A489" s="117"/>
      <c r="B489" s="81"/>
      <c r="C489" s="110"/>
      <c r="D489" s="110"/>
      <c r="E489" s="515"/>
      <c r="F489" s="80"/>
      <c r="G489" s="80"/>
      <c r="H489" s="80"/>
      <c r="I489" s="80"/>
      <c r="J489" s="82"/>
      <c r="K489" s="82"/>
      <c r="L489" s="82"/>
      <c r="M489" s="82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43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  <c r="BA489" s="117"/>
      <c r="BB489" s="117"/>
      <c r="BC489" s="117"/>
      <c r="BD489" s="117"/>
      <c r="BE489" s="117"/>
      <c r="BF489" s="117"/>
      <c r="BG489" s="117"/>
    </row>
    <row r="490" spans="1:59" ht="15" customHeight="1">
      <c r="A490" s="117"/>
      <c r="B490" s="81"/>
      <c r="C490" s="110"/>
      <c r="D490" s="110"/>
      <c r="E490" s="515"/>
      <c r="F490" s="80"/>
      <c r="G490" s="80"/>
      <c r="H490" s="80"/>
      <c r="I490" s="80"/>
      <c r="J490" s="1099"/>
      <c r="K490" s="1099"/>
      <c r="L490" s="1099"/>
      <c r="M490" s="1099"/>
      <c r="N490" s="1083"/>
      <c r="O490" s="80"/>
      <c r="P490" s="80"/>
      <c r="Q490" s="80"/>
      <c r="R490" s="80"/>
      <c r="S490" s="80"/>
      <c r="T490" s="80"/>
      <c r="U490" s="514"/>
      <c r="V490" s="514"/>
      <c r="W490" s="514"/>
      <c r="X490" s="43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  <c r="BA490" s="117"/>
      <c r="BB490" s="117"/>
      <c r="BC490" s="117"/>
      <c r="BD490" s="117"/>
      <c r="BE490" s="117"/>
      <c r="BF490" s="117"/>
      <c r="BG490" s="117"/>
    </row>
    <row r="491" spans="1:59" ht="15" customHeight="1">
      <c r="A491" s="117"/>
      <c r="B491" s="81"/>
      <c r="C491" s="110"/>
      <c r="D491" s="110"/>
      <c r="E491" s="515"/>
      <c r="F491" s="80"/>
      <c r="G491" s="80"/>
      <c r="H491" s="80"/>
      <c r="I491" s="80"/>
      <c r="J491" s="82"/>
      <c r="K491" s="82"/>
      <c r="L491" s="82"/>
      <c r="M491" s="82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43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  <c r="BA491" s="117"/>
      <c r="BB491" s="117"/>
      <c r="BC491" s="117"/>
      <c r="BD491" s="117"/>
      <c r="BE491" s="117"/>
      <c r="BF491" s="117"/>
      <c r="BG491" s="117"/>
    </row>
    <row r="492" spans="1:59" ht="15" customHeight="1">
      <c r="A492" s="117"/>
      <c r="B492" s="81"/>
      <c r="C492" s="110"/>
      <c r="D492" s="110"/>
      <c r="E492" s="515"/>
      <c r="F492" s="80"/>
      <c r="G492" s="80"/>
      <c r="H492" s="80"/>
      <c r="I492" s="80"/>
      <c r="J492" s="82"/>
      <c r="K492" s="82"/>
      <c r="L492" s="82"/>
      <c r="M492" s="82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43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  <c r="BA492" s="117"/>
      <c r="BB492" s="117"/>
      <c r="BC492" s="117"/>
      <c r="BD492" s="117"/>
      <c r="BE492" s="117"/>
      <c r="BF492" s="117"/>
      <c r="BG492" s="117"/>
    </row>
    <row r="493" spans="1:59" ht="15" customHeight="1">
      <c r="A493" s="117"/>
      <c r="B493" s="81"/>
      <c r="C493" s="110"/>
      <c r="D493" s="110"/>
      <c r="E493" s="1122"/>
      <c r="F493" s="1083"/>
      <c r="G493" s="1083"/>
      <c r="H493" s="1083"/>
      <c r="I493" s="1083"/>
      <c r="J493" s="1099"/>
      <c r="K493" s="1099"/>
      <c r="L493" s="1099"/>
      <c r="M493" s="1099"/>
      <c r="N493" s="1083"/>
      <c r="O493" s="80"/>
      <c r="P493" s="80"/>
      <c r="Q493" s="80"/>
      <c r="R493" s="80"/>
      <c r="S493" s="80"/>
      <c r="T493" s="80"/>
      <c r="U493" s="80"/>
      <c r="V493" s="80"/>
      <c r="W493" s="80"/>
      <c r="X493" s="43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  <c r="BA493" s="117"/>
      <c r="BB493" s="117"/>
      <c r="BC493" s="117"/>
      <c r="BD493" s="117"/>
      <c r="BE493" s="117"/>
      <c r="BF493" s="117"/>
      <c r="BG493" s="117"/>
    </row>
    <row r="494" spans="1:59" ht="15" customHeight="1">
      <c r="A494" s="117"/>
      <c r="B494" s="81"/>
      <c r="C494" s="110"/>
      <c r="D494" s="110"/>
      <c r="E494" s="1122"/>
      <c r="F494" s="1083"/>
      <c r="G494" s="1083"/>
      <c r="H494" s="1083"/>
      <c r="I494" s="1083"/>
      <c r="J494" s="1099"/>
      <c r="K494" s="1099"/>
      <c r="L494" s="1099"/>
      <c r="M494" s="1099"/>
      <c r="N494" s="1083"/>
      <c r="O494" s="80"/>
      <c r="P494" s="80"/>
      <c r="Q494" s="80"/>
      <c r="R494" s="80"/>
      <c r="S494" s="80"/>
      <c r="T494" s="80"/>
      <c r="U494" s="80"/>
      <c r="V494" s="80"/>
      <c r="W494" s="80"/>
      <c r="X494" s="43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  <c r="BA494" s="117"/>
      <c r="BB494" s="117"/>
      <c r="BC494" s="117"/>
      <c r="BD494" s="117"/>
      <c r="BE494" s="117"/>
      <c r="BF494" s="117"/>
      <c r="BG494" s="117"/>
    </row>
    <row r="495" spans="1:59" ht="15" customHeight="1">
      <c r="A495" s="117"/>
      <c r="B495" s="81"/>
      <c r="C495" s="110"/>
      <c r="D495" s="110"/>
      <c r="E495" s="515"/>
      <c r="F495" s="80"/>
      <c r="G495" s="80"/>
      <c r="H495" s="80"/>
      <c r="I495" s="80"/>
      <c r="J495" s="82"/>
      <c r="K495" s="82"/>
      <c r="L495" s="82"/>
      <c r="M495" s="82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43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</row>
    <row r="496" spans="1:59" ht="15" customHeight="1">
      <c r="A496" s="117"/>
      <c r="B496" s="81"/>
      <c r="C496" s="110"/>
      <c r="D496" s="110"/>
      <c r="E496" s="515"/>
      <c r="F496" s="80"/>
      <c r="G496" s="80"/>
      <c r="H496" s="80"/>
      <c r="I496" s="80"/>
      <c r="J496" s="82"/>
      <c r="K496" s="82"/>
      <c r="L496" s="82"/>
      <c r="M496" s="82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43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</row>
    <row r="497" spans="1:59" ht="15" customHeight="1">
      <c r="A497" s="117"/>
      <c r="B497" s="81"/>
      <c r="C497" s="110"/>
      <c r="D497" s="110"/>
      <c r="E497" s="515"/>
      <c r="F497" s="80"/>
      <c r="G497" s="80"/>
      <c r="H497" s="80"/>
      <c r="I497" s="80"/>
      <c r="J497" s="82"/>
      <c r="K497" s="82"/>
      <c r="L497" s="82"/>
      <c r="M497" s="82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43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  <c r="BA497" s="117"/>
      <c r="BB497" s="117"/>
      <c r="BC497" s="117"/>
      <c r="BD497" s="117"/>
      <c r="BE497" s="117"/>
      <c r="BF497" s="117"/>
      <c r="BG497" s="117"/>
    </row>
    <row r="498" spans="1:59" ht="15" customHeight="1">
      <c r="A498" s="117"/>
      <c r="B498" s="81"/>
      <c r="C498" s="110"/>
      <c r="D498" s="110"/>
      <c r="E498" s="515"/>
      <c r="F498" s="80"/>
      <c r="G498" s="80"/>
      <c r="H498" s="80"/>
      <c r="I498" s="80"/>
      <c r="J498" s="82"/>
      <c r="K498" s="82"/>
      <c r="L498" s="82"/>
      <c r="M498" s="82"/>
      <c r="N498" s="80"/>
      <c r="O498" s="80"/>
      <c r="P498" s="80"/>
      <c r="Q498" s="80"/>
      <c r="R498" s="80"/>
      <c r="S498" s="700"/>
      <c r="T498" s="700"/>
      <c r="U498" s="700"/>
      <c r="V498" s="700"/>
      <c r="W498" s="700"/>
      <c r="X498" s="43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  <c r="BA498" s="117"/>
      <c r="BB498" s="117"/>
      <c r="BC498" s="117"/>
      <c r="BD498" s="117"/>
      <c r="BE498" s="117"/>
      <c r="BF498" s="117"/>
      <c r="BG498" s="117"/>
    </row>
    <row r="499" spans="1:59" ht="15" customHeight="1">
      <c r="A499" s="117"/>
      <c r="B499" s="81"/>
      <c r="C499" s="110"/>
      <c r="D499" s="110"/>
      <c r="E499" s="515"/>
      <c r="F499" s="80"/>
      <c r="G499" s="80"/>
      <c r="H499" s="80"/>
      <c r="I499" s="80"/>
      <c r="J499" s="82"/>
      <c r="K499" s="82"/>
      <c r="L499" s="82"/>
      <c r="M499" s="82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43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  <c r="BA499" s="117"/>
      <c r="BB499" s="117"/>
      <c r="BC499" s="117"/>
      <c r="BD499" s="117"/>
      <c r="BE499" s="117"/>
      <c r="BF499" s="117"/>
      <c r="BG499" s="117"/>
    </row>
    <row r="500" spans="1:59" ht="15" customHeight="1">
      <c r="A500" s="117"/>
      <c r="B500" s="81"/>
      <c r="C500" s="110"/>
      <c r="D500" s="110"/>
      <c r="E500" s="1155"/>
      <c r="F500" s="700"/>
      <c r="G500" s="700"/>
      <c r="H500" s="1156"/>
      <c r="I500" s="1156"/>
      <c r="J500" s="1157"/>
      <c r="K500" s="1157"/>
      <c r="L500" s="1157"/>
      <c r="M500" s="1157"/>
      <c r="N500" s="700"/>
      <c r="O500" s="700"/>
      <c r="P500" s="700"/>
      <c r="Q500" s="700"/>
      <c r="R500" s="700"/>
      <c r="S500" s="80"/>
      <c r="T500" s="80"/>
      <c r="U500" s="80"/>
      <c r="V500" s="80"/>
      <c r="W500" s="80"/>
      <c r="X500" s="43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  <c r="BA500" s="117"/>
      <c r="BB500" s="117"/>
      <c r="BC500" s="117"/>
      <c r="BD500" s="117"/>
      <c r="BE500" s="117"/>
      <c r="BF500" s="117"/>
      <c r="BG500" s="117"/>
    </row>
    <row r="501" spans="1:59" ht="15" customHeight="1">
      <c r="A501" s="117"/>
      <c r="B501" s="81"/>
      <c r="C501" s="110"/>
      <c r="D501" s="110"/>
      <c r="E501" s="1122"/>
      <c r="F501" s="1083"/>
      <c r="G501" s="1083"/>
      <c r="H501" s="1083"/>
      <c r="I501" s="1083"/>
      <c r="J501" s="82"/>
      <c r="K501" s="82"/>
      <c r="L501" s="82"/>
      <c r="M501" s="82"/>
      <c r="N501" s="80"/>
      <c r="O501" s="80"/>
      <c r="P501" s="80"/>
      <c r="Q501" s="80"/>
      <c r="R501" s="80"/>
      <c r="S501" s="86"/>
      <c r="T501" s="86"/>
      <c r="U501" s="86"/>
      <c r="V501" s="86"/>
      <c r="W501" s="86"/>
      <c r="X501" s="43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  <c r="BA501" s="117"/>
      <c r="BB501" s="117"/>
      <c r="BC501" s="117"/>
      <c r="BD501" s="117"/>
      <c r="BE501" s="117"/>
      <c r="BF501" s="117"/>
      <c r="BG501" s="117"/>
    </row>
    <row r="502" spans="1:59" ht="15" customHeight="1">
      <c r="A502" s="117"/>
      <c r="B502" s="81"/>
      <c r="C502" s="110"/>
      <c r="D502" s="110"/>
      <c r="E502" s="515"/>
      <c r="F502" s="80"/>
      <c r="G502" s="80"/>
      <c r="H502" s="80"/>
      <c r="I502" s="80"/>
      <c r="J502" s="82"/>
      <c r="K502" s="82"/>
      <c r="L502" s="82"/>
      <c r="M502" s="82"/>
      <c r="N502" s="80"/>
      <c r="O502" s="80"/>
      <c r="P502" s="80"/>
      <c r="Q502" s="80"/>
      <c r="R502" s="80"/>
      <c r="S502" s="86"/>
      <c r="T502" s="86"/>
      <c r="U502" s="86"/>
      <c r="V502" s="81"/>
      <c r="W502" s="81"/>
      <c r="X502" s="43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  <c r="BA502" s="117"/>
      <c r="BB502" s="117"/>
      <c r="BC502" s="117"/>
      <c r="BD502" s="117"/>
      <c r="BE502" s="117"/>
      <c r="BF502" s="117"/>
      <c r="BG502" s="117"/>
    </row>
    <row r="503" spans="1:59" ht="15" customHeight="1">
      <c r="A503" s="117"/>
      <c r="B503" s="81"/>
      <c r="C503" s="110"/>
      <c r="D503" s="110"/>
      <c r="E503" s="1114"/>
      <c r="F503" s="1114"/>
      <c r="G503" s="86"/>
      <c r="H503" s="86"/>
      <c r="I503" s="86"/>
      <c r="J503" s="1158"/>
      <c r="K503" s="1158"/>
      <c r="L503" s="1158"/>
      <c r="M503" s="1158"/>
      <c r="N503" s="1142"/>
      <c r="O503" s="86"/>
      <c r="P503" s="86"/>
      <c r="Q503" s="86"/>
      <c r="R503" s="86"/>
      <c r="S503" s="86"/>
      <c r="T503" s="86"/>
      <c r="U503" s="86"/>
      <c r="V503" s="81"/>
      <c r="W503" s="81"/>
      <c r="X503" s="43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  <c r="BA503" s="117"/>
      <c r="BB503" s="117"/>
      <c r="BC503" s="117"/>
      <c r="BD503" s="117"/>
      <c r="BE503" s="117"/>
      <c r="BF503" s="117"/>
      <c r="BG503" s="117"/>
    </row>
    <row r="504" spans="1:59" ht="15" customHeight="1">
      <c r="A504" s="117"/>
      <c r="B504" s="81"/>
      <c r="C504" s="110"/>
      <c r="D504" s="110"/>
      <c r="E504" s="86"/>
      <c r="F504" s="86"/>
      <c r="G504" s="86"/>
      <c r="H504" s="86"/>
      <c r="I504" s="1142"/>
      <c r="J504" s="1158"/>
      <c r="K504" s="1158"/>
      <c r="L504" s="1158"/>
      <c r="M504" s="1158"/>
      <c r="N504" s="86"/>
      <c r="O504" s="86"/>
      <c r="P504" s="86"/>
      <c r="Q504" s="86"/>
      <c r="R504" s="86"/>
      <c r="S504" s="86"/>
      <c r="T504" s="86"/>
      <c r="U504" s="86"/>
      <c r="V504" s="81"/>
      <c r="W504" s="81"/>
      <c r="X504" s="43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  <c r="BA504" s="117"/>
      <c r="BB504" s="117"/>
      <c r="BC504" s="117"/>
      <c r="BD504" s="117"/>
      <c r="BE504" s="117"/>
      <c r="BF504" s="117"/>
      <c r="BG504" s="117"/>
    </row>
    <row r="505" spans="1:59" ht="15" customHeight="1">
      <c r="A505" s="117"/>
      <c r="B505" s="81"/>
      <c r="C505" s="110"/>
      <c r="D505" s="110"/>
      <c r="E505" s="86"/>
      <c r="F505" s="86"/>
      <c r="G505" s="86"/>
      <c r="H505" s="86"/>
      <c r="I505" s="1142"/>
      <c r="J505" s="1158"/>
      <c r="K505" s="1158"/>
      <c r="L505" s="1158"/>
      <c r="M505" s="1158"/>
      <c r="N505" s="86"/>
      <c r="O505" s="86"/>
      <c r="P505" s="86"/>
      <c r="Q505" s="86"/>
      <c r="R505" s="86"/>
      <c r="S505" s="86"/>
      <c r="T505" s="86"/>
      <c r="U505" s="86"/>
      <c r="V505" s="81"/>
      <c r="W505" s="81"/>
      <c r="X505" s="43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  <c r="BA505" s="117"/>
      <c r="BB505" s="117"/>
      <c r="BC505" s="117"/>
      <c r="BD505" s="117"/>
      <c r="BE505" s="117"/>
      <c r="BF505" s="117"/>
      <c r="BG505" s="117"/>
    </row>
    <row r="506" spans="1:59" ht="15" customHeight="1">
      <c r="A506" s="117"/>
      <c r="B506" s="81"/>
      <c r="C506" s="110"/>
      <c r="D506" s="110"/>
      <c r="E506" s="86"/>
      <c r="F506" s="86"/>
      <c r="G506" s="86"/>
      <c r="H506" s="86"/>
      <c r="I506" s="1142"/>
      <c r="J506" s="1158"/>
      <c r="K506" s="1158"/>
      <c r="L506" s="1158"/>
      <c r="M506" s="1158"/>
      <c r="N506" s="86"/>
      <c r="O506" s="86"/>
      <c r="P506" s="86"/>
      <c r="Q506" s="86"/>
      <c r="R506" s="86"/>
      <c r="S506" s="86"/>
      <c r="T506" s="86"/>
      <c r="U506" s="86"/>
      <c r="V506" s="81"/>
      <c r="W506" s="81"/>
      <c r="X506" s="43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  <c r="BA506" s="117"/>
      <c r="BB506" s="117"/>
      <c r="BC506" s="117"/>
      <c r="BD506" s="117"/>
      <c r="BE506" s="117"/>
      <c r="BF506" s="117"/>
      <c r="BG506" s="117"/>
    </row>
    <row r="507" spans="1:59" ht="15" customHeight="1">
      <c r="A507" s="117"/>
      <c r="B507" s="81"/>
      <c r="C507" s="110"/>
      <c r="D507" s="110"/>
      <c r="E507" s="86"/>
      <c r="F507" s="86"/>
      <c r="G507" s="86"/>
      <c r="H507" s="86"/>
      <c r="I507" s="1142"/>
      <c r="J507" s="1158"/>
      <c r="K507" s="1158"/>
      <c r="L507" s="1158"/>
      <c r="M507" s="1158"/>
      <c r="N507" s="86"/>
      <c r="O507" s="86"/>
      <c r="P507" s="86"/>
      <c r="Q507" s="86"/>
      <c r="R507" s="86"/>
      <c r="S507" s="86"/>
      <c r="T507" s="86"/>
      <c r="U507" s="86"/>
      <c r="V507" s="81"/>
      <c r="W507" s="81"/>
      <c r="X507" s="43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  <c r="BA507" s="117"/>
      <c r="BB507" s="117"/>
      <c r="BC507" s="117"/>
      <c r="BD507" s="117"/>
      <c r="BE507" s="117"/>
      <c r="BF507" s="117"/>
      <c r="BG507" s="117"/>
    </row>
    <row r="508" spans="1:59" ht="15" customHeight="1">
      <c r="A508" s="117"/>
      <c r="B508" s="81"/>
      <c r="C508" s="110"/>
      <c r="D508" s="110"/>
      <c r="E508" s="86"/>
      <c r="F508" s="86"/>
      <c r="G508" s="86"/>
      <c r="H508" s="86"/>
      <c r="I508" s="1142"/>
      <c r="J508" s="1158"/>
      <c r="K508" s="1158"/>
      <c r="L508" s="1158"/>
      <c r="M508" s="1158"/>
      <c r="N508" s="86"/>
      <c r="O508" s="86"/>
      <c r="P508" s="86"/>
      <c r="Q508" s="86"/>
      <c r="R508" s="86"/>
      <c r="S508" s="86"/>
      <c r="T508" s="86"/>
      <c r="U508" s="86"/>
      <c r="V508" s="81"/>
      <c r="W508" s="81"/>
      <c r="X508" s="43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  <c r="BA508" s="117"/>
      <c r="BB508" s="117"/>
      <c r="BC508" s="117"/>
      <c r="BD508" s="117"/>
      <c r="BE508" s="117"/>
      <c r="BF508" s="117"/>
      <c r="BG508" s="117"/>
    </row>
    <row r="509" spans="1:59" ht="15" customHeight="1">
      <c r="A509" s="117"/>
      <c r="B509" s="81"/>
      <c r="C509" s="110"/>
      <c r="D509" s="110"/>
      <c r="E509" s="86"/>
      <c r="F509" s="86"/>
      <c r="G509" s="86"/>
      <c r="H509" s="86"/>
      <c r="I509" s="1142"/>
      <c r="J509" s="1158"/>
      <c r="K509" s="1158"/>
      <c r="L509" s="1158"/>
      <c r="M509" s="1158"/>
      <c r="N509" s="86"/>
      <c r="O509" s="86"/>
      <c r="P509" s="86"/>
      <c r="Q509" s="86"/>
      <c r="R509" s="86"/>
      <c r="S509" s="86"/>
      <c r="T509" s="86"/>
      <c r="U509" s="86"/>
      <c r="V509" s="81"/>
      <c r="W509" s="81"/>
      <c r="X509" s="43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  <c r="BA509" s="117"/>
      <c r="BB509" s="117"/>
      <c r="BC509" s="117"/>
      <c r="BD509" s="117"/>
      <c r="BE509" s="117"/>
      <c r="BF509" s="117"/>
      <c r="BG509" s="117"/>
    </row>
    <row r="510" spans="1:59" ht="15" customHeight="1">
      <c r="A510" s="117"/>
      <c r="B510" s="81"/>
      <c r="C510" s="110"/>
      <c r="D510" s="110"/>
      <c r="E510" s="86"/>
      <c r="F510" s="86"/>
      <c r="G510" s="86"/>
      <c r="H510" s="86"/>
      <c r="I510" s="1142"/>
      <c r="J510" s="1158"/>
      <c r="K510" s="1158"/>
      <c r="L510" s="1158"/>
      <c r="M510" s="1158"/>
      <c r="N510" s="86"/>
      <c r="O510" s="86"/>
      <c r="P510" s="86"/>
      <c r="Q510" s="86"/>
      <c r="R510" s="86"/>
      <c r="S510" s="86"/>
      <c r="T510" s="86"/>
      <c r="U510" s="86"/>
      <c r="V510" s="81"/>
      <c r="W510" s="81"/>
      <c r="X510" s="43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  <c r="BA510" s="117"/>
      <c r="BB510" s="117"/>
      <c r="BC510" s="117"/>
      <c r="BD510" s="117"/>
      <c r="BE510" s="117"/>
      <c r="BF510" s="117"/>
      <c r="BG510" s="117"/>
    </row>
    <row r="511" spans="1:59">
      <c r="A511" s="117"/>
      <c r="B511" s="81"/>
      <c r="C511" s="110"/>
      <c r="D511" s="110"/>
      <c r="E511" s="86"/>
      <c r="F511" s="86"/>
      <c r="G511" s="86"/>
      <c r="H511" s="86"/>
      <c r="I511" s="1142"/>
      <c r="J511" s="1158"/>
      <c r="K511" s="1158"/>
      <c r="L511" s="1158"/>
      <c r="M511" s="1158"/>
      <c r="N511" s="86"/>
      <c r="O511" s="86"/>
      <c r="P511" s="86"/>
      <c r="Q511" s="86"/>
      <c r="R511" s="86"/>
      <c r="S511" s="86"/>
      <c r="T511" s="86"/>
      <c r="U511" s="86"/>
      <c r="V511" s="81"/>
      <c r="W511" s="81"/>
      <c r="X511" s="43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  <c r="BA511" s="117"/>
      <c r="BB511" s="117"/>
      <c r="BC511" s="117"/>
      <c r="BD511" s="117"/>
      <c r="BE511" s="117"/>
      <c r="BF511" s="117"/>
      <c r="BG511" s="117"/>
    </row>
    <row r="512" spans="1:59" ht="15">
      <c r="A512" s="117"/>
      <c r="B512" s="1104"/>
      <c r="C512" s="110"/>
      <c r="D512" s="110"/>
      <c r="E512" s="86"/>
      <c r="F512" s="86"/>
      <c r="G512" s="86"/>
      <c r="H512" s="86"/>
      <c r="I512" s="1142"/>
      <c r="J512" s="1158"/>
      <c r="K512" s="1158"/>
      <c r="L512" s="1158"/>
      <c r="M512" s="1158"/>
      <c r="N512" s="86"/>
      <c r="O512" s="86"/>
      <c r="P512" s="86"/>
      <c r="Q512" s="86"/>
      <c r="R512" s="86"/>
      <c r="S512" s="81"/>
      <c r="T512" s="81"/>
      <c r="U512" s="81"/>
      <c r="V512" s="1105"/>
      <c r="W512" s="1105"/>
      <c r="X512" s="43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  <c r="BA512" s="117"/>
      <c r="BB512" s="117"/>
      <c r="BC512" s="117"/>
      <c r="BD512" s="117"/>
      <c r="BE512" s="117"/>
      <c r="BF512" s="117"/>
      <c r="BG512" s="117"/>
    </row>
    <row r="513" spans="1:59">
      <c r="A513" s="117"/>
      <c r="B513" s="81"/>
      <c r="C513" s="110"/>
      <c r="D513" s="110"/>
      <c r="E513" s="86"/>
      <c r="F513" s="86"/>
      <c r="G513" s="86"/>
      <c r="H513" s="86"/>
      <c r="I513" s="1142"/>
      <c r="J513" s="1158"/>
      <c r="K513" s="1158"/>
      <c r="L513" s="1158"/>
      <c r="M513" s="1158"/>
      <c r="N513" s="86"/>
      <c r="O513" s="86"/>
      <c r="P513" s="86"/>
      <c r="Q513" s="86"/>
      <c r="R513" s="86"/>
      <c r="S513" s="81"/>
      <c r="T513" s="81"/>
      <c r="U513" s="81"/>
      <c r="V513" s="81"/>
      <c r="W513" s="1106"/>
      <c r="X513" s="43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</row>
    <row r="514" spans="1:59">
      <c r="A514" s="117"/>
      <c r="B514" s="81"/>
      <c r="C514" s="81"/>
      <c r="D514" s="81"/>
      <c r="E514" s="81"/>
      <c r="F514" s="81"/>
      <c r="G514" s="81"/>
      <c r="H514" s="81"/>
      <c r="I514" s="81"/>
      <c r="J514" s="118"/>
      <c r="K514" s="118"/>
      <c r="L514" s="118"/>
      <c r="M514" s="118"/>
      <c r="N514" s="81"/>
      <c r="O514" s="81"/>
      <c r="P514" s="81"/>
      <c r="Q514" s="81"/>
      <c r="R514" s="81"/>
      <c r="S514" s="117"/>
      <c r="T514" s="117"/>
      <c r="U514" s="117"/>
      <c r="V514" s="117"/>
      <c r="W514" s="117"/>
      <c r="X514" s="43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  <c r="BA514" s="117"/>
      <c r="BB514" s="117"/>
      <c r="BC514" s="117"/>
      <c r="BD514" s="117"/>
      <c r="BE514" s="117"/>
      <c r="BF514" s="117"/>
      <c r="BG514" s="117"/>
    </row>
    <row r="515" spans="1:59" ht="3" customHeight="1">
      <c r="A515" s="117"/>
      <c r="B515" s="81"/>
      <c r="C515" s="1050"/>
      <c r="D515" s="81"/>
      <c r="E515" s="81"/>
      <c r="F515" s="81"/>
      <c r="G515" s="81"/>
      <c r="H515" s="81"/>
      <c r="I515" s="81"/>
      <c r="J515" s="118"/>
      <c r="K515" s="118"/>
      <c r="L515" s="118"/>
      <c r="M515" s="118"/>
      <c r="N515" s="81"/>
      <c r="O515" s="81"/>
      <c r="P515" s="81"/>
      <c r="Q515" s="81"/>
      <c r="R515" s="81"/>
      <c r="S515" s="1091"/>
      <c r="T515" s="1091"/>
      <c r="U515" s="1091"/>
      <c r="V515" s="1091"/>
      <c r="W515" s="1091"/>
      <c r="X515" s="43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  <c r="BA515" s="117"/>
      <c r="BB515" s="117"/>
      <c r="BC515" s="117"/>
      <c r="BD515" s="117"/>
      <c r="BE515" s="117"/>
      <c r="BF515" s="117"/>
      <c r="BG515" s="117"/>
    </row>
    <row r="516" spans="1:59" ht="15" customHeight="1">
      <c r="A516" s="117"/>
      <c r="B516" s="81"/>
      <c r="C516" s="499"/>
      <c r="D516" s="117"/>
      <c r="E516" s="117"/>
      <c r="F516" s="117"/>
      <c r="G516" s="117"/>
      <c r="H516" s="117"/>
      <c r="I516" s="117"/>
      <c r="J516" s="118"/>
      <c r="K516" s="118"/>
      <c r="L516" s="118"/>
      <c r="M516" s="118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43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  <c r="BA516" s="117"/>
      <c r="BB516" s="117"/>
      <c r="BC516" s="117"/>
      <c r="BD516" s="117"/>
      <c r="BE516" s="117"/>
      <c r="BF516" s="117"/>
      <c r="BG516" s="117"/>
    </row>
    <row r="517" spans="1:59" ht="15" customHeight="1">
      <c r="A517" s="117"/>
      <c r="B517" s="81"/>
      <c r="C517" s="1091"/>
      <c r="D517" s="1091"/>
      <c r="E517" s="1091"/>
      <c r="F517" s="1091"/>
      <c r="G517" s="1091"/>
      <c r="H517" s="1091"/>
      <c r="I517" s="1091"/>
      <c r="J517" s="1134"/>
      <c r="K517" s="1134"/>
      <c r="L517" s="1134"/>
      <c r="M517" s="1134"/>
      <c r="N517" s="1091"/>
      <c r="O517" s="1091"/>
      <c r="P517" s="1091"/>
      <c r="Q517" s="1091"/>
      <c r="R517" s="1091"/>
      <c r="S517" s="117"/>
      <c r="T517" s="117"/>
      <c r="U517" s="117"/>
      <c r="V517" s="117"/>
      <c r="W517" s="117"/>
      <c r="X517" s="43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  <c r="BA517" s="117"/>
      <c r="BB517" s="117"/>
      <c r="BC517" s="117"/>
      <c r="BD517" s="117"/>
      <c r="BE517" s="117"/>
      <c r="BF517" s="117"/>
      <c r="BG517" s="117"/>
    </row>
    <row r="518" spans="1:59" ht="15" customHeight="1">
      <c r="A518" s="117"/>
      <c r="B518" s="81"/>
      <c r="C518" s="117"/>
      <c r="D518" s="117"/>
      <c r="E518" s="117"/>
      <c r="F518" s="117"/>
      <c r="G518" s="117"/>
      <c r="H518" s="117"/>
      <c r="I518" s="117"/>
      <c r="J518" s="118"/>
      <c r="K518" s="118"/>
      <c r="L518" s="118"/>
      <c r="M518" s="118"/>
      <c r="N518" s="117"/>
      <c r="O518" s="117"/>
      <c r="P518" s="117"/>
      <c r="Q518" s="117"/>
      <c r="R518" s="117"/>
      <c r="S518" s="1053"/>
      <c r="T518" s="1053"/>
      <c r="U518" s="1053"/>
      <c r="V518" s="1053"/>
      <c r="W518" s="1053"/>
      <c r="X518" s="43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  <c r="BA518" s="117"/>
      <c r="BB518" s="117"/>
      <c r="BC518" s="117"/>
      <c r="BD518" s="117"/>
      <c r="BE518" s="117"/>
      <c r="BF518" s="117"/>
      <c r="BG518" s="117"/>
    </row>
    <row r="519" spans="1:59" ht="15" customHeight="1">
      <c r="A519" s="117"/>
      <c r="B519" s="81"/>
      <c r="C519" s="1078"/>
      <c r="D519" s="117"/>
      <c r="E519" s="117"/>
      <c r="F519" s="117"/>
      <c r="G519" s="117"/>
      <c r="H519" s="117"/>
      <c r="I519" s="117"/>
      <c r="J519" s="118"/>
      <c r="K519" s="118"/>
      <c r="L519" s="118"/>
      <c r="M519" s="118"/>
      <c r="N519" s="117"/>
      <c r="O519" s="117"/>
      <c r="P519" s="117"/>
      <c r="Q519" s="117"/>
      <c r="R519" s="117"/>
      <c r="S519" s="1107"/>
      <c r="T519" s="1107"/>
      <c r="U519" s="1107"/>
      <c r="V519" s="1107"/>
      <c r="W519" s="1107"/>
      <c r="X519" s="43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  <c r="BA519" s="117"/>
      <c r="BB519" s="117"/>
      <c r="BC519" s="117"/>
      <c r="BD519" s="117"/>
      <c r="BE519" s="117"/>
      <c r="BF519" s="117"/>
      <c r="BG519" s="117"/>
    </row>
    <row r="520" spans="1:59" ht="15" customHeight="1">
      <c r="A520" s="117"/>
      <c r="B520" s="81"/>
      <c r="C520" s="156"/>
      <c r="D520" s="100"/>
      <c r="E520" s="1127"/>
      <c r="F520" s="1127"/>
      <c r="G520" s="1127"/>
      <c r="H520" s="1127"/>
      <c r="I520" s="1127"/>
      <c r="J520" s="1094"/>
      <c r="K520" s="1094"/>
      <c r="L520" s="1094"/>
      <c r="M520" s="1094"/>
      <c r="N520" s="1053"/>
      <c r="O520" s="1053"/>
      <c r="P520" s="1053"/>
      <c r="Q520" s="1053"/>
      <c r="R520" s="1053"/>
      <c r="S520" s="80"/>
      <c r="T520" s="80"/>
      <c r="U520" s="80"/>
      <c r="V520" s="80"/>
      <c r="W520" s="80"/>
      <c r="X520" s="43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  <c r="BA520" s="117"/>
      <c r="BB520" s="117"/>
      <c r="BC520" s="117"/>
      <c r="BD520" s="117"/>
      <c r="BE520" s="117"/>
      <c r="BF520" s="117"/>
      <c r="BG520" s="117"/>
    </row>
    <row r="521" spans="1:59" ht="15" customHeight="1">
      <c r="A521" s="117"/>
      <c r="B521" s="81"/>
      <c r="C521" s="156"/>
      <c r="D521" s="156"/>
      <c r="E521" s="530"/>
      <c r="F521" s="1107"/>
      <c r="G521" s="1107"/>
      <c r="H521" s="1107"/>
      <c r="I521" s="1107"/>
      <c r="J521" s="1107"/>
      <c r="K521" s="1107"/>
      <c r="L521" s="1107"/>
      <c r="M521" s="1107"/>
      <c r="N521" s="1107"/>
      <c r="O521" s="1107"/>
      <c r="P521" s="1107"/>
      <c r="Q521" s="1107"/>
      <c r="R521" s="1107"/>
      <c r="S521" s="80"/>
      <c r="T521" s="80"/>
      <c r="U521" s="80"/>
      <c r="V521" s="80"/>
      <c r="W521" s="80"/>
      <c r="X521" s="43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  <c r="BA521" s="117"/>
      <c r="BB521" s="117"/>
      <c r="BC521" s="117"/>
      <c r="BD521" s="117"/>
      <c r="BE521" s="117"/>
      <c r="BF521" s="117"/>
      <c r="BG521" s="117"/>
    </row>
    <row r="522" spans="1:59" ht="15" customHeight="1">
      <c r="A522" s="117"/>
      <c r="B522" s="81"/>
      <c r="C522" s="110"/>
      <c r="D522" s="110"/>
      <c r="E522" s="110"/>
      <c r="F522" s="110"/>
      <c r="G522" s="110"/>
      <c r="H522" s="80"/>
      <c r="I522" s="80"/>
      <c r="J522" s="82"/>
      <c r="K522" s="82"/>
      <c r="L522" s="82"/>
      <c r="M522" s="82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437"/>
      <c r="Y522" s="117"/>
      <c r="Z522" s="117"/>
      <c r="AA522" s="117"/>
      <c r="AB522" s="117"/>
      <c r="AC522" s="117"/>
      <c r="AD522" s="117"/>
      <c r="AE522" s="117"/>
      <c r="AF522" s="117"/>
      <c r="AG522" s="117"/>
      <c r="AH522" s="117"/>
      <c r="AI522" s="117"/>
      <c r="AJ522" s="117"/>
      <c r="AK522" s="117"/>
      <c r="AL522" s="117"/>
      <c r="AM522" s="117"/>
      <c r="AN522" s="117"/>
      <c r="AO522" s="117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  <c r="AZ522" s="117"/>
      <c r="BA522" s="117"/>
      <c r="BB522" s="117"/>
      <c r="BC522" s="117"/>
      <c r="BD522" s="117"/>
      <c r="BE522" s="117"/>
      <c r="BF522" s="117"/>
      <c r="BG522" s="117"/>
    </row>
    <row r="523" spans="1:59" ht="15" customHeight="1">
      <c r="A523" s="117"/>
      <c r="B523" s="81"/>
      <c r="C523" s="110"/>
      <c r="D523" s="110"/>
      <c r="E523" s="110"/>
      <c r="F523" s="110"/>
      <c r="G523" s="110"/>
      <c r="H523" s="80"/>
      <c r="I523" s="80"/>
      <c r="J523" s="82"/>
      <c r="K523" s="82"/>
      <c r="L523" s="82"/>
      <c r="M523" s="82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437"/>
      <c r="Y523" s="117"/>
      <c r="Z523" s="117"/>
      <c r="AA523" s="117"/>
      <c r="AB523" s="117"/>
      <c r="AC523" s="117"/>
      <c r="AD523" s="117"/>
      <c r="AE523" s="117"/>
      <c r="AF523" s="117"/>
      <c r="AG523" s="117"/>
      <c r="AH523" s="117"/>
      <c r="AI523" s="117"/>
      <c r="AJ523" s="117"/>
      <c r="AK523" s="117"/>
      <c r="AL523" s="117"/>
      <c r="AM523" s="117"/>
      <c r="AN523" s="117"/>
      <c r="AO523" s="117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  <c r="AZ523" s="117"/>
      <c r="BA523" s="117"/>
      <c r="BB523" s="117"/>
      <c r="BC523" s="117"/>
      <c r="BD523" s="117"/>
      <c r="BE523" s="117"/>
      <c r="BF523" s="117"/>
      <c r="BG523" s="117"/>
    </row>
    <row r="524" spans="1:59" ht="15" customHeight="1">
      <c r="A524" s="117"/>
      <c r="B524" s="81"/>
      <c r="C524" s="110"/>
      <c r="D524" s="110"/>
      <c r="E524" s="110"/>
      <c r="F524" s="110"/>
      <c r="G524" s="110"/>
      <c r="H524" s="80"/>
      <c r="I524" s="80"/>
      <c r="J524" s="82"/>
      <c r="K524" s="82"/>
      <c r="L524" s="82"/>
      <c r="M524" s="82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43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7"/>
      <c r="AK524" s="117"/>
      <c r="AL524" s="117"/>
      <c r="AM524" s="117"/>
      <c r="AN524" s="117"/>
      <c r="AO524" s="117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  <c r="AZ524" s="117"/>
      <c r="BA524" s="117"/>
      <c r="BB524" s="117"/>
      <c r="BC524" s="117"/>
      <c r="BD524" s="117"/>
      <c r="BE524" s="117"/>
      <c r="BF524" s="117"/>
      <c r="BG524" s="117"/>
    </row>
    <row r="525" spans="1:59" ht="15" customHeight="1">
      <c r="A525" s="117"/>
      <c r="B525" s="81"/>
      <c r="C525" s="110"/>
      <c r="D525" s="110"/>
      <c r="E525" s="110"/>
      <c r="F525" s="110"/>
      <c r="G525" s="110"/>
      <c r="H525" s="80"/>
      <c r="I525" s="80"/>
      <c r="J525" s="82"/>
      <c r="K525" s="82"/>
      <c r="L525" s="82"/>
      <c r="M525" s="82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43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7"/>
      <c r="AK525" s="117"/>
      <c r="AL525" s="117"/>
      <c r="AM525" s="117"/>
      <c r="AN525" s="117"/>
      <c r="AO525" s="117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  <c r="AZ525" s="117"/>
      <c r="BA525" s="117"/>
      <c r="BB525" s="117"/>
      <c r="BC525" s="117"/>
      <c r="BD525" s="117"/>
      <c r="BE525" s="117"/>
      <c r="BF525" s="117"/>
      <c r="BG525" s="117"/>
    </row>
    <row r="526" spans="1:59" ht="15" customHeight="1">
      <c r="A526" s="117"/>
      <c r="B526" s="81"/>
      <c r="C526" s="110"/>
      <c r="D526" s="110"/>
      <c r="E526" s="110"/>
      <c r="F526" s="110"/>
      <c r="G526" s="110"/>
      <c r="H526" s="80"/>
      <c r="I526" s="80"/>
      <c r="J526" s="82"/>
      <c r="K526" s="82"/>
      <c r="L526" s="82"/>
      <c r="M526" s="82"/>
      <c r="N526" s="80"/>
      <c r="O526" s="80"/>
      <c r="P526" s="80"/>
      <c r="Q526" s="80"/>
      <c r="R526" s="80"/>
      <c r="S526" s="700"/>
      <c r="T526" s="700"/>
      <c r="U526" s="700"/>
      <c r="V526" s="700"/>
      <c r="W526" s="700"/>
      <c r="X526" s="437"/>
      <c r="Y526" s="117"/>
      <c r="Z526" s="117"/>
      <c r="AA526" s="117"/>
      <c r="AB526" s="117"/>
      <c r="AC526" s="117"/>
      <c r="AD526" s="117"/>
      <c r="AE526" s="117"/>
      <c r="AF526" s="117"/>
      <c r="AG526" s="117"/>
      <c r="AH526" s="117"/>
      <c r="AI526" s="117"/>
      <c r="AJ526" s="117"/>
      <c r="AK526" s="117"/>
      <c r="AL526" s="117"/>
      <c r="AM526" s="117"/>
      <c r="AN526" s="117"/>
      <c r="AO526" s="117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  <c r="AZ526" s="117"/>
      <c r="BA526" s="117"/>
      <c r="BB526" s="117"/>
      <c r="BC526" s="117"/>
      <c r="BD526" s="117"/>
      <c r="BE526" s="117"/>
      <c r="BF526" s="117"/>
      <c r="BG526" s="117"/>
    </row>
    <row r="527" spans="1:59" ht="15" customHeight="1">
      <c r="A527" s="117"/>
      <c r="B527" s="81"/>
      <c r="C527" s="110"/>
      <c r="D527" s="110"/>
      <c r="E527" s="110"/>
      <c r="F527" s="110"/>
      <c r="G527" s="110"/>
      <c r="H527" s="80"/>
      <c r="I527" s="80"/>
      <c r="J527" s="80"/>
      <c r="K527" s="80"/>
      <c r="L527" s="80"/>
      <c r="M527" s="80"/>
      <c r="N527" s="525"/>
      <c r="O527" s="80"/>
      <c r="P527" s="80"/>
      <c r="Q527" s="80"/>
      <c r="R527" s="80"/>
      <c r="S527" s="80"/>
      <c r="T527" s="80"/>
      <c r="U527" s="80"/>
      <c r="V527" s="80"/>
      <c r="W527" s="80"/>
      <c r="X527" s="43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7"/>
      <c r="AK527" s="117"/>
      <c r="AL527" s="117"/>
      <c r="AM527" s="117"/>
      <c r="AN527" s="117"/>
      <c r="AO527" s="117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  <c r="AZ527" s="117"/>
      <c r="BA527" s="117"/>
      <c r="BB527" s="117"/>
      <c r="BC527" s="117"/>
      <c r="BD527" s="117"/>
      <c r="BE527" s="117"/>
      <c r="BF527" s="117"/>
      <c r="BG527" s="117"/>
    </row>
    <row r="528" spans="1:59" ht="15" customHeight="1">
      <c r="A528" s="117"/>
      <c r="B528" s="81"/>
      <c r="C528" s="163"/>
      <c r="D528" s="110"/>
      <c r="E528" s="110"/>
      <c r="F528" s="110"/>
      <c r="G528" s="110"/>
      <c r="H528" s="80"/>
      <c r="I528" s="80"/>
      <c r="J528" s="82"/>
      <c r="K528" s="82"/>
      <c r="L528" s="82"/>
      <c r="M528" s="82"/>
      <c r="N528" s="700"/>
      <c r="O528" s="700"/>
      <c r="P528" s="700"/>
      <c r="Q528" s="700"/>
      <c r="R528" s="700"/>
      <c r="S528" s="80"/>
      <c r="T528" s="80"/>
      <c r="U528" s="80"/>
      <c r="V528" s="80"/>
      <c r="W528" s="80"/>
      <c r="X528" s="437"/>
      <c r="Y528" s="117"/>
      <c r="Z528" s="117"/>
      <c r="AA528" s="117"/>
      <c r="AB528" s="117"/>
      <c r="AC528" s="117"/>
      <c r="AD528" s="117"/>
      <c r="AE528" s="117"/>
      <c r="AF528" s="117"/>
      <c r="AG528" s="117"/>
      <c r="AH528" s="117"/>
      <c r="AI528" s="117"/>
      <c r="AJ528" s="117"/>
      <c r="AK528" s="117"/>
      <c r="AL528" s="117"/>
      <c r="AM528" s="117"/>
      <c r="AN528" s="117"/>
      <c r="AO528" s="117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  <c r="AZ528" s="117"/>
      <c r="BA528" s="117"/>
      <c r="BB528" s="117"/>
      <c r="BC528" s="117"/>
      <c r="BD528" s="117"/>
      <c r="BE528" s="117"/>
      <c r="BF528" s="117"/>
      <c r="BG528" s="117"/>
    </row>
    <row r="529" spans="1:59" ht="15" customHeight="1">
      <c r="A529" s="117"/>
      <c r="B529" s="81"/>
      <c r="C529" s="163"/>
      <c r="D529" s="110"/>
      <c r="E529" s="110"/>
      <c r="F529" s="110"/>
      <c r="G529" s="110"/>
      <c r="H529" s="80"/>
      <c r="I529" s="80"/>
      <c r="J529" s="82"/>
      <c r="K529" s="82"/>
      <c r="L529" s="82"/>
      <c r="M529" s="82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437"/>
      <c r="Y529" s="117"/>
      <c r="Z529" s="117"/>
      <c r="AA529" s="117"/>
      <c r="AB529" s="117"/>
      <c r="AC529" s="117"/>
      <c r="AD529" s="117"/>
      <c r="AE529" s="117"/>
      <c r="AF529" s="117"/>
      <c r="AG529" s="117"/>
      <c r="AH529" s="117"/>
      <c r="AI529" s="117"/>
      <c r="AJ529" s="117"/>
      <c r="AK529" s="117"/>
      <c r="AL529" s="117"/>
      <c r="AM529" s="117"/>
      <c r="AN529" s="117"/>
      <c r="AO529" s="117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  <c r="AZ529" s="117"/>
      <c r="BA529" s="117"/>
      <c r="BB529" s="117"/>
      <c r="BC529" s="117"/>
      <c r="BD529" s="117"/>
      <c r="BE529" s="117"/>
      <c r="BF529" s="117"/>
      <c r="BG529" s="117"/>
    </row>
    <row r="530" spans="1:59" ht="15" customHeight="1">
      <c r="A530" s="117"/>
      <c r="B530" s="81"/>
      <c r="C530" s="110"/>
      <c r="D530" s="110"/>
      <c r="E530" s="1159"/>
      <c r="F530" s="1160"/>
      <c r="G530" s="1160"/>
      <c r="H530" s="1083"/>
      <c r="I530" s="1083"/>
      <c r="J530" s="80"/>
      <c r="K530" s="82"/>
      <c r="L530" s="82"/>
      <c r="M530" s="82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43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</row>
    <row r="531" spans="1:59" ht="15" customHeight="1">
      <c r="A531" s="117"/>
      <c r="B531" s="81"/>
      <c r="C531" s="110"/>
      <c r="D531" s="110"/>
      <c r="E531" s="1159"/>
      <c r="F531" s="1160"/>
      <c r="G531" s="1160"/>
      <c r="H531" s="1083"/>
      <c r="I531" s="1083"/>
      <c r="J531" s="80"/>
      <c r="K531" s="82"/>
      <c r="L531" s="82"/>
      <c r="M531" s="82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43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  <c r="BA531" s="117"/>
      <c r="BB531" s="117"/>
      <c r="BC531" s="117"/>
      <c r="BD531" s="117"/>
      <c r="BE531" s="117"/>
      <c r="BF531" s="117"/>
      <c r="BG531" s="117"/>
    </row>
    <row r="532" spans="1:59" ht="15" customHeight="1">
      <c r="A532" s="117"/>
      <c r="B532" s="81"/>
      <c r="C532" s="110"/>
      <c r="D532" s="110"/>
      <c r="E532" s="110"/>
      <c r="F532" s="1160"/>
      <c r="G532" s="1160"/>
      <c r="H532" s="1083"/>
      <c r="I532" s="1083"/>
      <c r="J532" s="82"/>
      <c r="K532" s="82"/>
      <c r="L532" s="82"/>
      <c r="M532" s="82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43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  <c r="BA532" s="117"/>
      <c r="BB532" s="117"/>
      <c r="BC532" s="117"/>
      <c r="BD532" s="117"/>
      <c r="BE532" s="117"/>
      <c r="BF532" s="117"/>
      <c r="BG532" s="117"/>
    </row>
    <row r="533" spans="1:59" ht="15" customHeight="1">
      <c r="A533" s="117"/>
      <c r="B533" s="81"/>
      <c r="C533" s="110"/>
      <c r="D533" s="110"/>
      <c r="E533" s="110"/>
      <c r="F533" s="1160"/>
      <c r="G533" s="1160"/>
      <c r="H533" s="1083"/>
      <c r="I533" s="1083"/>
      <c r="J533" s="82"/>
      <c r="K533" s="82"/>
      <c r="L533" s="82"/>
      <c r="M533" s="82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43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  <c r="BA533" s="117"/>
      <c r="BB533" s="117"/>
      <c r="BC533" s="117"/>
      <c r="BD533" s="117"/>
      <c r="BE533" s="117"/>
      <c r="BF533" s="117"/>
      <c r="BG533" s="117"/>
    </row>
    <row r="534" spans="1:59" ht="15" customHeight="1">
      <c r="A534" s="117"/>
      <c r="B534" s="81"/>
      <c r="C534" s="110"/>
      <c r="D534" s="110"/>
      <c r="E534" s="110"/>
      <c r="F534" s="110"/>
      <c r="G534" s="110"/>
      <c r="H534" s="1083"/>
      <c r="I534" s="1083"/>
      <c r="J534" s="82"/>
      <c r="K534" s="82"/>
      <c r="L534" s="82"/>
      <c r="M534" s="82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43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  <c r="BA534" s="117"/>
      <c r="BB534" s="117"/>
      <c r="BC534" s="117"/>
      <c r="BD534" s="117"/>
      <c r="BE534" s="117"/>
      <c r="BF534" s="117"/>
      <c r="BG534" s="117"/>
    </row>
    <row r="535" spans="1:59" ht="15" customHeight="1">
      <c r="A535" s="117"/>
      <c r="B535" s="81"/>
      <c r="C535" s="110"/>
      <c r="D535" s="110"/>
      <c r="E535" s="110"/>
      <c r="F535" s="110"/>
      <c r="G535" s="110"/>
      <c r="H535" s="1083"/>
      <c r="I535" s="1083"/>
      <c r="J535" s="82"/>
      <c r="K535" s="82"/>
      <c r="L535" s="82"/>
      <c r="M535" s="82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43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  <c r="BA535" s="117"/>
      <c r="BB535" s="117"/>
      <c r="BC535" s="117"/>
      <c r="BD535" s="117"/>
      <c r="BE535" s="117"/>
      <c r="BF535" s="117"/>
      <c r="BG535" s="117"/>
    </row>
    <row r="536" spans="1:59" ht="15" customHeight="1">
      <c r="A536" s="117"/>
      <c r="B536" s="81"/>
      <c r="C536" s="110"/>
      <c r="D536" s="110"/>
      <c r="E536" s="110"/>
      <c r="F536" s="110"/>
      <c r="G536" s="110"/>
      <c r="H536" s="1083"/>
      <c r="I536" s="1083"/>
      <c r="J536" s="82"/>
      <c r="K536" s="82"/>
      <c r="L536" s="82"/>
      <c r="M536" s="82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43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  <c r="BA536" s="117"/>
      <c r="BB536" s="117"/>
      <c r="BC536" s="117"/>
      <c r="BD536" s="117"/>
      <c r="BE536" s="117"/>
      <c r="BF536" s="117"/>
      <c r="BG536" s="117"/>
    </row>
    <row r="537" spans="1:59" ht="15" customHeight="1">
      <c r="A537" s="117"/>
      <c r="B537" s="81"/>
      <c r="C537" s="110"/>
      <c r="D537" s="110"/>
      <c r="E537" s="110"/>
      <c r="F537" s="110"/>
      <c r="G537" s="110"/>
      <c r="H537" s="1083"/>
      <c r="I537" s="1083"/>
      <c r="J537" s="82"/>
      <c r="K537" s="82"/>
      <c r="L537" s="82"/>
      <c r="M537" s="82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437"/>
      <c r="Y537" s="117"/>
      <c r="Z537" s="117"/>
      <c r="AA537" s="117"/>
      <c r="AB537" s="117"/>
      <c r="AC537" s="117"/>
      <c r="AD537" s="117"/>
      <c r="AE537" s="117"/>
      <c r="AF537" s="117"/>
      <c r="AG537" s="117"/>
      <c r="AH537" s="117"/>
      <c r="AI537" s="117"/>
      <c r="AJ537" s="117"/>
      <c r="AK537" s="117"/>
      <c r="AL537" s="117"/>
      <c r="AM537" s="117"/>
      <c r="AN537" s="117"/>
      <c r="AO537" s="117"/>
      <c r="AP537" s="117"/>
      <c r="AQ537" s="117"/>
      <c r="AR537" s="117"/>
      <c r="AS537" s="117"/>
      <c r="AT537" s="117"/>
      <c r="AU537" s="117"/>
      <c r="AV537" s="117"/>
      <c r="AW537" s="117"/>
      <c r="AX537" s="117"/>
      <c r="AY537" s="117"/>
      <c r="AZ537" s="117"/>
      <c r="BA537" s="117"/>
      <c r="BB537" s="117"/>
      <c r="BC537" s="117"/>
      <c r="BD537" s="117"/>
      <c r="BE537" s="117"/>
      <c r="BF537" s="117"/>
      <c r="BG537" s="117"/>
    </row>
    <row r="538" spans="1:59" ht="15" customHeight="1">
      <c r="A538" s="117"/>
      <c r="B538" s="81"/>
      <c r="C538" s="110"/>
      <c r="D538" s="110"/>
      <c r="E538" s="110"/>
      <c r="F538" s="110"/>
      <c r="G538" s="110"/>
      <c r="H538" s="1083"/>
      <c r="I538" s="1083"/>
      <c r="J538" s="82"/>
      <c r="K538" s="82"/>
      <c r="L538" s="82"/>
      <c r="M538" s="82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43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  <c r="BA538" s="117"/>
      <c r="BB538" s="117"/>
      <c r="BC538" s="117"/>
      <c r="BD538" s="117"/>
      <c r="BE538" s="117"/>
      <c r="BF538" s="117"/>
      <c r="BG538" s="117"/>
    </row>
    <row r="539" spans="1:59" ht="15" customHeight="1">
      <c r="A539" s="117"/>
      <c r="B539" s="81"/>
      <c r="C539" s="110"/>
      <c r="D539" s="110"/>
      <c r="E539" s="110"/>
      <c r="F539" s="110"/>
      <c r="G539" s="110"/>
      <c r="H539" s="1083"/>
      <c r="I539" s="1083"/>
      <c r="J539" s="82"/>
      <c r="K539" s="82"/>
      <c r="L539" s="82"/>
      <c r="M539" s="82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437"/>
      <c r="Y539" s="117"/>
      <c r="Z539" s="117"/>
      <c r="AA539" s="117"/>
      <c r="AB539" s="117"/>
      <c r="AC539" s="117"/>
      <c r="AD539" s="117"/>
      <c r="AE539" s="117"/>
      <c r="AF539" s="117"/>
      <c r="AG539" s="117"/>
      <c r="AH539" s="117"/>
      <c r="AI539" s="117"/>
      <c r="AJ539" s="117"/>
      <c r="AK539" s="117"/>
      <c r="AL539" s="117"/>
      <c r="AM539" s="117"/>
      <c r="AN539" s="117"/>
      <c r="AO539" s="117"/>
      <c r="AP539" s="117"/>
      <c r="AQ539" s="117"/>
      <c r="AR539" s="117"/>
      <c r="AS539" s="117"/>
      <c r="AT539" s="117"/>
      <c r="AU539" s="117"/>
      <c r="AV539" s="117"/>
      <c r="AW539" s="117"/>
      <c r="AX539" s="117"/>
      <c r="AY539" s="117"/>
      <c r="AZ539" s="117"/>
      <c r="BA539" s="117"/>
      <c r="BB539" s="117"/>
      <c r="BC539" s="117"/>
      <c r="BD539" s="117"/>
      <c r="BE539" s="117"/>
      <c r="BF539" s="117"/>
      <c r="BG539" s="117"/>
    </row>
    <row r="540" spans="1:59" ht="15" customHeight="1">
      <c r="A540" s="117"/>
      <c r="B540" s="81"/>
      <c r="C540" s="110"/>
      <c r="D540" s="110"/>
      <c r="E540" s="1159"/>
      <c r="F540" s="1160"/>
      <c r="G540" s="1160"/>
      <c r="H540" s="80"/>
      <c r="I540" s="80"/>
      <c r="J540" s="1123"/>
      <c r="K540" s="1099"/>
      <c r="L540" s="1099"/>
      <c r="M540" s="1099"/>
      <c r="N540" s="80"/>
      <c r="O540" s="80"/>
      <c r="P540" s="80"/>
      <c r="Q540" s="80"/>
      <c r="R540" s="80"/>
      <c r="S540" s="80"/>
      <c r="T540" s="80"/>
      <c r="U540" s="80"/>
      <c r="V540" s="80"/>
      <c r="W540" s="87"/>
      <c r="X540" s="43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  <c r="BA540" s="117"/>
      <c r="BB540" s="117"/>
      <c r="BC540" s="117"/>
      <c r="BD540" s="117"/>
      <c r="BE540" s="117"/>
      <c r="BF540" s="117"/>
      <c r="BG540" s="117"/>
    </row>
    <row r="541" spans="1:59" ht="15" customHeight="1">
      <c r="A541" s="117"/>
      <c r="B541" s="81"/>
      <c r="C541" s="163"/>
      <c r="D541" s="110"/>
      <c r="E541" s="1161"/>
      <c r="F541" s="130"/>
      <c r="G541" s="130"/>
      <c r="H541" s="80"/>
      <c r="I541" s="80"/>
      <c r="J541" s="82"/>
      <c r="K541" s="82"/>
      <c r="L541" s="82"/>
      <c r="M541" s="82"/>
      <c r="N541" s="80"/>
      <c r="O541" s="80"/>
      <c r="P541" s="80"/>
      <c r="Q541" s="80"/>
      <c r="R541" s="80"/>
      <c r="S541" s="1156"/>
      <c r="T541" s="1156"/>
      <c r="U541" s="1156"/>
      <c r="V541" s="1156"/>
      <c r="W541" s="1156"/>
      <c r="X541" s="437"/>
      <c r="Y541" s="117"/>
      <c r="Z541" s="117"/>
      <c r="AA541" s="117"/>
      <c r="AB541" s="117"/>
      <c r="AC541" s="117"/>
      <c r="AD541" s="117"/>
      <c r="AE541" s="117"/>
      <c r="AF541" s="117"/>
      <c r="AG541" s="117"/>
      <c r="AH541" s="117"/>
      <c r="AI541" s="117"/>
      <c r="AJ541" s="117"/>
      <c r="AK541" s="117"/>
      <c r="AL541" s="117"/>
      <c r="AM541" s="117"/>
      <c r="AN541" s="117"/>
      <c r="AO541" s="117"/>
      <c r="AP541" s="117"/>
      <c r="AQ541" s="117"/>
      <c r="AR541" s="117"/>
      <c r="AS541" s="117"/>
      <c r="AT541" s="117"/>
      <c r="AU541" s="117"/>
      <c r="AV541" s="117"/>
      <c r="AW541" s="117"/>
      <c r="AX541" s="117"/>
      <c r="AY541" s="117"/>
      <c r="AZ541" s="117"/>
      <c r="BA541" s="117"/>
      <c r="BB541" s="117"/>
      <c r="BC541" s="117"/>
      <c r="BD541" s="117"/>
      <c r="BE541" s="117"/>
      <c r="BF541" s="117"/>
      <c r="BG541" s="117"/>
    </row>
    <row r="542" spans="1:59" ht="15" customHeight="1">
      <c r="A542" s="117"/>
      <c r="B542" s="81"/>
      <c r="C542" s="163"/>
      <c r="D542" s="110"/>
      <c r="E542" s="110"/>
      <c r="F542" s="110"/>
      <c r="G542" s="110"/>
      <c r="H542" s="80"/>
      <c r="I542" s="693"/>
      <c r="J542" s="564"/>
      <c r="K542" s="564"/>
      <c r="L542" s="564"/>
      <c r="M542" s="564"/>
      <c r="N542" s="80"/>
      <c r="O542" s="80"/>
      <c r="P542" s="80"/>
      <c r="Q542" s="80"/>
      <c r="R542" s="80"/>
      <c r="S542" s="1083"/>
      <c r="T542" s="1083"/>
      <c r="U542" s="1083"/>
      <c r="V542" s="1083"/>
      <c r="W542" s="1083"/>
      <c r="X542" s="43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  <c r="BA542" s="117"/>
      <c r="BB542" s="117"/>
      <c r="BC542" s="117"/>
      <c r="BD542" s="117"/>
      <c r="BE542" s="117"/>
      <c r="BF542" s="117"/>
      <c r="BG542" s="117"/>
    </row>
    <row r="543" spans="1:59" ht="15" customHeight="1">
      <c r="A543" s="117"/>
      <c r="B543" s="81"/>
      <c r="C543" s="110"/>
      <c r="D543" s="110"/>
      <c r="E543" s="1155"/>
      <c r="F543" s="700"/>
      <c r="G543" s="700"/>
      <c r="H543" s="80"/>
      <c r="I543" s="80"/>
      <c r="J543" s="1162"/>
      <c r="K543" s="1162"/>
      <c r="L543" s="1162"/>
      <c r="M543" s="1162"/>
      <c r="N543" s="1163"/>
      <c r="O543" s="1156"/>
      <c r="P543" s="1156"/>
      <c r="Q543" s="1156"/>
      <c r="R543" s="1156"/>
      <c r="S543" s="1156"/>
      <c r="T543" s="1156"/>
      <c r="U543" s="1156"/>
      <c r="V543" s="1156"/>
      <c r="W543" s="1156"/>
      <c r="X543" s="437"/>
      <c r="Y543" s="117"/>
      <c r="Z543" s="117"/>
      <c r="AA543" s="117"/>
      <c r="AB543" s="117"/>
      <c r="AC543" s="117"/>
      <c r="AD543" s="117"/>
      <c r="AE543" s="117"/>
      <c r="AF543" s="117"/>
      <c r="AG543" s="117"/>
      <c r="AH543" s="117"/>
      <c r="AI543" s="117"/>
      <c r="AJ543" s="117"/>
      <c r="AK543" s="117"/>
      <c r="AL543" s="117"/>
      <c r="AM543" s="117"/>
      <c r="AN543" s="117"/>
      <c r="AO543" s="117"/>
      <c r="AP543" s="117"/>
      <c r="AQ543" s="117"/>
      <c r="AR543" s="117"/>
      <c r="AS543" s="117"/>
      <c r="AT543" s="117"/>
      <c r="AU543" s="117"/>
      <c r="AV543" s="117"/>
      <c r="AW543" s="117"/>
      <c r="AX543" s="117"/>
      <c r="AY543" s="117"/>
      <c r="AZ543" s="117"/>
      <c r="BA543" s="117"/>
      <c r="BB543" s="117"/>
      <c r="BC543" s="117"/>
      <c r="BD543" s="117"/>
      <c r="BE543" s="117"/>
      <c r="BF543" s="117"/>
      <c r="BG543" s="117"/>
    </row>
    <row r="544" spans="1:59" ht="15" customHeight="1">
      <c r="A544" s="117"/>
      <c r="B544" s="81"/>
      <c r="C544" s="110"/>
      <c r="D544" s="110"/>
      <c r="E544" s="1159"/>
      <c r="F544" s="1160"/>
      <c r="G544" s="1160"/>
      <c r="H544" s="1083"/>
      <c r="I544" s="1083"/>
      <c r="J544" s="1083"/>
      <c r="K544" s="1099"/>
      <c r="L544" s="1099"/>
      <c r="M544" s="1099"/>
      <c r="N544" s="525"/>
      <c r="O544" s="1083"/>
      <c r="P544" s="1083"/>
      <c r="Q544" s="1083"/>
      <c r="R544" s="1083"/>
      <c r="S544" s="1156"/>
      <c r="T544" s="1156"/>
      <c r="U544" s="1156"/>
      <c r="V544" s="1156"/>
      <c r="W544" s="1156"/>
      <c r="X544" s="43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  <c r="BA544" s="117"/>
      <c r="BB544" s="117"/>
      <c r="BC544" s="117"/>
      <c r="BD544" s="117"/>
      <c r="BE544" s="117"/>
      <c r="BF544" s="117"/>
      <c r="BG544" s="117"/>
    </row>
    <row r="545" spans="1:59" ht="15" customHeight="1">
      <c r="A545" s="117"/>
      <c r="B545" s="81"/>
      <c r="C545" s="110"/>
      <c r="D545" s="110"/>
      <c r="E545" s="1155"/>
      <c r="F545" s="700"/>
      <c r="G545" s="700"/>
      <c r="H545" s="80"/>
      <c r="I545" s="80"/>
      <c r="J545" s="1162"/>
      <c r="K545" s="1162"/>
      <c r="L545" s="1162"/>
      <c r="M545" s="1162"/>
      <c r="N545" s="1163"/>
      <c r="O545" s="1156"/>
      <c r="P545" s="1156"/>
      <c r="Q545" s="1156"/>
      <c r="R545" s="1156"/>
      <c r="S545" s="1156"/>
      <c r="T545" s="1156"/>
      <c r="U545" s="1156"/>
      <c r="V545" s="1156"/>
      <c r="W545" s="1156"/>
      <c r="X545" s="437"/>
      <c r="Y545" s="117"/>
      <c r="Z545" s="117"/>
      <c r="AA545" s="117"/>
      <c r="AB545" s="117"/>
      <c r="AC545" s="117"/>
      <c r="AD545" s="117"/>
      <c r="AE545" s="117"/>
      <c r="AF545" s="117"/>
      <c r="AG545" s="117"/>
      <c r="AH545" s="117"/>
      <c r="AI545" s="117"/>
      <c r="AJ545" s="117"/>
      <c r="AK545" s="117"/>
      <c r="AL545" s="117"/>
      <c r="AM545" s="117"/>
      <c r="AN545" s="117"/>
      <c r="AO545" s="117"/>
      <c r="AP545" s="117"/>
      <c r="AQ545" s="117"/>
      <c r="AR545" s="117"/>
      <c r="AS545" s="117"/>
      <c r="AT545" s="117"/>
      <c r="AU545" s="117"/>
      <c r="AV545" s="117"/>
      <c r="AW545" s="117"/>
      <c r="AX545" s="117"/>
      <c r="AY545" s="117"/>
      <c r="AZ545" s="117"/>
      <c r="BA545" s="117"/>
      <c r="BB545" s="117"/>
      <c r="BC545" s="117"/>
      <c r="BD545" s="117"/>
      <c r="BE545" s="117"/>
      <c r="BF545" s="117"/>
      <c r="BG545" s="117"/>
    </row>
    <row r="546" spans="1:59" ht="15" customHeight="1">
      <c r="A546" s="117"/>
      <c r="B546" s="81"/>
      <c r="C546" s="110"/>
      <c r="D546" s="110"/>
      <c r="E546" s="1155"/>
      <c r="F546" s="700"/>
      <c r="G546" s="700"/>
      <c r="H546" s="80"/>
      <c r="I546" s="80"/>
      <c r="J546" s="1162"/>
      <c r="K546" s="1162"/>
      <c r="L546" s="1162"/>
      <c r="M546" s="1162"/>
      <c r="N546" s="1163"/>
      <c r="O546" s="1156"/>
      <c r="P546" s="1156"/>
      <c r="Q546" s="1156"/>
      <c r="R546" s="1156"/>
      <c r="S546" s="1156"/>
      <c r="T546" s="1156"/>
      <c r="U546" s="1156"/>
      <c r="V546" s="1156"/>
      <c r="W546" s="1156"/>
      <c r="X546" s="43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  <c r="BA546" s="117"/>
      <c r="BB546" s="117"/>
      <c r="BC546" s="117"/>
      <c r="BD546" s="117"/>
      <c r="BE546" s="117"/>
      <c r="BF546" s="117"/>
      <c r="BG546" s="117"/>
    </row>
    <row r="547" spans="1:59" ht="15" customHeight="1">
      <c r="A547" s="117"/>
      <c r="B547" s="81"/>
      <c r="C547" s="110"/>
      <c r="D547" s="110"/>
      <c r="E547" s="110"/>
      <c r="F547" s="110"/>
      <c r="G547" s="110"/>
      <c r="H547" s="80"/>
      <c r="I547" s="80"/>
      <c r="J547" s="1162"/>
      <c r="K547" s="1162"/>
      <c r="L547" s="1162"/>
      <c r="M547" s="1162"/>
      <c r="N547" s="1163"/>
      <c r="O547" s="1156"/>
      <c r="P547" s="1156"/>
      <c r="Q547" s="1156"/>
      <c r="R547" s="1156"/>
      <c r="S547" s="1156"/>
      <c r="T547" s="1156"/>
      <c r="U547" s="1156"/>
      <c r="V547" s="1156"/>
      <c r="W547" s="1156"/>
      <c r="X547" s="437"/>
      <c r="Y547" s="117"/>
      <c r="Z547" s="117"/>
      <c r="AA547" s="117"/>
      <c r="AB547" s="117"/>
      <c r="AC547" s="117"/>
      <c r="AD547" s="117"/>
      <c r="AE547" s="117"/>
      <c r="AF547" s="117"/>
      <c r="AG547" s="117"/>
      <c r="AH547" s="117"/>
      <c r="AI547" s="117"/>
      <c r="AJ547" s="117"/>
      <c r="AK547" s="117"/>
      <c r="AL547" s="117"/>
      <c r="AM547" s="117"/>
      <c r="AN547" s="117"/>
      <c r="AO547" s="117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  <c r="AZ547" s="117"/>
      <c r="BA547" s="117"/>
      <c r="BB547" s="117"/>
      <c r="BC547" s="117"/>
      <c r="BD547" s="117"/>
      <c r="BE547" s="117"/>
      <c r="BF547" s="117"/>
      <c r="BG547" s="117"/>
    </row>
    <row r="548" spans="1:59" ht="15" customHeight="1">
      <c r="A548" s="117"/>
      <c r="B548" s="81"/>
      <c r="C548" s="110"/>
      <c r="D548" s="110"/>
      <c r="E548" s="110"/>
      <c r="F548" s="110"/>
      <c r="G548" s="110"/>
      <c r="H548" s="80"/>
      <c r="I548" s="80"/>
      <c r="J548" s="1162"/>
      <c r="K548" s="1162"/>
      <c r="L548" s="1162"/>
      <c r="M548" s="1162"/>
      <c r="N548" s="1163"/>
      <c r="O548" s="1156"/>
      <c r="P548" s="1156"/>
      <c r="Q548" s="1156"/>
      <c r="R548" s="1156"/>
      <c r="S548" s="1156"/>
      <c r="T548" s="1156"/>
      <c r="U548" s="1156"/>
      <c r="V548" s="1156"/>
      <c r="W548" s="1156"/>
      <c r="X548" s="43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  <c r="BA548" s="117"/>
      <c r="BB548" s="117"/>
      <c r="BC548" s="117"/>
      <c r="BD548" s="117"/>
      <c r="BE548" s="117"/>
      <c r="BF548" s="117"/>
      <c r="BG548" s="117"/>
    </row>
    <row r="549" spans="1:59" ht="15" customHeight="1">
      <c r="A549" s="117"/>
      <c r="B549" s="81"/>
      <c r="C549" s="110"/>
      <c r="D549" s="110"/>
      <c r="E549" s="110"/>
      <c r="F549" s="110"/>
      <c r="G549" s="110"/>
      <c r="H549" s="80"/>
      <c r="I549" s="80"/>
      <c r="J549" s="1162"/>
      <c r="K549" s="1162"/>
      <c r="L549" s="1162"/>
      <c r="M549" s="1162"/>
      <c r="N549" s="1163"/>
      <c r="O549" s="1156"/>
      <c r="P549" s="1156"/>
      <c r="Q549" s="1156"/>
      <c r="R549" s="1156"/>
      <c r="S549" s="1156"/>
      <c r="T549" s="1156"/>
      <c r="U549" s="1156"/>
      <c r="V549" s="1156"/>
      <c r="W549" s="1156"/>
      <c r="X549" s="437"/>
      <c r="Y549" s="117"/>
      <c r="Z549" s="117"/>
      <c r="AA549" s="117"/>
      <c r="AB549" s="117"/>
      <c r="AC549" s="117"/>
      <c r="AD549" s="117"/>
      <c r="AE549" s="117"/>
      <c r="AF549" s="117"/>
      <c r="AG549" s="117"/>
      <c r="AH549" s="117"/>
      <c r="AI549" s="117"/>
      <c r="AJ549" s="117"/>
      <c r="AK549" s="117"/>
      <c r="AL549" s="117"/>
      <c r="AM549" s="117"/>
      <c r="AN549" s="117"/>
      <c r="AO549" s="117"/>
      <c r="AP549" s="117"/>
      <c r="AQ549" s="117"/>
      <c r="AR549" s="117"/>
      <c r="AS549" s="117"/>
      <c r="AT549" s="117"/>
      <c r="AU549" s="117"/>
      <c r="AV549" s="117"/>
      <c r="AW549" s="117"/>
      <c r="AX549" s="117"/>
      <c r="AY549" s="117"/>
      <c r="AZ549" s="117"/>
      <c r="BA549" s="117"/>
      <c r="BB549" s="117"/>
      <c r="BC549" s="117"/>
      <c r="BD549" s="117"/>
      <c r="BE549" s="117"/>
      <c r="BF549" s="117"/>
      <c r="BG549" s="117"/>
    </row>
    <row r="550" spans="1:59" ht="15" customHeight="1">
      <c r="A550" s="117"/>
      <c r="B550" s="81"/>
      <c r="C550" s="110"/>
      <c r="D550" s="110"/>
      <c r="E550" s="110"/>
      <c r="F550" s="110"/>
      <c r="G550" s="110"/>
      <c r="H550" s="80"/>
      <c r="I550" s="80"/>
      <c r="J550" s="1162"/>
      <c r="K550" s="1162"/>
      <c r="L550" s="1162"/>
      <c r="M550" s="1162"/>
      <c r="N550" s="1163"/>
      <c r="O550" s="1156"/>
      <c r="P550" s="1156"/>
      <c r="Q550" s="1156"/>
      <c r="R550" s="1156"/>
      <c r="S550" s="1156"/>
      <c r="T550" s="1156"/>
      <c r="U550" s="1156"/>
      <c r="V550" s="1156"/>
      <c r="W550" s="1156"/>
      <c r="X550" s="43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  <c r="BA550" s="117"/>
      <c r="BB550" s="117"/>
      <c r="BC550" s="117"/>
      <c r="BD550" s="117"/>
      <c r="BE550" s="117"/>
      <c r="BF550" s="117"/>
      <c r="BG550" s="117"/>
    </row>
    <row r="551" spans="1:59" ht="15" customHeight="1">
      <c r="A551" s="117"/>
      <c r="B551" s="81"/>
      <c r="C551" s="110"/>
      <c r="D551" s="110"/>
      <c r="E551" s="110"/>
      <c r="F551" s="110"/>
      <c r="G551" s="110"/>
      <c r="H551" s="80"/>
      <c r="I551" s="80"/>
      <c r="J551" s="1162"/>
      <c r="K551" s="1162"/>
      <c r="L551" s="1162"/>
      <c r="M551" s="1162"/>
      <c r="N551" s="1163"/>
      <c r="O551" s="1156"/>
      <c r="P551" s="1156"/>
      <c r="Q551" s="1156"/>
      <c r="R551" s="1156"/>
      <c r="S551" s="1156"/>
      <c r="T551" s="1156"/>
      <c r="U551" s="1156"/>
      <c r="V551" s="1156"/>
      <c r="W551" s="1156"/>
      <c r="X551" s="437"/>
      <c r="Y551" s="117"/>
      <c r="Z551" s="117"/>
      <c r="AA551" s="117"/>
      <c r="AB551" s="117"/>
      <c r="AC551" s="117"/>
      <c r="AD551" s="117"/>
      <c r="AE551" s="117"/>
      <c r="AF551" s="117"/>
      <c r="AG551" s="117"/>
      <c r="AH551" s="117"/>
      <c r="AI551" s="117"/>
      <c r="AJ551" s="117"/>
      <c r="AK551" s="117"/>
      <c r="AL551" s="117"/>
      <c r="AM551" s="117"/>
      <c r="AN551" s="117"/>
      <c r="AO551" s="117"/>
      <c r="AP551" s="117"/>
      <c r="AQ551" s="117"/>
      <c r="AR551" s="117"/>
      <c r="AS551" s="117"/>
      <c r="AT551" s="117"/>
      <c r="AU551" s="117"/>
      <c r="AV551" s="117"/>
      <c r="AW551" s="117"/>
      <c r="AX551" s="117"/>
      <c r="AY551" s="117"/>
      <c r="AZ551" s="117"/>
      <c r="BA551" s="117"/>
      <c r="BB551" s="117"/>
      <c r="BC551" s="117"/>
      <c r="BD551" s="117"/>
      <c r="BE551" s="117"/>
      <c r="BF551" s="117"/>
      <c r="BG551" s="117"/>
    </row>
    <row r="552" spans="1:59" ht="15" customHeight="1">
      <c r="A552" s="117"/>
      <c r="B552" s="81"/>
      <c r="C552" s="110"/>
      <c r="D552" s="110"/>
      <c r="E552" s="110"/>
      <c r="F552" s="110"/>
      <c r="G552" s="110"/>
      <c r="H552" s="80"/>
      <c r="I552" s="80"/>
      <c r="J552" s="1162"/>
      <c r="K552" s="1162"/>
      <c r="L552" s="1162"/>
      <c r="M552" s="1162"/>
      <c r="N552" s="1163"/>
      <c r="O552" s="1156"/>
      <c r="P552" s="1156"/>
      <c r="Q552" s="1156"/>
      <c r="R552" s="1156"/>
      <c r="S552" s="80"/>
      <c r="T552" s="80"/>
      <c r="U552" s="80"/>
      <c r="V552" s="80"/>
      <c r="W552" s="80"/>
      <c r="X552" s="43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  <c r="BA552" s="117"/>
      <c r="BB552" s="117"/>
      <c r="BC552" s="117"/>
      <c r="BD552" s="117"/>
      <c r="BE552" s="117"/>
      <c r="BF552" s="117"/>
      <c r="BG552" s="117"/>
    </row>
    <row r="553" spans="1:59" ht="15" customHeight="1">
      <c r="A553" s="117"/>
      <c r="B553" s="81"/>
      <c r="C553" s="110"/>
      <c r="D553" s="110"/>
      <c r="E553" s="1155"/>
      <c r="F553" s="700"/>
      <c r="G553" s="700"/>
      <c r="H553" s="80"/>
      <c r="I553" s="80"/>
      <c r="J553" s="1164"/>
      <c r="K553" s="1157"/>
      <c r="L553" s="1157"/>
      <c r="M553" s="1157"/>
      <c r="N553" s="1163"/>
      <c r="O553" s="1156"/>
      <c r="P553" s="1156"/>
      <c r="Q553" s="1156"/>
      <c r="R553" s="1156"/>
      <c r="S553" s="80"/>
      <c r="T553" s="80"/>
      <c r="U553" s="80"/>
      <c r="V553" s="80"/>
      <c r="W553" s="80"/>
      <c r="X553" s="437"/>
      <c r="Y553" s="117"/>
      <c r="Z553" s="117"/>
      <c r="AA553" s="117"/>
      <c r="AB553" s="117"/>
      <c r="AC553" s="117"/>
      <c r="AD553" s="117"/>
      <c r="AE553" s="117"/>
      <c r="AF553" s="117"/>
      <c r="AG553" s="117"/>
      <c r="AH553" s="117"/>
      <c r="AI553" s="117"/>
      <c r="AJ553" s="117"/>
      <c r="AK553" s="117"/>
      <c r="AL553" s="117"/>
      <c r="AM553" s="117"/>
      <c r="AN553" s="117"/>
      <c r="AO553" s="117"/>
      <c r="AP553" s="117"/>
      <c r="AQ553" s="117"/>
      <c r="AR553" s="117"/>
      <c r="AS553" s="117"/>
      <c r="AT553" s="117"/>
      <c r="AU553" s="117"/>
      <c r="AV553" s="117"/>
      <c r="AW553" s="117"/>
      <c r="AX553" s="117"/>
      <c r="AY553" s="117"/>
      <c r="AZ553" s="117"/>
      <c r="BA553" s="117"/>
      <c r="BB553" s="117"/>
      <c r="BC553" s="117"/>
      <c r="BD553" s="117"/>
      <c r="BE553" s="117"/>
      <c r="BF553" s="117"/>
      <c r="BG553" s="117"/>
    </row>
    <row r="554" spans="1:59" ht="15" customHeight="1">
      <c r="A554" s="117"/>
      <c r="B554" s="81"/>
      <c r="C554" s="163"/>
      <c r="D554" s="110"/>
      <c r="E554" s="1155"/>
      <c r="F554" s="700"/>
      <c r="G554" s="700"/>
      <c r="H554" s="80"/>
      <c r="I554" s="80"/>
      <c r="J554" s="82"/>
      <c r="K554" s="82"/>
      <c r="L554" s="82"/>
      <c r="M554" s="82"/>
      <c r="N554" s="80"/>
      <c r="O554" s="80"/>
      <c r="P554" s="80"/>
      <c r="Q554" s="80"/>
      <c r="R554" s="80"/>
      <c r="S554" s="110"/>
      <c r="T554" s="110"/>
      <c r="U554" s="110"/>
      <c r="V554" s="110"/>
      <c r="W554" s="110"/>
      <c r="X554" s="43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  <c r="BA554" s="117"/>
      <c r="BB554" s="117"/>
      <c r="BC554" s="117"/>
      <c r="BD554" s="117"/>
      <c r="BE554" s="117"/>
      <c r="BF554" s="117"/>
      <c r="BG554" s="117"/>
    </row>
    <row r="555" spans="1:59" ht="15" customHeight="1">
      <c r="A555" s="117"/>
      <c r="B555" s="81"/>
      <c r="C555" s="163"/>
      <c r="D555" s="110"/>
      <c r="E555" s="110"/>
      <c r="F555" s="110"/>
      <c r="G555" s="110"/>
      <c r="H555" s="80"/>
      <c r="I555" s="80"/>
      <c r="J555" s="82"/>
      <c r="K555" s="82"/>
      <c r="L555" s="82"/>
      <c r="M555" s="82"/>
      <c r="N555" s="80"/>
      <c r="O555" s="80"/>
      <c r="P555" s="80"/>
      <c r="Q555" s="80"/>
      <c r="R555" s="80"/>
      <c r="S555" s="110"/>
      <c r="T555" s="110"/>
      <c r="U555" s="110"/>
      <c r="V555" s="110"/>
      <c r="W555" s="110"/>
      <c r="X555" s="437"/>
      <c r="Y555" s="117"/>
      <c r="Z555" s="117"/>
      <c r="AA555" s="117"/>
      <c r="AB555" s="117"/>
      <c r="AC555" s="117"/>
      <c r="AD555" s="117"/>
      <c r="AE555" s="117"/>
      <c r="AF555" s="117"/>
      <c r="AG555" s="117"/>
      <c r="AH555" s="117"/>
      <c r="AI555" s="117"/>
      <c r="AJ555" s="117"/>
      <c r="AK555" s="117"/>
      <c r="AL555" s="117"/>
      <c r="AM555" s="117"/>
      <c r="AN555" s="117"/>
      <c r="AO555" s="117"/>
      <c r="AP555" s="117"/>
      <c r="AQ555" s="117"/>
      <c r="AR555" s="117"/>
      <c r="AS555" s="117"/>
      <c r="AT555" s="117"/>
      <c r="AU555" s="117"/>
      <c r="AV555" s="117"/>
      <c r="AW555" s="117"/>
      <c r="AX555" s="117"/>
      <c r="AY555" s="117"/>
      <c r="AZ555" s="117"/>
      <c r="BA555" s="117"/>
      <c r="BB555" s="117"/>
      <c r="BC555" s="117"/>
      <c r="BD555" s="117"/>
      <c r="BE555" s="117"/>
      <c r="BF555" s="117"/>
      <c r="BG555" s="117"/>
    </row>
    <row r="556" spans="1:59" ht="15" customHeight="1">
      <c r="A556" s="117"/>
      <c r="B556" s="81"/>
      <c r="C556" s="110"/>
      <c r="D556" s="110"/>
      <c r="E556" s="110"/>
      <c r="F556" s="110"/>
      <c r="G556" s="110"/>
      <c r="H556" s="110"/>
      <c r="I556" s="110"/>
      <c r="J556" s="114"/>
      <c r="K556" s="114"/>
      <c r="L556" s="114"/>
      <c r="M556" s="114"/>
      <c r="N556" s="110"/>
      <c r="O556" s="110"/>
      <c r="P556" s="110"/>
      <c r="Q556" s="110"/>
      <c r="R556" s="110"/>
      <c r="S556" s="117"/>
      <c r="T556" s="117"/>
      <c r="U556" s="117"/>
      <c r="V556" s="117"/>
      <c r="W556" s="117"/>
      <c r="X556" s="43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  <c r="BA556" s="117"/>
      <c r="BB556" s="117"/>
      <c r="BC556" s="117"/>
      <c r="BD556" s="117"/>
      <c r="BE556" s="117"/>
      <c r="BF556" s="117"/>
      <c r="BG556" s="117"/>
    </row>
    <row r="557" spans="1:59" ht="15" customHeight="1">
      <c r="A557" s="117"/>
      <c r="B557" s="81"/>
      <c r="C557" s="110"/>
      <c r="D557" s="110"/>
      <c r="E557" s="110"/>
      <c r="F557" s="110"/>
      <c r="G557" s="110"/>
      <c r="H557" s="110"/>
      <c r="I557" s="110"/>
      <c r="J557" s="114"/>
      <c r="K557" s="114"/>
      <c r="L557" s="114"/>
      <c r="M557" s="114"/>
      <c r="N557" s="110"/>
      <c r="O557" s="110"/>
      <c r="P557" s="110"/>
      <c r="Q557" s="110"/>
      <c r="R557" s="110"/>
      <c r="S557" s="117"/>
      <c r="T557" s="117"/>
      <c r="U557" s="117"/>
      <c r="V557" s="117"/>
      <c r="W557" s="117"/>
      <c r="X557" s="437"/>
      <c r="Y557" s="117"/>
      <c r="Z557" s="117"/>
      <c r="AA557" s="117"/>
      <c r="AB557" s="117"/>
      <c r="AC557" s="117"/>
      <c r="AD557" s="117"/>
      <c r="AE557" s="117"/>
      <c r="AF557" s="117"/>
      <c r="AG557" s="117"/>
      <c r="AH557" s="117"/>
      <c r="AI557" s="117"/>
      <c r="AJ557" s="117"/>
      <c r="AK557" s="117"/>
      <c r="AL557" s="117"/>
      <c r="AM557" s="117"/>
      <c r="AN557" s="117"/>
      <c r="AO557" s="117"/>
      <c r="AP557" s="117"/>
      <c r="AQ557" s="117"/>
      <c r="AR557" s="117"/>
      <c r="AS557" s="117"/>
      <c r="AT557" s="117"/>
      <c r="AU557" s="117"/>
      <c r="AV557" s="117"/>
      <c r="AW557" s="117"/>
      <c r="AX557" s="117"/>
      <c r="AY557" s="117"/>
      <c r="AZ557" s="117"/>
      <c r="BA557" s="117"/>
      <c r="BB557" s="117"/>
      <c r="BC557" s="117"/>
      <c r="BD557" s="117"/>
      <c r="BE557" s="117"/>
      <c r="BF557" s="117"/>
      <c r="BG557" s="117"/>
    </row>
    <row r="558" spans="1:59" ht="15" customHeight="1">
      <c r="A558" s="117"/>
      <c r="B558" s="81"/>
      <c r="C558" s="117"/>
      <c r="D558" s="117"/>
      <c r="E558" s="117"/>
      <c r="F558" s="117"/>
      <c r="G558" s="117"/>
      <c r="H558" s="117"/>
      <c r="I558" s="117"/>
      <c r="J558" s="118"/>
      <c r="K558" s="118"/>
      <c r="L558" s="118"/>
      <c r="M558" s="118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43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  <c r="BA558" s="117"/>
      <c r="BB558" s="117"/>
      <c r="BC558" s="117"/>
      <c r="BD558" s="117"/>
      <c r="BE558" s="117"/>
      <c r="BF558" s="117"/>
      <c r="BG558" s="117"/>
    </row>
    <row r="559" spans="1:59" ht="15" customHeight="1">
      <c r="A559" s="117"/>
      <c r="B559" s="81"/>
      <c r="C559" s="117"/>
      <c r="D559" s="117"/>
      <c r="E559" s="117"/>
      <c r="F559" s="117"/>
      <c r="G559" s="117"/>
      <c r="H559" s="117"/>
      <c r="I559" s="117"/>
      <c r="J559" s="118"/>
      <c r="K559" s="118"/>
      <c r="L559" s="118"/>
      <c r="M559" s="118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437"/>
      <c r="Y559" s="117"/>
      <c r="Z559" s="117"/>
      <c r="AA559" s="117"/>
      <c r="AB559" s="117"/>
      <c r="AC559" s="117"/>
      <c r="AD559" s="117"/>
      <c r="AE559" s="117"/>
      <c r="AF559" s="117"/>
      <c r="AG559" s="117"/>
      <c r="AH559" s="117"/>
      <c r="AI559" s="117"/>
      <c r="AJ559" s="117"/>
      <c r="AK559" s="117"/>
      <c r="AL559" s="117"/>
      <c r="AM559" s="117"/>
      <c r="AN559" s="117"/>
      <c r="AO559" s="117"/>
      <c r="AP559" s="117"/>
      <c r="AQ559" s="117"/>
      <c r="AR559" s="117"/>
      <c r="AS559" s="117"/>
      <c r="AT559" s="117"/>
      <c r="AU559" s="117"/>
      <c r="AV559" s="117"/>
      <c r="AW559" s="117"/>
      <c r="AX559" s="117"/>
      <c r="AY559" s="117"/>
      <c r="AZ559" s="117"/>
      <c r="BA559" s="117"/>
      <c r="BB559" s="117"/>
      <c r="BC559" s="117"/>
      <c r="BD559" s="117"/>
      <c r="BE559" s="117"/>
      <c r="BF559" s="117"/>
      <c r="BG559" s="117"/>
    </row>
    <row r="560" spans="1:59" ht="15" customHeight="1">
      <c r="A560" s="117"/>
      <c r="B560" s="81"/>
      <c r="C560" s="117"/>
      <c r="D560" s="117"/>
      <c r="E560" s="117"/>
      <c r="F560" s="117"/>
      <c r="G560" s="117"/>
      <c r="H560" s="117"/>
      <c r="I560" s="117"/>
      <c r="J560" s="118"/>
      <c r="K560" s="118"/>
      <c r="L560" s="118"/>
      <c r="M560" s="118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43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  <c r="BA560" s="117"/>
      <c r="BB560" s="117"/>
      <c r="BC560" s="117"/>
      <c r="BD560" s="117"/>
      <c r="BE560" s="117"/>
      <c r="BF560" s="117"/>
      <c r="BG560" s="117"/>
    </row>
    <row r="561" spans="1:59">
      <c r="A561" s="117"/>
      <c r="B561" s="81"/>
      <c r="C561" s="117"/>
      <c r="D561" s="117"/>
      <c r="E561" s="117"/>
      <c r="F561" s="117"/>
      <c r="G561" s="117"/>
      <c r="H561" s="117"/>
      <c r="I561" s="117"/>
      <c r="J561" s="118"/>
      <c r="K561" s="118"/>
      <c r="L561" s="118"/>
      <c r="M561" s="118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437"/>
      <c r="Y561" s="117"/>
      <c r="Z561" s="117"/>
      <c r="AA561" s="117"/>
      <c r="AB561" s="117"/>
      <c r="AC561" s="117"/>
      <c r="AD561" s="117"/>
      <c r="AE561" s="117"/>
      <c r="AF561" s="117"/>
      <c r="AG561" s="117"/>
      <c r="AH561" s="117"/>
      <c r="AI561" s="117"/>
      <c r="AJ561" s="117"/>
      <c r="AK561" s="117"/>
      <c r="AL561" s="117"/>
      <c r="AM561" s="117"/>
      <c r="AN561" s="117"/>
      <c r="AO561" s="117"/>
      <c r="AP561" s="117"/>
      <c r="AQ561" s="117"/>
      <c r="AR561" s="117"/>
      <c r="AS561" s="117"/>
      <c r="AT561" s="117"/>
      <c r="AU561" s="117"/>
      <c r="AV561" s="117"/>
      <c r="AW561" s="117"/>
      <c r="AX561" s="117"/>
      <c r="AY561" s="117"/>
      <c r="AZ561" s="117"/>
      <c r="BA561" s="117"/>
      <c r="BB561" s="117"/>
      <c r="BC561" s="117"/>
      <c r="BD561" s="117"/>
      <c r="BE561" s="117"/>
      <c r="BF561" s="117"/>
      <c r="BG561" s="117"/>
    </row>
    <row r="562" spans="1:59" ht="15">
      <c r="A562" s="117"/>
      <c r="B562" s="1104"/>
      <c r="C562" s="117"/>
      <c r="D562" s="117"/>
      <c r="E562" s="117"/>
      <c r="F562" s="117"/>
      <c r="G562" s="117"/>
      <c r="H562" s="117"/>
      <c r="I562" s="117"/>
      <c r="J562" s="118"/>
      <c r="K562" s="118"/>
      <c r="L562" s="118"/>
      <c r="M562" s="118"/>
      <c r="N562" s="117"/>
      <c r="O562" s="117"/>
      <c r="P562" s="117"/>
      <c r="Q562" s="117"/>
      <c r="R562" s="117"/>
      <c r="S562" s="81"/>
      <c r="T562" s="81"/>
      <c r="U562" s="81"/>
      <c r="V562" s="1105"/>
      <c r="W562" s="1105"/>
      <c r="X562" s="43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  <c r="BA562" s="117"/>
      <c r="BB562" s="117"/>
      <c r="BC562" s="117"/>
      <c r="BD562" s="117"/>
      <c r="BE562" s="117"/>
      <c r="BF562" s="117"/>
      <c r="BG562" s="117"/>
    </row>
    <row r="563" spans="1:59">
      <c r="A563" s="117"/>
      <c r="B563" s="81"/>
      <c r="C563" s="117"/>
      <c r="D563" s="117"/>
      <c r="E563" s="117"/>
      <c r="F563" s="117"/>
      <c r="G563" s="117"/>
      <c r="H563" s="117"/>
      <c r="I563" s="117"/>
      <c r="J563" s="118"/>
      <c r="K563" s="118"/>
      <c r="L563" s="118"/>
      <c r="M563" s="118"/>
      <c r="N563" s="117"/>
      <c r="O563" s="117"/>
      <c r="P563" s="117"/>
      <c r="Q563" s="117"/>
      <c r="R563" s="117"/>
      <c r="S563" s="81"/>
      <c r="T563" s="81"/>
      <c r="U563" s="81"/>
      <c r="V563" s="81"/>
      <c r="W563" s="1106"/>
      <c r="X563" s="437"/>
      <c r="Y563" s="117"/>
      <c r="Z563" s="117"/>
      <c r="AA563" s="117"/>
      <c r="AB563" s="117"/>
      <c r="AC563" s="117"/>
      <c r="AD563" s="117"/>
      <c r="AE563" s="117"/>
      <c r="AF563" s="117"/>
      <c r="AG563" s="117"/>
      <c r="AH563" s="117"/>
      <c r="AI563" s="117"/>
      <c r="AJ563" s="117"/>
      <c r="AK563" s="117"/>
      <c r="AL563" s="117"/>
      <c r="AM563" s="117"/>
      <c r="AN563" s="117"/>
      <c r="AO563" s="117"/>
      <c r="AP563" s="117"/>
      <c r="AQ563" s="117"/>
      <c r="AR563" s="117"/>
      <c r="AS563" s="117"/>
      <c r="AT563" s="117"/>
      <c r="AU563" s="117"/>
      <c r="AV563" s="117"/>
      <c r="AW563" s="117"/>
      <c r="AX563" s="117"/>
      <c r="AY563" s="117"/>
      <c r="AZ563" s="117"/>
      <c r="BA563" s="117"/>
      <c r="BB563" s="117"/>
      <c r="BC563" s="117"/>
      <c r="BD563" s="117"/>
      <c r="BE563" s="117"/>
      <c r="BF563" s="117"/>
      <c r="BG563" s="117"/>
    </row>
    <row r="564" spans="1:59">
      <c r="A564" s="117"/>
      <c r="B564" s="81"/>
      <c r="C564" s="81"/>
      <c r="D564" s="81"/>
      <c r="E564" s="81"/>
      <c r="F564" s="81"/>
      <c r="G564" s="81"/>
      <c r="H564" s="81"/>
      <c r="I564" s="81"/>
      <c r="J564" s="118"/>
      <c r="K564" s="118"/>
      <c r="L564" s="118"/>
      <c r="M564" s="118"/>
      <c r="N564" s="81"/>
      <c r="O564" s="81"/>
      <c r="P564" s="81"/>
      <c r="Q564" s="81"/>
      <c r="R564" s="81"/>
      <c r="S564" s="117"/>
      <c r="T564" s="117"/>
      <c r="U564" s="117"/>
      <c r="V564" s="117"/>
      <c r="W564" s="117"/>
      <c r="X564" s="43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</row>
    <row r="565" spans="1:59" ht="3" customHeight="1">
      <c r="A565" s="117"/>
      <c r="B565" s="81"/>
      <c r="C565" s="1050"/>
      <c r="D565" s="81"/>
      <c r="E565" s="81"/>
      <c r="F565" s="81"/>
      <c r="G565" s="81"/>
      <c r="H565" s="81"/>
      <c r="I565" s="81"/>
      <c r="J565" s="118"/>
      <c r="K565" s="118"/>
      <c r="L565" s="118"/>
      <c r="M565" s="118"/>
      <c r="N565" s="81"/>
      <c r="O565" s="81"/>
      <c r="P565" s="81"/>
      <c r="Q565" s="81"/>
      <c r="R565" s="81"/>
      <c r="S565" s="1091"/>
      <c r="T565" s="1091"/>
      <c r="U565" s="1091"/>
      <c r="V565" s="1091"/>
      <c r="W565" s="1091"/>
      <c r="X565" s="437"/>
      <c r="Y565" s="117"/>
      <c r="Z565" s="117"/>
      <c r="AA565" s="117"/>
      <c r="AB565" s="117"/>
      <c r="AC565" s="117"/>
      <c r="AD565" s="117"/>
      <c r="AE565" s="117"/>
      <c r="AF565" s="117"/>
      <c r="AG565" s="117"/>
      <c r="AH565" s="117"/>
      <c r="AI565" s="117"/>
      <c r="AJ565" s="117"/>
      <c r="AK565" s="117"/>
      <c r="AL565" s="117"/>
      <c r="AM565" s="117"/>
      <c r="AN565" s="117"/>
      <c r="AO565" s="117"/>
      <c r="AP565" s="117"/>
      <c r="AQ565" s="117"/>
      <c r="AR565" s="117"/>
      <c r="AS565" s="117"/>
      <c r="AT565" s="117"/>
      <c r="AU565" s="117"/>
      <c r="AV565" s="117"/>
      <c r="AW565" s="117"/>
      <c r="AX565" s="117"/>
      <c r="AY565" s="117"/>
      <c r="AZ565" s="117"/>
      <c r="BA565" s="117"/>
      <c r="BB565" s="117"/>
      <c r="BC565" s="117"/>
      <c r="BD565" s="117"/>
      <c r="BE565" s="117"/>
      <c r="BF565" s="117"/>
      <c r="BG565" s="117"/>
    </row>
    <row r="566" spans="1:59" ht="15" customHeight="1">
      <c r="A566" s="117"/>
      <c r="B566" s="81"/>
      <c r="C566" s="499"/>
      <c r="D566" s="117"/>
      <c r="E566" s="117"/>
      <c r="F566" s="117"/>
      <c r="G566" s="117"/>
      <c r="H566" s="117"/>
      <c r="I566" s="117"/>
      <c r="J566" s="118"/>
      <c r="K566" s="118"/>
      <c r="L566" s="118"/>
      <c r="M566" s="118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43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  <c r="BA566" s="117"/>
      <c r="BB566" s="117"/>
      <c r="BC566" s="117"/>
      <c r="BD566" s="117"/>
      <c r="BE566" s="117"/>
      <c r="BF566" s="117"/>
      <c r="BG566" s="117"/>
    </row>
    <row r="567" spans="1:59" ht="15" customHeight="1">
      <c r="A567" s="117"/>
      <c r="B567" s="81"/>
      <c r="C567" s="1091"/>
      <c r="D567" s="1091"/>
      <c r="E567" s="1091"/>
      <c r="F567" s="1091"/>
      <c r="G567" s="1091"/>
      <c r="H567" s="1091"/>
      <c r="I567" s="1091"/>
      <c r="J567" s="1134"/>
      <c r="K567" s="1134"/>
      <c r="L567" s="1134"/>
      <c r="M567" s="1134"/>
      <c r="N567" s="1091"/>
      <c r="O567" s="1091"/>
      <c r="P567" s="1091"/>
      <c r="Q567" s="1091"/>
      <c r="R567" s="1091"/>
      <c r="S567" s="117"/>
      <c r="T567" s="117"/>
      <c r="U567" s="117"/>
      <c r="V567" s="117"/>
      <c r="W567" s="117"/>
      <c r="X567" s="437"/>
      <c r="Y567" s="117"/>
      <c r="Z567" s="117"/>
      <c r="AA567" s="117"/>
      <c r="AB567" s="117"/>
      <c r="AC567" s="117"/>
      <c r="AD567" s="117"/>
      <c r="AE567" s="117"/>
      <c r="AF567" s="117"/>
      <c r="AG567" s="117"/>
      <c r="AH567" s="117"/>
      <c r="AI567" s="117"/>
      <c r="AJ567" s="117"/>
      <c r="AK567" s="117"/>
      <c r="AL567" s="117"/>
      <c r="AM567" s="117"/>
      <c r="AN567" s="117"/>
      <c r="AO567" s="117"/>
      <c r="AP567" s="117"/>
      <c r="AQ567" s="117"/>
      <c r="AR567" s="117"/>
      <c r="AS567" s="117"/>
      <c r="AT567" s="117"/>
      <c r="AU567" s="117"/>
      <c r="AV567" s="117"/>
      <c r="AW567" s="117"/>
      <c r="AX567" s="117"/>
      <c r="AY567" s="117"/>
      <c r="AZ567" s="117"/>
      <c r="BA567" s="117"/>
      <c r="BB567" s="117"/>
      <c r="BC567" s="117"/>
      <c r="BD567" s="117"/>
      <c r="BE567" s="117"/>
      <c r="BF567" s="117"/>
      <c r="BG567" s="117"/>
    </row>
    <row r="568" spans="1:59" ht="15" customHeight="1">
      <c r="A568" s="117"/>
      <c r="B568" s="1127"/>
      <c r="C568" s="117"/>
      <c r="D568" s="117"/>
      <c r="E568" s="117"/>
      <c r="F568" s="117"/>
      <c r="G568" s="117"/>
      <c r="H568" s="117"/>
      <c r="I568" s="117"/>
      <c r="J568" s="118"/>
      <c r="K568" s="118"/>
      <c r="L568" s="118"/>
      <c r="M568" s="118"/>
      <c r="N568" s="117"/>
      <c r="O568" s="117"/>
      <c r="P568" s="117"/>
      <c r="Q568" s="117"/>
      <c r="R568" s="117"/>
      <c r="S568" s="1053"/>
      <c r="T568" s="1053"/>
      <c r="U568" s="1053"/>
      <c r="V568" s="1053"/>
      <c r="W568" s="1053"/>
      <c r="X568" s="43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  <c r="BA568" s="117"/>
      <c r="BB568" s="117"/>
      <c r="BC568" s="117"/>
      <c r="BD568" s="117"/>
      <c r="BE568" s="117"/>
      <c r="BF568" s="117"/>
      <c r="BG568" s="117"/>
    </row>
    <row r="569" spans="1:59" ht="15" customHeight="1">
      <c r="A569" s="117"/>
      <c r="B569" s="81"/>
      <c r="C569" s="1078"/>
      <c r="D569" s="117"/>
      <c r="E569" s="117"/>
      <c r="F569" s="117"/>
      <c r="G569" s="117"/>
      <c r="H569" s="117"/>
      <c r="I569" s="117"/>
      <c r="J569" s="118"/>
      <c r="K569" s="118"/>
      <c r="L569" s="118"/>
      <c r="M569" s="118"/>
      <c r="N569" s="117"/>
      <c r="O569" s="117"/>
      <c r="P569" s="117"/>
      <c r="Q569" s="117"/>
      <c r="R569" s="117"/>
      <c r="S569" s="530"/>
      <c r="T569" s="530"/>
      <c r="U569" s="530"/>
      <c r="V569" s="530"/>
      <c r="W569" s="530"/>
      <c r="X569" s="437"/>
      <c r="Y569" s="117"/>
      <c r="Z569" s="117"/>
      <c r="AA569" s="117"/>
      <c r="AB569" s="117"/>
      <c r="AC569" s="117"/>
      <c r="AD569" s="117"/>
      <c r="AE569" s="117"/>
      <c r="AF569" s="117"/>
      <c r="AG569" s="117"/>
      <c r="AH569" s="117"/>
      <c r="AI569" s="117"/>
      <c r="AJ569" s="117"/>
      <c r="AK569" s="117"/>
      <c r="AL569" s="117"/>
      <c r="AM569" s="117"/>
      <c r="AN569" s="117"/>
      <c r="AO569" s="117"/>
      <c r="AP569" s="117"/>
      <c r="AQ569" s="117"/>
      <c r="AR569" s="117"/>
      <c r="AS569" s="117"/>
      <c r="AT569" s="117"/>
      <c r="AU569" s="117"/>
      <c r="AV569" s="117"/>
      <c r="AW569" s="117"/>
      <c r="AX569" s="117"/>
      <c r="AY569" s="117"/>
      <c r="AZ569" s="117"/>
      <c r="BA569" s="117"/>
      <c r="BB569" s="117"/>
      <c r="BC569" s="117"/>
      <c r="BD569" s="117"/>
      <c r="BE569" s="117"/>
      <c r="BF569" s="117"/>
      <c r="BG569" s="117"/>
    </row>
    <row r="570" spans="1:59" ht="15" customHeight="1">
      <c r="A570" s="117"/>
      <c r="B570" s="81"/>
      <c r="C570" s="1127"/>
      <c r="D570" s="1127"/>
      <c r="E570" s="1127"/>
      <c r="F570" s="1127"/>
      <c r="G570" s="1127"/>
      <c r="H570" s="1127"/>
      <c r="I570" s="1127"/>
      <c r="J570" s="1094"/>
      <c r="K570" s="1094"/>
      <c r="L570" s="1094"/>
      <c r="M570" s="1094"/>
      <c r="N570" s="1053"/>
      <c r="O570" s="1053"/>
      <c r="P570" s="1053"/>
      <c r="Q570" s="1053"/>
      <c r="R570" s="1053"/>
      <c r="S570" s="131"/>
      <c r="T570" s="131"/>
      <c r="U570" s="131"/>
      <c r="V570" s="131"/>
      <c r="W570" s="131"/>
      <c r="X570" s="43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  <c r="BA570" s="117"/>
      <c r="BB570" s="117"/>
      <c r="BC570" s="117"/>
      <c r="BD570" s="117"/>
      <c r="BE570" s="117"/>
      <c r="BF570" s="117"/>
      <c r="BG570" s="117"/>
    </row>
    <row r="571" spans="1:59" ht="15" customHeight="1">
      <c r="A571" s="117"/>
      <c r="B571" s="81"/>
      <c r="C571" s="156"/>
      <c r="D571" s="156"/>
      <c r="E571" s="530"/>
      <c r="F571" s="1165"/>
      <c r="G571" s="530"/>
      <c r="H571" s="530"/>
      <c r="I571" s="1107"/>
      <c r="J571" s="1107"/>
      <c r="K571" s="1107"/>
      <c r="L571" s="1107"/>
      <c r="M571" s="1107"/>
      <c r="N571" s="1107"/>
      <c r="O571" s="530"/>
      <c r="P571" s="530"/>
      <c r="Q571" s="530"/>
      <c r="R571" s="530"/>
      <c r="S571" s="131"/>
      <c r="T571" s="131"/>
      <c r="U571" s="131"/>
      <c r="V571" s="131"/>
      <c r="W571" s="131"/>
      <c r="X571" s="437"/>
      <c r="Y571" s="117"/>
      <c r="Z571" s="117"/>
      <c r="AA571" s="117"/>
      <c r="AB571" s="117"/>
      <c r="AC571" s="117"/>
      <c r="AD571" s="117"/>
      <c r="AE571" s="117"/>
      <c r="AF571" s="117"/>
      <c r="AG571" s="117"/>
      <c r="AH571" s="117"/>
      <c r="AI571" s="117"/>
      <c r="AJ571" s="117"/>
      <c r="AK571" s="117"/>
      <c r="AL571" s="117"/>
      <c r="AM571" s="117"/>
      <c r="AN571" s="117"/>
      <c r="AO571" s="117"/>
      <c r="AP571" s="117"/>
      <c r="AQ571" s="117"/>
      <c r="AR571" s="117"/>
      <c r="AS571" s="117"/>
      <c r="AT571" s="117"/>
      <c r="AU571" s="117"/>
      <c r="AV571" s="117"/>
      <c r="AW571" s="117"/>
      <c r="AX571" s="117"/>
      <c r="AY571" s="117"/>
      <c r="AZ571" s="117"/>
      <c r="BA571" s="117"/>
      <c r="BB571" s="117"/>
      <c r="BC571" s="117"/>
      <c r="BD571" s="117"/>
      <c r="BE571" s="117"/>
      <c r="BF571" s="117"/>
      <c r="BG571" s="117"/>
    </row>
    <row r="572" spans="1:59" ht="15" customHeight="1">
      <c r="A572" s="117"/>
      <c r="B572" s="81"/>
      <c r="C572" s="163"/>
      <c r="D572" s="110"/>
      <c r="E572" s="110"/>
      <c r="F572" s="110"/>
      <c r="G572" s="110"/>
      <c r="H572" s="131"/>
      <c r="I572" s="131"/>
      <c r="J572" s="835"/>
      <c r="K572" s="835"/>
      <c r="L572" s="835"/>
      <c r="M572" s="835"/>
      <c r="N572" s="131"/>
      <c r="O572" s="131"/>
      <c r="P572" s="131"/>
      <c r="Q572" s="131"/>
      <c r="R572" s="131"/>
      <c r="S572" s="131"/>
      <c r="T572" s="131"/>
      <c r="U572" s="131"/>
      <c r="V572" s="131"/>
      <c r="W572" s="131"/>
      <c r="X572" s="43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  <c r="BA572" s="117"/>
      <c r="BB572" s="117"/>
      <c r="BC572" s="117"/>
      <c r="BD572" s="117"/>
      <c r="BE572" s="117"/>
      <c r="BF572" s="117"/>
      <c r="BG572" s="117"/>
    </row>
    <row r="573" spans="1:59" ht="15" customHeight="1">
      <c r="A573" s="117"/>
      <c r="B573" s="81"/>
      <c r="C573" s="110"/>
      <c r="D573" s="110"/>
      <c r="E573" s="110"/>
      <c r="F573" s="110"/>
      <c r="G573" s="110"/>
      <c r="H573" s="131"/>
      <c r="I573" s="131"/>
      <c r="J573" s="835"/>
      <c r="K573" s="835"/>
      <c r="L573" s="835"/>
      <c r="M573" s="131"/>
      <c r="N573" s="131"/>
      <c r="O573" s="131"/>
      <c r="P573" s="131"/>
      <c r="Q573" s="131"/>
      <c r="R573" s="131"/>
      <c r="S573" s="130"/>
      <c r="T573" s="130"/>
      <c r="U573" s="130"/>
      <c r="V573" s="130"/>
      <c r="W573" s="130"/>
      <c r="X573" s="437"/>
      <c r="Y573" s="117"/>
      <c r="Z573" s="117"/>
      <c r="AA573" s="117"/>
      <c r="AB573" s="117"/>
      <c r="AC573" s="117"/>
      <c r="AD573" s="117"/>
      <c r="AE573" s="117"/>
      <c r="AF573" s="117"/>
      <c r="AG573" s="117"/>
      <c r="AH573" s="117"/>
      <c r="AI573" s="117"/>
      <c r="AJ573" s="117"/>
      <c r="AK573" s="117"/>
      <c r="AL573" s="117"/>
      <c r="AM573" s="117"/>
      <c r="AN573" s="117"/>
      <c r="AO573" s="117"/>
      <c r="AP573" s="117"/>
      <c r="AQ573" s="117"/>
      <c r="AR573" s="117"/>
      <c r="AS573" s="117"/>
      <c r="AT573" s="117"/>
      <c r="AU573" s="117"/>
      <c r="AV573" s="117"/>
      <c r="AW573" s="117"/>
      <c r="AX573" s="117"/>
      <c r="AY573" s="117"/>
      <c r="AZ573" s="117"/>
      <c r="BA573" s="117"/>
      <c r="BB573" s="117"/>
      <c r="BC573" s="117"/>
      <c r="BD573" s="117"/>
      <c r="BE573" s="117"/>
      <c r="BF573" s="117"/>
      <c r="BG573" s="117"/>
    </row>
    <row r="574" spans="1:59" ht="15" customHeight="1">
      <c r="A574" s="117"/>
      <c r="B574" s="81"/>
      <c r="C574" s="1166"/>
      <c r="D574" s="110"/>
      <c r="E574" s="110"/>
      <c r="F574" s="110"/>
      <c r="G574" s="110"/>
      <c r="H574" s="131"/>
      <c r="I574" s="131"/>
      <c r="J574" s="835"/>
      <c r="K574" s="835"/>
      <c r="L574" s="835"/>
      <c r="M574" s="835"/>
      <c r="N574" s="131"/>
      <c r="O574" s="131"/>
      <c r="P574" s="131"/>
      <c r="Q574" s="131"/>
      <c r="R574" s="131"/>
      <c r="S574" s="131"/>
      <c r="T574" s="131"/>
      <c r="U574" s="131"/>
      <c r="V574" s="131"/>
      <c r="W574" s="131"/>
      <c r="X574" s="43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  <c r="BA574" s="117"/>
      <c r="BB574" s="117"/>
      <c r="BC574" s="117"/>
      <c r="BD574" s="117"/>
      <c r="BE574" s="117"/>
      <c r="BF574" s="117"/>
      <c r="BG574" s="117"/>
    </row>
    <row r="575" spans="1:59" ht="15" customHeight="1">
      <c r="A575" s="117"/>
      <c r="B575" s="81"/>
      <c r="C575" s="110"/>
      <c r="D575" s="110"/>
      <c r="E575" s="110"/>
      <c r="F575" s="110"/>
      <c r="G575" s="110"/>
      <c r="H575" s="131"/>
      <c r="I575" s="131"/>
      <c r="J575" s="835"/>
      <c r="K575" s="835"/>
      <c r="L575" s="835"/>
      <c r="M575" s="835"/>
      <c r="N575" s="130"/>
      <c r="O575" s="130"/>
      <c r="P575" s="130"/>
      <c r="Q575" s="130"/>
      <c r="R575" s="130"/>
      <c r="S575" s="131"/>
      <c r="T575" s="131"/>
      <c r="U575" s="131"/>
      <c r="V575" s="131"/>
      <c r="W575" s="131"/>
      <c r="X575" s="437"/>
      <c r="Y575" s="117"/>
      <c r="Z575" s="117"/>
      <c r="AA575" s="117"/>
      <c r="AB575" s="117"/>
      <c r="AC575" s="117"/>
      <c r="AD575" s="117"/>
      <c r="AE575" s="117"/>
      <c r="AF575" s="117"/>
      <c r="AG575" s="117"/>
      <c r="AH575" s="117"/>
      <c r="AI575" s="117"/>
      <c r="AJ575" s="117"/>
      <c r="AK575" s="117"/>
      <c r="AL575" s="117"/>
      <c r="AM575" s="117"/>
      <c r="AN575" s="117"/>
      <c r="AO575" s="117"/>
      <c r="AP575" s="117"/>
      <c r="AQ575" s="117"/>
      <c r="AR575" s="117"/>
      <c r="AS575" s="117"/>
      <c r="AT575" s="117"/>
      <c r="AU575" s="117"/>
      <c r="AV575" s="117"/>
      <c r="AW575" s="117"/>
      <c r="AX575" s="117"/>
      <c r="AY575" s="117"/>
      <c r="AZ575" s="117"/>
      <c r="BA575" s="117"/>
      <c r="BB575" s="117"/>
      <c r="BC575" s="117"/>
      <c r="BD575" s="117"/>
      <c r="BE575" s="117"/>
      <c r="BF575" s="117"/>
      <c r="BG575" s="117"/>
    </row>
    <row r="576" spans="1:59" ht="15" customHeight="1">
      <c r="A576" s="117"/>
      <c r="B576" s="81"/>
      <c r="C576" s="110"/>
      <c r="D576" s="110"/>
      <c r="E576" s="110"/>
      <c r="F576" s="110"/>
      <c r="G576" s="110"/>
      <c r="H576" s="131"/>
      <c r="I576" s="131"/>
      <c r="J576" s="835"/>
      <c r="K576" s="835"/>
      <c r="L576" s="835"/>
      <c r="M576" s="835"/>
      <c r="N576" s="131"/>
      <c r="O576" s="131"/>
      <c r="P576" s="131"/>
      <c r="Q576" s="131"/>
      <c r="R576" s="131"/>
      <c r="S576" s="131"/>
      <c r="T576" s="131"/>
      <c r="U576" s="131"/>
      <c r="V576" s="131"/>
      <c r="W576" s="131"/>
      <c r="X576" s="43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  <c r="BA576" s="117"/>
      <c r="BB576" s="117"/>
      <c r="BC576" s="117"/>
      <c r="BD576" s="117"/>
      <c r="BE576" s="117"/>
      <c r="BF576" s="117"/>
      <c r="BG576" s="117"/>
    </row>
    <row r="577" spans="1:59" ht="15" customHeight="1">
      <c r="A577" s="117"/>
      <c r="B577" s="81"/>
      <c r="C577" s="110"/>
      <c r="D577" s="110"/>
      <c r="E577" s="110"/>
      <c r="F577" s="110"/>
      <c r="G577" s="110"/>
      <c r="H577" s="131"/>
      <c r="I577" s="131"/>
      <c r="J577" s="835"/>
      <c r="K577" s="835"/>
      <c r="L577" s="835"/>
      <c r="M577" s="835"/>
      <c r="N577" s="131"/>
      <c r="O577" s="131"/>
      <c r="P577" s="131"/>
      <c r="Q577" s="131"/>
      <c r="R577" s="131"/>
      <c r="S577" s="131"/>
      <c r="T577" s="131"/>
      <c r="U577" s="131"/>
      <c r="V577" s="131"/>
      <c r="W577" s="131"/>
      <c r="X577" s="437"/>
      <c r="Y577" s="117"/>
      <c r="Z577" s="117"/>
      <c r="AA577" s="117"/>
      <c r="AB577" s="117"/>
      <c r="AC577" s="117"/>
      <c r="AD577" s="117"/>
      <c r="AE577" s="117"/>
      <c r="AF577" s="117"/>
      <c r="AG577" s="117"/>
      <c r="AH577" s="117"/>
      <c r="AI577" s="117"/>
      <c r="AJ577" s="117"/>
      <c r="AK577" s="117"/>
      <c r="AL577" s="117"/>
      <c r="AM577" s="117"/>
      <c r="AN577" s="117"/>
      <c r="AO577" s="117"/>
      <c r="AP577" s="117"/>
      <c r="AQ577" s="117"/>
      <c r="AR577" s="117"/>
      <c r="AS577" s="117"/>
      <c r="AT577" s="117"/>
      <c r="AU577" s="117"/>
      <c r="AV577" s="117"/>
      <c r="AW577" s="117"/>
      <c r="AX577" s="117"/>
      <c r="AY577" s="117"/>
      <c r="AZ577" s="117"/>
      <c r="BA577" s="117"/>
      <c r="BB577" s="117"/>
      <c r="BC577" s="117"/>
      <c r="BD577" s="117"/>
      <c r="BE577" s="117"/>
      <c r="BF577" s="117"/>
      <c r="BG577" s="117"/>
    </row>
    <row r="578" spans="1:59" ht="15" customHeight="1">
      <c r="A578" s="117"/>
      <c r="B578" s="81"/>
      <c r="C578" s="110"/>
      <c r="D578" s="110"/>
      <c r="E578" s="110"/>
      <c r="F578" s="110"/>
      <c r="G578" s="110"/>
      <c r="H578" s="131"/>
      <c r="I578" s="131"/>
      <c r="J578" s="835"/>
      <c r="K578" s="835"/>
      <c r="L578" s="835"/>
      <c r="M578" s="835"/>
      <c r="N578" s="131"/>
      <c r="O578" s="131"/>
      <c r="P578" s="131"/>
      <c r="Q578" s="131"/>
      <c r="R578" s="131"/>
      <c r="S578" s="131"/>
      <c r="T578" s="131"/>
      <c r="U578" s="131"/>
      <c r="V578" s="131"/>
      <c r="W578" s="131"/>
      <c r="X578" s="43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  <c r="BA578" s="117"/>
      <c r="BB578" s="117"/>
      <c r="BC578" s="117"/>
      <c r="BD578" s="117"/>
      <c r="BE578" s="117"/>
      <c r="BF578" s="117"/>
      <c r="BG578" s="117"/>
    </row>
    <row r="579" spans="1:59" ht="15" customHeight="1">
      <c r="A579" s="117"/>
      <c r="B579" s="81"/>
      <c r="C579" s="110"/>
      <c r="D579" s="110"/>
      <c r="E579" s="110"/>
      <c r="F579" s="110"/>
      <c r="G579" s="110"/>
      <c r="H579" s="131"/>
      <c r="I579" s="131"/>
      <c r="J579" s="835"/>
      <c r="K579" s="835"/>
      <c r="L579" s="835"/>
      <c r="M579" s="835"/>
      <c r="N579" s="131"/>
      <c r="O579" s="131"/>
      <c r="P579" s="131"/>
      <c r="Q579" s="131"/>
      <c r="R579" s="131"/>
      <c r="S579" s="131"/>
      <c r="T579" s="131"/>
      <c r="U579" s="131"/>
      <c r="V579" s="131"/>
      <c r="W579" s="131"/>
      <c r="X579" s="437"/>
      <c r="Y579" s="117"/>
      <c r="Z579" s="117"/>
      <c r="AA579" s="117"/>
      <c r="AB579" s="117"/>
      <c r="AC579" s="117"/>
      <c r="AD579" s="117"/>
      <c r="AE579" s="117"/>
      <c r="AF579" s="117"/>
      <c r="AG579" s="117"/>
      <c r="AH579" s="117"/>
      <c r="AI579" s="117"/>
      <c r="AJ579" s="117"/>
      <c r="AK579" s="117"/>
      <c r="AL579" s="117"/>
      <c r="AM579" s="117"/>
      <c r="AN579" s="117"/>
      <c r="AO579" s="117"/>
      <c r="AP579" s="117"/>
      <c r="AQ579" s="117"/>
      <c r="AR579" s="117"/>
      <c r="AS579" s="117"/>
      <c r="AT579" s="117"/>
      <c r="AU579" s="117"/>
      <c r="AV579" s="117"/>
      <c r="AW579" s="117"/>
      <c r="AX579" s="117"/>
      <c r="AY579" s="117"/>
      <c r="AZ579" s="117"/>
      <c r="BA579" s="117"/>
      <c r="BB579" s="117"/>
      <c r="BC579" s="117"/>
      <c r="BD579" s="117"/>
      <c r="BE579" s="117"/>
      <c r="BF579" s="117"/>
      <c r="BG579" s="117"/>
    </row>
    <row r="580" spans="1:59" ht="15" customHeight="1">
      <c r="A580" s="117"/>
      <c r="B580" s="81"/>
      <c r="C580" s="163"/>
      <c r="D580" s="110"/>
      <c r="E580" s="110"/>
      <c r="F580" s="110"/>
      <c r="G580" s="110"/>
      <c r="H580" s="131"/>
      <c r="I580" s="131"/>
      <c r="J580" s="835"/>
      <c r="K580" s="835"/>
      <c r="L580" s="835"/>
      <c r="M580" s="835"/>
      <c r="N580" s="131"/>
      <c r="O580" s="131"/>
      <c r="P580" s="131"/>
      <c r="Q580" s="131"/>
      <c r="R580" s="131"/>
      <c r="S580" s="131"/>
      <c r="T580" s="131"/>
      <c r="U580" s="131"/>
      <c r="V580" s="131"/>
      <c r="W580" s="131"/>
      <c r="X580" s="43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  <c r="BA580" s="117"/>
      <c r="BB580" s="117"/>
      <c r="BC580" s="117"/>
      <c r="BD580" s="117"/>
      <c r="BE580" s="117"/>
      <c r="BF580" s="117"/>
      <c r="BG580" s="117"/>
    </row>
    <row r="581" spans="1:59" ht="15" customHeight="1">
      <c r="A581" s="117"/>
      <c r="B581" s="81"/>
      <c r="C581" s="110"/>
      <c r="D581" s="110"/>
      <c r="E581" s="110"/>
      <c r="F581" s="110"/>
      <c r="G581" s="110"/>
      <c r="H581" s="131"/>
      <c r="I581" s="131"/>
      <c r="J581" s="835"/>
      <c r="K581" s="835"/>
      <c r="L581" s="835"/>
      <c r="M581" s="835"/>
      <c r="N581" s="131"/>
      <c r="O581" s="131"/>
      <c r="P581" s="131"/>
      <c r="Q581" s="131"/>
      <c r="R581" s="131"/>
      <c r="S581" s="131"/>
      <c r="T581" s="131"/>
      <c r="U581" s="131"/>
      <c r="V581" s="131"/>
      <c r="W581" s="131"/>
      <c r="X581" s="437"/>
      <c r="Y581" s="117"/>
      <c r="Z581" s="117"/>
      <c r="AA581" s="117"/>
      <c r="AB581" s="117"/>
      <c r="AC581" s="117"/>
      <c r="AD581" s="117"/>
      <c r="AE581" s="117"/>
      <c r="AF581" s="117"/>
      <c r="AG581" s="117"/>
      <c r="AH581" s="117"/>
      <c r="AI581" s="117"/>
      <c r="AJ581" s="117"/>
      <c r="AK581" s="117"/>
      <c r="AL581" s="117"/>
      <c r="AM581" s="117"/>
      <c r="AN581" s="117"/>
      <c r="AO581" s="117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  <c r="AZ581" s="117"/>
      <c r="BA581" s="117"/>
      <c r="BB581" s="117"/>
      <c r="BC581" s="117"/>
      <c r="BD581" s="117"/>
      <c r="BE581" s="117"/>
      <c r="BF581" s="117"/>
      <c r="BG581" s="117"/>
    </row>
    <row r="582" spans="1:59" ht="15" customHeight="1">
      <c r="A582" s="117"/>
      <c r="B582" s="81"/>
      <c r="C582" s="110"/>
      <c r="D582" s="110"/>
      <c r="E582" s="110"/>
      <c r="F582" s="110"/>
      <c r="G582" s="110"/>
      <c r="H582" s="131"/>
      <c r="I582" s="131"/>
      <c r="J582" s="1167"/>
      <c r="K582" s="835"/>
      <c r="L582" s="835"/>
      <c r="M582" s="835"/>
      <c r="N582" s="131"/>
      <c r="O582" s="131"/>
      <c r="P582" s="131"/>
      <c r="Q582" s="131"/>
      <c r="R582" s="131"/>
      <c r="S582" s="131"/>
      <c r="T582" s="131"/>
      <c r="U582" s="131"/>
      <c r="V582" s="131"/>
      <c r="W582" s="131"/>
      <c r="X582" s="43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  <c r="BA582" s="117"/>
      <c r="BB582" s="117"/>
      <c r="BC582" s="117"/>
      <c r="BD582" s="117"/>
      <c r="BE582" s="117"/>
      <c r="BF582" s="117"/>
      <c r="BG582" s="117"/>
    </row>
    <row r="583" spans="1:59" ht="15" customHeight="1">
      <c r="A583" s="117"/>
      <c r="B583" s="81"/>
      <c r="C583" s="110"/>
      <c r="D583" s="110"/>
      <c r="E583" s="110"/>
      <c r="F583" s="110"/>
      <c r="G583" s="110"/>
      <c r="H583" s="131"/>
      <c r="I583" s="131"/>
      <c r="J583" s="835"/>
      <c r="K583" s="835"/>
      <c r="L583" s="835"/>
      <c r="M583" s="835"/>
      <c r="N583" s="131"/>
      <c r="O583" s="131"/>
      <c r="P583" s="131"/>
      <c r="Q583" s="131"/>
      <c r="R583" s="131"/>
      <c r="S583" s="131"/>
      <c r="T583" s="131"/>
      <c r="U583" s="131"/>
      <c r="V583" s="131"/>
      <c r="W583" s="131"/>
      <c r="X583" s="437"/>
      <c r="Y583" s="117"/>
      <c r="Z583" s="117"/>
      <c r="AA583" s="117"/>
      <c r="AB583" s="117"/>
      <c r="AC583" s="117"/>
      <c r="AD583" s="117"/>
      <c r="AE583" s="117"/>
      <c r="AF583" s="117"/>
      <c r="AG583" s="117"/>
      <c r="AH583" s="117"/>
      <c r="AI583" s="117"/>
      <c r="AJ583" s="117"/>
      <c r="AK583" s="117"/>
      <c r="AL583" s="117"/>
      <c r="AM583" s="117"/>
      <c r="AN583" s="117"/>
      <c r="AO583" s="117"/>
      <c r="AP583" s="117"/>
      <c r="AQ583" s="117"/>
      <c r="AR583" s="117"/>
      <c r="AS583" s="117"/>
      <c r="AT583" s="117"/>
      <c r="AU583" s="117"/>
      <c r="AV583" s="117"/>
      <c r="AW583" s="117"/>
      <c r="AX583" s="117"/>
      <c r="AY583" s="117"/>
      <c r="AZ583" s="117"/>
      <c r="BA583" s="117"/>
      <c r="BB583" s="117"/>
      <c r="BC583" s="117"/>
      <c r="BD583" s="117"/>
      <c r="BE583" s="117"/>
      <c r="BF583" s="117"/>
      <c r="BG583" s="117"/>
    </row>
    <row r="584" spans="1:59" ht="15" customHeight="1">
      <c r="A584" s="117"/>
      <c r="B584" s="81"/>
      <c r="C584" s="110"/>
      <c r="D584" s="110"/>
      <c r="E584" s="110"/>
      <c r="F584" s="110"/>
      <c r="G584" s="110"/>
      <c r="H584" s="131"/>
      <c r="I584" s="131"/>
      <c r="J584" s="835"/>
      <c r="K584" s="835"/>
      <c r="L584" s="835"/>
      <c r="M584" s="835"/>
      <c r="N584" s="131"/>
      <c r="O584" s="131"/>
      <c r="P584" s="131"/>
      <c r="Q584" s="131"/>
      <c r="R584" s="131"/>
      <c r="S584" s="131"/>
      <c r="T584" s="131"/>
      <c r="U584" s="131"/>
      <c r="V584" s="131"/>
      <c r="W584" s="131"/>
      <c r="X584" s="43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  <c r="BA584" s="117"/>
      <c r="BB584" s="117"/>
      <c r="BC584" s="117"/>
      <c r="BD584" s="117"/>
      <c r="BE584" s="117"/>
      <c r="BF584" s="117"/>
      <c r="BG584" s="117"/>
    </row>
    <row r="585" spans="1:59" ht="15" customHeight="1">
      <c r="A585" s="117"/>
      <c r="B585" s="81"/>
      <c r="C585" s="110"/>
      <c r="D585" s="110"/>
      <c r="E585" s="110"/>
      <c r="F585" s="110"/>
      <c r="G585" s="110"/>
      <c r="H585" s="131"/>
      <c r="I585" s="131"/>
      <c r="J585" s="835"/>
      <c r="K585" s="835"/>
      <c r="L585" s="835"/>
      <c r="M585" s="835"/>
      <c r="N585" s="131"/>
      <c r="O585" s="131"/>
      <c r="P585" s="131"/>
      <c r="Q585" s="131"/>
      <c r="R585" s="131"/>
      <c r="S585" s="131"/>
      <c r="T585" s="131"/>
      <c r="U585" s="131"/>
      <c r="V585" s="131"/>
      <c r="W585" s="131"/>
      <c r="X585" s="437"/>
      <c r="Y585" s="117"/>
      <c r="Z585" s="117"/>
      <c r="AA585" s="117"/>
      <c r="AB585" s="117"/>
      <c r="AC585" s="117"/>
      <c r="AD585" s="117"/>
      <c r="AE585" s="117"/>
      <c r="AF585" s="117"/>
      <c r="AG585" s="117"/>
      <c r="AH585" s="117"/>
      <c r="AI585" s="117"/>
      <c r="AJ585" s="117"/>
      <c r="AK585" s="117"/>
      <c r="AL585" s="117"/>
      <c r="AM585" s="117"/>
      <c r="AN585" s="117"/>
      <c r="AO585" s="117"/>
      <c r="AP585" s="117"/>
      <c r="AQ585" s="117"/>
      <c r="AR585" s="117"/>
      <c r="AS585" s="117"/>
      <c r="AT585" s="117"/>
      <c r="AU585" s="117"/>
      <c r="AV585" s="117"/>
      <c r="AW585" s="117"/>
      <c r="AX585" s="117"/>
      <c r="AY585" s="117"/>
      <c r="AZ585" s="117"/>
      <c r="BA585" s="117"/>
      <c r="BB585" s="117"/>
      <c r="BC585" s="117"/>
      <c r="BD585" s="117"/>
      <c r="BE585" s="117"/>
      <c r="BF585" s="117"/>
      <c r="BG585" s="117"/>
    </row>
    <row r="586" spans="1:59" ht="15" customHeight="1">
      <c r="A586" s="117"/>
      <c r="B586" s="81"/>
      <c r="C586" s="110"/>
      <c r="D586" s="110"/>
      <c r="E586" s="110"/>
      <c r="F586" s="110"/>
      <c r="G586" s="1168"/>
      <c r="H586" s="131"/>
      <c r="I586" s="131"/>
      <c r="J586" s="835"/>
      <c r="K586" s="835"/>
      <c r="L586" s="835"/>
      <c r="M586" s="835"/>
      <c r="N586" s="131"/>
      <c r="O586" s="131"/>
      <c r="P586" s="131"/>
      <c r="Q586" s="131"/>
      <c r="R586" s="131"/>
      <c r="S586" s="131"/>
      <c r="T586" s="131"/>
      <c r="U586" s="131"/>
      <c r="V586" s="131"/>
      <c r="W586" s="131"/>
      <c r="X586" s="43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  <c r="BA586" s="117"/>
      <c r="BB586" s="117"/>
      <c r="BC586" s="117"/>
      <c r="BD586" s="117"/>
      <c r="BE586" s="117"/>
      <c r="BF586" s="117"/>
      <c r="BG586" s="117"/>
    </row>
    <row r="587" spans="1:59" ht="15" customHeight="1">
      <c r="A587" s="117"/>
      <c r="B587" s="81"/>
      <c r="C587" s="110"/>
      <c r="D587" s="110"/>
      <c r="E587" s="110"/>
      <c r="F587" s="110"/>
      <c r="G587" s="110"/>
      <c r="H587" s="131"/>
      <c r="I587" s="131"/>
      <c r="J587" s="835"/>
      <c r="K587" s="835"/>
      <c r="L587" s="835"/>
      <c r="M587" s="835"/>
      <c r="N587" s="131"/>
      <c r="O587" s="131"/>
      <c r="P587" s="131"/>
      <c r="Q587" s="131"/>
      <c r="R587" s="131"/>
      <c r="S587" s="131"/>
      <c r="T587" s="131"/>
      <c r="U587" s="131"/>
      <c r="V587" s="131"/>
      <c r="W587" s="131"/>
      <c r="X587" s="437"/>
      <c r="Y587" s="117"/>
      <c r="Z587" s="117"/>
      <c r="AA587" s="117"/>
      <c r="AB587" s="117"/>
      <c r="AC587" s="117"/>
      <c r="AD587" s="117"/>
      <c r="AE587" s="117"/>
      <c r="AF587" s="117"/>
      <c r="AG587" s="117"/>
      <c r="AH587" s="117"/>
      <c r="AI587" s="117"/>
      <c r="AJ587" s="117"/>
      <c r="AK587" s="117"/>
      <c r="AL587" s="117"/>
      <c r="AM587" s="117"/>
      <c r="AN587" s="117"/>
      <c r="AO587" s="117"/>
      <c r="AP587" s="117"/>
      <c r="AQ587" s="117"/>
      <c r="AR587" s="117"/>
      <c r="AS587" s="117"/>
      <c r="AT587" s="117"/>
      <c r="AU587" s="117"/>
      <c r="AV587" s="117"/>
      <c r="AW587" s="117"/>
      <c r="AX587" s="117"/>
      <c r="AY587" s="117"/>
      <c r="AZ587" s="117"/>
      <c r="BA587" s="117"/>
      <c r="BB587" s="117"/>
      <c r="BC587" s="117"/>
      <c r="BD587" s="117"/>
      <c r="BE587" s="117"/>
      <c r="BF587" s="117"/>
      <c r="BG587" s="117"/>
    </row>
    <row r="588" spans="1:59" ht="15" customHeight="1">
      <c r="A588" s="117"/>
      <c r="B588" s="81"/>
      <c r="C588" s="110"/>
      <c r="D588" s="110"/>
      <c r="E588" s="110"/>
      <c r="F588" s="110"/>
      <c r="G588" s="110"/>
      <c r="H588" s="131"/>
      <c r="I588" s="131"/>
      <c r="J588" s="835"/>
      <c r="K588" s="835"/>
      <c r="L588" s="835"/>
      <c r="M588" s="835"/>
      <c r="N588" s="131"/>
      <c r="O588" s="131"/>
      <c r="P588" s="131"/>
      <c r="Q588" s="131"/>
      <c r="R588" s="131"/>
      <c r="S588" s="131"/>
      <c r="T588" s="131"/>
      <c r="U588" s="131"/>
      <c r="V588" s="131"/>
      <c r="W588" s="131"/>
      <c r="X588" s="43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  <c r="BA588" s="117"/>
      <c r="BB588" s="117"/>
      <c r="BC588" s="117"/>
      <c r="BD588" s="117"/>
      <c r="BE588" s="117"/>
      <c r="BF588" s="117"/>
      <c r="BG588" s="117"/>
    </row>
    <row r="589" spans="1:59" ht="15" customHeight="1">
      <c r="A589" s="117"/>
      <c r="B589" s="81"/>
      <c r="C589" s="110"/>
      <c r="D589" s="110"/>
      <c r="E589" s="110"/>
      <c r="F589" s="110"/>
      <c r="G589" s="110"/>
      <c r="H589" s="131"/>
      <c r="I589" s="131"/>
      <c r="J589" s="835"/>
      <c r="K589" s="835"/>
      <c r="L589" s="835"/>
      <c r="M589" s="835"/>
      <c r="N589" s="131"/>
      <c r="O589" s="131"/>
      <c r="P589" s="131"/>
      <c r="Q589" s="131"/>
      <c r="R589" s="131"/>
      <c r="S589" s="131"/>
      <c r="T589" s="131"/>
      <c r="U589" s="131"/>
      <c r="V589" s="131"/>
      <c r="W589" s="131"/>
      <c r="X589" s="437"/>
      <c r="Y589" s="117"/>
      <c r="Z589" s="117"/>
      <c r="AA589" s="117"/>
      <c r="AB589" s="117"/>
      <c r="AC589" s="117"/>
      <c r="AD589" s="117"/>
      <c r="AE589" s="117"/>
      <c r="AF589" s="117"/>
      <c r="AG589" s="117"/>
      <c r="AH589" s="117"/>
      <c r="AI589" s="117"/>
      <c r="AJ589" s="117"/>
      <c r="AK589" s="117"/>
      <c r="AL589" s="117"/>
      <c r="AM589" s="117"/>
      <c r="AN589" s="117"/>
      <c r="AO589" s="117"/>
      <c r="AP589" s="117"/>
      <c r="AQ589" s="117"/>
      <c r="AR589" s="117"/>
      <c r="AS589" s="117"/>
      <c r="AT589" s="117"/>
      <c r="AU589" s="117"/>
      <c r="AV589" s="117"/>
      <c r="AW589" s="117"/>
      <c r="AX589" s="117"/>
      <c r="AY589" s="117"/>
      <c r="AZ589" s="117"/>
      <c r="BA589" s="117"/>
      <c r="BB589" s="117"/>
      <c r="BC589" s="117"/>
      <c r="BD589" s="117"/>
      <c r="BE589" s="117"/>
      <c r="BF589" s="117"/>
      <c r="BG589" s="117"/>
    </row>
    <row r="590" spans="1:59" ht="15" customHeight="1">
      <c r="A590" s="117"/>
      <c r="B590" s="81"/>
      <c r="C590" s="110"/>
      <c r="D590" s="110"/>
      <c r="E590" s="110"/>
      <c r="F590" s="110"/>
      <c r="G590" s="110"/>
      <c r="H590" s="131"/>
      <c r="I590" s="131"/>
      <c r="J590" s="835"/>
      <c r="K590" s="835"/>
      <c r="L590" s="835"/>
      <c r="M590" s="835"/>
      <c r="N590" s="131"/>
      <c r="O590" s="131"/>
      <c r="P590" s="131"/>
      <c r="Q590" s="131"/>
      <c r="R590" s="131"/>
      <c r="S590" s="131"/>
      <c r="T590" s="131"/>
      <c r="U590" s="131"/>
      <c r="V590" s="131"/>
      <c r="W590" s="131"/>
      <c r="X590" s="43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  <c r="BA590" s="117"/>
      <c r="BB590" s="117"/>
      <c r="BC590" s="117"/>
      <c r="BD590" s="117"/>
      <c r="BE590" s="117"/>
      <c r="BF590" s="117"/>
      <c r="BG590" s="117"/>
    </row>
    <row r="591" spans="1:59" ht="15" customHeight="1">
      <c r="A591" s="117"/>
      <c r="B591" s="81"/>
      <c r="C591" s="110"/>
      <c r="D591" s="110"/>
      <c r="E591" s="110"/>
      <c r="F591" s="110"/>
      <c r="G591" s="110"/>
      <c r="H591" s="131"/>
      <c r="I591" s="131"/>
      <c r="J591" s="835"/>
      <c r="K591" s="835"/>
      <c r="L591" s="835"/>
      <c r="M591" s="835"/>
      <c r="N591" s="131"/>
      <c r="O591" s="131"/>
      <c r="P591" s="131"/>
      <c r="Q591" s="131"/>
      <c r="R591" s="131"/>
      <c r="S591" s="131"/>
      <c r="T591" s="131"/>
      <c r="U591" s="131"/>
      <c r="V591" s="131"/>
      <c r="W591" s="131"/>
      <c r="X591" s="437"/>
      <c r="Y591" s="117"/>
      <c r="Z591" s="117"/>
      <c r="AA591" s="117"/>
      <c r="AB591" s="117"/>
      <c r="AC591" s="117"/>
      <c r="AD591" s="117"/>
      <c r="AE591" s="117"/>
      <c r="AF591" s="117"/>
      <c r="AG591" s="117"/>
      <c r="AH591" s="117"/>
      <c r="AI591" s="117"/>
      <c r="AJ591" s="117"/>
      <c r="AK591" s="117"/>
      <c r="AL591" s="117"/>
      <c r="AM591" s="117"/>
      <c r="AN591" s="117"/>
      <c r="AO591" s="117"/>
      <c r="AP591" s="117"/>
      <c r="AQ591" s="117"/>
      <c r="AR591" s="117"/>
      <c r="AS591" s="117"/>
      <c r="AT591" s="117"/>
      <c r="AU591" s="117"/>
      <c r="AV591" s="117"/>
      <c r="AW591" s="117"/>
      <c r="AX591" s="117"/>
      <c r="AY591" s="117"/>
      <c r="AZ591" s="117"/>
      <c r="BA591" s="117"/>
      <c r="BB591" s="117"/>
      <c r="BC591" s="117"/>
      <c r="BD591" s="117"/>
      <c r="BE591" s="117"/>
      <c r="BF591" s="117"/>
      <c r="BG591" s="117"/>
    </row>
    <row r="592" spans="1:59" ht="15" customHeight="1">
      <c r="A592" s="117"/>
      <c r="B592" s="81"/>
      <c r="C592" s="110"/>
      <c r="D592" s="110"/>
      <c r="E592" s="110"/>
      <c r="F592" s="110"/>
      <c r="G592" s="110"/>
      <c r="H592" s="131"/>
      <c r="I592" s="131"/>
      <c r="J592" s="835"/>
      <c r="K592" s="835"/>
      <c r="L592" s="835"/>
      <c r="M592" s="835"/>
      <c r="N592" s="131"/>
      <c r="O592" s="131"/>
      <c r="P592" s="131"/>
      <c r="Q592" s="131"/>
      <c r="R592" s="131"/>
      <c r="S592" s="131"/>
      <c r="T592" s="131"/>
      <c r="U592" s="131"/>
      <c r="V592" s="131"/>
      <c r="W592" s="131"/>
      <c r="X592" s="43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  <c r="BA592" s="117"/>
      <c r="BB592" s="117"/>
      <c r="BC592" s="117"/>
      <c r="BD592" s="117"/>
      <c r="BE592" s="117"/>
      <c r="BF592" s="117"/>
      <c r="BG592" s="117"/>
    </row>
    <row r="593" spans="1:59" ht="15" customHeight="1">
      <c r="A593" s="117"/>
      <c r="B593" s="81"/>
      <c r="C593" s="110"/>
      <c r="D593" s="110"/>
      <c r="E593" s="110"/>
      <c r="F593" s="110"/>
      <c r="G593" s="110"/>
      <c r="H593" s="131"/>
      <c r="I593" s="131"/>
      <c r="J593" s="835"/>
      <c r="K593" s="835"/>
      <c r="L593" s="835"/>
      <c r="M593" s="835"/>
      <c r="N593" s="131"/>
      <c r="O593" s="131"/>
      <c r="P593" s="131"/>
      <c r="Q593" s="131"/>
      <c r="R593" s="131"/>
      <c r="S593" s="576"/>
      <c r="T593" s="576"/>
      <c r="U593" s="576"/>
      <c r="V593" s="576"/>
      <c r="W593" s="576"/>
      <c r="X593" s="437"/>
      <c r="Y593" s="117"/>
      <c r="Z593" s="117"/>
      <c r="AA593" s="117"/>
      <c r="AB593" s="117"/>
      <c r="AC593" s="117"/>
      <c r="AD593" s="117"/>
      <c r="AE593" s="117"/>
      <c r="AF593" s="117"/>
      <c r="AG593" s="117"/>
      <c r="AH593" s="117"/>
      <c r="AI593" s="117"/>
      <c r="AJ593" s="117"/>
      <c r="AK593" s="117"/>
      <c r="AL593" s="117"/>
      <c r="AM593" s="117"/>
      <c r="AN593" s="117"/>
      <c r="AO593" s="117"/>
      <c r="AP593" s="117"/>
      <c r="AQ593" s="117"/>
      <c r="AR593" s="117"/>
      <c r="AS593" s="117"/>
      <c r="AT593" s="117"/>
      <c r="AU593" s="117"/>
      <c r="AV593" s="117"/>
      <c r="AW593" s="117"/>
      <c r="AX593" s="117"/>
      <c r="AY593" s="117"/>
      <c r="AZ593" s="117"/>
      <c r="BA593" s="117"/>
      <c r="BB593" s="117"/>
      <c r="BC593" s="117"/>
      <c r="BD593" s="117"/>
      <c r="BE593" s="117"/>
      <c r="BF593" s="117"/>
      <c r="BG593" s="117"/>
    </row>
    <row r="594" spans="1:59" ht="15" customHeight="1">
      <c r="A594" s="117"/>
      <c r="B594" s="81"/>
      <c r="C594" s="110"/>
      <c r="D594" s="110"/>
      <c r="E594" s="110"/>
      <c r="F594" s="110"/>
      <c r="G594" s="110"/>
      <c r="H594" s="131"/>
      <c r="I594" s="131"/>
      <c r="J594" s="835"/>
      <c r="K594" s="835"/>
      <c r="L594" s="835"/>
      <c r="M594" s="835"/>
      <c r="N594" s="131"/>
      <c r="O594" s="131"/>
      <c r="P594" s="131"/>
      <c r="Q594" s="131"/>
      <c r="R594" s="131"/>
      <c r="S594" s="1169"/>
      <c r="T594" s="1169"/>
      <c r="U594" s="1169"/>
      <c r="V594" s="1169"/>
      <c r="W594" s="1169"/>
      <c r="X594" s="437"/>
      <c r="Y594" s="131"/>
      <c r="Z594" s="131"/>
      <c r="AA594" s="131"/>
      <c r="AB594" s="131"/>
      <c r="AC594" s="131"/>
      <c r="AD594" s="131"/>
      <c r="AE594" s="131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  <c r="BA594" s="117"/>
      <c r="BB594" s="117"/>
      <c r="BC594" s="117"/>
      <c r="BD594" s="117"/>
      <c r="BE594" s="117"/>
      <c r="BF594" s="117"/>
      <c r="BG594" s="117"/>
    </row>
    <row r="595" spans="1:59" ht="15" customHeight="1">
      <c r="A595" s="117"/>
      <c r="B595" s="81"/>
      <c r="C595" s="110"/>
      <c r="D595" s="110"/>
      <c r="E595" s="110"/>
      <c r="F595" s="110"/>
      <c r="G595" s="114"/>
      <c r="H595" s="1170"/>
      <c r="I595" s="1170"/>
      <c r="J595" s="1171"/>
      <c r="K595" s="1171"/>
      <c r="L595" s="1171"/>
      <c r="M595" s="1171"/>
      <c r="N595" s="1170"/>
      <c r="O595" s="576"/>
      <c r="P595" s="576"/>
      <c r="Q595" s="576"/>
      <c r="R595" s="576"/>
      <c r="S595" s="1169"/>
      <c r="T595" s="1169"/>
      <c r="U595" s="1169"/>
      <c r="V595" s="1169"/>
      <c r="W595" s="1169"/>
      <c r="X595" s="437"/>
      <c r="Y595" s="131"/>
      <c r="Z595" s="131"/>
      <c r="AA595" s="131"/>
      <c r="AB595" s="131"/>
      <c r="AC595" s="131"/>
      <c r="AD595" s="131"/>
      <c r="AE595" s="131"/>
      <c r="AF595" s="117"/>
      <c r="AG595" s="117"/>
      <c r="AH595" s="117"/>
      <c r="AI595" s="117"/>
      <c r="AJ595" s="117"/>
      <c r="AK595" s="117"/>
      <c r="AL595" s="117"/>
      <c r="AM595" s="117"/>
      <c r="AN595" s="117"/>
      <c r="AO595" s="117"/>
      <c r="AP595" s="117"/>
      <c r="AQ595" s="117"/>
      <c r="AR595" s="117"/>
      <c r="AS595" s="117"/>
      <c r="AT595" s="117"/>
      <c r="AU595" s="117"/>
      <c r="AV595" s="117"/>
      <c r="AW595" s="117"/>
      <c r="AX595" s="117"/>
      <c r="AY595" s="117"/>
      <c r="AZ595" s="117"/>
      <c r="BA595" s="117"/>
      <c r="BB595" s="117"/>
      <c r="BC595" s="117"/>
      <c r="BD595" s="117"/>
      <c r="BE595" s="117"/>
      <c r="BF595" s="117"/>
      <c r="BG595" s="117"/>
    </row>
    <row r="596" spans="1:59" ht="15" customHeight="1">
      <c r="A596" s="117"/>
      <c r="B596" s="81"/>
      <c r="C596" s="110"/>
      <c r="D596" s="110"/>
      <c r="E596" s="84"/>
      <c r="F596" s="84"/>
      <c r="G596" s="84"/>
      <c r="H596" s="1142"/>
      <c r="I596" s="1142"/>
      <c r="J596" s="1158"/>
      <c r="K596" s="1158"/>
      <c r="L596" s="1158"/>
      <c r="M596" s="1158"/>
      <c r="N596" s="1169"/>
      <c r="O596" s="1169"/>
      <c r="P596" s="1169"/>
      <c r="Q596" s="1169"/>
      <c r="R596" s="1169"/>
      <c r="S596" s="576"/>
      <c r="T596" s="576"/>
      <c r="U596" s="576"/>
      <c r="V596" s="576"/>
      <c r="W596" s="576"/>
      <c r="X596" s="437"/>
      <c r="Y596" s="131"/>
      <c r="Z596" s="131"/>
      <c r="AA596" s="131"/>
      <c r="AB596" s="131"/>
      <c r="AC596" s="131"/>
      <c r="AD596" s="131"/>
      <c r="AE596" s="131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  <c r="BA596" s="117"/>
      <c r="BB596" s="117"/>
      <c r="BC596" s="117"/>
      <c r="BD596" s="117"/>
      <c r="BE596" s="117"/>
      <c r="BF596" s="117"/>
      <c r="BG596" s="117"/>
    </row>
    <row r="597" spans="1:59" ht="15" customHeight="1">
      <c r="A597" s="117"/>
      <c r="B597" s="81"/>
      <c r="C597" s="110"/>
      <c r="D597" s="110"/>
      <c r="E597" s="84"/>
      <c r="F597" s="84"/>
      <c r="G597" s="84"/>
      <c r="H597" s="1142"/>
      <c r="I597" s="1142"/>
      <c r="J597" s="1158"/>
      <c r="K597" s="1158"/>
      <c r="L597" s="1158"/>
      <c r="M597" s="1158"/>
      <c r="N597" s="1169"/>
      <c r="O597" s="1169"/>
      <c r="P597" s="1169"/>
      <c r="Q597" s="1169"/>
      <c r="R597" s="1169"/>
      <c r="S597" s="576"/>
      <c r="T597" s="576"/>
      <c r="U597" s="576"/>
      <c r="V597" s="576"/>
      <c r="W597" s="576"/>
      <c r="X597" s="437"/>
      <c r="Y597" s="131"/>
      <c r="Z597" s="131"/>
      <c r="AA597" s="131"/>
      <c r="AB597" s="131"/>
      <c r="AC597" s="131"/>
      <c r="AD597" s="131"/>
      <c r="AE597" s="131"/>
      <c r="AF597" s="117"/>
      <c r="AG597" s="117"/>
      <c r="AH597" s="117"/>
      <c r="AI597" s="117"/>
      <c r="AJ597" s="117"/>
      <c r="AK597" s="117"/>
      <c r="AL597" s="117"/>
      <c r="AM597" s="117"/>
      <c r="AN597" s="117"/>
      <c r="AO597" s="117"/>
      <c r="AP597" s="117"/>
      <c r="AQ597" s="117"/>
      <c r="AR597" s="117"/>
      <c r="AS597" s="117"/>
      <c r="AT597" s="117"/>
      <c r="AU597" s="117"/>
      <c r="AV597" s="117"/>
      <c r="AW597" s="117"/>
      <c r="AX597" s="117"/>
      <c r="AY597" s="117"/>
      <c r="AZ597" s="117"/>
      <c r="BA597" s="117"/>
      <c r="BB597" s="117"/>
      <c r="BC597" s="117"/>
      <c r="BD597" s="117"/>
      <c r="BE597" s="117"/>
      <c r="BF597" s="117"/>
      <c r="BG597" s="117"/>
    </row>
    <row r="598" spans="1:59" ht="15" customHeight="1">
      <c r="A598" s="117"/>
      <c r="B598" s="81"/>
      <c r="C598" s="110"/>
      <c r="D598" s="110"/>
      <c r="E598" s="110"/>
      <c r="F598" s="110"/>
      <c r="G598" s="110"/>
      <c r="H598" s="1142"/>
      <c r="I598" s="86"/>
      <c r="J598" s="556"/>
      <c r="K598" s="556"/>
      <c r="L598" s="556"/>
      <c r="M598" s="556"/>
      <c r="N598" s="576"/>
      <c r="O598" s="576"/>
      <c r="P598" s="576"/>
      <c r="Q598" s="576"/>
      <c r="R598" s="576"/>
      <c r="S598" s="1169"/>
      <c r="T598" s="1169"/>
      <c r="U598" s="1169"/>
      <c r="V598" s="1169"/>
      <c r="W598" s="1169"/>
      <c r="X598" s="437"/>
      <c r="Y598" s="131"/>
      <c r="Z598" s="131"/>
      <c r="AA598" s="131"/>
      <c r="AB598" s="131"/>
      <c r="AC598" s="131"/>
      <c r="AD598" s="131"/>
      <c r="AE598" s="131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</row>
    <row r="599" spans="1:59" ht="15" customHeight="1">
      <c r="A599" s="117"/>
      <c r="B599" s="81"/>
      <c r="C599" s="110"/>
      <c r="D599" s="110"/>
      <c r="E599" s="110"/>
      <c r="F599" s="110"/>
      <c r="G599" s="110"/>
      <c r="H599" s="1142"/>
      <c r="I599" s="86"/>
      <c r="J599" s="556"/>
      <c r="K599" s="556"/>
      <c r="L599" s="556"/>
      <c r="M599" s="556"/>
      <c r="N599" s="576"/>
      <c r="O599" s="576"/>
      <c r="P599" s="576"/>
      <c r="Q599" s="576"/>
      <c r="R599" s="576"/>
      <c r="S599" s="1169"/>
      <c r="T599" s="1169"/>
      <c r="U599" s="1169"/>
      <c r="V599" s="1169"/>
      <c r="W599" s="1169"/>
      <c r="X599" s="437"/>
      <c r="Y599" s="1160"/>
      <c r="Z599" s="1160"/>
      <c r="AA599" s="131"/>
      <c r="AB599" s="131"/>
      <c r="AC599" s="131"/>
      <c r="AD599" s="131"/>
      <c r="AE599" s="131"/>
      <c r="AF599" s="117"/>
      <c r="AG599" s="117"/>
      <c r="AH599" s="117"/>
      <c r="AI599" s="117"/>
      <c r="AJ599" s="117"/>
      <c r="AK599" s="117"/>
      <c r="AL599" s="117"/>
      <c r="AM599" s="117"/>
      <c r="AN599" s="117"/>
      <c r="AO599" s="117"/>
      <c r="AP599" s="117"/>
      <c r="AQ599" s="117"/>
      <c r="AR599" s="117"/>
      <c r="AS599" s="117"/>
      <c r="AT599" s="117"/>
      <c r="AU599" s="117"/>
      <c r="AV599" s="117"/>
      <c r="AW599" s="117"/>
      <c r="AX599" s="117"/>
      <c r="AY599" s="117"/>
      <c r="AZ599" s="117"/>
      <c r="BA599" s="117"/>
      <c r="BB599" s="117"/>
      <c r="BC599" s="117"/>
      <c r="BD599" s="117"/>
      <c r="BE599" s="117"/>
      <c r="BF599" s="117"/>
      <c r="BG599" s="117"/>
    </row>
    <row r="600" spans="1:59" ht="15" customHeight="1">
      <c r="A600" s="117"/>
      <c r="B600" s="81"/>
      <c r="C600" s="110"/>
      <c r="D600" s="110"/>
      <c r="E600" s="110"/>
      <c r="F600" s="110"/>
      <c r="G600" s="110"/>
      <c r="H600" s="1142"/>
      <c r="I600" s="1142"/>
      <c r="J600" s="1158"/>
      <c r="K600" s="1158"/>
      <c r="L600" s="1158"/>
      <c r="M600" s="1158"/>
      <c r="N600" s="1169"/>
      <c r="O600" s="1169"/>
      <c r="P600" s="1169"/>
      <c r="Q600" s="1169"/>
      <c r="R600" s="1169"/>
      <c r="S600" s="1169"/>
      <c r="T600" s="1169"/>
      <c r="U600" s="1169"/>
      <c r="V600" s="1169"/>
      <c r="W600" s="1169"/>
      <c r="X600" s="437"/>
      <c r="Y600" s="131"/>
      <c r="Z600" s="131"/>
      <c r="AA600" s="131"/>
      <c r="AB600" s="131"/>
      <c r="AC600" s="131"/>
      <c r="AD600" s="131"/>
      <c r="AE600" s="131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  <c r="BA600" s="117"/>
      <c r="BB600" s="117"/>
      <c r="BC600" s="117"/>
      <c r="BD600" s="117"/>
      <c r="BE600" s="117"/>
      <c r="BF600" s="117"/>
      <c r="BG600" s="117"/>
    </row>
    <row r="601" spans="1:59" ht="15" customHeight="1">
      <c r="A601" s="117"/>
      <c r="B601" s="81"/>
      <c r="C601" s="110"/>
      <c r="D601" s="110"/>
      <c r="E601" s="110"/>
      <c r="F601" s="110"/>
      <c r="G601" s="110"/>
      <c r="H601" s="1142"/>
      <c r="I601" s="1142"/>
      <c r="J601" s="1158"/>
      <c r="K601" s="1158"/>
      <c r="L601" s="1158"/>
      <c r="M601" s="1158"/>
      <c r="N601" s="1169"/>
      <c r="O601" s="1169"/>
      <c r="P601" s="1169"/>
      <c r="Q601" s="1169"/>
      <c r="R601" s="1169"/>
      <c r="S601" s="1169"/>
      <c r="T601" s="1169"/>
      <c r="U601" s="1169"/>
      <c r="V601" s="1169"/>
      <c r="W601" s="1169"/>
      <c r="X601" s="437"/>
      <c r="Y601" s="131"/>
      <c r="Z601" s="131"/>
      <c r="AA601" s="131"/>
      <c r="AB601" s="131"/>
      <c r="AC601" s="131"/>
      <c r="AD601" s="131"/>
      <c r="AE601" s="131"/>
      <c r="AF601" s="117"/>
      <c r="AG601" s="117"/>
      <c r="AH601" s="117"/>
      <c r="AI601" s="117"/>
      <c r="AJ601" s="117"/>
      <c r="AK601" s="117"/>
      <c r="AL601" s="117"/>
      <c r="AM601" s="117"/>
      <c r="AN601" s="117"/>
      <c r="AO601" s="117"/>
      <c r="AP601" s="117"/>
      <c r="AQ601" s="117"/>
      <c r="AR601" s="117"/>
      <c r="AS601" s="117"/>
      <c r="AT601" s="117"/>
      <c r="AU601" s="117"/>
      <c r="AV601" s="117"/>
      <c r="AW601" s="117"/>
      <c r="AX601" s="117"/>
      <c r="AY601" s="117"/>
      <c r="AZ601" s="117"/>
      <c r="BA601" s="117"/>
      <c r="BB601" s="117"/>
      <c r="BC601" s="117"/>
      <c r="BD601" s="117"/>
      <c r="BE601" s="117"/>
      <c r="BF601" s="117"/>
      <c r="BG601" s="117"/>
    </row>
    <row r="602" spans="1:59" ht="15" customHeight="1">
      <c r="A602" s="117"/>
      <c r="B602" s="81"/>
      <c r="C602" s="110"/>
      <c r="D602" s="110"/>
      <c r="E602" s="110"/>
      <c r="F602" s="110"/>
      <c r="G602" s="110"/>
      <c r="H602" s="1142"/>
      <c r="I602" s="1142"/>
      <c r="J602" s="1158"/>
      <c r="K602" s="1158"/>
      <c r="L602" s="1158"/>
      <c r="M602" s="1158"/>
      <c r="N602" s="1169"/>
      <c r="O602" s="1169"/>
      <c r="P602" s="1169"/>
      <c r="Q602" s="1169"/>
      <c r="R602" s="1169"/>
      <c r="S602" s="1169"/>
      <c r="T602" s="1169"/>
      <c r="U602" s="1169"/>
      <c r="V602" s="1169"/>
      <c r="W602" s="1169"/>
      <c r="X602" s="437"/>
      <c r="Y602" s="130"/>
      <c r="Z602" s="130"/>
      <c r="AA602" s="130"/>
      <c r="AB602" s="130"/>
      <c r="AC602" s="130"/>
      <c r="AD602" s="130"/>
      <c r="AE602" s="130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  <c r="BA602" s="117"/>
      <c r="BB602" s="117"/>
      <c r="BC602" s="117"/>
      <c r="BD602" s="117"/>
      <c r="BE602" s="117"/>
      <c r="BF602" s="117"/>
      <c r="BG602" s="117"/>
    </row>
    <row r="603" spans="1:59" ht="15" customHeight="1">
      <c r="A603" s="117"/>
      <c r="B603" s="81"/>
      <c r="C603" s="110"/>
      <c r="D603" s="110"/>
      <c r="E603" s="110"/>
      <c r="F603" s="110"/>
      <c r="G603" s="110"/>
      <c r="H603" s="1142"/>
      <c r="I603" s="1142"/>
      <c r="J603" s="1158"/>
      <c r="K603" s="1158"/>
      <c r="L603" s="1158"/>
      <c r="M603" s="1158"/>
      <c r="N603" s="1169"/>
      <c r="O603" s="1169"/>
      <c r="P603" s="1169"/>
      <c r="Q603" s="1169"/>
      <c r="R603" s="1169"/>
      <c r="S603" s="1169"/>
      <c r="T603" s="1169"/>
      <c r="U603" s="1169"/>
      <c r="V603" s="1169"/>
      <c r="W603" s="1169"/>
      <c r="X603" s="437"/>
      <c r="Y603" s="131"/>
      <c r="Z603" s="131"/>
      <c r="AA603" s="131"/>
      <c r="AB603" s="131"/>
      <c r="AC603" s="131"/>
      <c r="AD603" s="131"/>
      <c r="AE603" s="131"/>
      <c r="AF603" s="117"/>
      <c r="AG603" s="117"/>
      <c r="AH603" s="117"/>
      <c r="AI603" s="117"/>
      <c r="AJ603" s="117"/>
      <c r="AK603" s="117"/>
      <c r="AL603" s="117"/>
      <c r="AM603" s="117"/>
      <c r="AN603" s="117"/>
      <c r="AO603" s="117"/>
      <c r="AP603" s="117"/>
      <c r="AQ603" s="117"/>
      <c r="AR603" s="117"/>
      <c r="AS603" s="117"/>
      <c r="AT603" s="117"/>
      <c r="AU603" s="117"/>
      <c r="AV603" s="117"/>
      <c r="AW603" s="117"/>
      <c r="AX603" s="117"/>
      <c r="AY603" s="117"/>
      <c r="AZ603" s="117"/>
      <c r="BA603" s="117"/>
      <c r="BB603" s="117"/>
      <c r="BC603" s="117"/>
      <c r="BD603" s="117"/>
      <c r="BE603" s="117"/>
      <c r="BF603" s="117"/>
      <c r="BG603" s="117"/>
    </row>
    <row r="604" spans="1:59" ht="15" customHeight="1">
      <c r="A604" s="117"/>
      <c r="B604" s="81"/>
      <c r="C604" s="110"/>
      <c r="D604" s="110"/>
      <c r="E604" s="110"/>
      <c r="F604" s="110"/>
      <c r="G604" s="110"/>
      <c r="H604" s="1142"/>
      <c r="I604" s="1142"/>
      <c r="J604" s="1158"/>
      <c r="K604" s="1158"/>
      <c r="L604" s="1158"/>
      <c r="M604" s="1158"/>
      <c r="N604" s="1169"/>
      <c r="O604" s="1169"/>
      <c r="P604" s="1169"/>
      <c r="Q604" s="1169"/>
      <c r="R604" s="1169"/>
      <c r="S604" s="576"/>
      <c r="T604" s="576"/>
      <c r="U604" s="576"/>
      <c r="V604" s="576"/>
      <c r="W604" s="576"/>
      <c r="X604" s="437"/>
      <c r="Y604" s="130"/>
      <c r="Z604" s="130"/>
      <c r="AA604" s="130"/>
      <c r="AB604" s="130"/>
      <c r="AC604" s="130"/>
      <c r="AD604" s="130"/>
      <c r="AE604" s="130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  <c r="BA604" s="117"/>
      <c r="BB604" s="117"/>
      <c r="BC604" s="117"/>
      <c r="BD604" s="117"/>
      <c r="BE604" s="117"/>
      <c r="BF604" s="117"/>
      <c r="BG604" s="117"/>
    </row>
    <row r="605" spans="1:59" ht="15" customHeight="1">
      <c r="A605" s="117"/>
      <c r="B605" s="81"/>
      <c r="C605" s="110"/>
      <c r="D605" s="110"/>
      <c r="E605" s="110"/>
      <c r="F605" s="110"/>
      <c r="G605" s="110"/>
      <c r="H605" s="1142"/>
      <c r="I605" s="1142"/>
      <c r="J605" s="1158"/>
      <c r="K605" s="1158"/>
      <c r="L605" s="1158"/>
      <c r="M605" s="1158"/>
      <c r="N605" s="1169"/>
      <c r="O605" s="1169"/>
      <c r="P605" s="1169"/>
      <c r="Q605" s="1169"/>
      <c r="R605" s="1169"/>
      <c r="S605" s="576"/>
      <c r="T605" s="576"/>
      <c r="U605" s="576"/>
      <c r="V605" s="576"/>
      <c r="W605" s="576"/>
      <c r="X605" s="437"/>
      <c r="Y605" s="131"/>
      <c r="Z605" s="131"/>
      <c r="AA605" s="131"/>
      <c r="AB605" s="131"/>
      <c r="AC605" s="131"/>
      <c r="AD605" s="131"/>
      <c r="AE605" s="131"/>
      <c r="AF605" s="117"/>
      <c r="AG605" s="117"/>
      <c r="AH605" s="117"/>
      <c r="AI605" s="117"/>
      <c r="AJ605" s="117"/>
      <c r="AK605" s="117"/>
      <c r="AL605" s="117"/>
      <c r="AM605" s="117"/>
      <c r="AN605" s="117"/>
      <c r="AO605" s="117"/>
      <c r="AP605" s="117"/>
      <c r="AQ605" s="117"/>
      <c r="AR605" s="117"/>
      <c r="AS605" s="117"/>
      <c r="AT605" s="117"/>
      <c r="AU605" s="117"/>
      <c r="AV605" s="117"/>
      <c r="AW605" s="117"/>
      <c r="AX605" s="117"/>
      <c r="AY605" s="117"/>
      <c r="AZ605" s="117"/>
      <c r="BA605" s="117"/>
      <c r="BB605" s="117"/>
      <c r="BC605" s="117"/>
      <c r="BD605" s="117"/>
      <c r="BE605" s="117"/>
      <c r="BF605" s="117"/>
      <c r="BG605" s="117"/>
    </row>
    <row r="606" spans="1:59" ht="15" customHeight="1">
      <c r="A606" s="117"/>
      <c r="B606" s="81"/>
      <c r="C606" s="110"/>
      <c r="D606" s="110"/>
      <c r="E606" s="110"/>
      <c r="F606" s="110"/>
      <c r="G606" s="110"/>
      <c r="H606" s="1170"/>
      <c r="I606" s="576"/>
      <c r="J606" s="134"/>
      <c r="K606" s="134"/>
      <c r="L606" s="134"/>
      <c r="M606" s="134"/>
      <c r="N606" s="576"/>
      <c r="O606" s="576"/>
      <c r="P606" s="576"/>
      <c r="Q606" s="576"/>
      <c r="R606" s="576"/>
      <c r="S606" s="576"/>
      <c r="T606" s="576"/>
      <c r="U606" s="576"/>
      <c r="V606" s="576"/>
      <c r="W606" s="576"/>
      <c r="X606" s="437"/>
      <c r="Y606" s="130"/>
      <c r="Z606" s="130"/>
      <c r="AA606" s="130"/>
      <c r="AB606" s="130"/>
      <c r="AC606" s="130"/>
      <c r="AD606" s="130"/>
      <c r="AE606" s="130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  <c r="BA606" s="117"/>
      <c r="BB606" s="117"/>
      <c r="BC606" s="117"/>
      <c r="BD606" s="117"/>
      <c r="BE606" s="117"/>
      <c r="BF606" s="117"/>
      <c r="BG606" s="117"/>
    </row>
    <row r="607" spans="1:59" ht="15" customHeight="1">
      <c r="A607" s="117"/>
      <c r="B607" s="81"/>
      <c r="C607" s="110"/>
      <c r="D607" s="110"/>
      <c r="E607" s="110"/>
      <c r="F607" s="110"/>
      <c r="G607" s="110"/>
      <c r="H607" s="1172"/>
      <c r="I607" s="576"/>
      <c r="J607" s="134"/>
      <c r="K607" s="134"/>
      <c r="L607" s="134"/>
      <c r="M607" s="134"/>
      <c r="N607" s="576"/>
      <c r="O607" s="576"/>
      <c r="P607" s="576"/>
      <c r="Q607" s="576"/>
      <c r="R607" s="576"/>
      <c r="S607" s="110"/>
      <c r="T607" s="110"/>
      <c r="U607" s="110"/>
      <c r="V607" s="110"/>
      <c r="W607" s="110"/>
      <c r="X607" s="437"/>
      <c r="Y607" s="117"/>
      <c r="Z607" s="117"/>
      <c r="AA607" s="117"/>
      <c r="AB607" s="117"/>
      <c r="AC607" s="117"/>
      <c r="AD607" s="117"/>
      <c r="AE607" s="117"/>
      <c r="AF607" s="117"/>
      <c r="AG607" s="117"/>
      <c r="AH607" s="117"/>
      <c r="AI607" s="117"/>
      <c r="AJ607" s="117"/>
      <c r="AK607" s="117"/>
      <c r="AL607" s="117"/>
      <c r="AM607" s="117"/>
      <c r="AN607" s="117"/>
      <c r="AO607" s="117"/>
      <c r="AP607" s="117"/>
      <c r="AQ607" s="117"/>
      <c r="AR607" s="117"/>
      <c r="AS607" s="117"/>
      <c r="AT607" s="117"/>
      <c r="AU607" s="117"/>
      <c r="AV607" s="117"/>
      <c r="AW607" s="117"/>
      <c r="AX607" s="117"/>
      <c r="AY607" s="117"/>
      <c r="AZ607" s="117"/>
      <c r="BA607" s="117"/>
      <c r="BB607" s="117"/>
      <c r="BC607" s="117"/>
      <c r="BD607" s="117"/>
      <c r="BE607" s="117"/>
      <c r="BF607" s="117"/>
      <c r="BG607" s="117"/>
    </row>
    <row r="608" spans="1:59" ht="15" customHeight="1">
      <c r="A608" s="117"/>
      <c r="B608" s="81"/>
      <c r="C608" s="110"/>
      <c r="D608" s="110"/>
      <c r="E608" s="110"/>
      <c r="F608" s="110"/>
      <c r="G608" s="110"/>
      <c r="H608" s="1172"/>
      <c r="I608" s="576"/>
      <c r="J608" s="134"/>
      <c r="K608" s="134"/>
      <c r="L608" s="134"/>
      <c r="M608" s="134"/>
      <c r="N608" s="576"/>
      <c r="O608" s="576"/>
      <c r="P608" s="576"/>
      <c r="Q608" s="576"/>
      <c r="R608" s="576"/>
      <c r="S608" s="110"/>
      <c r="T608" s="110"/>
      <c r="U608" s="110"/>
      <c r="V608" s="110"/>
      <c r="W608" s="110"/>
      <c r="X608" s="43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  <c r="BA608" s="117"/>
      <c r="BB608" s="117"/>
      <c r="BC608" s="117"/>
      <c r="BD608" s="117"/>
      <c r="BE608" s="117"/>
      <c r="BF608" s="117"/>
      <c r="BG608" s="117"/>
    </row>
    <row r="609" spans="1:59" ht="15" customHeight="1">
      <c r="A609" s="117"/>
      <c r="B609" s="81"/>
      <c r="C609" s="110"/>
      <c r="D609" s="110"/>
      <c r="E609" s="110"/>
      <c r="F609" s="110"/>
      <c r="G609" s="110"/>
      <c r="H609" s="110"/>
      <c r="I609" s="110"/>
      <c r="J609" s="114"/>
      <c r="K609" s="114"/>
      <c r="L609" s="114"/>
      <c r="M609" s="114"/>
      <c r="N609" s="110"/>
      <c r="O609" s="110"/>
      <c r="P609" s="110"/>
      <c r="Q609" s="110"/>
      <c r="R609" s="110"/>
      <c r="S609" s="117"/>
      <c r="T609" s="117"/>
      <c r="U609" s="117"/>
      <c r="V609" s="117"/>
      <c r="W609" s="117"/>
      <c r="X609" s="437"/>
      <c r="Y609" s="117"/>
      <c r="Z609" s="117"/>
      <c r="AA609" s="117"/>
      <c r="AB609" s="117"/>
      <c r="AC609" s="117"/>
      <c r="AD609" s="117"/>
      <c r="AE609" s="117"/>
      <c r="AF609" s="117"/>
      <c r="AG609" s="117"/>
      <c r="AH609" s="117"/>
      <c r="AI609" s="117"/>
      <c r="AJ609" s="117"/>
      <c r="AK609" s="117"/>
      <c r="AL609" s="117"/>
      <c r="AM609" s="117"/>
      <c r="AN609" s="117"/>
      <c r="AO609" s="117"/>
      <c r="AP609" s="117"/>
      <c r="AQ609" s="117"/>
      <c r="AR609" s="117"/>
      <c r="AS609" s="117"/>
      <c r="AT609" s="117"/>
      <c r="AU609" s="117"/>
      <c r="AV609" s="117"/>
      <c r="AW609" s="117"/>
      <c r="AX609" s="117"/>
      <c r="AY609" s="117"/>
      <c r="AZ609" s="117"/>
      <c r="BA609" s="117"/>
      <c r="BB609" s="117"/>
      <c r="BC609" s="117"/>
      <c r="BD609" s="117"/>
      <c r="BE609" s="117"/>
      <c r="BF609" s="117"/>
      <c r="BG609" s="117"/>
    </row>
    <row r="610" spans="1:59" ht="15" customHeight="1">
      <c r="A610" s="117"/>
      <c r="B610" s="81"/>
      <c r="C610" s="110"/>
      <c r="D610" s="110"/>
      <c r="E610" s="110"/>
      <c r="F610" s="110"/>
      <c r="G610" s="110"/>
      <c r="H610" s="110"/>
      <c r="I610" s="110"/>
      <c r="J610" s="114"/>
      <c r="K610" s="114"/>
      <c r="L610" s="114"/>
      <c r="M610" s="114"/>
      <c r="N610" s="110"/>
      <c r="O610" s="110"/>
      <c r="P610" s="110"/>
      <c r="Q610" s="110"/>
      <c r="R610" s="110"/>
      <c r="S610" s="117"/>
      <c r="T610" s="117"/>
      <c r="U610" s="117"/>
      <c r="V610" s="117"/>
      <c r="W610" s="117"/>
      <c r="X610" s="437"/>
      <c r="Y610" s="117"/>
      <c r="Z610" s="117"/>
      <c r="AA610" s="117"/>
      <c r="AB610" s="117"/>
      <c r="AC610" s="117"/>
      <c r="AD610" s="117"/>
      <c r="AE610" s="117"/>
      <c r="AF610" s="117"/>
      <c r="AG610" s="117"/>
      <c r="AH610" s="117"/>
      <c r="AI610" s="117"/>
      <c r="AJ610" s="117"/>
      <c r="AK610" s="117"/>
      <c r="AL610" s="117"/>
      <c r="AM610" s="117"/>
      <c r="AN610" s="117"/>
      <c r="AO610" s="117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  <c r="AZ610" s="117"/>
      <c r="BA610" s="117"/>
      <c r="BB610" s="117"/>
      <c r="BC610" s="117"/>
      <c r="BD610" s="117"/>
      <c r="BE610" s="117"/>
      <c r="BF610" s="117"/>
      <c r="BG610" s="117"/>
    </row>
    <row r="611" spans="1:59">
      <c r="A611" s="117"/>
      <c r="B611" s="81"/>
      <c r="C611" s="117"/>
      <c r="D611" s="117"/>
      <c r="E611" s="117"/>
      <c r="F611" s="117"/>
      <c r="G611" s="117"/>
      <c r="H611" s="117"/>
      <c r="I611" s="117"/>
      <c r="J611" s="118"/>
      <c r="K611" s="118"/>
      <c r="L611" s="118"/>
      <c r="M611" s="118"/>
      <c r="N611" s="117"/>
      <c r="O611" s="117"/>
      <c r="P611" s="117"/>
      <c r="Q611" s="117"/>
      <c r="R611" s="117"/>
      <c r="S611" s="81"/>
      <c r="T611" s="81"/>
      <c r="U611" s="81"/>
      <c r="V611" s="81"/>
      <c r="W611" s="81"/>
      <c r="X611" s="437"/>
      <c r="Y611" s="117"/>
      <c r="Z611" s="117"/>
      <c r="AA611" s="117"/>
      <c r="AB611" s="117"/>
      <c r="AC611" s="117"/>
      <c r="AD611" s="117"/>
      <c r="AE611" s="117"/>
      <c r="AF611" s="117"/>
      <c r="AG611" s="117"/>
      <c r="AH611" s="117"/>
      <c r="AI611" s="117"/>
      <c r="AJ611" s="117"/>
      <c r="AK611" s="117"/>
      <c r="AL611" s="117"/>
      <c r="AM611" s="117"/>
      <c r="AN611" s="117"/>
      <c r="AO611" s="117"/>
      <c r="AP611" s="117"/>
      <c r="AQ611" s="117"/>
      <c r="AR611" s="117"/>
      <c r="AS611" s="117"/>
      <c r="AT611" s="117"/>
      <c r="AU611" s="117"/>
      <c r="AV611" s="117"/>
      <c r="AW611" s="117"/>
      <c r="AX611" s="117"/>
      <c r="AY611" s="117"/>
      <c r="AZ611" s="117"/>
      <c r="BA611" s="117"/>
      <c r="BB611" s="117"/>
      <c r="BC611" s="117"/>
      <c r="BD611" s="117"/>
      <c r="BE611" s="117"/>
      <c r="BF611" s="117"/>
      <c r="BG611" s="117"/>
    </row>
    <row r="612" spans="1:59" ht="15">
      <c r="A612" s="117"/>
      <c r="B612" s="1104"/>
      <c r="C612" s="117"/>
      <c r="D612" s="117"/>
      <c r="E612" s="117"/>
      <c r="F612" s="117"/>
      <c r="G612" s="117"/>
      <c r="H612" s="117"/>
      <c r="I612" s="117"/>
      <c r="J612" s="118"/>
      <c r="K612" s="118"/>
      <c r="L612" s="118"/>
      <c r="M612" s="118"/>
      <c r="N612" s="117"/>
      <c r="O612" s="117"/>
      <c r="P612" s="117"/>
      <c r="Q612" s="117"/>
      <c r="R612" s="117"/>
      <c r="S612" s="81"/>
      <c r="T612" s="81"/>
      <c r="U612" s="81"/>
      <c r="V612" s="1105"/>
      <c r="W612" s="1105"/>
      <c r="X612" s="437"/>
      <c r="Y612" s="117"/>
      <c r="Z612" s="117"/>
      <c r="AA612" s="117"/>
      <c r="AB612" s="117"/>
      <c r="AC612" s="117"/>
      <c r="AD612" s="117"/>
      <c r="AE612" s="117"/>
      <c r="AF612" s="117"/>
      <c r="AG612" s="117"/>
      <c r="AH612" s="117"/>
      <c r="AI612" s="117"/>
      <c r="AJ612" s="117"/>
      <c r="AK612" s="117"/>
      <c r="AL612" s="117"/>
      <c r="AM612" s="117"/>
      <c r="AN612" s="117"/>
      <c r="AO612" s="117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  <c r="AZ612" s="117"/>
      <c r="BA612" s="117"/>
      <c r="BB612" s="117"/>
      <c r="BC612" s="117"/>
      <c r="BD612" s="117"/>
      <c r="BE612" s="117"/>
      <c r="BF612" s="117"/>
      <c r="BG612" s="117"/>
    </row>
    <row r="613" spans="1:59">
      <c r="A613" s="117"/>
      <c r="B613" s="81"/>
      <c r="C613" s="81"/>
      <c r="D613" s="81"/>
      <c r="E613" s="81"/>
      <c r="F613" s="81"/>
      <c r="G613" s="81"/>
      <c r="H613" s="81"/>
      <c r="I613" s="81"/>
      <c r="J613" s="118"/>
      <c r="K613" s="118"/>
      <c r="L613" s="118"/>
      <c r="M613" s="118"/>
      <c r="N613" s="81"/>
      <c r="O613" s="81"/>
      <c r="P613" s="81"/>
      <c r="Q613" s="81"/>
      <c r="R613" s="81"/>
      <c r="S613" s="81"/>
      <c r="T613" s="81"/>
      <c r="U613" s="81"/>
      <c r="V613" s="81"/>
      <c r="W613" s="1106"/>
      <c r="X613" s="437"/>
      <c r="Y613" s="117"/>
      <c r="Z613" s="117"/>
      <c r="AA613" s="117"/>
      <c r="AB613" s="117"/>
      <c r="AC613" s="117"/>
      <c r="AD613" s="117"/>
      <c r="AE613" s="117"/>
      <c r="AF613" s="117"/>
      <c r="AG613" s="117"/>
      <c r="AH613" s="117"/>
      <c r="AI613" s="117"/>
      <c r="AJ613" s="117"/>
      <c r="AK613" s="117"/>
      <c r="AL613" s="117"/>
      <c r="AM613" s="117"/>
      <c r="AN613" s="117"/>
      <c r="AO613" s="117"/>
      <c r="AP613" s="117"/>
      <c r="AQ613" s="117"/>
      <c r="AR613" s="117"/>
      <c r="AS613" s="117"/>
      <c r="AT613" s="117"/>
      <c r="AU613" s="117"/>
      <c r="AV613" s="117"/>
      <c r="AW613" s="117"/>
      <c r="AX613" s="117"/>
      <c r="AY613" s="117"/>
      <c r="AZ613" s="117"/>
      <c r="BA613" s="117"/>
      <c r="BB613" s="117"/>
      <c r="BC613" s="117"/>
      <c r="BD613" s="117"/>
      <c r="BE613" s="117"/>
      <c r="BF613" s="117"/>
      <c r="BG613" s="117"/>
    </row>
    <row r="614" spans="1:59">
      <c r="A614" s="117"/>
      <c r="B614" s="81"/>
      <c r="C614" s="81"/>
      <c r="D614" s="81"/>
      <c r="E614" s="81"/>
      <c r="F614" s="81"/>
      <c r="G614" s="81"/>
      <c r="H614" s="81"/>
      <c r="I614" s="81"/>
      <c r="J614" s="118"/>
      <c r="K614" s="118"/>
      <c r="L614" s="118"/>
      <c r="M614" s="118"/>
      <c r="N614" s="81"/>
      <c r="O614" s="81"/>
      <c r="P614" s="81"/>
      <c r="Q614" s="81"/>
      <c r="R614" s="81"/>
      <c r="S614" s="117"/>
      <c r="T614" s="117"/>
      <c r="U614" s="117"/>
      <c r="V614" s="117"/>
      <c r="W614" s="117"/>
      <c r="X614" s="437"/>
      <c r="Y614" s="117"/>
      <c r="Z614" s="117"/>
      <c r="AA614" s="117"/>
      <c r="AB614" s="117"/>
      <c r="AC614" s="117"/>
      <c r="AD614" s="117"/>
      <c r="AE614" s="117"/>
      <c r="AF614" s="117"/>
      <c r="AG614" s="117"/>
      <c r="AH614" s="117"/>
      <c r="AI614" s="117"/>
      <c r="AJ614" s="117"/>
      <c r="AK614" s="117"/>
      <c r="AL614" s="117"/>
      <c r="AM614" s="117"/>
      <c r="AN614" s="117"/>
      <c r="AO614" s="117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  <c r="AZ614" s="117"/>
      <c r="BA614" s="117"/>
      <c r="BB614" s="117"/>
      <c r="BC614" s="117"/>
      <c r="BD614" s="117"/>
      <c r="BE614" s="117"/>
      <c r="BF614" s="117"/>
      <c r="BG614" s="117"/>
    </row>
    <row r="615" spans="1:59" ht="3" customHeight="1">
      <c r="A615" s="117"/>
      <c r="B615" s="81"/>
      <c r="C615" s="1050"/>
      <c r="D615" s="81"/>
      <c r="E615" s="81"/>
      <c r="F615" s="81"/>
      <c r="G615" s="81"/>
      <c r="H615" s="81"/>
      <c r="I615" s="81"/>
      <c r="J615" s="118"/>
      <c r="K615" s="118"/>
      <c r="L615" s="118"/>
      <c r="M615" s="118"/>
      <c r="N615" s="81"/>
      <c r="O615" s="81"/>
      <c r="P615" s="81"/>
      <c r="Q615" s="81"/>
      <c r="R615" s="81"/>
      <c r="S615" s="1091"/>
      <c r="T615" s="1091"/>
      <c r="U615" s="1091"/>
      <c r="V615" s="1091"/>
      <c r="W615" s="1091"/>
      <c r="X615" s="437"/>
      <c r="Y615" s="117"/>
      <c r="Z615" s="117"/>
      <c r="AA615" s="117"/>
      <c r="AB615" s="117"/>
      <c r="AC615" s="117"/>
      <c r="AD615" s="117"/>
      <c r="AE615" s="117"/>
      <c r="AF615" s="117"/>
      <c r="AG615" s="117"/>
      <c r="AH615" s="117"/>
      <c r="AI615" s="117"/>
      <c r="AJ615" s="117"/>
      <c r="AK615" s="117"/>
      <c r="AL615" s="117"/>
      <c r="AM615" s="117"/>
      <c r="AN615" s="117"/>
      <c r="AO615" s="117"/>
      <c r="AP615" s="117"/>
      <c r="AQ615" s="117"/>
      <c r="AR615" s="117"/>
      <c r="AS615" s="117"/>
      <c r="AT615" s="117"/>
      <c r="AU615" s="117"/>
      <c r="AV615" s="117"/>
      <c r="AW615" s="117"/>
      <c r="AX615" s="117"/>
      <c r="AY615" s="117"/>
      <c r="AZ615" s="117"/>
      <c r="BA615" s="117"/>
      <c r="BB615" s="117"/>
      <c r="BC615" s="117"/>
      <c r="BD615" s="117"/>
      <c r="BE615" s="117"/>
      <c r="BF615" s="117"/>
      <c r="BG615" s="117"/>
    </row>
    <row r="616" spans="1:59" ht="15" customHeight="1">
      <c r="A616" s="117"/>
      <c r="B616" s="81"/>
      <c r="C616" s="499"/>
      <c r="D616" s="117"/>
      <c r="E616" s="117"/>
      <c r="F616" s="117"/>
      <c r="G616" s="117"/>
      <c r="H616" s="117"/>
      <c r="I616" s="117"/>
      <c r="J616" s="118"/>
      <c r="K616" s="118"/>
      <c r="L616" s="118"/>
      <c r="M616" s="118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437"/>
      <c r="Y616" s="117"/>
      <c r="Z616" s="117"/>
      <c r="AA616" s="117"/>
      <c r="AB616" s="117"/>
      <c r="AC616" s="117"/>
      <c r="AD616" s="117"/>
      <c r="AE616" s="117"/>
      <c r="AF616" s="117"/>
      <c r="AG616" s="117"/>
      <c r="AH616" s="117"/>
      <c r="AI616" s="117"/>
      <c r="AJ616" s="117"/>
      <c r="AK616" s="117"/>
      <c r="AL616" s="117"/>
      <c r="AM616" s="117"/>
      <c r="AN616" s="117"/>
      <c r="AO616" s="117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  <c r="AZ616" s="117"/>
      <c r="BA616" s="117"/>
      <c r="BB616" s="117"/>
      <c r="BC616" s="117"/>
      <c r="BD616" s="117"/>
      <c r="BE616" s="117"/>
      <c r="BF616" s="117"/>
      <c r="BG616" s="117"/>
    </row>
    <row r="617" spans="1:59" ht="15" customHeight="1">
      <c r="A617" s="117"/>
      <c r="B617" s="81"/>
      <c r="C617" s="1091"/>
      <c r="D617" s="1091"/>
      <c r="E617" s="1091"/>
      <c r="F617" s="1091"/>
      <c r="G617" s="1091"/>
      <c r="H617" s="1091"/>
      <c r="I617" s="1091"/>
      <c r="J617" s="1134"/>
      <c r="K617" s="1134"/>
      <c r="L617" s="1134"/>
      <c r="M617" s="1134"/>
      <c r="N617" s="1091"/>
      <c r="O617" s="1091"/>
      <c r="P617" s="1091"/>
      <c r="Q617" s="1091"/>
      <c r="R617" s="1091"/>
      <c r="S617" s="117"/>
      <c r="T617" s="117"/>
      <c r="U617" s="117"/>
      <c r="V617" s="117"/>
      <c r="W617" s="117"/>
      <c r="X617" s="437"/>
      <c r="Y617" s="117"/>
      <c r="Z617" s="117"/>
      <c r="AA617" s="117"/>
      <c r="AB617" s="117"/>
      <c r="AC617" s="117"/>
      <c r="AD617" s="117"/>
      <c r="AE617" s="117"/>
      <c r="AF617" s="117"/>
      <c r="AG617" s="117"/>
      <c r="AH617" s="117"/>
      <c r="AI617" s="117"/>
      <c r="AJ617" s="117"/>
      <c r="AK617" s="117"/>
      <c r="AL617" s="117"/>
      <c r="AM617" s="117"/>
      <c r="AN617" s="117"/>
      <c r="AO617" s="117"/>
      <c r="AP617" s="117"/>
      <c r="AQ617" s="117"/>
      <c r="AR617" s="117"/>
      <c r="AS617" s="117"/>
      <c r="AT617" s="117"/>
      <c r="AU617" s="117"/>
      <c r="AV617" s="117"/>
      <c r="AW617" s="117"/>
      <c r="AX617" s="117"/>
      <c r="AY617" s="117"/>
      <c r="AZ617" s="117"/>
      <c r="BA617" s="117"/>
      <c r="BB617" s="117"/>
      <c r="BC617" s="117"/>
      <c r="BD617" s="117"/>
      <c r="BE617" s="117"/>
      <c r="BF617" s="117"/>
      <c r="BG617" s="117"/>
    </row>
    <row r="618" spans="1:59" ht="15" customHeight="1">
      <c r="A618" s="117"/>
      <c r="B618" s="1127"/>
      <c r="C618" s="117"/>
      <c r="D618" s="117"/>
      <c r="E618" s="117"/>
      <c r="F618" s="117"/>
      <c r="G618" s="117"/>
      <c r="H618" s="117"/>
      <c r="I618" s="117"/>
      <c r="J618" s="118"/>
      <c r="K618" s="118"/>
      <c r="L618" s="118"/>
      <c r="M618" s="118"/>
      <c r="N618" s="117"/>
      <c r="O618" s="117"/>
      <c r="P618" s="117"/>
      <c r="Q618" s="117"/>
      <c r="R618" s="117"/>
      <c r="S618" s="1053"/>
      <c r="T618" s="1053"/>
      <c r="U618" s="1053"/>
      <c r="V618" s="1053"/>
      <c r="W618" s="1053"/>
      <c r="X618" s="437"/>
      <c r="Y618" s="117"/>
      <c r="Z618" s="117"/>
      <c r="AA618" s="117"/>
      <c r="AB618" s="117"/>
      <c r="AC618" s="117"/>
      <c r="AD618" s="117"/>
      <c r="AE618" s="117"/>
      <c r="AF618" s="117"/>
      <c r="AG618" s="117"/>
      <c r="AH618" s="117"/>
      <c r="AI618" s="117"/>
      <c r="AJ618" s="117"/>
      <c r="AK618" s="117"/>
      <c r="AL618" s="117"/>
      <c r="AM618" s="117"/>
      <c r="AN618" s="117"/>
      <c r="AO618" s="117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  <c r="AZ618" s="117"/>
      <c r="BA618" s="117"/>
      <c r="BB618" s="117"/>
      <c r="BC618" s="117"/>
      <c r="BD618" s="117"/>
      <c r="BE618" s="117"/>
      <c r="BF618" s="117"/>
      <c r="BG618" s="117"/>
    </row>
    <row r="619" spans="1:59" ht="15" customHeight="1">
      <c r="A619" s="117"/>
      <c r="B619" s="81"/>
      <c r="C619" s="1078"/>
      <c r="D619" s="117"/>
      <c r="E619" s="117"/>
      <c r="F619" s="117"/>
      <c r="G619" s="117"/>
      <c r="H619" s="117"/>
      <c r="I619" s="117"/>
      <c r="J619" s="118"/>
      <c r="K619" s="118"/>
      <c r="L619" s="118"/>
      <c r="M619" s="118"/>
      <c r="N619" s="117"/>
      <c r="O619" s="117"/>
      <c r="P619" s="117"/>
      <c r="Q619" s="117"/>
      <c r="R619" s="117"/>
      <c r="S619" s="530"/>
      <c r="T619" s="530"/>
      <c r="U619" s="530"/>
      <c r="V619" s="530"/>
      <c r="W619" s="530"/>
      <c r="X619" s="437"/>
      <c r="Y619" s="117"/>
      <c r="Z619" s="117"/>
      <c r="AA619" s="117"/>
      <c r="AB619" s="117"/>
      <c r="AC619" s="117"/>
      <c r="AD619" s="117"/>
      <c r="AE619" s="117"/>
      <c r="AF619" s="117"/>
      <c r="AG619" s="117"/>
      <c r="AH619" s="117"/>
      <c r="AI619" s="117"/>
      <c r="AJ619" s="117"/>
      <c r="AK619" s="117"/>
      <c r="AL619" s="117"/>
      <c r="AM619" s="117"/>
      <c r="AN619" s="117"/>
      <c r="AO619" s="117"/>
      <c r="AP619" s="117"/>
      <c r="AQ619" s="117"/>
      <c r="AR619" s="117"/>
      <c r="AS619" s="117"/>
      <c r="AT619" s="117"/>
      <c r="AU619" s="117"/>
      <c r="AV619" s="117"/>
      <c r="AW619" s="117"/>
      <c r="AX619" s="117"/>
      <c r="AY619" s="117"/>
      <c r="AZ619" s="117"/>
      <c r="BA619" s="117"/>
      <c r="BB619" s="117"/>
      <c r="BC619" s="117"/>
      <c r="BD619" s="117"/>
      <c r="BE619" s="117"/>
      <c r="BF619" s="117"/>
      <c r="BG619" s="117"/>
    </row>
    <row r="620" spans="1:59" ht="15" customHeight="1">
      <c r="A620" s="117"/>
      <c r="B620" s="81"/>
      <c r="C620" s="1127"/>
      <c r="D620" s="1127"/>
      <c r="E620" s="1127"/>
      <c r="F620" s="1127"/>
      <c r="G620" s="1127"/>
      <c r="H620" s="1127"/>
      <c r="I620" s="1127"/>
      <c r="J620" s="1094"/>
      <c r="K620" s="1094"/>
      <c r="L620" s="1094"/>
      <c r="M620" s="1094"/>
      <c r="N620" s="1053"/>
      <c r="O620" s="1053"/>
      <c r="P620" s="1053"/>
      <c r="Q620" s="1053"/>
      <c r="R620" s="1053"/>
      <c r="S620" s="110"/>
      <c r="T620" s="110"/>
      <c r="U620" s="110"/>
      <c r="V620" s="110"/>
      <c r="W620" s="81"/>
      <c r="X620" s="437"/>
      <c r="Y620" s="117"/>
      <c r="Z620" s="117"/>
      <c r="AA620" s="117"/>
      <c r="AB620" s="117"/>
      <c r="AC620" s="117"/>
      <c r="AD620" s="117"/>
      <c r="AE620" s="117"/>
      <c r="AF620" s="117"/>
      <c r="AG620" s="117"/>
      <c r="AH620" s="117"/>
      <c r="AI620" s="117"/>
      <c r="AJ620" s="117"/>
      <c r="AK620" s="117"/>
      <c r="AL620" s="117"/>
      <c r="AM620" s="117"/>
      <c r="AN620" s="117"/>
      <c r="AO620" s="117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  <c r="AZ620" s="117"/>
      <c r="BA620" s="117"/>
      <c r="BB620" s="117"/>
      <c r="BC620" s="117"/>
      <c r="BD620" s="117"/>
      <c r="BE620" s="117"/>
      <c r="BF620" s="117"/>
      <c r="BG620" s="117"/>
    </row>
    <row r="621" spans="1:59" ht="15" customHeight="1">
      <c r="A621" s="117"/>
      <c r="B621" s="81"/>
      <c r="C621" s="156"/>
      <c r="D621" s="156"/>
      <c r="E621" s="530"/>
      <c r="F621" s="1165"/>
      <c r="G621" s="530"/>
      <c r="H621" s="530"/>
      <c r="I621" s="1107"/>
      <c r="J621" s="1107"/>
      <c r="K621" s="1107"/>
      <c r="L621" s="1107"/>
      <c r="M621" s="1107"/>
      <c r="N621" s="1107"/>
      <c r="O621" s="530"/>
      <c r="P621" s="530"/>
      <c r="Q621" s="530"/>
      <c r="R621" s="530"/>
      <c r="S621" s="110"/>
      <c r="T621" s="110"/>
      <c r="U621" s="110"/>
      <c r="V621" s="110"/>
      <c r="W621" s="100"/>
      <c r="X621" s="437"/>
      <c r="Y621" s="117"/>
      <c r="Z621" s="117"/>
      <c r="AA621" s="117"/>
      <c r="AB621" s="117"/>
      <c r="AC621" s="117"/>
      <c r="AD621" s="117"/>
      <c r="AE621" s="117"/>
      <c r="AF621" s="117"/>
      <c r="AG621" s="117"/>
      <c r="AH621" s="117"/>
      <c r="AI621" s="117"/>
      <c r="AJ621" s="117"/>
      <c r="AK621" s="117"/>
      <c r="AL621" s="117"/>
      <c r="AM621" s="117"/>
      <c r="AN621" s="117"/>
      <c r="AO621" s="117"/>
      <c r="AP621" s="117"/>
      <c r="AQ621" s="117"/>
      <c r="AR621" s="117"/>
      <c r="AS621" s="117"/>
      <c r="AT621" s="117"/>
      <c r="AU621" s="117"/>
      <c r="AV621" s="117"/>
      <c r="AW621" s="117"/>
      <c r="AX621" s="117"/>
      <c r="AY621" s="117"/>
      <c r="AZ621" s="117"/>
      <c r="BA621" s="117"/>
      <c r="BB621" s="117"/>
      <c r="BC621" s="117"/>
      <c r="BD621" s="117"/>
      <c r="BE621" s="117"/>
      <c r="BF621" s="117"/>
      <c r="BG621" s="117"/>
    </row>
    <row r="622" spans="1:59" ht="15" customHeight="1">
      <c r="A622" s="117"/>
      <c r="B622" s="81"/>
      <c r="C622" s="110"/>
      <c r="D622" s="110"/>
      <c r="E622" s="110"/>
      <c r="F622" s="110"/>
      <c r="G622" s="110"/>
      <c r="H622" s="110"/>
      <c r="I622" s="110"/>
      <c r="J622" s="114"/>
      <c r="K622" s="114"/>
      <c r="L622" s="114"/>
      <c r="M622" s="114"/>
      <c r="N622" s="110"/>
      <c r="O622" s="110"/>
      <c r="P622" s="110"/>
      <c r="Q622" s="110"/>
      <c r="R622" s="110"/>
      <c r="S622" s="80"/>
      <c r="T622" s="80"/>
      <c r="U622" s="80"/>
      <c r="V622" s="80"/>
      <c r="W622" s="80"/>
      <c r="X622" s="437"/>
      <c r="Y622" s="117"/>
      <c r="Z622" s="117"/>
      <c r="AA622" s="117"/>
      <c r="AB622" s="117"/>
      <c r="AC622" s="117"/>
      <c r="AD622" s="117"/>
      <c r="AE622" s="117"/>
      <c r="AF622" s="117"/>
      <c r="AG622" s="117"/>
      <c r="AH622" s="117"/>
      <c r="AI622" s="117"/>
      <c r="AJ622" s="117"/>
      <c r="AK622" s="117"/>
      <c r="AL622" s="117"/>
      <c r="AM622" s="117"/>
      <c r="AN622" s="117"/>
      <c r="AO622" s="117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  <c r="AZ622" s="117"/>
      <c r="BA622" s="117"/>
      <c r="BB622" s="117"/>
      <c r="BC622" s="117"/>
      <c r="BD622" s="117"/>
      <c r="BE622" s="117"/>
      <c r="BF622" s="117"/>
      <c r="BG622" s="117"/>
    </row>
    <row r="623" spans="1:59" ht="15" customHeight="1">
      <c r="A623" s="117"/>
      <c r="B623" s="81"/>
      <c r="C623" s="110"/>
      <c r="D623" s="110"/>
      <c r="E623" s="110"/>
      <c r="F623" s="110"/>
      <c r="G623" s="110"/>
      <c r="H623" s="110"/>
      <c r="I623" s="110"/>
      <c r="J623" s="114"/>
      <c r="K623" s="114"/>
      <c r="L623" s="114"/>
      <c r="M623" s="114"/>
      <c r="N623" s="110"/>
      <c r="O623" s="110"/>
      <c r="P623" s="110"/>
      <c r="Q623" s="110"/>
      <c r="R623" s="110"/>
      <c r="S623" s="80"/>
      <c r="T623" s="80"/>
      <c r="U623" s="80"/>
      <c r="V623" s="80"/>
      <c r="W623" s="80"/>
      <c r="X623" s="437"/>
      <c r="Y623" s="117"/>
      <c r="Z623" s="117"/>
      <c r="AA623" s="117"/>
      <c r="AB623" s="117"/>
      <c r="AC623" s="117"/>
      <c r="AD623" s="117"/>
      <c r="AE623" s="117"/>
      <c r="AF623" s="117"/>
      <c r="AG623" s="117"/>
      <c r="AH623" s="117"/>
      <c r="AI623" s="117"/>
      <c r="AJ623" s="117"/>
      <c r="AK623" s="117"/>
      <c r="AL623" s="117"/>
      <c r="AM623" s="117"/>
      <c r="AN623" s="117"/>
      <c r="AO623" s="117"/>
      <c r="AP623" s="117"/>
      <c r="AQ623" s="117"/>
      <c r="AR623" s="117"/>
      <c r="AS623" s="117"/>
      <c r="AT623" s="117"/>
      <c r="AU623" s="117"/>
      <c r="AV623" s="117"/>
      <c r="AW623" s="117"/>
      <c r="AX623" s="117"/>
      <c r="AY623" s="117"/>
      <c r="AZ623" s="117"/>
      <c r="BA623" s="117"/>
      <c r="BB623" s="117"/>
      <c r="BC623" s="117"/>
      <c r="BD623" s="117"/>
      <c r="BE623" s="117"/>
      <c r="BF623" s="117"/>
      <c r="BG623" s="117"/>
    </row>
    <row r="624" spans="1:59" ht="15" customHeight="1">
      <c r="A624" s="117"/>
      <c r="B624" s="81"/>
      <c r="C624" s="110"/>
      <c r="D624" s="110"/>
      <c r="E624" s="110"/>
      <c r="F624" s="1121"/>
      <c r="G624" s="131"/>
      <c r="H624" s="80"/>
      <c r="I624" s="80"/>
      <c r="J624" s="80"/>
      <c r="K624" s="80"/>
      <c r="L624" s="80"/>
      <c r="M624" s="80"/>
      <c r="N624" s="525"/>
      <c r="O624" s="80"/>
      <c r="P624" s="80"/>
      <c r="Q624" s="80"/>
      <c r="R624" s="80"/>
      <c r="S624" s="80"/>
      <c r="T624" s="80"/>
      <c r="U624" s="80"/>
      <c r="V624" s="80"/>
      <c r="W624" s="80"/>
      <c r="X624" s="437"/>
      <c r="Y624" s="117"/>
      <c r="Z624" s="117"/>
      <c r="AA624" s="117"/>
      <c r="AB624" s="117"/>
      <c r="AC624" s="117"/>
      <c r="AD624" s="117"/>
      <c r="AE624" s="117"/>
      <c r="AF624" s="117"/>
      <c r="AG624" s="117"/>
      <c r="AH624" s="117"/>
      <c r="AI624" s="117"/>
      <c r="AJ624" s="117"/>
      <c r="AK624" s="117"/>
      <c r="AL624" s="117"/>
      <c r="AM624" s="117"/>
      <c r="AN624" s="117"/>
      <c r="AO624" s="117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  <c r="AZ624" s="117"/>
      <c r="BA624" s="117"/>
      <c r="BB624" s="117"/>
      <c r="BC624" s="117"/>
      <c r="BD624" s="117"/>
      <c r="BE624" s="117"/>
      <c r="BF624" s="117"/>
      <c r="BG624" s="117"/>
    </row>
    <row r="625" spans="1:59" ht="15" customHeight="1">
      <c r="A625" s="117"/>
      <c r="B625" s="81"/>
      <c r="C625" s="110"/>
      <c r="D625" s="110"/>
      <c r="E625" s="110"/>
      <c r="F625" s="1121"/>
      <c r="G625" s="131"/>
      <c r="H625" s="80"/>
      <c r="I625" s="80"/>
      <c r="J625" s="80"/>
      <c r="K625" s="80"/>
      <c r="L625" s="80"/>
      <c r="M625" s="80"/>
      <c r="N625" s="525"/>
      <c r="O625" s="80"/>
      <c r="P625" s="80"/>
      <c r="Q625" s="80"/>
      <c r="R625" s="80"/>
      <c r="S625" s="80"/>
      <c r="T625" s="80"/>
      <c r="U625" s="80"/>
      <c r="V625" s="80"/>
      <c r="W625" s="80"/>
      <c r="X625" s="437"/>
      <c r="Y625" s="117"/>
      <c r="Z625" s="117"/>
      <c r="AA625" s="117"/>
      <c r="AB625" s="117"/>
      <c r="AC625" s="117"/>
      <c r="AD625" s="117"/>
      <c r="AE625" s="117"/>
      <c r="AF625" s="117"/>
      <c r="AG625" s="117"/>
      <c r="AH625" s="117"/>
      <c r="AI625" s="117"/>
      <c r="AJ625" s="117"/>
      <c r="AK625" s="117"/>
      <c r="AL625" s="117"/>
      <c r="AM625" s="117"/>
      <c r="AN625" s="117"/>
      <c r="AO625" s="117"/>
      <c r="AP625" s="117"/>
      <c r="AQ625" s="117"/>
      <c r="AR625" s="117"/>
      <c r="AS625" s="117"/>
      <c r="AT625" s="117"/>
      <c r="AU625" s="117"/>
      <c r="AV625" s="117"/>
      <c r="AW625" s="117"/>
      <c r="AX625" s="117"/>
      <c r="AY625" s="117"/>
      <c r="AZ625" s="117"/>
      <c r="BA625" s="117"/>
      <c r="BB625" s="117"/>
      <c r="BC625" s="117"/>
      <c r="BD625" s="117"/>
      <c r="BE625" s="117"/>
      <c r="BF625" s="117"/>
      <c r="BG625" s="117"/>
    </row>
    <row r="626" spans="1:59" ht="15" customHeight="1">
      <c r="A626" s="117"/>
      <c r="B626" s="81"/>
      <c r="C626" s="110"/>
      <c r="D626" s="110"/>
      <c r="E626" s="110"/>
      <c r="F626" s="110"/>
      <c r="G626" s="110"/>
      <c r="H626" s="80"/>
      <c r="I626" s="80"/>
      <c r="J626" s="80"/>
      <c r="K626" s="80"/>
      <c r="L626" s="80"/>
      <c r="M626" s="80"/>
      <c r="N626" s="525"/>
      <c r="O626" s="80"/>
      <c r="P626" s="80"/>
      <c r="Q626" s="80"/>
      <c r="R626" s="80"/>
      <c r="S626" s="80"/>
      <c r="T626" s="80"/>
      <c r="U626" s="80"/>
      <c r="V626" s="80"/>
      <c r="W626" s="80"/>
      <c r="X626" s="437"/>
      <c r="Y626" s="117"/>
      <c r="Z626" s="117"/>
      <c r="AA626" s="117"/>
      <c r="AB626" s="117"/>
      <c r="AC626" s="117"/>
      <c r="AD626" s="117"/>
      <c r="AE626" s="117"/>
      <c r="AF626" s="117"/>
      <c r="AG626" s="117"/>
      <c r="AH626" s="117"/>
      <c r="AI626" s="117"/>
      <c r="AJ626" s="117"/>
      <c r="AK626" s="117"/>
      <c r="AL626" s="117"/>
      <c r="AM626" s="117"/>
      <c r="AN626" s="117"/>
      <c r="AO626" s="117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  <c r="AZ626" s="117"/>
      <c r="BA626" s="117"/>
      <c r="BB626" s="117"/>
      <c r="BC626" s="117"/>
      <c r="BD626" s="117"/>
      <c r="BE626" s="117"/>
      <c r="BF626" s="117"/>
      <c r="BG626" s="117"/>
    </row>
    <row r="627" spans="1:59" ht="15" customHeight="1">
      <c r="A627" s="117"/>
      <c r="B627" s="81"/>
      <c r="C627" s="110"/>
      <c r="D627" s="110"/>
      <c r="E627" s="110"/>
      <c r="F627" s="110"/>
      <c r="G627" s="110"/>
      <c r="H627" s="80"/>
      <c r="I627" s="80"/>
      <c r="J627" s="80"/>
      <c r="K627" s="80"/>
      <c r="L627" s="80"/>
      <c r="M627" s="80"/>
      <c r="N627" s="525"/>
      <c r="O627" s="80"/>
      <c r="P627" s="80"/>
      <c r="Q627" s="80"/>
      <c r="R627" s="80"/>
      <c r="S627" s="80"/>
      <c r="T627" s="80"/>
      <c r="U627" s="80"/>
      <c r="V627" s="80"/>
      <c r="W627" s="80"/>
      <c r="X627" s="437"/>
      <c r="Y627" s="117"/>
      <c r="Z627" s="117"/>
      <c r="AA627" s="117"/>
      <c r="AB627" s="117"/>
      <c r="AC627" s="117"/>
      <c r="AD627" s="117"/>
      <c r="AE627" s="117"/>
      <c r="AF627" s="117"/>
      <c r="AG627" s="117"/>
      <c r="AH627" s="117"/>
      <c r="AI627" s="117"/>
      <c r="AJ627" s="117"/>
      <c r="AK627" s="117"/>
      <c r="AL627" s="117"/>
      <c r="AM627" s="117"/>
      <c r="AN627" s="117"/>
      <c r="AO627" s="117"/>
      <c r="AP627" s="117"/>
      <c r="AQ627" s="117"/>
      <c r="AR627" s="117"/>
      <c r="AS627" s="117"/>
      <c r="AT627" s="117"/>
      <c r="AU627" s="117"/>
      <c r="AV627" s="117"/>
      <c r="AW627" s="117"/>
      <c r="AX627" s="117"/>
      <c r="AY627" s="117"/>
      <c r="AZ627" s="117"/>
      <c r="BA627" s="117"/>
      <c r="BB627" s="117"/>
      <c r="BC627" s="117"/>
      <c r="BD627" s="117"/>
      <c r="BE627" s="117"/>
      <c r="BF627" s="117"/>
      <c r="BG627" s="117"/>
    </row>
    <row r="628" spans="1:59" ht="15" customHeight="1">
      <c r="A628" s="117"/>
      <c r="B628" s="81"/>
      <c r="C628" s="110"/>
      <c r="D628" s="110"/>
      <c r="E628" s="110"/>
      <c r="F628" s="110"/>
      <c r="G628" s="110"/>
      <c r="H628" s="80"/>
      <c r="I628" s="80"/>
      <c r="J628" s="80"/>
      <c r="K628" s="80"/>
      <c r="L628" s="80"/>
      <c r="M628" s="80"/>
      <c r="N628" s="525"/>
      <c r="O628" s="80"/>
      <c r="P628" s="80"/>
      <c r="Q628" s="80"/>
      <c r="R628" s="80"/>
      <c r="S628" s="80"/>
      <c r="T628" s="80"/>
      <c r="U628" s="80"/>
      <c r="V628" s="80"/>
      <c r="W628" s="80"/>
      <c r="X628" s="437"/>
      <c r="Y628" s="117"/>
      <c r="Z628" s="117"/>
      <c r="AA628" s="117"/>
      <c r="AB628" s="117"/>
      <c r="AC628" s="117"/>
      <c r="AD628" s="117"/>
      <c r="AE628" s="117"/>
      <c r="AF628" s="117"/>
      <c r="AG628" s="117"/>
      <c r="AH628" s="117"/>
      <c r="AI628" s="117"/>
      <c r="AJ628" s="117"/>
      <c r="AK628" s="117"/>
      <c r="AL628" s="117"/>
      <c r="AM628" s="117"/>
      <c r="AN628" s="117"/>
      <c r="AO628" s="117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  <c r="AZ628" s="117"/>
      <c r="BA628" s="117"/>
      <c r="BB628" s="117"/>
      <c r="BC628" s="117"/>
      <c r="BD628" s="117"/>
      <c r="BE628" s="117"/>
      <c r="BF628" s="117"/>
      <c r="BG628" s="117"/>
    </row>
    <row r="629" spans="1:59" ht="15" customHeight="1">
      <c r="A629" s="117"/>
      <c r="B629" s="81"/>
      <c r="C629" s="110"/>
      <c r="D629" s="110"/>
      <c r="E629" s="110"/>
      <c r="F629" s="110"/>
      <c r="G629" s="110"/>
      <c r="H629" s="80"/>
      <c r="I629" s="80"/>
      <c r="J629" s="80"/>
      <c r="K629" s="80"/>
      <c r="L629" s="80"/>
      <c r="M629" s="80"/>
      <c r="N629" s="525"/>
      <c r="O629" s="80"/>
      <c r="P629" s="80"/>
      <c r="Q629" s="80"/>
      <c r="R629" s="80"/>
      <c r="S629" s="80"/>
      <c r="T629" s="80"/>
      <c r="U629" s="80"/>
      <c r="V629" s="80"/>
      <c r="W629" s="80"/>
      <c r="X629" s="437"/>
      <c r="Y629" s="117"/>
      <c r="Z629" s="117"/>
      <c r="AA629" s="117"/>
      <c r="AB629" s="117"/>
      <c r="AC629" s="117"/>
      <c r="AD629" s="117"/>
      <c r="AE629" s="117"/>
      <c r="AF629" s="117"/>
      <c r="AG629" s="117"/>
      <c r="AH629" s="117"/>
      <c r="AI629" s="117"/>
      <c r="AJ629" s="117"/>
      <c r="AK629" s="117"/>
      <c r="AL629" s="117"/>
      <c r="AM629" s="117"/>
      <c r="AN629" s="117"/>
      <c r="AO629" s="117"/>
      <c r="AP629" s="117"/>
      <c r="AQ629" s="117"/>
      <c r="AR629" s="117"/>
      <c r="AS629" s="117"/>
      <c r="AT629" s="117"/>
      <c r="AU629" s="117"/>
      <c r="AV629" s="117"/>
      <c r="AW629" s="117"/>
      <c r="AX629" s="117"/>
      <c r="AY629" s="117"/>
      <c r="AZ629" s="117"/>
      <c r="BA629" s="117"/>
      <c r="BB629" s="117"/>
      <c r="BC629" s="117"/>
      <c r="BD629" s="117"/>
      <c r="BE629" s="117"/>
      <c r="BF629" s="117"/>
      <c r="BG629" s="117"/>
    </row>
    <row r="630" spans="1:59" ht="15" customHeight="1">
      <c r="A630" s="117"/>
      <c r="B630" s="81"/>
      <c r="C630" s="110"/>
      <c r="D630" s="110"/>
      <c r="E630" s="110"/>
      <c r="F630" s="110"/>
      <c r="G630" s="110"/>
      <c r="H630" s="80"/>
      <c r="I630" s="80"/>
      <c r="J630" s="80"/>
      <c r="K630" s="80"/>
      <c r="L630" s="80"/>
      <c r="M630" s="80"/>
      <c r="N630" s="525"/>
      <c r="O630" s="80"/>
      <c r="P630" s="80"/>
      <c r="Q630" s="80"/>
      <c r="R630" s="80"/>
      <c r="S630" s="1083"/>
      <c r="T630" s="1083"/>
      <c r="U630" s="1083"/>
      <c r="V630" s="1083"/>
      <c r="W630" s="1083"/>
      <c r="X630" s="437"/>
      <c r="Y630" s="117"/>
      <c r="Z630" s="117"/>
      <c r="AA630" s="117"/>
      <c r="AB630" s="117"/>
      <c r="AC630" s="117"/>
      <c r="AD630" s="117"/>
      <c r="AE630" s="117"/>
      <c r="AF630" s="117"/>
      <c r="AG630" s="117"/>
      <c r="AH630" s="117"/>
      <c r="AI630" s="117"/>
      <c r="AJ630" s="117"/>
      <c r="AK630" s="117"/>
      <c r="AL630" s="117"/>
      <c r="AM630" s="117"/>
      <c r="AN630" s="117"/>
      <c r="AO630" s="117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  <c r="AZ630" s="117"/>
      <c r="BA630" s="117"/>
      <c r="BB630" s="117"/>
      <c r="BC630" s="117"/>
      <c r="BD630" s="117"/>
      <c r="BE630" s="117"/>
      <c r="BF630" s="117"/>
      <c r="BG630" s="117"/>
    </row>
    <row r="631" spans="1:59" ht="15" customHeight="1">
      <c r="A631" s="117"/>
      <c r="B631" s="81"/>
      <c r="C631" s="110"/>
      <c r="D631" s="110"/>
      <c r="E631" s="110"/>
      <c r="F631" s="110"/>
      <c r="G631" s="110"/>
      <c r="H631" s="80"/>
      <c r="I631" s="80"/>
      <c r="J631" s="80"/>
      <c r="K631" s="80"/>
      <c r="L631" s="80"/>
      <c r="M631" s="80"/>
      <c r="N631" s="525"/>
      <c r="O631" s="80"/>
      <c r="P631" s="80"/>
      <c r="Q631" s="80"/>
      <c r="R631" s="80"/>
      <c r="S631" s="80"/>
      <c r="T631" s="80"/>
      <c r="U631" s="80"/>
      <c r="V631" s="80"/>
      <c r="W631" s="80"/>
      <c r="X631" s="437"/>
      <c r="Y631" s="117"/>
      <c r="Z631" s="117"/>
      <c r="AA631" s="117"/>
      <c r="AB631" s="117"/>
      <c r="AC631" s="117"/>
      <c r="AD631" s="117"/>
      <c r="AE631" s="117"/>
      <c r="AF631" s="117"/>
      <c r="AG631" s="117"/>
      <c r="AH631" s="117"/>
      <c r="AI631" s="117"/>
      <c r="AJ631" s="117"/>
      <c r="AK631" s="117"/>
      <c r="AL631" s="117"/>
      <c r="AM631" s="117"/>
      <c r="AN631" s="117"/>
      <c r="AO631" s="117"/>
      <c r="AP631" s="117"/>
      <c r="AQ631" s="117"/>
      <c r="AR631" s="117"/>
      <c r="AS631" s="117"/>
      <c r="AT631" s="117"/>
      <c r="AU631" s="117"/>
      <c r="AV631" s="117"/>
      <c r="AW631" s="117"/>
      <c r="AX631" s="117"/>
      <c r="AY631" s="117"/>
      <c r="AZ631" s="117"/>
      <c r="BA631" s="117"/>
      <c r="BB631" s="117"/>
      <c r="BC631" s="117"/>
      <c r="BD631" s="117"/>
      <c r="BE631" s="117"/>
      <c r="BF631" s="117"/>
      <c r="BG631" s="117"/>
    </row>
    <row r="632" spans="1:59" ht="15" customHeight="1">
      <c r="A632" s="117"/>
      <c r="B632" s="81"/>
      <c r="C632" s="110"/>
      <c r="D632" s="110"/>
      <c r="E632" s="110"/>
      <c r="F632" s="110"/>
      <c r="G632" s="110"/>
      <c r="H632" s="80"/>
      <c r="I632" s="80"/>
      <c r="J632" s="80"/>
      <c r="K632" s="80"/>
      <c r="L632" s="80"/>
      <c r="M632" s="80"/>
      <c r="N632" s="525"/>
      <c r="O632" s="1083"/>
      <c r="P632" s="1083"/>
      <c r="Q632" s="1083"/>
      <c r="R632" s="1083"/>
      <c r="S632" s="80"/>
      <c r="T632" s="80"/>
      <c r="U632" s="80"/>
      <c r="V632" s="80"/>
      <c r="W632" s="80"/>
      <c r="X632" s="43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</row>
    <row r="633" spans="1:59" ht="15" customHeight="1">
      <c r="A633" s="117"/>
      <c r="B633" s="81"/>
      <c r="C633" s="110"/>
      <c r="D633" s="110"/>
      <c r="E633" s="110"/>
      <c r="F633" s="110"/>
      <c r="G633" s="110"/>
      <c r="H633" s="80"/>
      <c r="I633" s="80"/>
      <c r="J633" s="80"/>
      <c r="K633" s="80"/>
      <c r="L633" s="80"/>
      <c r="M633" s="80"/>
      <c r="N633" s="525"/>
      <c r="O633" s="80"/>
      <c r="P633" s="80"/>
      <c r="Q633" s="80"/>
      <c r="R633" s="80"/>
      <c r="S633" s="80"/>
      <c r="T633" s="80"/>
      <c r="U633" s="80"/>
      <c r="V633" s="80"/>
      <c r="W633" s="80"/>
      <c r="X633" s="437"/>
      <c r="Y633" s="117"/>
      <c r="Z633" s="117"/>
      <c r="AA633" s="117"/>
      <c r="AB633" s="117"/>
      <c r="AC633" s="117"/>
      <c r="AD633" s="117"/>
      <c r="AE633" s="117"/>
      <c r="AF633" s="117"/>
      <c r="AG633" s="117"/>
      <c r="AH633" s="117"/>
      <c r="AI633" s="117"/>
      <c r="AJ633" s="117"/>
      <c r="AK633" s="117"/>
      <c r="AL633" s="117"/>
      <c r="AM633" s="117"/>
      <c r="AN633" s="117"/>
      <c r="AO633" s="117"/>
      <c r="AP633" s="117"/>
      <c r="AQ633" s="117"/>
      <c r="AR633" s="117"/>
      <c r="AS633" s="117"/>
      <c r="AT633" s="117"/>
      <c r="AU633" s="117"/>
      <c r="AV633" s="117"/>
      <c r="AW633" s="117"/>
      <c r="AX633" s="117"/>
      <c r="AY633" s="117"/>
      <c r="AZ633" s="117"/>
      <c r="BA633" s="117"/>
      <c r="BB633" s="117"/>
      <c r="BC633" s="117"/>
      <c r="BD633" s="117"/>
      <c r="BE633" s="117"/>
      <c r="BF633" s="117"/>
      <c r="BG633" s="117"/>
    </row>
    <row r="634" spans="1:59" ht="15" customHeight="1">
      <c r="A634" s="117"/>
      <c r="B634" s="81"/>
      <c r="C634" s="110"/>
      <c r="D634" s="110"/>
      <c r="E634" s="110"/>
      <c r="F634" s="1159"/>
      <c r="G634" s="1160"/>
      <c r="H634" s="1083"/>
      <c r="I634" s="1083"/>
      <c r="J634" s="1083"/>
      <c r="K634" s="1083"/>
      <c r="L634" s="1083"/>
      <c r="M634" s="1083"/>
      <c r="N634" s="80"/>
      <c r="O634" s="80"/>
      <c r="P634" s="80"/>
      <c r="Q634" s="80"/>
      <c r="R634" s="80"/>
      <c r="S634" s="700"/>
      <c r="T634" s="700"/>
      <c r="U634" s="700"/>
      <c r="V634" s="700"/>
      <c r="W634" s="700"/>
      <c r="X634" s="437"/>
      <c r="Y634" s="117"/>
      <c r="Z634" s="117"/>
      <c r="AA634" s="117"/>
      <c r="AB634" s="117"/>
      <c r="AC634" s="117"/>
      <c r="AD634" s="117"/>
      <c r="AE634" s="117"/>
      <c r="AF634" s="117"/>
      <c r="AG634" s="117"/>
      <c r="AH634" s="117"/>
      <c r="AI634" s="117"/>
      <c r="AJ634" s="117"/>
      <c r="AK634" s="117"/>
      <c r="AL634" s="117"/>
      <c r="AM634" s="117"/>
      <c r="AN634" s="117"/>
      <c r="AO634" s="117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  <c r="AZ634" s="117"/>
      <c r="BA634" s="117"/>
      <c r="BB634" s="117"/>
      <c r="BC634" s="117"/>
      <c r="BD634" s="117"/>
      <c r="BE634" s="117"/>
      <c r="BF634" s="117"/>
      <c r="BG634" s="117"/>
    </row>
    <row r="635" spans="1:59" ht="15" customHeight="1">
      <c r="A635" s="117"/>
      <c r="B635" s="81"/>
      <c r="C635" s="110"/>
      <c r="D635" s="110"/>
      <c r="E635" s="110"/>
      <c r="F635" s="1122"/>
      <c r="G635" s="1160"/>
      <c r="H635" s="1083"/>
      <c r="I635" s="1083"/>
      <c r="J635" s="80"/>
      <c r="K635" s="80"/>
      <c r="L635" s="80"/>
      <c r="M635" s="80"/>
      <c r="N635" s="525"/>
      <c r="O635" s="80"/>
      <c r="P635" s="80"/>
      <c r="Q635" s="80"/>
      <c r="R635" s="80"/>
      <c r="S635" s="1083"/>
      <c r="T635" s="1083"/>
      <c r="U635" s="1083"/>
      <c r="V635" s="1083"/>
      <c r="W635" s="1083"/>
      <c r="X635" s="437"/>
      <c r="Y635" s="117"/>
      <c r="Z635" s="117"/>
      <c r="AA635" s="117"/>
      <c r="AB635" s="117"/>
      <c r="AC635" s="117"/>
      <c r="AD635" s="117"/>
      <c r="AE635" s="117"/>
      <c r="AF635" s="117"/>
      <c r="AG635" s="117"/>
      <c r="AH635" s="117"/>
      <c r="AI635" s="117"/>
      <c r="AJ635" s="117"/>
      <c r="AK635" s="117"/>
      <c r="AL635" s="117"/>
      <c r="AM635" s="117"/>
      <c r="AN635" s="117"/>
      <c r="AO635" s="117"/>
      <c r="AP635" s="117"/>
      <c r="AQ635" s="117"/>
      <c r="AR635" s="117"/>
      <c r="AS635" s="117"/>
      <c r="AT635" s="117"/>
      <c r="AU635" s="117"/>
      <c r="AV635" s="117"/>
      <c r="AW635" s="117"/>
      <c r="AX635" s="117"/>
      <c r="AY635" s="117"/>
      <c r="AZ635" s="117"/>
      <c r="BA635" s="117"/>
      <c r="BB635" s="117"/>
      <c r="BC635" s="117"/>
      <c r="BD635" s="117"/>
      <c r="BE635" s="117"/>
      <c r="BF635" s="117"/>
      <c r="BG635" s="117"/>
    </row>
    <row r="636" spans="1:59" ht="15" customHeight="1">
      <c r="A636" s="117"/>
      <c r="B636" s="81"/>
      <c r="C636" s="110"/>
      <c r="D636" s="110"/>
      <c r="E636" s="110"/>
      <c r="F636" s="1155"/>
      <c r="G636" s="130"/>
      <c r="H636" s="700"/>
      <c r="I636" s="700"/>
      <c r="J636" s="700"/>
      <c r="K636" s="700"/>
      <c r="L636" s="700"/>
      <c r="M636" s="700"/>
      <c r="N636" s="700"/>
      <c r="O636" s="700"/>
      <c r="P636" s="700"/>
      <c r="Q636" s="700"/>
      <c r="R636" s="700"/>
      <c r="S636" s="700"/>
      <c r="T636" s="700"/>
      <c r="U636" s="700"/>
      <c r="V636" s="700"/>
      <c r="W636" s="700"/>
      <c r="X636" s="437"/>
      <c r="Y636" s="117"/>
      <c r="Z636" s="117"/>
      <c r="AA636" s="117"/>
      <c r="AB636" s="117"/>
      <c r="AC636" s="117"/>
      <c r="AD636" s="117"/>
      <c r="AE636" s="117"/>
      <c r="AF636" s="117"/>
      <c r="AG636" s="117"/>
      <c r="AH636" s="117"/>
      <c r="AI636" s="117"/>
      <c r="AJ636" s="117"/>
      <c r="AK636" s="117"/>
      <c r="AL636" s="117"/>
      <c r="AM636" s="117"/>
      <c r="AN636" s="117"/>
      <c r="AO636" s="117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  <c r="AZ636" s="117"/>
      <c r="BA636" s="117"/>
      <c r="BB636" s="117"/>
      <c r="BC636" s="117"/>
      <c r="BD636" s="117"/>
      <c r="BE636" s="117"/>
      <c r="BF636" s="117"/>
      <c r="BG636" s="117"/>
    </row>
    <row r="637" spans="1:59" ht="15" customHeight="1">
      <c r="A637" s="117"/>
      <c r="B637" s="81"/>
      <c r="C637" s="110"/>
      <c r="D637" s="110"/>
      <c r="E637" s="1173"/>
      <c r="F637" s="515"/>
      <c r="G637" s="131"/>
      <c r="H637" s="80"/>
      <c r="I637" s="80"/>
      <c r="J637" s="80"/>
      <c r="K637" s="1083"/>
      <c r="L637" s="1083"/>
      <c r="M637" s="1083"/>
      <c r="N637" s="525"/>
      <c r="O637" s="1083"/>
      <c r="P637" s="1083"/>
      <c r="Q637" s="1083"/>
      <c r="R637" s="1083"/>
      <c r="S637" s="80"/>
      <c r="T637" s="80"/>
      <c r="U637" s="80"/>
      <c r="V637" s="80"/>
      <c r="W637" s="80"/>
      <c r="X637" s="437"/>
      <c r="Y637" s="117"/>
      <c r="Z637" s="117"/>
      <c r="AA637" s="117"/>
      <c r="AB637" s="117"/>
      <c r="AC637" s="117"/>
      <c r="AD637" s="117"/>
      <c r="AE637" s="117"/>
      <c r="AF637" s="117"/>
      <c r="AG637" s="117"/>
      <c r="AH637" s="117"/>
      <c r="AI637" s="117"/>
      <c r="AJ637" s="117"/>
      <c r="AK637" s="117"/>
      <c r="AL637" s="117"/>
      <c r="AM637" s="117"/>
      <c r="AN637" s="117"/>
      <c r="AO637" s="117"/>
      <c r="AP637" s="117"/>
      <c r="AQ637" s="117"/>
      <c r="AR637" s="117"/>
      <c r="AS637" s="117"/>
      <c r="AT637" s="117"/>
      <c r="AU637" s="117"/>
      <c r="AV637" s="117"/>
      <c r="AW637" s="117"/>
      <c r="AX637" s="117"/>
      <c r="AY637" s="117"/>
      <c r="AZ637" s="117"/>
      <c r="BA637" s="117"/>
      <c r="BB637" s="117"/>
      <c r="BC637" s="117"/>
      <c r="BD637" s="117"/>
      <c r="BE637" s="117"/>
      <c r="BF637" s="117"/>
      <c r="BG637" s="117"/>
    </row>
    <row r="638" spans="1:59" ht="15" customHeight="1">
      <c r="A638" s="117"/>
      <c r="B638" s="81"/>
      <c r="C638" s="163"/>
      <c r="D638" s="110"/>
      <c r="E638" s="1173"/>
      <c r="F638" s="1155"/>
      <c r="G638" s="130"/>
      <c r="H638" s="700"/>
      <c r="I638" s="700"/>
      <c r="J638" s="700"/>
      <c r="K638" s="700"/>
      <c r="L638" s="700"/>
      <c r="M638" s="700"/>
      <c r="N638" s="700"/>
      <c r="O638" s="700"/>
      <c r="P638" s="700"/>
      <c r="Q638" s="700"/>
      <c r="R638" s="700"/>
      <c r="S638" s="1083"/>
      <c r="T638" s="1083"/>
      <c r="U638" s="1083"/>
      <c r="V638" s="1083"/>
      <c r="W638" s="1083"/>
      <c r="X638" s="437"/>
      <c r="Y638" s="117"/>
      <c r="Z638" s="117"/>
      <c r="AA638" s="117"/>
      <c r="AB638" s="117"/>
      <c r="AC638" s="117"/>
      <c r="AD638" s="117"/>
      <c r="AE638" s="117"/>
      <c r="AF638" s="117"/>
      <c r="AG638" s="117"/>
      <c r="AH638" s="117"/>
      <c r="AI638" s="117"/>
      <c r="AJ638" s="117"/>
      <c r="AK638" s="117"/>
      <c r="AL638" s="117"/>
      <c r="AM638" s="117"/>
      <c r="AN638" s="117"/>
      <c r="AO638" s="117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  <c r="AZ638" s="117"/>
      <c r="BA638" s="117"/>
      <c r="BB638" s="117"/>
      <c r="BC638" s="117"/>
      <c r="BD638" s="117"/>
      <c r="BE638" s="117"/>
      <c r="BF638" s="117"/>
      <c r="BG638" s="117"/>
    </row>
    <row r="639" spans="1:59" ht="15" customHeight="1">
      <c r="A639" s="117"/>
      <c r="B639" s="81"/>
      <c r="C639" s="110"/>
      <c r="D639" s="110"/>
      <c r="E639" s="1121"/>
      <c r="F639" s="1122"/>
      <c r="G639" s="1160"/>
      <c r="H639" s="1083"/>
      <c r="I639" s="1083"/>
      <c r="J639" s="1083"/>
      <c r="K639" s="1083"/>
      <c r="L639" s="1083"/>
      <c r="M639" s="1083"/>
      <c r="N639" s="525"/>
      <c r="O639" s="80"/>
      <c r="P639" s="80"/>
      <c r="Q639" s="80"/>
      <c r="R639" s="80"/>
      <c r="S639" s="80"/>
      <c r="T639" s="80"/>
      <c r="U639" s="80"/>
      <c r="V639" s="80"/>
      <c r="W639" s="80"/>
      <c r="X639" s="437"/>
      <c r="Y639" s="117"/>
      <c r="Z639" s="117"/>
      <c r="AA639" s="117"/>
      <c r="AB639" s="117"/>
      <c r="AC639" s="117"/>
      <c r="AD639" s="117"/>
      <c r="AE639" s="117"/>
      <c r="AF639" s="117"/>
      <c r="AG639" s="117"/>
      <c r="AH639" s="117"/>
      <c r="AI639" s="117"/>
      <c r="AJ639" s="117"/>
      <c r="AK639" s="117"/>
      <c r="AL639" s="117"/>
      <c r="AM639" s="117"/>
      <c r="AN639" s="117"/>
      <c r="AO639" s="117"/>
      <c r="AP639" s="117"/>
      <c r="AQ639" s="117"/>
      <c r="AR639" s="117"/>
      <c r="AS639" s="117"/>
      <c r="AT639" s="117"/>
      <c r="AU639" s="117"/>
      <c r="AV639" s="117"/>
      <c r="AW639" s="117"/>
      <c r="AX639" s="117"/>
      <c r="AY639" s="117"/>
      <c r="AZ639" s="117"/>
      <c r="BA639" s="117"/>
      <c r="BB639" s="117"/>
      <c r="BC639" s="117"/>
      <c r="BD639" s="117"/>
      <c r="BE639" s="117"/>
      <c r="BF639" s="117"/>
      <c r="BG639" s="117"/>
    </row>
    <row r="640" spans="1:59" ht="15" customHeight="1">
      <c r="A640" s="117"/>
      <c r="B640" s="81"/>
      <c r="C640" s="110"/>
      <c r="D640" s="110"/>
      <c r="E640" s="1121"/>
      <c r="F640" s="1122"/>
      <c r="G640" s="1160"/>
      <c r="H640" s="1083"/>
      <c r="I640" s="1083"/>
      <c r="J640" s="1083"/>
      <c r="K640" s="1083"/>
      <c r="L640" s="1083"/>
      <c r="M640" s="1083"/>
      <c r="N640" s="1083"/>
      <c r="O640" s="1083"/>
      <c r="P640" s="1083"/>
      <c r="Q640" s="1083"/>
      <c r="R640" s="1083"/>
      <c r="S640" s="700"/>
      <c r="T640" s="700"/>
      <c r="U640" s="700"/>
      <c r="V640" s="700"/>
      <c r="W640" s="700"/>
      <c r="X640" s="437"/>
      <c r="Y640" s="117"/>
      <c r="Z640" s="117"/>
      <c r="AA640" s="117"/>
      <c r="AB640" s="117"/>
      <c r="AC640" s="117"/>
      <c r="AD640" s="117"/>
      <c r="AE640" s="117"/>
      <c r="AF640" s="117"/>
      <c r="AG640" s="117"/>
      <c r="AH640" s="117"/>
      <c r="AI640" s="117"/>
      <c r="AJ640" s="117"/>
      <c r="AK640" s="117"/>
      <c r="AL640" s="117"/>
      <c r="AM640" s="117"/>
      <c r="AN640" s="117"/>
      <c r="AO640" s="117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  <c r="AZ640" s="117"/>
      <c r="BA640" s="117"/>
      <c r="BB640" s="117"/>
      <c r="BC640" s="117"/>
      <c r="BD640" s="117"/>
      <c r="BE640" s="117"/>
      <c r="BF640" s="117"/>
      <c r="BG640" s="117"/>
    </row>
    <row r="641" spans="1:59" ht="15" customHeight="1">
      <c r="A641" s="117"/>
      <c r="B641" s="81"/>
      <c r="C641" s="110"/>
      <c r="D641" s="110"/>
      <c r="E641" s="1121"/>
      <c r="F641" s="515"/>
      <c r="G641" s="131"/>
      <c r="H641" s="80"/>
      <c r="I641" s="80"/>
      <c r="J641" s="80"/>
      <c r="K641" s="80"/>
      <c r="L641" s="80"/>
      <c r="M641" s="80"/>
      <c r="N641" s="525"/>
      <c r="O641" s="80"/>
      <c r="P641" s="80"/>
      <c r="Q641" s="80"/>
      <c r="R641" s="80"/>
      <c r="S641" s="110"/>
      <c r="T641" s="110"/>
      <c r="U641" s="110"/>
      <c r="V641" s="110"/>
      <c r="W641" s="110"/>
      <c r="X641" s="437"/>
      <c r="Y641" s="117"/>
      <c r="Z641" s="117"/>
      <c r="AA641" s="117"/>
      <c r="AB641" s="117"/>
      <c r="AC641" s="117"/>
      <c r="AD641" s="117"/>
      <c r="AE641" s="117"/>
      <c r="AF641" s="117"/>
      <c r="AG641" s="117"/>
      <c r="AH641" s="117"/>
      <c r="AI641" s="117"/>
      <c r="AJ641" s="117"/>
      <c r="AK641" s="117"/>
      <c r="AL641" s="117"/>
      <c r="AM641" s="117"/>
      <c r="AN641" s="117"/>
      <c r="AO641" s="117"/>
      <c r="AP641" s="117"/>
      <c r="AQ641" s="117"/>
      <c r="AR641" s="117"/>
      <c r="AS641" s="117"/>
      <c r="AT641" s="117"/>
      <c r="AU641" s="117"/>
      <c r="AV641" s="117"/>
      <c r="AW641" s="117"/>
      <c r="AX641" s="117"/>
      <c r="AY641" s="117"/>
      <c r="AZ641" s="117"/>
      <c r="BA641" s="117"/>
      <c r="BB641" s="117"/>
      <c r="BC641" s="117"/>
      <c r="BD641" s="117"/>
      <c r="BE641" s="117"/>
      <c r="BF641" s="117"/>
      <c r="BG641" s="117"/>
    </row>
    <row r="642" spans="1:59" ht="15" customHeight="1">
      <c r="A642" s="117"/>
      <c r="B642" s="81"/>
      <c r="C642" s="110"/>
      <c r="D642" s="110"/>
      <c r="E642" s="110"/>
      <c r="F642" s="1155"/>
      <c r="G642" s="130"/>
      <c r="H642" s="700"/>
      <c r="I642" s="700"/>
      <c r="J642" s="700"/>
      <c r="K642" s="700"/>
      <c r="L642" s="700"/>
      <c r="M642" s="700"/>
      <c r="N642" s="700"/>
      <c r="O642" s="700"/>
      <c r="P642" s="700"/>
      <c r="Q642" s="700"/>
      <c r="R642" s="700"/>
      <c r="S642" s="110"/>
      <c r="T642" s="110"/>
      <c r="U642" s="110"/>
      <c r="V642" s="110"/>
      <c r="W642" s="110"/>
      <c r="X642" s="437"/>
      <c r="Y642" s="117"/>
      <c r="Z642" s="117"/>
      <c r="AA642" s="117"/>
      <c r="AB642" s="117"/>
      <c r="AC642" s="117"/>
      <c r="AD642" s="117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  <c r="AZ642" s="117"/>
      <c r="BA642" s="117"/>
      <c r="BB642" s="117"/>
      <c r="BC642" s="117"/>
      <c r="BD642" s="117"/>
      <c r="BE642" s="117"/>
      <c r="BF642" s="117"/>
      <c r="BG642" s="117"/>
    </row>
    <row r="643" spans="1:59" ht="15" customHeight="1">
      <c r="A643" s="117"/>
      <c r="B643" s="81"/>
      <c r="C643" s="110"/>
      <c r="D643" s="110"/>
      <c r="E643" s="110"/>
      <c r="F643" s="110"/>
      <c r="G643" s="110"/>
      <c r="H643" s="110"/>
      <c r="I643" s="110"/>
      <c r="J643" s="114"/>
      <c r="K643" s="114"/>
      <c r="L643" s="114"/>
      <c r="M643" s="114"/>
      <c r="N643" s="110"/>
      <c r="O643" s="110"/>
      <c r="P643" s="110"/>
      <c r="Q643" s="110"/>
      <c r="R643" s="110"/>
      <c r="S643" s="110"/>
      <c r="T643" s="110"/>
      <c r="U643" s="110"/>
      <c r="V643" s="110"/>
      <c r="W643" s="110"/>
      <c r="X643" s="437"/>
      <c r="Y643" s="131"/>
      <c r="Z643" s="131"/>
      <c r="AA643" s="131"/>
      <c r="AB643" s="131"/>
      <c r="AC643" s="131"/>
      <c r="AD643" s="131"/>
      <c r="AE643" s="131"/>
      <c r="AF643" s="117"/>
      <c r="AG643" s="117"/>
      <c r="AH643" s="117"/>
      <c r="AI643" s="117"/>
      <c r="AJ643" s="117"/>
      <c r="AK643" s="117"/>
      <c r="AL643" s="117"/>
      <c r="AM643" s="117"/>
      <c r="AN643" s="117"/>
      <c r="AO643" s="117"/>
      <c r="AP643" s="117"/>
      <c r="AQ643" s="117"/>
      <c r="AR643" s="117"/>
      <c r="AS643" s="117"/>
      <c r="AT643" s="117"/>
      <c r="AU643" s="117"/>
      <c r="AV643" s="117"/>
      <c r="AW643" s="117"/>
      <c r="AX643" s="117"/>
      <c r="AY643" s="117"/>
      <c r="AZ643" s="117"/>
      <c r="BA643" s="117"/>
      <c r="BB643" s="117"/>
      <c r="BC643" s="117"/>
      <c r="BD643" s="117"/>
      <c r="BE643" s="117"/>
      <c r="BF643" s="117"/>
      <c r="BG643" s="117"/>
    </row>
    <row r="644" spans="1:59" ht="15" customHeight="1">
      <c r="A644" s="117"/>
      <c r="B644" s="81"/>
      <c r="C644" s="110"/>
      <c r="D644" s="110"/>
      <c r="E644" s="110"/>
      <c r="F644" s="110"/>
      <c r="G644" s="110"/>
      <c r="H644" s="110"/>
      <c r="I644" s="110"/>
      <c r="J644" s="114"/>
      <c r="K644" s="114"/>
      <c r="L644" s="114"/>
      <c r="M644" s="114"/>
      <c r="N644" s="110"/>
      <c r="O644" s="110"/>
      <c r="P644" s="110"/>
      <c r="Q644" s="110"/>
      <c r="R644" s="110"/>
      <c r="S644" s="130"/>
      <c r="T644" s="130"/>
      <c r="U644" s="130"/>
      <c r="V644" s="130"/>
      <c r="W644" s="130"/>
      <c r="X644" s="437"/>
      <c r="Y644" s="131"/>
      <c r="Z644" s="131"/>
      <c r="AA644" s="131"/>
      <c r="AB644" s="131"/>
      <c r="AC644" s="131"/>
      <c r="AD644" s="131"/>
      <c r="AE644" s="131"/>
      <c r="AF644" s="117"/>
      <c r="AG644" s="117"/>
      <c r="AH644" s="117"/>
      <c r="AI644" s="117"/>
      <c r="AJ644" s="117"/>
      <c r="AK644" s="117"/>
      <c r="AL644" s="117"/>
      <c r="AM644" s="117"/>
      <c r="AN644" s="117"/>
      <c r="AO644" s="117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  <c r="AZ644" s="117"/>
      <c r="BA644" s="117"/>
      <c r="BB644" s="117"/>
      <c r="BC644" s="117"/>
      <c r="BD644" s="117"/>
      <c r="BE644" s="117"/>
      <c r="BF644" s="117"/>
      <c r="BG644" s="117"/>
    </row>
    <row r="645" spans="1:59" ht="15" customHeight="1">
      <c r="A645" s="117"/>
      <c r="B645" s="81"/>
      <c r="C645" s="110"/>
      <c r="D645" s="110"/>
      <c r="E645" s="110"/>
      <c r="F645" s="110"/>
      <c r="G645" s="110"/>
      <c r="H645" s="110"/>
      <c r="I645" s="110"/>
      <c r="J645" s="114"/>
      <c r="K645" s="114"/>
      <c r="L645" s="114"/>
      <c r="M645" s="114"/>
      <c r="N645" s="110"/>
      <c r="O645" s="110"/>
      <c r="P645" s="110"/>
      <c r="Q645" s="110"/>
      <c r="R645" s="110"/>
      <c r="S645" s="130"/>
      <c r="T645" s="130"/>
      <c r="U645" s="130"/>
      <c r="V645" s="130"/>
      <c r="W645" s="130"/>
      <c r="X645" s="437"/>
      <c r="Y645" s="131"/>
      <c r="Z645" s="131"/>
      <c r="AA645" s="131"/>
      <c r="AB645" s="131"/>
      <c r="AC645" s="131"/>
      <c r="AD645" s="131"/>
      <c r="AE645" s="131"/>
      <c r="AF645" s="117"/>
      <c r="AG645" s="117"/>
      <c r="AH645" s="117"/>
      <c r="AI645" s="117"/>
      <c r="AJ645" s="117"/>
      <c r="AK645" s="117"/>
      <c r="AL645" s="117"/>
      <c r="AM645" s="117"/>
      <c r="AN645" s="117"/>
      <c r="AO645" s="117"/>
      <c r="AP645" s="117"/>
      <c r="AQ645" s="117"/>
      <c r="AR645" s="117"/>
      <c r="AS645" s="117"/>
      <c r="AT645" s="117"/>
      <c r="AU645" s="117"/>
      <c r="AV645" s="117"/>
      <c r="AW645" s="117"/>
      <c r="AX645" s="117"/>
      <c r="AY645" s="117"/>
      <c r="AZ645" s="117"/>
      <c r="BA645" s="117"/>
      <c r="BB645" s="117"/>
      <c r="BC645" s="117"/>
      <c r="BD645" s="117"/>
      <c r="BE645" s="117"/>
      <c r="BF645" s="117"/>
      <c r="BG645" s="117"/>
    </row>
    <row r="646" spans="1:59" ht="15" customHeight="1">
      <c r="A646" s="117"/>
      <c r="B646" s="81"/>
      <c r="C646" s="110"/>
      <c r="D646" s="110"/>
      <c r="E646" s="110"/>
      <c r="F646" s="1155"/>
      <c r="G646" s="130"/>
      <c r="H646" s="130"/>
      <c r="I646" s="130"/>
      <c r="J646" s="1174"/>
      <c r="K646" s="1174"/>
      <c r="L646" s="1174"/>
      <c r="M646" s="1174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1"/>
      <c r="Y646" s="131"/>
      <c r="Z646" s="131"/>
      <c r="AA646" s="131"/>
      <c r="AB646" s="131"/>
      <c r="AC646" s="131"/>
      <c r="AD646" s="131"/>
      <c r="AE646" s="131"/>
      <c r="AF646" s="117"/>
      <c r="AG646" s="117"/>
      <c r="AH646" s="117"/>
      <c r="AI646" s="117"/>
      <c r="AJ646" s="117"/>
      <c r="AK646" s="117"/>
      <c r="AL646" s="117"/>
      <c r="AM646" s="117"/>
      <c r="AN646" s="117"/>
      <c r="AO646" s="117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  <c r="AZ646" s="117"/>
      <c r="BA646" s="117"/>
      <c r="BB646" s="117"/>
      <c r="BC646" s="117"/>
      <c r="BD646" s="117"/>
      <c r="BE646" s="117"/>
      <c r="BF646" s="117"/>
      <c r="BG646" s="117"/>
    </row>
    <row r="647" spans="1:59" ht="15" customHeight="1">
      <c r="A647" s="117"/>
      <c r="B647" s="81"/>
      <c r="C647" s="110"/>
      <c r="D647" s="110"/>
      <c r="E647" s="110"/>
      <c r="F647" s="1155"/>
      <c r="G647" s="130"/>
      <c r="H647" s="130"/>
      <c r="I647" s="130"/>
      <c r="J647" s="1174"/>
      <c r="K647" s="1174"/>
      <c r="L647" s="1174"/>
      <c r="M647" s="1174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1"/>
      <c r="Y647" s="131"/>
      <c r="Z647" s="131"/>
      <c r="AA647" s="131"/>
      <c r="AB647" s="131"/>
      <c r="AC647" s="131"/>
      <c r="AD647" s="131"/>
      <c r="AE647" s="131"/>
      <c r="AF647" s="117"/>
      <c r="AG647" s="117"/>
      <c r="AH647" s="117"/>
      <c r="AI647" s="117"/>
      <c r="AJ647" s="117"/>
      <c r="AK647" s="117"/>
      <c r="AL647" s="117"/>
      <c r="AM647" s="117"/>
      <c r="AN647" s="117"/>
      <c r="AO647" s="117"/>
      <c r="AP647" s="117"/>
      <c r="AQ647" s="117"/>
      <c r="AR647" s="117"/>
      <c r="AS647" s="117"/>
      <c r="AT647" s="117"/>
      <c r="AU647" s="117"/>
      <c r="AV647" s="117"/>
      <c r="AW647" s="117"/>
      <c r="AX647" s="117"/>
      <c r="AY647" s="117"/>
      <c r="AZ647" s="117"/>
      <c r="BA647" s="117"/>
      <c r="BB647" s="117"/>
      <c r="BC647" s="117"/>
      <c r="BD647" s="117"/>
      <c r="BE647" s="117"/>
      <c r="BF647" s="117"/>
      <c r="BG647" s="117"/>
    </row>
    <row r="648" spans="1:59" ht="15" customHeight="1">
      <c r="A648" s="117"/>
      <c r="B648" s="81"/>
      <c r="C648" s="110"/>
      <c r="D648" s="110"/>
      <c r="E648" s="110"/>
      <c r="F648" s="1155"/>
      <c r="G648" s="130"/>
      <c r="H648" s="130"/>
      <c r="I648" s="130"/>
      <c r="J648" s="1174"/>
      <c r="K648" s="1174"/>
      <c r="L648" s="1174"/>
      <c r="M648" s="1174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160"/>
      <c r="Y648" s="1160"/>
      <c r="Z648" s="1160"/>
      <c r="AA648" s="131"/>
      <c r="AB648" s="131"/>
      <c r="AC648" s="131"/>
      <c r="AD648" s="131"/>
      <c r="AE648" s="131"/>
      <c r="AF648" s="117"/>
      <c r="AG648" s="117"/>
      <c r="AH648" s="117"/>
      <c r="AI648" s="117"/>
      <c r="AJ648" s="117"/>
      <c r="AK648" s="117"/>
      <c r="AL648" s="117"/>
      <c r="AM648" s="117"/>
      <c r="AN648" s="117"/>
      <c r="AO648" s="117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  <c r="AZ648" s="117"/>
      <c r="BA648" s="117"/>
      <c r="BB648" s="117"/>
      <c r="BC648" s="117"/>
      <c r="BD648" s="117"/>
      <c r="BE648" s="117"/>
      <c r="BF648" s="117"/>
      <c r="BG648" s="117"/>
    </row>
    <row r="649" spans="1:59" ht="15" customHeight="1">
      <c r="A649" s="117"/>
      <c r="B649" s="81"/>
      <c r="C649" s="110"/>
      <c r="D649" s="110"/>
      <c r="E649" s="110"/>
      <c r="F649" s="1155"/>
      <c r="G649" s="130"/>
      <c r="H649" s="130"/>
      <c r="I649" s="130"/>
      <c r="J649" s="1174"/>
      <c r="K649" s="1174"/>
      <c r="L649" s="1174"/>
      <c r="M649" s="1174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1"/>
      <c r="Y649" s="131"/>
      <c r="Z649" s="131"/>
      <c r="AA649" s="131"/>
      <c r="AB649" s="131"/>
      <c r="AC649" s="131"/>
      <c r="AD649" s="131"/>
      <c r="AE649" s="131"/>
      <c r="AF649" s="117"/>
      <c r="AG649" s="117"/>
      <c r="AH649" s="117"/>
      <c r="AI649" s="117"/>
      <c r="AJ649" s="117"/>
      <c r="AK649" s="117"/>
      <c r="AL649" s="117"/>
      <c r="AM649" s="117"/>
      <c r="AN649" s="117"/>
      <c r="AO649" s="117"/>
      <c r="AP649" s="117"/>
      <c r="AQ649" s="117"/>
      <c r="AR649" s="117"/>
      <c r="AS649" s="117"/>
      <c r="AT649" s="117"/>
      <c r="AU649" s="117"/>
      <c r="AV649" s="117"/>
      <c r="AW649" s="117"/>
      <c r="AX649" s="117"/>
      <c r="AY649" s="117"/>
      <c r="AZ649" s="117"/>
      <c r="BA649" s="117"/>
      <c r="BB649" s="117"/>
      <c r="BC649" s="117"/>
      <c r="BD649" s="117"/>
      <c r="BE649" s="117"/>
      <c r="BF649" s="117"/>
      <c r="BG649" s="117"/>
    </row>
    <row r="650" spans="1:59" ht="15" customHeight="1">
      <c r="A650" s="117"/>
      <c r="B650" s="81"/>
      <c r="C650" s="110"/>
      <c r="D650" s="110"/>
      <c r="E650" s="110"/>
      <c r="F650" s="1155"/>
      <c r="G650" s="130"/>
      <c r="H650" s="130"/>
      <c r="I650" s="130"/>
      <c r="J650" s="1174"/>
      <c r="K650" s="1174"/>
      <c r="L650" s="1174"/>
      <c r="M650" s="1174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1"/>
      <c r="Y650" s="131"/>
      <c r="Z650" s="131"/>
      <c r="AA650" s="131"/>
      <c r="AB650" s="131"/>
      <c r="AC650" s="131"/>
      <c r="AD650" s="131"/>
      <c r="AE650" s="131"/>
      <c r="AF650" s="117"/>
      <c r="AG650" s="117"/>
      <c r="AH650" s="117"/>
      <c r="AI650" s="117"/>
      <c r="AJ650" s="117"/>
      <c r="AK650" s="117"/>
      <c r="AL650" s="117"/>
      <c r="AM650" s="117"/>
      <c r="AN650" s="117"/>
      <c r="AO650" s="117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  <c r="AZ650" s="117"/>
      <c r="BA650" s="117"/>
      <c r="BB650" s="117"/>
      <c r="BC650" s="117"/>
      <c r="BD650" s="117"/>
      <c r="BE650" s="117"/>
      <c r="BF650" s="117"/>
      <c r="BG650" s="117"/>
    </row>
    <row r="651" spans="1:59" ht="15" customHeight="1">
      <c r="A651" s="117"/>
      <c r="B651" s="81"/>
      <c r="C651" s="110"/>
      <c r="D651" s="110"/>
      <c r="E651" s="110"/>
      <c r="F651" s="1155"/>
      <c r="G651" s="130"/>
      <c r="H651" s="130"/>
      <c r="I651" s="130"/>
      <c r="J651" s="1174"/>
      <c r="K651" s="1174"/>
      <c r="L651" s="1174"/>
      <c r="M651" s="1174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  <c r="AA651" s="130"/>
      <c r="AB651" s="130"/>
      <c r="AC651" s="130"/>
      <c r="AD651" s="130"/>
      <c r="AE651" s="130"/>
      <c r="AF651" s="117"/>
      <c r="AG651" s="117"/>
      <c r="AH651" s="117"/>
      <c r="AI651" s="117"/>
      <c r="AJ651" s="117"/>
      <c r="AK651" s="117"/>
      <c r="AL651" s="117"/>
      <c r="AM651" s="117"/>
      <c r="AN651" s="117"/>
      <c r="AO651" s="117"/>
      <c r="AP651" s="117"/>
      <c r="AQ651" s="117"/>
      <c r="AR651" s="117"/>
      <c r="AS651" s="117"/>
      <c r="AT651" s="117"/>
      <c r="AU651" s="117"/>
      <c r="AV651" s="117"/>
      <c r="AW651" s="117"/>
      <c r="AX651" s="117"/>
      <c r="AY651" s="117"/>
      <c r="AZ651" s="117"/>
      <c r="BA651" s="117"/>
      <c r="BB651" s="117"/>
      <c r="BC651" s="117"/>
      <c r="BD651" s="117"/>
      <c r="BE651" s="117"/>
      <c r="BF651" s="117"/>
      <c r="BG651" s="117"/>
    </row>
    <row r="652" spans="1:59" ht="15" customHeight="1">
      <c r="A652" s="117"/>
      <c r="B652" s="81"/>
      <c r="C652" s="110"/>
      <c r="D652" s="110"/>
      <c r="E652" s="110"/>
      <c r="F652" s="1155"/>
      <c r="G652" s="130"/>
      <c r="H652" s="130"/>
      <c r="I652" s="130"/>
      <c r="J652" s="1174"/>
      <c r="K652" s="1174"/>
      <c r="L652" s="1174"/>
      <c r="M652" s="1174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1"/>
      <c r="Y652" s="131"/>
      <c r="Z652" s="131"/>
      <c r="AA652" s="131"/>
      <c r="AB652" s="131"/>
      <c r="AC652" s="131"/>
      <c r="AD652" s="131"/>
      <c r="AE652" s="131"/>
      <c r="AF652" s="117"/>
      <c r="AG652" s="117"/>
      <c r="AH652" s="117"/>
      <c r="AI652" s="117"/>
      <c r="AJ652" s="117"/>
      <c r="AK652" s="117"/>
      <c r="AL652" s="117"/>
      <c r="AM652" s="117"/>
      <c r="AN652" s="117"/>
      <c r="AO652" s="117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  <c r="AZ652" s="117"/>
      <c r="BA652" s="117"/>
      <c r="BB652" s="117"/>
      <c r="BC652" s="117"/>
      <c r="BD652" s="117"/>
      <c r="BE652" s="117"/>
      <c r="BF652" s="117"/>
      <c r="BG652" s="117"/>
    </row>
    <row r="653" spans="1:59" ht="15" customHeight="1">
      <c r="A653" s="117"/>
      <c r="B653" s="81"/>
      <c r="C653" s="110"/>
      <c r="D653" s="110"/>
      <c r="E653" s="110"/>
      <c r="F653" s="1155"/>
      <c r="G653" s="130"/>
      <c r="H653" s="130"/>
      <c r="I653" s="130"/>
      <c r="J653" s="1174"/>
      <c r="K653" s="1174"/>
      <c r="L653" s="1174"/>
      <c r="M653" s="1174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  <c r="AA653" s="130"/>
      <c r="AB653" s="130"/>
      <c r="AC653" s="130"/>
      <c r="AD653" s="130"/>
      <c r="AE653" s="130"/>
      <c r="AF653" s="117"/>
      <c r="AG653" s="117"/>
      <c r="AH653" s="117"/>
      <c r="AI653" s="117"/>
      <c r="AJ653" s="117"/>
      <c r="AK653" s="117"/>
      <c r="AL653" s="117"/>
      <c r="AM653" s="117"/>
      <c r="AN653" s="117"/>
      <c r="AO653" s="117"/>
      <c r="AP653" s="117"/>
      <c r="AQ653" s="117"/>
      <c r="AR653" s="117"/>
      <c r="AS653" s="117"/>
      <c r="AT653" s="117"/>
      <c r="AU653" s="117"/>
      <c r="AV653" s="117"/>
      <c r="AW653" s="117"/>
      <c r="AX653" s="117"/>
      <c r="AY653" s="117"/>
      <c r="AZ653" s="117"/>
      <c r="BA653" s="117"/>
      <c r="BB653" s="117"/>
      <c r="BC653" s="117"/>
      <c r="BD653" s="117"/>
      <c r="BE653" s="117"/>
      <c r="BF653" s="117"/>
      <c r="BG653" s="117"/>
    </row>
    <row r="654" spans="1:59" ht="15" customHeight="1">
      <c r="A654" s="117"/>
      <c r="B654" s="81"/>
      <c r="C654" s="110"/>
      <c r="D654" s="110"/>
      <c r="E654" s="110"/>
      <c r="F654" s="1155"/>
      <c r="G654" s="130"/>
      <c r="H654" s="130"/>
      <c r="I654" s="130"/>
      <c r="J654" s="1174"/>
      <c r="K654" s="1174"/>
      <c r="L654" s="1174"/>
      <c r="M654" s="1174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1"/>
      <c r="Y654" s="131"/>
      <c r="Z654" s="131"/>
      <c r="AA654" s="131"/>
      <c r="AB654" s="131"/>
      <c r="AC654" s="131"/>
      <c r="AD654" s="131"/>
      <c r="AE654" s="131"/>
      <c r="AF654" s="117"/>
      <c r="AG654" s="117"/>
      <c r="AH654" s="117"/>
      <c r="AI654" s="117"/>
      <c r="AJ654" s="117"/>
      <c r="AK654" s="117"/>
      <c r="AL654" s="117"/>
      <c r="AM654" s="117"/>
      <c r="AN654" s="117"/>
      <c r="AO654" s="117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  <c r="AZ654" s="117"/>
      <c r="BA654" s="117"/>
      <c r="BB654" s="117"/>
      <c r="BC654" s="117"/>
      <c r="BD654" s="117"/>
      <c r="BE654" s="117"/>
      <c r="BF654" s="117"/>
      <c r="BG654" s="117"/>
    </row>
    <row r="655" spans="1:59" ht="15" customHeight="1">
      <c r="A655" s="117"/>
      <c r="B655" s="81"/>
      <c r="C655" s="110"/>
      <c r="D655" s="110"/>
      <c r="E655" s="110"/>
      <c r="F655" s="1155"/>
      <c r="G655" s="130"/>
      <c r="H655" s="130"/>
      <c r="I655" s="130"/>
      <c r="J655" s="1174"/>
      <c r="K655" s="1174"/>
      <c r="L655" s="1174"/>
      <c r="M655" s="1174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1"/>
      <c r="Y655" s="131"/>
      <c r="Z655" s="131"/>
      <c r="AA655" s="131"/>
      <c r="AB655" s="131"/>
      <c r="AC655" s="131"/>
      <c r="AD655" s="131"/>
      <c r="AE655" s="131"/>
      <c r="AF655" s="117"/>
      <c r="AG655" s="117"/>
      <c r="AH655" s="117"/>
      <c r="AI655" s="117"/>
      <c r="AJ655" s="117"/>
      <c r="AK655" s="117"/>
      <c r="AL655" s="117"/>
      <c r="AM655" s="117"/>
      <c r="AN655" s="117"/>
      <c r="AO655" s="117"/>
      <c r="AP655" s="117"/>
      <c r="AQ655" s="117"/>
      <c r="AR655" s="117"/>
      <c r="AS655" s="117"/>
      <c r="AT655" s="117"/>
      <c r="AU655" s="117"/>
      <c r="AV655" s="117"/>
      <c r="AW655" s="117"/>
      <c r="AX655" s="117"/>
      <c r="AY655" s="117"/>
      <c r="AZ655" s="117"/>
      <c r="BA655" s="117"/>
      <c r="BB655" s="117"/>
      <c r="BC655" s="117"/>
      <c r="BD655" s="117"/>
      <c r="BE655" s="117"/>
      <c r="BF655" s="117"/>
      <c r="BG655" s="117"/>
    </row>
    <row r="656" spans="1:59" ht="15" customHeight="1">
      <c r="A656" s="117"/>
      <c r="B656" s="81"/>
      <c r="C656" s="110"/>
      <c r="D656" s="110"/>
      <c r="E656" s="110"/>
      <c r="F656" s="1155"/>
      <c r="G656" s="130"/>
      <c r="H656" s="130"/>
      <c r="I656" s="130"/>
      <c r="J656" s="1174"/>
      <c r="K656" s="1174"/>
      <c r="L656" s="1174"/>
      <c r="M656" s="1174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  <c r="AA656" s="130"/>
      <c r="AB656" s="130"/>
      <c r="AC656" s="130"/>
      <c r="AD656" s="130"/>
      <c r="AE656" s="130"/>
      <c r="AF656" s="117"/>
      <c r="AG656" s="117"/>
      <c r="AH656" s="117"/>
      <c r="AI656" s="117"/>
      <c r="AJ656" s="117"/>
      <c r="AK656" s="117"/>
      <c r="AL656" s="117"/>
      <c r="AM656" s="117"/>
      <c r="AN656" s="117"/>
      <c r="AO656" s="117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  <c r="AZ656" s="117"/>
      <c r="BA656" s="117"/>
      <c r="BB656" s="117"/>
      <c r="BC656" s="117"/>
      <c r="BD656" s="117"/>
      <c r="BE656" s="117"/>
      <c r="BF656" s="117"/>
      <c r="BG656" s="117"/>
    </row>
    <row r="657" spans="1:59" ht="15" customHeight="1">
      <c r="A657" s="117"/>
      <c r="B657" s="81"/>
      <c r="C657" s="110"/>
      <c r="D657" s="110"/>
      <c r="E657" s="110"/>
      <c r="F657" s="1155"/>
      <c r="G657" s="130"/>
      <c r="H657" s="130"/>
      <c r="I657" s="130"/>
      <c r="J657" s="1174"/>
      <c r="K657" s="1174"/>
      <c r="L657" s="1174"/>
      <c r="M657" s="1174"/>
      <c r="N657" s="130"/>
      <c r="O657" s="130"/>
      <c r="P657" s="130"/>
      <c r="Q657" s="130"/>
      <c r="R657" s="130"/>
      <c r="S657" s="100"/>
      <c r="T657" s="100"/>
      <c r="U657" s="100"/>
      <c r="V657" s="100"/>
      <c r="W657" s="81"/>
      <c r="X657" s="117"/>
      <c r="Y657" s="117"/>
      <c r="Z657" s="117"/>
      <c r="AA657" s="117"/>
      <c r="AB657" s="117"/>
      <c r="AC657" s="117"/>
      <c r="AD657" s="117"/>
      <c r="AE657" s="117"/>
      <c r="AF657" s="117"/>
      <c r="AG657" s="117"/>
      <c r="AH657" s="117"/>
      <c r="AI657" s="117"/>
      <c r="AJ657" s="117"/>
      <c r="AK657" s="117"/>
      <c r="AL657" s="117"/>
      <c r="AM657" s="117"/>
      <c r="AN657" s="117"/>
      <c r="AO657" s="117"/>
      <c r="AP657" s="117"/>
      <c r="AQ657" s="117"/>
      <c r="AR657" s="117"/>
      <c r="AS657" s="117"/>
      <c r="AT657" s="117"/>
      <c r="AU657" s="117"/>
      <c r="AV657" s="117"/>
      <c r="AW657" s="117"/>
      <c r="AX657" s="117"/>
      <c r="AY657" s="117"/>
      <c r="AZ657" s="117"/>
      <c r="BA657" s="117"/>
      <c r="BB657" s="117"/>
      <c r="BC657" s="117"/>
      <c r="BD657" s="117"/>
      <c r="BE657" s="117"/>
      <c r="BF657" s="117"/>
      <c r="BG657" s="117"/>
    </row>
    <row r="658" spans="1:59" ht="15" customHeight="1">
      <c r="A658" s="117"/>
      <c r="B658" s="81"/>
      <c r="C658" s="110"/>
      <c r="D658" s="110"/>
      <c r="E658" s="110"/>
      <c r="F658" s="1155"/>
      <c r="G658" s="130"/>
      <c r="H658" s="130"/>
      <c r="I658" s="130"/>
      <c r="J658" s="1174"/>
      <c r="K658" s="1174"/>
      <c r="L658" s="1174"/>
      <c r="M658" s="1174"/>
      <c r="N658" s="130"/>
      <c r="O658" s="130"/>
      <c r="P658" s="130"/>
      <c r="Q658" s="130"/>
      <c r="R658" s="130"/>
      <c r="S658" s="100"/>
      <c r="T658" s="100"/>
      <c r="U658" s="100"/>
      <c r="V658" s="100"/>
      <c r="W658" s="81"/>
      <c r="X658" s="117"/>
      <c r="Y658" s="117"/>
      <c r="Z658" s="117"/>
      <c r="AA658" s="117"/>
      <c r="AB658" s="117"/>
      <c r="AC658" s="117"/>
      <c r="AD658" s="117"/>
      <c r="AE658" s="117"/>
      <c r="AF658" s="117"/>
      <c r="AG658" s="117"/>
      <c r="AH658" s="117"/>
      <c r="AI658" s="117"/>
      <c r="AJ658" s="117"/>
      <c r="AK658" s="117"/>
      <c r="AL658" s="117"/>
      <c r="AM658" s="117"/>
      <c r="AN658" s="117"/>
      <c r="AO658" s="117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  <c r="AZ658" s="117"/>
      <c r="BA658" s="117"/>
      <c r="BB658" s="117"/>
      <c r="BC658" s="117"/>
      <c r="BD658" s="117"/>
      <c r="BE658" s="117"/>
      <c r="BF658" s="117"/>
      <c r="BG658" s="117"/>
    </row>
    <row r="659" spans="1:59" ht="15" customHeight="1">
      <c r="A659" s="117"/>
      <c r="B659" s="81"/>
      <c r="C659" s="100"/>
      <c r="D659" s="100"/>
      <c r="E659" s="100"/>
      <c r="F659" s="100"/>
      <c r="G659" s="100"/>
      <c r="H659" s="100"/>
      <c r="I659" s="100"/>
      <c r="J659" s="114"/>
      <c r="K659" s="114"/>
      <c r="L659" s="114"/>
      <c r="M659" s="114"/>
      <c r="N659" s="100"/>
      <c r="O659" s="100"/>
      <c r="P659" s="100"/>
      <c r="Q659" s="100"/>
      <c r="R659" s="100"/>
      <c r="S659" s="100"/>
      <c r="T659" s="100"/>
      <c r="U659" s="100"/>
      <c r="V659" s="100"/>
      <c r="W659" s="81"/>
      <c r="X659" s="117"/>
      <c r="Y659" s="117"/>
      <c r="Z659" s="117"/>
      <c r="AA659" s="117"/>
      <c r="AB659" s="117"/>
      <c r="AC659" s="117"/>
      <c r="AD659" s="117"/>
      <c r="AE659" s="117"/>
      <c r="AF659" s="117"/>
      <c r="AG659" s="117"/>
      <c r="AH659" s="117"/>
      <c r="AI659" s="117"/>
      <c r="AJ659" s="117"/>
      <c r="AK659" s="117"/>
      <c r="AL659" s="117"/>
      <c r="AM659" s="117"/>
      <c r="AN659" s="117"/>
      <c r="AO659" s="117"/>
      <c r="AP659" s="117"/>
      <c r="AQ659" s="117"/>
      <c r="AR659" s="117"/>
      <c r="AS659" s="117"/>
      <c r="AT659" s="117"/>
      <c r="AU659" s="117"/>
      <c r="AV659" s="117"/>
      <c r="AW659" s="117"/>
      <c r="AX659" s="117"/>
      <c r="AY659" s="117"/>
      <c r="AZ659" s="117"/>
      <c r="BA659" s="117"/>
      <c r="BB659" s="117"/>
      <c r="BC659" s="117"/>
      <c r="BD659" s="117"/>
      <c r="BE659" s="117"/>
      <c r="BF659" s="117"/>
      <c r="BG659" s="117"/>
    </row>
    <row r="660" spans="1:59" ht="15" customHeight="1">
      <c r="A660" s="117"/>
      <c r="B660" s="81"/>
      <c r="C660" s="100"/>
      <c r="D660" s="100"/>
      <c r="E660" s="100"/>
      <c r="F660" s="100"/>
      <c r="G660" s="100"/>
      <c r="H660" s="100"/>
      <c r="I660" s="100"/>
      <c r="J660" s="114"/>
      <c r="K660" s="114"/>
      <c r="L660" s="114"/>
      <c r="M660" s="114"/>
      <c r="N660" s="100"/>
      <c r="O660" s="100"/>
      <c r="P660" s="100"/>
      <c r="Q660" s="100"/>
      <c r="R660" s="100"/>
      <c r="S660" s="100"/>
      <c r="T660" s="100"/>
      <c r="U660" s="100"/>
      <c r="V660" s="100"/>
      <c r="W660" s="81"/>
      <c r="X660" s="117"/>
      <c r="Y660" s="117"/>
      <c r="Z660" s="117"/>
      <c r="AA660" s="117"/>
      <c r="AB660" s="117"/>
      <c r="AC660" s="117"/>
      <c r="AD660" s="117"/>
      <c r="AE660" s="117"/>
      <c r="AF660" s="117"/>
      <c r="AG660" s="117"/>
      <c r="AH660" s="117"/>
      <c r="AI660" s="117"/>
      <c r="AJ660" s="117"/>
      <c r="AK660" s="117"/>
      <c r="AL660" s="117"/>
      <c r="AM660" s="117"/>
      <c r="AN660" s="117"/>
      <c r="AO660" s="117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  <c r="AZ660" s="117"/>
      <c r="BA660" s="117"/>
      <c r="BB660" s="117"/>
      <c r="BC660" s="117"/>
      <c r="BD660" s="117"/>
      <c r="BE660" s="117"/>
      <c r="BF660" s="117"/>
      <c r="BG660" s="117"/>
    </row>
    <row r="661" spans="1:59">
      <c r="A661" s="117"/>
      <c r="B661" s="81"/>
      <c r="C661" s="100"/>
      <c r="D661" s="100"/>
      <c r="E661" s="100"/>
      <c r="F661" s="100"/>
      <c r="G661" s="100"/>
      <c r="H661" s="100"/>
      <c r="I661" s="100"/>
      <c r="J661" s="114"/>
      <c r="K661" s="114"/>
      <c r="L661" s="114"/>
      <c r="M661" s="114"/>
      <c r="N661" s="100"/>
      <c r="O661" s="100"/>
      <c r="P661" s="100"/>
      <c r="Q661" s="100"/>
      <c r="R661" s="100"/>
      <c r="S661" s="81"/>
      <c r="T661" s="81"/>
      <c r="U661" s="81"/>
      <c r="V661" s="81"/>
      <c r="W661" s="81"/>
      <c r="X661" s="117"/>
      <c r="Y661" s="117"/>
      <c r="Z661" s="117"/>
      <c r="AA661" s="117"/>
      <c r="AB661" s="117"/>
      <c r="AC661" s="117"/>
      <c r="AD661" s="117"/>
      <c r="AE661" s="117"/>
      <c r="AF661" s="117"/>
      <c r="AG661" s="117"/>
      <c r="AH661" s="117"/>
      <c r="AI661" s="117"/>
      <c r="AJ661" s="117"/>
      <c r="AK661" s="117"/>
      <c r="AL661" s="117"/>
      <c r="AM661" s="117"/>
      <c r="AN661" s="117"/>
      <c r="AO661" s="117"/>
      <c r="AP661" s="117"/>
      <c r="AQ661" s="117"/>
      <c r="AR661" s="117"/>
      <c r="AS661" s="117"/>
      <c r="AT661" s="117"/>
      <c r="AU661" s="117"/>
      <c r="AV661" s="117"/>
      <c r="AW661" s="117"/>
      <c r="AX661" s="117"/>
      <c r="AY661" s="117"/>
      <c r="AZ661" s="117"/>
      <c r="BA661" s="117"/>
      <c r="BB661" s="117"/>
      <c r="BC661" s="117"/>
      <c r="BD661" s="117"/>
      <c r="BE661" s="117"/>
      <c r="BF661" s="117"/>
      <c r="BG661" s="117"/>
    </row>
    <row r="662" spans="1:59" ht="15">
      <c r="A662" s="117"/>
      <c r="B662" s="1104"/>
      <c r="C662" s="100"/>
      <c r="D662" s="100"/>
      <c r="E662" s="100"/>
      <c r="F662" s="100"/>
      <c r="G662" s="100"/>
      <c r="H662" s="100"/>
      <c r="I662" s="100"/>
      <c r="J662" s="114"/>
      <c r="K662" s="114"/>
      <c r="L662" s="114"/>
      <c r="M662" s="114"/>
      <c r="N662" s="100"/>
      <c r="O662" s="100"/>
      <c r="P662" s="100"/>
      <c r="Q662" s="100"/>
      <c r="R662" s="100"/>
      <c r="S662" s="81"/>
      <c r="T662" s="81"/>
      <c r="U662" s="81"/>
      <c r="V662" s="1105"/>
      <c r="W662" s="1105"/>
      <c r="X662" s="117"/>
      <c r="Y662" s="117"/>
      <c r="Z662" s="117"/>
      <c r="AA662" s="117"/>
      <c r="AB662" s="117"/>
      <c r="AC662" s="117"/>
      <c r="AD662" s="117"/>
      <c r="AE662" s="117"/>
      <c r="AF662" s="117"/>
      <c r="AG662" s="117"/>
      <c r="AH662" s="117"/>
      <c r="AI662" s="117"/>
      <c r="AJ662" s="117"/>
      <c r="AK662" s="117"/>
      <c r="AL662" s="117"/>
      <c r="AM662" s="117"/>
      <c r="AN662" s="117"/>
      <c r="AO662" s="117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  <c r="AZ662" s="117"/>
      <c r="BA662" s="117"/>
      <c r="BB662" s="117"/>
      <c r="BC662" s="117"/>
      <c r="BD662" s="117"/>
      <c r="BE662" s="117"/>
      <c r="BF662" s="117"/>
      <c r="BG662" s="117"/>
    </row>
    <row r="663" spans="1:59">
      <c r="A663" s="117"/>
      <c r="B663" s="117"/>
      <c r="C663" s="81"/>
      <c r="D663" s="81"/>
      <c r="E663" s="81"/>
      <c r="F663" s="81"/>
      <c r="G663" s="81"/>
      <c r="H663" s="81"/>
      <c r="I663" s="81"/>
      <c r="J663" s="118"/>
      <c r="K663" s="118"/>
      <c r="L663" s="118"/>
      <c r="M663" s="118"/>
      <c r="N663" s="81"/>
      <c r="O663" s="81"/>
      <c r="P663" s="81"/>
      <c r="Q663" s="81"/>
      <c r="R663" s="81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117"/>
      <c r="AD663" s="117"/>
      <c r="AE663" s="117"/>
      <c r="AF663" s="117"/>
      <c r="AG663" s="117"/>
      <c r="AH663" s="117"/>
      <c r="AI663" s="117"/>
      <c r="AJ663" s="117"/>
      <c r="AK663" s="117"/>
      <c r="AL663" s="117"/>
      <c r="AM663" s="117"/>
      <c r="AN663" s="117"/>
      <c r="AO663" s="117"/>
      <c r="AP663" s="117"/>
      <c r="AQ663" s="117"/>
      <c r="AR663" s="117"/>
      <c r="AS663" s="117"/>
      <c r="AT663" s="117"/>
      <c r="AU663" s="117"/>
      <c r="AV663" s="117"/>
      <c r="AW663" s="117"/>
      <c r="AX663" s="117"/>
      <c r="AY663" s="117"/>
      <c r="AZ663" s="117"/>
      <c r="BA663" s="117"/>
      <c r="BB663" s="117"/>
      <c r="BC663" s="117"/>
      <c r="BD663" s="117"/>
      <c r="BE663" s="117"/>
      <c r="BF663" s="117"/>
      <c r="BG663" s="117"/>
    </row>
    <row r="664" spans="1:59">
      <c r="A664" s="117"/>
      <c r="B664" s="117"/>
      <c r="C664" s="81"/>
      <c r="D664" s="81"/>
      <c r="E664" s="81"/>
      <c r="F664" s="81"/>
      <c r="G664" s="81"/>
      <c r="H664" s="81"/>
      <c r="I664" s="81"/>
      <c r="J664" s="118"/>
      <c r="K664" s="118"/>
      <c r="L664" s="118"/>
      <c r="M664" s="118"/>
      <c r="N664" s="81"/>
      <c r="O664" s="81"/>
      <c r="P664" s="81"/>
      <c r="Q664" s="81"/>
      <c r="R664" s="81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  <c r="AD664" s="117"/>
      <c r="AE664" s="117"/>
      <c r="AF664" s="117"/>
      <c r="AG664" s="117"/>
      <c r="AH664" s="117"/>
      <c r="AI664" s="117"/>
      <c r="AJ664" s="117"/>
      <c r="AK664" s="117"/>
      <c r="AL664" s="117"/>
      <c r="AM664" s="117"/>
      <c r="AN664" s="117"/>
      <c r="AO664" s="117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  <c r="AZ664" s="117"/>
      <c r="BA664" s="117"/>
      <c r="BB664" s="117"/>
      <c r="BC664" s="117"/>
      <c r="BD664" s="117"/>
      <c r="BE664" s="117"/>
      <c r="BF664" s="117"/>
      <c r="BG664" s="117"/>
    </row>
    <row r="665" spans="1:59">
      <c r="A665" s="117"/>
      <c r="B665" s="117"/>
      <c r="C665" s="117"/>
      <c r="D665" s="117"/>
      <c r="E665" s="117"/>
      <c r="F665" s="117"/>
      <c r="G665" s="117"/>
      <c r="H665" s="117"/>
      <c r="I665" s="117"/>
      <c r="J665" s="118"/>
      <c r="K665" s="118"/>
      <c r="L665" s="118"/>
      <c r="M665" s="118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117"/>
      <c r="AD665" s="117"/>
      <c r="AE665" s="117"/>
      <c r="AF665" s="117"/>
      <c r="AG665" s="117"/>
      <c r="AH665" s="117"/>
      <c r="AI665" s="117"/>
      <c r="AJ665" s="117"/>
      <c r="AK665" s="117"/>
      <c r="AL665" s="117"/>
      <c r="AM665" s="117"/>
      <c r="AN665" s="117"/>
      <c r="AO665" s="117"/>
      <c r="AP665" s="117"/>
      <c r="AQ665" s="117"/>
      <c r="AR665" s="117"/>
      <c r="AS665" s="117"/>
      <c r="AT665" s="117"/>
      <c r="AU665" s="117"/>
      <c r="AV665" s="117"/>
      <c r="AW665" s="117"/>
      <c r="AX665" s="117"/>
      <c r="AY665" s="117"/>
      <c r="AZ665" s="117"/>
      <c r="BA665" s="117"/>
      <c r="BB665" s="117"/>
      <c r="BC665" s="117"/>
      <c r="BD665" s="117"/>
      <c r="BE665" s="117"/>
      <c r="BF665" s="117"/>
      <c r="BG665" s="117"/>
    </row>
    <row r="666" spans="1:59">
      <c r="A666" s="117"/>
      <c r="B666" s="117"/>
      <c r="C666" s="117"/>
      <c r="D666" s="117"/>
      <c r="E666" s="117"/>
      <c r="F666" s="117"/>
      <c r="G666" s="117"/>
      <c r="H666" s="117"/>
      <c r="I666" s="117"/>
      <c r="J666" s="118"/>
      <c r="K666" s="118"/>
      <c r="L666" s="118"/>
      <c r="M666" s="118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  <c r="AD666" s="117"/>
      <c r="AE666" s="117"/>
      <c r="AF666" s="117"/>
      <c r="AG666" s="117"/>
      <c r="AH666" s="117"/>
      <c r="AI666" s="117"/>
      <c r="AJ666" s="117"/>
      <c r="AK666" s="117"/>
      <c r="AL666" s="117"/>
      <c r="AM666" s="117"/>
      <c r="AN666" s="117"/>
      <c r="AO666" s="117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  <c r="AZ666" s="117"/>
      <c r="BA666" s="117"/>
      <c r="BB666" s="117"/>
      <c r="BC666" s="117"/>
      <c r="BD666" s="117"/>
      <c r="BE666" s="117"/>
      <c r="BF666" s="117"/>
      <c r="BG666" s="117"/>
    </row>
    <row r="667" spans="1:59">
      <c r="A667" s="117"/>
      <c r="B667" s="117"/>
      <c r="C667" s="117"/>
      <c r="D667" s="117"/>
      <c r="E667" s="117"/>
      <c r="F667" s="117"/>
      <c r="G667" s="117"/>
      <c r="H667" s="117"/>
      <c r="I667" s="117"/>
      <c r="J667" s="118"/>
      <c r="K667" s="118"/>
      <c r="L667" s="118"/>
      <c r="M667" s="118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117"/>
      <c r="AD667" s="117"/>
      <c r="AE667" s="117"/>
      <c r="AF667" s="117"/>
      <c r="AG667" s="117"/>
      <c r="AH667" s="117"/>
      <c r="AI667" s="117"/>
      <c r="AJ667" s="117"/>
      <c r="AK667" s="117"/>
      <c r="AL667" s="117"/>
      <c r="AM667" s="117"/>
      <c r="AN667" s="117"/>
      <c r="AO667" s="117"/>
      <c r="AP667" s="117"/>
      <c r="AQ667" s="117"/>
      <c r="AR667" s="117"/>
      <c r="AS667" s="117"/>
      <c r="AT667" s="117"/>
      <c r="AU667" s="117"/>
      <c r="AV667" s="117"/>
      <c r="AW667" s="117"/>
      <c r="AX667" s="117"/>
      <c r="AY667" s="117"/>
      <c r="AZ667" s="117"/>
      <c r="BA667" s="117"/>
      <c r="BB667" s="117"/>
      <c r="BC667" s="117"/>
      <c r="BD667" s="117"/>
      <c r="BE667" s="117"/>
      <c r="BF667" s="117"/>
      <c r="BG667" s="117"/>
    </row>
    <row r="668" spans="1:59">
      <c r="A668" s="117"/>
      <c r="B668" s="117"/>
      <c r="C668" s="117"/>
      <c r="D668" s="117"/>
      <c r="E668" s="117"/>
      <c r="F668" s="117"/>
      <c r="G668" s="117"/>
      <c r="H668" s="117"/>
      <c r="I668" s="117"/>
      <c r="J668" s="118"/>
      <c r="K668" s="118"/>
      <c r="L668" s="118"/>
      <c r="M668" s="118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  <c r="AD668" s="117"/>
      <c r="AE668" s="117"/>
      <c r="AF668" s="117"/>
      <c r="AG668" s="117"/>
      <c r="AH668" s="117"/>
      <c r="AI668" s="117"/>
      <c r="AJ668" s="117"/>
      <c r="AK668" s="117"/>
      <c r="AL668" s="117"/>
      <c r="AM668" s="117"/>
      <c r="AN668" s="117"/>
      <c r="AO668" s="117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  <c r="AZ668" s="117"/>
      <c r="BA668" s="117"/>
      <c r="BB668" s="117"/>
      <c r="BC668" s="117"/>
      <c r="BD668" s="117"/>
      <c r="BE668" s="117"/>
      <c r="BF668" s="117"/>
      <c r="BG668" s="117"/>
    </row>
    <row r="669" spans="1:59">
      <c r="A669" s="117"/>
      <c r="B669" s="117"/>
      <c r="C669" s="117"/>
      <c r="D669" s="117"/>
      <c r="E669" s="117"/>
      <c r="F669" s="117"/>
      <c r="G669" s="117"/>
      <c r="H669" s="117"/>
      <c r="I669" s="117"/>
      <c r="J669" s="118"/>
      <c r="K669" s="118"/>
      <c r="L669" s="118"/>
      <c r="M669" s="118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117"/>
      <c r="AD669" s="117"/>
      <c r="AE669" s="117"/>
      <c r="AF669" s="117"/>
      <c r="AG669" s="117"/>
      <c r="AH669" s="117"/>
      <c r="AI669" s="117"/>
      <c r="AJ669" s="117"/>
      <c r="AK669" s="117"/>
      <c r="AL669" s="117"/>
      <c r="AM669" s="117"/>
      <c r="AN669" s="117"/>
      <c r="AO669" s="117"/>
      <c r="AP669" s="117"/>
      <c r="AQ669" s="117"/>
      <c r="AR669" s="117"/>
      <c r="AS669" s="117"/>
      <c r="AT669" s="117"/>
      <c r="AU669" s="117"/>
      <c r="AV669" s="117"/>
      <c r="AW669" s="117"/>
      <c r="AX669" s="117"/>
      <c r="AY669" s="117"/>
      <c r="AZ669" s="117"/>
      <c r="BA669" s="117"/>
      <c r="BB669" s="117"/>
      <c r="BC669" s="117"/>
      <c r="BD669" s="117"/>
      <c r="BE669" s="117"/>
      <c r="BF669" s="117"/>
      <c r="BG669" s="117"/>
    </row>
    <row r="670" spans="1:59">
      <c r="A670" s="117"/>
      <c r="B670" s="117"/>
      <c r="C670" s="117"/>
      <c r="D670" s="117"/>
      <c r="E670" s="117"/>
      <c r="F670" s="117"/>
      <c r="G670" s="117"/>
      <c r="H670" s="117"/>
      <c r="I670" s="117"/>
      <c r="J670" s="118"/>
      <c r="K670" s="118"/>
      <c r="L670" s="118"/>
      <c r="M670" s="118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  <c r="AD670" s="117"/>
      <c r="AE670" s="117"/>
      <c r="AF670" s="117"/>
      <c r="AG670" s="117"/>
      <c r="AH670" s="117"/>
      <c r="AI670" s="117"/>
      <c r="AJ670" s="117"/>
      <c r="AK670" s="117"/>
      <c r="AL670" s="117"/>
      <c r="AM670" s="117"/>
      <c r="AN670" s="117"/>
      <c r="AO670" s="117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  <c r="AZ670" s="117"/>
      <c r="BA670" s="117"/>
      <c r="BB670" s="117"/>
      <c r="BC670" s="117"/>
      <c r="BD670" s="117"/>
      <c r="BE670" s="117"/>
      <c r="BF670" s="117"/>
      <c r="BG670" s="117"/>
    </row>
    <row r="671" spans="1:59">
      <c r="A671" s="117"/>
      <c r="B671" s="117"/>
      <c r="C671" s="117"/>
      <c r="D671" s="117"/>
      <c r="E671" s="117"/>
      <c r="F671" s="117"/>
      <c r="G671" s="117"/>
      <c r="H671" s="117"/>
      <c r="I671" s="117"/>
      <c r="J671" s="118"/>
      <c r="K671" s="118"/>
      <c r="L671" s="118"/>
      <c r="M671" s="118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117"/>
      <c r="AD671" s="117"/>
      <c r="AE671" s="117"/>
      <c r="AF671" s="117"/>
      <c r="AG671" s="117"/>
      <c r="AH671" s="117"/>
      <c r="AI671" s="117"/>
      <c r="AJ671" s="117"/>
      <c r="AK671" s="117"/>
      <c r="AL671" s="117"/>
      <c r="AM671" s="117"/>
      <c r="AN671" s="117"/>
      <c r="AO671" s="117"/>
      <c r="AP671" s="117"/>
      <c r="AQ671" s="117"/>
      <c r="AR671" s="117"/>
      <c r="AS671" s="117"/>
      <c r="AT671" s="117"/>
      <c r="AU671" s="117"/>
      <c r="AV671" s="117"/>
      <c r="AW671" s="117"/>
      <c r="AX671" s="117"/>
      <c r="AY671" s="117"/>
      <c r="AZ671" s="117"/>
      <c r="BA671" s="117"/>
      <c r="BB671" s="117"/>
      <c r="BC671" s="117"/>
      <c r="BD671" s="117"/>
      <c r="BE671" s="117"/>
      <c r="BF671" s="117"/>
      <c r="BG671" s="117"/>
    </row>
    <row r="672" spans="1:59">
      <c r="A672" s="117"/>
      <c r="B672" s="117"/>
      <c r="C672" s="117"/>
      <c r="D672" s="117"/>
      <c r="E672" s="117"/>
      <c r="F672" s="117"/>
      <c r="G672" s="117"/>
      <c r="H672" s="117"/>
      <c r="I672" s="117"/>
      <c r="J672" s="118"/>
      <c r="K672" s="118"/>
      <c r="L672" s="118"/>
      <c r="M672" s="118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  <c r="AD672" s="117"/>
      <c r="AE672" s="117"/>
      <c r="AF672" s="117"/>
      <c r="AG672" s="117"/>
      <c r="AH672" s="117"/>
      <c r="AI672" s="117"/>
      <c r="AJ672" s="117"/>
      <c r="AK672" s="117"/>
      <c r="AL672" s="117"/>
      <c r="AM672" s="117"/>
      <c r="AN672" s="117"/>
      <c r="AO672" s="117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  <c r="AZ672" s="117"/>
      <c r="BA672" s="117"/>
      <c r="BB672" s="117"/>
      <c r="BC672" s="117"/>
      <c r="BD672" s="117"/>
      <c r="BE672" s="117"/>
      <c r="BF672" s="117"/>
      <c r="BG672" s="117"/>
    </row>
    <row r="673" spans="1:59">
      <c r="A673" s="117"/>
      <c r="B673" s="117"/>
      <c r="C673" s="117"/>
      <c r="D673" s="117"/>
      <c r="E673" s="117"/>
      <c r="F673" s="117"/>
      <c r="G673" s="117"/>
      <c r="H673" s="117"/>
      <c r="I673" s="117"/>
      <c r="J673" s="118"/>
      <c r="K673" s="118"/>
      <c r="L673" s="118"/>
      <c r="M673" s="118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117"/>
      <c r="AD673" s="117"/>
      <c r="AE673" s="117"/>
      <c r="AF673" s="117"/>
      <c r="AG673" s="117"/>
      <c r="AH673" s="117"/>
      <c r="AI673" s="117"/>
      <c r="AJ673" s="117"/>
      <c r="AK673" s="117"/>
      <c r="AL673" s="117"/>
      <c r="AM673" s="117"/>
      <c r="AN673" s="117"/>
      <c r="AO673" s="117"/>
      <c r="AP673" s="117"/>
      <c r="AQ673" s="117"/>
      <c r="AR673" s="117"/>
      <c r="AS673" s="117"/>
      <c r="AT673" s="117"/>
      <c r="AU673" s="117"/>
      <c r="AV673" s="117"/>
      <c r="AW673" s="117"/>
      <c r="AX673" s="117"/>
      <c r="AY673" s="117"/>
      <c r="AZ673" s="117"/>
      <c r="BA673" s="117"/>
      <c r="BB673" s="117"/>
      <c r="BC673" s="117"/>
      <c r="BD673" s="117"/>
      <c r="BE673" s="117"/>
      <c r="BF673" s="117"/>
      <c r="BG673" s="117"/>
    </row>
    <row r="674" spans="1:59">
      <c r="A674" s="117"/>
      <c r="B674" s="117"/>
      <c r="C674" s="117"/>
      <c r="D674" s="117"/>
      <c r="E674" s="117"/>
      <c r="F674" s="117"/>
      <c r="G674" s="117"/>
      <c r="H674" s="117"/>
      <c r="I674" s="117"/>
      <c r="J674" s="118"/>
      <c r="K674" s="118"/>
      <c r="L674" s="118"/>
      <c r="M674" s="118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  <c r="AD674" s="117"/>
      <c r="AE674" s="117"/>
      <c r="AF674" s="117"/>
      <c r="AG674" s="117"/>
      <c r="AH674" s="117"/>
      <c r="AI674" s="117"/>
      <c r="AJ674" s="117"/>
      <c r="AK674" s="117"/>
      <c r="AL674" s="117"/>
      <c r="AM674" s="117"/>
      <c r="AN674" s="117"/>
      <c r="AO674" s="117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  <c r="AZ674" s="117"/>
      <c r="BA674" s="117"/>
      <c r="BB674" s="117"/>
      <c r="BC674" s="117"/>
      <c r="BD674" s="117"/>
      <c r="BE674" s="117"/>
      <c r="BF674" s="117"/>
      <c r="BG674" s="117"/>
    </row>
    <row r="675" spans="1:59">
      <c r="A675" s="117"/>
      <c r="B675" s="117"/>
      <c r="C675" s="117"/>
      <c r="D675" s="117"/>
      <c r="E675" s="117"/>
      <c r="F675" s="117"/>
      <c r="G675" s="117"/>
      <c r="H675" s="117"/>
      <c r="I675" s="117"/>
      <c r="J675" s="118"/>
      <c r="K675" s="118"/>
      <c r="L675" s="118"/>
      <c r="M675" s="118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117"/>
      <c r="AD675" s="117"/>
      <c r="AE675" s="117"/>
      <c r="AF675" s="117"/>
      <c r="AG675" s="117"/>
      <c r="AH675" s="117"/>
      <c r="AI675" s="117"/>
      <c r="AJ675" s="117"/>
      <c r="AK675" s="117"/>
      <c r="AL675" s="117"/>
      <c r="AM675" s="117"/>
      <c r="AN675" s="117"/>
      <c r="AO675" s="117"/>
      <c r="AP675" s="117"/>
      <c r="AQ675" s="117"/>
      <c r="AR675" s="117"/>
      <c r="AS675" s="117"/>
      <c r="AT675" s="117"/>
      <c r="AU675" s="117"/>
      <c r="AV675" s="117"/>
      <c r="AW675" s="117"/>
      <c r="AX675" s="117"/>
      <c r="AY675" s="117"/>
      <c r="AZ675" s="117"/>
      <c r="BA675" s="117"/>
      <c r="BB675" s="117"/>
      <c r="BC675" s="117"/>
      <c r="BD675" s="117"/>
      <c r="BE675" s="117"/>
      <c r="BF675" s="117"/>
      <c r="BG675" s="117"/>
    </row>
    <row r="676" spans="1:59">
      <c r="A676" s="117"/>
      <c r="B676" s="117"/>
      <c r="C676" s="117"/>
      <c r="D676" s="117"/>
      <c r="E676" s="117"/>
      <c r="F676" s="117"/>
      <c r="G676" s="117"/>
      <c r="H676" s="117"/>
      <c r="I676" s="117"/>
      <c r="J676" s="118"/>
      <c r="K676" s="118"/>
      <c r="L676" s="118"/>
      <c r="M676" s="118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  <c r="AD676" s="117"/>
      <c r="AE676" s="117"/>
      <c r="AF676" s="117"/>
      <c r="AG676" s="117"/>
      <c r="AH676" s="117"/>
      <c r="AI676" s="117"/>
      <c r="AJ676" s="117"/>
      <c r="AK676" s="117"/>
      <c r="AL676" s="117"/>
      <c r="AM676" s="117"/>
      <c r="AN676" s="117"/>
      <c r="AO676" s="117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  <c r="AZ676" s="117"/>
      <c r="BA676" s="117"/>
      <c r="BB676" s="117"/>
      <c r="BC676" s="117"/>
      <c r="BD676" s="117"/>
      <c r="BE676" s="117"/>
      <c r="BF676" s="117"/>
      <c r="BG676" s="117"/>
    </row>
    <row r="677" spans="1:59">
      <c r="A677" s="117"/>
      <c r="B677" s="117"/>
      <c r="C677" s="117"/>
      <c r="D677" s="117"/>
      <c r="E677" s="117"/>
      <c r="F677" s="117"/>
      <c r="G677" s="117"/>
      <c r="H677" s="117"/>
      <c r="I677" s="117"/>
      <c r="J677" s="118"/>
      <c r="K677" s="118"/>
      <c r="L677" s="118"/>
      <c r="M677" s="118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117"/>
      <c r="AD677" s="117"/>
      <c r="AE677" s="117"/>
      <c r="AF677" s="117"/>
      <c r="AG677" s="117"/>
      <c r="AH677" s="117"/>
      <c r="AI677" s="117"/>
      <c r="AJ677" s="117"/>
      <c r="AK677" s="117"/>
      <c r="AL677" s="117"/>
      <c r="AM677" s="117"/>
      <c r="AN677" s="117"/>
      <c r="AO677" s="117"/>
      <c r="AP677" s="117"/>
      <c r="AQ677" s="117"/>
      <c r="AR677" s="117"/>
      <c r="AS677" s="117"/>
      <c r="AT677" s="117"/>
      <c r="AU677" s="117"/>
      <c r="AV677" s="117"/>
      <c r="AW677" s="117"/>
      <c r="AX677" s="117"/>
      <c r="AY677" s="117"/>
      <c r="AZ677" s="117"/>
      <c r="BA677" s="117"/>
      <c r="BB677" s="117"/>
      <c r="BC677" s="117"/>
      <c r="BD677" s="117"/>
      <c r="BE677" s="117"/>
      <c r="BF677" s="117"/>
      <c r="BG677" s="117"/>
    </row>
    <row r="678" spans="1:59">
      <c r="A678" s="117"/>
      <c r="B678" s="117"/>
      <c r="C678" s="117"/>
      <c r="D678" s="117"/>
      <c r="E678" s="117"/>
      <c r="F678" s="117"/>
      <c r="G678" s="117"/>
      <c r="H678" s="117"/>
      <c r="I678" s="117"/>
      <c r="J678" s="118"/>
      <c r="K678" s="118"/>
      <c r="L678" s="118"/>
      <c r="M678" s="118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  <c r="AD678" s="117"/>
      <c r="AE678" s="117"/>
      <c r="AF678" s="117"/>
      <c r="AG678" s="117"/>
      <c r="AH678" s="117"/>
      <c r="AI678" s="117"/>
      <c r="AJ678" s="117"/>
      <c r="AK678" s="117"/>
      <c r="AL678" s="117"/>
      <c r="AM678" s="117"/>
      <c r="AN678" s="117"/>
      <c r="AO678" s="117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  <c r="AZ678" s="117"/>
      <c r="BA678" s="117"/>
      <c r="BB678" s="117"/>
      <c r="BC678" s="117"/>
      <c r="BD678" s="117"/>
      <c r="BE678" s="117"/>
      <c r="BF678" s="117"/>
      <c r="BG678" s="117"/>
    </row>
    <row r="679" spans="1:59">
      <c r="A679" s="117"/>
      <c r="B679" s="117"/>
      <c r="C679" s="117"/>
      <c r="D679" s="117"/>
      <c r="E679" s="117"/>
      <c r="F679" s="117"/>
      <c r="G679" s="117"/>
      <c r="H679" s="117"/>
      <c r="I679" s="117"/>
      <c r="J679" s="118"/>
      <c r="K679" s="118"/>
      <c r="L679" s="118"/>
      <c r="M679" s="118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117"/>
      <c r="AD679" s="117"/>
      <c r="AE679" s="117"/>
      <c r="AF679" s="117"/>
      <c r="AG679" s="117"/>
      <c r="AH679" s="117"/>
      <c r="AI679" s="117"/>
      <c r="AJ679" s="117"/>
      <c r="AK679" s="117"/>
      <c r="AL679" s="117"/>
      <c r="AM679" s="117"/>
      <c r="AN679" s="117"/>
      <c r="AO679" s="117"/>
      <c r="AP679" s="117"/>
      <c r="AQ679" s="117"/>
      <c r="AR679" s="117"/>
      <c r="AS679" s="117"/>
      <c r="AT679" s="117"/>
      <c r="AU679" s="117"/>
      <c r="AV679" s="117"/>
      <c r="AW679" s="117"/>
      <c r="AX679" s="117"/>
      <c r="AY679" s="117"/>
      <c r="AZ679" s="117"/>
      <c r="BA679" s="117"/>
      <c r="BB679" s="117"/>
      <c r="BC679" s="117"/>
      <c r="BD679" s="117"/>
      <c r="BE679" s="117"/>
      <c r="BF679" s="117"/>
      <c r="BG679" s="117"/>
    </row>
    <row r="680" spans="1:59">
      <c r="A680" s="117"/>
      <c r="B680" s="117"/>
      <c r="C680" s="117"/>
      <c r="D680" s="117"/>
      <c r="E680" s="117"/>
      <c r="F680" s="117"/>
      <c r="G680" s="117"/>
      <c r="H680" s="117"/>
      <c r="I680" s="117"/>
      <c r="J680" s="118"/>
      <c r="K680" s="118"/>
      <c r="L680" s="118"/>
      <c r="M680" s="118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  <c r="AD680" s="117"/>
      <c r="AE680" s="117"/>
      <c r="AF680" s="117"/>
      <c r="AG680" s="117"/>
      <c r="AH680" s="117"/>
      <c r="AI680" s="117"/>
      <c r="AJ680" s="117"/>
      <c r="AK680" s="117"/>
      <c r="AL680" s="117"/>
      <c r="AM680" s="117"/>
      <c r="AN680" s="117"/>
      <c r="AO680" s="117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  <c r="AZ680" s="117"/>
      <c r="BA680" s="117"/>
      <c r="BB680" s="117"/>
      <c r="BC680" s="117"/>
      <c r="BD680" s="117"/>
      <c r="BE680" s="117"/>
      <c r="BF680" s="117"/>
      <c r="BG680" s="117"/>
    </row>
    <row r="681" spans="1:59">
      <c r="A681" s="117"/>
      <c r="B681" s="117"/>
      <c r="C681" s="117"/>
      <c r="D681" s="117"/>
      <c r="E681" s="117"/>
      <c r="F681" s="117"/>
      <c r="G681" s="117"/>
      <c r="H681" s="117"/>
      <c r="I681" s="117"/>
      <c r="J681" s="118"/>
      <c r="K681" s="118"/>
      <c r="L681" s="118"/>
      <c r="M681" s="118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117"/>
      <c r="AD681" s="117"/>
      <c r="AE681" s="117"/>
      <c r="AF681" s="117"/>
      <c r="AG681" s="117"/>
      <c r="AH681" s="117"/>
      <c r="AI681" s="117"/>
      <c r="AJ681" s="117"/>
      <c r="AK681" s="117"/>
      <c r="AL681" s="117"/>
      <c r="AM681" s="117"/>
      <c r="AN681" s="117"/>
      <c r="AO681" s="117"/>
      <c r="AP681" s="117"/>
      <c r="AQ681" s="117"/>
      <c r="AR681" s="117"/>
      <c r="AS681" s="117"/>
      <c r="AT681" s="117"/>
      <c r="AU681" s="117"/>
      <c r="AV681" s="117"/>
      <c r="AW681" s="117"/>
      <c r="AX681" s="117"/>
      <c r="AY681" s="117"/>
      <c r="AZ681" s="117"/>
      <c r="BA681" s="117"/>
      <c r="BB681" s="117"/>
      <c r="BC681" s="117"/>
      <c r="BD681" s="117"/>
      <c r="BE681" s="117"/>
      <c r="BF681" s="117"/>
      <c r="BG681" s="117"/>
    </row>
    <row r="682" spans="1:59">
      <c r="A682" s="117"/>
      <c r="B682" s="117"/>
      <c r="C682" s="117"/>
      <c r="D682" s="117"/>
      <c r="E682" s="117"/>
      <c r="F682" s="117"/>
      <c r="G682" s="117"/>
      <c r="H682" s="117"/>
      <c r="I682" s="117"/>
      <c r="J682" s="118"/>
      <c r="K682" s="118"/>
      <c r="L682" s="118"/>
      <c r="M682" s="118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  <c r="AD682" s="117"/>
      <c r="AE682" s="117"/>
      <c r="AF682" s="117"/>
      <c r="AG682" s="117"/>
      <c r="AH682" s="117"/>
      <c r="AI682" s="117"/>
      <c r="AJ682" s="117"/>
      <c r="AK682" s="117"/>
      <c r="AL682" s="117"/>
      <c r="AM682" s="117"/>
      <c r="AN682" s="117"/>
      <c r="AO682" s="117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  <c r="AZ682" s="117"/>
      <c r="BA682" s="117"/>
      <c r="BB682" s="117"/>
      <c r="BC682" s="117"/>
      <c r="BD682" s="117"/>
      <c r="BE682" s="117"/>
      <c r="BF682" s="117"/>
      <c r="BG682" s="117"/>
    </row>
    <row r="683" spans="1:59">
      <c r="A683" s="117"/>
      <c r="B683" s="117"/>
      <c r="C683" s="117"/>
      <c r="D683" s="117"/>
      <c r="E683" s="117"/>
      <c r="F683" s="117"/>
      <c r="G683" s="117"/>
      <c r="H683" s="117"/>
      <c r="I683" s="117"/>
      <c r="J683" s="118"/>
      <c r="K683" s="118"/>
      <c r="L683" s="118"/>
      <c r="M683" s="118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117"/>
      <c r="AD683" s="117"/>
      <c r="AE683" s="117"/>
      <c r="AF683" s="117"/>
      <c r="AG683" s="117"/>
      <c r="AH683" s="117"/>
      <c r="AI683" s="117"/>
      <c r="AJ683" s="117"/>
      <c r="AK683" s="117"/>
      <c r="AL683" s="117"/>
      <c r="AM683" s="117"/>
      <c r="AN683" s="117"/>
      <c r="AO683" s="117"/>
      <c r="AP683" s="117"/>
      <c r="AQ683" s="117"/>
      <c r="AR683" s="117"/>
      <c r="AS683" s="117"/>
      <c r="AT683" s="117"/>
      <c r="AU683" s="117"/>
      <c r="AV683" s="117"/>
      <c r="AW683" s="117"/>
      <c r="AX683" s="117"/>
      <c r="AY683" s="117"/>
      <c r="AZ683" s="117"/>
      <c r="BA683" s="117"/>
      <c r="BB683" s="117"/>
      <c r="BC683" s="117"/>
      <c r="BD683" s="117"/>
      <c r="BE683" s="117"/>
      <c r="BF683" s="117"/>
      <c r="BG683" s="117"/>
    </row>
    <row r="684" spans="1:59">
      <c r="A684" s="117"/>
      <c r="B684" s="117"/>
      <c r="C684" s="117"/>
      <c r="D684" s="117"/>
      <c r="E684" s="117"/>
      <c r="F684" s="117"/>
      <c r="G684" s="117"/>
      <c r="H684" s="117"/>
      <c r="I684" s="117"/>
      <c r="J684" s="118"/>
      <c r="K684" s="118"/>
      <c r="L684" s="118"/>
      <c r="M684" s="118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  <c r="AD684" s="117"/>
      <c r="AE684" s="117"/>
      <c r="AF684" s="117"/>
      <c r="AG684" s="117"/>
      <c r="AH684" s="117"/>
      <c r="AI684" s="117"/>
      <c r="AJ684" s="117"/>
      <c r="AK684" s="117"/>
      <c r="AL684" s="117"/>
      <c r="AM684" s="117"/>
      <c r="AN684" s="117"/>
      <c r="AO684" s="117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  <c r="AZ684" s="117"/>
      <c r="BA684" s="117"/>
      <c r="BB684" s="117"/>
      <c r="BC684" s="117"/>
      <c r="BD684" s="117"/>
      <c r="BE684" s="117"/>
      <c r="BF684" s="117"/>
      <c r="BG684" s="117"/>
    </row>
    <row r="685" spans="1:59">
      <c r="A685" s="117"/>
      <c r="B685" s="117"/>
      <c r="C685" s="117"/>
      <c r="D685" s="117"/>
      <c r="E685" s="117"/>
      <c r="F685" s="117"/>
      <c r="G685" s="117"/>
      <c r="H685" s="117"/>
      <c r="I685" s="117"/>
      <c r="J685" s="118"/>
      <c r="K685" s="118"/>
      <c r="L685" s="118"/>
      <c r="M685" s="118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117"/>
      <c r="AD685" s="117"/>
      <c r="AE685" s="117"/>
      <c r="AF685" s="117"/>
      <c r="AG685" s="117"/>
      <c r="AH685" s="117"/>
      <c r="AI685" s="117"/>
      <c r="AJ685" s="117"/>
      <c r="AK685" s="117"/>
      <c r="AL685" s="117"/>
      <c r="AM685" s="117"/>
      <c r="AN685" s="117"/>
      <c r="AO685" s="117"/>
      <c r="AP685" s="117"/>
      <c r="AQ685" s="117"/>
      <c r="AR685" s="117"/>
      <c r="AS685" s="117"/>
      <c r="AT685" s="117"/>
      <c r="AU685" s="117"/>
      <c r="AV685" s="117"/>
      <c r="AW685" s="117"/>
      <c r="AX685" s="117"/>
      <c r="AY685" s="117"/>
      <c r="AZ685" s="117"/>
      <c r="BA685" s="117"/>
      <c r="BB685" s="117"/>
      <c r="BC685" s="117"/>
      <c r="BD685" s="117"/>
      <c r="BE685" s="117"/>
      <c r="BF685" s="117"/>
      <c r="BG685" s="117"/>
    </row>
    <row r="686" spans="1:59">
      <c r="A686" s="117"/>
      <c r="B686" s="117"/>
      <c r="C686" s="117"/>
      <c r="D686" s="117"/>
      <c r="E686" s="117"/>
      <c r="F686" s="117"/>
      <c r="G686" s="117"/>
      <c r="H686" s="117"/>
      <c r="I686" s="117"/>
      <c r="J686" s="118"/>
      <c r="K686" s="118"/>
      <c r="L686" s="118"/>
      <c r="M686" s="118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  <c r="AD686" s="117"/>
      <c r="AE686" s="117"/>
      <c r="AF686" s="117"/>
      <c r="AG686" s="117"/>
      <c r="AH686" s="117"/>
      <c r="AI686" s="117"/>
      <c r="AJ686" s="117"/>
      <c r="AK686" s="117"/>
      <c r="AL686" s="117"/>
      <c r="AM686" s="117"/>
      <c r="AN686" s="117"/>
      <c r="AO686" s="117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  <c r="AZ686" s="117"/>
      <c r="BA686" s="117"/>
      <c r="BB686" s="117"/>
      <c r="BC686" s="117"/>
      <c r="BD686" s="117"/>
      <c r="BE686" s="117"/>
      <c r="BF686" s="117"/>
      <c r="BG686" s="117"/>
    </row>
    <row r="687" spans="1:59">
      <c r="A687" s="117"/>
      <c r="B687" s="117"/>
      <c r="C687" s="117"/>
      <c r="D687" s="117"/>
      <c r="E687" s="117"/>
      <c r="F687" s="117"/>
      <c r="G687" s="117"/>
      <c r="H687" s="117"/>
      <c r="I687" s="117"/>
      <c r="J687" s="118"/>
      <c r="K687" s="118"/>
      <c r="L687" s="118"/>
      <c r="M687" s="118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117"/>
      <c r="AD687" s="117"/>
      <c r="AE687" s="117"/>
      <c r="AF687" s="117"/>
      <c r="AG687" s="117"/>
      <c r="AH687" s="117"/>
      <c r="AI687" s="117"/>
      <c r="AJ687" s="117"/>
      <c r="AK687" s="117"/>
      <c r="AL687" s="117"/>
      <c r="AM687" s="117"/>
      <c r="AN687" s="117"/>
      <c r="AO687" s="117"/>
      <c r="AP687" s="117"/>
      <c r="AQ687" s="117"/>
      <c r="AR687" s="117"/>
      <c r="AS687" s="117"/>
      <c r="AT687" s="117"/>
      <c r="AU687" s="117"/>
      <c r="AV687" s="117"/>
      <c r="AW687" s="117"/>
      <c r="AX687" s="117"/>
      <c r="AY687" s="117"/>
      <c r="AZ687" s="117"/>
      <c r="BA687" s="117"/>
      <c r="BB687" s="117"/>
      <c r="BC687" s="117"/>
      <c r="BD687" s="117"/>
      <c r="BE687" s="117"/>
      <c r="BF687" s="117"/>
      <c r="BG687" s="117"/>
    </row>
    <row r="688" spans="1:59">
      <c r="A688" s="117"/>
      <c r="B688" s="117"/>
      <c r="C688" s="117"/>
      <c r="D688" s="117"/>
      <c r="E688" s="117"/>
      <c r="F688" s="117"/>
      <c r="G688" s="117"/>
      <c r="H688" s="117"/>
      <c r="I688" s="117"/>
      <c r="J688" s="118"/>
      <c r="K688" s="118"/>
      <c r="L688" s="118"/>
      <c r="M688" s="118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117"/>
      <c r="AD688" s="117"/>
      <c r="AE688" s="117"/>
      <c r="AF688" s="117"/>
      <c r="AG688" s="117"/>
      <c r="AH688" s="117"/>
      <c r="AI688" s="117"/>
      <c r="AJ688" s="117"/>
      <c r="AK688" s="117"/>
      <c r="AL688" s="117"/>
      <c r="AM688" s="117"/>
      <c r="AN688" s="117"/>
      <c r="AO688" s="117"/>
      <c r="AP688" s="117"/>
      <c r="AQ688" s="117"/>
      <c r="AR688" s="117"/>
      <c r="AS688" s="117"/>
      <c r="AT688" s="117"/>
      <c r="AU688" s="117"/>
      <c r="AV688" s="117"/>
      <c r="AW688" s="117"/>
      <c r="AX688" s="117"/>
      <c r="AY688" s="117"/>
      <c r="AZ688" s="117"/>
      <c r="BA688" s="117"/>
      <c r="BB688" s="117"/>
      <c r="BC688" s="117"/>
      <c r="BD688" s="117"/>
      <c r="BE688" s="117"/>
      <c r="BF688" s="117"/>
      <c r="BG688" s="117"/>
    </row>
    <row r="689" spans="1:59">
      <c r="A689" s="117"/>
      <c r="B689" s="117"/>
      <c r="C689" s="117"/>
      <c r="D689" s="117"/>
      <c r="E689" s="117"/>
      <c r="F689" s="117"/>
      <c r="G689" s="117"/>
      <c r="H689" s="117"/>
      <c r="I689" s="117"/>
      <c r="J689" s="118"/>
      <c r="K689" s="118"/>
      <c r="L689" s="118"/>
      <c r="M689" s="118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117"/>
      <c r="AD689" s="117"/>
      <c r="AE689" s="117"/>
      <c r="AF689" s="117"/>
      <c r="AG689" s="117"/>
      <c r="AH689" s="117"/>
      <c r="AI689" s="117"/>
      <c r="AJ689" s="117"/>
      <c r="AK689" s="117"/>
      <c r="AL689" s="117"/>
      <c r="AM689" s="117"/>
      <c r="AN689" s="117"/>
      <c r="AO689" s="117"/>
      <c r="AP689" s="117"/>
      <c r="AQ689" s="117"/>
      <c r="AR689" s="117"/>
      <c r="AS689" s="117"/>
      <c r="AT689" s="117"/>
      <c r="AU689" s="117"/>
      <c r="AV689" s="117"/>
      <c r="AW689" s="117"/>
      <c r="AX689" s="117"/>
      <c r="AY689" s="117"/>
      <c r="AZ689" s="117"/>
      <c r="BA689" s="117"/>
      <c r="BB689" s="117"/>
      <c r="BC689" s="117"/>
      <c r="BD689" s="117"/>
      <c r="BE689" s="117"/>
      <c r="BF689" s="117"/>
      <c r="BG689" s="117"/>
    </row>
    <row r="690" spans="1:59">
      <c r="A690" s="117"/>
      <c r="B690" s="117"/>
      <c r="C690" s="117"/>
      <c r="D690" s="117"/>
      <c r="E690" s="117"/>
      <c r="F690" s="117"/>
      <c r="G690" s="117"/>
      <c r="H690" s="117"/>
      <c r="I690" s="117"/>
      <c r="J690" s="118"/>
      <c r="K690" s="118"/>
      <c r="L690" s="118"/>
      <c r="M690" s="118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117"/>
      <c r="AD690" s="117"/>
      <c r="AE690" s="117"/>
      <c r="AF690" s="117"/>
      <c r="AG690" s="117"/>
      <c r="AH690" s="117"/>
      <c r="AI690" s="117"/>
      <c r="AJ690" s="117"/>
      <c r="AK690" s="117"/>
      <c r="AL690" s="117"/>
      <c r="AM690" s="117"/>
      <c r="AN690" s="117"/>
      <c r="AO690" s="117"/>
      <c r="AP690" s="117"/>
      <c r="AQ690" s="117"/>
      <c r="AR690" s="117"/>
      <c r="AS690" s="117"/>
      <c r="AT690" s="117"/>
      <c r="AU690" s="117"/>
      <c r="AV690" s="117"/>
      <c r="AW690" s="117"/>
      <c r="AX690" s="117"/>
      <c r="AY690" s="117"/>
      <c r="AZ690" s="117"/>
      <c r="BA690" s="117"/>
      <c r="BB690" s="117"/>
      <c r="BC690" s="117"/>
      <c r="BD690" s="117"/>
      <c r="BE690" s="117"/>
      <c r="BF690" s="117"/>
      <c r="BG690" s="117"/>
    </row>
    <row r="691" spans="1:59">
      <c r="A691" s="117"/>
      <c r="B691" s="117"/>
      <c r="C691" s="117"/>
      <c r="D691" s="117"/>
      <c r="E691" s="117"/>
      <c r="F691" s="117"/>
      <c r="G691" s="117"/>
      <c r="H691" s="117"/>
      <c r="I691" s="117"/>
      <c r="J691" s="118"/>
      <c r="K691" s="118"/>
      <c r="L691" s="118"/>
      <c r="M691" s="118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117"/>
      <c r="AD691" s="117"/>
      <c r="AE691" s="117"/>
      <c r="AF691" s="117"/>
      <c r="AG691" s="117"/>
      <c r="AH691" s="117"/>
      <c r="AI691" s="117"/>
      <c r="AJ691" s="117"/>
      <c r="AK691" s="117"/>
      <c r="AL691" s="117"/>
      <c r="AM691" s="117"/>
      <c r="AN691" s="117"/>
      <c r="AO691" s="117"/>
      <c r="AP691" s="117"/>
      <c r="AQ691" s="117"/>
      <c r="AR691" s="117"/>
      <c r="AS691" s="117"/>
      <c r="AT691" s="117"/>
      <c r="AU691" s="117"/>
      <c r="AV691" s="117"/>
      <c r="AW691" s="117"/>
      <c r="AX691" s="117"/>
      <c r="AY691" s="117"/>
      <c r="AZ691" s="117"/>
      <c r="BA691" s="117"/>
      <c r="BB691" s="117"/>
      <c r="BC691" s="117"/>
      <c r="BD691" s="117"/>
      <c r="BE691" s="117"/>
      <c r="BF691" s="117"/>
      <c r="BG691" s="117"/>
    </row>
    <row r="692" spans="1:59">
      <c r="A692" s="117"/>
      <c r="B692" s="117"/>
      <c r="C692" s="117"/>
      <c r="D692" s="117"/>
      <c r="E692" s="117"/>
      <c r="F692" s="117"/>
      <c r="G692" s="117"/>
      <c r="H692" s="117"/>
      <c r="I692" s="117"/>
      <c r="J692" s="118"/>
      <c r="K692" s="118"/>
      <c r="L692" s="118"/>
      <c r="M692" s="118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117"/>
      <c r="AD692" s="117"/>
      <c r="AE692" s="117"/>
      <c r="AF692" s="117"/>
      <c r="AG692" s="117"/>
      <c r="AH692" s="117"/>
      <c r="AI692" s="117"/>
      <c r="AJ692" s="117"/>
      <c r="AK692" s="117"/>
      <c r="AL692" s="117"/>
      <c r="AM692" s="117"/>
      <c r="AN692" s="117"/>
      <c r="AO692" s="117"/>
      <c r="AP692" s="117"/>
      <c r="AQ692" s="117"/>
      <c r="AR692" s="117"/>
      <c r="AS692" s="117"/>
      <c r="AT692" s="117"/>
      <c r="AU692" s="117"/>
      <c r="AV692" s="117"/>
      <c r="AW692" s="117"/>
      <c r="AX692" s="117"/>
      <c r="AY692" s="117"/>
      <c r="AZ692" s="117"/>
      <c r="BA692" s="117"/>
      <c r="BB692" s="117"/>
      <c r="BC692" s="117"/>
      <c r="BD692" s="117"/>
      <c r="BE692" s="117"/>
      <c r="BF692" s="117"/>
      <c r="BG692" s="117"/>
    </row>
    <row r="693" spans="1:59">
      <c r="A693" s="117"/>
      <c r="B693" s="117"/>
      <c r="C693" s="117"/>
      <c r="D693" s="117"/>
      <c r="E693" s="117"/>
      <c r="F693" s="117"/>
      <c r="G693" s="117"/>
      <c r="H693" s="117"/>
      <c r="I693" s="117"/>
      <c r="J693" s="118"/>
      <c r="K693" s="118"/>
      <c r="L693" s="118"/>
      <c r="M693" s="118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117"/>
      <c r="AD693" s="117"/>
      <c r="AE693" s="117"/>
      <c r="AF693" s="117"/>
      <c r="AG693" s="117"/>
      <c r="AH693" s="117"/>
      <c r="AI693" s="117"/>
      <c r="AJ693" s="117"/>
      <c r="AK693" s="117"/>
      <c r="AL693" s="117"/>
      <c r="AM693" s="117"/>
      <c r="AN693" s="117"/>
      <c r="AO693" s="117"/>
      <c r="AP693" s="117"/>
      <c r="AQ693" s="117"/>
      <c r="AR693" s="117"/>
      <c r="AS693" s="117"/>
      <c r="AT693" s="117"/>
      <c r="AU693" s="117"/>
      <c r="AV693" s="117"/>
      <c r="AW693" s="117"/>
      <c r="AX693" s="117"/>
      <c r="AY693" s="117"/>
      <c r="AZ693" s="117"/>
      <c r="BA693" s="117"/>
      <c r="BB693" s="117"/>
      <c r="BC693" s="117"/>
      <c r="BD693" s="117"/>
      <c r="BE693" s="117"/>
      <c r="BF693" s="117"/>
      <c r="BG693" s="117"/>
    </row>
    <row r="694" spans="1:59">
      <c r="A694" s="117"/>
      <c r="B694" s="117"/>
      <c r="C694" s="117"/>
      <c r="D694" s="117"/>
      <c r="E694" s="117"/>
      <c r="F694" s="117"/>
      <c r="G694" s="117"/>
      <c r="H694" s="117"/>
      <c r="I694" s="117"/>
      <c r="J694" s="118"/>
      <c r="K694" s="118"/>
      <c r="L694" s="118"/>
      <c r="M694" s="118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117"/>
      <c r="AD694" s="117"/>
      <c r="AE694" s="117"/>
      <c r="AF694" s="117"/>
      <c r="AG694" s="117"/>
      <c r="AH694" s="117"/>
      <c r="AI694" s="117"/>
      <c r="AJ694" s="117"/>
      <c r="AK694" s="117"/>
      <c r="AL694" s="117"/>
      <c r="AM694" s="117"/>
      <c r="AN694" s="117"/>
      <c r="AO694" s="117"/>
      <c r="AP694" s="117"/>
      <c r="AQ694" s="117"/>
      <c r="AR694" s="117"/>
      <c r="AS694" s="117"/>
      <c r="AT694" s="117"/>
      <c r="AU694" s="117"/>
      <c r="AV694" s="117"/>
      <c r="AW694" s="117"/>
      <c r="AX694" s="117"/>
      <c r="AY694" s="117"/>
      <c r="AZ694" s="117"/>
      <c r="BA694" s="117"/>
      <c r="BB694" s="117"/>
      <c r="BC694" s="117"/>
      <c r="BD694" s="117"/>
      <c r="BE694" s="117"/>
      <c r="BF694" s="117"/>
      <c r="BG694" s="117"/>
    </row>
    <row r="695" spans="1:59">
      <c r="A695" s="117"/>
      <c r="B695" s="117"/>
      <c r="C695" s="117"/>
      <c r="D695" s="117"/>
      <c r="E695" s="117"/>
      <c r="F695" s="117"/>
      <c r="G695" s="117"/>
      <c r="H695" s="117"/>
      <c r="I695" s="117"/>
      <c r="J695" s="118"/>
      <c r="K695" s="118"/>
      <c r="L695" s="118"/>
      <c r="M695" s="118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117"/>
      <c r="AD695" s="117"/>
      <c r="AE695" s="117"/>
      <c r="AF695" s="117"/>
      <c r="AG695" s="117"/>
      <c r="AH695" s="117"/>
      <c r="AI695" s="117"/>
      <c r="AJ695" s="117"/>
      <c r="AK695" s="117"/>
      <c r="AL695" s="117"/>
      <c r="AM695" s="117"/>
      <c r="AN695" s="117"/>
      <c r="AO695" s="117"/>
      <c r="AP695" s="117"/>
      <c r="AQ695" s="117"/>
      <c r="AR695" s="117"/>
      <c r="AS695" s="117"/>
      <c r="AT695" s="117"/>
      <c r="AU695" s="117"/>
      <c r="AV695" s="117"/>
      <c r="AW695" s="117"/>
      <c r="AX695" s="117"/>
      <c r="AY695" s="117"/>
      <c r="AZ695" s="117"/>
      <c r="BA695" s="117"/>
      <c r="BB695" s="117"/>
      <c r="BC695" s="117"/>
      <c r="BD695" s="117"/>
      <c r="BE695" s="117"/>
      <c r="BF695" s="117"/>
      <c r="BG695" s="117"/>
    </row>
    <row r="696" spans="1:59">
      <c r="A696" s="117"/>
      <c r="B696" s="117"/>
      <c r="C696" s="117"/>
      <c r="D696" s="117"/>
      <c r="E696" s="117"/>
      <c r="F696" s="117"/>
      <c r="G696" s="117"/>
      <c r="H696" s="117"/>
      <c r="I696" s="117"/>
      <c r="J696" s="118"/>
      <c r="K696" s="118"/>
      <c r="L696" s="118"/>
      <c r="M696" s="118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  <c r="AD696" s="117"/>
      <c r="AE696" s="117"/>
      <c r="AF696" s="117"/>
      <c r="AG696" s="117"/>
      <c r="AH696" s="117"/>
      <c r="AI696" s="117"/>
      <c r="AJ696" s="117"/>
      <c r="AK696" s="117"/>
      <c r="AL696" s="117"/>
      <c r="AM696" s="117"/>
      <c r="AN696" s="117"/>
      <c r="AO696" s="117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  <c r="AZ696" s="117"/>
      <c r="BA696" s="117"/>
      <c r="BB696" s="117"/>
      <c r="BC696" s="117"/>
      <c r="BD696" s="117"/>
      <c r="BE696" s="117"/>
      <c r="BF696" s="117"/>
      <c r="BG696" s="117"/>
    </row>
    <row r="697" spans="1:59">
      <c r="A697" s="117"/>
      <c r="B697" s="117"/>
      <c r="C697" s="117"/>
      <c r="D697" s="117"/>
      <c r="E697" s="117"/>
      <c r="F697" s="117"/>
      <c r="G697" s="117"/>
      <c r="H697" s="117"/>
      <c r="I697" s="117"/>
      <c r="J697" s="118"/>
      <c r="K697" s="118"/>
      <c r="L697" s="118"/>
      <c r="M697" s="118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117"/>
      <c r="AD697" s="117"/>
      <c r="AE697" s="117"/>
      <c r="AF697" s="117"/>
      <c r="AG697" s="117"/>
      <c r="AH697" s="117"/>
      <c r="AI697" s="117"/>
      <c r="AJ697" s="117"/>
      <c r="AK697" s="117"/>
      <c r="AL697" s="117"/>
      <c r="AM697" s="117"/>
      <c r="AN697" s="117"/>
      <c r="AO697" s="117"/>
      <c r="AP697" s="117"/>
      <c r="AQ697" s="117"/>
      <c r="AR697" s="117"/>
      <c r="AS697" s="117"/>
      <c r="AT697" s="117"/>
      <c r="AU697" s="117"/>
      <c r="AV697" s="117"/>
      <c r="AW697" s="117"/>
      <c r="AX697" s="117"/>
      <c r="AY697" s="117"/>
      <c r="AZ697" s="117"/>
      <c r="BA697" s="117"/>
      <c r="BB697" s="117"/>
      <c r="BC697" s="117"/>
      <c r="BD697" s="117"/>
      <c r="BE697" s="117"/>
      <c r="BF697" s="117"/>
      <c r="BG697" s="117"/>
    </row>
    <row r="698" spans="1:59">
      <c r="A698" s="117"/>
      <c r="B698" s="117"/>
      <c r="C698" s="117"/>
      <c r="D698" s="117"/>
      <c r="E698" s="117"/>
      <c r="F698" s="117"/>
      <c r="G698" s="117"/>
      <c r="H698" s="117"/>
      <c r="I698" s="117"/>
      <c r="J698" s="118"/>
      <c r="K698" s="118"/>
      <c r="L698" s="118"/>
      <c r="M698" s="118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117"/>
      <c r="AD698" s="117"/>
      <c r="AE698" s="117"/>
      <c r="AF698" s="117"/>
      <c r="AG698" s="117"/>
      <c r="AH698" s="117"/>
      <c r="AI698" s="117"/>
      <c r="AJ698" s="117"/>
      <c r="AK698" s="117"/>
      <c r="AL698" s="117"/>
      <c r="AM698" s="117"/>
      <c r="AN698" s="117"/>
      <c r="AO698" s="117"/>
      <c r="AP698" s="117"/>
      <c r="AQ698" s="117"/>
      <c r="AR698" s="117"/>
      <c r="AS698" s="117"/>
      <c r="AT698" s="117"/>
      <c r="AU698" s="117"/>
      <c r="AV698" s="117"/>
      <c r="AW698" s="117"/>
      <c r="AX698" s="117"/>
      <c r="AY698" s="117"/>
      <c r="AZ698" s="117"/>
      <c r="BA698" s="117"/>
      <c r="BB698" s="117"/>
      <c r="BC698" s="117"/>
      <c r="BD698" s="117"/>
      <c r="BE698" s="117"/>
      <c r="BF698" s="117"/>
      <c r="BG698" s="117"/>
    </row>
    <row r="699" spans="1:59">
      <c r="A699" s="117"/>
      <c r="B699" s="117"/>
      <c r="C699" s="117"/>
      <c r="D699" s="117"/>
      <c r="E699" s="117"/>
      <c r="F699" s="117"/>
      <c r="G699" s="117"/>
      <c r="H699" s="117"/>
      <c r="I699" s="117"/>
      <c r="J699" s="118"/>
      <c r="K699" s="118"/>
      <c r="L699" s="118"/>
      <c r="M699" s="118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117"/>
      <c r="AD699" s="117"/>
      <c r="AE699" s="117"/>
      <c r="AF699" s="117"/>
      <c r="AG699" s="117"/>
      <c r="AH699" s="117"/>
      <c r="AI699" s="117"/>
      <c r="AJ699" s="117"/>
      <c r="AK699" s="117"/>
      <c r="AL699" s="117"/>
      <c r="AM699" s="117"/>
      <c r="AN699" s="117"/>
      <c r="AO699" s="117"/>
      <c r="AP699" s="117"/>
      <c r="AQ699" s="117"/>
      <c r="AR699" s="117"/>
      <c r="AS699" s="117"/>
      <c r="AT699" s="117"/>
      <c r="AU699" s="117"/>
      <c r="AV699" s="117"/>
      <c r="AW699" s="117"/>
      <c r="AX699" s="117"/>
      <c r="AY699" s="117"/>
      <c r="AZ699" s="117"/>
      <c r="BA699" s="117"/>
      <c r="BB699" s="117"/>
      <c r="BC699" s="117"/>
      <c r="BD699" s="117"/>
      <c r="BE699" s="117"/>
      <c r="BF699" s="117"/>
      <c r="BG699" s="117"/>
    </row>
    <row r="700" spans="1:59">
      <c r="A700" s="117"/>
      <c r="B700" s="117"/>
      <c r="C700" s="117"/>
      <c r="D700" s="117"/>
      <c r="E700" s="117"/>
      <c r="F700" s="117"/>
      <c r="G700" s="117"/>
      <c r="H700" s="117"/>
      <c r="I700" s="117"/>
      <c r="J700" s="118"/>
      <c r="K700" s="118"/>
      <c r="L700" s="118"/>
      <c r="M700" s="118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117"/>
      <c r="AD700" s="117"/>
      <c r="AE700" s="117"/>
      <c r="AF700" s="117"/>
      <c r="AG700" s="117"/>
      <c r="AH700" s="117"/>
      <c r="AI700" s="117"/>
      <c r="AJ700" s="117"/>
      <c r="AK700" s="117"/>
      <c r="AL700" s="117"/>
      <c r="AM700" s="117"/>
      <c r="AN700" s="117"/>
      <c r="AO700" s="117"/>
      <c r="AP700" s="117"/>
      <c r="AQ700" s="117"/>
      <c r="AR700" s="117"/>
      <c r="AS700" s="117"/>
      <c r="AT700" s="117"/>
      <c r="AU700" s="117"/>
      <c r="AV700" s="117"/>
      <c r="AW700" s="117"/>
      <c r="AX700" s="117"/>
      <c r="AY700" s="117"/>
      <c r="AZ700" s="117"/>
      <c r="BA700" s="117"/>
      <c r="BB700" s="117"/>
      <c r="BC700" s="117"/>
      <c r="BD700" s="117"/>
      <c r="BE700" s="117"/>
      <c r="BF700" s="117"/>
      <c r="BG700" s="117"/>
    </row>
    <row r="701" spans="1:59">
      <c r="A701" s="117"/>
      <c r="B701" s="117"/>
      <c r="C701" s="117"/>
      <c r="D701" s="117"/>
      <c r="E701" s="117"/>
      <c r="F701" s="117"/>
      <c r="G701" s="117"/>
      <c r="H701" s="117"/>
      <c r="I701" s="117"/>
      <c r="J701" s="118"/>
      <c r="K701" s="118"/>
      <c r="L701" s="118"/>
      <c r="M701" s="118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117"/>
      <c r="AD701" s="117"/>
      <c r="AE701" s="117"/>
      <c r="AF701" s="117"/>
      <c r="AG701" s="117"/>
      <c r="AH701" s="117"/>
      <c r="AI701" s="117"/>
      <c r="AJ701" s="117"/>
      <c r="AK701" s="117"/>
      <c r="AL701" s="117"/>
      <c r="AM701" s="117"/>
      <c r="AN701" s="117"/>
      <c r="AO701" s="117"/>
      <c r="AP701" s="117"/>
      <c r="AQ701" s="117"/>
      <c r="AR701" s="117"/>
      <c r="AS701" s="117"/>
      <c r="AT701" s="117"/>
      <c r="AU701" s="117"/>
      <c r="AV701" s="117"/>
      <c r="AW701" s="117"/>
      <c r="AX701" s="117"/>
      <c r="AY701" s="117"/>
      <c r="AZ701" s="117"/>
      <c r="BA701" s="117"/>
      <c r="BB701" s="117"/>
      <c r="BC701" s="117"/>
      <c r="BD701" s="117"/>
      <c r="BE701" s="117"/>
      <c r="BF701" s="117"/>
      <c r="BG701" s="117"/>
    </row>
    <row r="702" spans="1:59">
      <c r="A702" s="117"/>
      <c r="B702" s="117"/>
      <c r="C702" s="117"/>
      <c r="D702" s="117"/>
      <c r="E702" s="117"/>
      <c r="F702" s="117"/>
      <c r="G702" s="117"/>
      <c r="H702" s="117"/>
      <c r="I702" s="117"/>
      <c r="J702" s="118"/>
      <c r="K702" s="118"/>
      <c r="L702" s="118"/>
      <c r="M702" s="118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117"/>
      <c r="AD702" s="117"/>
      <c r="AE702" s="117"/>
      <c r="AF702" s="117"/>
      <c r="AG702" s="117"/>
      <c r="AH702" s="117"/>
      <c r="AI702" s="117"/>
      <c r="AJ702" s="117"/>
      <c r="AK702" s="117"/>
      <c r="AL702" s="117"/>
      <c r="AM702" s="117"/>
      <c r="AN702" s="117"/>
      <c r="AO702" s="117"/>
      <c r="AP702" s="117"/>
      <c r="AQ702" s="117"/>
      <c r="AR702" s="117"/>
      <c r="AS702" s="117"/>
      <c r="AT702" s="117"/>
      <c r="AU702" s="117"/>
      <c r="AV702" s="117"/>
      <c r="AW702" s="117"/>
      <c r="AX702" s="117"/>
      <c r="AY702" s="117"/>
      <c r="AZ702" s="117"/>
      <c r="BA702" s="117"/>
      <c r="BB702" s="117"/>
      <c r="BC702" s="117"/>
      <c r="BD702" s="117"/>
      <c r="BE702" s="117"/>
      <c r="BF702" s="117"/>
      <c r="BG702" s="117"/>
    </row>
    <row r="703" spans="1:59">
      <c r="A703" s="117"/>
      <c r="B703" s="117"/>
      <c r="C703" s="117"/>
      <c r="D703" s="117"/>
      <c r="E703" s="117"/>
      <c r="F703" s="117"/>
      <c r="G703" s="117"/>
      <c r="H703" s="117"/>
      <c r="I703" s="117"/>
      <c r="J703" s="118"/>
      <c r="K703" s="118"/>
      <c r="L703" s="118"/>
      <c r="M703" s="118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117"/>
      <c r="AD703" s="117"/>
      <c r="AE703" s="117"/>
      <c r="AF703" s="117"/>
      <c r="AG703" s="117"/>
      <c r="AH703" s="117"/>
      <c r="AI703" s="117"/>
      <c r="AJ703" s="117"/>
      <c r="AK703" s="117"/>
      <c r="AL703" s="117"/>
      <c r="AM703" s="117"/>
      <c r="AN703" s="117"/>
      <c r="AO703" s="117"/>
      <c r="AP703" s="117"/>
      <c r="AQ703" s="117"/>
      <c r="AR703" s="117"/>
      <c r="AS703" s="117"/>
      <c r="AT703" s="117"/>
      <c r="AU703" s="117"/>
      <c r="AV703" s="117"/>
      <c r="AW703" s="117"/>
      <c r="AX703" s="117"/>
      <c r="AY703" s="117"/>
      <c r="AZ703" s="117"/>
      <c r="BA703" s="117"/>
      <c r="BB703" s="117"/>
      <c r="BC703" s="117"/>
      <c r="BD703" s="117"/>
      <c r="BE703" s="117"/>
      <c r="BF703" s="117"/>
      <c r="BG703" s="117"/>
    </row>
    <row r="704" spans="1:59">
      <c r="A704" s="117"/>
      <c r="B704" s="117"/>
      <c r="C704" s="117"/>
      <c r="D704" s="117"/>
      <c r="E704" s="117"/>
      <c r="F704" s="117"/>
      <c r="G704" s="117"/>
      <c r="H704" s="117"/>
      <c r="I704" s="117"/>
      <c r="J704" s="118"/>
      <c r="K704" s="118"/>
      <c r="L704" s="118"/>
      <c r="M704" s="118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117"/>
      <c r="AD704" s="117"/>
      <c r="AE704" s="117"/>
      <c r="AF704" s="117"/>
      <c r="AG704" s="117"/>
      <c r="AH704" s="117"/>
      <c r="AI704" s="117"/>
      <c r="AJ704" s="117"/>
      <c r="AK704" s="117"/>
      <c r="AL704" s="117"/>
      <c r="AM704" s="117"/>
      <c r="AN704" s="117"/>
      <c r="AO704" s="117"/>
      <c r="AP704" s="117"/>
      <c r="AQ704" s="117"/>
      <c r="AR704" s="117"/>
      <c r="AS704" s="117"/>
      <c r="AT704" s="117"/>
      <c r="AU704" s="117"/>
      <c r="AV704" s="117"/>
      <c r="AW704" s="117"/>
      <c r="AX704" s="117"/>
      <c r="AY704" s="117"/>
      <c r="AZ704" s="117"/>
      <c r="BA704" s="117"/>
      <c r="BB704" s="117"/>
      <c r="BC704" s="117"/>
      <c r="BD704" s="117"/>
      <c r="BE704" s="117"/>
      <c r="BF704" s="117"/>
      <c r="BG704" s="117"/>
    </row>
    <row r="705" spans="1:59">
      <c r="A705" s="117"/>
      <c r="B705" s="117"/>
      <c r="C705" s="117"/>
      <c r="D705" s="117"/>
      <c r="E705" s="117"/>
      <c r="F705" s="117"/>
      <c r="G705" s="117"/>
      <c r="H705" s="117"/>
      <c r="I705" s="117"/>
      <c r="J705" s="118"/>
      <c r="K705" s="118"/>
      <c r="L705" s="118"/>
      <c r="M705" s="118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117"/>
      <c r="AD705" s="117"/>
      <c r="AE705" s="117"/>
      <c r="AF705" s="117"/>
      <c r="AG705" s="117"/>
      <c r="AH705" s="117"/>
      <c r="AI705" s="117"/>
      <c r="AJ705" s="117"/>
      <c r="AK705" s="117"/>
      <c r="AL705" s="117"/>
      <c r="AM705" s="117"/>
      <c r="AN705" s="117"/>
      <c r="AO705" s="117"/>
      <c r="AP705" s="117"/>
      <c r="AQ705" s="117"/>
      <c r="AR705" s="117"/>
      <c r="AS705" s="117"/>
      <c r="AT705" s="117"/>
      <c r="AU705" s="117"/>
      <c r="AV705" s="117"/>
      <c r="AW705" s="117"/>
      <c r="AX705" s="117"/>
      <c r="AY705" s="117"/>
      <c r="AZ705" s="117"/>
      <c r="BA705" s="117"/>
      <c r="BB705" s="117"/>
      <c r="BC705" s="117"/>
      <c r="BD705" s="117"/>
      <c r="BE705" s="117"/>
      <c r="BF705" s="117"/>
      <c r="BG705" s="117"/>
    </row>
    <row r="706" spans="1:59">
      <c r="A706" s="117"/>
      <c r="B706" s="117"/>
      <c r="C706" s="117"/>
      <c r="D706" s="117"/>
      <c r="E706" s="117"/>
      <c r="F706" s="117"/>
      <c r="G706" s="117"/>
      <c r="H706" s="117"/>
      <c r="I706" s="117"/>
      <c r="J706" s="118"/>
      <c r="K706" s="118"/>
      <c r="L706" s="118"/>
      <c r="M706" s="118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117"/>
      <c r="AD706" s="117"/>
      <c r="AE706" s="117"/>
      <c r="AF706" s="117"/>
      <c r="AG706" s="117"/>
      <c r="AH706" s="117"/>
      <c r="AI706" s="117"/>
      <c r="AJ706" s="117"/>
      <c r="AK706" s="117"/>
      <c r="AL706" s="117"/>
      <c r="AM706" s="117"/>
      <c r="AN706" s="117"/>
      <c r="AO706" s="117"/>
      <c r="AP706" s="117"/>
      <c r="AQ706" s="117"/>
      <c r="AR706" s="117"/>
      <c r="AS706" s="117"/>
      <c r="AT706" s="117"/>
      <c r="AU706" s="117"/>
      <c r="AV706" s="117"/>
      <c r="AW706" s="117"/>
      <c r="AX706" s="117"/>
      <c r="AY706" s="117"/>
      <c r="AZ706" s="117"/>
      <c r="BA706" s="117"/>
      <c r="BB706" s="117"/>
      <c r="BC706" s="117"/>
      <c r="BD706" s="117"/>
      <c r="BE706" s="117"/>
      <c r="BF706" s="117"/>
      <c r="BG706" s="117"/>
    </row>
    <row r="707" spans="1:59">
      <c r="A707" s="117"/>
      <c r="B707" s="117"/>
      <c r="C707" s="117"/>
      <c r="D707" s="117"/>
      <c r="E707" s="117"/>
      <c r="F707" s="117"/>
      <c r="G707" s="117"/>
      <c r="H707" s="117"/>
      <c r="I707" s="117"/>
      <c r="J707" s="118"/>
      <c r="K707" s="118"/>
      <c r="L707" s="118"/>
      <c r="M707" s="118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117"/>
      <c r="AD707" s="117"/>
      <c r="AE707" s="117"/>
      <c r="AF707" s="117"/>
      <c r="AG707" s="117"/>
      <c r="AH707" s="117"/>
      <c r="AI707" s="117"/>
      <c r="AJ707" s="117"/>
      <c r="AK707" s="117"/>
      <c r="AL707" s="117"/>
      <c r="AM707" s="117"/>
      <c r="AN707" s="117"/>
      <c r="AO707" s="117"/>
      <c r="AP707" s="117"/>
      <c r="AQ707" s="117"/>
      <c r="AR707" s="117"/>
      <c r="AS707" s="117"/>
      <c r="AT707" s="117"/>
      <c r="AU707" s="117"/>
      <c r="AV707" s="117"/>
      <c r="AW707" s="117"/>
      <c r="AX707" s="117"/>
      <c r="AY707" s="117"/>
      <c r="AZ707" s="117"/>
      <c r="BA707" s="117"/>
      <c r="BB707" s="117"/>
      <c r="BC707" s="117"/>
      <c r="BD707" s="117"/>
      <c r="BE707" s="117"/>
      <c r="BF707" s="117"/>
      <c r="BG707" s="117"/>
    </row>
    <row r="708" spans="1:59">
      <c r="A708" s="117"/>
      <c r="B708" s="117"/>
      <c r="C708" s="117"/>
      <c r="D708" s="117"/>
      <c r="E708" s="117"/>
      <c r="F708" s="117"/>
      <c r="G708" s="117"/>
      <c r="H708" s="117"/>
      <c r="I708" s="117"/>
      <c r="J708" s="118"/>
      <c r="K708" s="118"/>
      <c r="L708" s="118"/>
      <c r="M708" s="118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117"/>
      <c r="AD708" s="117"/>
      <c r="AE708" s="117"/>
      <c r="AF708" s="117"/>
      <c r="AG708" s="117"/>
      <c r="AH708" s="117"/>
      <c r="AI708" s="117"/>
      <c r="AJ708" s="117"/>
      <c r="AK708" s="117"/>
      <c r="AL708" s="117"/>
      <c r="AM708" s="117"/>
      <c r="AN708" s="117"/>
      <c r="AO708" s="117"/>
      <c r="AP708" s="117"/>
      <c r="AQ708" s="117"/>
      <c r="AR708" s="117"/>
      <c r="AS708" s="117"/>
      <c r="AT708" s="117"/>
      <c r="AU708" s="117"/>
      <c r="AV708" s="117"/>
      <c r="AW708" s="117"/>
      <c r="AX708" s="117"/>
      <c r="AY708" s="117"/>
      <c r="AZ708" s="117"/>
      <c r="BA708" s="117"/>
      <c r="BB708" s="117"/>
      <c r="BC708" s="117"/>
      <c r="BD708" s="117"/>
      <c r="BE708" s="117"/>
      <c r="BF708" s="117"/>
      <c r="BG708" s="117"/>
    </row>
    <row r="709" spans="1:59">
      <c r="A709" s="117"/>
      <c r="B709" s="117"/>
      <c r="C709" s="117"/>
      <c r="D709" s="117"/>
      <c r="E709" s="117"/>
      <c r="F709" s="117"/>
      <c r="G709" s="117"/>
      <c r="H709" s="117"/>
      <c r="I709" s="117"/>
      <c r="J709" s="118"/>
      <c r="K709" s="118"/>
      <c r="L709" s="118"/>
      <c r="M709" s="118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117"/>
      <c r="AD709" s="117"/>
      <c r="AE709" s="117"/>
      <c r="AF709" s="117"/>
      <c r="AG709" s="117"/>
      <c r="AH709" s="117"/>
      <c r="AI709" s="117"/>
      <c r="AJ709" s="117"/>
      <c r="AK709" s="117"/>
      <c r="AL709" s="117"/>
      <c r="AM709" s="117"/>
      <c r="AN709" s="117"/>
      <c r="AO709" s="117"/>
      <c r="AP709" s="117"/>
      <c r="AQ709" s="117"/>
      <c r="AR709" s="117"/>
      <c r="AS709" s="117"/>
      <c r="AT709" s="117"/>
      <c r="AU709" s="117"/>
      <c r="AV709" s="117"/>
      <c r="AW709" s="117"/>
      <c r="AX709" s="117"/>
      <c r="AY709" s="117"/>
      <c r="AZ709" s="117"/>
      <c r="BA709" s="117"/>
      <c r="BB709" s="117"/>
      <c r="BC709" s="117"/>
      <c r="BD709" s="117"/>
      <c r="BE709" s="117"/>
      <c r="BF709" s="117"/>
      <c r="BG709" s="117"/>
    </row>
    <row r="710" spans="1:59">
      <c r="A710" s="117"/>
      <c r="B710" s="117"/>
      <c r="C710" s="117"/>
      <c r="D710" s="117"/>
      <c r="E710" s="117"/>
      <c r="F710" s="117"/>
      <c r="G710" s="117"/>
      <c r="H710" s="117"/>
      <c r="I710" s="117"/>
      <c r="J710" s="118"/>
      <c r="K710" s="118"/>
      <c r="L710" s="118"/>
      <c r="M710" s="118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117"/>
      <c r="AD710" s="117"/>
      <c r="AE710" s="117"/>
      <c r="AF710" s="117"/>
      <c r="AG710" s="117"/>
      <c r="AH710" s="117"/>
      <c r="AI710" s="117"/>
      <c r="AJ710" s="117"/>
      <c r="AK710" s="117"/>
      <c r="AL710" s="117"/>
      <c r="AM710" s="117"/>
      <c r="AN710" s="117"/>
      <c r="AO710" s="117"/>
      <c r="AP710" s="117"/>
      <c r="AQ710" s="117"/>
      <c r="AR710" s="117"/>
      <c r="AS710" s="117"/>
      <c r="AT710" s="117"/>
      <c r="AU710" s="117"/>
      <c r="AV710" s="117"/>
      <c r="AW710" s="117"/>
      <c r="AX710" s="117"/>
      <c r="AY710" s="117"/>
      <c r="AZ710" s="117"/>
      <c r="BA710" s="117"/>
      <c r="BB710" s="117"/>
      <c r="BC710" s="117"/>
      <c r="BD710" s="117"/>
      <c r="BE710" s="117"/>
      <c r="BF710" s="117"/>
      <c r="BG710" s="117"/>
    </row>
    <row r="711" spans="1:59">
      <c r="A711" s="117"/>
      <c r="B711" s="117"/>
      <c r="C711" s="117"/>
      <c r="D711" s="117"/>
      <c r="E711" s="117"/>
      <c r="F711" s="117"/>
      <c r="G711" s="117"/>
      <c r="H711" s="117"/>
      <c r="I711" s="117"/>
      <c r="J711" s="118"/>
      <c r="K711" s="118"/>
      <c r="L711" s="118"/>
      <c r="M711" s="118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117"/>
      <c r="AD711" s="117"/>
      <c r="AE711" s="117"/>
      <c r="AF711" s="117"/>
      <c r="AG711" s="117"/>
      <c r="AH711" s="117"/>
      <c r="AI711" s="117"/>
      <c r="AJ711" s="117"/>
      <c r="AK711" s="117"/>
      <c r="AL711" s="117"/>
      <c r="AM711" s="117"/>
      <c r="AN711" s="117"/>
      <c r="AO711" s="117"/>
      <c r="AP711" s="117"/>
      <c r="AQ711" s="117"/>
      <c r="AR711" s="117"/>
      <c r="AS711" s="117"/>
      <c r="AT711" s="117"/>
      <c r="AU711" s="117"/>
      <c r="AV711" s="117"/>
      <c r="AW711" s="117"/>
      <c r="AX711" s="117"/>
      <c r="AY711" s="117"/>
      <c r="AZ711" s="117"/>
      <c r="BA711" s="117"/>
      <c r="BB711" s="117"/>
      <c r="BC711" s="117"/>
      <c r="BD711" s="117"/>
      <c r="BE711" s="117"/>
      <c r="BF711" s="117"/>
      <c r="BG711" s="117"/>
    </row>
    <row r="712" spans="1:59">
      <c r="A712" s="117"/>
      <c r="B712" s="117"/>
      <c r="C712" s="117"/>
      <c r="D712" s="117"/>
      <c r="E712" s="117"/>
      <c r="F712" s="117"/>
      <c r="G712" s="117"/>
      <c r="H712" s="117"/>
      <c r="I712" s="117"/>
      <c r="J712" s="118"/>
      <c r="K712" s="118"/>
      <c r="L712" s="118"/>
      <c r="M712" s="118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  <c r="AH712" s="117"/>
      <c r="AI712" s="117"/>
      <c r="AJ712" s="117"/>
      <c r="AK712" s="117"/>
      <c r="AL712" s="117"/>
      <c r="AM712" s="117"/>
      <c r="AN712" s="117"/>
      <c r="AO712" s="117"/>
      <c r="AP712" s="117"/>
      <c r="AQ712" s="117"/>
      <c r="AR712" s="117"/>
      <c r="AS712" s="117"/>
      <c r="AT712" s="117"/>
      <c r="AU712" s="117"/>
      <c r="AV712" s="117"/>
      <c r="AW712" s="117"/>
      <c r="AX712" s="117"/>
      <c r="AY712" s="117"/>
      <c r="AZ712" s="117"/>
      <c r="BA712" s="117"/>
      <c r="BB712" s="117"/>
      <c r="BC712" s="117"/>
      <c r="BD712" s="117"/>
      <c r="BE712" s="117"/>
      <c r="BF712" s="117"/>
      <c r="BG712" s="117"/>
    </row>
    <row r="713" spans="1:59">
      <c r="A713" s="117"/>
      <c r="B713" s="117"/>
      <c r="C713" s="117"/>
      <c r="D713" s="117"/>
      <c r="E713" s="117"/>
      <c r="F713" s="117"/>
      <c r="G713" s="117"/>
      <c r="H713" s="117"/>
      <c r="I713" s="117"/>
      <c r="J713" s="118"/>
      <c r="K713" s="118"/>
      <c r="L713" s="118"/>
      <c r="M713" s="118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117"/>
      <c r="AD713" s="117"/>
      <c r="AE713" s="117"/>
      <c r="AF713" s="117"/>
      <c r="AG713" s="117"/>
      <c r="AH713" s="117"/>
      <c r="AI713" s="117"/>
      <c r="AJ713" s="117"/>
      <c r="AK713" s="117"/>
      <c r="AL713" s="117"/>
      <c r="AM713" s="117"/>
      <c r="AN713" s="117"/>
      <c r="AO713" s="117"/>
      <c r="AP713" s="117"/>
      <c r="AQ713" s="117"/>
      <c r="AR713" s="117"/>
      <c r="AS713" s="117"/>
      <c r="AT713" s="117"/>
      <c r="AU713" s="117"/>
      <c r="AV713" s="117"/>
      <c r="AW713" s="117"/>
      <c r="AX713" s="117"/>
      <c r="AY713" s="117"/>
      <c r="AZ713" s="117"/>
      <c r="BA713" s="117"/>
      <c r="BB713" s="117"/>
      <c r="BC713" s="117"/>
      <c r="BD713" s="117"/>
      <c r="BE713" s="117"/>
      <c r="BF713" s="117"/>
      <c r="BG713" s="117"/>
    </row>
    <row r="714" spans="1:59">
      <c r="A714" s="117"/>
      <c r="B714" s="117"/>
      <c r="C714" s="117"/>
      <c r="D714" s="117"/>
      <c r="E714" s="117"/>
      <c r="F714" s="117"/>
      <c r="G714" s="117"/>
      <c r="H714" s="117"/>
      <c r="I714" s="117"/>
      <c r="J714" s="118"/>
      <c r="K714" s="118"/>
      <c r="L714" s="118"/>
      <c r="M714" s="118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117"/>
      <c r="AD714" s="117"/>
      <c r="AE714" s="117"/>
      <c r="AF714" s="117"/>
      <c r="AG714" s="117"/>
      <c r="AH714" s="117"/>
      <c r="AI714" s="117"/>
      <c r="AJ714" s="117"/>
      <c r="AK714" s="117"/>
      <c r="AL714" s="117"/>
      <c r="AM714" s="117"/>
      <c r="AN714" s="117"/>
      <c r="AO714" s="117"/>
      <c r="AP714" s="117"/>
      <c r="AQ714" s="117"/>
      <c r="AR714" s="117"/>
      <c r="AS714" s="117"/>
      <c r="AT714" s="117"/>
      <c r="AU714" s="117"/>
      <c r="AV714" s="117"/>
      <c r="AW714" s="117"/>
      <c r="AX714" s="117"/>
      <c r="AY714" s="117"/>
      <c r="AZ714" s="117"/>
      <c r="BA714" s="117"/>
      <c r="BB714" s="117"/>
      <c r="BC714" s="117"/>
      <c r="BD714" s="117"/>
      <c r="BE714" s="117"/>
      <c r="BF714" s="117"/>
      <c r="BG714" s="117"/>
    </row>
    <row r="715" spans="1:59">
      <c r="A715" s="117"/>
      <c r="B715" s="117"/>
      <c r="C715" s="117"/>
      <c r="D715" s="117"/>
      <c r="E715" s="117"/>
      <c r="F715" s="117"/>
      <c r="G715" s="117"/>
      <c r="H715" s="117"/>
      <c r="I715" s="117"/>
      <c r="J715" s="118"/>
      <c r="K715" s="118"/>
      <c r="L715" s="118"/>
      <c r="M715" s="118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117"/>
      <c r="AD715" s="117"/>
      <c r="AE715" s="117"/>
      <c r="AF715" s="117"/>
      <c r="AG715" s="117"/>
      <c r="AH715" s="117"/>
      <c r="AI715" s="117"/>
      <c r="AJ715" s="117"/>
      <c r="AK715" s="117"/>
      <c r="AL715" s="117"/>
      <c r="AM715" s="117"/>
      <c r="AN715" s="117"/>
      <c r="AO715" s="117"/>
      <c r="AP715" s="117"/>
      <c r="AQ715" s="117"/>
      <c r="AR715" s="117"/>
      <c r="AS715" s="117"/>
      <c r="AT715" s="117"/>
      <c r="AU715" s="117"/>
      <c r="AV715" s="117"/>
      <c r="AW715" s="117"/>
      <c r="AX715" s="117"/>
      <c r="AY715" s="117"/>
      <c r="AZ715" s="117"/>
      <c r="BA715" s="117"/>
      <c r="BB715" s="117"/>
      <c r="BC715" s="117"/>
      <c r="BD715" s="117"/>
      <c r="BE715" s="117"/>
      <c r="BF715" s="117"/>
      <c r="BG715" s="117"/>
    </row>
    <row r="716" spans="1:59">
      <c r="A716" s="117"/>
      <c r="B716" s="117"/>
      <c r="C716" s="117"/>
      <c r="D716" s="117"/>
      <c r="E716" s="117"/>
      <c r="F716" s="117"/>
      <c r="G716" s="117"/>
      <c r="H716" s="117"/>
      <c r="I716" s="117"/>
      <c r="J716" s="118"/>
      <c r="K716" s="118"/>
      <c r="L716" s="118"/>
      <c r="M716" s="118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117"/>
      <c r="AD716" s="117"/>
      <c r="AE716" s="117"/>
      <c r="AF716" s="117"/>
      <c r="AG716" s="117"/>
      <c r="AH716" s="117"/>
      <c r="AI716" s="117"/>
      <c r="AJ716" s="117"/>
      <c r="AK716" s="117"/>
      <c r="AL716" s="117"/>
      <c r="AM716" s="117"/>
      <c r="AN716" s="117"/>
      <c r="AO716" s="117"/>
      <c r="AP716" s="117"/>
      <c r="AQ716" s="117"/>
      <c r="AR716" s="117"/>
      <c r="AS716" s="117"/>
      <c r="AT716" s="117"/>
      <c r="AU716" s="117"/>
      <c r="AV716" s="117"/>
      <c r="AW716" s="117"/>
      <c r="AX716" s="117"/>
      <c r="AY716" s="117"/>
      <c r="AZ716" s="117"/>
      <c r="BA716" s="117"/>
      <c r="BB716" s="117"/>
      <c r="BC716" s="117"/>
      <c r="BD716" s="117"/>
      <c r="BE716" s="117"/>
      <c r="BF716" s="117"/>
      <c r="BG716" s="117"/>
    </row>
    <row r="717" spans="1:59">
      <c r="A717" s="117"/>
      <c r="B717" s="117"/>
      <c r="C717" s="117"/>
      <c r="D717" s="117"/>
      <c r="E717" s="117"/>
      <c r="F717" s="117"/>
      <c r="G717" s="117"/>
      <c r="H717" s="117"/>
      <c r="I717" s="117"/>
      <c r="J717" s="118"/>
      <c r="K717" s="118"/>
      <c r="L717" s="118"/>
      <c r="M717" s="118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117"/>
      <c r="AD717" s="117"/>
      <c r="AE717" s="117"/>
      <c r="AF717" s="117"/>
      <c r="AG717" s="117"/>
      <c r="AH717" s="117"/>
      <c r="AI717" s="117"/>
      <c r="AJ717" s="117"/>
      <c r="AK717" s="117"/>
      <c r="AL717" s="117"/>
      <c r="AM717" s="117"/>
      <c r="AN717" s="117"/>
      <c r="AO717" s="117"/>
      <c r="AP717" s="117"/>
      <c r="AQ717" s="117"/>
      <c r="AR717" s="117"/>
      <c r="AS717" s="117"/>
      <c r="AT717" s="117"/>
      <c r="AU717" s="117"/>
      <c r="AV717" s="117"/>
      <c r="AW717" s="117"/>
      <c r="AX717" s="117"/>
      <c r="AY717" s="117"/>
      <c r="AZ717" s="117"/>
      <c r="BA717" s="117"/>
      <c r="BB717" s="117"/>
      <c r="BC717" s="117"/>
      <c r="BD717" s="117"/>
      <c r="BE717" s="117"/>
      <c r="BF717" s="117"/>
      <c r="BG717" s="117"/>
    </row>
    <row r="718" spans="1:59">
      <c r="A718" s="117"/>
      <c r="B718" s="117"/>
      <c r="C718" s="117"/>
      <c r="D718" s="117"/>
      <c r="E718" s="117"/>
      <c r="F718" s="117"/>
      <c r="G718" s="117"/>
      <c r="H718" s="117"/>
      <c r="I718" s="117"/>
      <c r="J718" s="118"/>
      <c r="K718" s="118"/>
      <c r="L718" s="118"/>
      <c r="M718" s="118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117"/>
      <c r="AD718" s="117"/>
      <c r="AE718" s="117"/>
      <c r="AF718" s="117"/>
      <c r="AG718" s="117"/>
      <c r="AH718" s="117"/>
      <c r="AI718" s="117"/>
      <c r="AJ718" s="117"/>
      <c r="AK718" s="117"/>
      <c r="AL718" s="117"/>
      <c r="AM718" s="117"/>
      <c r="AN718" s="117"/>
      <c r="AO718" s="117"/>
      <c r="AP718" s="117"/>
      <c r="AQ718" s="117"/>
      <c r="AR718" s="117"/>
      <c r="AS718" s="117"/>
      <c r="AT718" s="117"/>
      <c r="AU718" s="117"/>
      <c r="AV718" s="117"/>
      <c r="AW718" s="117"/>
      <c r="AX718" s="117"/>
      <c r="AY718" s="117"/>
      <c r="AZ718" s="117"/>
      <c r="BA718" s="117"/>
      <c r="BB718" s="117"/>
      <c r="BC718" s="117"/>
      <c r="BD718" s="117"/>
      <c r="BE718" s="117"/>
      <c r="BF718" s="117"/>
      <c r="BG718" s="117"/>
    </row>
    <row r="719" spans="1:59">
      <c r="A719" s="117"/>
      <c r="B719" s="117"/>
      <c r="C719" s="117"/>
      <c r="D719" s="117"/>
      <c r="E719" s="117"/>
      <c r="F719" s="117"/>
      <c r="G719" s="117"/>
      <c r="H719" s="117"/>
      <c r="I719" s="117"/>
      <c r="J719" s="118"/>
      <c r="K719" s="118"/>
      <c r="L719" s="118"/>
      <c r="M719" s="118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117"/>
      <c r="AD719" s="117"/>
      <c r="AE719" s="117"/>
      <c r="AF719" s="117"/>
      <c r="AG719" s="117"/>
      <c r="AH719" s="117"/>
      <c r="AI719" s="117"/>
      <c r="AJ719" s="117"/>
      <c r="AK719" s="117"/>
      <c r="AL719" s="117"/>
      <c r="AM719" s="117"/>
      <c r="AN719" s="117"/>
      <c r="AO719" s="117"/>
      <c r="AP719" s="117"/>
      <c r="AQ719" s="117"/>
      <c r="AR719" s="117"/>
      <c r="AS719" s="117"/>
      <c r="AT719" s="117"/>
      <c r="AU719" s="117"/>
      <c r="AV719" s="117"/>
      <c r="AW719" s="117"/>
      <c r="AX719" s="117"/>
      <c r="AY719" s="117"/>
      <c r="AZ719" s="117"/>
      <c r="BA719" s="117"/>
      <c r="BB719" s="117"/>
      <c r="BC719" s="117"/>
      <c r="BD719" s="117"/>
      <c r="BE719" s="117"/>
      <c r="BF719" s="117"/>
      <c r="BG719" s="117"/>
    </row>
    <row r="720" spans="1:59">
      <c r="A720" s="117"/>
      <c r="B720" s="117"/>
      <c r="C720" s="117"/>
      <c r="D720" s="117"/>
      <c r="E720" s="117"/>
      <c r="F720" s="117"/>
      <c r="G720" s="117"/>
      <c r="H720" s="117"/>
      <c r="I720" s="117"/>
      <c r="J720" s="118"/>
      <c r="K720" s="118"/>
      <c r="L720" s="118"/>
      <c r="M720" s="118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117"/>
      <c r="AD720" s="117"/>
      <c r="AE720" s="117"/>
      <c r="AF720" s="117"/>
      <c r="AG720" s="117"/>
      <c r="AH720" s="117"/>
      <c r="AI720" s="117"/>
      <c r="AJ720" s="117"/>
      <c r="AK720" s="117"/>
      <c r="AL720" s="117"/>
      <c r="AM720" s="117"/>
      <c r="AN720" s="117"/>
      <c r="AO720" s="117"/>
      <c r="AP720" s="117"/>
      <c r="AQ720" s="117"/>
      <c r="AR720" s="117"/>
      <c r="AS720" s="117"/>
      <c r="AT720" s="117"/>
      <c r="AU720" s="117"/>
      <c r="AV720" s="117"/>
      <c r="AW720" s="117"/>
      <c r="AX720" s="117"/>
      <c r="AY720" s="117"/>
      <c r="AZ720" s="117"/>
      <c r="BA720" s="117"/>
      <c r="BB720" s="117"/>
      <c r="BC720" s="117"/>
      <c r="BD720" s="117"/>
      <c r="BE720" s="117"/>
      <c r="BF720" s="117"/>
      <c r="BG720" s="117"/>
    </row>
    <row r="721" spans="1:59">
      <c r="A721" s="117"/>
      <c r="B721" s="117"/>
      <c r="C721" s="117"/>
      <c r="D721" s="117"/>
      <c r="E721" s="117"/>
      <c r="F721" s="117"/>
      <c r="G721" s="117"/>
      <c r="H721" s="117"/>
      <c r="I721" s="117"/>
      <c r="J721" s="118"/>
      <c r="K721" s="118"/>
      <c r="L721" s="118"/>
      <c r="M721" s="118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117"/>
      <c r="AD721" s="117"/>
      <c r="AE721" s="117"/>
      <c r="AF721" s="117"/>
      <c r="AG721" s="117"/>
      <c r="AH721" s="117"/>
      <c r="AI721" s="117"/>
      <c r="AJ721" s="117"/>
      <c r="AK721" s="117"/>
      <c r="AL721" s="117"/>
      <c r="AM721" s="117"/>
      <c r="AN721" s="117"/>
      <c r="AO721" s="117"/>
      <c r="AP721" s="117"/>
      <c r="AQ721" s="117"/>
      <c r="AR721" s="117"/>
      <c r="AS721" s="117"/>
      <c r="AT721" s="117"/>
      <c r="AU721" s="117"/>
      <c r="AV721" s="117"/>
      <c r="AW721" s="117"/>
      <c r="AX721" s="117"/>
      <c r="AY721" s="117"/>
      <c r="AZ721" s="117"/>
      <c r="BA721" s="117"/>
      <c r="BB721" s="117"/>
      <c r="BC721" s="117"/>
      <c r="BD721" s="117"/>
      <c r="BE721" s="117"/>
      <c r="BF721" s="117"/>
      <c r="BG721" s="117"/>
    </row>
    <row r="722" spans="1:59">
      <c r="A722" s="117"/>
      <c r="B722" s="117"/>
      <c r="C722" s="117"/>
      <c r="D722" s="117"/>
      <c r="E722" s="117"/>
      <c r="F722" s="117"/>
      <c r="G722" s="117"/>
      <c r="H722" s="117"/>
      <c r="I722" s="117"/>
      <c r="J722" s="118"/>
      <c r="K722" s="118"/>
      <c r="L722" s="118"/>
      <c r="M722" s="118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117"/>
      <c r="AD722" s="117"/>
      <c r="AE722" s="117"/>
      <c r="AF722" s="117"/>
      <c r="AG722" s="117"/>
      <c r="AH722" s="117"/>
      <c r="AI722" s="117"/>
      <c r="AJ722" s="117"/>
      <c r="AK722" s="117"/>
      <c r="AL722" s="117"/>
      <c r="AM722" s="117"/>
      <c r="AN722" s="117"/>
      <c r="AO722" s="117"/>
      <c r="AP722" s="117"/>
      <c r="AQ722" s="117"/>
      <c r="AR722" s="117"/>
      <c r="AS722" s="117"/>
      <c r="AT722" s="117"/>
      <c r="AU722" s="117"/>
      <c r="AV722" s="117"/>
      <c r="AW722" s="117"/>
      <c r="AX722" s="117"/>
      <c r="AY722" s="117"/>
      <c r="AZ722" s="117"/>
      <c r="BA722" s="117"/>
      <c r="BB722" s="117"/>
      <c r="BC722" s="117"/>
      <c r="BD722" s="117"/>
      <c r="BE722" s="117"/>
      <c r="BF722" s="117"/>
      <c r="BG722" s="117"/>
    </row>
    <row r="723" spans="1:59">
      <c r="A723" s="117"/>
      <c r="B723" s="117"/>
      <c r="C723" s="117"/>
      <c r="D723" s="117"/>
      <c r="E723" s="117"/>
      <c r="F723" s="117"/>
      <c r="G723" s="117"/>
      <c r="H723" s="117"/>
      <c r="I723" s="117"/>
      <c r="J723" s="118"/>
      <c r="K723" s="118"/>
      <c r="L723" s="118"/>
      <c r="M723" s="118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117"/>
      <c r="AD723" s="117"/>
      <c r="AE723" s="117"/>
      <c r="AF723" s="117"/>
      <c r="AG723" s="117"/>
      <c r="AH723" s="117"/>
      <c r="AI723" s="117"/>
      <c r="AJ723" s="117"/>
      <c r="AK723" s="117"/>
      <c r="AL723" s="117"/>
      <c r="AM723" s="117"/>
      <c r="AN723" s="117"/>
      <c r="AO723" s="117"/>
      <c r="AP723" s="117"/>
      <c r="AQ723" s="117"/>
      <c r="AR723" s="117"/>
      <c r="AS723" s="117"/>
      <c r="AT723" s="117"/>
      <c r="AU723" s="117"/>
      <c r="AV723" s="117"/>
      <c r="AW723" s="117"/>
      <c r="AX723" s="117"/>
      <c r="AY723" s="117"/>
      <c r="AZ723" s="117"/>
      <c r="BA723" s="117"/>
      <c r="BB723" s="117"/>
      <c r="BC723" s="117"/>
      <c r="BD723" s="117"/>
      <c r="BE723" s="117"/>
      <c r="BF723" s="117"/>
      <c r="BG723" s="117"/>
    </row>
    <row r="724" spans="1:59">
      <c r="A724" s="117"/>
      <c r="B724" s="117"/>
      <c r="C724" s="117"/>
      <c r="D724" s="117"/>
      <c r="E724" s="117"/>
      <c r="F724" s="117"/>
      <c r="G724" s="117"/>
      <c r="H724" s="117"/>
      <c r="I724" s="117"/>
      <c r="J724" s="118"/>
      <c r="K724" s="118"/>
      <c r="L724" s="118"/>
      <c r="M724" s="118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117"/>
      <c r="AD724" s="117"/>
      <c r="AE724" s="117"/>
      <c r="AF724" s="117"/>
      <c r="AG724" s="117"/>
      <c r="AH724" s="117"/>
      <c r="AI724" s="117"/>
      <c r="AJ724" s="117"/>
      <c r="AK724" s="117"/>
      <c r="AL724" s="117"/>
      <c r="AM724" s="117"/>
      <c r="AN724" s="117"/>
      <c r="AO724" s="117"/>
      <c r="AP724" s="117"/>
      <c r="AQ724" s="117"/>
      <c r="AR724" s="117"/>
      <c r="AS724" s="117"/>
      <c r="AT724" s="117"/>
      <c r="AU724" s="117"/>
      <c r="AV724" s="117"/>
      <c r="AW724" s="117"/>
      <c r="AX724" s="117"/>
      <c r="AY724" s="117"/>
      <c r="AZ724" s="117"/>
      <c r="BA724" s="117"/>
      <c r="BB724" s="117"/>
      <c r="BC724" s="117"/>
      <c r="BD724" s="117"/>
      <c r="BE724" s="117"/>
      <c r="BF724" s="117"/>
      <c r="BG724" s="117"/>
    </row>
    <row r="725" spans="1:59">
      <c r="A725" s="117"/>
      <c r="B725" s="117"/>
      <c r="C725" s="117"/>
      <c r="D725" s="117"/>
      <c r="E725" s="117"/>
      <c r="F725" s="117"/>
      <c r="G725" s="117"/>
      <c r="H725" s="117"/>
      <c r="I725" s="117"/>
      <c r="J725" s="118"/>
      <c r="K725" s="118"/>
      <c r="L725" s="118"/>
      <c r="M725" s="118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117"/>
      <c r="AD725" s="117"/>
      <c r="AE725" s="117"/>
      <c r="AF725" s="117"/>
      <c r="AG725" s="117"/>
      <c r="AH725" s="117"/>
      <c r="AI725" s="117"/>
      <c r="AJ725" s="117"/>
      <c r="AK725" s="117"/>
      <c r="AL725" s="117"/>
      <c r="AM725" s="117"/>
      <c r="AN725" s="117"/>
      <c r="AO725" s="117"/>
      <c r="AP725" s="117"/>
      <c r="AQ725" s="117"/>
      <c r="AR725" s="117"/>
      <c r="AS725" s="117"/>
      <c r="AT725" s="117"/>
      <c r="AU725" s="117"/>
      <c r="AV725" s="117"/>
      <c r="AW725" s="117"/>
      <c r="AX725" s="117"/>
      <c r="AY725" s="117"/>
      <c r="AZ725" s="117"/>
      <c r="BA725" s="117"/>
      <c r="BB725" s="117"/>
      <c r="BC725" s="117"/>
      <c r="BD725" s="117"/>
      <c r="BE725" s="117"/>
      <c r="BF725" s="117"/>
      <c r="BG725" s="117"/>
    </row>
    <row r="726" spans="1:59">
      <c r="A726" s="117"/>
      <c r="B726" s="117"/>
      <c r="C726" s="117"/>
      <c r="D726" s="117"/>
      <c r="E726" s="117"/>
      <c r="F726" s="117"/>
      <c r="G726" s="117"/>
      <c r="H726" s="117"/>
      <c r="I726" s="117"/>
      <c r="J726" s="118"/>
      <c r="K726" s="118"/>
      <c r="L726" s="118"/>
      <c r="M726" s="118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117"/>
      <c r="AD726" s="117"/>
      <c r="AE726" s="117"/>
      <c r="AF726" s="117"/>
      <c r="AG726" s="117"/>
      <c r="AH726" s="117"/>
      <c r="AI726" s="117"/>
      <c r="AJ726" s="117"/>
      <c r="AK726" s="117"/>
      <c r="AL726" s="117"/>
      <c r="AM726" s="117"/>
      <c r="AN726" s="117"/>
      <c r="AO726" s="117"/>
      <c r="AP726" s="117"/>
      <c r="AQ726" s="117"/>
      <c r="AR726" s="117"/>
      <c r="AS726" s="117"/>
      <c r="AT726" s="117"/>
      <c r="AU726" s="117"/>
      <c r="AV726" s="117"/>
      <c r="AW726" s="117"/>
      <c r="AX726" s="117"/>
      <c r="AY726" s="117"/>
      <c r="AZ726" s="117"/>
      <c r="BA726" s="117"/>
      <c r="BB726" s="117"/>
      <c r="BC726" s="117"/>
      <c r="BD726" s="117"/>
      <c r="BE726" s="117"/>
      <c r="BF726" s="117"/>
      <c r="BG726" s="117"/>
    </row>
    <row r="727" spans="1:59">
      <c r="A727" s="117"/>
      <c r="B727" s="117"/>
      <c r="C727" s="117"/>
      <c r="D727" s="117"/>
      <c r="E727" s="117"/>
      <c r="F727" s="117"/>
      <c r="G727" s="117"/>
      <c r="H727" s="117"/>
      <c r="I727" s="117"/>
      <c r="J727" s="118"/>
      <c r="K727" s="118"/>
      <c r="L727" s="118"/>
      <c r="M727" s="118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117"/>
      <c r="AD727" s="117"/>
      <c r="AE727" s="117"/>
      <c r="AF727" s="117"/>
      <c r="AG727" s="117"/>
      <c r="AH727" s="117"/>
      <c r="AI727" s="117"/>
      <c r="AJ727" s="117"/>
      <c r="AK727" s="117"/>
      <c r="AL727" s="117"/>
      <c r="AM727" s="117"/>
      <c r="AN727" s="117"/>
      <c r="AO727" s="117"/>
      <c r="AP727" s="117"/>
      <c r="AQ727" s="117"/>
      <c r="AR727" s="117"/>
      <c r="AS727" s="117"/>
      <c r="AT727" s="117"/>
      <c r="AU727" s="117"/>
      <c r="AV727" s="117"/>
      <c r="AW727" s="117"/>
      <c r="AX727" s="117"/>
      <c r="AY727" s="117"/>
      <c r="AZ727" s="117"/>
      <c r="BA727" s="117"/>
      <c r="BB727" s="117"/>
      <c r="BC727" s="117"/>
      <c r="BD727" s="117"/>
      <c r="BE727" s="117"/>
      <c r="BF727" s="117"/>
      <c r="BG727" s="117"/>
    </row>
    <row r="728" spans="1:59">
      <c r="A728" s="117"/>
      <c r="B728" s="117"/>
      <c r="C728" s="117"/>
      <c r="D728" s="117"/>
      <c r="E728" s="117"/>
      <c r="F728" s="117"/>
      <c r="G728" s="117"/>
      <c r="H728" s="117"/>
      <c r="I728" s="117"/>
      <c r="J728" s="118"/>
      <c r="K728" s="118"/>
      <c r="L728" s="118"/>
      <c r="M728" s="118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117"/>
      <c r="AD728" s="117"/>
      <c r="AE728" s="117"/>
      <c r="AF728" s="117"/>
      <c r="AG728" s="117"/>
      <c r="AH728" s="117"/>
      <c r="AI728" s="117"/>
      <c r="AJ728" s="117"/>
      <c r="AK728" s="117"/>
      <c r="AL728" s="117"/>
      <c r="AM728" s="117"/>
      <c r="AN728" s="117"/>
      <c r="AO728" s="117"/>
      <c r="AP728" s="117"/>
      <c r="AQ728" s="117"/>
      <c r="AR728" s="117"/>
      <c r="AS728" s="117"/>
      <c r="AT728" s="117"/>
      <c r="AU728" s="117"/>
      <c r="AV728" s="117"/>
      <c r="AW728" s="117"/>
      <c r="AX728" s="117"/>
      <c r="AY728" s="117"/>
      <c r="AZ728" s="117"/>
      <c r="BA728" s="117"/>
      <c r="BB728" s="117"/>
      <c r="BC728" s="117"/>
      <c r="BD728" s="117"/>
      <c r="BE728" s="117"/>
      <c r="BF728" s="117"/>
      <c r="BG728" s="117"/>
    </row>
    <row r="729" spans="1:59">
      <c r="A729" s="117"/>
      <c r="B729" s="117"/>
      <c r="C729" s="117"/>
      <c r="D729" s="117"/>
      <c r="E729" s="117"/>
      <c r="F729" s="117"/>
      <c r="G729" s="117"/>
      <c r="H729" s="117"/>
      <c r="I729" s="117"/>
      <c r="J729" s="118"/>
      <c r="K729" s="118"/>
      <c r="L729" s="118"/>
      <c r="M729" s="118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117"/>
      <c r="AD729" s="117"/>
      <c r="AE729" s="117"/>
      <c r="AF729" s="117"/>
      <c r="AG729" s="117"/>
      <c r="AH729" s="117"/>
      <c r="AI729" s="117"/>
      <c r="AJ729" s="117"/>
      <c r="AK729" s="117"/>
      <c r="AL729" s="117"/>
      <c r="AM729" s="117"/>
      <c r="AN729" s="117"/>
      <c r="AO729" s="117"/>
      <c r="AP729" s="117"/>
      <c r="AQ729" s="117"/>
      <c r="AR729" s="117"/>
      <c r="AS729" s="117"/>
      <c r="AT729" s="117"/>
      <c r="AU729" s="117"/>
      <c r="AV729" s="117"/>
      <c r="AW729" s="117"/>
      <c r="AX729" s="117"/>
      <c r="AY729" s="117"/>
      <c r="AZ729" s="117"/>
      <c r="BA729" s="117"/>
      <c r="BB729" s="117"/>
      <c r="BC729" s="117"/>
      <c r="BD729" s="117"/>
      <c r="BE729" s="117"/>
      <c r="BF729" s="117"/>
      <c r="BG729" s="117"/>
    </row>
    <row r="730" spans="1:59">
      <c r="A730" s="117"/>
      <c r="B730" s="117"/>
      <c r="C730" s="117"/>
      <c r="D730" s="117"/>
      <c r="E730" s="117"/>
      <c r="F730" s="117"/>
      <c r="G730" s="117"/>
      <c r="H730" s="117"/>
      <c r="I730" s="117"/>
      <c r="J730" s="118"/>
      <c r="K730" s="118"/>
      <c r="L730" s="118"/>
      <c r="M730" s="118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117"/>
      <c r="AD730" s="117"/>
      <c r="AE730" s="117"/>
      <c r="AF730" s="117"/>
      <c r="AG730" s="117"/>
      <c r="AH730" s="117"/>
      <c r="AI730" s="117"/>
      <c r="AJ730" s="117"/>
      <c r="AK730" s="117"/>
      <c r="AL730" s="117"/>
      <c r="AM730" s="117"/>
      <c r="AN730" s="117"/>
      <c r="AO730" s="117"/>
      <c r="AP730" s="117"/>
      <c r="AQ730" s="117"/>
      <c r="AR730" s="117"/>
      <c r="AS730" s="117"/>
      <c r="AT730" s="117"/>
      <c r="AU730" s="117"/>
      <c r="AV730" s="117"/>
      <c r="AW730" s="117"/>
      <c r="AX730" s="117"/>
      <c r="AY730" s="117"/>
      <c r="AZ730" s="117"/>
      <c r="BA730" s="117"/>
      <c r="BB730" s="117"/>
      <c r="BC730" s="117"/>
      <c r="BD730" s="117"/>
      <c r="BE730" s="117"/>
      <c r="BF730" s="117"/>
      <c r="BG730" s="117"/>
    </row>
    <row r="731" spans="1:59">
      <c r="A731" s="117"/>
      <c r="B731" s="117"/>
      <c r="C731" s="117"/>
      <c r="D731" s="117"/>
      <c r="E731" s="117"/>
      <c r="F731" s="117"/>
      <c r="G731" s="117"/>
      <c r="H731" s="117"/>
      <c r="I731" s="117"/>
      <c r="J731" s="118"/>
      <c r="K731" s="118"/>
      <c r="L731" s="118"/>
      <c r="M731" s="118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117"/>
      <c r="AD731" s="117"/>
      <c r="AE731" s="117"/>
      <c r="AF731" s="117"/>
      <c r="AG731" s="117"/>
      <c r="AH731" s="117"/>
      <c r="AI731" s="117"/>
      <c r="AJ731" s="117"/>
      <c r="AK731" s="117"/>
      <c r="AL731" s="117"/>
      <c r="AM731" s="117"/>
      <c r="AN731" s="117"/>
      <c r="AO731" s="117"/>
      <c r="AP731" s="117"/>
      <c r="AQ731" s="117"/>
      <c r="AR731" s="117"/>
      <c r="AS731" s="117"/>
      <c r="AT731" s="117"/>
      <c r="AU731" s="117"/>
      <c r="AV731" s="117"/>
      <c r="AW731" s="117"/>
      <c r="AX731" s="117"/>
      <c r="AY731" s="117"/>
      <c r="AZ731" s="117"/>
      <c r="BA731" s="117"/>
      <c r="BB731" s="117"/>
      <c r="BC731" s="117"/>
      <c r="BD731" s="117"/>
      <c r="BE731" s="117"/>
      <c r="BF731" s="117"/>
      <c r="BG731" s="117"/>
    </row>
    <row r="732" spans="1:59">
      <c r="A732" s="117"/>
      <c r="B732" s="117"/>
      <c r="C732" s="117"/>
      <c r="D732" s="117"/>
      <c r="E732" s="117"/>
      <c r="F732" s="117"/>
      <c r="G732" s="117"/>
      <c r="H732" s="117"/>
      <c r="I732" s="117"/>
      <c r="J732" s="118"/>
      <c r="K732" s="118"/>
      <c r="L732" s="118"/>
      <c r="M732" s="118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117"/>
      <c r="AD732" s="117"/>
      <c r="AE732" s="117"/>
      <c r="AF732" s="117"/>
      <c r="AG732" s="117"/>
      <c r="AH732" s="117"/>
      <c r="AI732" s="117"/>
      <c r="AJ732" s="117"/>
      <c r="AK732" s="117"/>
      <c r="AL732" s="117"/>
      <c r="AM732" s="117"/>
      <c r="AN732" s="117"/>
      <c r="AO732" s="117"/>
      <c r="AP732" s="117"/>
      <c r="AQ732" s="117"/>
      <c r="AR732" s="117"/>
      <c r="AS732" s="117"/>
      <c r="AT732" s="117"/>
      <c r="AU732" s="117"/>
      <c r="AV732" s="117"/>
      <c r="AW732" s="117"/>
      <c r="AX732" s="117"/>
      <c r="AY732" s="117"/>
      <c r="AZ732" s="117"/>
      <c r="BA732" s="117"/>
      <c r="BB732" s="117"/>
      <c r="BC732" s="117"/>
      <c r="BD732" s="117"/>
      <c r="BE732" s="117"/>
      <c r="BF732" s="117"/>
      <c r="BG732" s="117"/>
    </row>
    <row r="733" spans="1:59">
      <c r="A733" s="117"/>
      <c r="B733" s="117"/>
      <c r="C733" s="117"/>
      <c r="D733" s="117"/>
      <c r="E733" s="117"/>
      <c r="F733" s="117"/>
      <c r="G733" s="117"/>
      <c r="H733" s="117"/>
      <c r="I733" s="117"/>
      <c r="J733" s="118"/>
      <c r="K733" s="118"/>
      <c r="L733" s="118"/>
      <c r="M733" s="118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117"/>
      <c r="AD733" s="117"/>
      <c r="AE733" s="117"/>
      <c r="AF733" s="117"/>
      <c r="AG733" s="117"/>
      <c r="AH733" s="117"/>
      <c r="AI733" s="117"/>
      <c r="AJ733" s="117"/>
      <c r="AK733" s="117"/>
      <c r="AL733" s="117"/>
      <c r="AM733" s="117"/>
      <c r="AN733" s="117"/>
      <c r="AO733" s="117"/>
      <c r="AP733" s="117"/>
      <c r="AQ733" s="117"/>
      <c r="AR733" s="117"/>
      <c r="AS733" s="117"/>
      <c r="AT733" s="117"/>
      <c r="AU733" s="117"/>
      <c r="AV733" s="117"/>
      <c r="AW733" s="117"/>
      <c r="AX733" s="117"/>
      <c r="AY733" s="117"/>
      <c r="AZ733" s="117"/>
      <c r="BA733" s="117"/>
      <c r="BB733" s="117"/>
      <c r="BC733" s="117"/>
      <c r="BD733" s="117"/>
      <c r="BE733" s="117"/>
      <c r="BF733" s="117"/>
      <c r="BG733" s="117"/>
    </row>
    <row r="734" spans="1:59">
      <c r="A734" s="117"/>
      <c r="B734" s="117"/>
      <c r="C734" s="117"/>
      <c r="D734" s="117"/>
      <c r="E734" s="117"/>
      <c r="F734" s="117"/>
      <c r="G734" s="117"/>
      <c r="H734" s="117"/>
      <c r="I734" s="117"/>
      <c r="J734" s="118"/>
      <c r="K734" s="118"/>
      <c r="L734" s="118"/>
      <c r="M734" s="118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117"/>
      <c r="AD734" s="117"/>
      <c r="AE734" s="117"/>
      <c r="AF734" s="117"/>
      <c r="AG734" s="117"/>
      <c r="AH734" s="117"/>
      <c r="AI734" s="117"/>
      <c r="AJ734" s="117"/>
      <c r="AK734" s="117"/>
      <c r="AL734" s="117"/>
      <c r="AM734" s="117"/>
      <c r="AN734" s="117"/>
      <c r="AO734" s="117"/>
      <c r="AP734" s="117"/>
      <c r="AQ734" s="117"/>
      <c r="AR734" s="117"/>
      <c r="AS734" s="117"/>
      <c r="AT734" s="117"/>
      <c r="AU734" s="117"/>
      <c r="AV734" s="117"/>
      <c r="AW734" s="117"/>
      <c r="AX734" s="117"/>
      <c r="AY734" s="117"/>
      <c r="AZ734" s="117"/>
      <c r="BA734" s="117"/>
      <c r="BB734" s="117"/>
      <c r="BC734" s="117"/>
      <c r="BD734" s="117"/>
      <c r="BE734" s="117"/>
      <c r="BF734" s="117"/>
      <c r="BG734" s="117"/>
    </row>
    <row r="735" spans="1:59">
      <c r="A735" s="117"/>
      <c r="B735" s="117"/>
      <c r="C735" s="117"/>
      <c r="D735" s="117"/>
      <c r="E735" s="117"/>
      <c r="F735" s="117"/>
      <c r="G735" s="117"/>
      <c r="H735" s="117"/>
      <c r="I735" s="117"/>
      <c r="J735" s="118"/>
      <c r="K735" s="118"/>
      <c r="L735" s="118"/>
      <c r="M735" s="118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117"/>
      <c r="AD735" s="117"/>
      <c r="AE735" s="117"/>
      <c r="AF735" s="117"/>
      <c r="AG735" s="117"/>
      <c r="AH735" s="117"/>
      <c r="AI735" s="117"/>
      <c r="AJ735" s="117"/>
      <c r="AK735" s="117"/>
      <c r="AL735" s="117"/>
      <c r="AM735" s="117"/>
      <c r="AN735" s="117"/>
      <c r="AO735" s="117"/>
      <c r="AP735" s="117"/>
      <c r="AQ735" s="117"/>
      <c r="AR735" s="117"/>
      <c r="AS735" s="117"/>
      <c r="AT735" s="117"/>
      <c r="AU735" s="117"/>
      <c r="AV735" s="117"/>
      <c r="AW735" s="117"/>
      <c r="AX735" s="117"/>
      <c r="AY735" s="117"/>
      <c r="AZ735" s="117"/>
      <c r="BA735" s="117"/>
      <c r="BB735" s="117"/>
      <c r="BC735" s="117"/>
      <c r="BD735" s="117"/>
      <c r="BE735" s="117"/>
      <c r="BF735" s="117"/>
      <c r="BG735" s="117"/>
    </row>
    <row r="736" spans="1:59">
      <c r="A736" s="117"/>
      <c r="B736" s="117"/>
      <c r="C736" s="117"/>
      <c r="D736" s="117"/>
      <c r="E736" s="117"/>
      <c r="F736" s="117"/>
      <c r="G736" s="117"/>
      <c r="H736" s="117"/>
      <c r="I736" s="117"/>
      <c r="J736" s="118"/>
      <c r="K736" s="118"/>
      <c r="L736" s="118"/>
      <c r="M736" s="118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117"/>
      <c r="AD736" s="117"/>
      <c r="AE736" s="117"/>
      <c r="AF736" s="117"/>
      <c r="AG736" s="117"/>
      <c r="AH736" s="117"/>
      <c r="AI736" s="117"/>
      <c r="AJ736" s="117"/>
      <c r="AK736" s="117"/>
      <c r="AL736" s="117"/>
      <c r="AM736" s="117"/>
      <c r="AN736" s="117"/>
      <c r="AO736" s="117"/>
      <c r="AP736" s="117"/>
      <c r="AQ736" s="117"/>
      <c r="AR736" s="117"/>
      <c r="AS736" s="117"/>
      <c r="AT736" s="117"/>
      <c r="AU736" s="117"/>
      <c r="AV736" s="117"/>
      <c r="AW736" s="117"/>
      <c r="AX736" s="117"/>
      <c r="AY736" s="117"/>
      <c r="AZ736" s="117"/>
      <c r="BA736" s="117"/>
      <c r="BB736" s="117"/>
      <c r="BC736" s="117"/>
      <c r="BD736" s="117"/>
      <c r="BE736" s="117"/>
      <c r="BF736" s="117"/>
      <c r="BG736" s="117"/>
    </row>
    <row r="737" spans="1:59">
      <c r="A737" s="117"/>
      <c r="B737" s="117"/>
      <c r="C737" s="117"/>
      <c r="D737" s="117"/>
      <c r="E737" s="117"/>
      <c r="F737" s="117"/>
      <c r="G737" s="117"/>
      <c r="H737" s="117"/>
      <c r="I737" s="117"/>
      <c r="J737" s="118"/>
      <c r="K737" s="118"/>
      <c r="L737" s="118"/>
      <c r="M737" s="118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117"/>
      <c r="AD737" s="117"/>
      <c r="AE737" s="117"/>
      <c r="AF737" s="117"/>
      <c r="AG737" s="117"/>
      <c r="AH737" s="117"/>
      <c r="AI737" s="117"/>
      <c r="AJ737" s="117"/>
      <c r="AK737" s="117"/>
      <c r="AL737" s="117"/>
      <c r="AM737" s="117"/>
      <c r="AN737" s="117"/>
      <c r="AO737" s="117"/>
      <c r="AP737" s="117"/>
      <c r="AQ737" s="117"/>
      <c r="AR737" s="117"/>
      <c r="AS737" s="117"/>
      <c r="AT737" s="117"/>
      <c r="AU737" s="117"/>
      <c r="AV737" s="117"/>
      <c r="AW737" s="117"/>
      <c r="AX737" s="117"/>
      <c r="AY737" s="117"/>
      <c r="AZ737" s="117"/>
      <c r="BA737" s="117"/>
      <c r="BB737" s="117"/>
      <c r="BC737" s="117"/>
      <c r="BD737" s="117"/>
      <c r="BE737" s="117"/>
      <c r="BF737" s="117"/>
      <c r="BG737" s="117"/>
    </row>
    <row r="738" spans="1:59">
      <c r="A738" s="117"/>
      <c r="B738" s="117"/>
      <c r="C738" s="117"/>
      <c r="D738" s="117"/>
      <c r="E738" s="117"/>
      <c r="F738" s="117"/>
      <c r="G738" s="117"/>
      <c r="H738" s="117"/>
      <c r="I738" s="117"/>
      <c r="J738" s="118"/>
      <c r="K738" s="118"/>
      <c r="L738" s="118"/>
      <c r="M738" s="118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117"/>
      <c r="AD738" s="117"/>
      <c r="AE738" s="117"/>
      <c r="AF738" s="117"/>
      <c r="AG738" s="117"/>
      <c r="AH738" s="117"/>
      <c r="AI738" s="117"/>
      <c r="AJ738" s="117"/>
      <c r="AK738" s="117"/>
      <c r="AL738" s="117"/>
      <c r="AM738" s="117"/>
      <c r="AN738" s="117"/>
      <c r="AO738" s="117"/>
      <c r="AP738" s="117"/>
      <c r="AQ738" s="117"/>
      <c r="AR738" s="117"/>
      <c r="AS738" s="117"/>
      <c r="AT738" s="117"/>
      <c r="AU738" s="117"/>
      <c r="AV738" s="117"/>
      <c r="AW738" s="117"/>
      <c r="AX738" s="117"/>
      <c r="AY738" s="117"/>
      <c r="AZ738" s="117"/>
      <c r="BA738" s="117"/>
      <c r="BB738" s="117"/>
      <c r="BC738" s="117"/>
      <c r="BD738" s="117"/>
      <c r="BE738" s="117"/>
      <c r="BF738" s="117"/>
      <c r="BG738" s="117"/>
    </row>
    <row r="739" spans="1:59">
      <c r="A739" s="117"/>
      <c r="B739" s="117"/>
      <c r="C739" s="117"/>
      <c r="D739" s="117"/>
      <c r="E739" s="117"/>
      <c r="F739" s="117"/>
      <c r="G739" s="117"/>
      <c r="H739" s="117"/>
      <c r="I739" s="117"/>
      <c r="J739" s="118"/>
      <c r="K739" s="118"/>
      <c r="L739" s="118"/>
      <c r="M739" s="118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117"/>
      <c r="AD739" s="117"/>
      <c r="AE739" s="117"/>
      <c r="AF739" s="117"/>
      <c r="AG739" s="117"/>
      <c r="AH739" s="117"/>
      <c r="AI739" s="117"/>
      <c r="AJ739" s="117"/>
      <c r="AK739" s="117"/>
      <c r="AL739" s="117"/>
      <c r="AM739" s="117"/>
      <c r="AN739" s="117"/>
      <c r="AO739" s="117"/>
      <c r="AP739" s="117"/>
      <c r="AQ739" s="117"/>
      <c r="AR739" s="117"/>
      <c r="AS739" s="117"/>
      <c r="AT739" s="117"/>
      <c r="AU739" s="117"/>
      <c r="AV739" s="117"/>
      <c r="AW739" s="117"/>
      <c r="AX739" s="117"/>
      <c r="AY739" s="117"/>
      <c r="AZ739" s="117"/>
      <c r="BA739" s="117"/>
      <c r="BB739" s="117"/>
      <c r="BC739" s="117"/>
      <c r="BD739" s="117"/>
      <c r="BE739" s="117"/>
      <c r="BF739" s="117"/>
      <c r="BG739" s="117"/>
    </row>
    <row r="740" spans="1:59">
      <c r="A740" s="117"/>
      <c r="B740" s="117"/>
      <c r="C740" s="117"/>
      <c r="D740" s="117"/>
      <c r="E740" s="117"/>
      <c r="F740" s="117"/>
      <c r="G740" s="117"/>
      <c r="H740" s="117"/>
      <c r="I740" s="117"/>
      <c r="J740" s="118"/>
      <c r="K740" s="118"/>
      <c r="L740" s="118"/>
      <c r="M740" s="118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117"/>
      <c r="AD740" s="117"/>
      <c r="AE740" s="117"/>
      <c r="AF740" s="117"/>
      <c r="AG740" s="117"/>
      <c r="AH740" s="117"/>
      <c r="AI740" s="117"/>
      <c r="AJ740" s="117"/>
      <c r="AK740" s="117"/>
      <c r="AL740" s="117"/>
      <c r="AM740" s="117"/>
      <c r="AN740" s="117"/>
      <c r="AO740" s="117"/>
      <c r="AP740" s="117"/>
      <c r="AQ740" s="117"/>
      <c r="AR740" s="117"/>
      <c r="AS740" s="117"/>
      <c r="AT740" s="117"/>
      <c r="AU740" s="117"/>
      <c r="AV740" s="117"/>
      <c r="AW740" s="117"/>
      <c r="AX740" s="117"/>
      <c r="AY740" s="117"/>
      <c r="AZ740" s="117"/>
      <c r="BA740" s="117"/>
      <c r="BB740" s="117"/>
      <c r="BC740" s="117"/>
      <c r="BD740" s="117"/>
      <c r="BE740" s="117"/>
      <c r="BF740" s="117"/>
      <c r="BG740" s="117"/>
    </row>
    <row r="741" spans="1:59">
      <c r="A741" s="117"/>
      <c r="B741" s="117"/>
      <c r="C741" s="117"/>
      <c r="D741" s="117"/>
      <c r="E741" s="117"/>
      <c r="F741" s="117"/>
      <c r="G741" s="117"/>
      <c r="H741" s="117"/>
      <c r="I741" s="117"/>
      <c r="J741" s="118"/>
      <c r="K741" s="118"/>
      <c r="L741" s="118"/>
      <c r="M741" s="118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117"/>
      <c r="AD741" s="117"/>
      <c r="AE741" s="117"/>
      <c r="AF741" s="117"/>
      <c r="AG741" s="117"/>
      <c r="AH741" s="117"/>
      <c r="AI741" s="117"/>
      <c r="AJ741" s="117"/>
      <c r="AK741" s="117"/>
      <c r="AL741" s="117"/>
      <c r="AM741" s="117"/>
      <c r="AN741" s="117"/>
      <c r="AO741" s="117"/>
      <c r="AP741" s="117"/>
      <c r="AQ741" s="117"/>
      <c r="AR741" s="117"/>
      <c r="AS741" s="117"/>
      <c r="AT741" s="117"/>
      <c r="AU741" s="117"/>
      <c r="AV741" s="117"/>
      <c r="AW741" s="117"/>
      <c r="AX741" s="117"/>
      <c r="AY741" s="117"/>
      <c r="AZ741" s="117"/>
      <c r="BA741" s="117"/>
      <c r="BB741" s="117"/>
      <c r="BC741" s="117"/>
      <c r="BD741" s="117"/>
      <c r="BE741" s="117"/>
      <c r="BF741" s="117"/>
      <c r="BG741" s="117"/>
    </row>
    <row r="742" spans="1:59">
      <c r="A742" s="117"/>
      <c r="B742" s="117"/>
      <c r="C742" s="117"/>
      <c r="D742" s="117"/>
      <c r="E742" s="117"/>
      <c r="F742" s="117"/>
      <c r="G742" s="117"/>
      <c r="H742" s="117"/>
      <c r="I742" s="117"/>
      <c r="J742" s="118"/>
      <c r="K742" s="118"/>
      <c r="L742" s="118"/>
      <c r="M742" s="118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  <c r="AD742" s="117"/>
      <c r="AE742" s="117"/>
      <c r="AF742" s="117"/>
      <c r="AG742" s="117"/>
      <c r="AH742" s="117"/>
      <c r="AI742" s="117"/>
      <c r="AJ742" s="117"/>
      <c r="AK742" s="117"/>
      <c r="AL742" s="117"/>
      <c r="AM742" s="117"/>
      <c r="AN742" s="117"/>
      <c r="AO742" s="117"/>
      <c r="AP742" s="117"/>
      <c r="AQ742" s="117"/>
      <c r="AR742" s="117"/>
      <c r="AS742" s="117"/>
      <c r="AT742" s="117"/>
      <c r="AU742" s="117"/>
      <c r="AV742" s="117"/>
      <c r="AW742" s="117"/>
      <c r="AX742" s="117"/>
      <c r="AY742" s="117"/>
      <c r="AZ742" s="117"/>
      <c r="BA742" s="117"/>
      <c r="BB742" s="117"/>
      <c r="BC742" s="117"/>
      <c r="BD742" s="117"/>
      <c r="BE742" s="117"/>
      <c r="BF742" s="117"/>
      <c r="BG742" s="117"/>
    </row>
    <row r="743" spans="1:59">
      <c r="A743" s="117"/>
      <c r="B743" s="117"/>
      <c r="C743" s="117"/>
      <c r="D743" s="117"/>
      <c r="E743" s="117"/>
      <c r="F743" s="117"/>
      <c r="G743" s="117"/>
      <c r="H743" s="117"/>
      <c r="I743" s="117"/>
      <c r="J743" s="118"/>
      <c r="K743" s="118"/>
      <c r="L743" s="118"/>
      <c r="M743" s="118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117"/>
      <c r="AD743" s="117"/>
      <c r="AE743" s="117"/>
      <c r="AF743" s="117"/>
      <c r="AG743" s="117"/>
      <c r="AH743" s="117"/>
      <c r="AI743" s="117"/>
      <c r="AJ743" s="117"/>
      <c r="AK743" s="117"/>
      <c r="AL743" s="117"/>
      <c r="AM743" s="117"/>
      <c r="AN743" s="117"/>
      <c r="AO743" s="117"/>
      <c r="AP743" s="117"/>
      <c r="AQ743" s="117"/>
      <c r="AR743" s="117"/>
      <c r="AS743" s="117"/>
      <c r="AT743" s="117"/>
      <c r="AU743" s="117"/>
      <c r="AV743" s="117"/>
      <c r="AW743" s="117"/>
      <c r="AX743" s="117"/>
      <c r="AY743" s="117"/>
      <c r="AZ743" s="117"/>
      <c r="BA743" s="117"/>
      <c r="BB743" s="117"/>
      <c r="BC743" s="117"/>
      <c r="BD743" s="117"/>
      <c r="BE743" s="117"/>
      <c r="BF743" s="117"/>
      <c r="BG743" s="117"/>
    </row>
    <row r="744" spans="1:59">
      <c r="A744" s="117"/>
      <c r="B744" s="117"/>
      <c r="C744" s="117"/>
      <c r="D744" s="117"/>
      <c r="E744" s="117"/>
      <c r="F744" s="117"/>
      <c r="G744" s="117"/>
      <c r="H744" s="117"/>
      <c r="I744" s="117"/>
      <c r="J744" s="118"/>
      <c r="K744" s="118"/>
      <c r="L744" s="118"/>
      <c r="M744" s="118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117"/>
      <c r="AD744" s="117"/>
      <c r="AE744" s="117"/>
      <c r="AF744" s="117"/>
      <c r="AG744" s="117"/>
      <c r="AH744" s="117"/>
      <c r="AI744" s="117"/>
      <c r="AJ744" s="117"/>
      <c r="AK744" s="117"/>
      <c r="AL744" s="117"/>
      <c r="AM744" s="117"/>
      <c r="AN744" s="117"/>
      <c r="AO744" s="117"/>
      <c r="AP744" s="117"/>
      <c r="AQ744" s="117"/>
      <c r="AR744" s="117"/>
      <c r="AS744" s="117"/>
      <c r="AT744" s="117"/>
      <c r="AU744" s="117"/>
      <c r="AV744" s="117"/>
      <c r="AW744" s="117"/>
      <c r="AX744" s="117"/>
      <c r="AY744" s="117"/>
      <c r="AZ744" s="117"/>
      <c r="BA744" s="117"/>
      <c r="BB744" s="117"/>
      <c r="BC744" s="117"/>
      <c r="BD744" s="117"/>
      <c r="BE744" s="117"/>
      <c r="BF744" s="117"/>
      <c r="BG744" s="117"/>
    </row>
    <row r="745" spans="1:59">
      <c r="A745" s="117"/>
      <c r="B745" s="117"/>
      <c r="C745" s="117"/>
      <c r="D745" s="117"/>
      <c r="E745" s="117"/>
      <c r="F745" s="117"/>
      <c r="G745" s="117"/>
      <c r="H745" s="117"/>
      <c r="I745" s="117"/>
      <c r="J745" s="118"/>
      <c r="K745" s="118"/>
      <c r="L745" s="118"/>
      <c r="M745" s="118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117"/>
      <c r="AD745" s="117"/>
      <c r="AE745" s="117"/>
      <c r="AF745" s="117"/>
      <c r="AG745" s="117"/>
      <c r="AH745" s="117"/>
      <c r="AI745" s="117"/>
      <c r="AJ745" s="117"/>
      <c r="AK745" s="117"/>
      <c r="AL745" s="117"/>
      <c r="AM745" s="117"/>
      <c r="AN745" s="117"/>
      <c r="AO745" s="117"/>
      <c r="AP745" s="117"/>
      <c r="AQ745" s="117"/>
      <c r="AR745" s="117"/>
      <c r="AS745" s="117"/>
      <c r="AT745" s="117"/>
      <c r="AU745" s="117"/>
      <c r="AV745" s="117"/>
      <c r="AW745" s="117"/>
      <c r="AX745" s="117"/>
      <c r="AY745" s="117"/>
      <c r="AZ745" s="117"/>
      <c r="BA745" s="117"/>
      <c r="BB745" s="117"/>
      <c r="BC745" s="117"/>
      <c r="BD745" s="117"/>
      <c r="BE745" s="117"/>
      <c r="BF745" s="117"/>
      <c r="BG745" s="117"/>
    </row>
    <row r="746" spans="1:59">
      <c r="A746" s="117"/>
      <c r="B746" s="117"/>
      <c r="C746" s="117"/>
      <c r="D746" s="117"/>
      <c r="E746" s="117"/>
      <c r="F746" s="117"/>
      <c r="G746" s="117"/>
      <c r="H746" s="117"/>
      <c r="I746" s="117"/>
      <c r="J746" s="118"/>
      <c r="K746" s="118"/>
      <c r="L746" s="118"/>
      <c r="M746" s="118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117"/>
      <c r="AD746" s="117"/>
      <c r="AE746" s="117"/>
      <c r="AF746" s="117"/>
      <c r="AG746" s="117"/>
      <c r="AH746" s="117"/>
      <c r="AI746" s="117"/>
      <c r="AJ746" s="117"/>
      <c r="AK746" s="117"/>
      <c r="AL746" s="117"/>
      <c r="AM746" s="117"/>
      <c r="AN746" s="117"/>
      <c r="AO746" s="117"/>
      <c r="AP746" s="117"/>
      <c r="AQ746" s="117"/>
      <c r="AR746" s="117"/>
      <c r="AS746" s="117"/>
      <c r="AT746" s="117"/>
      <c r="AU746" s="117"/>
      <c r="AV746" s="117"/>
      <c r="AW746" s="117"/>
      <c r="AX746" s="117"/>
      <c r="AY746" s="117"/>
      <c r="AZ746" s="117"/>
      <c r="BA746" s="117"/>
      <c r="BB746" s="117"/>
      <c r="BC746" s="117"/>
      <c r="BD746" s="117"/>
      <c r="BE746" s="117"/>
      <c r="BF746" s="117"/>
      <c r="BG746" s="117"/>
    </row>
    <row r="747" spans="1:59">
      <c r="A747" s="117"/>
      <c r="B747" s="117"/>
      <c r="C747" s="117"/>
      <c r="D747" s="117"/>
      <c r="E747" s="117"/>
      <c r="F747" s="117"/>
      <c r="G747" s="117"/>
      <c r="H747" s="117"/>
      <c r="I747" s="117"/>
      <c r="J747" s="118"/>
      <c r="K747" s="118"/>
      <c r="L747" s="118"/>
      <c r="M747" s="118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117"/>
      <c r="AD747" s="117"/>
      <c r="AE747" s="117"/>
      <c r="AF747" s="117"/>
      <c r="AG747" s="117"/>
      <c r="AH747" s="117"/>
      <c r="AI747" s="117"/>
      <c r="AJ747" s="117"/>
      <c r="AK747" s="117"/>
      <c r="AL747" s="117"/>
      <c r="AM747" s="117"/>
      <c r="AN747" s="117"/>
      <c r="AO747" s="117"/>
      <c r="AP747" s="117"/>
      <c r="AQ747" s="117"/>
      <c r="AR747" s="117"/>
      <c r="AS747" s="117"/>
      <c r="AT747" s="117"/>
      <c r="AU747" s="117"/>
      <c r="AV747" s="117"/>
      <c r="AW747" s="117"/>
      <c r="AX747" s="117"/>
      <c r="AY747" s="117"/>
      <c r="AZ747" s="117"/>
      <c r="BA747" s="117"/>
      <c r="BB747" s="117"/>
      <c r="BC747" s="117"/>
      <c r="BD747" s="117"/>
      <c r="BE747" s="117"/>
      <c r="BF747" s="117"/>
      <c r="BG747" s="117"/>
    </row>
    <row r="748" spans="1:59">
      <c r="A748" s="117"/>
      <c r="B748" s="117"/>
      <c r="C748" s="117"/>
      <c r="D748" s="117"/>
      <c r="E748" s="117"/>
      <c r="F748" s="117"/>
      <c r="G748" s="117"/>
      <c r="H748" s="117"/>
      <c r="I748" s="117"/>
      <c r="J748" s="118"/>
      <c r="K748" s="118"/>
      <c r="L748" s="118"/>
      <c r="M748" s="118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117"/>
      <c r="AD748" s="117"/>
      <c r="AE748" s="117"/>
      <c r="AF748" s="117"/>
      <c r="AG748" s="117"/>
      <c r="AH748" s="117"/>
      <c r="AI748" s="117"/>
      <c r="AJ748" s="117"/>
      <c r="AK748" s="117"/>
      <c r="AL748" s="117"/>
      <c r="AM748" s="117"/>
      <c r="AN748" s="117"/>
      <c r="AO748" s="117"/>
      <c r="AP748" s="117"/>
      <c r="AQ748" s="117"/>
      <c r="AR748" s="117"/>
      <c r="AS748" s="117"/>
      <c r="AT748" s="117"/>
      <c r="AU748" s="117"/>
      <c r="AV748" s="117"/>
      <c r="AW748" s="117"/>
      <c r="AX748" s="117"/>
      <c r="AY748" s="117"/>
      <c r="AZ748" s="117"/>
      <c r="BA748" s="117"/>
      <c r="BB748" s="117"/>
      <c r="BC748" s="117"/>
      <c r="BD748" s="117"/>
      <c r="BE748" s="117"/>
      <c r="BF748" s="117"/>
      <c r="BG748" s="117"/>
    </row>
    <row r="749" spans="1:59">
      <c r="A749" s="117"/>
      <c r="B749" s="117"/>
      <c r="C749" s="117"/>
      <c r="D749" s="117"/>
      <c r="E749" s="117"/>
      <c r="F749" s="117"/>
      <c r="G749" s="117"/>
      <c r="H749" s="117"/>
      <c r="I749" s="117"/>
      <c r="J749" s="118"/>
      <c r="K749" s="118"/>
      <c r="L749" s="118"/>
      <c r="M749" s="118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117"/>
      <c r="AD749" s="117"/>
      <c r="AE749" s="117"/>
      <c r="AF749" s="117"/>
      <c r="AG749" s="117"/>
      <c r="AH749" s="117"/>
      <c r="AI749" s="117"/>
      <c r="AJ749" s="117"/>
      <c r="AK749" s="117"/>
      <c r="AL749" s="117"/>
      <c r="AM749" s="117"/>
      <c r="AN749" s="117"/>
      <c r="AO749" s="117"/>
      <c r="AP749" s="117"/>
      <c r="AQ749" s="117"/>
      <c r="AR749" s="117"/>
      <c r="AS749" s="117"/>
      <c r="AT749" s="117"/>
      <c r="AU749" s="117"/>
      <c r="AV749" s="117"/>
      <c r="AW749" s="117"/>
      <c r="AX749" s="117"/>
      <c r="AY749" s="117"/>
      <c r="AZ749" s="117"/>
      <c r="BA749" s="117"/>
      <c r="BB749" s="117"/>
      <c r="BC749" s="117"/>
      <c r="BD749" s="117"/>
      <c r="BE749" s="117"/>
      <c r="BF749" s="117"/>
      <c r="BG749" s="117"/>
    </row>
    <row r="750" spans="1:59">
      <c r="A750" s="117"/>
      <c r="B750" s="117"/>
      <c r="C750" s="117"/>
      <c r="D750" s="117"/>
      <c r="E750" s="117"/>
      <c r="F750" s="117"/>
      <c r="G750" s="117"/>
      <c r="H750" s="117"/>
      <c r="I750" s="117"/>
      <c r="J750" s="118"/>
      <c r="K750" s="118"/>
      <c r="L750" s="118"/>
      <c r="M750" s="118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117"/>
      <c r="AD750" s="117"/>
      <c r="AE750" s="117"/>
      <c r="AF750" s="117"/>
      <c r="AG750" s="117"/>
      <c r="AH750" s="117"/>
      <c r="AI750" s="117"/>
      <c r="AJ750" s="117"/>
      <c r="AK750" s="117"/>
      <c r="AL750" s="117"/>
      <c r="AM750" s="117"/>
      <c r="AN750" s="117"/>
      <c r="AO750" s="117"/>
      <c r="AP750" s="117"/>
      <c r="AQ750" s="117"/>
      <c r="AR750" s="117"/>
      <c r="AS750" s="117"/>
      <c r="AT750" s="117"/>
      <c r="AU750" s="117"/>
      <c r="AV750" s="117"/>
      <c r="AW750" s="117"/>
      <c r="AX750" s="117"/>
      <c r="AY750" s="117"/>
      <c r="AZ750" s="117"/>
      <c r="BA750" s="117"/>
      <c r="BB750" s="117"/>
      <c r="BC750" s="117"/>
      <c r="BD750" s="117"/>
      <c r="BE750" s="117"/>
      <c r="BF750" s="117"/>
      <c r="BG750" s="117"/>
    </row>
    <row r="751" spans="1:59">
      <c r="A751" s="117"/>
      <c r="B751" s="117"/>
      <c r="C751" s="117"/>
      <c r="D751" s="117"/>
      <c r="E751" s="117"/>
      <c r="F751" s="117"/>
      <c r="G751" s="117"/>
      <c r="H751" s="117"/>
      <c r="I751" s="117"/>
      <c r="J751" s="118"/>
      <c r="K751" s="118"/>
      <c r="L751" s="118"/>
      <c r="M751" s="118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117"/>
      <c r="AD751" s="117"/>
      <c r="AE751" s="117"/>
      <c r="AF751" s="117"/>
      <c r="AG751" s="117"/>
      <c r="AH751" s="117"/>
      <c r="AI751" s="117"/>
      <c r="AJ751" s="117"/>
      <c r="AK751" s="117"/>
      <c r="AL751" s="117"/>
      <c r="AM751" s="117"/>
      <c r="AN751" s="117"/>
      <c r="AO751" s="117"/>
      <c r="AP751" s="117"/>
      <c r="AQ751" s="117"/>
      <c r="AR751" s="117"/>
      <c r="AS751" s="117"/>
      <c r="AT751" s="117"/>
      <c r="AU751" s="117"/>
      <c r="AV751" s="117"/>
      <c r="AW751" s="117"/>
      <c r="AX751" s="117"/>
      <c r="AY751" s="117"/>
      <c r="AZ751" s="117"/>
      <c r="BA751" s="117"/>
      <c r="BB751" s="117"/>
      <c r="BC751" s="117"/>
      <c r="BD751" s="117"/>
      <c r="BE751" s="117"/>
      <c r="BF751" s="117"/>
      <c r="BG751" s="117"/>
    </row>
    <row r="752" spans="1:59">
      <c r="A752" s="117"/>
      <c r="B752" s="117"/>
      <c r="C752" s="117"/>
      <c r="D752" s="117"/>
      <c r="E752" s="117"/>
      <c r="F752" s="117"/>
      <c r="G752" s="117"/>
      <c r="H752" s="117"/>
      <c r="I752" s="117"/>
      <c r="J752" s="118"/>
      <c r="K752" s="118"/>
      <c r="L752" s="118"/>
      <c r="M752" s="118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117"/>
      <c r="AD752" s="117"/>
      <c r="AE752" s="117"/>
      <c r="AF752" s="117"/>
      <c r="AG752" s="117"/>
      <c r="AH752" s="117"/>
      <c r="AI752" s="117"/>
      <c r="AJ752" s="117"/>
      <c r="AK752" s="117"/>
      <c r="AL752" s="117"/>
      <c r="AM752" s="117"/>
      <c r="AN752" s="117"/>
      <c r="AO752" s="117"/>
      <c r="AP752" s="117"/>
      <c r="AQ752" s="117"/>
      <c r="AR752" s="117"/>
      <c r="AS752" s="117"/>
      <c r="AT752" s="117"/>
      <c r="AU752" s="117"/>
      <c r="AV752" s="117"/>
      <c r="AW752" s="117"/>
      <c r="AX752" s="117"/>
      <c r="AY752" s="117"/>
      <c r="AZ752" s="117"/>
      <c r="BA752" s="117"/>
      <c r="BB752" s="117"/>
      <c r="BC752" s="117"/>
      <c r="BD752" s="117"/>
      <c r="BE752" s="117"/>
      <c r="BF752" s="117"/>
      <c r="BG752" s="117"/>
    </row>
    <row r="753" spans="1:59">
      <c r="A753" s="117"/>
      <c r="B753" s="117"/>
      <c r="C753" s="117"/>
      <c r="D753" s="117"/>
      <c r="E753" s="117"/>
      <c r="F753" s="117"/>
      <c r="G753" s="117"/>
      <c r="H753" s="117"/>
      <c r="I753" s="117"/>
      <c r="J753" s="118"/>
      <c r="K753" s="118"/>
      <c r="L753" s="118"/>
      <c r="M753" s="118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117"/>
      <c r="AD753" s="117"/>
      <c r="AE753" s="117"/>
      <c r="AF753" s="117"/>
      <c r="AG753" s="117"/>
      <c r="AH753" s="117"/>
      <c r="AI753" s="117"/>
      <c r="AJ753" s="117"/>
      <c r="AK753" s="117"/>
      <c r="AL753" s="117"/>
      <c r="AM753" s="117"/>
      <c r="AN753" s="117"/>
      <c r="AO753" s="117"/>
      <c r="AP753" s="117"/>
      <c r="AQ753" s="117"/>
      <c r="AR753" s="117"/>
      <c r="AS753" s="117"/>
      <c r="AT753" s="117"/>
      <c r="AU753" s="117"/>
      <c r="AV753" s="117"/>
      <c r="AW753" s="117"/>
      <c r="AX753" s="117"/>
      <c r="AY753" s="117"/>
      <c r="AZ753" s="117"/>
      <c r="BA753" s="117"/>
      <c r="BB753" s="117"/>
      <c r="BC753" s="117"/>
      <c r="BD753" s="117"/>
      <c r="BE753" s="117"/>
      <c r="BF753" s="117"/>
      <c r="BG753" s="117"/>
    </row>
    <row r="754" spans="1:59">
      <c r="A754" s="117"/>
      <c r="B754" s="117"/>
      <c r="C754" s="117"/>
      <c r="D754" s="117"/>
      <c r="E754" s="117"/>
      <c r="F754" s="117"/>
      <c r="G754" s="117"/>
      <c r="H754" s="117"/>
      <c r="I754" s="117"/>
      <c r="J754" s="118"/>
      <c r="K754" s="118"/>
      <c r="L754" s="118"/>
      <c r="M754" s="118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117"/>
      <c r="AD754" s="117"/>
      <c r="AE754" s="117"/>
      <c r="AF754" s="117"/>
      <c r="AG754" s="117"/>
      <c r="AH754" s="117"/>
      <c r="AI754" s="117"/>
      <c r="AJ754" s="117"/>
      <c r="AK754" s="117"/>
      <c r="AL754" s="117"/>
      <c r="AM754" s="117"/>
      <c r="AN754" s="117"/>
      <c r="AO754" s="117"/>
      <c r="AP754" s="117"/>
      <c r="AQ754" s="117"/>
      <c r="AR754" s="117"/>
      <c r="AS754" s="117"/>
      <c r="AT754" s="117"/>
      <c r="AU754" s="117"/>
      <c r="AV754" s="117"/>
      <c r="AW754" s="117"/>
      <c r="AX754" s="117"/>
      <c r="AY754" s="117"/>
      <c r="AZ754" s="117"/>
      <c r="BA754" s="117"/>
      <c r="BB754" s="117"/>
      <c r="BC754" s="117"/>
      <c r="BD754" s="117"/>
      <c r="BE754" s="117"/>
      <c r="BF754" s="117"/>
      <c r="BG754" s="117"/>
    </row>
    <row r="755" spans="1:59">
      <c r="A755" s="117"/>
      <c r="B755" s="117"/>
      <c r="C755" s="117"/>
      <c r="D755" s="117"/>
      <c r="E755" s="117"/>
      <c r="F755" s="117"/>
      <c r="G755" s="117"/>
      <c r="H755" s="117"/>
      <c r="I755" s="117"/>
      <c r="J755" s="118"/>
      <c r="K755" s="118"/>
      <c r="L755" s="118"/>
      <c r="M755" s="118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117"/>
      <c r="AD755" s="117"/>
      <c r="AE755" s="117"/>
      <c r="AF755" s="117"/>
      <c r="AG755" s="117"/>
      <c r="AH755" s="117"/>
      <c r="AI755" s="117"/>
      <c r="AJ755" s="117"/>
      <c r="AK755" s="117"/>
      <c r="AL755" s="117"/>
      <c r="AM755" s="117"/>
      <c r="AN755" s="117"/>
      <c r="AO755" s="117"/>
      <c r="AP755" s="117"/>
      <c r="AQ755" s="117"/>
      <c r="AR755" s="117"/>
      <c r="AS755" s="117"/>
      <c r="AT755" s="117"/>
      <c r="AU755" s="117"/>
      <c r="AV755" s="117"/>
      <c r="AW755" s="117"/>
      <c r="AX755" s="117"/>
      <c r="AY755" s="117"/>
      <c r="AZ755" s="117"/>
      <c r="BA755" s="117"/>
      <c r="BB755" s="117"/>
      <c r="BC755" s="117"/>
      <c r="BD755" s="117"/>
      <c r="BE755" s="117"/>
      <c r="BF755" s="117"/>
      <c r="BG755" s="117"/>
    </row>
    <row r="756" spans="1:59">
      <c r="A756" s="117"/>
      <c r="B756" s="117"/>
      <c r="C756" s="117"/>
      <c r="D756" s="117"/>
      <c r="E756" s="117"/>
      <c r="F756" s="117"/>
      <c r="G756" s="117"/>
      <c r="H756" s="117"/>
      <c r="I756" s="117"/>
      <c r="J756" s="118"/>
      <c r="K756" s="118"/>
      <c r="L756" s="118"/>
      <c r="M756" s="118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117"/>
      <c r="AD756" s="117"/>
      <c r="AE756" s="117"/>
      <c r="AF756" s="117"/>
      <c r="AG756" s="117"/>
      <c r="AH756" s="117"/>
      <c r="AI756" s="117"/>
      <c r="AJ756" s="117"/>
      <c r="AK756" s="117"/>
      <c r="AL756" s="117"/>
      <c r="AM756" s="117"/>
      <c r="AN756" s="117"/>
      <c r="AO756" s="117"/>
      <c r="AP756" s="117"/>
      <c r="AQ756" s="117"/>
      <c r="AR756" s="117"/>
      <c r="AS756" s="117"/>
      <c r="AT756" s="117"/>
      <c r="AU756" s="117"/>
      <c r="AV756" s="117"/>
      <c r="AW756" s="117"/>
      <c r="AX756" s="117"/>
      <c r="AY756" s="117"/>
      <c r="AZ756" s="117"/>
      <c r="BA756" s="117"/>
      <c r="BB756" s="117"/>
      <c r="BC756" s="117"/>
      <c r="BD756" s="117"/>
      <c r="BE756" s="117"/>
      <c r="BF756" s="117"/>
      <c r="BG756" s="117"/>
    </row>
    <row r="757" spans="1:59">
      <c r="A757" s="117"/>
      <c r="B757" s="117"/>
      <c r="C757" s="117"/>
      <c r="D757" s="117"/>
      <c r="E757" s="117"/>
      <c r="F757" s="117"/>
      <c r="G757" s="117"/>
      <c r="H757" s="117"/>
      <c r="I757" s="117"/>
      <c r="J757" s="118"/>
      <c r="K757" s="118"/>
      <c r="L757" s="118"/>
      <c r="M757" s="118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117"/>
      <c r="AD757" s="117"/>
      <c r="AE757" s="117"/>
      <c r="AF757" s="117"/>
      <c r="AG757" s="117"/>
      <c r="AH757" s="117"/>
      <c r="AI757" s="117"/>
      <c r="AJ757" s="117"/>
      <c r="AK757" s="117"/>
      <c r="AL757" s="117"/>
      <c r="AM757" s="117"/>
      <c r="AN757" s="117"/>
      <c r="AO757" s="117"/>
      <c r="AP757" s="117"/>
      <c r="AQ757" s="117"/>
      <c r="AR757" s="117"/>
      <c r="AS757" s="117"/>
      <c r="AT757" s="117"/>
      <c r="AU757" s="117"/>
      <c r="AV757" s="117"/>
      <c r="AW757" s="117"/>
      <c r="AX757" s="117"/>
      <c r="AY757" s="117"/>
      <c r="AZ757" s="117"/>
      <c r="BA757" s="117"/>
      <c r="BB757" s="117"/>
      <c r="BC757" s="117"/>
      <c r="BD757" s="117"/>
      <c r="BE757" s="117"/>
      <c r="BF757" s="117"/>
      <c r="BG757" s="117"/>
    </row>
    <row r="758" spans="1:59">
      <c r="A758" s="117"/>
      <c r="B758" s="117"/>
      <c r="C758" s="117"/>
      <c r="D758" s="117"/>
      <c r="E758" s="117"/>
      <c r="F758" s="117"/>
      <c r="G758" s="117"/>
      <c r="H758" s="117"/>
      <c r="I758" s="117"/>
      <c r="J758" s="118"/>
      <c r="K758" s="118"/>
      <c r="L758" s="118"/>
      <c r="M758" s="118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117"/>
      <c r="AD758" s="117"/>
      <c r="AE758" s="117"/>
      <c r="AF758" s="117"/>
      <c r="AG758" s="117"/>
      <c r="AH758" s="117"/>
      <c r="AI758" s="117"/>
      <c r="AJ758" s="117"/>
      <c r="AK758" s="117"/>
      <c r="AL758" s="117"/>
      <c r="AM758" s="117"/>
      <c r="AN758" s="117"/>
      <c r="AO758" s="117"/>
      <c r="AP758" s="117"/>
      <c r="AQ758" s="117"/>
      <c r="AR758" s="117"/>
      <c r="AS758" s="117"/>
      <c r="AT758" s="117"/>
      <c r="AU758" s="117"/>
      <c r="AV758" s="117"/>
      <c r="AW758" s="117"/>
      <c r="AX758" s="117"/>
      <c r="AY758" s="117"/>
      <c r="AZ758" s="117"/>
      <c r="BA758" s="117"/>
      <c r="BB758" s="117"/>
      <c r="BC758" s="117"/>
      <c r="BD758" s="117"/>
      <c r="BE758" s="117"/>
      <c r="BF758" s="117"/>
      <c r="BG758" s="117"/>
    </row>
    <row r="759" spans="1:59">
      <c r="A759" s="117"/>
      <c r="B759" s="117"/>
      <c r="C759" s="117"/>
      <c r="D759" s="117"/>
      <c r="E759" s="117"/>
      <c r="F759" s="117"/>
      <c r="G759" s="117"/>
      <c r="H759" s="117"/>
      <c r="I759" s="117"/>
      <c r="J759" s="118"/>
      <c r="K759" s="118"/>
      <c r="L759" s="118"/>
      <c r="M759" s="118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117"/>
      <c r="AD759" s="117"/>
      <c r="AE759" s="117"/>
      <c r="AF759" s="117"/>
      <c r="AG759" s="117"/>
      <c r="AH759" s="117"/>
      <c r="AI759" s="117"/>
      <c r="AJ759" s="117"/>
      <c r="AK759" s="117"/>
      <c r="AL759" s="117"/>
      <c r="AM759" s="117"/>
      <c r="AN759" s="117"/>
      <c r="AO759" s="117"/>
      <c r="AP759" s="117"/>
      <c r="AQ759" s="117"/>
      <c r="AR759" s="117"/>
      <c r="AS759" s="117"/>
      <c r="AT759" s="117"/>
      <c r="AU759" s="117"/>
      <c r="AV759" s="117"/>
      <c r="AW759" s="117"/>
      <c r="AX759" s="117"/>
      <c r="AY759" s="117"/>
      <c r="AZ759" s="117"/>
      <c r="BA759" s="117"/>
      <c r="BB759" s="117"/>
      <c r="BC759" s="117"/>
      <c r="BD759" s="117"/>
      <c r="BE759" s="117"/>
      <c r="BF759" s="117"/>
      <c r="BG759" s="117"/>
    </row>
    <row r="760" spans="1:59">
      <c r="A760" s="117"/>
      <c r="B760" s="117"/>
      <c r="C760" s="117"/>
      <c r="D760" s="117"/>
      <c r="E760" s="117"/>
      <c r="F760" s="117"/>
      <c r="G760" s="117"/>
      <c r="H760" s="117"/>
      <c r="I760" s="117"/>
      <c r="J760" s="118"/>
      <c r="K760" s="118"/>
      <c r="L760" s="118"/>
      <c r="M760" s="118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7"/>
      <c r="AD760" s="117"/>
      <c r="AE760" s="117"/>
      <c r="AF760" s="117"/>
      <c r="AG760" s="117"/>
      <c r="AH760" s="117"/>
      <c r="AI760" s="117"/>
      <c r="AJ760" s="117"/>
      <c r="AK760" s="117"/>
      <c r="AL760" s="117"/>
      <c r="AM760" s="117"/>
      <c r="AN760" s="117"/>
      <c r="AO760" s="117"/>
      <c r="AP760" s="117"/>
      <c r="AQ760" s="117"/>
      <c r="AR760" s="117"/>
      <c r="AS760" s="117"/>
      <c r="AT760" s="117"/>
      <c r="AU760" s="117"/>
      <c r="AV760" s="117"/>
      <c r="AW760" s="117"/>
      <c r="AX760" s="117"/>
      <c r="AY760" s="117"/>
      <c r="AZ760" s="117"/>
      <c r="BA760" s="117"/>
      <c r="BB760" s="117"/>
      <c r="BC760" s="117"/>
      <c r="BD760" s="117"/>
      <c r="BE760" s="117"/>
      <c r="BF760" s="117"/>
      <c r="BG760" s="117"/>
    </row>
    <row r="761" spans="1:59">
      <c r="A761" s="117"/>
      <c r="B761" s="117"/>
      <c r="C761" s="117"/>
      <c r="D761" s="117"/>
      <c r="E761" s="117"/>
      <c r="F761" s="117"/>
      <c r="G761" s="117"/>
      <c r="H761" s="117"/>
      <c r="I761" s="117"/>
      <c r="J761" s="118"/>
      <c r="K761" s="118"/>
      <c r="L761" s="118"/>
      <c r="M761" s="118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117"/>
      <c r="AD761" s="117"/>
      <c r="AE761" s="117"/>
      <c r="AF761" s="117"/>
      <c r="AG761" s="117"/>
      <c r="AH761" s="117"/>
      <c r="AI761" s="117"/>
      <c r="AJ761" s="117"/>
      <c r="AK761" s="117"/>
      <c r="AL761" s="117"/>
      <c r="AM761" s="117"/>
      <c r="AN761" s="117"/>
      <c r="AO761" s="117"/>
      <c r="AP761" s="117"/>
      <c r="AQ761" s="117"/>
      <c r="AR761" s="117"/>
      <c r="AS761" s="117"/>
      <c r="AT761" s="117"/>
      <c r="AU761" s="117"/>
      <c r="AV761" s="117"/>
      <c r="AW761" s="117"/>
      <c r="AX761" s="117"/>
      <c r="AY761" s="117"/>
      <c r="AZ761" s="117"/>
      <c r="BA761" s="117"/>
      <c r="BB761" s="117"/>
      <c r="BC761" s="117"/>
      <c r="BD761" s="117"/>
      <c r="BE761" s="117"/>
      <c r="BF761" s="117"/>
      <c r="BG761" s="117"/>
    </row>
    <row r="762" spans="1:59">
      <c r="A762" s="117"/>
      <c r="B762" s="117"/>
      <c r="C762" s="117"/>
      <c r="D762" s="117"/>
      <c r="E762" s="117"/>
      <c r="F762" s="117"/>
      <c r="G762" s="117"/>
      <c r="H762" s="117"/>
      <c r="I762" s="117"/>
      <c r="J762" s="118"/>
      <c r="K762" s="118"/>
      <c r="L762" s="118"/>
      <c r="M762" s="118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7"/>
      <c r="AD762" s="117"/>
      <c r="AE762" s="117"/>
      <c r="AF762" s="117"/>
      <c r="AG762" s="117"/>
      <c r="AH762" s="117"/>
      <c r="AI762" s="117"/>
      <c r="AJ762" s="117"/>
      <c r="AK762" s="117"/>
      <c r="AL762" s="117"/>
      <c r="AM762" s="117"/>
      <c r="AN762" s="117"/>
      <c r="AO762" s="117"/>
      <c r="AP762" s="117"/>
      <c r="AQ762" s="117"/>
      <c r="AR762" s="117"/>
      <c r="AS762" s="117"/>
      <c r="AT762" s="117"/>
      <c r="AU762" s="117"/>
      <c r="AV762" s="117"/>
      <c r="AW762" s="117"/>
      <c r="AX762" s="117"/>
      <c r="AY762" s="117"/>
      <c r="AZ762" s="117"/>
      <c r="BA762" s="117"/>
      <c r="BB762" s="117"/>
      <c r="BC762" s="117"/>
      <c r="BD762" s="117"/>
      <c r="BE762" s="117"/>
      <c r="BF762" s="117"/>
      <c r="BG762" s="117"/>
    </row>
    <row r="763" spans="1:59">
      <c r="A763" s="117"/>
      <c r="B763" s="117"/>
      <c r="C763" s="117"/>
      <c r="D763" s="117"/>
      <c r="E763" s="117"/>
      <c r="F763" s="117"/>
      <c r="G763" s="117"/>
      <c r="H763" s="117"/>
      <c r="I763" s="117"/>
      <c r="J763" s="118"/>
      <c r="K763" s="118"/>
      <c r="L763" s="118"/>
      <c r="M763" s="118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117"/>
      <c r="AD763" s="117"/>
      <c r="AE763" s="117"/>
      <c r="AF763" s="117"/>
      <c r="AG763" s="117"/>
      <c r="AH763" s="117"/>
      <c r="AI763" s="117"/>
      <c r="AJ763" s="117"/>
      <c r="AK763" s="117"/>
      <c r="AL763" s="117"/>
      <c r="AM763" s="117"/>
      <c r="AN763" s="117"/>
      <c r="AO763" s="117"/>
      <c r="AP763" s="117"/>
      <c r="AQ763" s="117"/>
      <c r="AR763" s="117"/>
      <c r="AS763" s="117"/>
      <c r="AT763" s="117"/>
      <c r="AU763" s="117"/>
      <c r="AV763" s="117"/>
      <c r="AW763" s="117"/>
      <c r="AX763" s="117"/>
      <c r="AY763" s="117"/>
      <c r="AZ763" s="117"/>
      <c r="BA763" s="117"/>
      <c r="BB763" s="117"/>
      <c r="BC763" s="117"/>
      <c r="BD763" s="117"/>
      <c r="BE763" s="117"/>
      <c r="BF763" s="117"/>
      <c r="BG763" s="117"/>
    </row>
    <row r="764" spans="1:59">
      <c r="A764" s="117"/>
      <c r="B764" s="117"/>
      <c r="C764" s="117"/>
      <c r="D764" s="117"/>
      <c r="E764" s="117"/>
      <c r="F764" s="117"/>
      <c r="G764" s="117"/>
      <c r="H764" s="117"/>
      <c r="I764" s="117"/>
      <c r="J764" s="118"/>
      <c r="K764" s="118"/>
      <c r="L764" s="118"/>
      <c r="M764" s="118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7"/>
      <c r="AD764" s="117"/>
      <c r="AE764" s="117"/>
      <c r="AF764" s="117"/>
      <c r="AG764" s="117"/>
      <c r="AH764" s="117"/>
      <c r="AI764" s="117"/>
      <c r="AJ764" s="117"/>
      <c r="AK764" s="117"/>
      <c r="AL764" s="117"/>
      <c r="AM764" s="117"/>
      <c r="AN764" s="117"/>
      <c r="AO764" s="117"/>
      <c r="AP764" s="117"/>
      <c r="AQ764" s="117"/>
      <c r="AR764" s="117"/>
      <c r="AS764" s="117"/>
      <c r="AT764" s="117"/>
      <c r="AU764" s="117"/>
      <c r="AV764" s="117"/>
      <c r="AW764" s="117"/>
      <c r="AX764" s="117"/>
      <c r="AY764" s="117"/>
      <c r="AZ764" s="117"/>
      <c r="BA764" s="117"/>
      <c r="BB764" s="117"/>
      <c r="BC764" s="117"/>
      <c r="BD764" s="117"/>
      <c r="BE764" s="117"/>
      <c r="BF764" s="117"/>
      <c r="BG764" s="117"/>
    </row>
    <row r="765" spans="1:59">
      <c r="A765" s="117"/>
      <c r="B765" s="117"/>
      <c r="C765" s="117"/>
      <c r="D765" s="117"/>
      <c r="E765" s="117"/>
      <c r="F765" s="117"/>
      <c r="G765" s="117"/>
      <c r="H765" s="117"/>
      <c r="I765" s="117"/>
      <c r="J765" s="118"/>
      <c r="K765" s="118"/>
      <c r="L765" s="118"/>
      <c r="M765" s="118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117"/>
      <c r="AD765" s="117"/>
      <c r="AE765" s="117"/>
      <c r="AF765" s="117"/>
      <c r="AG765" s="117"/>
      <c r="AH765" s="117"/>
      <c r="AI765" s="117"/>
      <c r="AJ765" s="117"/>
      <c r="AK765" s="117"/>
      <c r="AL765" s="117"/>
      <c r="AM765" s="117"/>
      <c r="AN765" s="117"/>
      <c r="AO765" s="117"/>
      <c r="AP765" s="117"/>
      <c r="AQ765" s="117"/>
      <c r="AR765" s="117"/>
      <c r="AS765" s="117"/>
      <c r="AT765" s="117"/>
      <c r="AU765" s="117"/>
      <c r="AV765" s="117"/>
      <c r="AW765" s="117"/>
      <c r="AX765" s="117"/>
      <c r="AY765" s="117"/>
      <c r="AZ765" s="117"/>
      <c r="BA765" s="117"/>
      <c r="BB765" s="117"/>
      <c r="BC765" s="117"/>
      <c r="BD765" s="117"/>
      <c r="BE765" s="117"/>
      <c r="BF765" s="117"/>
      <c r="BG765" s="117"/>
    </row>
    <row r="766" spans="1:59">
      <c r="A766" s="117"/>
      <c r="B766" s="117"/>
      <c r="C766" s="117"/>
      <c r="D766" s="117"/>
      <c r="E766" s="117"/>
      <c r="F766" s="117"/>
      <c r="G766" s="117"/>
      <c r="H766" s="117"/>
      <c r="I766" s="117"/>
      <c r="J766" s="118"/>
      <c r="K766" s="118"/>
      <c r="L766" s="118"/>
      <c r="M766" s="118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7"/>
      <c r="AD766" s="117"/>
      <c r="AE766" s="117"/>
      <c r="AF766" s="117"/>
      <c r="AG766" s="117"/>
      <c r="AH766" s="117"/>
      <c r="AI766" s="117"/>
      <c r="AJ766" s="117"/>
      <c r="AK766" s="117"/>
      <c r="AL766" s="117"/>
      <c r="AM766" s="117"/>
      <c r="AN766" s="117"/>
      <c r="AO766" s="117"/>
      <c r="AP766" s="117"/>
      <c r="AQ766" s="117"/>
      <c r="AR766" s="117"/>
      <c r="AS766" s="117"/>
      <c r="AT766" s="117"/>
      <c r="AU766" s="117"/>
      <c r="AV766" s="117"/>
      <c r="AW766" s="117"/>
      <c r="AX766" s="117"/>
      <c r="AY766" s="117"/>
      <c r="AZ766" s="117"/>
      <c r="BA766" s="117"/>
      <c r="BB766" s="117"/>
      <c r="BC766" s="117"/>
      <c r="BD766" s="117"/>
      <c r="BE766" s="117"/>
      <c r="BF766" s="117"/>
      <c r="BG766" s="117"/>
    </row>
    <row r="767" spans="1:59">
      <c r="A767" s="117"/>
      <c r="B767" s="117"/>
      <c r="C767" s="117"/>
      <c r="D767" s="117"/>
      <c r="E767" s="117"/>
      <c r="F767" s="117"/>
      <c r="G767" s="117"/>
      <c r="H767" s="117"/>
      <c r="I767" s="117"/>
      <c r="J767" s="118"/>
      <c r="K767" s="118"/>
      <c r="L767" s="118"/>
      <c r="M767" s="118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117"/>
      <c r="AD767" s="117"/>
      <c r="AE767" s="117"/>
      <c r="AF767" s="117"/>
      <c r="AG767" s="117"/>
      <c r="AH767" s="117"/>
      <c r="AI767" s="117"/>
      <c r="AJ767" s="117"/>
      <c r="AK767" s="117"/>
      <c r="AL767" s="117"/>
      <c r="AM767" s="117"/>
      <c r="AN767" s="117"/>
      <c r="AO767" s="117"/>
      <c r="AP767" s="117"/>
      <c r="AQ767" s="117"/>
      <c r="AR767" s="117"/>
      <c r="AS767" s="117"/>
      <c r="AT767" s="117"/>
      <c r="AU767" s="117"/>
      <c r="AV767" s="117"/>
      <c r="AW767" s="117"/>
      <c r="AX767" s="117"/>
      <c r="AY767" s="117"/>
      <c r="AZ767" s="117"/>
      <c r="BA767" s="117"/>
      <c r="BB767" s="117"/>
      <c r="BC767" s="117"/>
      <c r="BD767" s="117"/>
      <c r="BE767" s="117"/>
      <c r="BF767" s="117"/>
      <c r="BG767" s="117"/>
    </row>
    <row r="768" spans="1:59">
      <c r="A768" s="117"/>
      <c r="B768" s="117"/>
      <c r="C768" s="117"/>
      <c r="D768" s="117"/>
      <c r="E768" s="117"/>
      <c r="F768" s="117"/>
      <c r="G768" s="117"/>
      <c r="H768" s="117"/>
      <c r="I768" s="117"/>
      <c r="J768" s="118"/>
      <c r="K768" s="118"/>
      <c r="L768" s="118"/>
      <c r="M768" s="118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7"/>
      <c r="AD768" s="117"/>
      <c r="AE768" s="117"/>
      <c r="AF768" s="117"/>
      <c r="AG768" s="117"/>
      <c r="AH768" s="117"/>
      <c r="AI768" s="117"/>
      <c r="AJ768" s="117"/>
      <c r="AK768" s="117"/>
      <c r="AL768" s="117"/>
      <c r="AM768" s="117"/>
      <c r="AN768" s="117"/>
      <c r="AO768" s="117"/>
      <c r="AP768" s="117"/>
      <c r="AQ768" s="117"/>
      <c r="AR768" s="117"/>
      <c r="AS768" s="117"/>
      <c r="AT768" s="117"/>
      <c r="AU768" s="117"/>
      <c r="AV768" s="117"/>
      <c r="AW768" s="117"/>
      <c r="AX768" s="117"/>
      <c r="AY768" s="117"/>
      <c r="AZ768" s="117"/>
      <c r="BA768" s="117"/>
      <c r="BB768" s="117"/>
      <c r="BC768" s="117"/>
      <c r="BD768" s="117"/>
      <c r="BE768" s="117"/>
      <c r="BF768" s="117"/>
      <c r="BG768" s="117"/>
    </row>
    <row r="769" spans="1:59">
      <c r="A769" s="117"/>
      <c r="B769" s="117"/>
      <c r="C769" s="117"/>
      <c r="D769" s="117"/>
      <c r="E769" s="117"/>
      <c r="F769" s="117"/>
      <c r="G769" s="117"/>
      <c r="H769" s="117"/>
      <c r="I769" s="117"/>
      <c r="J769" s="118"/>
      <c r="K769" s="118"/>
      <c r="L769" s="118"/>
      <c r="M769" s="118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117"/>
      <c r="AD769" s="117"/>
      <c r="AE769" s="117"/>
      <c r="AF769" s="117"/>
      <c r="AG769" s="117"/>
      <c r="AH769" s="117"/>
      <c r="AI769" s="117"/>
      <c r="AJ769" s="117"/>
      <c r="AK769" s="117"/>
      <c r="AL769" s="117"/>
      <c r="AM769" s="117"/>
      <c r="AN769" s="117"/>
      <c r="AO769" s="117"/>
      <c r="AP769" s="117"/>
      <c r="AQ769" s="117"/>
      <c r="AR769" s="117"/>
      <c r="AS769" s="117"/>
      <c r="AT769" s="117"/>
      <c r="AU769" s="117"/>
      <c r="AV769" s="117"/>
      <c r="AW769" s="117"/>
      <c r="AX769" s="117"/>
      <c r="AY769" s="117"/>
      <c r="AZ769" s="117"/>
      <c r="BA769" s="117"/>
      <c r="BB769" s="117"/>
      <c r="BC769" s="117"/>
      <c r="BD769" s="117"/>
      <c r="BE769" s="117"/>
      <c r="BF769" s="117"/>
      <c r="BG769" s="117"/>
    </row>
    <row r="770" spans="1:59">
      <c r="A770" s="117"/>
      <c r="B770" s="117"/>
      <c r="C770" s="117"/>
      <c r="D770" s="117"/>
      <c r="E770" s="117"/>
      <c r="F770" s="117"/>
      <c r="G770" s="117"/>
      <c r="H770" s="117"/>
      <c r="I770" s="117"/>
      <c r="J770" s="118"/>
      <c r="K770" s="118"/>
      <c r="L770" s="118"/>
      <c r="M770" s="118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7"/>
      <c r="AD770" s="117"/>
      <c r="AE770" s="117"/>
      <c r="AF770" s="117"/>
      <c r="AG770" s="117"/>
      <c r="AH770" s="117"/>
      <c r="AI770" s="117"/>
      <c r="AJ770" s="117"/>
      <c r="AK770" s="117"/>
      <c r="AL770" s="117"/>
      <c r="AM770" s="117"/>
      <c r="AN770" s="117"/>
      <c r="AO770" s="117"/>
      <c r="AP770" s="117"/>
      <c r="AQ770" s="117"/>
      <c r="AR770" s="117"/>
      <c r="AS770" s="117"/>
      <c r="AT770" s="117"/>
      <c r="AU770" s="117"/>
      <c r="AV770" s="117"/>
      <c r="AW770" s="117"/>
      <c r="AX770" s="117"/>
      <c r="AY770" s="117"/>
      <c r="AZ770" s="117"/>
      <c r="BA770" s="117"/>
      <c r="BB770" s="117"/>
      <c r="BC770" s="117"/>
      <c r="BD770" s="117"/>
      <c r="BE770" s="117"/>
      <c r="BF770" s="117"/>
      <c r="BG770" s="117"/>
    </row>
    <row r="771" spans="1:59">
      <c r="A771" s="117"/>
      <c r="B771" s="117"/>
      <c r="C771" s="117"/>
      <c r="D771" s="117"/>
      <c r="E771" s="117"/>
      <c r="F771" s="117"/>
      <c r="G771" s="117"/>
      <c r="H771" s="117"/>
      <c r="I771" s="117"/>
      <c r="J771" s="118"/>
      <c r="K771" s="118"/>
      <c r="L771" s="118"/>
      <c r="M771" s="118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117"/>
      <c r="AD771" s="117"/>
      <c r="AE771" s="117"/>
      <c r="AF771" s="117"/>
      <c r="AG771" s="117"/>
      <c r="AH771" s="117"/>
      <c r="AI771" s="117"/>
      <c r="AJ771" s="117"/>
      <c r="AK771" s="117"/>
      <c r="AL771" s="117"/>
      <c r="AM771" s="117"/>
      <c r="AN771" s="117"/>
      <c r="AO771" s="117"/>
      <c r="AP771" s="117"/>
      <c r="AQ771" s="117"/>
      <c r="AR771" s="117"/>
      <c r="AS771" s="117"/>
      <c r="AT771" s="117"/>
      <c r="AU771" s="117"/>
      <c r="AV771" s="117"/>
      <c r="AW771" s="117"/>
      <c r="AX771" s="117"/>
      <c r="AY771" s="117"/>
      <c r="AZ771" s="117"/>
      <c r="BA771" s="117"/>
      <c r="BB771" s="117"/>
      <c r="BC771" s="117"/>
      <c r="BD771" s="117"/>
      <c r="BE771" s="117"/>
      <c r="BF771" s="117"/>
      <c r="BG771" s="117"/>
    </row>
    <row r="772" spans="1:59">
      <c r="A772" s="117"/>
      <c r="B772" s="117"/>
      <c r="C772" s="117"/>
      <c r="D772" s="117"/>
      <c r="E772" s="117"/>
      <c r="F772" s="117"/>
      <c r="G772" s="117"/>
      <c r="H772" s="117"/>
      <c r="I772" s="117"/>
      <c r="J772" s="118"/>
      <c r="K772" s="118"/>
      <c r="L772" s="118"/>
      <c r="M772" s="118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7"/>
      <c r="AD772" s="117"/>
      <c r="AE772" s="117"/>
      <c r="AF772" s="117"/>
      <c r="AG772" s="117"/>
      <c r="AH772" s="117"/>
      <c r="AI772" s="117"/>
      <c r="AJ772" s="117"/>
      <c r="AK772" s="117"/>
      <c r="AL772" s="117"/>
      <c r="AM772" s="117"/>
      <c r="AN772" s="117"/>
      <c r="AO772" s="117"/>
      <c r="AP772" s="117"/>
      <c r="AQ772" s="117"/>
      <c r="AR772" s="117"/>
      <c r="AS772" s="117"/>
      <c r="AT772" s="117"/>
      <c r="AU772" s="117"/>
      <c r="AV772" s="117"/>
      <c r="AW772" s="117"/>
      <c r="AX772" s="117"/>
      <c r="AY772" s="117"/>
      <c r="AZ772" s="117"/>
      <c r="BA772" s="117"/>
      <c r="BB772" s="117"/>
      <c r="BC772" s="117"/>
      <c r="BD772" s="117"/>
      <c r="BE772" s="117"/>
      <c r="BF772" s="117"/>
      <c r="BG772" s="117"/>
    </row>
    <row r="773" spans="1:59">
      <c r="A773" s="117"/>
      <c r="B773" s="117"/>
      <c r="C773" s="117"/>
      <c r="D773" s="117"/>
      <c r="E773" s="117"/>
      <c r="F773" s="117"/>
      <c r="G773" s="117"/>
      <c r="H773" s="117"/>
      <c r="I773" s="117"/>
      <c r="J773" s="118"/>
      <c r="K773" s="118"/>
      <c r="L773" s="118"/>
      <c r="M773" s="118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117"/>
      <c r="AD773" s="117"/>
      <c r="AE773" s="117"/>
      <c r="AF773" s="117"/>
      <c r="AG773" s="117"/>
      <c r="AH773" s="117"/>
      <c r="AI773" s="117"/>
      <c r="AJ773" s="117"/>
      <c r="AK773" s="117"/>
      <c r="AL773" s="117"/>
      <c r="AM773" s="117"/>
      <c r="AN773" s="117"/>
      <c r="AO773" s="117"/>
      <c r="AP773" s="117"/>
      <c r="AQ773" s="117"/>
      <c r="AR773" s="117"/>
      <c r="AS773" s="117"/>
      <c r="AT773" s="117"/>
      <c r="AU773" s="117"/>
      <c r="AV773" s="117"/>
      <c r="AW773" s="117"/>
      <c r="AX773" s="117"/>
      <c r="AY773" s="117"/>
      <c r="AZ773" s="117"/>
      <c r="BA773" s="117"/>
      <c r="BB773" s="117"/>
      <c r="BC773" s="117"/>
      <c r="BD773" s="117"/>
      <c r="BE773" s="117"/>
      <c r="BF773" s="117"/>
      <c r="BG773" s="117"/>
    </row>
    <row r="774" spans="1:59">
      <c r="A774" s="117"/>
      <c r="B774" s="117"/>
      <c r="C774" s="117"/>
      <c r="D774" s="117"/>
      <c r="E774" s="117"/>
      <c r="F774" s="117"/>
      <c r="G774" s="117"/>
      <c r="H774" s="117"/>
      <c r="I774" s="117"/>
      <c r="J774" s="118"/>
      <c r="K774" s="118"/>
      <c r="L774" s="118"/>
      <c r="M774" s="118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7"/>
      <c r="AD774" s="117"/>
      <c r="AE774" s="117"/>
      <c r="AF774" s="117"/>
      <c r="AG774" s="117"/>
      <c r="AH774" s="117"/>
      <c r="AI774" s="117"/>
      <c r="AJ774" s="117"/>
      <c r="AK774" s="117"/>
      <c r="AL774" s="117"/>
      <c r="AM774" s="117"/>
      <c r="AN774" s="117"/>
      <c r="AO774" s="117"/>
      <c r="AP774" s="117"/>
      <c r="AQ774" s="117"/>
      <c r="AR774" s="117"/>
      <c r="AS774" s="117"/>
      <c r="AT774" s="117"/>
      <c r="AU774" s="117"/>
      <c r="AV774" s="117"/>
      <c r="AW774" s="117"/>
      <c r="AX774" s="117"/>
      <c r="AY774" s="117"/>
      <c r="AZ774" s="117"/>
      <c r="BA774" s="117"/>
      <c r="BB774" s="117"/>
      <c r="BC774" s="117"/>
      <c r="BD774" s="117"/>
      <c r="BE774" s="117"/>
      <c r="BF774" s="117"/>
      <c r="BG774" s="117"/>
    </row>
    <row r="775" spans="1:59">
      <c r="A775" s="117"/>
      <c r="B775" s="117"/>
      <c r="C775" s="117"/>
      <c r="D775" s="117"/>
      <c r="E775" s="117"/>
      <c r="F775" s="117"/>
      <c r="G775" s="117"/>
      <c r="H775" s="117"/>
      <c r="I775" s="117"/>
      <c r="J775" s="118"/>
      <c r="K775" s="118"/>
      <c r="L775" s="118"/>
      <c r="M775" s="118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117"/>
      <c r="AD775" s="117"/>
      <c r="AE775" s="117"/>
      <c r="AF775" s="117"/>
      <c r="AG775" s="117"/>
      <c r="AH775" s="117"/>
      <c r="AI775" s="117"/>
      <c r="AJ775" s="117"/>
      <c r="AK775" s="117"/>
      <c r="AL775" s="117"/>
      <c r="AM775" s="117"/>
      <c r="AN775" s="117"/>
      <c r="AO775" s="117"/>
      <c r="AP775" s="117"/>
      <c r="AQ775" s="117"/>
      <c r="AR775" s="117"/>
      <c r="AS775" s="117"/>
      <c r="AT775" s="117"/>
      <c r="AU775" s="117"/>
      <c r="AV775" s="117"/>
      <c r="AW775" s="117"/>
      <c r="AX775" s="117"/>
      <c r="AY775" s="117"/>
      <c r="AZ775" s="117"/>
      <c r="BA775" s="117"/>
      <c r="BB775" s="117"/>
      <c r="BC775" s="117"/>
      <c r="BD775" s="117"/>
      <c r="BE775" s="117"/>
      <c r="BF775" s="117"/>
      <c r="BG775" s="117"/>
    </row>
    <row r="776" spans="1:59">
      <c r="A776" s="117"/>
      <c r="B776" s="117"/>
      <c r="C776" s="117"/>
      <c r="D776" s="117"/>
      <c r="E776" s="117"/>
      <c r="F776" s="117"/>
      <c r="G776" s="117"/>
      <c r="H776" s="117"/>
      <c r="I776" s="117"/>
      <c r="J776" s="118"/>
      <c r="K776" s="118"/>
      <c r="L776" s="118"/>
      <c r="M776" s="118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7"/>
      <c r="AD776" s="117"/>
      <c r="AE776" s="117"/>
      <c r="AF776" s="117"/>
      <c r="AG776" s="117"/>
      <c r="AH776" s="117"/>
      <c r="AI776" s="117"/>
      <c r="AJ776" s="117"/>
      <c r="AK776" s="117"/>
      <c r="AL776" s="117"/>
      <c r="AM776" s="117"/>
      <c r="AN776" s="117"/>
      <c r="AO776" s="117"/>
      <c r="AP776" s="117"/>
      <c r="AQ776" s="117"/>
      <c r="AR776" s="117"/>
      <c r="AS776" s="117"/>
      <c r="AT776" s="117"/>
      <c r="AU776" s="117"/>
      <c r="AV776" s="117"/>
      <c r="AW776" s="117"/>
      <c r="AX776" s="117"/>
      <c r="AY776" s="117"/>
      <c r="AZ776" s="117"/>
      <c r="BA776" s="117"/>
      <c r="BB776" s="117"/>
      <c r="BC776" s="117"/>
      <c r="BD776" s="117"/>
      <c r="BE776" s="117"/>
      <c r="BF776" s="117"/>
      <c r="BG776" s="117"/>
    </row>
    <row r="777" spans="1:59">
      <c r="A777" s="117"/>
      <c r="B777" s="117"/>
      <c r="C777" s="117"/>
      <c r="D777" s="117"/>
      <c r="E777" s="117"/>
      <c r="F777" s="117"/>
      <c r="G777" s="117"/>
      <c r="H777" s="117"/>
      <c r="I777" s="117"/>
      <c r="J777" s="118"/>
      <c r="K777" s="118"/>
      <c r="L777" s="118"/>
      <c r="M777" s="118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117"/>
      <c r="AD777" s="117"/>
      <c r="AE777" s="117"/>
      <c r="AF777" s="117"/>
      <c r="AG777" s="117"/>
      <c r="AH777" s="117"/>
      <c r="AI777" s="117"/>
      <c r="AJ777" s="117"/>
      <c r="AK777" s="117"/>
      <c r="AL777" s="117"/>
      <c r="AM777" s="117"/>
      <c r="AN777" s="117"/>
      <c r="AO777" s="117"/>
      <c r="AP777" s="117"/>
      <c r="AQ777" s="117"/>
      <c r="AR777" s="117"/>
      <c r="AS777" s="117"/>
      <c r="AT777" s="117"/>
      <c r="AU777" s="117"/>
      <c r="AV777" s="117"/>
      <c r="AW777" s="117"/>
      <c r="AX777" s="117"/>
      <c r="AY777" s="117"/>
      <c r="AZ777" s="117"/>
      <c r="BA777" s="117"/>
      <c r="BB777" s="117"/>
      <c r="BC777" s="117"/>
      <c r="BD777" s="117"/>
      <c r="BE777" s="117"/>
      <c r="BF777" s="117"/>
      <c r="BG777" s="117"/>
    </row>
    <row r="778" spans="1:59">
      <c r="A778" s="117"/>
      <c r="B778" s="117"/>
      <c r="C778" s="117"/>
      <c r="D778" s="117"/>
      <c r="E778" s="117"/>
      <c r="F778" s="117"/>
      <c r="G778" s="117"/>
      <c r="H778" s="117"/>
      <c r="I778" s="117"/>
      <c r="J778" s="118"/>
      <c r="K778" s="118"/>
      <c r="L778" s="118"/>
      <c r="M778" s="118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7"/>
      <c r="AD778" s="117"/>
      <c r="AE778" s="117"/>
      <c r="AF778" s="117"/>
      <c r="AG778" s="117"/>
      <c r="AH778" s="117"/>
      <c r="AI778" s="117"/>
      <c r="AJ778" s="117"/>
      <c r="AK778" s="117"/>
      <c r="AL778" s="117"/>
      <c r="AM778" s="117"/>
      <c r="AN778" s="117"/>
      <c r="AO778" s="117"/>
      <c r="AP778" s="117"/>
      <c r="AQ778" s="117"/>
      <c r="AR778" s="117"/>
      <c r="AS778" s="117"/>
      <c r="AT778" s="117"/>
      <c r="AU778" s="117"/>
      <c r="AV778" s="117"/>
      <c r="AW778" s="117"/>
      <c r="AX778" s="117"/>
      <c r="AY778" s="117"/>
      <c r="AZ778" s="117"/>
      <c r="BA778" s="117"/>
      <c r="BB778" s="117"/>
      <c r="BC778" s="117"/>
      <c r="BD778" s="117"/>
      <c r="BE778" s="117"/>
      <c r="BF778" s="117"/>
      <c r="BG778" s="117"/>
    </row>
    <row r="779" spans="1:59">
      <c r="A779" s="117"/>
      <c r="B779" s="117"/>
      <c r="C779" s="117"/>
      <c r="D779" s="117"/>
      <c r="E779" s="117"/>
      <c r="F779" s="117"/>
      <c r="G779" s="117"/>
      <c r="H779" s="117"/>
      <c r="I779" s="117"/>
      <c r="J779" s="118"/>
      <c r="K779" s="118"/>
      <c r="L779" s="118"/>
      <c r="M779" s="118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117"/>
      <c r="AD779" s="117"/>
      <c r="AE779" s="117"/>
      <c r="AF779" s="117"/>
      <c r="AG779" s="117"/>
      <c r="AH779" s="117"/>
      <c r="AI779" s="117"/>
      <c r="AJ779" s="117"/>
      <c r="AK779" s="117"/>
      <c r="AL779" s="117"/>
      <c r="AM779" s="117"/>
      <c r="AN779" s="117"/>
      <c r="AO779" s="117"/>
      <c r="AP779" s="117"/>
      <c r="AQ779" s="117"/>
      <c r="AR779" s="117"/>
      <c r="AS779" s="117"/>
      <c r="AT779" s="117"/>
      <c r="AU779" s="117"/>
      <c r="AV779" s="117"/>
      <c r="AW779" s="117"/>
      <c r="AX779" s="117"/>
      <c r="AY779" s="117"/>
      <c r="AZ779" s="117"/>
      <c r="BA779" s="117"/>
      <c r="BB779" s="117"/>
      <c r="BC779" s="117"/>
      <c r="BD779" s="117"/>
      <c r="BE779" s="117"/>
      <c r="BF779" s="117"/>
      <c r="BG779" s="117"/>
    </row>
    <row r="780" spans="1:59">
      <c r="A780" s="117"/>
      <c r="B780" s="117"/>
      <c r="C780" s="117"/>
      <c r="D780" s="117"/>
      <c r="E780" s="117"/>
      <c r="F780" s="117"/>
      <c r="G780" s="117"/>
      <c r="H780" s="117"/>
      <c r="I780" s="117"/>
      <c r="J780" s="118"/>
      <c r="K780" s="118"/>
      <c r="L780" s="118"/>
      <c r="M780" s="118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7"/>
      <c r="AD780" s="117"/>
      <c r="AE780" s="117"/>
      <c r="AF780" s="117"/>
      <c r="AG780" s="117"/>
      <c r="AH780" s="117"/>
      <c r="AI780" s="117"/>
      <c r="AJ780" s="117"/>
      <c r="AK780" s="117"/>
      <c r="AL780" s="117"/>
      <c r="AM780" s="117"/>
      <c r="AN780" s="117"/>
      <c r="AO780" s="117"/>
      <c r="AP780" s="117"/>
      <c r="AQ780" s="117"/>
      <c r="AR780" s="117"/>
      <c r="AS780" s="117"/>
      <c r="AT780" s="117"/>
      <c r="AU780" s="117"/>
      <c r="AV780" s="117"/>
      <c r="AW780" s="117"/>
      <c r="AX780" s="117"/>
      <c r="AY780" s="117"/>
      <c r="AZ780" s="117"/>
      <c r="BA780" s="117"/>
      <c r="BB780" s="117"/>
      <c r="BC780" s="117"/>
      <c r="BD780" s="117"/>
      <c r="BE780" s="117"/>
      <c r="BF780" s="117"/>
      <c r="BG780" s="117"/>
    </row>
    <row r="781" spans="1:59">
      <c r="A781" s="117"/>
      <c r="B781" s="117"/>
      <c r="C781" s="117"/>
      <c r="D781" s="117"/>
      <c r="E781" s="117"/>
      <c r="F781" s="117"/>
      <c r="G781" s="117"/>
      <c r="H781" s="117"/>
      <c r="I781" s="117"/>
      <c r="J781" s="118"/>
      <c r="K781" s="118"/>
      <c r="L781" s="118"/>
      <c r="M781" s="118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117"/>
      <c r="AD781" s="117"/>
      <c r="AE781" s="117"/>
      <c r="AF781" s="117"/>
      <c r="AG781" s="117"/>
      <c r="AH781" s="117"/>
      <c r="AI781" s="117"/>
      <c r="AJ781" s="117"/>
      <c r="AK781" s="117"/>
      <c r="AL781" s="117"/>
      <c r="AM781" s="117"/>
      <c r="AN781" s="117"/>
      <c r="AO781" s="117"/>
      <c r="AP781" s="117"/>
      <c r="AQ781" s="117"/>
      <c r="AR781" s="117"/>
      <c r="AS781" s="117"/>
      <c r="AT781" s="117"/>
      <c r="AU781" s="117"/>
      <c r="AV781" s="117"/>
      <c r="AW781" s="117"/>
      <c r="AX781" s="117"/>
      <c r="AY781" s="117"/>
      <c r="AZ781" s="117"/>
      <c r="BA781" s="117"/>
      <c r="BB781" s="117"/>
      <c r="BC781" s="117"/>
      <c r="BD781" s="117"/>
      <c r="BE781" s="117"/>
      <c r="BF781" s="117"/>
      <c r="BG781" s="117"/>
    </row>
    <row r="782" spans="1:59">
      <c r="A782" s="117"/>
      <c r="B782" s="117"/>
      <c r="C782" s="117"/>
      <c r="D782" s="117"/>
      <c r="E782" s="117"/>
      <c r="F782" s="117"/>
      <c r="G782" s="117"/>
      <c r="H782" s="117"/>
      <c r="I782" s="117"/>
      <c r="J782" s="118"/>
      <c r="K782" s="118"/>
      <c r="L782" s="118"/>
      <c r="M782" s="118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7"/>
      <c r="AD782" s="117"/>
      <c r="AE782" s="117"/>
      <c r="AF782" s="117"/>
      <c r="AG782" s="117"/>
      <c r="AH782" s="117"/>
      <c r="AI782" s="117"/>
      <c r="AJ782" s="117"/>
      <c r="AK782" s="117"/>
      <c r="AL782" s="117"/>
      <c r="AM782" s="117"/>
      <c r="AN782" s="117"/>
      <c r="AO782" s="117"/>
      <c r="AP782" s="117"/>
      <c r="AQ782" s="117"/>
      <c r="AR782" s="117"/>
      <c r="AS782" s="117"/>
      <c r="AT782" s="117"/>
      <c r="AU782" s="117"/>
      <c r="AV782" s="117"/>
      <c r="AW782" s="117"/>
      <c r="AX782" s="117"/>
      <c r="AY782" s="117"/>
      <c r="AZ782" s="117"/>
      <c r="BA782" s="117"/>
      <c r="BB782" s="117"/>
      <c r="BC782" s="117"/>
      <c r="BD782" s="117"/>
      <c r="BE782" s="117"/>
      <c r="BF782" s="117"/>
      <c r="BG782" s="117"/>
    </row>
    <row r="783" spans="1:59">
      <c r="A783" s="117"/>
      <c r="B783" s="117"/>
      <c r="C783" s="117"/>
      <c r="D783" s="117"/>
      <c r="E783" s="117"/>
      <c r="F783" s="117"/>
      <c r="G783" s="117"/>
      <c r="H783" s="117"/>
      <c r="I783" s="117"/>
      <c r="J783" s="118"/>
      <c r="K783" s="118"/>
      <c r="L783" s="118"/>
      <c r="M783" s="118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117"/>
      <c r="AD783" s="117"/>
      <c r="AE783" s="117"/>
      <c r="AF783" s="117"/>
      <c r="AG783" s="117"/>
      <c r="AH783" s="117"/>
      <c r="AI783" s="117"/>
      <c r="AJ783" s="117"/>
      <c r="AK783" s="117"/>
      <c r="AL783" s="117"/>
      <c r="AM783" s="117"/>
      <c r="AN783" s="117"/>
      <c r="AO783" s="117"/>
      <c r="AP783" s="117"/>
      <c r="AQ783" s="117"/>
      <c r="AR783" s="117"/>
      <c r="AS783" s="117"/>
      <c r="AT783" s="117"/>
      <c r="AU783" s="117"/>
      <c r="AV783" s="117"/>
      <c r="AW783" s="117"/>
      <c r="AX783" s="117"/>
      <c r="AY783" s="117"/>
      <c r="AZ783" s="117"/>
      <c r="BA783" s="117"/>
      <c r="BB783" s="117"/>
      <c r="BC783" s="117"/>
      <c r="BD783" s="117"/>
      <c r="BE783" s="117"/>
      <c r="BF783" s="117"/>
      <c r="BG783" s="117"/>
    </row>
    <row r="784" spans="1:59">
      <c r="A784" s="117"/>
      <c r="B784" s="117"/>
      <c r="C784" s="117"/>
      <c r="D784" s="117"/>
      <c r="E784" s="117"/>
      <c r="F784" s="117"/>
      <c r="G784" s="117"/>
      <c r="H784" s="117"/>
      <c r="I784" s="117"/>
      <c r="J784" s="118"/>
      <c r="K784" s="118"/>
      <c r="L784" s="118"/>
      <c r="M784" s="118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7"/>
      <c r="AD784" s="117"/>
      <c r="AE784" s="117"/>
      <c r="AF784" s="117"/>
      <c r="AG784" s="117"/>
      <c r="AH784" s="117"/>
      <c r="AI784" s="117"/>
      <c r="AJ784" s="117"/>
      <c r="AK784" s="117"/>
      <c r="AL784" s="117"/>
      <c r="AM784" s="117"/>
      <c r="AN784" s="117"/>
      <c r="AO784" s="117"/>
      <c r="AP784" s="117"/>
      <c r="AQ784" s="117"/>
      <c r="AR784" s="117"/>
      <c r="AS784" s="117"/>
      <c r="AT784" s="117"/>
      <c r="AU784" s="117"/>
      <c r="AV784" s="117"/>
      <c r="AW784" s="117"/>
      <c r="AX784" s="117"/>
      <c r="AY784" s="117"/>
      <c r="AZ784" s="117"/>
      <c r="BA784" s="117"/>
      <c r="BB784" s="117"/>
      <c r="BC784" s="117"/>
      <c r="BD784" s="117"/>
      <c r="BE784" s="117"/>
      <c r="BF784" s="117"/>
      <c r="BG784" s="117"/>
    </row>
    <row r="785" spans="1:59">
      <c r="A785" s="117"/>
      <c r="B785" s="117"/>
      <c r="C785" s="117"/>
      <c r="D785" s="117"/>
      <c r="E785" s="117"/>
      <c r="F785" s="117"/>
      <c r="G785" s="117"/>
      <c r="H785" s="117"/>
      <c r="I785" s="117"/>
      <c r="J785" s="118"/>
      <c r="K785" s="118"/>
      <c r="L785" s="118"/>
      <c r="M785" s="118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117"/>
      <c r="AD785" s="117"/>
      <c r="AE785" s="117"/>
      <c r="AF785" s="117"/>
      <c r="AG785" s="117"/>
      <c r="AH785" s="117"/>
      <c r="AI785" s="117"/>
      <c r="AJ785" s="117"/>
      <c r="AK785" s="117"/>
      <c r="AL785" s="117"/>
      <c r="AM785" s="117"/>
      <c r="AN785" s="117"/>
      <c r="AO785" s="117"/>
      <c r="AP785" s="117"/>
      <c r="AQ785" s="117"/>
      <c r="AR785" s="117"/>
      <c r="AS785" s="117"/>
      <c r="AT785" s="117"/>
      <c r="AU785" s="117"/>
      <c r="AV785" s="117"/>
      <c r="AW785" s="117"/>
      <c r="AX785" s="117"/>
      <c r="AY785" s="117"/>
      <c r="AZ785" s="117"/>
      <c r="BA785" s="117"/>
      <c r="BB785" s="117"/>
      <c r="BC785" s="117"/>
      <c r="BD785" s="117"/>
      <c r="BE785" s="117"/>
      <c r="BF785" s="117"/>
      <c r="BG785" s="117"/>
    </row>
    <row r="786" spans="1:59">
      <c r="A786" s="117"/>
      <c r="B786" s="117"/>
      <c r="C786" s="117"/>
      <c r="D786" s="117"/>
      <c r="E786" s="117"/>
      <c r="F786" s="117"/>
      <c r="G786" s="117"/>
      <c r="H786" s="117"/>
      <c r="I786" s="117"/>
      <c r="J786" s="118"/>
      <c r="K786" s="118"/>
      <c r="L786" s="118"/>
      <c r="M786" s="118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7"/>
      <c r="AD786" s="117"/>
      <c r="AE786" s="117"/>
      <c r="AF786" s="117"/>
      <c r="AG786" s="117"/>
      <c r="AH786" s="117"/>
      <c r="AI786" s="117"/>
      <c r="AJ786" s="117"/>
      <c r="AK786" s="117"/>
      <c r="AL786" s="117"/>
      <c r="AM786" s="117"/>
      <c r="AN786" s="117"/>
      <c r="AO786" s="117"/>
      <c r="AP786" s="117"/>
      <c r="AQ786" s="117"/>
      <c r="AR786" s="117"/>
      <c r="AS786" s="117"/>
      <c r="AT786" s="117"/>
      <c r="AU786" s="117"/>
      <c r="AV786" s="117"/>
      <c r="AW786" s="117"/>
      <c r="AX786" s="117"/>
      <c r="AY786" s="117"/>
      <c r="AZ786" s="117"/>
      <c r="BA786" s="117"/>
      <c r="BB786" s="117"/>
      <c r="BC786" s="117"/>
      <c r="BD786" s="117"/>
      <c r="BE786" s="117"/>
      <c r="BF786" s="117"/>
      <c r="BG786" s="117"/>
    </row>
    <row r="787" spans="1:59">
      <c r="A787" s="117"/>
      <c r="B787" s="117"/>
      <c r="C787" s="117"/>
      <c r="D787" s="117"/>
      <c r="E787" s="117"/>
      <c r="F787" s="117"/>
      <c r="G787" s="117"/>
      <c r="H787" s="117"/>
      <c r="I787" s="117"/>
      <c r="J787" s="118"/>
      <c r="K787" s="118"/>
      <c r="L787" s="118"/>
      <c r="M787" s="118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117"/>
      <c r="AD787" s="117"/>
      <c r="AE787" s="117"/>
      <c r="AF787" s="117"/>
      <c r="AG787" s="117"/>
      <c r="AH787" s="117"/>
      <c r="AI787" s="117"/>
      <c r="AJ787" s="117"/>
      <c r="AK787" s="117"/>
      <c r="AL787" s="117"/>
      <c r="AM787" s="117"/>
      <c r="AN787" s="117"/>
      <c r="AO787" s="117"/>
      <c r="AP787" s="117"/>
      <c r="AQ787" s="117"/>
      <c r="AR787" s="117"/>
      <c r="AS787" s="117"/>
      <c r="AT787" s="117"/>
      <c r="AU787" s="117"/>
      <c r="AV787" s="117"/>
      <c r="AW787" s="117"/>
      <c r="AX787" s="117"/>
      <c r="AY787" s="117"/>
      <c r="AZ787" s="117"/>
      <c r="BA787" s="117"/>
      <c r="BB787" s="117"/>
      <c r="BC787" s="117"/>
      <c r="BD787" s="117"/>
      <c r="BE787" s="117"/>
      <c r="BF787" s="117"/>
      <c r="BG787" s="117"/>
    </row>
    <row r="788" spans="1:59">
      <c r="A788" s="117"/>
      <c r="B788" s="117"/>
      <c r="C788" s="117"/>
      <c r="D788" s="117"/>
      <c r="E788" s="117"/>
      <c r="F788" s="117"/>
      <c r="G788" s="117"/>
      <c r="H788" s="117"/>
      <c r="I788" s="117"/>
      <c r="J788" s="118"/>
      <c r="K788" s="118"/>
      <c r="L788" s="118"/>
      <c r="M788" s="118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7"/>
      <c r="AD788" s="117"/>
      <c r="AE788" s="117"/>
      <c r="AF788" s="117"/>
      <c r="AG788" s="117"/>
      <c r="AH788" s="117"/>
      <c r="AI788" s="117"/>
      <c r="AJ788" s="117"/>
      <c r="AK788" s="117"/>
      <c r="AL788" s="117"/>
      <c r="AM788" s="117"/>
      <c r="AN788" s="117"/>
      <c r="AO788" s="117"/>
      <c r="AP788" s="117"/>
      <c r="AQ788" s="117"/>
      <c r="AR788" s="117"/>
      <c r="AS788" s="117"/>
      <c r="AT788" s="117"/>
      <c r="AU788" s="117"/>
      <c r="AV788" s="117"/>
      <c r="AW788" s="117"/>
      <c r="AX788" s="117"/>
      <c r="AY788" s="117"/>
      <c r="AZ788" s="117"/>
      <c r="BA788" s="117"/>
      <c r="BB788" s="117"/>
      <c r="BC788" s="117"/>
      <c r="BD788" s="117"/>
      <c r="BE788" s="117"/>
      <c r="BF788" s="117"/>
      <c r="BG788" s="117"/>
    </row>
    <row r="789" spans="1:59">
      <c r="A789" s="117"/>
      <c r="B789" s="117"/>
      <c r="C789" s="117"/>
      <c r="D789" s="117"/>
      <c r="E789" s="117"/>
      <c r="F789" s="117"/>
      <c r="G789" s="117"/>
      <c r="H789" s="117"/>
      <c r="I789" s="117"/>
      <c r="J789" s="118"/>
      <c r="K789" s="118"/>
      <c r="L789" s="118"/>
      <c r="M789" s="118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117"/>
      <c r="AD789" s="117"/>
      <c r="AE789" s="117"/>
      <c r="AF789" s="117"/>
      <c r="AG789" s="117"/>
      <c r="AH789" s="117"/>
      <c r="AI789" s="117"/>
      <c r="AJ789" s="117"/>
      <c r="AK789" s="117"/>
      <c r="AL789" s="117"/>
      <c r="AM789" s="117"/>
      <c r="AN789" s="117"/>
      <c r="AO789" s="117"/>
      <c r="AP789" s="117"/>
      <c r="AQ789" s="117"/>
      <c r="AR789" s="117"/>
      <c r="AS789" s="117"/>
      <c r="AT789" s="117"/>
      <c r="AU789" s="117"/>
      <c r="AV789" s="117"/>
      <c r="AW789" s="117"/>
      <c r="AX789" s="117"/>
      <c r="AY789" s="117"/>
      <c r="AZ789" s="117"/>
      <c r="BA789" s="117"/>
      <c r="BB789" s="117"/>
      <c r="BC789" s="117"/>
      <c r="BD789" s="117"/>
      <c r="BE789" s="117"/>
      <c r="BF789" s="117"/>
      <c r="BG789" s="117"/>
    </row>
    <row r="790" spans="1:59">
      <c r="A790" s="117"/>
      <c r="B790" s="117"/>
      <c r="C790" s="117"/>
      <c r="D790" s="117"/>
      <c r="E790" s="117"/>
      <c r="F790" s="117"/>
      <c r="G790" s="117"/>
      <c r="H790" s="117"/>
      <c r="I790" s="117"/>
      <c r="J790" s="118"/>
      <c r="K790" s="118"/>
      <c r="L790" s="118"/>
      <c r="M790" s="118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7"/>
      <c r="AD790" s="117"/>
      <c r="AE790" s="117"/>
      <c r="AF790" s="117"/>
      <c r="AG790" s="117"/>
      <c r="AH790" s="117"/>
      <c r="AI790" s="117"/>
      <c r="AJ790" s="117"/>
      <c r="AK790" s="117"/>
      <c r="AL790" s="117"/>
      <c r="AM790" s="117"/>
      <c r="AN790" s="117"/>
      <c r="AO790" s="117"/>
      <c r="AP790" s="117"/>
      <c r="AQ790" s="117"/>
      <c r="AR790" s="117"/>
      <c r="AS790" s="117"/>
      <c r="AT790" s="117"/>
      <c r="AU790" s="117"/>
      <c r="AV790" s="117"/>
      <c r="AW790" s="117"/>
      <c r="AX790" s="117"/>
      <c r="AY790" s="117"/>
      <c r="AZ790" s="117"/>
      <c r="BA790" s="117"/>
      <c r="BB790" s="117"/>
      <c r="BC790" s="117"/>
      <c r="BD790" s="117"/>
      <c r="BE790" s="117"/>
      <c r="BF790" s="117"/>
      <c r="BG790" s="117"/>
    </row>
    <row r="791" spans="1:59">
      <c r="A791" s="117"/>
      <c r="B791" s="117"/>
      <c r="C791" s="117"/>
      <c r="D791" s="117"/>
      <c r="E791" s="117"/>
      <c r="F791" s="117"/>
      <c r="G791" s="117"/>
      <c r="H791" s="117"/>
      <c r="I791" s="117"/>
      <c r="J791" s="118"/>
      <c r="K791" s="118"/>
      <c r="L791" s="118"/>
      <c r="M791" s="118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117"/>
      <c r="AD791" s="117"/>
      <c r="AE791" s="117"/>
      <c r="AF791" s="117"/>
      <c r="AG791" s="117"/>
      <c r="AH791" s="117"/>
      <c r="AI791" s="117"/>
      <c r="AJ791" s="117"/>
      <c r="AK791" s="117"/>
      <c r="AL791" s="117"/>
      <c r="AM791" s="117"/>
      <c r="AN791" s="117"/>
      <c r="AO791" s="117"/>
      <c r="AP791" s="117"/>
      <c r="AQ791" s="117"/>
      <c r="AR791" s="117"/>
      <c r="AS791" s="117"/>
      <c r="AT791" s="117"/>
      <c r="AU791" s="117"/>
      <c r="AV791" s="117"/>
      <c r="AW791" s="117"/>
      <c r="AX791" s="117"/>
      <c r="AY791" s="117"/>
      <c r="AZ791" s="117"/>
      <c r="BA791" s="117"/>
      <c r="BB791" s="117"/>
      <c r="BC791" s="117"/>
      <c r="BD791" s="117"/>
      <c r="BE791" s="117"/>
      <c r="BF791" s="117"/>
      <c r="BG791" s="117"/>
    </row>
    <row r="792" spans="1:59">
      <c r="A792" s="117"/>
      <c r="B792" s="117"/>
      <c r="C792" s="117"/>
      <c r="D792" s="117"/>
      <c r="E792" s="117"/>
      <c r="F792" s="117"/>
      <c r="G792" s="117"/>
      <c r="H792" s="117"/>
      <c r="I792" s="117"/>
      <c r="J792" s="118"/>
      <c r="K792" s="118"/>
      <c r="L792" s="118"/>
      <c r="M792" s="118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  <c r="AD792" s="117"/>
      <c r="AE792" s="117"/>
      <c r="AF792" s="117"/>
      <c r="AG792" s="117"/>
      <c r="AH792" s="117"/>
      <c r="AI792" s="117"/>
      <c r="AJ792" s="117"/>
      <c r="AK792" s="117"/>
      <c r="AL792" s="117"/>
      <c r="AM792" s="117"/>
      <c r="AN792" s="117"/>
      <c r="AO792" s="117"/>
      <c r="AP792" s="117"/>
      <c r="AQ792" s="117"/>
      <c r="AR792" s="117"/>
      <c r="AS792" s="117"/>
      <c r="AT792" s="117"/>
      <c r="AU792" s="117"/>
      <c r="AV792" s="117"/>
      <c r="AW792" s="117"/>
      <c r="AX792" s="117"/>
      <c r="AY792" s="117"/>
      <c r="AZ792" s="117"/>
      <c r="BA792" s="117"/>
      <c r="BB792" s="117"/>
      <c r="BC792" s="117"/>
      <c r="BD792" s="117"/>
      <c r="BE792" s="117"/>
      <c r="BF792" s="117"/>
      <c r="BG792" s="117"/>
    </row>
    <row r="793" spans="1:59">
      <c r="A793" s="117"/>
      <c r="B793" s="117"/>
      <c r="C793" s="117"/>
      <c r="D793" s="117"/>
      <c r="E793" s="117"/>
      <c r="F793" s="117"/>
      <c r="G793" s="117"/>
      <c r="H793" s="117"/>
      <c r="I793" s="117"/>
      <c r="J793" s="118"/>
      <c r="K793" s="118"/>
      <c r="L793" s="118"/>
      <c r="M793" s="118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117"/>
      <c r="AD793" s="117"/>
      <c r="AE793" s="117"/>
      <c r="AF793" s="117"/>
      <c r="AG793" s="117"/>
      <c r="AH793" s="117"/>
      <c r="AI793" s="117"/>
      <c r="AJ793" s="117"/>
      <c r="AK793" s="117"/>
      <c r="AL793" s="117"/>
      <c r="AM793" s="117"/>
      <c r="AN793" s="117"/>
      <c r="AO793" s="117"/>
      <c r="AP793" s="117"/>
      <c r="AQ793" s="117"/>
      <c r="AR793" s="117"/>
      <c r="AS793" s="117"/>
      <c r="AT793" s="117"/>
      <c r="AU793" s="117"/>
      <c r="AV793" s="117"/>
      <c r="AW793" s="117"/>
      <c r="AX793" s="117"/>
      <c r="AY793" s="117"/>
      <c r="AZ793" s="117"/>
      <c r="BA793" s="117"/>
      <c r="BB793" s="117"/>
      <c r="BC793" s="117"/>
      <c r="BD793" s="117"/>
      <c r="BE793" s="117"/>
      <c r="BF793" s="117"/>
      <c r="BG793" s="117"/>
    </row>
    <row r="794" spans="1:59">
      <c r="A794" s="117"/>
      <c r="B794" s="117"/>
      <c r="C794" s="117"/>
      <c r="D794" s="117"/>
      <c r="E794" s="117"/>
      <c r="F794" s="117"/>
      <c r="G794" s="117"/>
      <c r="H794" s="117"/>
      <c r="I794" s="117"/>
      <c r="J794" s="118"/>
      <c r="K794" s="118"/>
      <c r="L794" s="118"/>
      <c r="M794" s="118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  <c r="AD794" s="117"/>
      <c r="AE794" s="117"/>
      <c r="AF794" s="117"/>
      <c r="AG794" s="117"/>
      <c r="AH794" s="117"/>
      <c r="AI794" s="117"/>
      <c r="AJ794" s="117"/>
      <c r="AK794" s="117"/>
      <c r="AL794" s="117"/>
      <c r="AM794" s="117"/>
      <c r="AN794" s="117"/>
      <c r="AO794" s="117"/>
      <c r="AP794" s="117"/>
      <c r="AQ794" s="117"/>
      <c r="AR794" s="117"/>
      <c r="AS794" s="117"/>
      <c r="AT794" s="117"/>
      <c r="AU794" s="117"/>
      <c r="AV794" s="117"/>
      <c r="AW794" s="117"/>
      <c r="AX794" s="117"/>
      <c r="AY794" s="117"/>
      <c r="AZ794" s="117"/>
      <c r="BA794" s="117"/>
      <c r="BB794" s="117"/>
      <c r="BC794" s="117"/>
      <c r="BD794" s="117"/>
      <c r="BE794" s="117"/>
      <c r="BF794" s="117"/>
      <c r="BG794" s="117"/>
    </row>
    <row r="795" spans="1:59">
      <c r="A795" s="117"/>
      <c r="B795" s="117"/>
      <c r="C795" s="117"/>
      <c r="D795" s="117"/>
      <c r="E795" s="117"/>
      <c r="F795" s="117"/>
      <c r="G795" s="117"/>
      <c r="H795" s="117"/>
      <c r="I795" s="117"/>
      <c r="J795" s="118"/>
      <c r="K795" s="118"/>
      <c r="L795" s="118"/>
      <c r="M795" s="118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117"/>
      <c r="AD795" s="117"/>
      <c r="AE795" s="117"/>
      <c r="AF795" s="117"/>
      <c r="AG795" s="117"/>
      <c r="AH795" s="117"/>
      <c r="AI795" s="117"/>
      <c r="AJ795" s="117"/>
      <c r="AK795" s="117"/>
      <c r="AL795" s="117"/>
      <c r="AM795" s="117"/>
      <c r="AN795" s="117"/>
      <c r="AO795" s="117"/>
      <c r="AP795" s="117"/>
      <c r="AQ795" s="117"/>
      <c r="AR795" s="117"/>
      <c r="AS795" s="117"/>
      <c r="AT795" s="117"/>
      <c r="AU795" s="117"/>
      <c r="AV795" s="117"/>
      <c r="AW795" s="117"/>
      <c r="AX795" s="117"/>
      <c r="AY795" s="117"/>
      <c r="AZ795" s="117"/>
      <c r="BA795" s="117"/>
      <c r="BB795" s="117"/>
      <c r="BC795" s="117"/>
      <c r="BD795" s="117"/>
      <c r="BE795" s="117"/>
      <c r="BF795" s="117"/>
      <c r="BG795" s="117"/>
    </row>
    <row r="796" spans="1:59">
      <c r="A796" s="117"/>
      <c r="B796" s="117"/>
      <c r="C796" s="117"/>
      <c r="D796" s="117"/>
      <c r="E796" s="117"/>
      <c r="F796" s="117"/>
      <c r="G796" s="117"/>
      <c r="H796" s="117"/>
      <c r="I796" s="117"/>
      <c r="J796" s="118"/>
      <c r="K796" s="118"/>
      <c r="L796" s="118"/>
      <c r="M796" s="118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  <c r="AD796" s="117"/>
      <c r="AE796" s="117"/>
      <c r="AF796" s="117"/>
      <c r="AG796" s="117"/>
      <c r="AH796" s="117"/>
      <c r="AI796" s="117"/>
      <c r="AJ796" s="117"/>
      <c r="AK796" s="117"/>
      <c r="AL796" s="117"/>
      <c r="AM796" s="117"/>
      <c r="AN796" s="117"/>
      <c r="AO796" s="117"/>
      <c r="AP796" s="117"/>
      <c r="AQ796" s="117"/>
      <c r="AR796" s="117"/>
      <c r="AS796" s="117"/>
      <c r="AT796" s="117"/>
      <c r="AU796" s="117"/>
      <c r="AV796" s="117"/>
      <c r="AW796" s="117"/>
      <c r="AX796" s="117"/>
      <c r="AY796" s="117"/>
      <c r="AZ796" s="117"/>
      <c r="BA796" s="117"/>
      <c r="BB796" s="117"/>
      <c r="BC796" s="117"/>
      <c r="BD796" s="117"/>
      <c r="BE796" s="117"/>
      <c r="BF796" s="117"/>
      <c r="BG796" s="117"/>
    </row>
    <row r="797" spans="1:59">
      <c r="A797" s="117"/>
      <c r="B797" s="117"/>
      <c r="C797" s="117"/>
      <c r="D797" s="117"/>
      <c r="E797" s="117"/>
      <c r="F797" s="117"/>
      <c r="G797" s="117"/>
      <c r="H797" s="117"/>
      <c r="I797" s="117"/>
      <c r="J797" s="118"/>
      <c r="K797" s="118"/>
      <c r="L797" s="118"/>
      <c r="M797" s="118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117"/>
      <c r="AD797" s="117"/>
      <c r="AE797" s="117"/>
      <c r="AF797" s="117"/>
      <c r="AG797" s="117"/>
      <c r="AH797" s="117"/>
      <c r="AI797" s="117"/>
      <c r="AJ797" s="117"/>
      <c r="AK797" s="117"/>
      <c r="AL797" s="117"/>
      <c r="AM797" s="117"/>
      <c r="AN797" s="117"/>
      <c r="AO797" s="117"/>
      <c r="AP797" s="117"/>
      <c r="AQ797" s="117"/>
      <c r="AR797" s="117"/>
      <c r="AS797" s="117"/>
      <c r="AT797" s="117"/>
      <c r="AU797" s="117"/>
      <c r="AV797" s="117"/>
      <c r="AW797" s="117"/>
      <c r="AX797" s="117"/>
      <c r="AY797" s="117"/>
      <c r="AZ797" s="117"/>
      <c r="BA797" s="117"/>
      <c r="BB797" s="117"/>
      <c r="BC797" s="117"/>
      <c r="BD797" s="117"/>
      <c r="BE797" s="117"/>
      <c r="BF797" s="117"/>
      <c r="BG797" s="117"/>
    </row>
    <row r="798" spans="1:59">
      <c r="A798" s="117"/>
      <c r="B798" s="117"/>
      <c r="C798" s="117"/>
      <c r="D798" s="117"/>
      <c r="E798" s="117"/>
      <c r="F798" s="117"/>
      <c r="G798" s="117"/>
      <c r="H798" s="117"/>
      <c r="I798" s="117"/>
      <c r="J798" s="118"/>
      <c r="K798" s="118"/>
      <c r="L798" s="118"/>
      <c r="M798" s="118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7"/>
      <c r="AD798" s="117"/>
      <c r="AE798" s="117"/>
      <c r="AF798" s="117"/>
      <c r="AG798" s="117"/>
      <c r="AH798" s="117"/>
      <c r="AI798" s="117"/>
      <c r="AJ798" s="117"/>
      <c r="AK798" s="117"/>
      <c r="AL798" s="117"/>
      <c r="AM798" s="117"/>
      <c r="AN798" s="117"/>
      <c r="AO798" s="117"/>
      <c r="AP798" s="117"/>
      <c r="AQ798" s="117"/>
      <c r="AR798" s="117"/>
      <c r="AS798" s="117"/>
      <c r="AT798" s="117"/>
      <c r="AU798" s="117"/>
      <c r="AV798" s="117"/>
      <c r="AW798" s="117"/>
      <c r="AX798" s="117"/>
      <c r="AY798" s="117"/>
      <c r="AZ798" s="117"/>
      <c r="BA798" s="117"/>
      <c r="BB798" s="117"/>
      <c r="BC798" s="117"/>
      <c r="BD798" s="117"/>
      <c r="BE798" s="117"/>
      <c r="BF798" s="117"/>
      <c r="BG798" s="117"/>
    </row>
    <row r="799" spans="1:59">
      <c r="A799" s="117"/>
      <c r="B799" s="117"/>
      <c r="C799" s="117"/>
      <c r="D799" s="117"/>
      <c r="E799" s="117"/>
      <c r="F799" s="117"/>
      <c r="G799" s="117"/>
      <c r="H799" s="117"/>
      <c r="I799" s="117"/>
      <c r="J799" s="118"/>
      <c r="K799" s="118"/>
      <c r="L799" s="118"/>
      <c r="M799" s="118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117"/>
      <c r="AD799" s="117"/>
      <c r="AE799" s="117"/>
      <c r="AF799" s="117"/>
      <c r="AG799" s="117"/>
      <c r="AH799" s="117"/>
      <c r="AI799" s="117"/>
      <c r="AJ799" s="117"/>
      <c r="AK799" s="117"/>
      <c r="AL799" s="117"/>
      <c r="AM799" s="117"/>
      <c r="AN799" s="117"/>
      <c r="AO799" s="117"/>
      <c r="AP799" s="117"/>
      <c r="AQ799" s="117"/>
      <c r="AR799" s="117"/>
      <c r="AS799" s="117"/>
      <c r="AT799" s="117"/>
      <c r="AU799" s="117"/>
      <c r="AV799" s="117"/>
      <c r="AW799" s="117"/>
      <c r="AX799" s="117"/>
      <c r="AY799" s="117"/>
      <c r="AZ799" s="117"/>
      <c r="BA799" s="117"/>
      <c r="BB799" s="117"/>
      <c r="BC799" s="117"/>
      <c r="BD799" s="117"/>
      <c r="BE799" s="117"/>
      <c r="BF799" s="117"/>
      <c r="BG799" s="117"/>
    </row>
    <row r="800" spans="1:59">
      <c r="A800" s="117"/>
      <c r="B800" s="117"/>
      <c r="C800" s="117"/>
      <c r="D800" s="117"/>
      <c r="E800" s="117"/>
      <c r="F800" s="117"/>
      <c r="G800" s="117"/>
      <c r="H800" s="117"/>
      <c r="I800" s="117"/>
      <c r="J800" s="118"/>
      <c r="K800" s="118"/>
      <c r="L800" s="118"/>
      <c r="M800" s="118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117"/>
      <c r="AD800" s="117"/>
      <c r="AE800" s="117"/>
      <c r="AF800" s="117"/>
      <c r="AG800" s="117"/>
      <c r="AH800" s="117"/>
      <c r="AI800" s="117"/>
      <c r="AJ800" s="117"/>
      <c r="AK800" s="117"/>
      <c r="AL800" s="117"/>
      <c r="AM800" s="117"/>
      <c r="AN800" s="117"/>
      <c r="AO800" s="117"/>
      <c r="AP800" s="117"/>
      <c r="AQ800" s="117"/>
      <c r="AR800" s="117"/>
      <c r="AS800" s="117"/>
      <c r="AT800" s="117"/>
      <c r="AU800" s="117"/>
      <c r="AV800" s="117"/>
      <c r="AW800" s="117"/>
      <c r="AX800" s="117"/>
      <c r="AY800" s="117"/>
      <c r="AZ800" s="117"/>
      <c r="BA800" s="117"/>
      <c r="BB800" s="117"/>
      <c r="BC800" s="117"/>
      <c r="BD800" s="117"/>
      <c r="BE800" s="117"/>
      <c r="BF800" s="117"/>
      <c r="BG800" s="117"/>
    </row>
    <row r="801" spans="1:59">
      <c r="A801" s="117"/>
      <c r="B801" s="117"/>
      <c r="C801" s="117"/>
      <c r="D801" s="117"/>
      <c r="E801" s="117"/>
      <c r="F801" s="117"/>
      <c r="G801" s="117"/>
      <c r="H801" s="117"/>
      <c r="I801" s="117"/>
      <c r="J801" s="118"/>
      <c r="K801" s="118"/>
      <c r="L801" s="118"/>
      <c r="M801" s="118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117"/>
      <c r="AD801" s="117"/>
      <c r="AE801" s="117"/>
      <c r="AF801" s="117"/>
      <c r="AG801" s="117"/>
      <c r="AH801" s="117"/>
      <c r="AI801" s="117"/>
      <c r="AJ801" s="117"/>
      <c r="AK801" s="117"/>
      <c r="AL801" s="117"/>
      <c r="AM801" s="117"/>
      <c r="AN801" s="117"/>
      <c r="AO801" s="117"/>
      <c r="AP801" s="117"/>
      <c r="AQ801" s="117"/>
      <c r="AR801" s="117"/>
      <c r="AS801" s="117"/>
      <c r="AT801" s="117"/>
      <c r="AU801" s="117"/>
      <c r="AV801" s="117"/>
      <c r="AW801" s="117"/>
      <c r="AX801" s="117"/>
      <c r="AY801" s="117"/>
      <c r="AZ801" s="117"/>
      <c r="BA801" s="117"/>
      <c r="BB801" s="117"/>
      <c r="BC801" s="117"/>
      <c r="BD801" s="117"/>
      <c r="BE801" s="117"/>
      <c r="BF801" s="117"/>
      <c r="BG801" s="117"/>
    </row>
    <row r="802" spans="1:59">
      <c r="A802" s="117"/>
      <c r="B802" s="117"/>
      <c r="C802" s="117"/>
      <c r="D802" s="117"/>
      <c r="E802" s="117"/>
      <c r="F802" s="117"/>
      <c r="G802" s="117"/>
      <c r="H802" s="117"/>
      <c r="I802" s="117"/>
      <c r="J802" s="118"/>
      <c r="K802" s="118"/>
      <c r="L802" s="118"/>
      <c r="M802" s="118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117"/>
      <c r="AD802" s="117"/>
      <c r="AE802" s="117"/>
      <c r="AF802" s="117"/>
      <c r="AG802" s="117"/>
      <c r="AH802" s="117"/>
      <c r="AI802" s="117"/>
      <c r="AJ802" s="117"/>
      <c r="AK802" s="117"/>
      <c r="AL802" s="117"/>
      <c r="AM802" s="117"/>
      <c r="AN802" s="117"/>
      <c r="AO802" s="117"/>
      <c r="AP802" s="117"/>
      <c r="AQ802" s="117"/>
      <c r="AR802" s="117"/>
      <c r="AS802" s="117"/>
      <c r="AT802" s="117"/>
      <c r="AU802" s="117"/>
      <c r="AV802" s="117"/>
      <c r="AW802" s="117"/>
      <c r="AX802" s="117"/>
      <c r="AY802" s="117"/>
      <c r="AZ802" s="117"/>
      <c r="BA802" s="117"/>
      <c r="BB802" s="117"/>
      <c r="BC802" s="117"/>
      <c r="BD802" s="117"/>
      <c r="BE802" s="117"/>
      <c r="BF802" s="117"/>
      <c r="BG802" s="117"/>
    </row>
    <row r="803" spans="1:59">
      <c r="A803" s="117"/>
      <c r="B803" s="117"/>
      <c r="C803" s="117"/>
      <c r="D803" s="117"/>
      <c r="E803" s="117"/>
      <c r="F803" s="117"/>
      <c r="G803" s="117"/>
      <c r="H803" s="117"/>
      <c r="I803" s="117"/>
      <c r="J803" s="118"/>
      <c r="K803" s="118"/>
      <c r="L803" s="118"/>
      <c r="M803" s="118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117"/>
      <c r="AD803" s="117"/>
      <c r="AE803" s="117"/>
      <c r="AF803" s="117"/>
      <c r="AG803" s="117"/>
      <c r="AH803" s="117"/>
      <c r="AI803" s="117"/>
      <c r="AJ803" s="117"/>
      <c r="AK803" s="117"/>
      <c r="AL803" s="117"/>
      <c r="AM803" s="117"/>
      <c r="AN803" s="117"/>
      <c r="AO803" s="117"/>
      <c r="AP803" s="117"/>
      <c r="AQ803" s="117"/>
      <c r="AR803" s="117"/>
      <c r="AS803" s="117"/>
      <c r="AT803" s="117"/>
      <c r="AU803" s="117"/>
      <c r="AV803" s="117"/>
      <c r="AW803" s="117"/>
      <c r="AX803" s="117"/>
      <c r="AY803" s="117"/>
      <c r="AZ803" s="117"/>
      <c r="BA803" s="117"/>
      <c r="BB803" s="117"/>
      <c r="BC803" s="117"/>
      <c r="BD803" s="117"/>
      <c r="BE803" s="117"/>
      <c r="BF803" s="117"/>
      <c r="BG803" s="117"/>
    </row>
    <row r="804" spans="1:59">
      <c r="A804" s="117"/>
      <c r="B804" s="117"/>
      <c r="C804" s="117"/>
      <c r="D804" s="117"/>
      <c r="E804" s="117"/>
      <c r="F804" s="117"/>
      <c r="G804" s="117"/>
      <c r="H804" s="117"/>
      <c r="I804" s="117"/>
      <c r="J804" s="118"/>
      <c r="K804" s="118"/>
      <c r="L804" s="118"/>
      <c r="M804" s="118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117"/>
      <c r="AD804" s="117"/>
      <c r="AE804" s="117"/>
      <c r="AF804" s="117"/>
      <c r="AG804" s="117"/>
      <c r="AH804" s="117"/>
      <c r="AI804" s="117"/>
      <c r="AJ804" s="117"/>
      <c r="AK804" s="117"/>
      <c r="AL804" s="117"/>
      <c r="AM804" s="117"/>
      <c r="AN804" s="117"/>
      <c r="AO804" s="117"/>
      <c r="AP804" s="117"/>
      <c r="AQ804" s="117"/>
      <c r="AR804" s="117"/>
      <c r="AS804" s="117"/>
      <c r="AT804" s="117"/>
      <c r="AU804" s="117"/>
      <c r="AV804" s="117"/>
      <c r="AW804" s="117"/>
      <c r="AX804" s="117"/>
      <c r="AY804" s="117"/>
      <c r="AZ804" s="117"/>
      <c r="BA804" s="117"/>
      <c r="BB804" s="117"/>
      <c r="BC804" s="117"/>
      <c r="BD804" s="117"/>
      <c r="BE804" s="117"/>
      <c r="BF804" s="117"/>
      <c r="BG804" s="117"/>
    </row>
    <row r="805" spans="1:59">
      <c r="A805" s="117"/>
      <c r="B805" s="117"/>
      <c r="C805" s="117"/>
      <c r="D805" s="117"/>
      <c r="E805" s="117"/>
      <c r="F805" s="117"/>
      <c r="G805" s="117"/>
      <c r="H805" s="117"/>
      <c r="I805" s="117"/>
      <c r="J805" s="118"/>
      <c r="K805" s="118"/>
      <c r="L805" s="118"/>
      <c r="M805" s="118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117"/>
      <c r="AD805" s="117"/>
      <c r="AE805" s="117"/>
      <c r="AF805" s="117"/>
      <c r="AG805" s="117"/>
      <c r="AH805" s="117"/>
      <c r="AI805" s="117"/>
      <c r="AJ805" s="117"/>
      <c r="AK805" s="117"/>
      <c r="AL805" s="117"/>
      <c r="AM805" s="117"/>
      <c r="AN805" s="117"/>
      <c r="AO805" s="117"/>
      <c r="AP805" s="117"/>
      <c r="AQ805" s="117"/>
      <c r="AR805" s="117"/>
      <c r="AS805" s="117"/>
      <c r="AT805" s="117"/>
      <c r="AU805" s="117"/>
      <c r="AV805" s="117"/>
      <c r="AW805" s="117"/>
      <c r="AX805" s="117"/>
      <c r="AY805" s="117"/>
      <c r="AZ805" s="117"/>
      <c r="BA805" s="117"/>
      <c r="BB805" s="117"/>
      <c r="BC805" s="117"/>
      <c r="BD805" s="117"/>
      <c r="BE805" s="117"/>
      <c r="BF805" s="117"/>
      <c r="BG805" s="117"/>
    </row>
    <row r="806" spans="1:59">
      <c r="A806" s="117"/>
      <c r="B806" s="117"/>
      <c r="C806" s="117"/>
      <c r="D806" s="117"/>
      <c r="E806" s="117"/>
      <c r="F806" s="117"/>
      <c r="G806" s="117"/>
      <c r="H806" s="117"/>
      <c r="I806" s="117"/>
      <c r="J806" s="118"/>
      <c r="K806" s="118"/>
      <c r="L806" s="118"/>
      <c r="M806" s="118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117"/>
      <c r="AD806" s="117"/>
      <c r="AE806" s="117"/>
      <c r="AF806" s="117"/>
      <c r="AG806" s="117"/>
      <c r="AH806" s="117"/>
      <c r="AI806" s="117"/>
      <c r="AJ806" s="117"/>
      <c r="AK806" s="117"/>
      <c r="AL806" s="117"/>
      <c r="AM806" s="117"/>
      <c r="AN806" s="117"/>
      <c r="AO806" s="117"/>
      <c r="AP806" s="117"/>
      <c r="AQ806" s="117"/>
      <c r="AR806" s="117"/>
      <c r="AS806" s="117"/>
      <c r="AT806" s="117"/>
      <c r="AU806" s="117"/>
      <c r="AV806" s="117"/>
      <c r="AW806" s="117"/>
      <c r="AX806" s="117"/>
      <c r="AY806" s="117"/>
      <c r="AZ806" s="117"/>
      <c r="BA806" s="117"/>
      <c r="BB806" s="117"/>
      <c r="BC806" s="117"/>
      <c r="BD806" s="117"/>
      <c r="BE806" s="117"/>
      <c r="BF806" s="117"/>
      <c r="BG806" s="117"/>
    </row>
    <row r="807" spans="1:59">
      <c r="A807" s="117"/>
      <c r="B807" s="117"/>
      <c r="C807" s="117"/>
      <c r="D807" s="117"/>
      <c r="E807" s="117"/>
      <c r="F807" s="117"/>
      <c r="G807" s="117"/>
      <c r="H807" s="117"/>
      <c r="I807" s="117"/>
      <c r="J807" s="118"/>
      <c r="K807" s="118"/>
      <c r="L807" s="118"/>
      <c r="M807" s="118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117"/>
      <c r="AD807" s="117"/>
      <c r="AE807" s="117"/>
      <c r="AF807" s="117"/>
      <c r="AG807" s="117"/>
      <c r="AH807" s="117"/>
      <c r="AI807" s="117"/>
      <c r="AJ807" s="117"/>
      <c r="AK807" s="117"/>
      <c r="AL807" s="117"/>
      <c r="AM807" s="117"/>
      <c r="AN807" s="117"/>
      <c r="AO807" s="117"/>
      <c r="AP807" s="117"/>
      <c r="AQ807" s="117"/>
      <c r="AR807" s="117"/>
      <c r="AS807" s="117"/>
      <c r="AT807" s="117"/>
      <c r="AU807" s="117"/>
      <c r="AV807" s="117"/>
      <c r="AW807" s="117"/>
      <c r="AX807" s="117"/>
      <c r="AY807" s="117"/>
      <c r="AZ807" s="117"/>
      <c r="BA807" s="117"/>
      <c r="BB807" s="117"/>
      <c r="BC807" s="117"/>
      <c r="BD807" s="117"/>
      <c r="BE807" s="117"/>
      <c r="BF807" s="117"/>
      <c r="BG807" s="117"/>
    </row>
    <row r="808" spans="1:59">
      <c r="A808" s="117"/>
      <c r="B808" s="117"/>
      <c r="C808" s="117"/>
      <c r="D808" s="117"/>
      <c r="E808" s="117"/>
      <c r="F808" s="117"/>
      <c r="G808" s="117"/>
      <c r="H808" s="117"/>
      <c r="I808" s="117"/>
      <c r="J808" s="118"/>
      <c r="K808" s="118"/>
      <c r="L808" s="118"/>
      <c r="M808" s="118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117"/>
      <c r="AD808" s="117"/>
      <c r="AE808" s="117"/>
      <c r="AF808" s="117"/>
      <c r="AG808" s="117"/>
      <c r="AH808" s="117"/>
      <c r="AI808" s="117"/>
      <c r="AJ808" s="117"/>
      <c r="AK808" s="117"/>
      <c r="AL808" s="117"/>
      <c r="AM808" s="117"/>
      <c r="AN808" s="117"/>
      <c r="AO808" s="117"/>
      <c r="AP808" s="117"/>
      <c r="AQ808" s="117"/>
      <c r="AR808" s="117"/>
      <c r="AS808" s="117"/>
      <c r="AT808" s="117"/>
      <c r="AU808" s="117"/>
      <c r="AV808" s="117"/>
      <c r="AW808" s="117"/>
      <c r="AX808" s="117"/>
      <c r="AY808" s="117"/>
      <c r="AZ808" s="117"/>
      <c r="BA808" s="117"/>
      <c r="BB808" s="117"/>
      <c r="BC808" s="117"/>
      <c r="BD808" s="117"/>
      <c r="BE808" s="117"/>
      <c r="BF808" s="117"/>
      <c r="BG808" s="117"/>
    </row>
    <row r="809" spans="1:59">
      <c r="A809" s="117"/>
      <c r="B809" s="117"/>
      <c r="C809" s="117"/>
      <c r="D809" s="117"/>
      <c r="E809" s="117"/>
      <c r="F809" s="117"/>
      <c r="G809" s="117"/>
      <c r="H809" s="117"/>
      <c r="I809" s="117"/>
      <c r="J809" s="118"/>
      <c r="K809" s="118"/>
      <c r="L809" s="118"/>
      <c r="M809" s="118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117"/>
      <c r="AD809" s="117"/>
      <c r="AE809" s="117"/>
      <c r="AF809" s="117"/>
      <c r="AG809" s="117"/>
      <c r="AH809" s="117"/>
      <c r="AI809" s="117"/>
      <c r="AJ809" s="117"/>
      <c r="AK809" s="117"/>
      <c r="AL809" s="117"/>
      <c r="AM809" s="117"/>
      <c r="AN809" s="117"/>
      <c r="AO809" s="117"/>
      <c r="AP809" s="117"/>
      <c r="AQ809" s="117"/>
      <c r="AR809" s="117"/>
      <c r="AS809" s="117"/>
      <c r="AT809" s="117"/>
      <c r="AU809" s="117"/>
      <c r="AV809" s="117"/>
      <c r="AW809" s="117"/>
      <c r="AX809" s="117"/>
      <c r="AY809" s="117"/>
      <c r="AZ809" s="117"/>
      <c r="BA809" s="117"/>
      <c r="BB809" s="117"/>
      <c r="BC809" s="117"/>
      <c r="BD809" s="117"/>
      <c r="BE809" s="117"/>
      <c r="BF809" s="117"/>
      <c r="BG809" s="117"/>
    </row>
    <row r="810" spans="1:59">
      <c r="A810" s="117"/>
      <c r="B810" s="117"/>
      <c r="C810" s="117"/>
      <c r="D810" s="117"/>
      <c r="E810" s="117"/>
      <c r="F810" s="117"/>
      <c r="G810" s="117"/>
      <c r="H810" s="117"/>
      <c r="I810" s="117"/>
      <c r="J810" s="118"/>
      <c r="K810" s="118"/>
      <c r="L810" s="118"/>
      <c r="M810" s="118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117"/>
      <c r="AD810" s="117"/>
      <c r="AE810" s="117"/>
      <c r="AF810" s="117"/>
      <c r="AG810" s="117"/>
      <c r="AH810" s="117"/>
      <c r="AI810" s="117"/>
      <c r="AJ810" s="117"/>
      <c r="AK810" s="117"/>
      <c r="AL810" s="117"/>
      <c r="AM810" s="117"/>
      <c r="AN810" s="117"/>
      <c r="AO810" s="117"/>
      <c r="AP810" s="117"/>
      <c r="AQ810" s="117"/>
      <c r="AR810" s="117"/>
      <c r="AS810" s="117"/>
      <c r="AT810" s="117"/>
      <c r="AU810" s="117"/>
      <c r="AV810" s="117"/>
      <c r="AW810" s="117"/>
      <c r="AX810" s="117"/>
      <c r="AY810" s="117"/>
      <c r="AZ810" s="117"/>
      <c r="BA810" s="117"/>
      <c r="BB810" s="117"/>
      <c r="BC810" s="117"/>
      <c r="BD810" s="117"/>
      <c r="BE810" s="117"/>
      <c r="BF810" s="117"/>
      <c r="BG810" s="117"/>
    </row>
    <row r="811" spans="1:59">
      <c r="A811" s="117"/>
      <c r="B811" s="117"/>
      <c r="C811" s="117"/>
      <c r="D811" s="117"/>
      <c r="E811" s="117"/>
      <c r="F811" s="117"/>
      <c r="G811" s="117"/>
      <c r="H811" s="117"/>
      <c r="I811" s="117"/>
      <c r="J811" s="118"/>
      <c r="K811" s="118"/>
      <c r="L811" s="118"/>
      <c r="M811" s="118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117"/>
      <c r="AD811" s="117"/>
      <c r="AE811" s="117"/>
      <c r="AF811" s="117"/>
      <c r="AG811" s="117"/>
      <c r="AH811" s="117"/>
      <c r="AI811" s="117"/>
      <c r="AJ811" s="117"/>
      <c r="AK811" s="117"/>
      <c r="AL811" s="117"/>
      <c r="AM811" s="117"/>
      <c r="AN811" s="117"/>
      <c r="AO811" s="117"/>
      <c r="AP811" s="117"/>
      <c r="AQ811" s="117"/>
      <c r="AR811" s="117"/>
      <c r="AS811" s="117"/>
      <c r="AT811" s="117"/>
      <c r="AU811" s="117"/>
      <c r="AV811" s="117"/>
      <c r="AW811" s="117"/>
      <c r="AX811" s="117"/>
      <c r="AY811" s="117"/>
      <c r="AZ811" s="117"/>
      <c r="BA811" s="117"/>
      <c r="BB811" s="117"/>
      <c r="BC811" s="117"/>
      <c r="BD811" s="117"/>
      <c r="BE811" s="117"/>
      <c r="BF811" s="117"/>
      <c r="BG811" s="117"/>
    </row>
    <row r="812" spans="1:59">
      <c r="A812" s="117"/>
      <c r="B812" s="117"/>
      <c r="C812" s="117"/>
      <c r="D812" s="117"/>
      <c r="E812" s="117"/>
      <c r="F812" s="117"/>
      <c r="G812" s="117"/>
      <c r="H812" s="117"/>
      <c r="I812" s="117"/>
      <c r="J812" s="118"/>
      <c r="K812" s="118"/>
      <c r="L812" s="118"/>
      <c r="M812" s="118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117"/>
      <c r="AD812" s="117"/>
      <c r="AE812" s="117"/>
      <c r="AF812" s="117"/>
      <c r="AG812" s="117"/>
      <c r="AH812" s="117"/>
      <c r="AI812" s="117"/>
      <c r="AJ812" s="117"/>
      <c r="AK812" s="117"/>
      <c r="AL812" s="117"/>
      <c r="AM812" s="117"/>
      <c r="AN812" s="117"/>
      <c r="AO812" s="117"/>
      <c r="AP812" s="117"/>
      <c r="AQ812" s="117"/>
      <c r="AR812" s="117"/>
      <c r="AS812" s="117"/>
      <c r="AT812" s="117"/>
      <c r="AU812" s="117"/>
      <c r="AV812" s="117"/>
      <c r="AW812" s="117"/>
      <c r="AX812" s="117"/>
      <c r="AY812" s="117"/>
      <c r="AZ812" s="117"/>
      <c r="BA812" s="117"/>
      <c r="BB812" s="117"/>
      <c r="BC812" s="117"/>
      <c r="BD812" s="117"/>
      <c r="BE812" s="117"/>
      <c r="BF812" s="117"/>
      <c r="BG812" s="117"/>
    </row>
    <row r="813" spans="1:59">
      <c r="A813" s="117"/>
      <c r="B813" s="117"/>
      <c r="C813" s="117"/>
      <c r="D813" s="117"/>
      <c r="E813" s="117"/>
      <c r="F813" s="117"/>
      <c r="G813" s="117"/>
      <c r="H813" s="117"/>
      <c r="I813" s="117"/>
      <c r="J813" s="118"/>
      <c r="K813" s="118"/>
      <c r="L813" s="118"/>
      <c r="M813" s="118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117"/>
      <c r="AD813" s="117"/>
      <c r="AE813" s="117"/>
      <c r="AF813" s="117"/>
      <c r="AG813" s="117"/>
      <c r="AH813" s="117"/>
      <c r="AI813" s="117"/>
      <c r="AJ813" s="117"/>
      <c r="AK813" s="117"/>
      <c r="AL813" s="117"/>
      <c r="AM813" s="117"/>
      <c r="AN813" s="117"/>
      <c r="AO813" s="117"/>
      <c r="AP813" s="117"/>
      <c r="AQ813" s="117"/>
      <c r="AR813" s="117"/>
      <c r="AS813" s="117"/>
      <c r="AT813" s="117"/>
      <c r="AU813" s="117"/>
      <c r="AV813" s="117"/>
      <c r="AW813" s="117"/>
      <c r="AX813" s="117"/>
      <c r="AY813" s="117"/>
      <c r="AZ813" s="117"/>
      <c r="BA813" s="117"/>
      <c r="BB813" s="117"/>
      <c r="BC813" s="117"/>
      <c r="BD813" s="117"/>
      <c r="BE813" s="117"/>
      <c r="BF813" s="117"/>
      <c r="BG813" s="117"/>
    </row>
    <row r="814" spans="1:59">
      <c r="A814" s="117"/>
      <c r="B814" s="117"/>
      <c r="C814" s="117"/>
      <c r="D814" s="117"/>
      <c r="E814" s="117"/>
      <c r="F814" s="117"/>
      <c r="G814" s="117"/>
      <c r="H814" s="117"/>
      <c r="I814" s="117"/>
      <c r="J814" s="118"/>
      <c r="K814" s="118"/>
      <c r="L814" s="118"/>
      <c r="M814" s="118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117"/>
      <c r="AD814" s="117"/>
      <c r="AE814" s="117"/>
      <c r="AF814" s="117"/>
      <c r="AG814" s="117"/>
      <c r="AH814" s="117"/>
      <c r="AI814" s="117"/>
      <c r="AJ814" s="117"/>
      <c r="AK814" s="117"/>
      <c r="AL814" s="117"/>
      <c r="AM814" s="117"/>
      <c r="AN814" s="117"/>
      <c r="AO814" s="117"/>
      <c r="AP814" s="117"/>
      <c r="AQ814" s="117"/>
      <c r="AR814" s="117"/>
      <c r="AS814" s="117"/>
      <c r="AT814" s="117"/>
      <c r="AU814" s="117"/>
      <c r="AV814" s="117"/>
      <c r="AW814" s="117"/>
      <c r="AX814" s="117"/>
      <c r="AY814" s="117"/>
      <c r="AZ814" s="117"/>
      <c r="BA814" s="117"/>
      <c r="BB814" s="117"/>
      <c r="BC814" s="117"/>
      <c r="BD814" s="117"/>
      <c r="BE814" s="117"/>
      <c r="BF814" s="117"/>
      <c r="BG814" s="117"/>
    </row>
    <row r="815" spans="1:59">
      <c r="A815" s="117"/>
      <c r="B815" s="117"/>
      <c r="C815" s="117"/>
      <c r="D815" s="117"/>
      <c r="E815" s="117"/>
      <c r="F815" s="117"/>
      <c r="G815" s="117"/>
      <c r="H815" s="117"/>
      <c r="I815" s="117"/>
      <c r="J815" s="118"/>
      <c r="K815" s="118"/>
      <c r="L815" s="118"/>
      <c r="M815" s="118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117"/>
      <c r="AD815" s="117"/>
      <c r="AE815" s="117"/>
      <c r="AF815" s="117"/>
      <c r="AG815" s="117"/>
      <c r="AH815" s="117"/>
      <c r="AI815" s="117"/>
      <c r="AJ815" s="117"/>
      <c r="AK815" s="117"/>
      <c r="AL815" s="117"/>
      <c r="AM815" s="117"/>
      <c r="AN815" s="117"/>
      <c r="AO815" s="117"/>
      <c r="AP815" s="117"/>
      <c r="AQ815" s="117"/>
      <c r="AR815" s="117"/>
      <c r="AS815" s="117"/>
      <c r="AT815" s="117"/>
      <c r="AU815" s="117"/>
      <c r="AV815" s="117"/>
      <c r="AW815" s="117"/>
      <c r="AX815" s="117"/>
      <c r="AY815" s="117"/>
      <c r="AZ815" s="117"/>
      <c r="BA815" s="117"/>
      <c r="BB815" s="117"/>
      <c r="BC815" s="117"/>
      <c r="BD815" s="117"/>
      <c r="BE815" s="117"/>
      <c r="BF815" s="117"/>
      <c r="BG815" s="117"/>
    </row>
    <row r="816" spans="1:59">
      <c r="A816" s="117"/>
      <c r="B816" s="117"/>
      <c r="C816" s="117"/>
      <c r="D816" s="117"/>
      <c r="E816" s="117"/>
      <c r="F816" s="117"/>
      <c r="G816" s="117"/>
      <c r="H816" s="117"/>
      <c r="I816" s="117"/>
      <c r="J816" s="118"/>
      <c r="K816" s="118"/>
      <c r="L816" s="118"/>
      <c r="M816" s="118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117"/>
      <c r="AD816" s="117"/>
      <c r="AE816" s="117"/>
      <c r="AF816" s="117"/>
      <c r="AG816" s="117"/>
      <c r="AH816" s="117"/>
      <c r="AI816" s="117"/>
      <c r="AJ816" s="117"/>
      <c r="AK816" s="117"/>
      <c r="AL816" s="117"/>
      <c r="AM816" s="117"/>
      <c r="AN816" s="117"/>
      <c r="AO816" s="117"/>
      <c r="AP816" s="117"/>
      <c r="AQ816" s="117"/>
      <c r="AR816" s="117"/>
      <c r="AS816" s="117"/>
      <c r="AT816" s="117"/>
      <c r="AU816" s="117"/>
      <c r="AV816" s="117"/>
      <c r="AW816" s="117"/>
      <c r="AX816" s="117"/>
      <c r="AY816" s="117"/>
      <c r="AZ816" s="117"/>
      <c r="BA816" s="117"/>
      <c r="BB816" s="117"/>
      <c r="BC816" s="117"/>
      <c r="BD816" s="117"/>
      <c r="BE816" s="117"/>
      <c r="BF816" s="117"/>
      <c r="BG816" s="117"/>
    </row>
    <row r="817" spans="1:59">
      <c r="A817" s="117"/>
      <c r="B817" s="117"/>
      <c r="C817" s="117"/>
      <c r="D817" s="117"/>
      <c r="E817" s="117"/>
      <c r="F817" s="117"/>
      <c r="G817" s="117"/>
      <c r="H817" s="117"/>
      <c r="I817" s="117"/>
      <c r="J817" s="118"/>
      <c r="K817" s="118"/>
      <c r="L817" s="118"/>
      <c r="M817" s="118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117"/>
      <c r="AD817" s="117"/>
      <c r="AE817" s="117"/>
      <c r="AF817" s="117"/>
      <c r="AG817" s="117"/>
      <c r="AH817" s="117"/>
      <c r="AI817" s="117"/>
      <c r="AJ817" s="117"/>
      <c r="AK817" s="117"/>
      <c r="AL817" s="117"/>
      <c r="AM817" s="117"/>
      <c r="AN817" s="117"/>
      <c r="AO817" s="117"/>
      <c r="AP817" s="117"/>
      <c r="AQ817" s="117"/>
      <c r="AR817" s="117"/>
      <c r="AS817" s="117"/>
      <c r="AT817" s="117"/>
      <c r="AU817" s="117"/>
      <c r="AV817" s="117"/>
      <c r="AW817" s="117"/>
      <c r="AX817" s="117"/>
      <c r="AY817" s="117"/>
      <c r="AZ817" s="117"/>
      <c r="BA817" s="117"/>
      <c r="BB817" s="117"/>
      <c r="BC817" s="117"/>
      <c r="BD817" s="117"/>
      <c r="BE817" s="117"/>
      <c r="BF817" s="117"/>
      <c r="BG817" s="117"/>
    </row>
    <row r="818" spans="1:59">
      <c r="A818" s="117"/>
      <c r="B818" s="117"/>
      <c r="C818" s="117"/>
      <c r="D818" s="117"/>
      <c r="E818" s="117"/>
      <c r="F818" s="117"/>
      <c r="G818" s="117"/>
      <c r="H818" s="117"/>
      <c r="I818" s="117"/>
      <c r="J818" s="118"/>
      <c r="K818" s="118"/>
      <c r="L818" s="118"/>
      <c r="M818" s="118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117"/>
      <c r="AD818" s="117"/>
      <c r="AE818" s="117"/>
      <c r="AF818" s="117"/>
      <c r="AG818" s="117"/>
      <c r="AH818" s="117"/>
      <c r="AI818" s="117"/>
      <c r="AJ818" s="117"/>
      <c r="AK818" s="117"/>
      <c r="AL818" s="117"/>
      <c r="AM818" s="117"/>
      <c r="AN818" s="117"/>
      <c r="AO818" s="117"/>
      <c r="AP818" s="117"/>
      <c r="AQ818" s="117"/>
      <c r="AR818" s="117"/>
      <c r="AS818" s="117"/>
      <c r="AT818" s="117"/>
      <c r="AU818" s="117"/>
      <c r="AV818" s="117"/>
      <c r="AW818" s="117"/>
      <c r="AX818" s="117"/>
      <c r="AY818" s="117"/>
      <c r="AZ818" s="117"/>
      <c r="BA818" s="117"/>
      <c r="BB818" s="117"/>
      <c r="BC818" s="117"/>
      <c r="BD818" s="117"/>
      <c r="BE818" s="117"/>
      <c r="BF818" s="117"/>
      <c r="BG818" s="117"/>
    </row>
    <row r="819" spans="1:59">
      <c r="A819" s="117"/>
      <c r="B819" s="117"/>
      <c r="C819" s="117"/>
      <c r="D819" s="117"/>
      <c r="E819" s="117"/>
      <c r="F819" s="117"/>
      <c r="G819" s="117"/>
      <c r="H819" s="117"/>
      <c r="I819" s="117"/>
      <c r="J819" s="118"/>
      <c r="K819" s="118"/>
      <c r="L819" s="118"/>
      <c r="M819" s="118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117"/>
      <c r="AD819" s="117"/>
      <c r="AE819" s="117"/>
      <c r="AF819" s="117"/>
      <c r="AG819" s="117"/>
      <c r="AH819" s="117"/>
      <c r="AI819" s="117"/>
      <c r="AJ819" s="117"/>
      <c r="AK819" s="117"/>
      <c r="AL819" s="117"/>
      <c r="AM819" s="117"/>
      <c r="AN819" s="117"/>
      <c r="AO819" s="117"/>
      <c r="AP819" s="117"/>
      <c r="AQ819" s="117"/>
      <c r="AR819" s="117"/>
      <c r="AS819" s="117"/>
      <c r="AT819" s="117"/>
      <c r="AU819" s="117"/>
      <c r="AV819" s="117"/>
      <c r="AW819" s="117"/>
      <c r="AX819" s="117"/>
      <c r="AY819" s="117"/>
      <c r="AZ819" s="117"/>
      <c r="BA819" s="117"/>
      <c r="BB819" s="117"/>
      <c r="BC819" s="117"/>
      <c r="BD819" s="117"/>
      <c r="BE819" s="117"/>
      <c r="BF819" s="117"/>
      <c r="BG819" s="117"/>
    </row>
    <row r="820" spans="1:59">
      <c r="A820" s="117"/>
      <c r="B820" s="117"/>
      <c r="C820" s="117"/>
      <c r="D820" s="117"/>
      <c r="E820" s="117"/>
      <c r="F820" s="117"/>
      <c r="G820" s="117"/>
      <c r="H820" s="117"/>
      <c r="I820" s="117"/>
      <c r="J820" s="118"/>
      <c r="K820" s="118"/>
      <c r="L820" s="118"/>
      <c r="M820" s="118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117"/>
      <c r="AD820" s="117"/>
      <c r="AE820" s="117"/>
      <c r="AF820" s="117"/>
      <c r="AG820" s="117"/>
      <c r="AH820" s="117"/>
      <c r="AI820" s="117"/>
      <c r="AJ820" s="117"/>
      <c r="AK820" s="117"/>
      <c r="AL820" s="117"/>
      <c r="AM820" s="117"/>
      <c r="AN820" s="117"/>
      <c r="AO820" s="117"/>
      <c r="AP820" s="117"/>
      <c r="AQ820" s="117"/>
      <c r="AR820" s="117"/>
      <c r="AS820" s="117"/>
      <c r="AT820" s="117"/>
      <c r="AU820" s="117"/>
      <c r="AV820" s="117"/>
      <c r="AW820" s="117"/>
      <c r="AX820" s="117"/>
      <c r="AY820" s="117"/>
      <c r="AZ820" s="117"/>
      <c r="BA820" s="117"/>
      <c r="BB820" s="117"/>
      <c r="BC820" s="117"/>
      <c r="BD820" s="117"/>
      <c r="BE820" s="117"/>
      <c r="BF820" s="117"/>
      <c r="BG820" s="117"/>
    </row>
    <row r="821" spans="1:59">
      <c r="A821" s="117"/>
      <c r="B821" s="117"/>
      <c r="C821" s="117"/>
      <c r="D821" s="117"/>
      <c r="E821" s="117"/>
      <c r="F821" s="117"/>
      <c r="G821" s="117"/>
      <c r="H821" s="117"/>
      <c r="I821" s="117"/>
      <c r="J821" s="118"/>
      <c r="K821" s="118"/>
      <c r="L821" s="118"/>
      <c r="M821" s="118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117"/>
      <c r="AD821" s="117"/>
      <c r="AE821" s="117"/>
      <c r="AF821" s="117"/>
      <c r="AG821" s="117"/>
      <c r="AH821" s="117"/>
      <c r="AI821" s="117"/>
      <c r="AJ821" s="117"/>
      <c r="AK821" s="117"/>
      <c r="AL821" s="117"/>
      <c r="AM821" s="117"/>
      <c r="AN821" s="117"/>
      <c r="AO821" s="117"/>
      <c r="AP821" s="117"/>
      <c r="AQ821" s="117"/>
      <c r="AR821" s="117"/>
      <c r="AS821" s="117"/>
      <c r="AT821" s="117"/>
      <c r="AU821" s="117"/>
      <c r="AV821" s="117"/>
      <c r="AW821" s="117"/>
      <c r="AX821" s="117"/>
      <c r="AY821" s="117"/>
      <c r="AZ821" s="117"/>
      <c r="BA821" s="117"/>
      <c r="BB821" s="117"/>
      <c r="BC821" s="117"/>
      <c r="BD821" s="117"/>
      <c r="BE821" s="117"/>
      <c r="BF821" s="117"/>
      <c r="BG821" s="117"/>
    </row>
    <row r="822" spans="1:59">
      <c r="A822" s="117"/>
      <c r="B822" s="117"/>
      <c r="C822" s="117"/>
      <c r="D822" s="117"/>
      <c r="E822" s="117"/>
      <c r="F822" s="117"/>
      <c r="G822" s="117"/>
      <c r="H822" s="117"/>
      <c r="I822" s="117"/>
      <c r="J822" s="118"/>
      <c r="K822" s="118"/>
      <c r="L822" s="118"/>
      <c r="M822" s="118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117"/>
      <c r="AD822" s="117"/>
      <c r="AE822" s="117"/>
      <c r="AF822" s="117"/>
      <c r="AG822" s="117"/>
      <c r="AH822" s="117"/>
      <c r="AI822" s="117"/>
      <c r="AJ822" s="117"/>
      <c r="AK822" s="117"/>
      <c r="AL822" s="117"/>
      <c r="AM822" s="117"/>
      <c r="AN822" s="117"/>
      <c r="AO822" s="117"/>
      <c r="AP822" s="117"/>
      <c r="AQ822" s="117"/>
      <c r="AR822" s="117"/>
      <c r="AS822" s="117"/>
      <c r="AT822" s="117"/>
      <c r="AU822" s="117"/>
      <c r="AV822" s="117"/>
      <c r="AW822" s="117"/>
      <c r="AX822" s="117"/>
      <c r="AY822" s="117"/>
      <c r="AZ822" s="117"/>
      <c r="BA822" s="117"/>
      <c r="BB822" s="117"/>
      <c r="BC822" s="117"/>
      <c r="BD822" s="117"/>
      <c r="BE822" s="117"/>
      <c r="BF822" s="117"/>
      <c r="BG822" s="117"/>
    </row>
    <row r="823" spans="1:59">
      <c r="A823" s="117"/>
      <c r="B823" s="117"/>
      <c r="C823" s="117"/>
      <c r="D823" s="117"/>
      <c r="E823" s="117"/>
      <c r="F823" s="117"/>
      <c r="G823" s="117"/>
      <c r="H823" s="117"/>
      <c r="I823" s="117"/>
      <c r="J823" s="118"/>
      <c r="K823" s="118"/>
      <c r="L823" s="118"/>
      <c r="M823" s="118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117"/>
      <c r="AD823" s="117"/>
      <c r="AE823" s="117"/>
      <c r="AF823" s="117"/>
      <c r="AG823" s="117"/>
      <c r="AH823" s="117"/>
      <c r="AI823" s="117"/>
      <c r="AJ823" s="117"/>
      <c r="AK823" s="117"/>
      <c r="AL823" s="117"/>
      <c r="AM823" s="117"/>
      <c r="AN823" s="117"/>
      <c r="AO823" s="117"/>
      <c r="AP823" s="117"/>
      <c r="AQ823" s="117"/>
      <c r="AR823" s="117"/>
      <c r="AS823" s="117"/>
      <c r="AT823" s="117"/>
      <c r="AU823" s="117"/>
      <c r="AV823" s="117"/>
      <c r="AW823" s="117"/>
      <c r="AX823" s="117"/>
      <c r="AY823" s="117"/>
      <c r="AZ823" s="117"/>
      <c r="BA823" s="117"/>
      <c r="BB823" s="117"/>
      <c r="BC823" s="117"/>
      <c r="BD823" s="117"/>
      <c r="BE823" s="117"/>
      <c r="BF823" s="117"/>
      <c r="BG823" s="117"/>
    </row>
    <row r="824" spans="1:59">
      <c r="A824" s="117"/>
      <c r="B824" s="117"/>
      <c r="C824" s="117"/>
      <c r="D824" s="117"/>
      <c r="E824" s="117"/>
      <c r="F824" s="117"/>
      <c r="G824" s="117"/>
      <c r="H824" s="117"/>
      <c r="I824" s="117"/>
      <c r="J824" s="118"/>
      <c r="K824" s="118"/>
      <c r="L824" s="118"/>
      <c r="M824" s="118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117"/>
      <c r="AD824" s="117"/>
      <c r="AE824" s="117"/>
      <c r="AF824" s="117"/>
      <c r="AG824" s="117"/>
      <c r="AH824" s="117"/>
      <c r="AI824" s="117"/>
      <c r="AJ824" s="117"/>
      <c r="AK824" s="117"/>
      <c r="AL824" s="117"/>
      <c r="AM824" s="117"/>
      <c r="AN824" s="117"/>
      <c r="AO824" s="117"/>
      <c r="AP824" s="117"/>
      <c r="AQ824" s="117"/>
      <c r="AR824" s="117"/>
      <c r="AS824" s="117"/>
      <c r="AT824" s="117"/>
      <c r="AU824" s="117"/>
      <c r="AV824" s="117"/>
      <c r="AW824" s="117"/>
      <c r="AX824" s="117"/>
      <c r="AY824" s="117"/>
      <c r="AZ824" s="117"/>
      <c r="BA824" s="117"/>
      <c r="BB824" s="117"/>
      <c r="BC824" s="117"/>
      <c r="BD824" s="117"/>
      <c r="BE824" s="117"/>
      <c r="BF824" s="117"/>
      <c r="BG824" s="117"/>
    </row>
    <row r="825" spans="1:59">
      <c r="A825" s="117"/>
      <c r="B825" s="117"/>
      <c r="C825" s="117"/>
      <c r="D825" s="117"/>
      <c r="E825" s="117"/>
      <c r="F825" s="117"/>
      <c r="G825" s="117"/>
      <c r="H825" s="117"/>
      <c r="I825" s="117"/>
      <c r="J825" s="118"/>
      <c r="K825" s="118"/>
      <c r="L825" s="118"/>
      <c r="M825" s="118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117"/>
      <c r="AD825" s="117"/>
      <c r="AE825" s="117"/>
      <c r="AF825" s="117"/>
      <c r="AG825" s="117"/>
      <c r="AH825" s="117"/>
      <c r="AI825" s="117"/>
      <c r="AJ825" s="117"/>
      <c r="AK825" s="117"/>
      <c r="AL825" s="117"/>
      <c r="AM825" s="117"/>
      <c r="AN825" s="117"/>
      <c r="AO825" s="117"/>
      <c r="AP825" s="117"/>
      <c r="AQ825" s="117"/>
      <c r="AR825" s="117"/>
      <c r="AS825" s="117"/>
      <c r="AT825" s="117"/>
      <c r="AU825" s="117"/>
      <c r="AV825" s="117"/>
      <c r="AW825" s="117"/>
      <c r="AX825" s="117"/>
      <c r="AY825" s="117"/>
      <c r="AZ825" s="117"/>
      <c r="BA825" s="117"/>
      <c r="BB825" s="117"/>
      <c r="BC825" s="117"/>
      <c r="BD825" s="117"/>
      <c r="BE825" s="117"/>
      <c r="BF825" s="117"/>
      <c r="BG825" s="117"/>
    </row>
    <row r="826" spans="1:59">
      <c r="A826" s="117"/>
      <c r="B826" s="117"/>
      <c r="C826" s="117"/>
      <c r="D826" s="117"/>
      <c r="E826" s="117"/>
      <c r="F826" s="117"/>
      <c r="G826" s="117"/>
      <c r="H826" s="117"/>
      <c r="I826" s="117"/>
      <c r="J826" s="118"/>
      <c r="K826" s="118"/>
      <c r="L826" s="118"/>
      <c r="M826" s="118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117"/>
      <c r="AD826" s="117"/>
      <c r="AE826" s="117"/>
      <c r="AF826" s="117"/>
      <c r="AG826" s="117"/>
      <c r="AH826" s="117"/>
      <c r="AI826" s="117"/>
      <c r="AJ826" s="117"/>
      <c r="AK826" s="117"/>
      <c r="AL826" s="117"/>
      <c r="AM826" s="117"/>
      <c r="AN826" s="117"/>
      <c r="AO826" s="117"/>
      <c r="AP826" s="117"/>
      <c r="AQ826" s="117"/>
      <c r="AR826" s="117"/>
      <c r="AS826" s="117"/>
      <c r="AT826" s="117"/>
      <c r="AU826" s="117"/>
      <c r="AV826" s="117"/>
      <c r="AW826" s="117"/>
      <c r="AX826" s="117"/>
      <c r="AY826" s="117"/>
      <c r="AZ826" s="117"/>
      <c r="BA826" s="117"/>
      <c r="BB826" s="117"/>
      <c r="BC826" s="117"/>
      <c r="BD826" s="117"/>
      <c r="BE826" s="117"/>
      <c r="BF826" s="117"/>
      <c r="BG826" s="117"/>
    </row>
    <row r="827" spans="1:59">
      <c r="A827" s="117"/>
      <c r="B827" s="117"/>
      <c r="C827" s="117"/>
      <c r="D827" s="117"/>
      <c r="E827" s="117"/>
      <c r="F827" s="117"/>
      <c r="G827" s="117"/>
      <c r="H827" s="117"/>
      <c r="I827" s="117"/>
      <c r="J827" s="118"/>
      <c r="K827" s="118"/>
      <c r="L827" s="118"/>
      <c r="M827" s="118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117"/>
      <c r="AD827" s="117"/>
      <c r="AE827" s="117"/>
      <c r="AF827" s="117"/>
      <c r="AG827" s="117"/>
      <c r="AH827" s="117"/>
      <c r="AI827" s="117"/>
      <c r="AJ827" s="117"/>
      <c r="AK827" s="117"/>
      <c r="AL827" s="117"/>
      <c r="AM827" s="117"/>
      <c r="AN827" s="117"/>
      <c r="AO827" s="117"/>
      <c r="AP827" s="117"/>
      <c r="AQ827" s="117"/>
      <c r="AR827" s="117"/>
      <c r="AS827" s="117"/>
      <c r="AT827" s="117"/>
      <c r="AU827" s="117"/>
      <c r="AV827" s="117"/>
      <c r="AW827" s="117"/>
      <c r="AX827" s="117"/>
      <c r="AY827" s="117"/>
      <c r="AZ827" s="117"/>
      <c r="BA827" s="117"/>
      <c r="BB827" s="117"/>
      <c r="BC827" s="117"/>
      <c r="BD827" s="117"/>
      <c r="BE827" s="117"/>
      <c r="BF827" s="117"/>
      <c r="BG827" s="117"/>
    </row>
    <row r="828" spans="1:59">
      <c r="A828" s="117"/>
      <c r="B828" s="117"/>
      <c r="C828" s="117"/>
      <c r="D828" s="117"/>
      <c r="E828" s="117"/>
      <c r="F828" s="117"/>
      <c r="G828" s="117"/>
      <c r="H828" s="117"/>
      <c r="I828" s="117"/>
      <c r="J828" s="118"/>
      <c r="K828" s="118"/>
      <c r="L828" s="118"/>
      <c r="M828" s="118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117"/>
      <c r="AD828" s="117"/>
      <c r="AE828" s="117"/>
      <c r="AF828" s="117"/>
      <c r="AG828" s="117"/>
      <c r="AH828" s="117"/>
      <c r="AI828" s="117"/>
      <c r="AJ828" s="117"/>
      <c r="AK828" s="117"/>
      <c r="AL828" s="117"/>
      <c r="AM828" s="117"/>
      <c r="AN828" s="117"/>
      <c r="AO828" s="117"/>
      <c r="AP828" s="117"/>
      <c r="AQ828" s="117"/>
      <c r="AR828" s="117"/>
      <c r="AS828" s="117"/>
      <c r="AT828" s="117"/>
      <c r="AU828" s="117"/>
      <c r="AV828" s="117"/>
      <c r="AW828" s="117"/>
      <c r="AX828" s="117"/>
      <c r="AY828" s="117"/>
      <c r="AZ828" s="117"/>
      <c r="BA828" s="117"/>
      <c r="BB828" s="117"/>
      <c r="BC828" s="117"/>
      <c r="BD828" s="117"/>
      <c r="BE828" s="117"/>
      <c r="BF828" s="117"/>
      <c r="BG828" s="117"/>
    </row>
    <row r="829" spans="1:59">
      <c r="A829" s="117"/>
      <c r="B829" s="117"/>
      <c r="C829" s="117"/>
      <c r="D829" s="117"/>
      <c r="E829" s="117"/>
      <c r="F829" s="117"/>
      <c r="G829" s="117"/>
      <c r="H829" s="117"/>
      <c r="I829" s="117"/>
      <c r="J829" s="118"/>
      <c r="K829" s="118"/>
      <c r="L829" s="118"/>
      <c r="M829" s="118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117"/>
      <c r="AD829" s="117"/>
      <c r="AE829" s="117"/>
      <c r="AF829" s="117"/>
      <c r="AG829" s="117"/>
      <c r="AH829" s="117"/>
      <c r="AI829" s="117"/>
      <c r="AJ829" s="117"/>
      <c r="AK829" s="117"/>
      <c r="AL829" s="117"/>
      <c r="AM829" s="117"/>
      <c r="AN829" s="117"/>
      <c r="AO829" s="117"/>
      <c r="AP829" s="117"/>
      <c r="AQ829" s="117"/>
      <c r="AR829" s="117"/>
      <c r="AS829" s="117"/>
      <c r="AT829" s="117"/>
      <c r="AU829" s="117"/>
      <c r="AV829" s="117"/>
      <c r="AW829" s="117"/>
      <c r="AX829" s="117"/>
      <c r="AY829" s="117"/>
      <c r="AZ829" s="117"/>
      <c r="BA829" s="117"/>
      <c r="BB829" s="117"/>
      <c r="BC829" s="117"/>
      <c r="BD829" s="117"/>
      <c r="BE829" s="117"/>
      <c r="BF829" s="117"/>
      <c r="BG829" s="117"/>
    </row>
    <row r="830" spans="1:59">
      <c r="A830" s="117"/>
      <c r="B830" s="117"/>
      <c r="C830" s="117"/>
      <c r="D830" s="117"/>
      <c r="E830" s="117"/>
      <c r="F830" s="117"/>
      <c r="G830" s="117"/>
      <c r="H830" s="117"/>
      <c r="I830" s="117"/>
      <c r="J830" s="118"/>
      <c r="K830" s="118"/>
      <c r="L830" s="118"/>
      <c r="M830" s="118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117"/>
      <c r="AD830" s="117"/>
      <c r="AE830" s="117"/>
      <c r="AF830" s="117"/>
      <c r="AG830" s="117"/>
      <c r="AH830" s="117"/>
      <c r="AI830" s="117"/>
      <c r="AJ830" s="117"/>
      <c r="AK830" s="117"/>
      <c r="AL830" s="117"/>
      <c r="AM830" s="117"/>
      <c r="AN830" s="117"/>
      <c r="AO830" s="117"/>
      <c r="AP830" s="117"/>
      <c r="AQ830" s="117"/>
      <c r="AR830" s="117"/>
      <c r="AS830" s="117"/>
      <c r="AT830" s="117"/>
      <c r="AU830" s="117"/>
      <c r="AV830" s="117"/>
      <c r="AW830" s="117"/>
      <c r="AX830" s="117"/>
      <c r="AY830" s="117"/>
      <c r="AZ830" s="117"/>
      <c r="BA830" s="117"/>
      <c r="BB830" s="117"/>
      <c r="BC830" s="117"/>
      <c r="BD830" s="117"/>
      <c r="BE830" s="117"/>
      <c r="BF830" s="117"/>
      <c r="BG830" s="117"/>
    </row>
    <row r="831" spans="1:59">
      <c r="A831" s="117"/>
      <c r="B831" s="117"/>
      <c r="C831" s="117"/>
      <c r="D831" s="117"/>
      <c r="E831" s="117"/>
      <c r="F831" s="117"/>
      <c r="G831" s="117"/>
      <c r="H831" s="117"/>
      <c r="I831" s="117"/>
      <c r="J831" s="118"/>
      <c r="K831" s="118"/>
      <c r="L831" s="118"/>
      <c r="M831" s="118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117"/>
      <c r="AD831" s="117"/>
      <c r="AE831" s="117"/>
      <c r="AF831" s="117"/>
      <c r="AG831" s="117"/>
      <c r="AH831" s="117"/>
      <c r="AI831" s="117"/>
      <c r="AJ831" s="117"/>
      <c r="AK831" s="117"/>
      <c r="AL831" s="117"/>
      <c r="AM831" s="117"/>
      <c r="AN831" s="117"/>
      <c r="AO831" s="117"/>
      <c r="AP831" s="117"/>
      <c r="AQ831" s="117"/>
      <c r="AR831" s="117"/>
      <c r="AS831" s="117"/>
      <c r="AT831" s="117"/>
      <c r="AU831" s="117"/>
      <c r="AV831" s="117"/>
      <c r="AW831" s="117"/>
      <c r="AX831" s="117"/>
      <c r="AY831" s="117"/>
      <c r="AZ831" s="117"/>
      <c r="BA831" s="117"/>
      <c r="BB831" s="117"/>
      <c r="BC831" s="117"/>
      <c r="BD831" s="117"/>
      <c r="BE831" s="117"/>
      <c r="BF831" s="117"/>
      <c r="BG831" s="117"/>
    </row>
    <row r="832" spans="1:59">
      <c r="A832" s="117"/>
      <c r="B832" s="117"/>
      <c r="C832" s="117"/>
      <c r="D832" s="117"/>
      <c r="E832" s="117"/>
      <c r="F832" s="117"/>
      <c r="G832" s="117"/>
      <c r="H832" s="117"/>
      <c r="I832" s="117"/>
      <c r="J832" s="118"/>
      <c r="K832" s="118"/>
      <c r="L832" s="118"/>
      <c r="M832" s="118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117"/>
      <c r="AD832" s="117"/>
      <c r="AE832" s="117"/>
      <c r="AF832" s="117"/>
      <c r="AG832" s="117"/>
      <c r="AH832" s="117"/>
      <c r="AI832" s="117"/>
      <c r="AJ832" s="117"/>
      <c r="AK832" s="117"/>
      <c r="AL832" s="117"/>
      <c r="AM832" s="117"/>
      <c r="AN832" s="117"/>
      <c r="AO832" s="117"/>
      <c r="AP832" s="117"/>
      <c r="AQ832" s="117"/>
      <c r="AR832" s="117"/>
      <c r="AS832" s="117"/>
      <c r="AT832" s="117"/>
      <c r="AU832" s="117"/>
      <c r="AV832" s="117"/>
      <c r="AW832" s="117"/>
      <c r="AX832" s="117"/>
      <c r="AY832" s="117"/>
      <c r="AZ832" s="117"/>
      <c r="BA832" s="117"/>
      <c r="BB832" s="117"/>
      <c r="BC832" s="117"/>
      <c r="BD832" s="117"/>
      <c r="BE832" s="117"/>
      <c r="BF832" s="117"/>
      <c r="BG832" s="117"/>
    </row>
    <row r="833" spans="1:59">
      <c r="A833" s="117"/>
      <c r="B833" s="117"/>
      <c r="C833" s="117"/>
      <c r="D833" s="117"/>
      <c r="E833" s="117"/>
      <c r="F833" s="117"/>
      <c r="G833" s="117"/>
      <c r="H833" s="117"/>
      <c r="I833" s="117"/>
      <c r="J833" s="118"/>
      <c r="K833" s="118"/>
      <c r="L833" s="118"/>
      <c r="M833" s="118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117"/>
      <c r="AD833" s="117"/>
      <c r="AE833" s="117"/>
      <c r="AF833" s="117"/>
      <c r="AG833" s="117"/>
      <c r="AH833" s="117"/>
      <c r="AI833" s="117"/>
      <c r="AJ833" s="117"/>
      <c r="AK833" s="117"/>
      <c r="AL833" s="117"/>
      <c r="AM833" s="117"/>
      <c r="AN833" s="117"/>
      <c r="AO833" s="117"/>
      <c r="AP833" s="117"/>
      <c r="AQ833" s="117"/>
      <c r="AR833" s="117"/>
      <c r="AS833" s="117"/>
      <c r="AT833" s="117"/>
      <c r="AU833" s="117"/>
      <c r="AV833" s="117"/>
      <c r="AW833" s="117"/>
      <c r="AX833" s="117"/>
      <c r="AY833" s="117"/>
      <c r="AZ833" s="117"/>
      <c r="BA833" s="117"/>
      <c r="BB833" s="117"/>
      <c r="BC833" s="117"/>
      <c r="BD833" s="117"/>
      <c r="BE833" s="117"/>
      <c r="BF833" s="117"/>
      <c r="BG833" s="117"/>
    </row>
    <row r="834" spans="1:59">
      <c r="A834" s="117"/>
      <c r="B834" s="117"/>
      <c r="C834" s="117"/>
      <c r="D834" s="117"/>
      <c r="E834" s="117"/>
      <c r="F834" s="117"/>
      <c r="G834" s="117"/>
      <c r="H834" s="117"/>
      <c r="I834" s="117"/>
      <c r="J834" s="118"/>
      <c r="K834" s="118"/>
      <c r="L834" s="118"/>
      <c r="M834" s="118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117"/>
      <c r="AD834" s="117"/>
      <c r="AE834" s="117"/>
      <c r="AF834" s="117"/>
      <c r="AG834" s="117"/>
      <c r="AH834" s="117"/>
      <c r="AI834" s="117"/>
      <c r="AJ834" s="117"/>
      <c r="AK834" s="117"/>
      <c r="AL834" s="117"/>
      <c r="AM834" s="117"/>
      <c r="AN834" s="117"/>
      <c r="AO834" s="117"/>
      <c r="AP834" s="117"/>
      <c r="AQ834" s="117"/>
      <c r="AR834" s="117"/>
      <c r="AS834" s="117"/>
      <c r="AT834" s="117"/>
      <c r="AU834" s="117"/>
      <c r="AV834" s="117"/>
      <c r="AW834" s="117"/>
      <c r="AX834" s="117"/>
      <c r="AY834" s="117"/>
      <c r="AZ834" s="117"/>
      <c r="BA834" s="117"/>
      <c r="BB834" s="117"/>
      <c r="BC834" s="117"/>
      <c r="BD834" s="117"/>
      <c r="BE834" s="117"/>
      <c r="BF834" s="117"/>
      <c r="BG834" s="117"/>
    </row>
    <row r="835" spans="1:59">
      <c r="A835" s="117"/>
      <c r="B835" s="117"/>
      <c r="C835" s="117"/>
      <c r="D835" s="117"/>
      <c r="E835" s="117"/>
      <c r="F835" s="117"/>
      <c r="G835" s="117"/>
      <c r="H835" s="117"/>
      <c r="I835" s="117"/>
      <c r="J835" s="118"/>
      <c r="K835" s="118"/>
      <c r="L835" s="118"/>
      <c r="M835" s="118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117"/>
      <c r="AD835" s="117"/>
      <c r="AE835" s="117"/>
      <c r="AF835" s="117"/>
      <c r="AG835" s="117"/>
      <c r="AH835" s="117"/>
      <c r="AI835" s="117"/>
      <c r="AJ835" s="117"/>
      <c r="AK835" s="117"/>
      <c r="AL835" s="117"/>
      <c r="AM835" s="117"/>
      <c r="AN835" s="117"/>
      <c r="AO835" s="117"/>
      <c r="AP835" s="117"/>
      <c r="AQ835" s="117"/>
      <c r="AR835" s="117"/>
      <c r="AS835" s="117"/>
      <c r="AT835" s="117"/>
      <c r="AU835" s="117"/>
      <c r="AV835" s="117"/>
      <c r="AW835" s="117"/>
      <c r="AX835" s="117"/>
      <c r="AY835" s="117"/>
      <c r="AZ835" s="117"/>
      <c r="BA835" s="117"/>
      <c r="BB835" s="117"/>
      <c r="BC835" s="117"/>
      <c r="BD835" s="117"/>
      <c r="BE835" s="117"/>
      <c r="BF835" s="117"/>
      <c r="BG835" s="117"/>
    </row>
    <row r="836" spans="1:59">
      <c r="A836" s="117"/>
      <c r="B836" s="117"/>
      <c r="C836" s="117"/>
      <c r="D836" s="117"/>
      <c r="E836" s="117"/>
      <c r="F836" s="117"/>
      <c r="G836" s="117"/>
      <c r="H836" s="117"/>
      <c r="I836" s="117"/>
      <c r="J836" s="118"/>
      <c r="K836" s="118"/>
      <c r="L836" s="118"/>
      <c r="M836" s="118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117"/>
      <c r="AD836" s="117"/>
      <c r="AE836" s="117"/>
      <c r="AF836" s="117"/>
      <c r="AG836" s="117"/>
      <c r="AH836" s="117"/>
      <c r="AI836" s="117"/>
      <c r="AJ836" s="117"/>
      <c r="AK836" s="117"/>
      <c r="AL836" s="117"/>
      <c r="AM836" s="117"/>
      <c r="AN836" s="117"/>
      <c r="AO836" s="117"/>
      <c r="AP836" s="117"/>
      <c r="AQ836" s="117"/>
      <c r="AR836" s="117"/>
      <c r="AS836" s="117"/>
      <c r="AT836" s="117"/>
      <c r="AU836" s="117"/>
      <c r="AV836" s="117"/>
      <c r="AW836" s="117"/>
      <c r="AX836" s="117"/>
      <c r="AY836" s="117"/>
      <c r="AZ836" s="117"/>
      <c r="BA836" s="117"/>
      <c r="BB836" s="117"/>
      <c r="BC836" s="117"/>
      <c r="BD836" s="117"/>
      <c r="BE836" s="117"/>
      <c r="BF836" s="117"/>
      <c r="BG836" s="117"/>
    </row>
    <row r="837" spans="1:59">
      <c r="A837" s="117"/>
      <c r="B837" s="117"/>
      <c r="C837" s="117"/>
      <c r="D837" s="117"/>
      <c r="E837" s="117"/>
      <c r="F837" s="117"/>
      <c r="G837" s="117"/>
      <c r="H837" s="117"/>
      <c r="I837" s="117"/>
      <c r="J837" s="118"/>
      <c r="K837" s="118"/>
      <c r="L837" s="118"/>
      <c r="M837" s="118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117"/>
      <c r="AD837" s="117"/>
      <c r="AE837" s="117"/>
      <c r="AF837" s="117"/>
      <c r="AG837" s="117"/>
      <c r="AH837" s="117"/>
      <c r="AI837" s="117"/>
      <c r="AJ837" s="117"/>
      <c r="AK837" s="117"/>
      <c r="AL837" s="117"/>
      <c r="AM837" s="117"/>
      <c r="AN837" s="117"/>
      <c r="AO837" s="117"/>
      <c r="AP837" s="117"/>
      <c r="AQ837" s="117"/>
      <c r="AR837" s="117"/>
      <c r="AS837" s="117"/>
      <c r="AT837" s="117"/>
      <c r="AU837" s="117"/>
      <c r="AV837" s="117"/>
      <c r="AW837" s="117"/>
      <c r="AX837" s="117"/>
      <c r="AY837" s="117"/>
      <c r="AZ837" s="117"/>
      <c r="BA837" s="117"/>
      <c r="BB837" s="117"/>
      <c r="BC837" s="117"/>
      <c r="BD837" s="117"/>
      <c r="BE837" s="117"/>
      <c r="BF837" s="117"/>
      <c r="BG837" s="117"/>
    </row>
    <row r="838" spans="1:59">
      <c r="A838" s="117"/>
      <c r="B838" s="117"/>
      <c r="C838" s="117"/>
      <c r="D838" s="117"/>
      <c r="E838" s="117"/>
      <c r="F838" s="117"/>
      <c r="G838" s="117"/>
      <c r="H838" s="117"/>
      <c r="I838" s="117"/>
      <c r="J838" s="118"/>
      <c r="K838" s="118"/>
      <c r="L838" s="118"/>
      <c r="M838" s="118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117"/>
      <c r="AD838" s="117"/>
      <c r="AE838" s="117"/>
      <c r="AF838" s="117"/>
      <c r="AG838" s="117"/>
      <c r="AH838" s="117"/>
      <c r="AI838" s="117"/>
      <c r="AJ838" s="117"/>
      <c r="AK838" s="117"/>
      <c r="AL838" s="117"/>
      <c r="AM838" s="117"/>
      <c r="AN838" s="117"/>
      <c r="AO838" s="117"/>
      <c r="AP838" s="117"/>
      <c r="AQ838" s="117"/>
      <c r="AR838" s="117"/>
      <c r="AS838" s="117"/>
      <c r="AT838" s="117"/>
      <c r="AU838" s="117"/>
      <c r="AV838" s="117"/>
      <c r="AW838" s="117"/>
      <c r="AX838" s="117"/>
      <c r="AY838" s="117"/>
      <c r="AZ838" s="117"/>
      <c r="BA838" s="117"/>
      <c r="BB838" s="117"/>
      <c r="BC838" s="117"/>
      <c r="BD838" s="117"/>
      <c r="BE838" s="117"/>
      <c r="BF838" s="117"/>
      <c r="BG838" s="117"/>
    </row>
    <row r="839" spans="1:59">
      <c r="A839" s="117"/>
      <c r="B839" s="117"/>
      <c r="C839" s="117"/>
      <c r="D839" s="117"/>
      <c r="E839" s="117"/>
      <c r="F839" s="117"/>
      <c r="G839" s="117"/>
      <c r="H839" s="117"/>
      <c r="I839" s="117"/>
      <c r="J839" s="118"/>
      <c r="K839" s="118"/>
      <c r="L839" s="118"/>
      <c r="M839" s="118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117"/>
      <c r="AD839" s="117"/>
      <c r="AE839" s="117"/>
      <c r="AF839" s="117"/>
      <c r="AG839" s="117"/>
      <c r="AH839" s="117"/>
      <c r="AI839" s="117"/>
      <c r="AJ839" s="117"/>
      <c r="AK839" s="117"/>
      <c r="AL839" s="117"/>
      <c r="AM839" s="117"/>
      <c r="AN839" s="117"/>
      <c r="AO839" s="117"/>
      <c r="AP839" s="117"/>
      <c r="AQ839" s="117"/>
      <c r="AR839" s="117"/>
      <c r="AS839" s="117"/>
      <c r="AT839" s="117"/>
      <c r="AU839" s="117"/>
      <c r="AV839" s="117"/>
      <c r="AW839" s="117"/>
      <c r="AX839" s="117"/>
      <c r="AY839" s="117"/>
      <c r="AZ839" s="117"/>
      <c r="BA839" s="117"/>
      <c r="BB839" s="117"/>
      <c r="BC839" s="117"/>
      <c r="BD839" s="117"/>
      <c r="BE839" s="117"/>
      <c r="BF839" s="117"/>
      <c r="BG839" s="117"/>
    </row>
    <row r="840" spans="1:59">
      <c r="A840" s="117"/>
      <c r="B840" s="117"/>
      <c r="C840" s="117"/>
      <c r="D840" s="117"/>
      <c r="E840" s="117"/>
      <c r="F840" s="117"/>
      <c r="G840" s="117"/>
      <c r="H840" s="117"/>
      <c r="I840" s="117"/>
      <c r="J840" s="118"/>
      <c r="K840" s="118"/>
      <c r="L840" s="118"/>
      <c r="M840" s="118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117"/>
      <c r="AD840" s="117"/>
      <c r="AE840" s="117"/>
      <c r="AF840" s="117"/>
      <c r="AG840" s="117"/>
      <c r="AH840" s="117"/>
      <c r="AI840" s="117"/>
      <c r="AJ840" s="117"/>
      <c r="AK840" s="117"/>
      <c r="AL840" s="117"/>
      <c r="AM840" s="117"/>
      <c r="AN840" s="117"/>
      <c r="AO840" s="117"/>
      <c r="AP840" s="117"/>
      <c r="AQ840" s="117"/>
      <c r="AR840" s="117"/>
      <c r="AS840" s="117"/>
      <c r="AT840" s="117"/>
      <c r="AU840" s="117"/>
      <c r="AV840" s="117"/>
      <c r="AW840" s="117"/>
      <c r="AX840" s="117"/>
      <c r="AY840" s="117"/>
      <c r="AZ840" s="117"/>
      <c r="BA840" s="117"/>
      <c r="BB840" s="117"/>
      <c r="BC840" s="117"/>
      <c r="BD840" s="117"/>
      <c r="BE840" s="117"/>
      <c r="BF840" s="117"/>
      <c r="BG840" s="117"/>
    </row>
    <row r="841" spans="1:59">
      <c r="A841" s="117"/>
      <c r="B841" s="117"/>
      <c r="C841" s="117"/>
      <c r="D841" s="117"/>
      <c r="E841" s="117"/>
      <c r="F841" s="117"/>
      <c r="G841" s="117"/>
      <c r="H841" s="117"/>
      <c r="I841" s="117"/>
      <c r="J841" s="118"/>
      <c r="K841" s="118"/>
      <c r="L841" s="118"/>
      <c r="M841" s="118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117"/>
      <c r="AD841" s="117"/>
      <c r="AE841" s="117"/>
      <c r="AF841" s="117"/>
      <c r="AG841" s="117"/>
      <c r="AH841" s="117"/>
      <c r="AI841" s="117"/>
      <c r="AJ841" s="117"/>
      <c r="AK841" s="117"/>
      <c r="AL841" s="117"/>
      <c r="AM841" s="117"/>
      <c r="AN841" s="117"/>
      <c r="AO841" s="117"/>
      <c r="AP841" s="117"/>
      <c r="AQ841" s="117"/>
      <c r="AR841" s="117"/>
      <c r="AS841" s="117"/>
      <c r="AT841" s="117"/>
      <c r="AU841" s="117"/>
      <c r="AV841" s="117"/>
      <c r="AW841" s="117"/>
      <c r="AX841" s="117"/>
      <c r="AY841" s="117"/>
      <c r="AZ841" s="117"/>
      <c r="BA841" s="117"/>
      <c r="BB841" s="117"/>
      <c r="BC841" s="117"/>
      <c r="BD841" s="117"/>
      <c r="BE841" s="117"/>
      <c r="BF841" s="117"/>
      <c r="BG841" s="117"/>
    </row>
    <row r="842" spans="1:59">
      <c r="A842" s="117"/>
      <c r="B842" s="117"/>
      <c r="C842" s="117"/>
      <c r="D842" s="117"/>
      <c r="E842" s="117"/>
      <c r="F842" s="117"/>
      <c r="G842" s="117"/>
      <c r="H842" s="117"/>
      <c r="I842" s="117"/>
      <c r="J842" s="118"/>
      <c r="K842" s="118"/>
      <c r="L842" s="118"/>
      <c r="M842" s="118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117"/>
      <c r="AD842" s="117"/>
      <c r="AE842" s="117"/>
      <c r="AF842" s="117"/>
      <c r="AG842" s="117"/>
      <c r="AH842" s="117"/>
      <c r="AI842" s="117"/>
      <c r="AJ842" s="117"/>
      <c r="AK842" s="117"/>
      <c r="AL842" s="117"/>
      <c r="AM842" s="117"/>
      <c r="AN842" s="117"/>
      <c r="AO842" s="117"/>
      <c r="AP842" s="117"/>
      <c r="AQ842" s="117"/>
      <c r="AR842" s="117"/>
      <c r="AS842" s="117"/>
      <c r="AT842" s="117"/>
      <c r="AU842" s="117"/>
      <c r="AV842" s="117"/>
      <c r="AW842" s="117"/>
      <c r="AX842" s="117"/>
      <c r="AY842" s="117"/>
      <c r="AZ842" s="117"/>
      <c r="BA842" s="117"/>
      <c r="BB842" s="117"/>
      <c r="BC842" s="117"/>
      <c r="BD842" s="117"/>
      <c r="BE842" s="117"/>
      <c r="BF842" s="117"/>
      <c r="BG842" s="117"/>
    </row>
    <row r="843" spans="1:59">
      <c r="A843" s="117"/>
      <c r="B843" s="117"/>
      <c r="C843" s="117"/>
      <c r="D843" s="117"/>
      <c r="E843" s="117"/>
      <c r="F843" s="117"/>
      <c r="G843" s="117"/>
      <c r="H843" s="117"/>
      <c r="I843" s="117"/>
      <c r="J843" s="118"/>
      <c r="K843" s="118"/>
      <c r="L843" s="118"/>
      <c r="M843" s="118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117"/>
      <c r="AD843" s="117"/>
      <c r="AE843" s="117"/>
      <c r="AF843" s="117"/>
      <c r="AG843" s="117"/>
      <c r="AH843" s="117"/>
      <c r="AI843" s="117"/>
      <c r="AJ843" s="117"/>
      <c r="AK843" s="117"/>
      <c r="AL843" s="117"/>
      <c r="AM843" s="117"/>
      <c r="AN843" s="117"/>
      <c r="AO843" s="117"/>
      <c r="AP843" s="117"/>
      <c r="AQ843" s="117"/>
      <c r="AR843" s="117"/>
      <c r="AS843" s="117"/>
      <c r="AT843" s="117"/>
      <c r="AU843" s="117"/>
      <c r="AV843" s="117"/>
      <c r="AW843" s="117"/>
      <c r="AX843" s="117"/>
      <c r="AY843" s="117"/>
      <c r="AZ843" s="117"/>
      <c r="BA843" s="117"/>
      <c r="BB843" s="117"/>
      <c r="BC843" s="117"/>
      <c r="BD843" s="117"/>
      <c r="BE843" s="117"/>
      <c r="BF843" s="117"/>
      <c r="BG843" s="117"/>
    </row>
    <row r="844" spans="1:59">
      <c r="A844" s="117"/>
      <c r="B844" s="117"/>
      <c r="C844" s="117"/>
      <c r="D844" s="117"/>
      <c r="E844" s="117"/>
      <c r="F844" s="117"/>
      <c r="G844" s="117"/>
      <c r="H844" s="117"/>
      <c r="I844" s="117"/>
      <c r="J844" s="118"/>
      <c r="K844" s="118"/>
      <c r="L844" s="118"/>
      <c r="M844" s="118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117"/>
      <c r="AD844" s="117"/>
      <c r="AE844" s="117"/>
      <c r="AF844" s="117"/>
      <c r="AG844" s="117"/>
      <c r="AH844" s="117"/>
      <c r="AI844" s="117"/>
      <c r="AJ844" s="117"/>
      <c r="AK844" s="117"/>
      <c r="AL844" s="117"/>
      <c r="AM844" s="117"/>
      <c r="AN844" s="117"/>
      <c r="AO844" s="117"/>
      <c r="AP844" s="117"/>
      <c r="AQ844" s="117"/>
      <c r="AR844" s="117"/>
      <c r="AS844" s="117"/>
      <c r="AT844" s="117"/>
      <c r="AU844" s="117"/>
      <c r="AV844" s="117"/>
      <c r="AW844" s="117"/>
      <c r="AX844" s="117"/>
      <c r="AY844" s="117"/>
      <c r="AZ844" s="117"/>
      <c r="BA844" s="117"/>
      <c r="BB844" s="117"/>
      <c r="BC844" s="117"/>
      <c r="BD844" s="117"/>
      <c r="BE844" s="117"/>
      <c r="BF844" s="117"/>
      <c r="BG844" s="117"/>
    </row>
    <row r="845" spans="1:59">
      <c r="A845" s="117"/>
      <c r="B845" s="117"/>
      <c r="C845" s="117"/>
      <c r="D845" s="117"/>
      <c r="E845" s="117"/>
      <c r="F845" s="117"/>
      <c r="G845" s="117"/>
      <c r="H845" s="117"/>
      <c r="I845" s="117"/>
      <c r="J845" s="118"/>
      <c r="K845" s="118"/>
      <c r="L845" s="118"/>
      <c r="M845" s="118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117"/>
      <c r="AD845" s="117"/>
      <c r="AE845" s="117"/>
      <c r="AF845" s="117"/>
      <c r="AG845" s="117"/>
      <c r="AH845" s="117"/>
      <c r="AI845" s="117"/>
      <c r="AJ845" s="117"/>
      <c r="AK845" s="117"/>
      <c r="AL845" s="117"/>
      <c r="AM845" s="117"/>
      <c r="AN845" s="117"/>
      <c r="AO845" s="117"/>
      <c r="AP845" s="117"/>
      <c r="AQ845" s="117"/>
      <c r="AR845" s="117"/>
      <c r="AS845" s="117"/>
      <c r="AT845" s="117"/>
      <c r="AU845" s="117"/>
      <c r="AV845" s="117"/>
      <c r="AW845" s="117"/>
      <c r="AX845" s="117"/>
      <c r="AY845" s="117"/>
      <c r="AZ845" s="117"/>
      <c r="BA845" s="117"/>
      <c r="BB845" s="117"/>
      <c r="BC845" s="117"/>
      <c r="BD845" s="117"/>
      <c r="BE845" s="117"/>
      <c r="BF845" s="117"/>
      <c r="BG845" s="117"/>
    </row>
    <row r="846" spans="1:59">
      <c r="A846" s="117"/>
      <c r="B846" s="117"/>
      <c r="C846" s="117"/>
      <c r="D846" s="117"/>
      <c r="E846" s="117"/>
      <c r="F846" s="117"/>
      <c r="G846" s="117"/>
      <c r="H846" s="117"/>
      <c r="I846" s="117"/>
      <c r="J846" s="118"/>
      <c r="K846" s="118"/>
      <c r="L846" s="118"/>
      <c r="M846" s="118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117"/>
      <c r="AD846" s="117"/>
      <c r="AE846" s="117"/>
      <c r="AF846" s="117"/>
      <c r="AG846" s="117"/>
      <c r="AH846" s="117"/>
      <c r="AI846" s="117"/>
      <c r="AJ846" s="117"/>
      <c r="AK846" s="117"/>
      <c r="AL846" s="117"/>
      <c r="AM846" s="117"/>
      <c r="AN846" s="117"/>
      <c r="AO846" s="117"/>
      <c r="AP846" s="117"/>
      <c r="AQ846" s="117"/>
      <c r="AR846" s="117"/>
      <c r="AS846" s="117"/>
      <c r="AT846" s="117"/>
      <c r="AU846" s="117"/>
      <c r="AV846" s="117"/>
      <c r="AW846" s="117"/>
      <c r="AX846" s="117"/>
      <c r="AY846" s="117"/>
      <c r="AZ846" s="117"/>
      <c r="BA846" s="117"/>
      <c r="BB846" s="117"/>
      <c r="BC846" s="117"/>
      <c r="BD846" s="117"/>
      <c r="BE846" s="117"/>
      <c r="BF846" s="117"/>
      <c r="BG846" s="117"/>
    </row>
    <row r="847" spans="1:59">
      <c r="A847" s="117"/>
      <c r="B847" s="117"/>
      <c r="C847" s="117"/>
      <c r="D847" s="117"/>
      <c r="E847" s="117"/>
      <c r="F847" s="117"/>
      <c r="G847" s="117"/>
      <c r="H847" s="117"/>
      <c r="I847" s="117"/>
      <c r="J847" s="118"/>
      <c r="K847" s="118"/>
      <c r="L847" s="118"/>
      <c r="M847" s="118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117"/>
      <c r="AD847" s="117"/>
      <c r="AE847" s="117"/>
      <c r="AF847" s="117"/>
      <c r="AG847" s="117"/>
      <c r="AH847" s="117"/>
      <c r="AI847" s="117"/>
      <c r="AJ847" s="117"/>
      <c r="AK847" s="117"/>
      <c r="AL847" s="117"/>
      <c r="AM847" s="117"/>
      <c r="AN847" s="117"/>
      <c r="AO847" s="117"/>
      <c r="AP847" s="117"/>
      <c r="AQ847" s="117"/>
      <c r="AR847" s="117"/>
      <c r="AS847" s="117"/>
      <c r="AT847" s="117"/>
      <c r="AU847" s="117"/>
      <c r="AV847" s="117"/>
      <c r="AW847" s="117"/>
      <c r="AX847" s="117"/>
      <c r="AY847" s="117"/>
      <c r="AZ847" s="117"/>
      <c r="BA847" s="117"/>
      <c r="BB847" s="117"/>
      <c r="BC847" s="117"/>
      <c r="BD847" s="117"/>
      <c r="BE847" s="117"/>
      <c r="BF847" s="117"/>
      <c r="BG847" s="117"/>
    </row>
    <row r="848" spans="1:59">
      <c r="A848" s="117"/>
      <c r="B848" s="117"/>
      <c r="C848" s="117"/>
      <c r="D848" s="117"/>
      <c r="E848" s="117"/>
      <c r="F848" s="117"/>
      <c r="G848" s="117"/>
      <c r="H848" s="117"/>
      <c r="I848" s="117"/>
      <c r="J848" s="118"/>
      <c r="K848" s="118"/>
      <c r="L848" s="118"/>
      <c r="M848" s="118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117"/>
      <c r="AD848" s="117"/>
      <c r="AE848" s="117"/>
      <c r="AF848" s="117"/>
      <c r="AG848" s="117"/>
      <c r="AH848" s="117"/>
      <c r="AI848" s="117"/>
      <c r="AJ848" s="117"/>
      <c r="AK848" s="117"/>
      <c r="AL848" s="117"/>
      <c r="AM848" s="117"/>
      <c r="AN848" s="117"/>
      <c r="AO848" s="117"/>
      <c r="AP848" s="117"/>
      <c r="AQ848" s="117"/>
      <c r="AR848" s="117"/>
      <c r="AS848" s="117"/>
      <c r="AT848" s="117"/>
      <c r="AU848" s="117"/>
      <c r="AV848" s="117"/>
      <c r="AW848" s="117"/>
      <c r="AX848" s="117"/>
      <c r="AY848" s="117"/>
      <c r="AZ848" s="117"/>
      <c r="BA848" s="117"/>
      <c r="BB848" s="117"/>
      <c r="BC848" s="117"/>
      <c r="BD848" s="117"/>
      <c r="BE848" s="117"/>
      <c r="BF848" s="117"/>
      <c r="BG848" s="117"/>
    </row>
    <row r="849" spans="1:59">
      <c r="A849" s="117"/>
      <c r="B849" s="117"/>
      <c r="C849" s="117"/>
      <c r="D849" s="117"/>
      <c r="E849" s="117"/>
      <c r="F849" s="117"/>
      <c r="G849" s="117"/>
      <c r="H849" s="117"/>
      <c r="I849" s="117"/>
      <c r="J849" s="118"/>
      <c r="K849" s="118"/>
      <c r="L849" s="118"/>
      <c r="M849" s="118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117"/>
      <c r="AD849" s="117"/>
      <c r="AE849" s="117"/>
      <c r="AF849" s="117"/>
      <c r="AG849" s="117"/>
      <c r="AH849" s="117"/>
      <c r="AI849" s="117"/>
      <c r="AJ849" s="117"/>
      <c r="AK849" s="117"/>
      <c r="AL849" s="117"/>
      <c r="AM849" s="117"/>
      <c r="AN849" s="117"/>
      <c r="AO849" s="117"/>
      <c r="AP849" s="117"/>
      <c r="AQ849" s="117"/>
      <c r="AR849" s="117"/>
      <c r="AS849" s="117"/>
      <c r="AT849" s="117"/>
      <c r="AU849" s="117"/>
      <c r="AV849" s="117"/>
      <c r="AW849" s="117"/>
      <c r="AX849" s="117"/>
      <c r="AY849" s="117"/>
      <c r="AZ849" s="117"/>
      <c r="BA849" s="117"/>
      <c r="BB849" s="117"/>
      <c r="BC849" s="117"/>
      <c r="BD849" s="117"/>
      <c r="BE849" s="117"/>
      <c r="BF849" s="117"/>
      <c r="BG849" s="117"/>
    </row>
    <row r="850" spans="1:59">
      <c r="A850" s="117"/>
      <c r="B850" s="117"/>
      <c r="C850" s="117"/>
      <c r="D850" s="117"/>
      <c r="E850" s="117"/>
      <c r="F850" s="117"/>
      <c r="G850" s="117"/>
      <c r="H850" s="117"/>
      <c r="I850" s="117"/>
      <c r="J850" s="118"/>
      <c r="K850" s="118"/>
      <c r="L850" s="118"/>
      <c r="M850" s="118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117"/>
      <c r="AD850" s="117"/>
      <c r="AE850" s="117"/>
      <c r="AF850" s="117"/>
      <c r="AG850" s="117"/>
      <c r="AH850" s="117"/>
      <c r="AI850" s="117"/>
      <c r="AJ850" s="117"/>
      <c r="AK850" s="117"/>
      <c r="AL850" s="117"/>
      <c r="AM850" s="117"/>
      <c r="AN850" s="117"/>
      <c r="AO850" s="117"/>
      <c r="AP850" s="117"/>
      <c r="AQ850" s="117"/>
      <c r="AR850" s="117"/>
      <c r="AS850" s="117"/>
      <c r="AT850" s="117"/>
      <c r="AU850" s="117"/>
      <c r="AV850" s="117"/>
      <c r="AW850" s="117"/>
      <c r="AX850" s="117"/>
      <c r="AY850" s="117"/>
      <c r="AZ850" s="117"/>
      <c r="BA850" s="117"/>
      <c r="BB850" s="117"/>
      <c r="BC850" s="117"/>
      <c r="BD850" s="117"/>
      <c r="BE850" s="117"/>
      <c r="BF850" s="117"/>
      <c r="BG850" s="117"/>
    </row>
    <row r="851" spans="1:59">
      <c r="A851" s="117"/>
      <c r="B851" s="117"/>
      <c r="C851" s="117"/>
      <c r="D851" s="117"/>
      <c r="E851" s="117"/>
      <c r="F851" s="117"/>
      <c r="G851" s="117"/>
      <c r="H851" s="117"/>
      <c r="I851" s="117"/>
      <c r="J851" s="118"/>
      <c r="K851" s="118"/>
      <c r="L851" s="118"/>
      <c r="M851" s="118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117"/>
      <c r="AD851" s="117"/>
      <c r="AE851" s="117"/>
      <c r="AF851" s="117"/>
      <c r="AG851" s="117"/>
      <c r="AH851" s="117"/>
      <c r="AI851" s="117"/>
      <c r="AJ851" s="117"/>
      <c r="AK851" s="117"/>
      <c r="AL851" s="117"/>
      <c r="AM851" s="117"/>
      <c r="AN851" s="117"/>
      <c r="AO851" s="117"/>
      <c r="AP851" s="117"/>
      <c r="AQ851" s="117"/>
      <c r="AR851" s="117"/>
      <c r="AS851" s="117"/>
      <c r="AT851" s="117"/>
      <c r="AU851" s="117"/>
      <c r="AV851" s="117"/>
      <c r="AW851" s="117"/>
      <c r="AX851" s="117"/>
      <c r="AY851" s="117"/>
      <c r="AZ851" s="117"/>
      <c r="BA851" s="117"/>
      <c r="BB851" s="117"/>
      <c r="BC851" s="117"/>
      <c r="BD851" s="117"/>
      <c r="BE851" s="117"/>
      <c r="BF851" s="117"/>
      <c r="BG851" s="117"/>
    </row>
    <row r="852" spans="1:59">
      <c r="A852" s="117"/>
      <c r="B852" s="117"/>
      <c r="C852" s="117"/>
      <c r="D852" s="117"/>
      <c r="E852" s="117"/>
      <c r="F852" s="117"/>
      <c r="G852" s="117"/>
      <c r="H852" s="117"/>
      <c r="I852" s="117"/>
      <c r="J852" s="118"/>
      <c r="K852" s="118"/>
      <c r="L852" s="118"/>
      <c r="M852" s="118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117"/>
      <c r="AD852" s="117"/>
      <c r="AE852" s="117"/>
      <c r="AF852" s="117"/>
      <c r="AG852" s="117"/>
      <c r="AH852" s="117"/>
      <c r="AI852" s="117"/>
      <c r="AJ852" s="117"/>
      <c r="AK852" s="117"/>
      <c r="AL852" s="117"/>
      <c r="AM852" s="117"/>
      <c r="AN852" s="117"/>
      <c r="AO852" s="117"/>
      <c r="AP852" s="117"/>
      <c r="AQ852" s="117"/>
      <c r="AR852" s="117"/>
      <c r="AS852" s="117"/>
      <c r="AT852" s="117"/>
      <c r="AU852" s="117"/>
      <c r="AV852" s="117"/>
      <c r="AW852" s="117"/>
      <c r="AX852" s="117"/>
      <c r="AY852" s="117"/>
      <c r="AZ852" s="117"/>
      <c r="BA852" s="117"/>
      <c r="BB852" s="117"/>
      <c r="BC852" s="117"/>
      <c r="BD852" s="117"/>
      <c r="BE852" s="117"/>
      <c r="BF852" s="117"/>
      <c r="BG852" s="117"/>
    </row>
    <row r="853" spans="1:59">
      <c r="A853" s="117"/>
      <c r="B853" s="117"/>
      <c r="C853" s="117"/>
      <c r="D853" s="117"/>
      <c r="E853" s="117"/>
      <c r="F853" s="117"/>
      <c r="G853" s="117"/>
      <c r="H853" s="117"/>
      <c r="I853" s="117"/>
      <c r="J853" s="118"/>
      <c r="K853" s="118"/>
      <c r="L853" s="118"/>
      <c r="M853" s="118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117"/>
      <c r="AD853" s="117"/>
      <c r="AE853" s="117"/>
      <c r="AF853" s="117"/>
      <c r="AG853" s="117"/>
      <c r="AH853" s="117"/>
      <c r="AI853" s="117"/>
      <c r="AJ853" s="117"/>
      <c r="AK853" s="117"/>
      <c r="AL853" s="117"/>
      <c r="AM853" s="117"/>
      <c r="AN853" s="117"/>
      <c r="AO853" s="117"/>
      <c r="AP853" s="117"/>
      <c r="AQ853" s="117"/>
      <c r="AR853" s="117"/>
      <c r="AS853" s="117"/>
      <c r="AT853" s="117"/>
      <c r="AU853" s="117"/>
      <c r="AV853" s="117"/>
      <c r="AW853" s="117"/>
      <c r="AX853" s="117"/>
      <c r="AY853" s="117"/>
      <c r="AZ853" s="117"/>
      <c r="BA853" s="117"/>
      <c r="BB853" s="117"/>
      <c r="BC853" s="117"/>
      <c r="BD853" s="117"/>
      <c r="BE853" s="117"/>
      <c r="BF853" s="117"/>
      <c r="BG853" s="117"/>
    </row>
    <row r="854" spans="1:59">
      <c r="A854" s="117"/>
      <c r="B854" s="117"/>
      <c r="C854" s="117"/>
      <c r="D854" s="117"/>
      <c r="E854" s="117"/>
      <c r="F854" s="117"/>
      <c r="G854" s="117"/>
      <c r="H854" s="117"/>
      <c r="I854" s="117"/>
      <c r="J854" s="118"/>
      <c r="K854" s="118"/>
      <c r="L854" s="118"/>
      <c r="M854" s="118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  <c r="AD854" s="117"/>
      <c r="AE854" s="117"/>
      <c r="AF854" s="117"/>
      <c r="AG854" s="117"/>
      <c r="AH854" s="117"/>
      <c r="AI854" s="117"/>
      <c r="AJ854" s="117"/>
      <c r="AK854" s="117"/>
      <c r="AL854" s="117"/>
      <c r="AM854" s="117"/>
      <c r="AN854" s="117"/>
      <c r="AO854" s="117"/>
      <c r="AP854" s="117"/>
      <c r="AQ854" s="117"/>
      <c r="AR854" s="117"/>
      <c r="AS854" s="117"/>
      <c r="AT854" s="117"/>
      <c r="AU854" s="117"/>
      <c r="AV854" s="117"/>
      <c r="AW854" s="117"/>
      <c r="AX854" s="117"/>
      <c r="AY854" s="117"/>
      <c r="AZ854" s="117"/>
      <c r="BA854" s="117"/>
      <c r="BB854" s="117"/>
      <c r="BC854" s="117"/>
      <c r="BD854" s="117"/>
      <c r="BE854" s="117"/>
      <c r="BF854" s="117"/>
      <c r="BG854" s="117"/>
    </row>
    <row r="855" spans="1:59">
      <c r="A855" s="117"/>
      <c r="B855" s="117"/>
      <c r="C855" s="117"/>
      <c r="D855" s="117"/>
      <c r="E855" s="117"/>
      <c r="F855" s="117"/>
      <c r="G855" s="117"/>
      <c r="H855" s="117"/>
      <c r="I855" s="117"/>
      <c r="J855" s="118"/>
      <c r="K855" s="118"/>
      <c r="L855" s="118"/>
      <c r="M855" s="118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117"/>
      <c r="AD855" s="117"/>
      <c r="AE855" s="117"/>
      <c r="AF855" s="117"/>
      <c r="AG855" s="117"/>
      <c r="AH855" s="117"/>
      <c r="AI855" s="117"/>
      <c r="AJ855" s="117"/>
      <c r="AK855" s="117"/>
      <c r="AL855" s="117"/>
      <c r="AM855" s="117"/>
      <c r="AN855" s="117"/>
      <c r="AO855" s="117"/>
      <c r="AP855" s="117"/>
      <c r="AQ855" s="117"/>
      <c r="AR855" s="117"/>
      <c r="AS855" s="117"/>
      <c r="AT855" s="117"/>
      <c r="AU855" s="117"/>
      <c r="AV855" s="117"/>
      <c r="AW855" s="117"/>
      <c r="AX855" s="117"/>
      <c r="AY855" s="117"/>
      <c r="AZ855" s="117"/>
      <c r="BA855" s="117"/>
      <c r="BB855" s="117"/>
      <c r="BC855" s="117"/>
      <c r="BD855" s="117"/>
      <c r="BE855" s="117"/>
      <c r="BF855" s="117"/>
      <c r="BG855" s="117"/>
    </row>
    <row r="856" spans="1:59">
      <c r="A856" s="117"/>
      <c r="B856" s="117"/>
      <c r="C856" s="117"/>
      <c r="D856" s="117"/>
      <c r="E856" s="117"/>
      <c r="F856" s="117"/>
      <c r="G856" s="117"/>
      <c r="H856" s="117"/>
      <c r="I856" s="117"/>
      <c r="J856" s="118"/>
      <c r="K856" s="118"/>
      <c r="L856" s="118"/>
      <c r="M856" s="118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117"/>
      <c r="AD856" s="117"/>
      <c r="AE856" s="117"/>
      <c r="AF856" s="117"/>
      <c r="AG856" s="117"/>
      <c r="AH856" s="117"/>
      <c r="AI856" s="117"/>
      <c r="AJ856" s="117"/>
      <c r="AK856" s="117"/>
      <c r="AL856" s="117"/>
      <c r="AM856" s="117"/>
      <c r="AN856" s="117"/>
      <c r="AO856" s="117"/>
      <c r="AP856" s="117"/>
      <c r="AQ856" s="117"/>
      <c r="AR856" s="117"/>
      <c r="AS856" s="117"/>
      <c r="AT856" s="117"/>
      <c r="AU856" s="117"/>
      <c r="AV856" s="117"/>
      <c r="AW856" s="117"/>
      <c r="AX856" s="117"/>
      <c r="AY856" s="117"/>
      <c r="AZ856" s="117"/>
      <c r="BA856" s="117"/>
      <c r="BB856" s="117"/>
      <c r="BC856" s="117"/>
      <c r="BD856" s="117"/>
      <c r="BE856" s="117"/>
      <c r="BF856" s="117"/>
      <c r="BG856" s="117"/>
    </row>
    <row r="857" spans="1:59">
      <c r="A857" s="117"/>
      <c r="B857" s="117"/>
      <c r="C857" s="117"/>
      <c r="D857" s="117"/>
      <c r="E857" s="117"/>
      <c r="F857" s="117"/>
      <c r="G857" s="117"/>
      <c r="H857" s="117"/>
      <c r="I857" s="117"/>
      <c r="J857" s="118"/>
      <c r="K857" s="118"/>
      <c r="L857" s="118"/>
      <c r="M857" s="118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117"/>
      <c r="AD857" s="117"/>
      <c r="AE857" s="117"/>
      <c r="AF857" s="117"/>
      <c r="AG857" s="117"/>
      <c r="AH857" s="117"/>
      <c r="AI857" s="117"/>
      <c r="AJ857" s="117"/>
      <c r="AK857" s="117"/>
      <c r="AL857" s="117"/>
      <c r="AM857" s="117"/>
      <c r="AN857" s="117"/>
      <c r="AO857" s="117"/>
      <c r="AP857" s="117"/>
      <c r="AQ857" s="117"/>
      <c r="AR857" s="117"/>
      <c r="AS857" s="117"/>
      <c r="AT857" s="117"/>
      <c r="AU857" s="117"/>
      <c r="AV857" s="117"/>
      <c r="AW857" s="117"/>
      <c r="AX857" s="117"/>
      <c r="AY857" s="117"/>
      <c r="AZ857" s="117"/>
      <c r="BA857" s="117"/>
      <c r="BB857" s="117"/>
      <c r="BC857" s="117"/>
      <c r="BD857" s="117"/>
      <c r="BE857" s="117"/>
      <c r="BF857" s="117"/>
      <c r="BG857" s="117"/>
    </row>
    <row r="858" spans="1:59">
      <c r="A858" s="117"/>
      <c r="B858" s="117"/>
      <c r="C858" s="117"/>
      <c r="D858" s="117"/>
      <c r="E858" s="117"/>
      <c r="F858" s="117"/>
      <c r="G858" s="117"/>
      <c r="H858" s="117"/>
      <c r="I858" s="117"/>
      <c r="J858" s="118"/>
      <c r="K858" s="118"/>
      <c r="L858" s="118"/>
      <c r="M858" s="118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117"/>
      <c r="AD858" s="117"/>
      <c r="AE858" s="117"/>
      <c r="AF858" s="117"/>
      <c r="AG858" s="117"/>
      <c r="AH858" s="117"/>
      <c r="AI858" s="117"/>
      <c r="AJ858" s="117"/>
      <c r="AK858" s="117"/>
      <c r="AL858" s="117"/>
      <c r="AM858" s="117"/>
      <c r="AN858" s="117"/>
      <c r="AO858" s="117"/>
      <c r="AP858" s="117"/>
      <c r="AQ858" s="117"/>
      <c r="AR858" s="117"/>
      <c r="AS858" s="117"/>
      <c r="AT858" s="117"/>
      <c r="AU858" s="117"/>
      <c r="AV858" s="117"/>
      <c r="AW858" s="117"/>
      <c r="AX858" s="117"/>
      <c r="AY858" s="117"/>
      <c r="AZ858" s="117"/>
      <c r="BA858" s="117"/>
      <c r="BB858" s="117"/>
      <c r="BC858" s="117"/>
      <c r="BD858" s="117"/>
      <c r="BE858" s="117"/>
      <c r="BF858" s="117"/>
      <c r="BG858" s="117"/>
    </row>
    <row r="859" spans="1:59">
      <c r="A859" s="117"/>
      <c r="B859" s="117"/>
      <c r="C859" s="117"/>
      <c r="D859" s="117"/>
      <c r="E859" s="117"/>
      <c r="F859" s="117"/>
      <c r="G859" s="117"/>
      <c r="H859" s="117"/>
      <c r="I859" s="117"/>
      <c r="J859" s="118"/>
      <c r="K859" s="118"/>
      <c r="L859" s="118"/>
      <c r="M859" s="118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117"/>
      <c r="AD859" s="117"/>
      <c r="AE859" s="117"/>
      <c r="AF859" s="117"/>
      <c r="AG859" s="117"/>
      <c r="AH859" s="117"/>
      <c r="AI859" s="117"/>
      <c r="AJ859" s="117"/>
      <c r="AK859" s="117"/>
      <c r="AL859" s="117"/>
      <c r="AM859" s="117"/>
      <c r="AN859" s="117"/>
      <c r="AO859" s="117"/>
      <c r="AP859" s="117"/>
      <c r="AQ859" s="117"/>
      <c r="AR859" s="117"/>
      <c r="AS859" s="117"/>
      <c r="AT859" s="117"/>
      <c r="AU859" s="117"/>
      <c r="AV859" s="117"/>
      <c r="AW859" s="117"/>
      <c r="AX859" s="117"/>
      <c r="AY859" s="117"/>
      <c r="AZ859" s="117"/>
      <c r="BA859" s="117"/>
      <c r="BB859" s="117"/>
      <c r="BC859" s="117"/>
      <c r="BD859" s="117"/>
      <c r="BE859" s="117"/>
      <c r="BF859" s="117"/>
      <c r="BG859" s="117"/>
    </row>
    <row r="860" spans="1:59">
      <c r="A860" s="117"/>
      <c r="B860" s="117"/>
      <c r="C860" s="117"/>
      <c r="D860" s="117"/>
      <c r="E860" s="117"/>
      <c r="F860" s="117"/>
      <c r="G860" s="117"/>
      <c r="H860" s="117"/>
      <c r="I860" s="117"/>
      <c r="J860" s="118"/>
      <c r="K860" s="118"/>
      <c r="L860" s="118"/>
      <c r="M860" s="118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117"/>
      <c r="AD860" s="117"/>
      <c r="AE860" s="117"/>
      <c r="AF860" s="117"/>
      <c r="AG860" s="117"/>
      <c r="AH860" s="117"/>
      <c r="AI860" s="117"/>
      <c r="AJ860" s="117"/>
      <c r="AK860" s="117"/>
      <c r="AL860" s="117"/>
      <c r="AM860" s="117"/>
      <c r="AN860" s="117"/>
      <c r="AO860" s="117"/>
      <c r="AP860" s="117"/>
      <c r="AQ860" s="117"/>
      <c r="AR860" s="117"/>
      <c r="AS860" s="117"/>
      <c r="AT860" s="117"/>
      <c r="AU860" s="117"/>
      <c r="AV860" s="117"/>
      <c r="AW860" s="117"/>
      <c r="AX860" s="117"/>
      <c r="AY860" s="117"/>
      <c r="AZ860" s="117"/>
      <c r="BA860" s="117"/>
      <c r="BB860" s="117"/>
      <c r="BC860" s="117"/>
      <c r="BD860" s="117"/>
      <c r="BE860" s="117"/>
      <c r="BF860" s="117"/>
      <c r="BG860" s="117"/>
    </row>
    <row r="861" spans="1:59">
      <c r="A861" s="117"/>
      <c r="B861" s="117"/>
      <c r="C861" s="117"/>
      <c r="D861" s="117"/>
      <c r="E861" s="117"/>
      <c r="F861" s="117"/>
      <c r="G861" s="117"/>
      <c r="H861" s="117"/>
      <c r="I861" s="117"/>
      <c r="J861" s="118"/>
      <c r="K861" s="118"/>
      <c r="L861" s="118"/>
      <c r="M861" s="118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117"/>
      <c r="AD861" s="117"/>
      <c r="AE861" s="117"/>
      <c r="AF861" s="117"/>
      <c r="AG861" s="117"/>
      <c r="AH861" s="117"/>
      <c r="AI861" s="117"/>
      <c r="AJ861" s="117"/>
      <c r="AK861" s="117"/>
      <c r="AL861" s="117"/>
      <c r="AM861" s="117"/>
      <c r="AN861" s="117"/>
      <c r="AO861" s="117"/>
      <c r="AP861" s="117"/>
      <c r="AQ861" s="117"/>
      <c r="AR861" s="117"/>
      <c r="AS861" s="117"/>
      <c r="AT861" s="117"/>
      <c r="AU861" s="117"/>
      <c r="AV861" s="117"/>
      <c r="AW861" s="117"/>
      <c r="AX861" s="117"/>
      <c r="AY861" s="117"/>
      <c r="AZ861" s="117"/>
      <c r="BA861" s="117"/>
      <c r="BB861" s="117"/>
      <c r="BC861" s="117"/>
      <c r="BD861" s="117"/>
      <c r="BE861" s="117"/>
      <c r="BF861" s="117"/>
      <c r="BG861" s="117"/>
    </row>
    <row r="862" spans="1:59">
      <c r="A862" s="117"/>
      <c r="B862" s="117"/>
      <c r="C862" s="117"/>
      <c r="D862" s="117"/>
      <c r="E862" s="117"/>
      <c r="F862" s="117"/>
      <c r="G862" s="117"/>
      <c r="H862" s="117"/>
      <c r="I862" s="117"/>
      <c r="J862" s="118"/>
      <c r="K862" s="118"/>
      <c r="L862" s="118"/>
      <c r="M862" s="118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117"/>
      <c r="AD862" s="117"/>
      <c r="AE862" s="117"/>
      <c r="AF862" s="117"/>
      <c r="AG862" s="117"/>
      <c r="AH862" s="117"/>
      <c r="AI862" s="117"/>
      <c r="AJ862" s="117"/>
      <c r="AK862" s="117"/>
      <c r="AL862" s="117"/>
      <c r="AM862" s="117"/>
      <c r="AN862" s="117"/>
      <c r="AO862" s="117"/>
      <c r="AP862" s="117"/>
      <c r="AQ862" s="117"/>
      <c r="AR862" s="117"/>
      <c r="AS862" s="117"/>
      <c r="AT862" s="117"/>
      <c r="AU862" s="117"/>
      <c r="AV862" s="117"/>
      <c r="AW862" s="117"/>
      <c r="AX862" s="117"/>
      <c r="AY862" s="117"/>
      <c r="AZ862" s="117"/>
      <c r="BA862" s="117"/>
      <c r="BB862" s="117"/>
      <c r="BC862" s="117"/>
      <c r="BD862" s="117"/>
      <c r="BE862" s="117"/>
      <c r="BF862" s="117"/>
      <c r="BG862" s="117"/>
    </row>
    <row r="863" spans="1:59">
      <c r="A863" s="117"/>
      <c r="B863" s="117"/>
      <c r="C863" s="117"/>
      <c r="D863" s="117"/>
      <c r="E863" s="117"/>
      <c r="F863" s="117"/>
      <c r="G863" s="117"/>
      <c r="H863" s="117"/>
      <c r="I863" s="117"/>
      <c r="J863" s="118"/>
      <c r="K863" s="118"/>
      <c r="L863" s="118"/>
      <c r="M863" s="118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117"/>
      <c r="AD863" s="117"/>
      <c r="AE863" s="117"/>
      <c r="AF863" s="117"/>
      <c r="AG863" s="117"/>
      <c r="AH863" s="117"/>
      <c r="AI863" s="117"/>
      <c r="AJ863" s="117"/>
      <c r="AK863" s="117"/>
      <c r="AL863" s="117"/>
      <c r="AM863" s="117"/>
      <c r="AN863" s="117"/>
      <c r="AO863" s="117"/>
      <c r="AP863" s="117"/>
      <c r="AQ863" s="117"/>
      <c r="AR863" s="117"/>
      <c r="AS863" s="117"/>
      <c r="AT863" s="117"/>
      <c r="AU863" s="117"/>
      <c r="AV863" s="117"/>
      <c r="AW863" s="117"/>
      <c r="AX863" s="117"/>
      <c r="AY863" s="117"/>
      <c r="AZ863" s="117"/>
      <c r="BA863" s="117"/>
      <c r="BB863" s="117"/>
      <c r="BC863" s="117"/>
      <c r="BD863" s="117"/>
      <c r="BE863" s="117"/>
      <c r="BF863" s="117"/>
      <c r="BG863" s="117"/>
    </row>
    <row r="864" spans="1:59">
      <c r="A864" s="117"/>
      <c r="B864" s="117"/>
      <c r="C864" s="117"/>
      <c r="D864" s="117"/>
      <c r="E864" s="117"/>
      <c r="F864" s="117"/>
      <c r="G864" s="117"/>
      <c r="H864" s="117"/>
      <c r="I864" s="117"/>
      <c r="J864" s="118"/>
      <c r="K864" s="118"/>
      <c r="L864" s="118"/>
      <c r="M864" s="118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117"/>
      <c r="AD864" s="117"/>
      <c r="AE864" s="117"/>
      <c r="AF864" s="117"/>
      <c r="AG864" s="117"/>
      <c r="AH864" s="117"/>
      <c r="AI864" s="117"/>
      <c r="AJ864" s="117"/>
      <c r="AK864" s="117"/>
      <c r="AL864" s="117"/>
      <c r="AM864" s="117"/>
      <c r="AN864" s="117"/>
      <c r="AO864" s="117"/>
      <c r="AP864" s="117"/>
      <c r="AQ864" s="117"/>
      <c r="AR864" s="117"/>
      <c r="AS864" s="117"/>
      <c r="AT864" s="117"/>
      <c r="AU864" s="117"/>
      <c r="AV864" s="117"/>
      <c r="AW864" s="117"/>
      <c r="AX864" s="117"/>
      <c r="AY864" s="117"/>
      <c r="AZ864" s="117"/>
      <c r="BA864" s="117"/>
      <c r="BB864" s="117"/>
      <c r="BC864" s="117"/>
      <c r="BD864" s="117"/>
      <c r="BE864" s="117"/>
      <c r="BF864" s="117"/>
      <c r="BG864" s="117"/>
    </row>
    <row r="865" spans="1:59">
      <c r="A865" s="117"/>
      <c r="B865" s="117"/>
      <c r="C865" s="117"/>
      <c r="D865" s="117"/>
      <c r="E865" s="117"/>
      <c r="F865" s="117"/>
      <c r="G865" s="117"/>
      <c r="H865" s="117"/>
      <c r="I865" s="117"/>
      <c r="J865" s="118"/>
      <c r="K865" s="118"/>
      <c r="L865" s="118"/>
      <c r="M865" s="118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117"/>
      <c r="AD865" s="117"/>
      <c r="AE865" s="117"/>
      <c r="AF865" s="117"/>
      <c r="AG865" s="117"/>
      <c r="AH865" s="117"/>
      <c r="AI865" s="117"/>
      <c r="AJ865" s="117"/>
      <c r="AK865" s="117"/>
      <c r="AL865" s="117"/>
      <c r="AM865" s="117"/>
      <c r="AN865" s="117"/>
      <c r="AO865" s="117"/>
      <c r="AP865" s="117"/>
      <c r="AQ865" s="117"/>
      <c r="AR865" s="117"/>
      <c r="AS865" s="117"/>
      <c r="AT865" s="117"/>
      <c r="AU865" s="117"/>
      <c r="AV865" s="117"/>
      <c r="AW865" s="117"/>
      <c r="AX865" s="117"/>
      <c r="AY865" s="117"/>
      <c r="AZ865" s="117"/>
      <c r="BA865" s="117"/>
      <c r="BB865" s="117"/>
      <c r="BC865" s="117"/>
      <c r="BD865" s="117"/>
      <c r="BE865" s="117"/>
      <c r="BF865" s="117"/>
      <c r="BG865" s="117"/>
    </row>
    <row r="866" spans="1:59">
      <c r="A866" s="117"/>
      <c r="B866" s="117"/>
      <c r="C866" s="117"/>
      <c r="D866" s="117"/>
      <c r="E866" s="117"/>
      <c r="F866" s="117"/>
      <c r="G866" s="117"/>
      <c r="H866" s="117"/>
      <c r="I866" s="117"/>
      <c r="J866" s="118"/>
      <c r="K866" s="118"/>
      <c r="L866" s="118"/>
      <c r="M866" s="118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117"/>
      <c r="AD866" s="117"/>
      <c r="AE866" s="117"/>
      <c r="AF866" s="117"/>
      <c r="AG866" s="117"/>
      <c r="AH866" s="117"/>
      <c r="AI866" s="117"/>
      <c r="AJ866" s="117"/>
      <c r="AK866" s="117"/>
      <c r="AL866" s="117"/>
      <c r="AM866" s="117"/>
      <c r="AN866" s="117"/>
      <c r="AO866" s="117"/>
      <c r="AP866" s="117"/>
      <c r="AQ866" s="117"/>
      <c r="AR866" s="117"/>
      <c r="AS866" s="117"/>
      <c r="AT866" s="117"/>
      <c r="AU866" s="117"/>
      <c r="AV866" s="117"/>
      <c r="AW866" s="117"/>
      <c r="AX866" s="117"/>
      <c r="AY866" s="117"/>
      <c r="AZ866" s="117"/>
      <c r="BA866" s="117"/>
      <c r="BB866" s="117"/>
      <c r="BC866" s="117"/>
      <c r="BD866" s="117"/>
      <c r="BE866" s="117"/>
      <c r="BF866" s="117"/>
      <c r="BG866" s="117"/>
    </row>
    <row r="867" spans="1:59">
      <c r="A867" s="117"/>
      <c r="B867" s="117"/>
      <c r="C867" s="117"/>
      <c r="D867" s="117"/>
      <c r="E867" s="117"/>
      <c r="F867" s="117"/>
      <c r="G867" s="117"/>
      <c r="H867" s="117"/>
      <c r="I867" s="117"/>
      <c r="J867" s="118"/>
      <c r="K867" s="118"/>
      <c r="L867" s="118"/>
      <c r="M867" s="118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117"/>
      <c r="AD867" s="117"/>
      <c r="AE867" s="117"/>
      <c r="AF867" s="117"/>
      <c r="AG867" s="117"/>
      <c r="AH867" s="117"/>
      <c r="AI867" s="117"/>
      <c r="AJ867" s="117"/>
      <c r="AK867" s="117"/>
      <c r="AL867" s="117"/>
      <c r="AM867" s="117"/>
      <c r="AN867" s="117"/>
      <c r="AO867" s="117"/>
      <c r="AP867" s="117"/>
      <c r="AQ867" s="117"/>
      <c r="AR867" s="117"/>
      <c r="AS867" s="117"/>
      <c r="AT867" s="117"/>
      <c r="AU867" s="117"/>
      <c r="AV867" s="117"/>
      <c r="AW867" s="117"/>
      <c r="AX867" s="117"/>
      <c r="AY867" s="117"/>
      <c r="AZ867" s="117"/>
      <c r="BA867" s="117"/>
      <c r="BB867" s="117"/>
      <c r="BC867" s="117"/>
      <c r="BD867" s="117"/>
      <c r="BE867" s="117"/>
      <c r="BF867" s="117"/>
      <c r="BG867" s="117"/>
    </row>
    <row r="868" spans="1:59">
      <c r="A868" s="117"/>
      <c r="B868" s="117"/>
      <c r="C868" s="117"/>
      <c r="D868" s="117"/>
      <c r="E868" s="117"/>
      <c r="F868" s="117"/>
      <c r="G868" s="117"/>
      <c r="H868" s="117"/>
      <c r="I868" s="117"/>
      <c r="J868" s="118"/>
      <c r="K868" s="118"/>
      <c r="L868" s="118"/>
      <c r="M868" s="118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117"/>
      <c r="AD868" s="117"/>
      <c r="AE868" s="117"/>
      <c r="AF868" s="117"/>
      <c r="AG868" s="117"/>
      <c r="AH868" s="117"/>
      <c r="AI868" s="117"/>
      <c r="AJ868" s="117"/>
      <c r="AK868" s="117"/>
      <c r="AL868" s="117"/>
      <c r="AM868" s="117"/>
      <c r="AN868" s="117"/>
      <c r="AO868" s="117"/>
      <c r="AP868" s="117"/>
      <c r="AQ868" s="117"/>
      <c r="AR868" s="117"/>
      <c r="AS868" s="117"/>
      <c r="AT868" s="117"/>
      <c r="AU868" s="117"/>
      <c r="AV868" s="117"/>
      <c r="AW868" s="117"/>
      <c r="AX868" s="117"/>
      <c r="AY868" s="117"/>
      <c r="AZ868" s="117"/>
      <c r="BA868" s="117"/>
      <c r="BB868" s="117"/>
      <c r="BC868" s="117"/>
      <c r="BD868" s="117"/>
      <c r="BE868" s="117"/>
      <c r="BF868" s="117"/>
      <c r="BG868" s="117"/>
    </row>
    <row r="869" spans="1:59">
      <c r="A869" s="117"/>
      <c r="B869" s="117"/>
      <c r="C869" s="117"/>
      <c r="D869" s="117"/>
      <c r="E869" s="117"/>
      <c r="F869" s="117"/>
      <c r="G869" s="117"/>
      <c r="H869" s="117"/>
      <c r="I869" s="117"/>
      <c r="J869" s="118"/>
      <c r="K869" s="118"/>
      <c r="L869" s="118"/>
      <c r="M869" s="118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117"/>
      <c r="AD869" s="117"/>
      <c r="AE869" s="117"/>
      <c r="AF869" s="117"/>
      <c r="AG869" s="117"/>
      <c r="AH869" s="117"/>
      <c r="AI869" s="117"/>
      <c r="AJ869" s="117"/>
      <c r="AK869" s="117"/>
      <c r="AL869" s="117"/>
      <c r="AM869" s="117"/>
      <c r="AN869" s="117"/>
      <c r="AO869" s="117"/>
      <c r="AP869" s="117"/>
      <c r="AQ869" s="117"/>
      <c r="AR869" s="117"/>
      <c r="AS869" s="117"/>
      <c r="AT869" s="117"/>
      <c r="AU869" s="117"/>
      <c r="AV869" s="117"/>
      <c r="AW869" s="117"/>
      <c r="AX869" s="117"/>
      <c r="AY869" s="117"/>
      <c r="AZ869" s="117"/>
      <c r="BA869" s="117"/>
      <c r="BB869" s="117"/>
      <c r="BC869" s="117"/>
      <c r="BD869" s="117"/>
      <c r="BE869" s="117"/>
      <c r="BF869" s="117"/>
      <c r="BG869" s="117"/>
    </row>
    <row r="870" spans="1:59">
      <c r="A870" s="117"/>
      <c r="B870" s="117"/>
      <c r="C870" s="117"/>
      <c r="D870" s="117"/>
      <c r="E870" s="117"/>
      <c r="F870" s="117"/>
      <c r="G870" s="117"/>
      <c r="H870" s="117"/>
      <c r="I870" s="117"/>
      <c r="J870" s="118"/>
      <c r="K870" s="118"/>
      <c r="L870" s="118"/>
      <c r="M870" s="118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117"/>
      <c r="AD870" s="117"/>
      <c r="AE870" s="117"/>
      <c r="AF870" s="117"/>
      <c r="AG870" s="117"/>
      <c r="AH870" s="117"/>
      <c r="AI870" s="117"/>
      <c r="AJ870" s="117"/>
      <c r="AK870" s="117"/>
      <c r="AL870" s="117"/>
      <c r="AM870" s="117"/>
      <c r="AN870" s="117"/>
      <c r="AO870" s="117"/>
      <c r="AP870" s="117"/>
      <c r="AQ870" s="117"/>
      <c r="AR870" s="117"/>
      <c r="AS870" s="117"/>
      <c r="AT870" s="117"/>
      <c r="AU870" s="117"/>
      <c r="AV870" s="117"/>
      <c r="AW870" s="117"/>
      <c r="AX870" s="117"/>
      <c r="AY870" s="117"/>
      <c r="AZ870" s="117"/>
      <c r="BA870" s="117"/>
      <c r="BB870" s="117"/>
      <c r="BC870" s="117"/>
      <c r="BD870" s="117"/>
      <c r="BE870" s="117"/>
      <c r="BF870" s="117"/>
      <c r="BG870" s="117"/>
    </row>
    <row r="871" spans="1:59">
      <c r="A871" s="117"/>
      <c r="B871" s="117"/>
      <c r="C871" s="117"/>
      <c r="D871" s="117"/>
      <c r="E871" s="117"/>
      <c r="F871" s="117"/>
      <c r="G871" s="117"/>
      <c r="H871" s="117"/>
      <c r="I871" s="117"/>
      <c r="J871" s="118"/>
      <c r="K871" s="118"/>
      <c r="L871" s="118"/>
      <c r="M871" s="118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117"/>
      <c r="AD871" s="117"/>
      <c r="AE871" s="117"/>
      <c r="AF871" s="117"/>
      <c r="AG871" s="117"/>
      <c r="AH871" s="117"/>
      <c r="AI871" s="117"/>
      <c r="AJ871" s="117"/>
      <c r="AK871" s="117"/>
      <c r="AL871" s="117"/>
      <c r="AM871" s="117"/>
      <c r="AN871" s="117"/>
      <c r="AO871" s="117"/>
      <c r="AP871" s="117"/>
      <c r="AQ871" s="117"/>
      <c r="AR871" s="117"/>
      <c r="AS871" s="117"/>
      <c r="AT871" s="117"/>
      <c r="AU871" s="117"/>
      <c r="AV871" s="117"/>
      <c r="AW871" s="117"/>
      <c r="AX871" s="117"/>
      <c r="AY871" s="117"/>
      <c r="AZ871" s="117"/>
      <c r="BA871" s="117"/>
      <c r="BB871" s="117"/>
      <c r="BC871" s="117"/>
      <c r="BD871" s="117"/>
      <c r="BE871" s="117"/>
      <c r="BF871" s="117"/>
      <c r="BG871" s="117"/>
    </row>
    <row r="872" spans="1:59">
      <c r="A872" s="117"/>
      <c r="B872" s="117"/>
      <c r="C872" s="117"/>
      <c r="D872" s="117"/>
      <c r="E872" s="117"/>
      <c r="F872" s="117"/>
      <c r="G872" s="117"/>
      <c r="H872" s="117"/>
      <c r="I872" s="117"/>
      <c r="J872" s="118"/>
      <c r="K872" s="118"/>
      <c r="L872" s="118"/>
      <c r="M872" s="118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117"/>
      <c r="AD872" s="117"/>
      <c r="AE872" s="117"/>
      <c r="AF872" s="117"/>
      <c r="AG872" s="117"/>
      <c r="AH872" s="117"/>
      <c r="AI872" s="117"/>
      <c r="AJ872" s="117"/>
      <c r="AK872" s="117"/>
      <c r="AL872" s="117"/>
      <c r="AM872" s="117"/>
      <c r="AN872" s="117"/>
      <c r="AO872" s="117"/>
      <c r="AP872" s="117"/>
      <c r="AQ872" s="117"/>
      <c r="AR872" s="117"/>
      <c r="AS872" s="117"/>
      <c r="AT872" s="117"/>
      <c r="AU872" s="117"/>
      <c r="AV872" s="117"/>
      <c r="AW872" s="117"/>
      <c r="AX872" s="117"/>
      <c r="AY872" s="117"/>
      <c r="AZ872" s="117"/>
      <c r="BA872" s="117"/>
      <c r="BB872" s="117"/>
      <c r="BC872" s="117"/>
      <c r="BD872" s="117"/>
      <c r="BE872" s="117"/>
      <c r="BF872" s="117"/>
      <c r="BG872" s="117"/>
    </row>
    <row r="873" spans="1:59">
      <c r="A873" s="117"/>
      <c r="B873" s="117"/>
      <c r="C873" s="117"/>
      <c r="D873" s="117"/>
      <c r="E873" s="117"/>
      <c r="F873" s="117"/>
      <c r="G873" s="117"/>
      <c r="H873" s="117"/>
      <c r="I873" s="117"/>
      <c r="J873" s="118"/>
      <c r="K873" s="118"/>
      <c r="L873" s="118"/>
      <c r="M873" s="118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117"/>
      <c r="AD873" s="117"/>
      <c r="AE873" s="117"/>
      <c r="AF873" s="117"/>
      <c r="AG873" s="117"/>
      <c r="AH873" s="117"/>
      <c r="AI873" s="117"/>
      <c r="AJ873" s="117"/>
      <c r="AK873" s="117"/>
      <c r="AL873" s="117"/>
      <c r="AM873" s="117"/>
      <c r="AN873" s="117"/>
      <c r="AO873" s="117"/>
      <c r="AP873" s="117"/>
      <c r="AQ873" s="117"/>
      <c r="AR873" s="117"/>
      <c r="AS873" s="117"/>
      <c r="AT873" s="117"/>
      <c r="AU873" s="117"/>
      <c r="AV873" s="117"/>
      <c r="AW873" s="117"/>
      <c r="AX873" s="117"/>
      <c r="AY873" s="117"/>
      <c r="AZ873" s="117"/>
      <c r="BA873" s="117"/>
      <c r="BB873" s="117"/>
      <c r="BC873" s="117"/>
      <c r="BD873" s="117"/>
      <c r="BE873" s="117"/>
      <c r="BF873" s="117"/>
      <c r="BG873" s="117"/>
    </row>
    <row r="874" spans="1:59">
      <c r="A874" s="117"/>
      <c r="B874" s="117"/>
      <c r="C874" s="117"/>
      <c r="D874" s="117"/>
      <c r="E874" s="117"/>
      <c r="F874" s="117"/>
      <c r="G874" s="117"/>
      <c r="H874" s="117"/>
      <c r="I874" s="117"/>
      <c r="J874" s="118"/>
      <c r="K874" s="118"/>
      <c r="L874" s="118"/>
      <c r="M874" s="118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117"/>
      <c r="AD874" s="117"/>
      <c r="AE874" s="117"/>
      <c r="AF874" s="117"/>
      <c r="AG874" s="117"/>
      <c r="AH874" s="117"/>
      <c r="AI874" s="117"/>
      <c r="AJ874" s="117"/>
      <c r="AK874" s="117"/>
      <c r="AL874" s="117"/>
      <c r="AM874" s="117"/>
      <c r="AN874" s="117"/>
      <c r="AO874" s="117"/>
      <c r="AP874" s="117"/>
      <c r="AQ874" s="117"/>
      <c r="AR874" s="117"/>
      <c r="AS874" s="117"/>
      <c r="AT874" s="117"/>
      <c r="AU874" s="117"/>
      <c r="AV874" s="117"/>
      <c r="AW874" s="117"/>
      <c r="AX874" s="117"/>
      <c r="AY874" s="117"/>
      <c r="AZ874" s="117"/>
      <c r="BA874" s="117"/>
      <c r="BB874" s="117"/>
      <c r="BC874" s="117"/>
      <c r="BD874" s="117"/>
      <c r="BE874" s="117"/>
      <c r="BF874" s="117"/>
      <c r="BG874" s="117"/>
    </row>
    <row r="875" spans="1:59">
      <c r="A875" s="117"/>
      <c r="B875" s="117"/>
      <c r="C875" s="117"/>
      <c r="D875" s="117"/>
      <c r="E875" s="117"/>
      <c r="F875" s="117"/>
      <c r="G875" s="117"/>
      <c r="H875" s="117"/>
      <c r="I875" s="117"/>
      <c r="J875" s="118"/>
      <c r="K875" s="118"/>
      <c r="L875" s="118"/>
      <c r="M875" s="118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117"/>
      <c r="AD875" s="117"/>
      <c r="AE875" s="117"/>
      <c r="AF875" s="117"/>
      <c r="AG875" s="117"/>
      <c r="AH875" s="117"/>
      <c r="AI875" s="117"/>
      <c r="AJ875" s="117"/>
      <c r="AK875" s="117"/>
      <c r="AL875" s="117"/>
      <c r="AM875" s="117"/>
      <c r="AN875" s="117"/>
      <c r="AO875" s="117"/>
      <c r="AP875" s="117"/>
      <c r="AQ875" s="117"/>
      <c r="AR875" s="117"/>
      <c r="AS875" s="117"/>
      <c r="AT875" s="117"/>
      <c r="AU875" s="117"/>
      <c r="AV875" s="117"/>
      <c r="AW875" s="117"/>
      <c r="AX875" s="117"/>
      <c r="AY875" s="117"/>
      <c r="AZ875" s="117"/>
      <c r="BA875" s="117"/>
      <c r="BB875" s="117"/>
      <c r="BC875" s="117"/>
      <c r="BD875" s="117"/>
      <c r="BE875" s="117"/>
      <c r="BF875" s="117"/>
      <c r="BG875" s="117"/>
    </row>
    <row r="876" spans="1:59">
      <c r="A876" s="117"/>
      <c r="B876" s="117"/>
      <c r="C876" s="117"/>
      <c r="D876" s="117"/>
      <c r="E876" s="117"/>
      <c r="F876" s="117"/>
      <c r="G876" s="117"/>
      <c r="H876" s="117"/>
      <c r="I876" s="117"/>
      <c r="J876" s="118"/>
      <c r="K876" s="118"/>
      <c r="L876" s="118"/>
      <c r="M876" s="118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117"/>
      <c r="AD876" s="117"/>
      <c r="AE876" s="117"/>
      <c r="AF876" s="117"/>
      <c r="AG876" s="117"/>
      <c r="AH876" s="117"/>
      <c r="AI876" s="117"/>
      <c r="AJ876" s="117"/>
      <c r="AK876" s="117"/>
      <c r="AL876" s="117"/>
      <c r="AM876" s="117"/>
      <c r="AN876" s="117"/>
      <c r="AO876" s="117"/>
      <c r="AP876" s="117"/>
      <c r="AQ876" s="117"/>
      <c r="AR876" s="117"/>
      <c r="AS876" s="117"/>
      <c r="AT876" s="117"/>
      <c r="AU876" s="117"/>
      <c r="AV876" s="117"/>
      <c r="AW876" s="117"/>
      <c r="AX876" s="117"/>
      <c r="AY876" s="117"/>
      <c r="AZ876" s="117"/>
      <c r="BA876" s="117"/>
      <c r="BB876" s="117"/>
      <c r="BC876" s="117"/>
      <c r="BD876" s="117"/>
      <c r="BE876" s="117"/>
      <c r="BF876" s="117"/>
      <c r="BG876" s="117"/>
    </row>
    <row r="877" spans="1:59">
      <c r="A877" s="117"/>
      <c r="B877" s="117"/>
      <c r="C877" s="117"/>
      <c r="D877" s="117"/>
      <c r="E877" s="117"/>
      <c r="F877" s="117"/>
      <c r="G877" s="117"/>
      <c r="H877" s="117"/>
      <c r="I877" s="117"/>
      <c r="J877" s="118"/>
      <c r="K877" s="118"/>
      <c r="L877" s="118"/>
      <c r="M877" s="118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117"/>
      <c r="AD877" s="117"/>
      <c r="AE877" s="117"/>
      <c r="AF877" s="117"/>
      <c r="AG877" s="117"/>
      <c r="AH877" s="117"/>
      <c r="AI877" s="117"/>
      <c r="AJ877" s="117"/>
      <c r="AK877" s="117"/>
      <c r="AL877" s="117"/>
      <c r="AM877" s="117"/>
      <c r="AN877" s="117"/>
      <c r="AO877" s="117"/>
      <c r="AP877" s="117"/>
      <c r="AQ877" s="117"/>
      <c r="AR877" s="117"/>
      <c r="AS877" s="117"/>
      <c r="AT877" s="117"/>
      <c r="AU877" s="117"/>
      <c r="AV877" s="117"/>
      <c r="AW877" s="117"/>
      <c r="AX877" s="117"/>
      <c r="AY877" s="117"/>
      <c r="AZ877" s="117"/>
      <c r="BA877" s="117"/>
      <c r="BB877" s="117"/>
      <c r="BC877" s="117"/>
      <c r="BD877" s="117"/>
      <c r="BE877" s="117"/>
      <c r="BF877" s="117"/>
      <c r="BG877" s="117"/>
    </row>
    <row r="878" spans="1:59">
      <c r="A878" s="117"/>
      <c r="B878" s="117"/>
      <c r="C878" s="117"/>
      <c r="D878" s="117"/>
      <c r="E878" s="117"/>
      <c r="F878" s="117"/>
      <c r="G878" s="117"/>
      <c r="H878" s="117"/>
      <c r="I878" s="117"/>
      <c r="J878" s="118"/>
      <c r="K878" s="118"/>
      <c r="L878" s="118"/>
      <c r="M878" s="118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117"/>
      <c r="AD878" s="117"/>
      <c r="AE878" s="117"/>
      <c r="AF878" s="117"/>
      <c r="AG878" s="117"/>
      <c r="AH878" s="117"/>
      <c r="AI878" s="117"/>
      <c r="AJ878" s="117"/>
      <c r="AK878" s="117"/>
      <c r="AL878" s="117"/>
      <c r="AM878" s="117"/>
      <c r="AN878" s="117"/>
      <c r="AO878" s="117"/>
      <c r="AP878" s="117"/>
      <c r="AQ878" s="117"/>
      <c r="AR878" s="117"/>
      <c r="AS878" s="117"/>
      <c r="AT878" s="117"/>
      <c r="AU878" s="117"/>
      <c r="AV878" s="117"/>
      <c r="AW878" s="117"/>
      <c r="AX878" s="117"/>
      <c r="AY878" s="117"/>
      <c r="AZ878" s="117"/>
      <c r="BA878" s="117"/>
      <c r="BB878" s="117"/>
      <c r="BC878" s="117"/>
      <c r="BD878" s="117"/>
      <c r="BE878" s="117"/>
      <c r="BF878" s="117"/>
      <c r="BG878" s="117"/>
    </row>
    <row r="879" spans="1:59">
      <c r="A879" s="117"/>
      <c r="B879" s="117"/>
      <c r="C879" s="117"/>
      <c r="D879" s="117"/>
      <c r="E879" s="117"/>
      <c r="F879" s="117"/>
      <c r="G879" s="117"/>
      <c r="H879" s="117"/>
      <c r="I879" s="117"/>
      <c r="J879" s="118"/>
      <c r="K879" s="118"/>
      <c r="L879" s="118"/>
      <c r="M879" s="118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117"/>
      <c r="AD879" s="117"/>
      <c r="AE879" s="117"/>
      <c r="AF879" s="117"/>
      <c r="AG879" s="117"/>
      <c r="AH879" s="117"/>
      <c r="AI879" s="117"/>
      <c r="AJ879" s="117"/>
      <c r="AK879" s="117"/>
      <c r="AL879" s="117"/>
      <c r="AM879" s="117"/>
      <c r="AN879" s="117"/>
      <c r="AO879" s="117"/>
      <c r="AP879" s="117"/>
      <c r="AQ879" s="117"/>
      <c r="AR879" s="117"/>
      <c r="AS879" s="117"/>
      <c r="AT879" s="117"/>
      <c r="AU879" s="117"/>
      <c r="AV879" s="117"/>
      <c r="AW879" s="117"/>
      <c r="AX879" s="117"/>
      <c r="AY879" s="117"/>
      <c r="AZ879" s="117"/>
      <c r="BA879" s="117"/>
      <c r="BB879" s="117"/>
      <c r="BC879" s="117"/>
      <c r="BD879" s="117"/>
      <c r="BE879" s="117"/>
      <c r="BF879" s="117"/>
      <c r="BG879" s="117"/>
    </row>
    <row r="880" spans="1:59">
      <c r="A880" s="117"/>
      <c r="B880" s="117"/>
      <c r="C880" s="117"/>
      <c r="D880" s="117"/>
      <c r="E880" s="117"/>
      <c r="F880" s="117"/>
      <c r="G880" s="117"/>
      <c r="H880" s="117"/>
      <c r="I880" s="117"/>
      <c r="J880" s="118"/>
      <c r="K880" s="118"/>
      <c r="L880" s="118"/>
      <c r="M880" s="118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117"/>
      <c r="AD880" s="117"/>
      <c r="AE880" s="117"/>
      <c r="AF880" s="117"/>
      <c r="AG880" s="117"/>
      <c r="AH880" s="117"/>
      <c r="AI880" s="117"/>
      <c r="AJ880" s="117"/>
      <c r="AK880" s="117"/>
      <c r="AL880" s="117"/>
      <c r="AM880" s="117"/>
      <c r="AN880" s="117"/>
      <c r="AO880" s="117"/>
      <c r="AP880" s="117"/>
      <c r="AQ880" s="117"/>
      <c r="AR880" s="117"/>
      <c r="AS880" s="117"/>
      <c r="AT880" s="117"/>
      <c r="AU880" s="117"/>
      <c r="AV880" s="117"/>
      <c r="AW880" s="117"/>
      <c r="AX880" s="117"/>
      <c r="AY880" s="117"/>
      <c r="AZ880" s="117"/>
      <c r="BA880" s="117"/>
      <c r="BB880" s="117"/>
      <c r="BC880" s="117"/>
      <c r="BD880" s="117"/>
      <c r="BE880" s="117"/>
      <c r="BF880" s="117"/>
      <c r="BG880" s="117"/>
    </row>
    <row r="881" spans="1:59">
      <c r="A881" s="117"/>
      <c r="B881" s="117"/>
      <c r="C881" s="117"/>
      <c r="D881" s="117"/>
      <c r="E881" s="117"/>
      <c r="F881" s="117"/>
      <c r="G881" s="117"/>
      <c r="H881" s="117"/>
      <c r="I881" s="117"/>
      <c r="J881" s="118"/>
      <c r="K881" s="118"/>
      <c r="L881" s="118"/>
      <c r="M881" s="118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117"/>
      <c r="AD881" s="117"/>
      <c r="AE881" s="117"/>
      <c r="AF881" s="117"/>
      <c r="AG881" s="117"/>
      <c r="AH881" s="117"/>
      <c r="AI881" s="117"/>
      <c r="AJ881" s="117"/>
      <c r="AK881" s="117"/>
      <c r="AL881" s="117"/>
      <c r="AM881" s="117"/>
      <c r="AN881" s="117"/>
      <c r="AO881" s="117"/>
      <c r="AP881" s="117"/>
      <c r="AQ881" s="117"/>
      <c r="AR881" s="117"/>
      <c r="AS881" s="117"/>
      <c r="AT881" s="117"/>
      <c r="AU881" s="117"/>
      <c r="AV881" s="117"/>
      <c r="AW881" s="117"/>
      <c r="AX881" s="117"/>
      <c r="AY881" s="117"/>
      <c r="AZ881" s="117"/>
      <c r="BA881" s="117"/>
      <c r="BB881" s="117"/>
      <c r="BC881" s="117"/>
      <c r="BD881" s="117"/>
      <c r="BE881" s="117"/>
      <c r="BF881" s="117"/>
      <c r="BG881" s="117"/>
    </row>
    <row r="882" spans="1:59">
      <c r="A882" s="117"/>
      <c r="B882" s="117"/>
      <c r="C882" s="117"/>
      <c r="D882" s="117"/>
      <c r="E882" s="117"/>
      <c r="F882" s="117"/>
      <c r="G882" s="117"/>
      <c r="H882" s="117"/>
      <c r="I882" s="117"/>
      <c r="J882" s="118"/>
      <c r="K882" s="118"/>
      <c r="L882" s="118"/>
      <c r="M882" s="118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117"/>
      <c r="AD882" s="117"/>
      <c r="AE882" s="117"/>
      <c r="AF882" s="117"/>
      <c r="AG882" s="117"/>
      <c r="AH882" s="117"/>
      <c r="AI882" s="117"/>
      <c r="AJ882" s="117"/>
      <c r="AK882" s="117"/>
      <c r="AL882" s="117"/>
      <c r="AM882" s="117"/>
      <c r="AN882" s="117"/>
      <c r="AO882" s="117"/>
      <c r="AP882" s="117"/>
      <c r="AQ882" s="117"/>
      <c r="AR882" s="117"/>
      <c r="AS882" s="117"/>
      <c r="AT882" s="117"/>
      <c r="AU882" s="117"/>
      <c r="AV882" s="117"/>
      <c r="AW882" s="117"/>
      <c r="AX882" s="117"/>
      <c r="AY882" s="117"/>
      <c r="AZ882" s="117"/>
      <c r="BA882" s="117"/>
      <c r="BB882" s="117"/>
      <c r="BC882" s="117"/>
      <c r="BD882" s="117"/>
      <c r="BE882" s="117"/>
      <c r="BF882" s="117"/>
      <c r="BG882" s="117"/>
    </row>
    <row r="883" spans="1:59">
      <c r="A883" s="117"/>
      <c r="B883" s="117"/>
      <c r="C883" s="117"/>
      <c r="D883" s="117"/>
      <c r="E883" s="117"/>
      <c r="F883" s="117"/>
      <c r="G883" s="117"/>
      <c r="H883" s="117"/>
      <c r="I883" s="117"/>
      <c r="J883" s="118"/>
      <c r="K883" s="118"/>
      <c r="L883" s="118"/>
      <c r="M883" s="118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117"/>
      <c r="AD883" s="117"/>
      <c r="AE883" s="117"/>
      <c r="AF883" s="117"/>
      <c r="AG883" s="117"/>
      <c r="AH883" s="117"/>
      <c r="AI883" s="117"/>
      <c r="AJ883" s="117"/>
      <c r="AK883" s="117"/>
      <c r="AL883" s="117"/>
      <c r="AM883" s="117"/>
      <c r="AN883" s="117"/>
      <c r="AO883" s="117"/>
      <c r="AP883" s="117"/>
      <c r="AQ883" s="117"/>
      <c r="AR883" s="117"/>
      <c r="AS883" s="117"/>
      <c r="AT883" s="117"/>
      <c r="AU883" s="117"/>
      <c r="AV883" s="117"/>
      <c r="AW883" s="117"/>
      <c r="AX883" s="117"/>
      <c r="AY883" s="117"/>
      <c r="AZ883" s="117"/>
      <c r="BA883" s="117"/>
      <c r="BB883" s="117"/>
      <c r="BC883" s="117"/>
      <c r="BD883" s="117"/>
      <c r="BE883" s="117"/>
      <c r="BF883" s="117"/>
      <c r="BG883" s="117"/>
    </row>
    <row r="884" spans="1:59">
      <c r="A884" s="117"/>
      <c r="B884" s="117"/>
      <c r="C884" s="117"/>
      <c r="D884" s="117"/>
      <c r="E884" s="117"/>
      <c r="F884" s="117"/>
      <c r="G884" s="117"/>
      <c r="H884" s="117"/>
      <c r="I884" s="117"/>
      <c r="J884" s="118"/>
      <c r="K884" s="118"/>
      <c r="L884" s="118"/>
      <c r="M884" s="118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117"/>
      <c r="AD884" s="117"/>
      <c r="AE884" s="117"/>
      <c r="AF884" s="117"/>
      <c r="AG884" s="117"/>
      <c r="AH884" s="117"/>
      <c r="AI884" s="117"/>
      <c r="AJ884" s="117"/>
      <c r="AK884" s="117"/>
      <c r="AL884" s="117"/>
      <c r="AM884" s="117"/>
      <c r="AN884" s="117"/>
      <c r="AO884" s="117"/>
      <c r="AP884" s="117"/>
      <c r="AQ884" s="117"/>
      <c r="AR884" s="117"/>
      <c r="AS884" s="117"/>
      <c r="AT884" s="117"/>
      <c r="AU884" s="117"/>
      <c r="AV884" s="117"/>
      <c r="AW884" s="117"/>
      <c r="AX884" s="117"/>
      <c r="AY884" s="117"/>
      <c r="AZ884" s="117"/>
      <c r="BA884" s="117"/>
      <c r="BB884" s="117"/>
      <c r="BC884" s="117"/>
      <c r="BD884" s="117"/>
      <c r="BE884" s="117"/>
      <c r="BF884" s="117"/>
      <c r="BG884" s="117"/>
    </row>
    <row r="885" spans="1:59">
      <c r="A885" s="117"/>
      <c r="B885" s="117"/>
      <c r="C885" s="117"/>
      <c r="D885" s="117"/>
      <c r="E885" s="117"/>
      <c r="F885" s="117"/>
      <c r="G885" s="117"/>
      <c r="H885" s="117"/>
      <c r="I885" s="117"/>
      <c r="J885" s="118"/>
      <c r="K885" s="118"/>
      <c r="L885" s="118"/>
      <c r="M885" s="118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117"/>
      <c r="AD885" s="117"/>
      <c r="AE885" s="117"/>
      <c r="AF885" s="117"/>
      <c r="AG885" s="117"/>
      <c r="AH885" s="117"/>
      <c r="AI885" s="117"/>
      <c r="AJ885" s="117"/>
      <c r="AK885" s="117"/>
      <c r="AL885" s="117"/>
      <c r="AM885" s="117"/>
      <c r="AN885" s="117"/>
      <c r="AO885" s="117"/>
      <c r="AP885" s="117"/>
      <c r="AQ885" s="117"/>
      <c r="AR885" s="117"/>
      <c r="AS885" s="117"/>
      <c r="AT885" s="117"/>
      <c r="AU885" s="117"/>
      <c r="AV885" s="117"/>
      <c r="AW885" s="117"/>
      <c r="AX885" s="117"/>
      <c r="AY885" s="117"/>
      <c r="AZ885" s="117"/>
      <c r="BA885" s="117"/>
      <c r="BB885" s="117"/>
      <c r="BC885" s="117"/>
      <c r="BD885" s="117"/>
      <c r="BE885" s="117"/>
      <c r="BF885" s="117"/>
      <c r="BG885" s="117"/>
    </row>
    <row r="886" spans="1:59">
      <c r="A886" s="117"/>
      <c r="B886" s="117"/>
      <c r="C886" s="117"/>
      <c r="D886" s="117"/>
      <c r="E886" s="117"/>
      <c r="F886" s="117"/>
      <c r="G886" s="117"/>
      <c r="H886" s="117"/>
      <c r="I886" s="117"/>
      <c r="J886" s="118"/>
      <c r="K886" s="118"/>
      <c r="L886" s="118"/>
      <c r="M886" s="118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117"/>
      <c r="AD886" s="117"/>
      <c r="AE886" s="117"/>
      <c r="AF886" s="117"/>
      <c r="AG886" s="117"/>
      <c r="AH886" s="117"/>
      <c r="AI886" s="117"/>
      <c r="AJ886" s="117"/>
      <c r="AK886" s="117"/>
      <c r="AL886" s="117"/>
      <c r="AM886" s="117"/>
      <c r="AN886" s="117"/>
      <c r="AO886" s="117"/>
      <c r="AP886" s="117"/>
      <c r="AQ886" s="117"/>
      <c r="AR886" s="117"/>
      <c r="AS886" s="117"/>
      <c r="AT886" s="117"/>
      <c r="AU886" s="117"/>
      <c r="AV886" s="117"/>
      <c r="AW886" s="117"/>
      <c r="AX886" s="117"/>
      <c r="AY886" s="117"/>
      <c r="AZ886" s="117"/>
      <c r="BA886" s="117"/>
      <c r="BB886" s="117"/>
      <c r="BC886" s="117"/>
      <c r="BD886" s="117"/>
      <c r="BE886" s="117"/>
      <c r="BF886" s="117"/>
      <c r="BG886" s="117"/>
    </row>
    <row r="887" spans="1:59">
      <c r="A887" s="117"/>
      <c r="B887" s="117"/>
      <c r="C887" s="117"/>
      <c r="D887" s="117"/>
      <c r="E887" s="117"/>
      <c r="F887" s="117"/>
      <c r="G887" s="117"/>
      <c r="H887" s="117"/>
      <c r="I887" s="117"/>
      <c r="J887" s="118"/>
      <c r="K887" s="118"/>
      <c r="L887" s="118"/>
      <c r="M887" s="118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  <c r="AD887" s="117"/>
      <c r="AE887" s="117"/>
      <c r="AF887" s="117"/>
      <c r="AG887" s="117"/>
      <c r="AH887" s="117"/>
      <c r="AI887" s="117"/>
      <c r="AJ887" s="117"/>
      <c r="AK887" s="117"/>
      <c r="AL887" s="117"/>
      <c r="AM887" s="117"/>
      <c r="AN887" s="117"/>
      <c r="AO887" s="117"/>
      <c r="AP887" s="117"/>
      <c r="AQ887" s="117"/>
      <c r="AR887" s="117"/>
      <c r="AS887" s="117"/>
      <c r="AT887" s="117"/>
      <c r="AU887" s="117"/>
      <c r="AV887" s="117"/>
      <c r="AW887" s="117"/>
      <c r="AX887" s="117"/>
      <c r="AY887" s="117"/>
      <c r="AZ887" s="117"/>
      <c r="BA887" s="117"/>
      <c r="BB887" s="117"/>
      <c r="BC887" s="117"/>
      <c r="BD887" s="117"/>
      <c r="BE887" s="117"/>
      <c r="BF887" s="117"/>
      <c r="BG887" s="117"/>
    </row>
    <row r="888" spans="1:59">
      <c r="A888" s="117"/>
      <c r="B888" s="117"/>
      <c r="C888" s="117"/>
      <c r="D888" s="117"/>
      <c r="E888" s="117"/>
      <c r="F888" s="117"/>
      <c r="G888" s="117"/>
      <c r="H888" s="117"/>
      <c r="I888" s="117"/>
      <c r="J888" s="118"/>
      <c r="K888" s="118"/>
      <c r="L888" s="118"/>
      <c r="M888" s="118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117"/>
      <c r="AD888" s="117"/>
      <c r="AE888" s="117"/>
      <c r="AF888" s="117"/>
      <c r="AG888" s="117"/>
      <c r="AH888" s="117"/>
      <c r="AI888" s="117"/>
      <c r="AJ888" s="117"/>
      <c r="AK888" s="117"/>
      <c r="AL888" s="117"/>
      <c r="AM888" s="117"/>
      <c r="AN888" s="117"/>
      <c r="AO888" s="117"/>
      <c r="AP888" s="117"/>
      <c r="AQ888" s="117"/>
      <c r="AR888" s="117"/>
      <c r="AS888" s="117"/>
      <c r="AT888" s="117"/>
      <c r="AU888" s="117"/>
      <c r="AV888" s="117"/>
      <c r="AW888" s="117"/>
      <c r="AX888" s="117"/>
      <c r="AY888" s="117"/>
      <c r="AZ888" s="117"/>
      <c r="BA888" s="117"/>
      <c r="BB888" s="117"/>
      <c r="BC888" s="117"/>
      <c r="BD888" s="117"/>
      <c r="BE888" s="117"/>
      <c r="BF888" s="117"/>
      <c r="BG888" s="117"/>
    </row>
    <row r="889" spans="1:59">
      <c r="A889" s="117"/>
      <c r="B889" s="117"/>
      <c r="C889" s="117"/>
      <c r="D889" s="117"/>
      <c r="E889" s="117"/>
      <c r="F889" s="117"/>
      <c r="G889" s="117"/>
      <c r="H889" s="117"/>
      <c r="I889" s="117"/>
      <c r="J889" s="118"/>
      <c r="K889" s="118"/>
      <c r="L889" s="118"/>
      <c r="M889" s="118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117"/>
      <c r="AD889" s="117"/>
      <c r="AE889" s="117"/>
      <c r="AF889" s="117"/>
      <c r="AG889" s="117"/>
      <c r="AH889" s="117"/>
      <c r="AI889" s="117"/>
      <c r="AJ889" s="117"/>
      <c r="AK889" s="117"/>
      <c r="AL889" s="117"/>
      <c r="AM889" s="117"/>
      <c r="AN889" s="117"/>
      <c r="AO889" s="117"/>
      <c r="AP889" s="117"/>
      <c r="AQ889" s="117"/>
      <c r="AR889" s="117"/>
      <c r="AS889" s="117"/>
      <c r="AT889" s="117"/>
      <c r="AU889" s="117"/>
      <c r="AV889" s="117"/>
      <c r="AW889" s="117"/>
      <c r="AX889" s="117"/>
      <c r="AY889" s="117"/>
      <c r="AZ889" s="117"/>
      <c r="BA889" s="117"/>
      <c r="BB889" s="117"/>
      <c r="BC889" s="117"/>
      <c r="BD889" s="117"/>
      <c r="BE889" s="117"/>
      <c r="BF889" s="117"/>
      <c r="BG889" s="117"/>
    </row>
    <row r="890" spans="1:59">
      <c r="A890" s="117"/>
      <c r="B890" s="117"/>
      <c r="C890" s="117"/>
      <c r="D890" s="117"/>
      <c r="E890" s="117"/>
      <c r="F890" s="117"/>
      <c r="G890" s="117"/>
      <c r="H890" s="117"/>
      <c r="I890" s="117"/>
      <c r="J890" s="118"/>
      <c r="K890" s="118"/>
      <c r="L890" s="118"/>
      <c r="M890" s="118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117"/>
      <c r="AD890" s="117"/>
      <c r="AE890" s="117"/>
      <c r="AF890" s="117"/>
      <c r="AG890" s="117"/>
      <c r="AH890" s="117"/>
      <c r="AI890" s="117"/>
      <c r="AJ890" s="117"/>
      <c r="AK890" s="117"/>
      <c r="AL890" s="117"/>
      <c r="AM890" s="117"/>
      <c r="AN890" s="117"/>
      <c r="AO890" s="117"/>
      <c r="AP890" s="117"/>
      <c r="AQ890" s="117"/>
      <c r="AR890" s="117"/>
      <c r="AS890" s="117"/>
      <c r="AT890" s="117"/>
      <c r="AU890" s="117"/>
      <c r="AV890" s="117"/>
      <c r="AW890" s="117"/>
      <c r="AX890" s="117"/>
      <c r="AY890" s="117"/>
      <c r="AZ890" s="117"/>
      <c r="BA890" s="117"/>
      <c r="BB890" s="117"/>
      <c r="BC890" s="117"/>
      <c r="BD890" s="117"/>
      <c r="BE890" s="117"/>
      <c r="BF890" s="117"/>
      <c r="BG890" s="117"/>
    </row>
    <row r="891" spans="1:59">
      <c r="A891" s="117"/>
      <c r="B891" s="117"/>
      <c r="C891" s="117"/>
      <c r="D891" s="117"/>
      <c r="E891" s="117"/>
      <c r="F891" s="117"/>
      <c r="G891" s="117"/>
      <c r="H891" s="117"/>
      <c r="I891" s="117"/>
      <c r="J891" s="118"/>
      <c r="K891" s="118"/>
      <c r="L891" s="118"/>
      <c r="M891" s="118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117"/>
      <c r="AD891" s="117"/>
      <c r="AE891" s="117"/>
      <c r="AF891" s="117"/>
      <c r="AG891" s="117"/>
      <c r="AH891" s="117"/>
      <c r="AI891" s="117"/>
      <c r="AJ891" s="117"/>
      <c r="AK891" s="117"/>
      <c r="AL891" s="117"/>
      <c r="AM891" s="117"/>
      <c r="AN891" s="117"/>
      <c r="AO891" s="117"/>
      <c r="AP891" s="117"/>
      <c r="AQ891" s="117"/>
      <c r="AR891" s="117"/>
      <c r="AS891" s="117"/>
      <c r="AT891" s="117"/>
      <c r="AU891" s="117"/>
      <c r="AV891" s="117"/>
      <c r="AW891" s="117"/>
      <c r="AX891" s="117"/>
      <c r="AY891" s="117"/>
      <c r="AZ891" s="117"/>
      <c r="BA891" s="117"/>
      <c r="BB891" s="117"/>
      <c r="BC891" s="117"/>
      <c r="BD891" s="117"/>
      <c r="BE891" s="117"/>
      <c r="BF891" s="117"/>
      <c r="BG891" s="117"/>
    </row>
    <row r="892" spans="1:59">
      <c r="A892" s="117"/>
      <c r="B892" s="117"/>
      <c r="C892" s="117"/>
      <c r="D892" s="117"/>
      <c r="E892" s="117"/>
      <c r="F892" s="117"/>
      <c r="G892" s="117"/>
      <c r="H892" s="117"/>
      <c r="I892" s="117"/>
      <c r="J892" s="118"/>
      <c r="K892" s="118"/>
      <c r="L892" s="118"/>
      <c r="M892" s="118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117"/>
      <c r="AD892" s="117"/>
      <c r="AE892" s="117"/>
      <c r="AF892" s="117"/>
      <c r="AG892" s="117"/>
      <c r="AH892" s="117"/>
      <c r="AI892" s="117"/>
      <c r="AJ892" s="117"/>
      <c r="AK892" s="117"/>
      <c r="AL892" s="117"/>
      <c r="AM892" s="117"/>
      <c r="AN892" s="117"/>
      <c r="AO892" s="117"/>
      <c r="AP892" s="117"/>
      <c r="AQ892" s="117"/>
      <c r="AR892" s="117"/>
      <c r="AS892" s="117"/>
      <c r="AT892" s="117"/>
      <c r="AU892" s="117"/>
      <c r="AV892" s="117"/>
      <c r="AW892" s="117"/>
      <c r="AX892" s="117"/>
      <c r="AY892" s="117"/>
      <c r="AZ892" s="117"/>
      <c r="BA892" s="117"/>
      <c r="BB892" s="117"/>
      <c r="BC892" s="117"/>
      <c r="BD892" s="117"/>
      <c r="BE892" s="117"/>
      <c r="BF892" s="117"/>
      <c r="BG892" s="117"/>
    </row>
    <row r="893" spans="1:59">
      <c r="A893" s="117"/>
      <c r="B893" s="117"/>
      <c r="C893" s="117"/>
      <c r="D893" s="117"/>
      <c r="E893" s="117"/>
      <c r="F893" s="117"/>
      <c r="G893" s="117"/>
      <c r="H893" s="117"/>
      <c r="I893" s="117"/>
      <c r="J893" s="118"/>
      <c r="K893" s="118"/>
      <c r="L893" s="118"/>
      <c r="M893" s="118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117"/>
      <c r="AD893" s="117"/>
      <c r="AE893" s="117"/>
      <c r="AF893" s="117"/>
      <c r="AG893" s="117"/>
      <c r="AH893" s="117"/>
      <c r="AI893" s="117"/>
      <c r="AJ893" s="117"/>
      <c r="AK893" s="117"/>
      <c r="AL893" s="117"/>
      <c r="AM893" s="117"/>
      <c r="AN893" s="117"/>
      <c r="AO893" s="117"/>
      <c r="AP893" s="117"/>
      <c r="AQ893" s="117"/>
      <c r="AR893" s="117"/>
      <c r="AS893" s="117"/>
      <c r="AT893" s="117"/>
      <c r="AU893" s="117"/>
      <c r="AV893" s="117"/>
      <c r="AW893" s="117"/>
      <c r="AX893" s="117"/>
      <c r="AY893" s="117"/>
      <c r="AZ893" s="117"/>
      <c r="BA893" s="117"/>
      <c r="BB893" s="117"/>
      <c r="BC893" s="117"/>
      <c r="BD893" s="117"/>
      <c r="BE893" s="117"/>
      <c r="BF893" s="117"/>
      <c r="BG893" s="117"/>
    </row>
    <row r="894" spans="1:59">
      <c r="A894" s="117"/>
      <c r="B894" s="117"/>
      <c r="C894" s="117"/>
      <c r="D894" s="117"/>
      <c r="E894" s="117"/>
      <c r="F894" s="117"/>
      <c r="G894" s="117"/>
      <c r="H894" s="117"/>
      <c r="I894" s="117"/>
      <c r="J894" s="118"/>
      <c r="K894" s="118"/>
      <c r="L894" s="118"/>
      <c r="M894" s="118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117"/>
      <c r="AD894" s="117"/>
      <c r="AE894" s="117"/>
      <c r="AF894" s="117"/>
      <c r="AG894" s="117"/>
      <c r="AH894" s="117"/>
      <c r="AI894" s="117"/>
      <c r="AJ894" s="117"/>
      <c r="AK894" s="117"/>
      <c r="AL894" s="117"/>
      <c r="AM894" s="117"/>
      <c r="AN894" s="117"/>
      <c r="AO894" s="117"/>
      <c r="AP894" s="117"/>
      <c r="AQ894" s="117"/>
      <c r="AR894" s="117"/>
      <c r="AS894" s="117"/>
      <c r="AT894" s="117"/>
      <c r="AU894" s="117"/>
      <c r="AV894" s="117"/>
      <c r="AW894" s="117"/>
      <c r="AX894" s="117"/>
      <c r="AY894" s="117"/>
      <c r="AZ894" s="117"/>
      <c r="BA894" s="117"/>
      <c r="BB894" s="117"/>
      <c r="BC894" s="117"/>
      <c r="BD894" s="117"/>
      <c r="BE894" s="117"/>
      <c r="BF894" s="117"/>
      <c r="BG894" s="117"/>
    </row>
    <row r="895" spans="1:59">
      <c r="A895" s="117"/>
      <c r="B895" s="117"/>
      <c r="C895" s="117"/>
      <c r="D895" s="117"/>
      <c r="E895" s="117"/>
      <c r="F895" s="117"/>
      <c r="G895" s="117"/>
      <c r="H895" s="117"/>
      <c r="I895" s="117"/>
      <c r="J895" s="118"/>
      <c r="K895" s="118"/>
      <c r="L895" s="118"/>
      <c r="M895" s="118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117"/>
      <c r="AD895" s="117"/>
      <c r="AE895" s="117"/>
      <c r="AF895" s="117"/>
      <c r="AG895" s="117"/>
      <c r="AH895" s="117"/>
      <c r="AI895" s="117"/>
      <c r="AJ895" s="117"/>
      <c r="AK895" s="117"/>
      <c r="AL895" s="117"/>
      <c r="AM895" s="117"/>
      <c r="AN895" s="117"/>
      <c r="AO895" s="117"/>
      <c r="AP895" s="117"/>
      <c r="AQ895" s="117"/>
      <c r="AR895" s="117"/>
      <c r="AS895" s="117"/>
      <c r="AT895" s="117"/>
      <c r="AU895" s="117"/>
      <c r="AV895" s="117"/>
      <c r="AW895" s="117"/>
      <c r="AX895" s="117"/>
      <c r="AY895" s="117"/>
      <c r="AZ895" s="117"/>
      <c r="BA895" s="117"/>
      <c r="BB895" s="117"/>
      <c r="BC895" s="117"/>
      <c r="BD895" s="117"/>
      <c r="BE895" s="117"/>
      <c r="BF895" s="117"/>
      <c r="BG895" s="117"/>
    </row>
    <row r="896" spans="1:59">
      <c r="A896" s="117"/>
      <c r="B896" s="117"/>
      <c r="C896" s="117"/>
      <c r="D896" s="117"/>
      <c r="E896" s="117"/>
      <c r="F896" s="117"/>
      <c r="G896" s="117"/>
      <c r="H896" s="117"/>
      <c r="I896" s="117"/>
      <c r="J896" s="118"/>
      <c r="K896" s="118"/>
      <c r="L896" s="118"/>
      <c r="M896" s="118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117"/>
      <c r="AD896" s="117"/>
      <c r="AE896" s="117"/>
      <c r="AF896" s="117"/>
      <c r="AG896" s="117"/>
      <c r="AH896" s="117"/>
      <c r="AI896" s="117"/>
      <c r="AJ896" s="117"/>
      <c r="AK896" s="117"/>
      <c r="AL896" s="117"/>
      <c r="AM896" s="117"/>
      <c r="AN896" s="117"/>
      <c r="AO896" s="117"/>
      <c r="AP896" s="117"/>
      <c r="AQ896" s="117"/>
      <c r="AR896" s="117"/>
      <c r="AS896" s="117"/>
      <c r="AT896" s="117"/>
      <c r="AU896" s="117"/>
      <c r="AV896" s="117"/>
      <c r="AW896" s="117"/>
      <c r="AX896" s="117"/>
      <c r="AY896" s="117"/>
      <c r="AZ896" s="117"/>
      <c r="BA896" s="117"/>
      <c r="BB896" s="117"/>
      <c r="BC896" s="117"/>
      <c r="BD896" s="117"/>
      <c r="BE896" s="117"/>
      <c r="BF896" s="117"/>
      <c r="BG896" s="117"/>
    </row>
    <row r="897" spans="1:59">
      <c r="A897" s="117"/>
      <c r="B897" s="117"/>
      <c r="C897" s="117"/>
      <c r="D897" s="117"/>
      <c r="E897" s="117"/>
      <c r="F897" s="117"/>
      <c r="G897" s="117"/>
      <c r="H897" s="117"/>
      <c r="I897" s="117"/>
      <c r="J897" s="118"/>
      <c r="K897" s="118"/>
      <c r="L897" s="118"/>
      <c r="M897" s="118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117"/>
      <c r="AD897" s="117"/>
      <c r="AE897" s="117"/>
      <c r="AF897" s="117"/>
      <c r="AG897" s="117"/>
      <c r="AH897" s="117"/>
      <c r="AI897" s="117"/>
      <c r="AJ897" s="117"/>
      <c r="AK897" s="117"/>
      <c r="AL897" s="117"/>
      <c r="AM897" s="117"/>
      <c r="AN897" s="117"/>
      <c r="AO897" s="117"/>
      <c r="AP897" s="117"/>
      <c r="AQ897" s="117"/>
      <c r="AR897" s="117"/>
      <c r="AS897" s="117"/>
      <c r="AT897" s="117"/>
      <c r="AU897" s="117"/>
      <c r="AV897" s="117"/>
      <c r="AW897" s="117"/>
      <c r="AX897" s="117"/>
      <c r="AY897" s="117"/>
      <c r="AZ897" s="117"/>
      <c r="BA897" s="117"/>
      <c r="BB897" s="117"/>
      <c r="BC897" s="117"/>
      <c r="BD897" s="117"/>
      <c r="BE897" s="117"/>
      <c r="BF897" s="117"/>
      <c r="BG897" s="117"/>
    </row>
    <row r="898" spans="1:59">
      <c r="A898" s="117"/>
      <c r="B898" s="117"/>
      <c r="C898" s="117"/>
      <c r="D898" s="117"/>
      <c r="E898" s="117"/>
      <c r="F898" s="117"/>
      <c r="G898" s="117"/>
      <c r="H898" s="117"/>
      <c r="I898" s="117"/>
      <c r="J898" s="118"/>
      <c r="K898" s="118"/>
      <c r="L898" s="118"/>
      <c r="M898" s="118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117"/>
      <c r="AD898" s="117"/>
      <c r="AE898" s="117"/>
      <c r="AF898" s="117"/>
      <c r="AG898" s="117"/>
      <c r="AH898" s="117"/>
      <c r="AI898" s="117"/>
      <c r="AJ898" s="117"/>
      <c r="AK898" s="117"/>
      <c r="AL898" s="117"/>
      <c r="AM898" s="117"/>
      <c r="AN898" s="117"/>
      <c r="AO898" s="117"/>
      <c r="AP898" s="117"/>
      <c r="AQ898" s="117"/>
      <c r="AR898" s="117"/>
      <c r="AS898" s="117"/>
      <c r="AT898" s="117"/>
      <c r="AU898" s="117"/>
      <c r="AV898" s="117"/>
      <c r="AW898" s="117"/>
      <c r="AX898" s="117"/>
      <c r="AY898" s="117"/>
      <c r="AZ898" s="117"/>
      <c r="BA898" s="117"/>
      <c r="BB898" s="117"/>
      <c r="BC898" s="117"/>
      <c r="BD898" s="117"/>
      <c r="BE898" s="117"/>
      <c r="BF898" s="117"/>
      <c r="BG898" s="117"/>
    </row>
    <row r="899" spans="1:59">
      <c r="A899" s="117"/>
      <c r="B899" s="117"/>
      <c r="C899" s="117"/>
      <c r="D899" s="117"/>
      <c r="E899" s="117"/>
      <c r="F899" s="117"/>
      <c r="G899" s="117"/>
      <c r="H899" s="117"/>
      <c r="I899" s="117"/>
      <c r="J899" s="118"/>
      <c r="K899" s="118"/>
      <c r="L899" s="118"/>
      <c r="M899" s="118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117"/>
      <c r="AD899" s="117"/>
      <c r="AE899" s="117"/>
      <c r="AF899" s="117"/>
      <c r="AG899" s="117"/>
      <c r="AH899" s="117"/>
      <c r="AI899" s="117"/>
      <c r="AJ899" s="117"/>
      <c r="AK899" s="117"/>
      <c r="AL899" s="117"/>
      <c r="AM899" s="117"/>
      <c r="AN899" s="117"/>
      <c r="AO899" s="117"/>
      <c r="AP899" s="117"/>
      <c r="AQ899" s="117"/>
      <c r="AR899" s="117"/>
      <c r="AS899" s="117"/>
      <c r="AT899" s="117"/>
      <c r="AU899" s="117"/>
      <c r="AV899" s="117"/>
      <c r="AW899" s="117"/>
      <c r="AX899" s="117"/>
      <c r="AY899" s="117"/>
      <c r="AZ899" s="117"/>
      <c r="BA899" s="117"/>
      <c r="BB899" s="117"/>
      <c r="BC899" s="117"/>
      <c r="BD899" s="117"/>
      <c r="BE899" s="117"/>
      <c r="BF899" s="117"/>
      <c r="BG899" s="117"/>
    </row>
    <row r="900" spans="1:59">
      <c r="A900" s="117"/>
      <c r="B900" s="117"/>
      <c r="C900" s="117"/>
      <c r="D900" s="117"/>
      <c r="E900" s="117"/>
      <c r="F900" s="117"/>
      <c r="G900" s="117"/>
      <c r="H900" s="117"/>
      <c r="I900" s="117"/>
      <c r="J900" s="118"/>
      <c r="K900" s="118"/>
      <c r="L900" s="118"/>
      <c r="M900" s="118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117"/>
      <c r="AD900" s="117"/>
      <c r="AE900" s="117"/>
      <c r="AF900" s="117"/>
      <c r="AG900" s="117"/>
      <c r="AH900" s="117"/>
      <c r="AI900" s="117"/>
      <c r="AJ900" s="117"/>
      <c r="AK900" s="117"/>
      <c r="AL900" s="117"/>
      <c r="AM900" s="117"/>
      <c r="AN900" s="117"/>
      <c r="AO900" s="117"/>
      <c r="AP900" s="117"/>
      <c r="AQ900" s="117"/>
      <c r="AR900" s="117"/>
      <c r="AS900" s="117"/>
      <c r="AT900" s="117"/>
      <c r="AU900" s="117"/>
      <c r="AV900" s="117"/>
      <c r="AW900" s="117"/>
      <c r="AX900" s="117"/>
      <c r="AY900" s="117"/>
      <c r="AZ900" s="117"/>
      <c r="BA900" s="117"/>
      <c r="BB900" s="117"/>
      <c r="BC900" s="117"/>
      <c r="BD900" s="117"/>
      <c r="BE900" s="117"/>
      <c r="BF900" s="117"/>
      <c r="BG900" s="117"/>
    </row>
    <row r="901" spans="1:59">
      <c r="A901" s="117"/>
      <c r="B901" s="117"/>
      <c r="C901" s="117"/>
      <c r="D901" s="117"/>
      <c r="E901" s="117"/>
      <c r="F901" s="117"/>
      <c r="G901" s="117"/>
      <c r="H901" s="117"/>
      <c r="I901" s="117"/>
      <c r="J901" s="118"/>
      <c r="K901" s="118"/>
      <c r="L901" s="118"/>
      <c r="M901" s="118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117"/>
      <c r="AD901" s="117"/>
      <c r="AE901" s="117"/>
      <c r="AF901" s="117"/>
      <c r="AG901" s="117"/>
      <c r="AH901" s="117"/>
      <c r="AI901" s="117"/>
      <c r="AJ901" s="117"/>
      <c r="AK901" s="117"/>
      <c r="AL901" s="117"/>
      <c r="AM901" s="117"/>
      <c r="AN901" s="117"/>
      <c r="AO901" s="117"/>
      <c r="AP901" s="117"/>
      <c r="AQ901" s="117"/>
      <c r="AR901" s="117"/>
      <c r="AS901" s="117"/>
      <c r="AT901" s="117"/>
      <c r="AU901" s="117"/>
      <c r="AV901" s="117"/>
      <c r="AW901" s="117"/>
      <c r="AX901" s="117"/>
      <c r="AY901" s="117"/>
      <c r="AZ901" s="117"/>
      <c r="BA901" s="117"/>
      <c r="BB901" s="117"/>
      <c r="BC901" s="117"/>
      <c r="BD901" s="117"/>
      <c r="BE901" s="117"/>
      <c r="BF901" s="117"/>
      <c r="BG901" s="117"/>
    </row>
    <row r="902" spans="1:59">
      <c r="A902" s="117"/>
      <c r="B902" s="117"/>
      <c r="C902" s="117"/>
      <c r="D902" s="117"/>
      <c r="E902" s="117"/>
      <c r="F902" s="117"/>
      <c r="G902" s="117"/>
      <c r="H902" s="117"/>
      <c r="I902" s="117"/>
      <c r="J902" s="118"/>
      <c r="K902" s="118"/>
      <c r="L902" s="118"/>
      <c r="M902" s="118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117"/>
      <c r="AD902" s="117"/>
      <c r="AE902" s="117"/>
      <c r="AF902" s="117"/>
      <c r="AG902" s="117"/>
      <c r="AH902" s="117"/>
      <c r="AI902" s="117"/>
      <c r="AJ902" s="117"/>
      <c r="AK902" s="117"/>
      <c r="AL902" s="117"/>
      <c r="AM902" s="117"/>
      <c r="AN902" s="117"/>
      <c r="AO902" s="117"/>
      <c r="AP902" s="117"/>
      <c r="AQ902" s="117"/>
      <c r="AR902" s="117"/>
      <c r="AS902" s="117"/>
      <c r="AT902" s="117"/>
      <c r="AU902" s="117"/>
      <c r="AV902" s="117"/>
      <c r="AW902" s="117"/>
      <c r="AX902" s="117"/>
      <c r="AY902" s="117"/>
      <c r="AZ902" s="117"/>
      <c r="BA902" s="117"/>
      <c r="BB902" s="117"/>
      <c r="BC902" s="117"/>
      <c r="BD902" s="117"/>
      <c r="BE902" s="117"/>
      <c r="BF902" s="117"/>
      <c r="BG902" s="117"/>
    </row>
    <row r="903" spans="1:59">
      <c r="A903" s="117"/>
      <c r="B903" s="117"/>
      <c r="C903" s="117"/>
      <c r="D903" s="117"/>
      <c r="E903" s="117"/>
      <c r="F903" s="117"/>
      <c r="G903" s="117"/>
      <c r="H903" s="117"/>
      <c r="I903" s="117"/>
      <c r="J903" s="118"/>
      <c r="K903" s="118"/>
      <c r="L903" s="118"/>
      <c r="M903" s="118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117"/>
      <c r="AD903" s="117"/>
      <c r="AE903" s="117"/>
      <c r="AF903" s="117"/>
      <c r="AG903" s="117"/>
      <c r="AH903" s="117"/>
      <c r="AI903" s="117"/>
      <c r="AJ903" s="117"/>
      <c r="AK903" s="117"/>
      <c r="AL903" s="117"/>
      <c r="AM903" s="117"/>
      <c r="AN903" s="117"/>
      <c r="AO903" s="117"/>
      <c r="AP903" s="117"/>
      <c r="AQ903" s="117"/>
      <c r="AR903" s="117"/>
      <c r="AS903" s="117"/>
      <c r="AT903" s="117"/>
      <c r="AU903" s="117"/>
      <c r="AV903" s="117"/>
      <c r="AW903" s="117"/>
      <c r="AX903" s="117"/>
      <c r="AY903" s="117"/>
      <c r="AZ903" s="117"/>
      <c r="BA903" s="117"/>
      <c r="BB903" s="117"/>
      <c r="BC903" s="117"/>
      <c r="BD903" s="117"/>
      <c r="BE903" s="117"/>
      <c r="BF903" s="117"/>
      <c r="BG903" s="117"/>
    </row>
    <row r="904" spans="1:59">
      <c r="A904" s="117"/>
      <c r="B904" s="117"/>
      <c r="C904" s="117"/>
      <c r="D904" s="117"/>
      <c r="E904" s="117"/>
      <c r="F904" s="117"/>
      <c r="G904" s="117"/>
      <c r="H904" s="117"/>
      <c r="I904" s="117"/>
      <c r="J904" s="118"/>
      <c r="K904" s="118"/>
      <c r="L904" s="118"/>
      <c r="M904" s="118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117"/>
      <c r="AD904" s="117"/>
      <c r="AE904" s="117"/>
      <c r="AF904" s="117"/>
      <c r="AG904" s="117"/>
      <c r="AH904" s="117"/>
      <c r="AI904" s="117"/>
      <c r="AJ904" s="117"/>
      <c r="AK904" s="117"/>
      <c r="AL904" s="117"/>
      <c r="AM904" s="117"/>
      <c r="AN904" s="117"/>
      <c r="AO904" s="117"/>
      <c r="AP904" s="117"/>
      <c r="AQ904" s="117"/>
      <c r="AR904" s="117"/>
      <c r="AS904" s="117"/>
      <c r="AT904" s="117"/>
      <c r="AU904" s="117"/>
      <c r="AV904" s="117"/>
      <c r="AW904" s="117"/>
      <c r="AX904" s="117"/>
      <c r="AY904" s="117"/>
      <c r="AZ904" s="117"/>
      <c r="BA904" s="117"/>
      <c r="BB904" s="117"/>
      <c r="BC904" s="117"/>
      <c r="BD904" s="117"/>
      <c r="BE904" s="117"/>
      <c r="BF904" s="117"/>
      <c r="BG904" s="117"/>
    </row>
    <row r="905" spans="1:59">
      <c r="A905" s="117"/>
      <c r="B905" s="117"/>
      <c r="C905" s="117"/>
      <c r="D905" s="117"/>
      <c r="E905" s="117"/>
      <c r="F905" s="117"/>
      <c r="G905" s="117"/>
      <c r="H905" s="117"/>
      <c r="I905" s="117"/>
      <c r="J905" s="118"/>
      <c r="K905" s="118"/>
      <c r="L905" s="118"/>
      <c r="M905" s="118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117"/>
      <c r="AD905" s="117"/>
      <c r="AE905" s="117"/>
      <c r="AF905" s="117"/>
      <c r="AG905" s="117"/>
      <c r="AH905" s="117"/>
      <c r="AI905" s="117"/>
      <c r="AJ905" s="117"/>
      <c r="AK905" s="117"/>
      <c r="AL905" s="117"/>
      <c r="AM905" s="117"/>
      <c r="AN905" s="117"/>
      <c r="AO905" s="117"/>
      <c r="AP905" s="117"/>
      <c r="AQ905" s="117"/>
      <c r="AR905" s="117"/>
      <c r="AS905" s="117"/>
      <c r="AT905" s="117"/>
      <c r="AU905" s="117"/>
      <c r="AV905" s="117"/>
      <c r="AW905" s="117"/>
      <c r="AX905" s="117"/>
      <c r="AY905" s="117"/>
      <c r="AZ905" s="117"/>
      <c r="BA905" s="117"/>
      <c r="BB905" s="117"/>
      <c r="BC905" s="117"/>
      <c r="BD905" s="117"/>
      <c r="BE905" s="117"/>
      <c r="BF905" s="117"/>
      <c r="BG905" s="117"/>
    </row>
    <row r="906" spans="1:59">
      <c r="A906" s="117"/>
      <c r="B906" s="117"/>
      <c r="C906" s="117"/>
      <c r="D906" s="117"/>
      <c r="E906" s="117"/>
      <c r="F906" s="117"/>
      <c r="G906" s="117"/>
      <c r="H906" s="117"/>
      <c r="I906" s="117"/>
      <c r="J906" s="118"/>
      <c r="K906" s="118"/>
      <c r="L906" s="118"/>
      <c r="M906" s="118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117"/>
      <c r="AD906" s="117"/>
      <c r="AE906" s="117"/>
      <c r="AF906" s="117"/>
      <c r="AG906" s="117"/>
      <c r="AH906" s="117"/>
      <c r="AI906" s="117"/>
      <c r="AJ906" s="117"/>
      <c r="AK906" s="117"/>
      <c r="AL906" s="117"/>
      <c r="AM906" s="117"/>
      <c r="AN906" s="117"/>
      <c r="AO906" s="117"/>
      <c r="AP906" s="117"/>
      <c r="AQ906" s="117"/>
      <c r="AR906" s="117"/>
      <c r="AS906" s="117"/>
      <c r="AT906" s="117"/>
      <c r="AU906" s="117"/>
      <c r="AV906" s="117"/>
      <c r="AW906" s="117"/>
      <c r="AX906" s="117"/>
      <c r="AY906" s="117"/>
      <c r="AZ906" s="117"/>
      <c r="BA906" s="117"/>
      <c r="BB906" s="117"/>
      <c r="BC906" s="117"/>
      <c r="BD906" s="117"/>
      <c r="BE906" s="117"/>
      <c r="BF906" s="117"/>
      <c r="BG906" s="117"/>
    </row>
    <row r="907" spans="1:59">
      <c r="A907" s="117"/>
      <c r="B907" s="117"/>
      <c r="C907" s="117"/>
      <c r="D907" s="117"/>
      <c r="E907" s="117"/>
      <c r="F907" s="117"/>
      <c r="G907" s="117"/>
      <c r="H907" s="117"/>
      <c r="I907" s="117"/>
      <c r="J907" s="118"/>
      <c r="K907" s="118"/>
      <c r="L907" s="118"/>
      <c r="M907" s="118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117"/>
      <c r="AD907" s="117"/>
      <c r="AE907" s="117"/>
      <c r="AF907" s="117"/>
      <c r="AG907" s="117"/>
      <c r="AH907" s="117"/>
      <c r="AI907" s="117"/>
      <c r="AJ907" s="117"/>
      <c r="AK907" s="117"/>
      <c r="AL907" s="117"/>
      <c r="AM907" s="117"/>
      <c r="AN907" s="117"/>
      <c r="AO907" s="117"/>
      <c r="AP907" s="117"/>
      <c r="AQ907" s="117"/>
      <c r="AR907" s="117"/>
      <c r="AS907" s="117"/>
      <c r="AT907" s="117"/>
      <c r="AU907" s="117"/>
      <c r="AV907" s="117"/>
      <c r="AW907" s="117"/>
      <c r="AX907" s="117"/>
      <c r="AY907" s="117"/>
      <c r="AZ907" s="117"/>
      <c r="BA907" s="117"/>
      <c r="BB907" s="117"/>
      <c r="BC907" s="117"/>
      <c r="BD907" s="117"/>
      <c r="BE907" s="117"/>
      <c r="BF907" s="117"/>
      <c r="BG907" s="117"/>
    </row>
    <row r="908" spans="1:59">
      <c r="A908" s="117"/>
      <c r="B908" s="117"/>
      <c r="C908" s="117"/>
      <c r="D908" s="117"/>
      <c r="E908" s="117"/>
      <c r="F908" s="117"/>
      <c r="G908" s="117"/>
      <c r="H908" s="117"/>
      <c r="I908" s="117"/>
      <c r="J908" s="118"/>
      <c r="K908" s="118"/>
      <c r="L908" s="118"/>
      <c r="M908" s="118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117"/>
      <c r="AD908" s="117"/>
      <c r="AE908" s="117"/>
      <c r="AF908" s="117"/>
      <c r="AG908" s="117"/>
      <c r="AH908" s="117"/>
      <c r="AI908" s="117"/>
      <c r="AJ908" s="117"/>
      <c r="AK908" s="117"/>
      <c r="AL908" s="117"/>
      <c r="AM908" s="117"/>
      <c r="AN908" s="117"/>
      <c r="AO908" s="117"/>
      <c r="AP908" s="117"/>
      <c r="AQ908" s="117"/>
      <c r="AR908" s="117"/>
      <c r="AS908" s="117"/>
      <c r="AT908" s="117"/>
      <c r="AU908" s="117"/>
      <c r="AV908" s="117"/>
      <c r="AW908" s="117"/>
      <c r="AX908" s="117"/>
      <c r="AY908" s="117"/>
      <c r="AZ908" s="117"/>
      <c r="BA908" s="117"/>
      <c r="BB908" s="117"/>
      <c r="BC908" s="117"/>
      <c r="BD908" s="117"/>
      <c r="BE908" s="117"/>
      <c r="BF908" s="117"/>
      <c r="BG908" s="117"/>
    </row>
    <row r="909" spans="1:59">
      <c r="A909" s="117"/>
      <c r="B909" s="117"/>
      <c r="C909" s="117"/>
      <c r="D909" s="117"/>
      <c r="E909" s="117"/>
      <c r="F909" s="117"/>
      <c r="G909" s="117"/>
      <c r="H909" s="117"/>
      <c r="I909" s="117"/>
      <c r="J909" s="118"/>
      <c r="K909" s="118"/>
      <c r="L909" s="118"/>
      <c r="M909" s="118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117"/>
      <c r="AD909" s="117"/>
      <c r="AE909" s="117"/>
      <c r="AF909" s="117"/>
      <c r="AG909" s="117"/>
      <c r="AH909" s="117"/>
      <c r="AI909" s="117"/>
      <c r="AJ909" s="117"/>
      <c r="AK909" s="117"/>
      <c r="AL909" s="117"/>
      <c r="AM909" s="117"/>
      <c r="AN909" s="117"/>
      <c r="AO909" s="117"/>
      <c r="AP909" s="117"/>
      <c r="AQ909" s="117"/>
      <c r="AR909" s="117"/>
      <c r="AS909" s="117"/>
      <c r="AT909" s="117"/>
      <c r="AU909" s="117"/>
      <c r="AV909" s="117"/>
      <c r="AW909" s="117"/>
      <c r="AX909" s="117"/>
      <c r="AY909" s="117"/>
      <c r="AZ909" s="117"/>
      <c r="BA909" s="117"/>
      <c r="BB909" s="117"/>
      <c r="BC909" s="117"/>
      <c r="BD909" s="117"/>
      <c r="BE909" s="117"/>
      <c r="BF909" s="117"/>
      <c r="BG909" s="117"/>
    </row>
    <row r="910" spans="1:59">
      <c r="A910" s="117"/>
      <c r="B910" s="117"/>
      <c r="C910" s="117"/>
      <c r="D910" s="117"/>
      <c r="E910" s="117"/>
      <c r="F910" s="117"/>
      <c r="G910" s="117"/>
      <c r="H910" s="117"/>
      <c r="I910" s="117"/>
      <c r="J910" s="118"/>
      <c r="K910" s="118"/>
      <c r="L910" s="118"/>
      <c r="M910" s="118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117"/>
      <c r="AD910" s="117"/>
      <c r="AE910" s="117"/>
      <c r="AF910" s="117"/>
      <c r="AG910" s="117"/>
      <c r="AH910" s="117"/>
      <c r="AI910" s="117"/>
      <c r="AJ910" s="117"/>
      <c r="AK910" s="117"/>
      <c r="AL910" s="117"/>
      <c r="AM910" s="117"/>
      <c r="AN910" s="117"/>
      <c r="AO910" s="117"/>
      <c r="AP910" s="117"/>
      <c r="AQ910" s="117"/>
      <c r="AR910" s="117"/>
      <c r="AS910" s="117"/>
      <c r="AT910" s="117"/>
      <c r="AU910" s="117"/>
      <c r="AV910" s="117"/>
      <c r="AW910" s="117"/>
      <c r="AX910" s="117"/>
      <c r="AY910" s="117"/>
      <c r="AZ910" s="117"/>
      <c r="BA910" s="117"/>
      <c r="BB910" s="117"/>
      <c r="BC910" s="117"/>
      <c r="BD910" s="117"/>
      <c r="BE910" s="117"/>
      <c r="BF910" s="117"/>
      <c r="BG910" s="117"/>
    </row>
    <row r="911" spans="1:59">
      <c r="A911" s="117"/>
      <c r="B911" s="117"/>
      <c r="C911" s="117"/>
      <c r="D911" s="117"/>
      <c r="E911" s="117"/>
      <c r="F911" s="117"/>
      <c r="G911" s="117"/>
      <c r="H911" s="117"/>
      <c r="I911" s="117"/>
      <c r="J911" s="118"/>
      <c r="K911" s="118"/>
      <c r="L911" s="118"/>
      <c r="M911" s="118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117"/>
      <c r="AD911" s="117"/>
      <c r="AE911" s="117"/>
      <c r="AF911" s="117"/>
      <c r="AG911" s="117"/>
      <c r="AH911" s="117"/>
      <c r="AI911" s="117"/>
      <c r="AJ911" s="117"/>
      <c r="AK911" s="117"/>
      <c r="AL911" s="117"/>
      <c r="AM911" s="117"/>
      <c r="AN911" s="117"/>
      <c r="AO911" s="117"/>
      <c r="AP911" s="117"/>
      <c r="AQ911" s="117"/>
      <c r="AR911" s="117"/>
      <c r="AS911" s="117"/>
      <c r="AT911" s="117"/>
      <c r="AU911" s="117"/>
      <c r="AV911" s="117"/>
      <c r="AW911" s="117"/>
      <c r="AX911" s="117"/>
      <c r="AY911" s="117"/>
      <c r="AZ911" s="117"/>
      <c r="BA911" s="117"/>
      <c r="BB911" s="117"/>
      <c r="BC911" s="117"/>
      <c r="BD911" s="117"/>
      <c r="BE911" s="117"/>
      <c r="BF911" s="117"/>
      <c r="BG911" s="117"/>
    </row>
    <row r="912" spans="1:59">
      <c r="A912" s="117"/>
      <c r="B912" s="117"/>
      <c r="C912" s="117"/>
      <c r="D912" s="117"/>
      <c r="E912" s="117"/>
      <c r="F912" s="117"/>
      <c r="G912" s="117"/>
      <c r="H912" s="117"/>
      <c r="I912" s="117"/>
      <c r="J912" s="118"/>
      <c r="K912" s="118"/>
      <c r="L912" s="118"/>
      <c r="M912" s="118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117"/>
      <c r="AD912" s="117"/>
      <c r="AE912" s="117"/>
      <c r="AF912" s="117"/>
      <c r="AG912" s="117"/>
      <c r="AH912" s="117"/>
      <c r="AI912" s="117"/>
      <c r="AJ912" s="117"/>
      <c r="AK912" s="117"/>
      <c r="AL912" s="117"/>
      <c r="AM912" s="117"/>
      <c r="AN912" s="117"/>
      <c r="AO912" s="117"/>
      <c r="AP912" s="117"/>
      <c r="AQ912" s="117"/>
      <c r="AR912" s="117"/>
      <c r="AS912" s="117"/>
      <c r="AT912" s="117"/>
      <c r="AU912" s="117"/>
      <c r="AV912" s="117"/>
      <c r="AW912" s="117"/>
      <c r="AX912" s="117"/>
      <c r="AY912" s="117"/>
      <c r="AZ912" s="117"/>
      <c r="BA912" s="117"/>
      <c r="BB912" s="117"/>
      <c r="BC912" s="117"/>
      <c r="BD912" s="117"/>
      <c r="BE912" s="117"/>
      <c r="BF912" s="117"/>
      <c r="BG912" s="117"/>
    </row>
    <row r="913" spans="1:59">
      <c r="A913" s="117"/>
      <c r="B913" s="117"/>
      <c r="C913" s="117"/>
      <c r="D913" s="117"/>
      <c r="E913" s="117"/>
      <c r="F913" s="117"/>
      <c r="G913" s="117"/>
      <c r="H913" s="117"/>
      <c r="I913" s="117"/>
      <c r="J913" s="118"/>
      <c r="K913" s="118"/>
      <c r="L913" s="118"/>
      <c r="M913" s="118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117"/>
      <c r="AD913" s="117"/>
      <c r="AE913" s="117"/>
      <c r="AF913" s="117"/>
      <c r="AG913" s="117"/>
      <c r="AH913" s="117"/>
      <c r="AI913" s="117"/>
      <c r="AJ913" s="117"/>
      <c r="AK913" s="117"/>
      <c r="AL913" s="117"/>
      <c r="AM913" s="117"/>
      <c r="AN913" s="117"/>
      <c r="AO913" s="117"/>
      <c r="AP913" s="117"/>
      <c r="AQ913" s="117"/>
      <c r="AR913" s="117"/>
      <c r="AS913" s="117"/>
      <c r="AT913" s="117"/>
      <c r="AU913" s="117"/>
      <c r="AV913" s="117"/>
      <c r="AW913" s="117"/>
      <c r="AX913" s="117"/>
      <c r="AY913" s="117"/>
      <c r="AZ913" s="117"/>
      <c r="BA913" s="117"/>
      <c r="BB913" s="117"/>
      <c r="BC913" s="117"/>
      <c r="BD913" s="117"/>
      <c r="BE913" s="117"/>
      <c r="BF913" s="117"/>
      <c r="BG913" s="117"/>
    </row>
    <row r="914" spans="1:59">
      <c r="A914" s="117"/>
      <c r="B914" s="117"/>
      <c r="C914" s="117"/>
      <c r="D914" s="117"/>
      <c r="E914" s="117"/>
      <c r="F914" s="117"/>
      <c r="G914" s="117"/>
      <c r="H914" s="117"/>
      <c r="I914" s="117"/>
      <c r="J914" s="118"/>
      <c r="K914" s="118"/>
      <c r="L914" s="118"/>
      <c r="M914" s="118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117"/>
      <c r="AD914" s="117"/>
      <c r="AE914" s="117"/>
      <c r="AF914" s="117"/>
      <c r="AG914" s="117"/>
      <c r="AH914" s="117"/>
      <c r="AI914" s="117"/>
      <c r="AJ914" s="117"/>
      <c r="AK914" s="117"/>
      <c r="AL914" s="117"/>
      <c r="AM914" s="117"/>
      <c r="AN914" s="117"/>
      <c r="AO914" s="117"/>
      <c r="AP914" s="117"/>
      <c r="AQ914" s="117"/>
      <c r="AR914" s="117"/>
      <c r="AS914" s="117"/>
      <c r="AT914" s="117"/>
      <c r="AU914" s="117"/>
      <c r="AV914" s="117"/>
      <c r="AW914" s="117"/>
      <c r="AX914" s="117"/>
      <c r="AY914" s="117"/>
      <c r="AZ914" s="117"/>
      <c r="BA914" s="117"/>
      <c r="BB914" s="117"/>
      <c r="BC914" s="117"/>
      <c r="BD914" s="117"/>
      <c r="BE914" s="117"/>
      <c r="BF914" s="117"/>
      <c r="BG914" s="117"/>
    </row>
    <row r="915" spans="1:59">
      <c r="A915" s="117"/>
      <c r="B915" s="117"/>
      <c r="C915" s="117"/>
      <c r="D915" s="117"/>
      <c r="E915" s="117"/>
      <c r="F915" s="117"/>
      <c r="G915" s="117"/>
      <c r="H915" s="117"/>
      <c r="I915" s="117"/>
      <c r="J915" s="118"/>
      <c r="K915" s="118"/>
      <c r="L915" s="118"/>
      <c r="M915" s="118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117"/>
      <c r="AD915" s="117"/>
      <c r="AE915" s="117"/>
      <c r="AF915" s="117"/>
      <c r="AG915" s="117"/>
      <c r="AH915" s="117"/>
      <c r="AI915" s="117"/>
      <c r="AJ915" s="117"/>
      <c r="AK915" s="117"/>
      <c r="AL915" s="117"/>
      <c r="AM915" s="117"/>
      <c r="AN915" s="117"/>
      <c r="AO915" s="117"/>
      <c r="AP915" s="117"/>
      <c r="AQ915" s="117"/>
      <c r="AR915" s="117"/>
      <c r="AS915" s="117"/>
      <c r="AT915" s="117"/>
      <c r="AU915" s="117"/>
      <c r="AV915" s="117"/>
      <c r="AW915" s="117"/>
      <c r="AX915" s="117"/>
      <c r="AY915" s="117"/>
      <c r="AZ915" s="117"/>
      <c r="BA915" s="117"/>
      <c r="BB915" s="117"/>
      <c r="BC915" s="117"/>
      <c r="BD915" s="117"/>
      <c r="BE915" s="117"/>
      <c r="BF915" s="117"/>
      <c r="BG915" s="117"/>
    </row>
    <row r="916" spans="1:59">
      <c r="A916" s="117"/>
      <c r="B916" s="117"/>
      <c r="C916" s="117"/>
      <c r="D916" s="117"/>
      <c r="E916" s="117"/>
      <c r="F916" s="117"/>
      <c r="G916" s="117"/>
      <c r="H916" s="117"/>
      <c r="I916" s="117"/>
      <c r="J916" s="118"/>
      <c r="K916" s="118"/>
      <c r="L916" s="118"/>
      <c r="M916" s="118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117"/>
      <c r="AD916" s="117"/>
      <c r="AE916" s="117"/>
      <c r="AF916" s="117"/>
      <c r="AG916" s="117"/>
      <c r="AH916" s="117"/>
      <c r="AI916" s="117"/>
      <c r="AJ916" s="117"/>
      <c r="AK916" s="117"/>
      <c r="AL916" s="117"/>
      <c r="AM916" s="117"/>
      <c r="AN916" s="117"/>
      <c r="AO916" s="117"/>
      <c r="AP916" s="117"/>
      <c r="AQ916" s="117"/>
      <c r="AR916" s="117"/>
      <c r="AS916" s="117"/>
      <c r="AT916" s="117"/>
      <c r="AU916" s="117"/>
      <c r="AV916" s="117"/>
      <c r="AW916" s="117"/>
      <c r="AX916" s="117"/>
      <c r="AY916" s="117"/>
      <c r="AZ916" s="117"/>
      <c r="BA916" s="117"/>
      <c r="BB916" s="117"/>
      <c r="BC916" s="117"/>
      <c r="BD916" s="117"/>
      <c r="BE916" s="117"/>
      <c r="BF916" s="117"/>
      <c r="BG916" s="117"/>
    </row>
    <row r="917" spans="1:59">
      <c r="A917" s="117"/>
      <c r="B917" s="117"/>
      <c r="C917" s="117"/>
      <c r="D917" s="117"/>
      <c r="E917" s="117"/>
      <c r="F917" s="117"/>
      <c r="G917" s="117"/>
      <c r="H917" s="117"/>
      <c r="I917" s="117"/>
      <c r="J917" s="118"/>
      <c r="K917" s="118"/>
      <c r="L917" s="118"/>
      <c r="M917" s="118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117"/>
      <c r="AD917" s="117"/>
      <c r="AE917" s="117"/>
      <c r="AF917" s="117"/>
      <c r="AG917" s="117"/>
      <c r="AH917" s="117"/>
      <c r="AI917" s="117"/>
      <c r="AJ917" s="117"/>
      <c r="AK917" s="117"/>
      <c r="AL917" s="117"/>
      <c r="AM917" s="117"/>
      <c r="AN917" s="117"/>
      <c r="AO917" s="117"/>
      <c r="AP917" s="117"/>
      <c r="AQ917" s="117"/>
      <c r="AR917" s="117"/>
      <c r="AS917" s="117"/>
      <c r="AT917" s="117"/>
      <c r="AU917" s="117"/>
      <c r="AV917" s="117"/>
      <c r="AW917" s="117"/>
      <c r="AX917" s="117"/>
      <c r="AY917" s="117"/>
      <c r="AZ917" s="117"/>
      <c r="BA917" s="117"/>
      <c r="BB917" s="117"/>
      <c r="BC917" s="117"/>
      <c r="BD917" s="117"/>
      <c r="BE917" s="117"/>
      <c r="BF917" s="117"/>
      <c r="BG917" s="117"/>
    </row>
    <row r="918" spans="1:59">
      <c r="A918" s="117"/>
      <c r="B918" s="117"/>
      <c r="C918" s="117"/>
      <c r="D918" s="117"/>
      <c r="E918" s="117"/>
      <c r="F918" s="117"/>
      <c r="G918" s="117"/>
      <c r="H918" s="117"/>
      <c r="I918" s="117"/>
      <c r="J918" s="118"/>
      <c r="K918" s="118"/>
      <c r="L918" s="118"/>
      <c r="M918" s="118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117"/>
      <c r="AD918" s="117"/>
      <c r="AE918" s="117"/>
      <c r="AF918" s="117"/>
      <c r="AG918" s="117"/>
      <c r="AH918" s="117"/>
      <c r="AI918" s="117"/>
      <c r="AJ918" s="117"/>
      <c r="AK918" s="117"/>
      <c r="AL918" s="117"/>
      <c r="AM918" s="117"/>
      <c r="AN918" s="117"/>
      <c r="AO918" s="117"/>
      <c r="AP918" s="117"/>
      <c r="AQ918" s="117"/>
      <c r="AR918" s="117"/>
      <c r="AS918" s="117"/>
      <c r="AT918" s="117"/>
      <c r="AU918" s="117"/>
      <c r="AV918" s="117"/>
      <c r="AW918" s="117"/>
      <c r="AX918" s="117"/>
      <c r="AY918" s="117"/>
      <c r="AZ918" s="117"/>
      <c r="BA918" s="117"/>
      <c r="BB918" s="117"/>
      <c r="BC918" s="117"/>
      <c r="BD918" s="117"/>
      <c r="BE918" s="117"/>
      <c r="BF918" s="117"/>
      <c r="BG918" s="117"/>
    </row>
    <row r="919" spans="1:59">
      <c r="A919" s="117"/>
      <c r="B919" s="117"/>
      <c r="C919" s="117"/>
      <c r="D919" s="117"/>
      <c r="E919" s="117"/>
      <c r="F919" s="117"/>
      <c r="G919" s="117"/>
      <c r="H919" s="117"/>
      <c r="I919" s="117"/>
      <c r="J919" s="118"/>
      <c r="K919" s="118"/>
      <c r="L919" s="118"/>
      <c r="M919" s="118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117"/>
      <c r="AD919" s="117"/>
      <c r="AE919" s="117"/>
      <c r="AF919" s="117"/>
      <c r="AG919" s="117"/>
      <c r="AH919" s="117"/>
      <c r="AI919" s="117"/>
      <c r="AJ919" s="117"/>
      <c r="AK919" s="117"/>
      <c r="AL919" s="117"/>
      <c r="AM919" s="117"/>
      <c r="AN919" s="117"/>
      <c r="AO919" s="117"/>
      <c r="AP919" s="117"/>
      <c r="AQ919" s="117"/>
      <c r="AR919" s="117"/>
      <c r="AS919" s="117"/>
      <c r="AT919" s="117"/>
      <c r="AU919" s="117"/>
      <c r="AV919" s="117"/>
      <c r="AW919" s="117"/>
      <c r="AX919" s="117"/>
      <c r="AY919" s="117"/>
      <c r="AZ919" s="117"/>
      <c r="BA919" s="117"/>
      <c r="BB919" s="117"/>
      <c r="BC919" s="117"/>
      <c r="BD919" s="117"/>
      <c r="BE919" s="117"/>
      <c r="BF919" s="117"/>
      <c r="BG919" s="117"/>
    </row>
    <row r="920" spans="1:59">
      <c r="A920" s="117"/>
      <c r="B920" s="117"/>
      <c r="C920" s="117"/>
      <c r="D920" s="117"/>
      <c r="E920" s="117"/>
      <c r="F920" s="117"/>
      <c r="G920" s="117"/>
      <c r="H920" s="117"/>
      <c r="I920" s="117"/>
      <c r="J920" s="118"/>
      <c r="K920" s="118"/>
      <c r="L920" s="118"/>
      <c r="M920" s="118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117"/>
      <c r="AD920" s="117"/>
      <c r="AE920" s="117"/>
      <c r="AF920" s="117"/>
      <c r="AG920" s="117"/>
      <c r="AH920" s="117"/>
      <c r="AI920" s="117"/>
      <c r="AJ920" s="117"/>
      <c r="AK920" s="117"/>
      <c r="AL920" s="117"/>
      <c r="AM920" s="117"/>
      <c r="AN920" s="117"/>
      <c r="AO920" s="117"/>
      <c r="AP920" s="117"/>
      <c r="AQ920" s="117"/>
      <c r="AR920" s="117"/>
      <c r="AS920" s="117"/>
      <c r="AT920" s="117"/>
      <c r="AU920" s="117"/>
      <c r="AV920" s="117"/>
      <c r="AW920" s="117"/>
      <c r="AX920" s="117"/>
      <c r="AY920" s="117"/>
      <c r="AZ920" s="117"/>
      <c r="BA920" s="117"/>
      <c r="BB920" s="117"/>
      <c r="BC920" s="117"/>
      <c r="BD920" s="117"/>
      <c r="BE920" s="117"/>
      <c r="BF920" s="117"/>
      <c r="BG920" s="117"/>
    </row>
    <row r="921" spans="1:59">
      <c r="A921" s="117"/>
      <c r="B921" s="117"/>
      <c r="C921" s="117"/>
      <c r="D921" s="117"/>
      <c r="E921" s="117"/>
      <c r="F921" s="117"/>
      <c r="G921" s="117"/>
      <c r="H921" s="117"/>
      <c r="I921" s="117"/>
      <c r="J921" s="118"/>
      <c r="K921" s="118"/>
      <c r="L921" s="118"/>
      <c r="M921" s="118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117"/>
      <c r="AD921" s="117"/>
      <c r="AE921" s="117"/>
      <c r="AF921" s="117"/>
      <c r="AG921" s="117"/>
      <c r="AH921" s="117"/>
      <c r="AI921" s="117"/>
      <c r="AJ921" s="117"/>
      <c r="AK921" s="117"/>
      <c r="AL921" s="117"/>
      <c r="AM921" s="117"/>
      <c r="AN921" s="117"/>
      <c r="AO921" s="117"/>
      <c r="AP921" s="117"/>
      <c r="AQ921" s="117"/>
      <c r="AR921" s="117"/>
      <c r="AS921" s="117"/>
      <c r="AT921" s="117"/>
      <c r="AU921" s="117"/>
      <c r="AV921" s="117"/>
      <c r="AW921" s="117"/>
      <c r="AX921" s="117"/>
      <c r="AY921" s="117"/>
      <c r="AZ921" s="117"/>
      <c r="BA921" s="117"/>
      <c r="BB921" s="117"/>
      <c r="BC921" s="117"/>
      <c r="BD921" s="117"/>
      <c r="BE921" s="117"/>
      <c r="BF921" s="117"/>
      <c r="BG921" s="117"/>
    </row>
    <row r="922" spans="1:59">
      <c r="A922" s="117"/>
      <c r="B922" s="117"/>
      <c r="C922" s="117"/>
      <c r="D922" s="117"/>
      <c r="E922" s="117"/>
      <c r="F922" s="117"/>
      <c r="G922" s="117"/>
      <c r="H922" s="117"/>
      <c r="I922" s="117"/>
      <c r="J922" s="118"/>
      <c r="K922" s="118"/>
      <c r="L922" s="118"/>
      <c r="M922" s="118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117"/>
      <c r="AD922" s="117"/>
      <c r="AE922" s="117"/>
      <c r="AF922" s="117"/>
      <c r="AG922" s="117"/>
      <c r="AH922" s="117"/>
      <c r="AI922" s="117"/>
      <c r="AJ922" s="117"/>
      <c r="AK922" s="117"/>
      <c r="AL922" s="117"/>
      <c r="AM922" s="117"/>
      <c r="AN922" s="117"/>
      <c r="AO922" s="117"/>
      <c r="AP922" s="117"/>
      <c r="AQ922" s="117"/>
      <c r="AR922" s="117"/>
      <c r="AS922" s="117"/>
      <c r="AT922" s="117"/>
      <c r="AU922" s="117"/>
      <c r="AV922" s="117"/>
      <c r="AW922" s="117"/>
      <c r="AX922" s="117"/>
      <c r="AY922" s="117"/>
      <c r="AZ922" s="117"/>
      <c r="BA922" s="117"/>
      <c r="BB922" s="117"/>
      <c r="BC922" s="117"/>
      <c r="BD922" s="117"/>
      <c r="BE922" s="117"/>
      <c r="BF922" s="117"/>
      <c r="BG922" s="117"/>
    </row>
    <row r="923" spans="1:59">
      <c r="A923" s="117"/>
      <c r="B923" s="117"/>
      <c r="C923" s="117"/>
      <c r="D923" s="117"/>
      <c r="E923" s="117"/>
      <c r="F923" s="117"/>
      <c r="G923" s="117"/>
      <c r="H923" s="117"/>
      <c r="I923" s="117"/>
      <c r="J923" s="118"/>
      <c r="K923" s="118"/>
      <c r="L923" s="118"/>
      <c r="M923" s="118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117"/>
      <c r="AD923" s="117"/>
      <c r="AE923" s="117"/>
      <c r="AF923" s="117"/>
      <c r="AG923" s="117"/>
      <c r="AH923" s="117"/>
      <c r="AI923" s="117"/>
      <c r="AJ923" s="117"/>
      <c r="AK923" s="117"/>
      <c r="AL923" s="117"/>
      <c r="AM923" s="117"/>
      <c r="AN923" s="117"/>
      <c r="AO923" s="117"/>
      <c r="AP923" s="117"/>
      <c r="AQ923" s="117"/>
      <c r="AR923" s="117"/>
      <c r="AS923" s="117"/>
      <c r="AT923" s="117"/>
      <c r="AU923" s="117"/>
      <c r="AV923" s="117"/>
      <c r="AW923" s="117"/>
      <c r="AX923" s="117"/>
      <c r="AY923" s="117"/>
      <c r="AZ923" s="117"/>
      <c r="BA923" s="117"/>
      <c r="BB923" s="117"/>
      <c r="BC923" s="117"/>
      <c r="BD923" s="117"/>
      <c r="BE923" s="117"/>
      <c r="BF923" s="117"/>
      <c r="BG923" s="117"/>
    </row>
    <row r="924" spans="1:59">
      <c r="A924" s="117"/>
      <c r="B924" s="117"/>
      <c r="C924" s="117"/>
      <c r="D924" s="117"/>
      <c r="E924" s="117"/>
      <c r="F924" s="117"/>
      <c r="G924" s="117"/>
      <c r="H924" s="117"/>
      <c r="I924" s="117"/>
      <c r="J924" s="118"/>
      <c r="K924" s="118"/>
      <c r="L924" s="118"/>
      <c r="M924" s="118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117"/>
      <c r="AD924" s="117"/>
      <c r="AE924" s="117"/>
      <c r="AF924" s="117"/>
      <c r="AG924" s="117"/>
      <c r="AH924" s="117"/>
      <c r="AI924" s="117"/>
      <c r="AJ924" s="117"/>
      <c r="AK924" s="117"/>
      <c r="AL924" s="117"/>
      <c r="AM924" s="117"/>
      <c r="AN924" s="117"/>
      <c r="AO924" s="117"/>
      <c r="AP924" s="117"/>
      <c r="AQ924" s="117"/>
      <c r="AR924" s="117"/>
      <c r="AS924" s="117"/>
      <c r="AT924" s="117"/>
      <c r="AU924" s="117"/>
      <c r="AV924" s="117"/>
      <c r="AW924" s="117"/>
      <c r="AX924" s="117"/>
      <c r="AY924" s="117"/>
      <c r="AZ924" s="117"/>
      <c r="BA924" s="117"/>
      <c r="BB924" s="117"/>
      <c r="BC924" s="117"/>
      <c r="BD924" s="117"/>
      <c r="BE924" s="117"/>
      <c r="BF924" s="117"/>
      <c r="BG924" s="117"/>
    </row>
    <row r="925" spans="1:59">
      <c r="A925" s="117"/>
      <c r="B925" s="117"/>
      <c r="C925" s="117"/>
      <c r="D925" s="117"/>
      <c r="E925" s="117"/>
      <c r="F925" s="117"/>
      <c r="G925" s="117"/>
      <c r="H925" s="117"/>
      <c r="I925" s="117"/>
      <c r="J925" s="118"/>
      <c r="K925" s="118"/>
      <c r="L925" s="118"/>
      <c r="M925" s="118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117"/>
      <c r="AD925" s="117"/>
      <c r="AE925" s="117"/>
      <c r="AF925" s="117"/>
      <c r="AG925" s="117"/>
      <c r="AH925" s="117"/>
      <c r="AI925" s="117"/>
      <c r="AJ925" s="117"/>
      <c r="AK925" s="117"/>
      <c r="AL925" s="117"/>
      <c r="AM925" s="117"/>
      <c r="AN925" s="117"/>
      <c r="AO925" s="117"/>
      <c r="AP925" s="117"/>
      <c r="AQ925" s="117"/>
      <c r="AR925" s="117"/>
      <c r="AS925" s="117"/>
      <c r="AT925" s="117"/>
      <c r="AU925" s="117"/>
      <c r="AV925" s="117"/>
      <c r="AW925" s="117"/>
      <c r="AX925" s="117"/>
      <c r="AY925" s="117"/>
      <c r="AZ925" s="117"/>
      <c r="BA925" s="117"/>
      <c r="BB925" s="117"/>
      <c r="BC925" s="117"/>
      <c r="BD925" s="117"/>
      <c r="BE925" s="117"/>
      <c r="BF925" s="117"/>
      <c r="BG925" s="117"/>
    </row>
    <row r="926" spans="1:59">
      <c r="A926" s="117"/>
      <c r="B926" s="117"/>
      <c r="C926" s="117"/>
      <c r="D926" s="117"/>
      <c r="E926" s="117"/>
      <c r="F926" s="117"/>
      <c r="G926" s="117"/>
      <c r="H926" s="117"/>
      <c r="I926" s="117"/>
      <c r="J926" s="118"/>
      <c r="K926" s="118"/>
      <c r="L926" s="118"/>
      <c r="M926" s="118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117"/>
      <c r="AD926" s="117"/>
      <c r="AE926" s="117"/>
      <c r="AF926" s="117"/>
      <c r="AG926" s="117"/>
      <c r="AH926" s="117"/>
      <c r="AI926" s="117"/>
      <c r="AJ926" s="117"/>
      <c r="AK926" s="117"/>
      <c r="AL926" s="117"/>
      <c r="AM926" s="117"/>
      <c r="AN926" s="117"/>
      <c r="AO926" s="117"/>
      <c r="AP926" s="117"/>
      <c r="AQ926" s="117"/>
      <c r="AR926" s="117"/>
      <c r="AS926" s="117"/>
      <c r="AT926" s="117"/>
      <c r="AU926" s="117"/>
      <c r="AV926" s="117"/>
      <c r="AW926" s="117"/>
      <c r="AX926" s="117"/>
      <c r="AY926" s="117"/>
      <c r="AZ926" s="117"/>
      <c r="BA926" s="117"/>
      <c r="BB926" s="117"/>
      <c r="BC926" s="117"/>
      <c r="BD926" s="117"/>
      <c r="BE926" s="117"/>
      <c r="BF926" s="117"/>
      <c r="BG926" s="117"/>
    </row>
    <row r="927" spans="1:59">
      <c r="A927" s="117"/>
      <c r="B927" s="117"/>
      <c r="C927" s="117"/>
      <c r="D927" s="117"/>
      <c r="E927" s="117"/>
      <c r="F927" s="117"/>
      <c r="G927" s="117"/>
      <c r="H927" s="117"/>
      <c r="I927" s="117"/>
      <c r="J927" s="118"/>
      <c r="K927" s="118"/>
      <c r="L927" s="118"/>
      <c r="M927" s="118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117"/>
      <c r="AD927" s="117"/>
      <c r="AE927" s="117"/>
      <c r="AF927" s="117"/>
      <c r="AG927" s="117"/>
      <c r="AH927" s="117"/>
      <c r="AI927" s="117"/>
      <c r="AJ927" s="117"/>
      <c r="AK927" s="117"/>
      <c r="AL927" s="117"/>
      <c r="AM927" s="117"/>
      <c r="AN927" s="117"/>
      <c r="AO927" s="117"/>
      <c r="AP927" s="117"/>
      <c r="AQ927" s="117"/>
      <c r="AR927" s="117"/>
      <c r="AS927" s="117"/>
      <c r="AT927" s="117"/>
      <c r="AU927" s="117"/>
      <c r="AV927" s="117"/>
      <c r="AW927" s="117"/>
      <c r="AX927" s="117"/>
      <c r="AY927" s="117"/>
      <c r="AZ927" s="117"/>
      <c r="BA927" s="117"/>
      <c r="BB927" s="117"/>
      <c r="BC927" s="117"/>
      <c r="BD927" s="117"/>
      <c r="BE927" s="117"/>
      <c r="BF927" s="117"/>
      <c r="BG927" s="117"/>
    </row>
    <row r="928" spans="1:59">
      <c r="A928" s="117"/>
      <c r="B928" s="117"/>
      <c r="C928" s="117"/>
      <c r="D928" s="117"/>
      <c r="E928" s="117"/>
      <c r="F928" s="117"/>
      <c r="G928" s="117"/>
      <c r="H928" s="117"/>
      <c r="I928" s="117"/>
      <c r="J928" s="118"/>
      <c r="K928" s="118"/>
      <c r="L928" s="118"/>
      <c r="M928" s="118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117"/>
      <c r="AD928" s="117"/>
      <c r="AE928" s="117"/>
      <c r="AF928" s="117"/>
      <c r="AG928" s="117"/>
      <c r="AH928" s="117"/>
      <c r="AI928" s="117"/>
      <c r="AJ928" s="117"/>
      <c r="AK928" s="117"/>
      <c r="AL928" s="117"/>
      <c r="AM928" s="117"/>
      <c r="AN928" s="117"/>
      <c r="AO928" s="117"/>
      <c r="AP928" s="117"/>
      <c r="AQ928" s="117"/>
      <c r="AR928" s="117"/>
      <c r="AS928" s="117"/>
      <c r="AT928" s="117"/>
      <c r="AU928" s="117"/>
      <c r="AV928" s="117"/>
      <c r="AW928" s="117"/>
      <c r="AX928" s="117"/>
      <c r="AY928" s="117"/>
      <c r="AZ928" s="117"/>
      <c r="BA928" s="117"/>
      <c r="BB928" s="117"/>
      <c r="BC928" s="117"/>
      <c r="BD928" s="117"/>
      <c r="BE928" s="117"/>
      <c r="BF928" s="117"/>
      <c r="BG928" s="117"/>
    </row>
    <row r="929" spans="1:59">
      <c r="A929" s="117"/>
      <c r="B929" s="117"/>
      <c r="C929" s="117"/>
      <c r="D929" s="117"/>
      <c r="E929" s="117"/>
      <c r="F929" s="117"/>
      <c r="G929" s="117"/>
      <c r="H929" s="117"/>
      <c r="I929" s="117"/>
      <c r="J929" s="118"/>
      <c r="K929" s="118"/>
      <c r="L929" s="118"/>
      <c r="M929" s="118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117"/>
      <c r="AD929" s="117"/>
      <c r="AE929" s="117"/>
      <c r="AF929" s="117"/>
      <c r="AG929" s="117"/>
      <c r="AH929" s="117"/>
      <c r="AI929" s="117"/>
      <c r="AJ929" s="117"/>
      <c r="AK929" s="117"/>
      <c r="AL929" s="117"/>
      <c r="AM929" s="117"/>
      <c r="AN929" s="117"/>
      <c r="AO929" s="117"/>
      <c r="AP929" s="117"/>
      <c r="AQ929" s="117"/>
      <c r="AR929" s="117"/>
      <c r="AS929" s="117"/>
      <c r="AT929" s="117"/>
      <c r="AU929" s="117"/>
      <c r="AV929" s="117"/>
      <c r="AW929" s="117"/>
      <c r="AX929" s="117"/>
      <c r="AY929" s="117"/>
      <c r="AZ929" s="117"/>
      <c r="BA929" s="117"/>
      <c r="BB929" s="117"/>
      <c r="BC929" s="117"/>
      <c r="BD929" s="117"/>
      <c r="BE929" s="117"/>
      <c r="BF929" s="117"/>
      <c r="BG929" s="117"/>
    </row>
    <row r="930" spans="1:59">
      <c r="A930" s="117"/>
      <c r="B930" s="117"/>
      <c r="C930" s="117"/>
      <c r="D930" s="117"/>
      <c r="E930" s="117"/>
      <c r="F930" s="117"/>
      <c r="G930" s="117"/>
      <c r="H930" s="117"/>
      <c r="I930" s="117"/>
      <c r="J930" s="118"/>
      <c r="K930" s="118"/>
      <c r="L930" s="118"/>
      <c r="M930" s="118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117"/>
      <c r="AD930" s="117"/>
      <c r="AE930" s="117"/>
      <c r="AF930" s="117"/>
      <c r="AG930" s="117"/>
      <c r="AH930" s="117"/>
      <c r="AI930" s="117"/>
      <c r="AJ930" s="117"/>
      <c r="AK930" s="117"/>
      <c r="AL930" s="117"/>
      <c r="AM930" s="117"/>
      <c r="AN930" s="117"/>
      <c r="AO930" s="117"/>
      <c r="AP930" s="117"/>
      <c r="AQ930" s="117"/>
      <c r="AR930" s="117"/>
      <c r="AS930" s="117"/>
      <c r="AT930" s="117"/>
      <c r="AU930" s="117"/>
      <c r="AV930" s="117"/>
      <c r="AW930" s="117"/>
      <c r="AX930" s="117"/>
      <c r="AY930" s="117"/>
      <c r="AZ930" s="117"/>
      <c r="BA930" s="117"/>
      <c r="BB930" s="117"/>
      <c r="BC930" s="117"/>
      <c r="BD930" s="117"/>
      <c r="BE930" s="117"/>
      <c r="BF930" s="117"/>
      <c r="BG930" s="117"/>
    </row>
    <row r="931" spans="1:59">
      <c r="A931" s="117"/>
      <c r="B931" s="117"/>
      <c r="C931" s="117"/>
      <c r="D931" s="117"/>
      <c r="E931" s="117"/>
      <c r="F931" s="117"/>
      <c r="G931" s="117"/>
      <c r="H931" s="117"/>
      <c r="I931" s="117"/>
      <c r="J931" s="118"/>
      <c r="K931" s="118"/>
      <c r="L931" s="118"/>
      <c r="M931" s="118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117"/>
      <c r="AD931" s="117"/>
      <c r="AE931" s="117"/>
      <c r="AF931" s="117"/>
      <c r="AG931" s="117"/>
      <c r="AH931" s="117"/>
      <c r="AI931" s="117"/>
      <c r="AJ931" s="117"/>
      <c r="AK931" s="117"/>
      <c r="AL931" s="117"/>
      <c r="AM931" s="117"/>
      <c r="AN931" s="117"/>
      <c r="AO931" s="117"/>
      <c r="AP931" s="117"/>
      <c r="AQ931" s="117"/>
      <c r="AR931" s="117"/>
      <c r="AS931" s="117"/>
      <c r="AT931" s="117"/>
      <c r="AU931" s="117"/>
      <c r="AV931" s="117"/>
      <c r="AW931" s="117"/>
      <c r="AX931" s="117"/>
      <c r="AY931" s="117"/>
      <c r="AZ931" s="117"/>
      <c r="BA931" s="117"/>
      <c r="BB931" s="117"/>
      <c r="BC931" s="117"/>
      <c r="BD931" s="117"/>
      <c r="BE931" s="117"/>
      <c r="BF931" s="117"/>
      <c r="BG931" s="117"/>
    </row>
    <row r="932" spans="1:59">
      <c r="A932" s="117"/>
      <c r="B932" s="117"/>
      <c r="C932" s="117"/>
      <c r="D932" s="117"/>
      <c r="E932" s="117"/>
      <c r="F932" s="117"/>
      <c r="G932" s="117"/>
      <c r="H932" s="117"/>
      <c r="I932" s="117"/>
      <c r="J932" s="118"/>
      <c r="K932" s="118"/>
      <c r="L932" s="118"/>
      <c r="M932" s="118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117"/>
      <c r="AD932" s="117"/>
      <c r="AE932" s="117"/>
      <c r="AF932" s="117"/>
      <c r="AG932" s="117"/>
      <c r="AH932" s="117"/>
      <c r="AI932" s="117"/>
      <c r="AJ932" s="117"/>
      <c r="AK932" s="117"/>
      <c r="AL932" s="117"/>
      <c r="AM932" s="117"/>
      <c r="AN932" s="117"/>
      <c r="AO932" s="117"/>
      <c r="AP932" s="117"/>
      <c r="AQ932" s="117"/>
      <c r="AR932" s="117"/>
      <c r="AS932" s="117"/>
      <c r="AT932" s="117"/>
      <c r="AU932" s="117"/>
      <c r="AV932" s="117"/>
      <c r="AW932" s="117"/>
      <c r="AX932" s="117"/>
      <c r="AY932" s="117"/>
      <c r="AZ932" s="117"/>
      <c r="BA932" s="117"/>
      <c r="BB932" s="117"/>
      <c r="BC932" s="117"/>
      <c r="BD932" s="117"/>
      <c r="BE932" s="117"/>
      <c r="BF932" s="117"/>
      <c r="BG932" s="117"/>
    </row>
    <row r="933" spans="1:59">
      <c r="A933" s="117"/>
      <c r="B933" s="117"/>
      <c r="C933" s="117"/>
      <c r="D933" s="117"/>
      <c r="E933" s="117"/>
      <c r="F933" s="117"/>
      <c r="G933" s="117"/>
      <c r="H933" s="117"/>
      <c r="I933" s="117"/>
      <c r="J933" s="118"/>
      <c r="K933" s="118"/>
      <c r="L933" s="118"/>
      <c r="M933" s="118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117"/>
      <c r="AD933" s="117"/>
      <c r="AE933" s="117"/>
      <c r="AF933" s="117"/>
      <c r="AG933" s="117"/>
      <c r="AH933" s="117"/>
      <c r="AI933" s="117"/>
      <c r="AJ933" s="117"/>
      <c r="AK933" s="117"/>
      <c r="AL933" s="117"/>
      <c r="AM933" s="117"/>
      <c r="AN933" s="117"/>
      <c r="AO933" s="117"/>
      <c r="AP933" s="117"/>
      <c r="AQ933" s="117"/>
      <c r="AR933" s="117"/>
      <c r="AS933" s="117"/>
      <c r="AT933" s="117"/>
      <c r="AU933" s="117"/>
      <c r="AV933" s="117"/>
      <c r="AW933" s="117"/>
      <c r="AX933" s="117"/>
      <c r="AY933" s="117"/>
      <c r="AZ933" s="117"/>
      <c r="BA933" s="117"/>
      <c r="BB933" s="117"/>
      <c r="BC933" s="117"/>
      <c r="BD933" s="117"/>
      <c r="BE933" s="117"/>
      <c r="BF933" s="117"/>
      <c r="BG933" s="117"/>
    </row>
    <row r="934" spans="1:59">
      <c r="A934" s="117"/>
      <c r="B934" s="117"/>
      <c r="C934" s="117"/>
      <c r="D934" s="117"/>
      <c r="E934" s="117"/>
      <c r="F934" s="117"/>
      <c r="G934" s="117"/>
      <c r="H934" s="117"/>
      <c r="I934" s="117"/>
      <c r="J934" s="118"/>
      <c r="K934" s="118"/>
      <c r="L934" s="118"/>
      <c r="M934" s="118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117"/>
      <c r="AD934" s="117"/>
      <c r="AE934" s="117"/>
      <c r="AF934" s="117"/>
      <c r="AG934" s="117"/>
      <c r="AH934" s="117"/>
      <c r="AI934" s="117"/>
      <c r="AJ934" s="117"/>
      <c r="AK934" s="117"/>
      <c r="AL934" s="117"/>
      <c r="AM934" s="117"/>
      <c r="AN934" s="117"/>
      <c r="AO934" s="117"/>
      <c r="AP934" s="117"/>
      <c r="AQ934" s="117"/>
      <c r="AR934" s="117"/>
      <c r="AS934" s="117"/>
      <c r="AT934" s="117"/>
      <c r="AU934" s="117"/>
      <c r="AV934" s="117"/>
      <c r="AW934" s="117"/>
      <c r="AX934" s="117"/>
      <c r="AY934" s="117"/>
      <c r="AZ934" s="117"/>
      <c r="BA934" s="117"/>
      <c r="BB934" s="117"/>
      <c r="BC934" s="117"/>
      <c r="BD934" s="117"/>
      <c r="BE934" s="117"/>
      <c r="BF934" s="117"/>
      <c r="BG934" s="117"/>
    </row>
    <row r="935" spans="1:59">
      <c r="A935" s="117"/>
      <c r="B935" s="117"/>
      <c r="C935" s="117"/>
      <c r="D935" s="117"/>
      <c r="E935" s="117"/>
      <c r="F935" s="117"/>
      <c r="G935" s="117"/>
      <c r="H935" s="117"/>
      <c r="I935" s="117"/>
      <c r="J935" s="118"/>
      <c r="K935" s="118"/>
      <c r="L935" s="118"/>
      <c r="M935" s="118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117"/>
      <c r="AD935" s="117"/>
      <c r="AE935" s="117"/>
      <c r="AF935" s="117"/>
      <c r="AG935" s="117"/>
      <c r="AH935" s="117"/>
      <c r="AI935" s="117"/>
      <c r="AJ935" s="117"/>
      <c r="AK935" s="117"/>
      <c r="AL935" s="117"/>
      <c r="AM935" s="117"/>
      <c r="AN935" s="117"/>
      <c r="AO935" s="117"/>
      <c r="AP935" s="117"/>
      <c r="AQ935" s="117"/>
      <c r="AR935" s="117"/>
      <c r="AS935" s="117"/>
      <c r="AT935" s="117"/>
      <c r="AU935" s="117"/>
      <c r="AV935" s="117"/>
      <c r="AW935" s="117"/>
      <c r="AX935" s="117"/>
      <c r="AY935" s="117"/>
      <c r="AZ935" s="117"/>
      <c r="BA935" s="117"/>
      <c r="BB935" s="117"/>
      <c r="BC935" s="117"/>
      <c r="BD935" s="117"/>
      <c r="BE935" s="117"/>
      <c r="BF935" s="117"/>
      <c r="BG935" s="117"/>
    </row>
    <row r="936" spans="1:59">
      <c r="A936" s="117"/>
      <c r="B936" s="117"/>
      <c r="C936" s="117"/>
      <c r="D936" s="117"/>
      <c r="E936" s="117"/>
      <c r="F936" s="117"/>
      <c r="G936" s="117"/>
      <c r="H936" s="117"/>
      <c r="I936" s="117"/>
      <c r="J936" s="118"/>
      <c r="K936" s="118"/>
      <c r="L936" s="118"/>
      <c r="M936" s="118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117"/>
      <c r="AD936" s="117"/>
      <c r="AE936" s="117"/>
      <c r="AF936" s="117"/>
      <c r="AG936" s="117"/>
      <c r="AH936" s="117"/>
      <c r="AI936" s="117"/>
      <c r="AJ936" s="117"/>
      <c r="AK936" s="117"/>
      <c r="AL936" s="117"/>
      <c r="AM936" s="117"/>
      <c r="AN936" s="117"/>
      <c r="AO936" s="117"/>
      <c r="AP936" s="117"/>
      <c r="AQ936" s="117"/>
      <c r="AR936" s="117"/>
      <c r="AS936" s="117"/>
      <c r="AT936" s="117"/>
      <c r="AU936" s="117"/>
      <c r="AV936" s="117"/>
      <c r="AW936" s="117"/>
      <c r="AX936" s="117"/>
      <c r="AY936" s="117"/>
      <c r="AZ936" s="117"/>
      <c r="BA936" s="117"/>
      <c r="BB936" s="117"/>
      <c r="BC936" s="117"/>
      <c r="BD936" s="117"/>
      <c r="BE936" s="117"/>
      <c r="BF936" s="117"/>
      <c r="BG936" s="117"/>
    </row>
    <row r="937" spans="1:59">
      <c r="A937" s="117"/>
      <c r="B937" s="117"/>
      <c r="C937" s="117"/>
      <c r="D937" s="117"/>
      <c r="E937" s="117"/>
      <c r="F937" s="117"/>
      <c r="G937" s="117"/>
      <c r="H937" s="117"/>
      <c r="I937" s="117"/>
      <c r="J937" s="118"/>
      <c r="K937" s="118"/>
      <c r="L937" s="118"/>
      <c r="M937" s="118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117"/>
      <c r="AD937" s="117"/>
      <c r="AE937" s="117"/>
      <c r="AF937" s="117"/>
      <c r="AG937" s="117"/>
      <c r="AH937" s="117"/>
      <c r="AI937" s="117"/>
      <c r="AJ937" s="117"/>
      <c r="AK937" s="117"/>
      <c r="AL937" s="117"/>
      <c r="AM937" s="117"/>
      <c r="AN937" s="117"/>
      <c r="AO937" s="117"/>
      <c r="AP937" s="117"/>
      <c r="AQ937" s="117"/>
      <c r="AR937" s="117"/>
      <c r="AS937" s="117"/>
      <c r="AT937" s="117"/>
      <c r="AU937" s="117"/>
      <c r="AV937" s="117"/>
      <c r="AW937" s="117"/>
      <c r="AX937" s="117"/>
      <c r="AY937" s="117"/>
      <c r="AZ937" s="117"/>
      <c r="BA937" s="117"/>
      <c r="BB937" s="117"/>
      <c r="BC937" s="117"/>
      <c r="BD937" s="117"/>
      <c r="BE937" s="117"/>
      <c r="BF937" s="117"/>
      <c r="BG937" s="117"/>
    </row>
    <row r="938" spans="1:59">
      <c r="A938" s="117"/>
      <c r="B938" s="117"/>
      <c r="C938" s="117"/>
      <c r="D938" s="117"/>
      <c r="E938" s="117"/>
      <c r="F938" s="117"/>
      <c r="G938" s="117"/>
      <c r="H938" s="117"/>
      <c r="I938" s="117"/>
      <c r="J938" s="118"/>
      <c r="K938" s="118"/>
      <c r="L938" s="118"/>
      <c r="M938" s="118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117"/>
      <c r="AD938" s="117"/>
      <c r="AE938" s="117"/>
      <c r="AF938" s="117"/>
      <c r="AG938" s="117"/>
      <c r="AH938" s="117"/>
      <c r="AI938" s="117"/>
      <c r="AJ938" s="117"/>
      <c r="AK938" s="117"/>
      <c r="AL938" s="117"/>
      <c r="AM938" s="117"/>
      <c r="AN938" s="117"/>
      <c r="AO938" s="117"/>
      <c r="AP938" s="117"/>
      <c r="AQ938" s="117"/>
      <c r="AR938" s="117"/>
      <c r="AS938" s="117"/>
      <c r="AT938" s="117"/>
      <c r="AU938" s="117"/>
      <c r="AV938" s="117"/>
      <c r="AW938" s="117"/>
      <c r="AX938" s="117"/>
      <c r="AY938" s="117"/>
      <c r="AZ938" s="117"/>
      <c r="BA938" s="117"/>
      <c r="BB938" s="117"/>
      <c r="BC938" s="117"/>
      <c r="BD938" s="117"/>
      <c r="BE938" s="117"/>
      <c r="BF938" s="117"/>
      <c r="BG938" s="117"/>
    </row>
    <row r="939" spans="1:59">
      <c r="A939" s="117"/>
      <c r="B939" s="117"/>
      <c r="C939" s="117"/>
      <c r="D939" s="117"/>
      <c r="E939" s="117"/>
      <c r="F939" s="117"/>
      <c r="G939" s="117"/>
      <c r="H939" s="117"/>
      <c r="I939" s="117"/>
      <c r="J939" s="118"/>
      <c r="K939" s="118"/>
      <c r="L939" s="118"/>
      <c r="M939" s="118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117"/>
      <c r="AD939" s="117"/>
      <c r="AE939" s="117"/>
      <c r="AF939" s="117"/>
      <c r="AG939" s="117"/>
      <c r="AH939" s="117"/>
      <c r="AI939" s="117"/>
      <c r="AJ939" s="117"/>
      <c r="AK939" s="117"/>
      <c r="AL939" s="117"/>
      <c r="AM939" s="117"/>
      <c r="AN939" s="117"/>
      <c r="AO939" s="117"/>
      <c r="AP939" s="117"/>
      <c r="AQ939" s="117"/>
      <c r="AR939" s="117"/>
      <c r="AS939" s="117"/>
      <c r="AT939" s="117"/>
      <c r="AU939" s="117"/>
      <c r="AV939" s="117"/>
      <c r="AW939" s="117"/>
      <c r="AX939" s="117"/>
      <c r="AY939" s="117"/>
      <c r="AZ939" s="117"/>
      <c r="BA939" s="117"/>
      <c r="BB939" s="117"/>
      <c r="BC939" s="117"/>
      <c r="BD939" s="117"/>
      <c r="BE939" s="117"/>
      <c r="BF939" s="117"/>
      <c r="BG939" s="117"/>
    </row>
    <row r="940" spans="1:59">
      <c r="A940" s="117"/>
      <c r="B940" s="117"/>
      <c r="C940" s="117"/>
      <c r="D940" s="117"/>
      <c r="E940" s="117"/>
      <c r="F940" s="117"/>
      <c r="G940" s="117"/>
      <c r="H940" s="117"/>
      <c r="I940" s="117"/>
      <c r="J940" s="118"/>
      <c r="K940" s="118"/>
      <c r="L940" s="118"/>
      <c r="M940" s="118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117"/>
      <c r="AD940" s="117"/>
      <c r="AE940" s="117"/>
      <c r="AF940" s="117"/>
      <c r="AG940" s="117"/>
      <c r="AH940" s="117"/>
      <c r="AI940" s="117"/>
      <c r="AJ940" s="117"/>
      <c r="AK940" s="117"/>
      <c r="AL940" s="117"/>
      <c r="AM940" s="117"/>
      <c r="AN940" s="117"/>
      <c r="AO940" s="117"/>
      <c r="AP940" s="117"/>
      <c r="AQ940" s="117"/>
      <c r="AR940" s="117"/>
      <c r="AS940" s="117"/>
      <c r="AT940" s="117"/>
      <c r="AU940" s="117"/>
      <c r="AV940" s="117"/>
      <c r="AW940" s="117"/>
      <c r="AX940" s="117"/>
      <c r="AY940" s="117"/>
      <c r="AZ940" s="117"/>
      <c r="BA940" s="117"/>
      <c r="BB940" s="117"/>
      <c r="BC940" s="117"/>
      <c r="BD940" s="117"/>
      <c r="BE940" s="117"/>
      <c r="BF940" s="117"/>
      <c r="BG940" s="117"/>
    </row>
    <row r="941" spans="1:59">
      <c r="A941" s="117"/>
      <c r="B941" s="117"/>
      <c r="C941" s="117"/>
      <c r="D941" s="117"/>
      <c r="E941" s="117"/>
      <c r="F941" s="117"/>
      <c r="G941" s="117"/>
      <c r="H941" s="117"/>
      <c r="I941" s="117"/>
      <c r="J941" s="118"/>
      <c r="K941" s="118"/>
      <c r="L941" s="118"/>
      <c r="M941" s="118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117"/>
      <c r="AD941" s="117"/>
      <c r="AE941" s="117"/>
      <c r="AF941" s="117"/>
      <c r="AG941" s="117"/>
      <c r="AH941" s="117"/>
      <c r="AI941" s="117"/>
      <c r="AJ941" s="117"/>
      <c r="AK941" s="117"/>
      <c r="AL941" s="117"/>
      <c r="AM941" s="117"/>
      <c r="AN941" s="117"/>
      <c r="AO941" s="117"/>
      <c r="AP941" s="117"/>
      <c r="AQ941" s="117"/>
      <c r="AR941" s="117"/>
      <c r="AS941" s="117"/>
      <c r="AT941" s="117"/>
      <c r="AU941" s="117"/>
      <c r="AV941" s="117"/>
      <c r="AW941" s="117"/>
      <c r="AX941" s="117"/>
      <c r="AY941" s="117"/>
      <c r="AZ941" s="117"/>
      <c r="BA941" s="117"/>
      <c r="BB941" s="117"/>
      <c r="BC941" s="117"/>
      <c r="BD941" s="117"/>
      <c r="BE941" s="117"/>
      <c r="BF941" s="117"/>
      <c r="BG941" s="117"/>
    </row>
    <row r="942" spans="1:59">
      <c r="A942" s="117"/>
      <c r="B942" s="117"/>
      <c r="C942" s="117"/>
      <c r="D942" s="117"/>
      <c r="E942" s="117"/>
      <c r="F942" s="117"/>
      <c r="G942" s="117"/>
      <c r="H942" s="117"/>
      <c r="I942" s="117"/>
      <c r="J942" s="118"/>
      <c r="K942" s="118"/>
      <c r="L942" s="118"/>
      <c r="M942" s="118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117"/>
      <c r="AD942" s="117"/>
      <c r="AE942" s="117"/>
      <c r="AF942" s="117"/>
      <c r="AG942" s="117"/>
      <c r="AH942" s="117"/>
      <c r="AI942" s="117"/>
      <c r="AJ942" s="117"/>
      <c r="AK942" s="117"/>
      <c r="AL942" s="117"/>
      <c r="AM942" s="117"/>
      <c r="AN942" s="117"/>
      <c r="AO942" s="117"/>
      <c r="AP942" s="117"/>
      <c r="AQ942" s="117"/>
      <c r="AR942" s="117"/>
      <c r="AS942" s="117"/>
      <c r="AT942" s="117"/>
      <c r="AU942" s="117"/>
      <c r="AV942" s="117"/>
      <c r="AW942" s="117"/>
      <c r="AX942" s="117"/>
      <c r="AY942" s="117"/>
      <c r="AZ942" s="117"/>
      <c r="BA942" s="117"/>
      <c r="BB942" s="117"/>
      <c r="BC942" s="117"/>
      <c r="BD942" s="117"/>
      <c r="BE942" s="117"/>
      <c r="BF942" s="117"/>
      <c r="BG942" s="117"/>
    </row>
    <row r="943" spans="1:59">
      <c r="A943" s="117"/>
      <c r="B943" s="117"/>
      <c r="C943" s="117"/>
      <c r="D943" s="117"/>
      <c r="E943" s="117"/>
      <c r="F943" s="117"/>
      <c r="G943" s="117"/>
      <c r="H943" s="117"/>
      <c r="I943" s="117"/>
      <c r="J943" s="118"/>
      <c r="K943" s="118"/>
      <c r="L943" s="118"/>
      <c r="M943" s="118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117"/>
      <c r="AD943" s="117"/>
      <c r="AE943" s="117"/>
      <c r="AF943" s="117"/>
      <c r="AG943" s="117"/>
      <c r="AH943" s="117"/>
      <c r="AI943" s="117"/>
      <c r="AJ943" s="117"/>
      <c r="AK943" s="117"/>
      <c r="AL943" s="117"/>
      <c r="AM943" s="117"/>
      <c r="AN943" s="117"/>
      <c r="AO943" s="117"/>
      <c r="AP943" s="117"/>
      <c r="AQ943" s="117"/>
      <c r="AR943" s="117"/>
      <c r="AS943" s="117"/>
      <c r="AT943" s="117"/>
      <c r="AU943" s="117"/>
      <c r="AV943" s="117"/>
      <c r="AW943" s="117"/>
      <c r="AX943" s="117"/>
      <c r="AY943" s="117"/>
      <c r="AZ943" s="117"/>
      <c r="BA943" s="117"/>
      <c r="BB943" s="117"/>
      <c r="BC943" s="117"/>
      <c r="BD943" s="117"/>
      <c r="BE943" s="117"/>
      <c r="BF943" s="117"/>
      <c r="BG943" s="117"/>
    </row>
    <row r="944" spans="1:59">
      <c r="A944" s="117"/>
      <c r="B944" s="117"/>
      <c r="C944" s="117"/>
      <c r="D944" s="117"/>
      <c r="E944" s="117"/>
      <c r="F944" s="117"/>
      <c r="G944" s="117"/>
      <c r="H944" s="117"/>
      <c r="I944" s="117"/>
      <c r="J944" s="118"/>
      <c r="K944" s="118"/>
      <c r="L944" s="118"/>
      <c r="M944" s="118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117"/>
      <c r="AD944" s="117"/>
      <c r="AE944" s="117"/>
      <c r="AF944" s="117"/>
      <c r="AG944" s="117"/>
      <c r="AH944" s="117"/>
      <c r="AI944" s="117"/>
      <c r="AJ944" s="117"/>
      <c r="AK944" s="117"/>
      <c r="AL944" s="117"/>
      <c r="AM944" s="117"/>
      <c r="AN944" s="117"/>
      <c r="AO944" s="117"/>
      <c r="AP944" s="117"/>
      <c r="AQ944" s="117"/>
      <c r="AR944" s="117"/>
      <c r="AS944" s="117"/>
      <c r="AT944" s="117"/>
      <c r="AU944" s="117"/>
      <c r="AV944" s="117"/>
      <c r="AW944" s="117"/>
      <c r="AX944" s="117"/>
      <c r="AY944" s="117"/>
      <c r="AZ944" s="117"/>
      <c r="BA944" s="117"/>
      <c r="BB944" s="117"/>
      <c r="BC944" s="117"/>
      <c r="BD944" s="117"/>
      <c r="BE944" s="117"/>
      <c r="BF944" s="117"/>
      <c r="BG944" s="117"/>
    </row>
    <row r="945" spans="1:59">
      <c r="A945" s="117"/>
      <c r="B945" s="117"/>
      <c r="C945" s="117"/>
      <c r="D945" s="117"/>
      <c r="E945" s="117"/>
      <c r="F945" s="117"/>
      <c r="G945" s="117"/>
      <c r="H945" s="117"/>
      <c r="I945" s="117"/>
      <c r="J945" s="118"/>
      <c r="K945" s="118"/>
      <c r="L945" s="118"/>
      <c r="M945" s="118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117"/>
      <c r="AD945" s="117"/>
      <c r="AE945" s="117"/>
      <c r="AF945" s="117"/>
      <c r="AG945" s="117"/>
      <c r="AH945" s="117"/>
      <c r="AI945" s="117"/>
      <c r="AJ945" s="117"/>
      <c r="AK945" s="117"/>
      <c r="AL945" s="117"/>
      <c r="AM945" s="117"/>
      <c r="AN945" s="117"/>
      <c r="AO945" s="117"/>
      <c r="AP945" s="117"/>
      <c r="AQ945" s="117"/>
      <c r="AR945" s="117"/>
      <c r="AS945" s="117"/>
      <c r="AT945" s="117"/>
      <c r="AU945" s="117"/>
      <c r="AV945" s="117"/>
      <c r="AW945" s="117"/>
      <c r="AX945" s="117"/>
      <c r="AY945" s="117"/>
      <c r="AZ945" s="117"/>
      <c r="BA945" s="117"/>
      <c r="BB945" s="117"/>
      <c r="BC945" s="117"/>
      <c r="BD945" s="117"/>
      <c r="BE945" s="117"/>
      <c r="BF945" s="117"/>
      <c r="BG945" s="117"/>
    </row>
    <row r="946" spans="1:59">
      <c r="A946" s="117"/>
      <c r="B946" s="117"/>
      <c r="C946" s="117"/>
      <c r="D946" s="117"/>
      <c r="E946" s="117"/>
      <c r="F946" s="117"/>
      <c r="G946" s="117"/>
      <c r="H946" s="117"/>
      <c r="I946" s="117"/>
      <c r="J946" s="118"/>
      <c r="K946" s="118"/>
      <c r="L946" s="118"/>
      <c r="M946" s="118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117"/>
      <c r="AD946" s="117"/>
      <c r="AE946" s="117"/>
      <c r="AF946" s="117"/>
      <c r="AG946" s="117"/>
      <c r="AH946" s="117"/>
      <c r="AI946" s="117"/>
      <c r="AJ946" s="117"/>
      <c r="AK946" s="117"/>
      <c r="AL946" s="117"/>
      <c r="AM946" s="117"/>
      <c r="AN946" s="117"/>
      <c r="AO946" s="117"/>
      <c r="AP946" s="117"/>
      <c r="AQ946" s="117"/>
      <c r="AR946" s="117"/>
      <c r="AS946" s="117"/>
      <c r="AT946" s="117"/>
      <c r="AU946" s="117"/>
      <c r="AV946" s="117"/>
      <c r="AW946" s="117"/>
      <c r="AX946" s="117"/>
      <c r="AY946" s="117"/>
      <c r="AZ946" s="117"/>
      <c r="BA946" s="117"/>
      <c r="BB946" s="117"/>
      <c r="BC946" s="117"/>
      <c r="BD946" s="117"/>
      <c r="BE946" s="117"/>
      <c r="BF946" s="117"/>
      <c r="BG946" s="117"/>
    </row>
    <row r="947" spans="1:59">
      <c r="A947" s="117"/>
      <c r="B947" s="117"/>
      <c r="C947" s="117"/>
      <c r="D947" s="117"/>
      <c r="E947" s="117"/>
      <c r="F947" s="117"/>
      <c r="G947" s="117"/>
      <c r="H947" s="117"/>
      <c r="I947" s="117"/>
      <c r="J947" s="118"/>
      <c r="K947" s="118"/>
      <c r="L947" s="118"/>
      <c r="M947" s="118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117"/>
      <c r="AD947" s="117"/>
      <c r="AE947" s="117"/>
      <c r="AF947" s="117"/>
      <c r="AG947" s="117"/>
      <c r="AH947" s="117"/>
      <c r="AI947" s="117"/>
      <c r="AJ947" s="117"/>
      <c r="AK947" s="117"/>
      <c r="AL947" s="117"/>
      <c r="AM947" s="117"/>
      <c r="AN947" s="117"/>
      <c r="AO947" s="117"/>
      <c r="AP947" s="117"/>
      <c r="AQ947" s="117"/>
      <c r="AR947" s="117"/>
      <c r="AS947" s="117"/>
      <c r="AT947" s="117"/>
      <c r="AU947" s="117"/>
      <c r="AV947" s="117"/>
      <c r="AW947" s="117"/>
      <c r="AX947" s="117"/>
      <c r="AY947" s="117"/>
      <c r="AZ947" s="117"/>
      <c r="BA947" s="117"/>
      <c r="BB947" s="117"/>
      <c r="BC947" s="117"/>
      <c r="BD947" s="117"/>
      <c r="BE947" s="117"/>
      <c r="BF947" s="117"/>
      <c r="BG947" s="117"/>
    </row>
    <row r="948" spans="1:59">
      <c r="A948" s="117"/>
      <c r="B948" s="117"/>
      <c r="C948" s="117"/>
      <c r="D948" s="117"/>
      <c r="E948" s="117"/>
      <c r="F948" s="117"/>
      <c r="G948" s="117"/>
      <c r="H948" s="117"/>
      <c r="I948" s="117"/>
      <c r="J948" s="118"/>
      <c r="K948" s="118"/>
      <c r="L948" s="118"/>
      <c r="M948" s="118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117"/>
      <c r="AD948" s="117"/>
      <c r="AE948" s="117"/>
      <c r="AF948" s="117"/>
      <c r="AG948" s="117"/>
      <c r="AH948" s="117"/>
      <c r="AI948" s="117"/>
      <c r="AJ948" s="117"/>
      <c r="AK948" s="117"/>
      <c r="AL948" s="117"/>
      <c r="AM948" s="117"/>
      <c r="AN948" s="117"/>
      <c r="AO948" s="117"/>
      <c r="AP948" s="117"/>
      <c r="AQ948" s="117"/>
      <c r="AR948" s="117"/>
      <c r="AS948" s="117"/>
      <c r="AT948" s="117"/>
      <c r="AU948" s="117"/>
      <c r="AV948" s="117"/>
      <c r="AW948" s="117"/>
      <c r="AX948" s="117"/>
      <c r="AY948" s="117"/>
      <c r="AZ948" s="117"/>
      <c r="BA948" s="117"/>
      <c r="BB948" s="117"/>
      <c r="BC948" s="117"/>
      <c r="BD948" s="117"/>
      <c r="BE948" s="117"/>
      <c r="BF948" s="117"/>
      <c r="BG948" s="117"/>
    </row>
    <row r="949" spans="1:59">
      <c r="A949" s="117"/>
      <c r="B949" s="117"/>
      <c r="C949" s="117"/>
      <c r="D949" s="117"/>
      <c r="E949" s="117"/>
      <c r="F949" s="117"/>
      <c r="G949" s="117"/>
      <c r="H949" s="117"/>
      <c r="I949" s="117"/>
      <c r="J949" s="118"/>
      <c r="K949" s="118"/>
      <c r="L949" s="118"/>
      <c r="M949" s="118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117"/>
      <c r="AD949" s="117"/>
      <c r="AE949" s="117"/>
      <c r="AF949" s="117"/>
      <c r="AG949" s="117"/>
      <c r="AH949" s="117"/>
      <c r="AI949" s="117"/>
      <c r="AJ949" s="117"/>
      <c r="AK949" s="117"/>
      <c r="AL949" s="117"/>
      <c r="AM949" s="117"/>
      <c r="AN949" s="117"/>
      <c r="AO949" s="117"/>
      <c r="AP949" s="117"/>
      <c r="AQ949" s="117"/>
      <c r="AR949" s="117"/>
      <c r="AS949" s="117"/>
      <c r="AT949" s="117"/>
      <c r="AU949" s="117"/>
      <c r="AV949" s="117"/>
      <c r="AW949" s="117"/>
      <c r="AX949" s="117"/>
      <c r="AY949" s="117"/>
      <c r="AZ949" s="117"/>
      <c r="BA949" s="117"/>
      <c r="BB949" s="117"/>
      <c r="BC949" s="117"/>
      <c r="BD949" s="117"/>
      <c r="BE949" s="117"/>
      <c r="BF949" s="117"/>
      <c r="BG949" s="117"/>
    </row>
    <row r="950" spans="1:59">
      <c r="A950" s="117"/>
      <c r="B950" s="117"/>
      <c r="C950" s="117"/>
      <c r="D950" s="117"/>
      <c r="E950" s="117"/>
      <c r="F950" s="117"/>
      <c r="G950" s="117"/>
      <c r="H950" s="117"/>
      <c r="I950" s="117"/>
      <c r="J950" s="118"/>
      <c r="K950" s="118"/>
      <c r="L950" s="118"/>
      <c r="M950" s="118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117"/>
      <c r="AD950" s="117"/>
      <c r="AE950" s="117"/>
      <c r="AF950" s="117"/>
      <c r="AG950" s="117"/>
      <c r="AH950" s="117"/>
      <c r="AI950" s="117"/>
      <c r="AJ950" s="117"/>
      <c r="AK950" s="117"/>
      <c r="AL950" s="117"/>
      <c r="AM950" s="117"/>
      <c r="AN950" s="117"/>
      <c r="AO950" s="117"/>
      <c r="AP950" s="117"/>
      <c r="AQ950" s="117"/>
      <c r="AR950" s="117"/>
      <c r="AS950" s="117"/>
      <c r="AT950" s="117"/>
      <c r="AU950" s="117"/>
      <c r="AV950" s="117"/>
      <c r="AW950" s="117"/>
      <c r="AX950" s="117"/>
      <c r="AY950" s="117"/>
      <c r="AZ950" s="117"/>
      <c r="BA950" s="117"/>
      <c r="BB950" s="117"/>
      <c r="BC950" s="117"/>
      <c r="BD950" s="117"/>
      <c r="BE950" s="117"/>
      <c r="BF950" s="117"/>
      <c r="BG950" s="117"/>
    </row>
    <row r="951" spans="1:59">
      <c r="A951" s="117"/>
      <c r="B951" s="117"/>
      <c r="C951" s="117"/>
      <c r="D951" s="117"/>
      <c r="E951" s="117"/>
      <c r="F951" s="117"/>
      <c r="G951" s="117"/>
      <c r="H951" s="117"/>
      <c r="I951" s="117"/>
      <c r="J951" s="118"/>
      <c r="K951" s="118"/>
      <c r="L951" s="118"/>
      <c r="M951" s="118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117"/>
      <c r="AD951" s="117"/>
      <c r="AE951" s="117"/>
      <c r="AF951" s="117"/>
      <c r="AG951" s="117"/>
      <c r="AH951" s="117"/>
      <c r="AI951" s="117"/>
      <c r="AJ951" s="117"/>
      <c r="AK951" s="117"/>
      <c r="AL951" s="117"/>
      <c r="AM951" s="117"/>
      <c r="AN951" s="117"/>
      <c r="AO951" s="117"/>
      <c r="AP951" s="117"/>
      <c r="AQ951" s="117"/>
      <c r="AR951" s="117"/>
      <c r="AS951" s="117"/>
      <c r="AT951" s="117"/>
      <c r="AU951" s="117"/>
      <c r="AV951" s="117"/>
      <c r="AW951" s="117"/>
      <c r="AX951" s="117"/>
      <c r="AY951" s="117"/>
      <c r="AZ951" s="117"/>
      <c r="BA951" s="117"/>
      <c r="BB951" s="117"/>
      <c r="BC951" s="117"/>
      <c r="BD951" s="117"/>
      <c r="BE951" s="117"/>
      <c r="BF951" s="117"/>
      <c r="BG951" s="117"/>
    </row>
    <row r="952" spans="1:59">
      <c r="A952" s="117"/>
      <c r="B952" s="117"/>
      <c r="C952" s="117"/>
      <c r="D952" s="117"/>
      <c r="E952" s="117"/>
      <c r="F952" s="117"/>
      <c r="G952" s="117"/>
      <c r="H952" s="117"/>
      <c r="I952" s="117"/>
      <c r="J952" s="118"/>
      <c r="K952" s="118"/>
      <c r="L952" s="118"/>
      <c r="M952" s="118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117"/>
      <c r="AD952" s="117"/>
      <c r="AE952" s="117"/>
      <c r="AF952" s="117"/>
      <c r="AG952" s="117"/>
      <c r="AH952" s="117"/>
      <c r="AI952" s="117"/>
      <c r="AJ952" s="117"/>
      <c r="AK952" s="117"/>
      <c r="AL952" s="117"/>
      <c r="AM952" s="117"/>
      <c r="AN952" s="117"/>
      <c r="AO952" s="117"/>
      <c r="AP952" s="117"/>
      <c r="AQ952" s="117"/>
      <c r="AR952" s="117"/>
      <c r="AS952" s="117"/>
      <c r="AT952" s="117"/>
      <c r="AU952" s="117"/>
      <c r="AV952" s="117"/>
      <c r="AW952" s="117"/>
      <c r="AX952" s="117"/>
      <c r="AY952" s="117"/>
      <c r="AZ952" s="117"/>
      <c r="BA952" s="117"/>
      <c r="BB952" s="117"/>
      <c r="BC952" s="117"/>
      <c r="BD952" s="117"/>
      <c r="BE952" s="117"/>
      <c r="BF952" s="117"/>
      <c r="BG952" s="117"/>
    </row>
    <row r="953" spans="1:59">
      <c r="A953" s="117"/>
      <c r="B953" s="117"/>
      <c r="C953" s="117"/>
      <c r="D953" s="117"/>
      <c r="E953" s="117"/>
      <c r="F953" s="117"/>
      <c r="G953" s="117"/>
      <c r="H953" s="117"/>
      <c r="I953" s="117"/>
      <c r="J953" s="118"/>
      <c r="K953" s="118"/>
      <c r="L953" s="118"/>
      <c r="M953" s="118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117"/>
      <c r="AD953" s="117"/>
      <c r="AE953" s="117"/>
      <c r="AF953" s="117"/>
      <c r="AG953" s="117"/>
      <c r="AH953" s="117"/>
      <c r="AI953" s="117"/>
      <c r="AJ953" s="117"/>
      <c r="AK953" s="117"/>
      <c r="AL953" s="117"/>
      <c r="AM953" s="117"/>
      <c r="AN953" s="117"/>
      <c r="AO953" s="117"/>
      <c r="AP953" s="117"/>
      <c r="AQ953" s="117"/>
      <c r="AR953" s="117"/>
      <c r="AS953" s="117"/>
      <c r="AT953" s="117"/>
      <c r="AU953" s="117"/>
      <c r="AV953" s="117"/>
      <c r="AW953" s="117"/>
      <c r="AX953" s="117"/>
      <c r="AY953" s="117"/>
      <c r="AZ953" s="117"/>
      <c r="BA953" s="117"/>
      <c r="BB953" s="117"/>
      <c r="BC953" s="117"/>
      <c r="BD953" s="117"/>
      <c r="BE953" s="117"/>
      <c r="BF953" s="117"/>
      <c r="BG953" s="117"/>
    </row>
    <row r="954" spans="1:59">
      <c r="A954" s="117"/>
      <c r="B954" s="117"/>
      <c r="C954" s="117"/>
      <c r="D954" s="117"/>
      <c r="E954" s="117"/>
      <c r="F954" s="117"/>
      <c r="G954" s="117"/>
      <c r="H954" s="117"/>
      <c r="I954" s="117"/>
      <c r="J954" s="118"/>
      <c r="K954" s="118"/>
      <c r="L954" s="118"/>
      <c r="M954" s="118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117"/>
      <c r="AD954" s="117"/>
      <c r="AE954" s="117"/>
      <c r="AF954" s="117"/>
      <c r="AG954" s="117"/>
      <c r="AH954" s="117"/>
      <c r="AI954" s="117"/>
      <c r="AJ954" s="117"/>
      <c r="AK954" s="117"/>
      <c r="AL954" s="117"/>
      <c r="AM954" s="117"/>
      <c r="AN954" s="117"/>
      <c r="AO954" s="117"/>
      <c r="AP954" s="117"/>
      <c r="AQ954" s="117"/>
      <c r="AR954" s="117"/>
      <c r="AS954" s="117"/>
      <c r="AT954" s="117"/>
      <c r="AU954" s="117"/>
      <c r="AV954" s="117"/>
      <c r="AW954" s="117"/>
      <c r="AX954" s="117"/>
      <c r="AY954" s="117"/>
      <c r="AZ954" s="117"/>
      <c r="BA954" s="117"/>
      <c r="BB954" s="117"/>
      <c r="BC954" s="117"/>
      <c r="BD954" s="117"/>
      <c r="BE954" s="117"/>
      <c r="BF954" s="117"/>
      <c r="BG954" s="117"/>
    </row>
    <row r="955" spans="1:59">
      <c r="A955" s="117"/>
      <c r="B955" s="117"/>
      <c r="C955" s="117"/>
      <c r="D955" s="117"/>
      <c r="E955" s="117"/>
      <c r="F955" s="117"/>
      <c r="G955" s="117"/>
      <c r="H955" s="117"/>
      <c r="I955" s="117"/>
      <c r="J955" s="118"/>
      <c r="K955" s="118"/>
      <c r="L955" s="118"/>
      <c r="M955" s="118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117"/>
      <c r="AD955" s="117"/>
      <c r="AE955" s="117"/>
      <c r="AF955" s="117"/>
      <c r="AG955" s="117"/>
      <c r="AH955" s="117"/>
      <c r="AI955" s="117"/>
      <c r="AJ955" s="117"/>
      <c r="AK955" s="117"/>
      <c r="AL955" s="117"/>
      <c r="AM955" s="117"/>
      <c r="AN955" s="117"/>
      <c r="AO955" s="117"/>
      <c r="AP955" s="117"/>
      <c r="AQ955" s="117"/>
      <c r="AR955" s="117"/>
      <c r="AS955" s="117"/>
      <c r="AT955" s="117"/>
      <c r="AU955" s="117"/>
      <c r="AV955" s="117"/>
      <c r="AW955" s="117"/>
      <c r="AX955" s="117"/>
      <c r="AY955" s="117"/>
      <c r="AZ955" s="117"/>
      <c r="BA955" s="117"/>
      <c r="BB955" s="117"/>
      <c r="BC955" s="117"/>
      <c r="BD955" s="117"/>
      <c r="BE955" s="117"/>
      <c r="BF955" s="117"/>
      <c r="BG955" s="117"/>
    </row>
    <row r="956" spans="1:59">
      <c r="A956" s="117"/>
      <c r="B956" s="117"/>
      <c r="C956" s="117"/>
      <c r="D956" s="117"/>
      <c r="E956" s="117"/>
      <c r="F956" s="117"/>
      <c r="G956" s="117"/>
      <c r="H956" s="117"/>
      <c r="I956" s="117"/>
      <c r="J956" s="118"/>
      <c r="K956" s="118"/>
      <c r="L956" s="118"/>
      <c r="M956" s="118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117"/>
      <c r="AD956" s="117"/>
      <c r="AE956" s="117"/>
      <c r="AF956" s="117"/>
      <c r="AG956" s="117"/>
      <c r="AH956" s="117"/>
      <c r="AI956" s="117"/>
      <c r="AJ956" s="117"/>
      <c r="AK956" s="117"/>
      <c r="AL956" s="117"/>
      <c r="AM956" s="117"/>
      <c r="AN956" s="117"/>
      <c r="AO956" s="117"/>
      <c r="AP956" s="117"/>
      <c r="AQ956" s="117"/>
      <c r="AR956" s="117"/>
      <c r="AS956" s="117"/>
      <c r="AT956" s="117"/>
      <c r="AU956" s="117"/>
      <c r="AV956" s="117"/>
      <c r="AW956" s="117"/>
      <c r="AX956" s="117"/>
      <c r="AY956" s="117"/>
      <c r="AZ956" s="117"/>
      <c r="BA956" s="117"/>
      <c r="BB956" s="117"/>
      <c r="BC956" s="117"/>
      <c r="BD956" s="117"/>
      <c r="BE956" s="117"/>
      <c r="BF956" s="117"/>
      <c r="BG956" s="117"/>
    </row>
    <row r="957" spans="1:59">
      <c r="A957" s="117"/>
      <c r="B957" s="117"/>
      <c r="C957" s="117"/>
      <c r="D957" s="117"/>
      <c r="E957" s="117"/>
      <c r="F957" s="117"/>
      <c r="G957" s="117"/>
      <c r="H957" s="117"/>
      <c r="I957" s="117"/>
      <c r="J957" s="118"/>
      <c r="K957" s="118"/>
      <c r="L957" s="118"/>
      <c r="M957" s="118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117"/>
      <c r="AD957" s="117"/>
      <c r="AE957" s="117"/>
      <c r="AF957" s="117"/>
      <c r="AG957" s="117"/>
      <c r="AH957" s="117"/>
      <c r="AI957" s="117"/>
      <c r="AJ957" s="117"/>
      <c r="AK957" s="117"/>
      <c r="AL957" s="117"/>
      <c r="AM957" s="117"/>
      <c r="AN957" s="117"/>
      <c r="AO957" s="117"/>
      <c r="AP957" s="117"/>
      <c r="AQ957" s="117"/>
      <c r="AR957" s="117"/>
      <c r="AS957" s="117"/>
      <c r="AT957" s="117"/>
      <c r="AU957" s="117"/>
      <c r="AV957" s="117"/>
      <c r="AW957" s="117"/>
      <c r="AX957" s="117"/>
      <c r="AY957" s="117"/>
      <c r="AZ957" s="117"/>
      <c r="BA957" s="117"/>
      <c r="BB957" s="117"/>
      <c r="BC957" s="117"/>
      <c r="BD957" s="117"/>
      <c r="BE957" s="117"/>
      <c r="BF957" s="117"/>
      <c r="BG957" s="117"/>
    </row>
    <row r="958" spans="1:59">
      <c r="A958" s="117"/>
      <c r="B958" s="117"/>
      <c r="C958" s="117"/>
      <c r="D958" s="117"/>
      <c r="E958" s="117"/>
      <c r="F958" s="117"/>
      <c r="G958" s="117"/>
      <c r="H958" s="117"/>
      <c r="I958" s="117"/>
      <c r="J958" s="118"/>
      <c r="K958" s="118"/>
      <c r="L958" s="118"/>
      <c r="M958" s="118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117"/>
      <c r="AD958" s="117"/>
      <c r="AE958" s="117"/>
      <c r="AF958" s="117"/>
      <c r="AG958" s="117"/>
      <c r="AH958" s="117"/>
      <c r="AI958" s="117"/>
      <c r="AJ958" s="117"/>
      <c r="AK958" s="117"/>
      <c r="AL958" s="117"/>
      <c r="AM958" s="117"/>
      <c r="AN958" s="117"/>
      <c r="AO958" s="117"/>
      <c r="AP958" s="117"/>
      <c r="AQ958" s="117"/>
      <c r="AR958" s="117"/>
      <c r="AS958" s="117"/>
      <c r="AT958" s="117"/>
      <c r="AU958" s="117"/>
      <c r="AV958" s="117"/>
      <c r="AW958" s="117"/>
      <c r="AX958" s="117"/>
      <c r="AY958" s="117"/>
      <c r="AZ958" s="117"/>
      <c r="BA958" s="117"/>
      <c r="BB958" s="117"/>
      <c r="BC958" s="117"/>
      <c r="BD958" s="117"/>
      <c r="BE958" s="117"/>
      <c r="BF958" s="117"/>
      <c r="BG958" s="117"/>
    </row>
    <row r="959" spans="1:59">
      <c r="A959" s="117"/>
      <c r="B959" s="117"/>
      <c r="C959" s="117"/>
      <c r="D959" s="117"/>
      <c r="E959" s="117"/>
      <c r="F959" s="117"/>
      <c r="G959" s="117"/>
      <c r="H959" s="117"/>
      <c r="I959" s="117"/>
      <c r="J959" s="118"/>
      <c r="K959" s="118"/>
      <c r="L959" s="118"/>
      <c r="M959" s="118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117"/>
      <c r="AD959" s="117"/>
      <c r="AE959" s="117"/>
      <c r="AF959" s="117"/>
      <c r="AG959" s="117"/>
      <c r="AH959" s="117"/>
      <c r="AI959" s="117"/>
      <c r="AJ959" s="117"/>
      <c r="AK959" s="117"/>
      <c r="AL959" s="117"/>
      <c r="AM959" s="117"/>
      <c r="AN959" s="117"/>
      <c r="AO959" s="117"/>
      <c r="AP959" s="117"/>
      <c r="AQ959" s="117"/>
      <c r="AR959" s="117"/>
      <c r="AS959" s="117"/>
      <c r="AT959" s="117"/>
      <c r="AU959" s="117"/>
      <c r="AV959" s="117"/>
      <c r="AW959" s="117"/>
      <c r="AX959" s="117"/>
      <c r="AY959" s="117"/>
      <c r="AZ959" s="117"/>
      <c r="BA959" s="117"/>
      <c r="BB959" s="117"/>
      <c r="BC959" s="117"/>
      <c r="BD959" s="117"/>
      <c r="BE959" s="117"/>
      <c r="BF959" s="117"/>
      <c r="BG959" s="117"/>
    </row>
    <row r="960" spans="1:59">
      <c r="A960" s="117"/>
      <c r="B960" s="117"/>
      <c r="C960" s="117"/>
      <c r="D960" s="117"/>
      <c r="E960" s="117"/>
      <c r="F960" s="117"/>
      <c r="G960" s="117"/>
      <c r="H960" s="117"/>
      <c r="I960" s="117"/>
      <c r="J960" s="118"/>
      <c r="K960" s="118"/>
      <c r="L960" s="118"/>
      <c r="M960" s="118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117"/>
      <c r="AD960" s="117"/>
      <c r="AE960" s="117"/>
      <c r="AF960" s="117"/>
      <c r="AG960" s="117"/>
      <c r="AH960" s="117"/>
      <c r="AI960" s="117"/>
      <c r="AJ960" s="117"/>
      <c r="AK960" s="117"/>
      <c r="AL960" s="117"/>
      <c r="AM960" s="117"/>
      <c r="AN960" s="117"/>
      <c r="AO960" s="117"/>
      <c r="AP960" s="117"/>
      <c r="AQ960" s="117"/>
      <c r="AR960" s="117"/>
      <c r="AS960" s="117"/>
      <c r="AT960" s="117"/>
      <c r="AU960" s="117"/>
      <c r="AV960" s="117"/>
      <c r="AW960" s="117"/>
      <c r="AX960" s="117"/>
      <c r="AY960" s="117"/>
      <c r="AZ960" s="117"/>
      <c r="BA960" s="117"/>
      <c r="BB960" s="117"/>
      <c r="BC960" s="117"/>
      <c r="BD960" s="117"/>
      <c r="BE960" s="117"/>
      <c r="BF960" s="117"/>
      <c r="BG960" s="117"/>
    </row>
    <row r="961" spans="1:59">
      <c r="A961" s="117"/>
      <c r="B961" s="117"/>
      <c r="C961" s="117"/>
      <c r="D961" s="117"/>
      <c r="E961" s="117"/>
      <c r="F961" s="117"/>
      <c r="G961" s="117"/>
      <c r="H961" s="117"/>
      <c r="I961" s="117"/>
      <c r="J961" s="118"/>
      <c r="K961" s="118"/>
      <c r="L961" s="118"/>
      <c r="M961" s="118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117"/>
      <c r="AD961" s="117"/>
      <c r="AE961" s="117"/>
      <c r="AF961" s="117"/>
      <c r="AG961" s="117"/>
      <c r="AH961" s="117"/>
      <c r="AI961" s="117"/>
      <c r="AJ961" s="117"/>
      <c r="AK961" s="117"/>
      <c r="AL961" s="117"/>
      <c r="AM961" s="117"/>
      <c r="AN961" s="117"/>
      <c r="AO961" s="117"/>
      <c r="AP961" s="117"/>
      <c r="AQ961" s="117"/>
      <c r="AR961" s="117"/>
      <c r="AS961" s="117"/>
      <c r="AT961" s="117"/>
      <c r="AU961" s="117"/>
      <c r="AV961" s="117"/>
      <c r="AW961" s="117"/>
      <c r="AX961" s="117"/>
      <c r="AY961" s="117"/>
      <c r="AZ961" s="117"/>
      <c r="BA961" s="117"/>
      <c r="BB961" s="117"/>
      <c r="BC961" s="117"/>
      <c r="BD961" s="117"/>
      <c r="BE961" s="117"/>
      <c r="BF961" s="117"/>
      <c r="BG961" s="117"/>
    </row>
    <row r="962" spans="1:59">
      <c r="A962" s="117"/>
      <c r="B962" s="117"/>
      <c r="C962" s="117"/>
      <c r="D962" s="117"/>
      <c r="E962" s="117"/>
      <c r="F962" s="117"/>
      <c r="G962" s="117"/>
      <c r="H962" s="117"/>
      <c r="I962" s="117"/>
      <c r="J962" s="118"/>
      <c r="K962" s="118"/>
      <c r="L962" s="118"/>
      <c r="M962" s="118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117"/>
      <c r="AD962" s="117"/>
      <c r="AE962" s="117"/>
      <c r="AF962" s="117"/>
      <c r="AG962" s="117"/>
      <c r="AH962" s="117"/>
      <c r="AI962" s="117"/>
      <c r="AJ962" s="117"/>
      <c r="AK962" s="117"/>
      <c r="AL962" s="117"/>
      <c r="AM962" s="117"/>
      <c r="AN962" s="117"/>
      <c r="AO962" s="117"/>
      <c r="AP962" s="117"/>
      <c r="AQ962" s="117"/>
      <c r="AR962" s="117"/>
      <c r="AS962" s="117"/>
      <c r="AT962" s="117"/>
      <c r="AU962" s="117"/>
      <c r="AV962" s="117"/>
      <c r="AW962" s="117"/>
      <c r="AX962" s="117"/>
      <c r="AY962" s="117"/>
      <c r="AZ962" s="117"/>
      <c r="BA962" s="117"/>
      <c r="BB962" s="117"/>
      <c r="BC962" s="117"/>
      <c r="BD962" s="117"/>
      <c r="BE962" s="117"/>
      <c r="BF962" s="117"/>
      <c r="BG962" s="117"/>
    </row>
    <row r="963" spans="1:59">
      <c r="A963" s="117"/>
      <c r="B963" s="117"/>
      <c r="C963" s="117"/>
      <c r="D963" s="117"/>
      <c r="E963" s="117"/>
      <c r="F963" s="117"/>
      <c r="G963" s="117"/>
      <c r="H963" s="117"/>
      <c r="I963" s="117"/>
      <c r="J963" s="118"/>
      <c r="K963" s="118"/>
      <c r="L963" s="118"/>
      <c r="M963" s="118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117"/>
      <c r="AD963" s="117"/>
      <c r="AE963" s="117"/>
      <c r="AF963" s="117"/>
      <c r="AG963" s="117"/>
      <c r="AH963" s="117"/>
      <c r="AI963" s="117"/>
      <c r="AJ963" s="117"/>
      <c r="AK963" s="117"/>
      <c r="AL963" s="117"/>
      <c r="AM963" s="117"/>
      <c r="AN963" s="117"/>
      <c r="AO963" s="117"/>
      <c r="AP963" s="117"/>
      <c r="AQ963" s="117"/>
      <c r="AR963" s="117"/>
      <c r="AS963" s="117"/>
      <c r="AT963" s="117"/>
      <c r="AU963" s="117"/>
      <c r="AV963" s="117"/>
      <c r="AW963" s="117"/>
      <c r="AX963" s="117"/>
      <c r="AY963" s="117"/>
      <c r="AZ963" s="117"/>
      <c r="BA963" s="117"/>
      <c r="BB963" s="117"/>
      <c r="BC963" s="117"/>
      <c r="BD963" s="117"/>
      <c r="BE963" s="117"/>
      <c r="BF963" s="117"/>
      <c r="BG963" s="117"/>
    </row>
    <row r="964" spans="1:59">
      <c r="A964" s="117"/>
      <c r="B964" s="117"/>
      <c r="C964" s="117"/>
      <c r="D964" s="117"/>
      <c r="E964" s="117"/>
      <c r="F964" s="117"/>
      <c r="G964" s="117"/>
      <c r="H964" s="117"/>
      <c r="I964" s="117"/>
      <c r="J964" s="118"/>
      <c r="K964" s="118"/>
      <c r="L964" s="118"/>
      <c r="M964" s="118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117"/>
      <c r="AD964" s="117"/>
      <c r="AE964" s="117"/>
      <c r="AF964" s="117"/>
      <c r="AG964" s="117"/>
      <c r="AH964" s="117"/>
      <c r="AI964" s="117"/>
      <c r="AJ964" s="117"/>
      <c r="AK964" s="117"/>
      <c r="AL964" s="117"/>
      <c r="AM964" s="117"/>
      <c r="AN964" s="117"/>
      <c r="AO964" s="117"/>
      <c r="AP964" s="117"/>
      <c r="AQ964" s="117"/>
      <c r="AR964" s="117"/>
      <c r="AS964" s="117"/>
      <c r="AT964" s="117"/>
      <c r="AU964" s="117"/>
      <c r="AV964" s="117"/>
      <c r="AW964" s="117"/>
      <c r="AX964" s="117"/>
      <c r="AY964" s="117"/>
      <c r="AZ964" s="117"/>
      <c r="BA964" s="117"/>
      <c r="BB964" s="117"/>
      <c r="BC964" s="117"/>
      <c r="BD964" s="117"/>
      <c r="BE964" s="117"/>
      <c r="BF964" s="117"/>
      <c r="BG964" s="117"/>
    </row>
    <row r="965" spans="1:59">
      <c r="A965" s="117"/>
      <c r="B965" s="117"/>
      <c r="C965" s="117"/>
      <c r="D965" s="117"/>
      <c r="E965" s="117"/>
      <c r="F965" s="117"/>
      <c r="G965" s="117"/>
      <c r="H965" s="117"/>
      <c r="I965" s="117"/>
      <c r="J965" s="118"/>
      <c r="K965" s="118"/>
      <c r="L965" s="118"/>
      <c r="M965" s="118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117"/>
      <c r="AD965" s="117"/>
      <c r="AE965" s="117"/>
      <c r="AF965" s="117"/>
      <c r="AG965" s="117"/>
      <c r="AH965" s="117"/>
      <c r="AI965" s="117"/>
      <c r="AJ965" s="117"/>
      <c r="AK965" s="117"/>
      <c r="AL965" s="117"/>
      <c r="AM965" s="117"/>
      <c r="AN965" s="117"/>
      <c r="AO965" s="117"/>
      <c r="AP965" s="117"/>
      <c r="AQ965" s="117"/>
      <c r="AR965" s="117"/>
      <c r="AS965" s="117"/>
      <c r="AT965" s="117"/>
      <c r="AU965" s="117"/>
      <c r="AV965" s="117"/>
      <c r="AW965" s="117"/>
      <c r="AX965" s="117"/>
      <c r="AY965" s="117"/>
      <c r="AZ965" s="117"/>
      <c r="BA965" s="117"/>
      <c r="BB965" s="117"/>
      <c r="BC965" s="117"/>
      <c r="BD965" s="117"/>
      <c r="BE965" s="117"/>
      <c r="BF965" s="117"/>
      <c r="BG965" s="117"/>
    </row>
    <row r="966" spans="1:59">
      <c r="A966" s="117"/>
      <c r="B966" s="117"/>
      <c r="C966" s="117"/>
      <c r="D966" s="117"/>
      <c r="E966" s="117"/>
      <c r="F966" s="117"/>
      <c r="G966" s="117"/>
      <c r="H966" s="117"/>
      <c r="I966" s="117"/>
      <c r="J966" s="118"/>
      <c r="K966" s="118"/>
      <c r="L966" s="118"/>
      <c r="M966" s="118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117"/>
      <c r="AD966" s="117"/>
      <c r="AE966" s="117"/>
      <c r="AF966" s="117"/>
      <c r="AG966" s="117"/>
      <c r="AH966" s="117"/>
      <c r="AI966" s="117"/>
      <c r="AJ966" s="117"/>
      <c r="AK966" s="117"/>
      <c r="AL966" s="117"/>
      <c r="AM966" s="117"/>
      <c r="AN966" s="117"/>
      <c r="AO966" s="117"/>
      <c r="AP966" s="117"/>
      <c r="AQ966" s="117"/>
      <c r="AR966" s="117"/>
      <c r="AS966" s="117"/>
      <c r="AT966" s="117"/>
      <c r="AU966" s="117"/>
      <c r="AV966" s="117"/>
      <c r="AW966" s="117"/>
      <c r="AX966" s="117"/>
      <c r="AY966" s="117"/>
      <c r="AZ966" s="117"/>
      <c r="BA966" s="117"/>
      <c r="BB966" s="117"/>
      <c r="BC966" s="117"/>
      <c r="BD966" s="117"/>
      <c r="BE966" s="117"/>
      <c r="BF966" s="117"/>
      <c r="BG966" s="117"/>
    </row>
    <row r="967" spans="1:59">
      <c r="A967" s="117"/>
      <c r="B967" s="117"/>
      <c r="C967" s="117"/>
      <c r="D967" s="117"/>
      <c r="E967" s="117"/>
      <c r="F967" s="117"/>
      <c r="G967" s="117"/>
      <c r="H967" s="117"/>
      <c r="I967" s="117"/>
      <c r="J967" s="118"/>
      <c r="K967" s="118"/>
      <c r="L967" s="118"/>
      <c r="M967" s="118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117"/>
      <c r="AD967" s="117"/>
      <c r="AE967" s="117"/>
      <c r="AF967" s="117"/>
      <c r="AG967" s="117"/>
      <c r="AH967" s="117"/>
      <c r="AI967" s="117"/>
      <c r="AJ967" s="117"/>
      <c r="AK967" s="117"/>
      <c r="AL967" s="117"/>
      <c r="AM967" s="117"/>
      <c r="AN967" s="117"/>
      <c r="AO967" s="117"/>
      <c r="AP967" s="117"/>
      <c r="AQ967" s="117"/>
      <c r="AR967" s="117"/>
      <c r="AS967" s="117"/>
      <c r="AT967" s="117"/>
      <c r="AU967" s="117"/>
      <c r="AV967" s="117"/>
      <c r="AW967" s="117"/>
      <c r="AX967" s="117"/>
      <c r="AY967" s="117"/>
      <c r="AZ967" s="117"/>
      <c r="BA967" s="117"/>
      <c r="BB967" s="117"/>
      <c r="BC967" s="117"/>
      <c r="BD967" s="117"/>
      <c r="BE967" s="117"/>
      <c r="BF967" s="117"/>
      <c r="BG967" s="117"/>
    </row>
    <row r="968" spans="1:59">
      <c r="A968" s="117"/>
      <c r="B968" s="117"/>
      <c r="C968" s="117"/>
      <c r="D968" s="117"/>
      <c r="E968" s="117"/>
      <c r="F968" s="117"/>
      <c r="G968" s="117"/>
      <c r="H968" s="117"/>
      <c r="I968" s="117"/>
      <c r="J968" s="118"/>
      <c r="K968" s="118"/>
      <c r="L968" s="118"/>
      <c r="M968" s="118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117"/>
      <c r="AD968" s="117"/>
      <c r="AE968" s="117"/>
      <c r="AF968" s="117"/>
      <c r="AG968" s="117"/>
      <c r="AH968" s="117"/>
      <c r="AI968" s="117"/>
      <c r="AJ968" s="117"/>
      <c r="AK968" s="117"/>
      <c r="AL968" s="117"/>
      <c r="AM968" s="117"/>
      <c r="AN968" s="117"/>
      <c r="AO968" s="117"/>
      <c r="AP968" s="117"/>
      <c r="AQ968" s="117"/>
      <c r="AR968" s="117"/>
      <c r="AS968" s="117"/>
      <c r="AT968" s="117"/>
      <c r="AU968" s="117"/>
      <c r="AV968" s="117"/>
      <c r="AW968" s="117"/>
      <c r="AX968" s="117"/>
      <c r="AY968" s="117"/>
      <c r="AZ968" s="117"/>
      <c r="BA968" s="117"/>
      <c r="BB968" s="117"/>
      <c r="BC968" s="117"/>
      <c r="BD968" s="117"/>
      <c r="BE968" s="117"/>
      <c r="BF968" s="117"/>
      <c r="BG968" s="117"/>
    </row>
    <row r="969" spans="1:59">
      <c r="A969" s="117"/>
      <c r="B969" s="117"/>
      <c r="C969" s="117"/>
      <c r="D969" s="117"/>
      <c r="E969" s="117"/>
      <c r="F969" s="117"/>
      <c r="G969" s="117"/>
      <c r="H969" s="117"/>
      <c r="I969" s="117"/>
      <c r="J969" s="118"/>
      <c r="K969" s="118"/>
      <c r="L969" s="118"/>
      <c r="M969" s="118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117"/>
      <c r="AD969" s="117"/>
      <c r="AE969" s="117"/>
      <c r="AF969" s="117"/>
      <c r="AG969" s="117"/>
      <c r="AH969" s="117"/>
      <c r="AI969" s="117"/>
      <c r="AJ969" s="117"/>
      <c r="AK969" s="117"/>
      <c r="AL969" s="117"/>
      <c r="AM969" s="117"/>
      <c r="AN969" s="117"/>
      <c r="AO969" s="117"/>
      <c r="AP969" s="117"/>
      <c r="AQ969" s="117"/>
      <c r="AR969" s="117"/>
      <c r="AS969" s="117"/>
      <c r="AT969" s="117"/>
      <c r="AU969" s="117"/>
      <c r="AV969" s="117"/>
      <c r="AW969" s="117"/>
      <c r="AX969" s="117"/>
      <c r="AY969" s="117"/>
      <c r="AZ969" s="117"/>
      <c r="BA969" s="117"/>
      <c r="BB969" s="117"/>
      <c r="BC969" s="117"/>
      <c r="BD969" s="117"/>
      <c r="BE969" s="117"/>
      <c r="BF969" s="117"/>
      <c r="BG969" s="117"/>
    </row>
    <row r="970" spans="1:59">
      <c r="A970" s="117"/>
      <c r="B970" s="117"/>
      <c r="C970" s="117"/>
      <c r="D970" s="117"/>
      <c r="E970" s="117"/>
      <c r="F970" s="117"/>
      <c r="G970" s="117"/>
      <c r="H970" s="117"/>
      <c r="I970" s="117"/>
      <c r="J970" s="118"/>
      <c r="K970" s="118"/>
      <c r="L970" s="118"/>
      <c r="M970" s="118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117"/>
      <c r="AD970" s="117"/>
      <c r="AE970" s="117"/>
      <c r="AF970" s="117"/>
      <c r="AG970" s="117"/>
      <c r="AH970" s="117"/>
      <c r="AI970" s="117"/>
      <c r="AJ970" s="117"/>
      <c r="AK970" s="117"/>
      <c r="AL970" s="117"/>
      <c r="AM970" s="117"/>
      <c r="AN970" s="117"/>
      <c r="AO970" s="117"/>
      <c r="AP970" s="117"/>
      <c r="AQ970" s="117"/>
      <c r="AR970" s="117"/>
      <c r="AS970" s="117"/>
      <c r="AT970" s="117"/>
      <c r="AU970" s="117"/>
      <c r="AV970" s="117"/>
      <c r="AW970" s="117"/>
      <c r="AX970" s="117"/>
      <c r="AY970" s="117"/>
      <c r="AZ970" s="117"/>
      <c r="BA970" s="117"/>
      <c r="BB970" s="117"/>
      <c r="BC970" s="117"/>
      <c r="BD970" s="117"/>
      <c r="BE970" s="117"/>
      <c r="BF970" s="117"/>
      <c r="BG970" s="117"/>
    </row>
    <row r="971" spans="1:59">
      <c r="A971" s="117"/>
      <c r="B971" s="117"/>
      <c r="C971" s="117"/>
      <c r="D971" s="117"/>
      <c r="E971" s="117"/>
      <c r="F971" s="117"/>
      <c r="G971" s="117"/>
      <c r="H971" s="117"/>
      <c r="I971" s="117"/>
      <c r="J971" s="118"/>
      <c r="K971" s="118"/>
      <c r="L971" s="118"/>
      <c r="M971" s="118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117"/>
      <c r="AD971" s="117"/>
      <c r="AE971" s="117"/>
      <c r="AF971" s="117"/>
      <c r="AG971" s="117"/>
      <c r="AH971" s="117"/>
      <c r="AI971" s="117"/>
      <c r="AJ971" s="117"/>
      <c r="AK971" s="117"/>
      <c r="AL971" s="117"/>
      <c r="AM971" s="117"/>
      <c r="AN971" s="117"/>
      <c r="AO971" s="117"/>
      <c r="AP971" s="117"/>
      <c r="AQ971" s="117"/>
      <c r="AR971" s="117"/>
      <c r="AS971" s="117"/>
      <c r="AT971" s="117"/>
      <c r="AU971" s="117"/>
      <c r="AV971" s="117"/>
      <c r="AW971" s="117"/>
      <c r="AX971" s="117"/>
      <c r="AY971" s="117"/>
      <c r="AZ971" s="117"/>
      <c r="BA971" s="117"/>
      <c r="BB971" s="117"/>
      <c r="BC971" s="117"/>
      <c r="BD971" s="117"/>
      <c r="BE971" s="117"/>
      <c r="BF971" s="117"/>
      <c r="BG971" s="117"/>
    </row>
    <row r="972" spans="1:59">
      <c r="A972" s="117"/>
      <c r="B972" s="117"/>
      <c r="C972" s="117"/>
      <c r="D972" s="117"/>
      <c r="E972" s="117"/>
      <c r="F972" s="117"/>
      <c r="G972" s="117"/>
      <c r="H972" s="117"/>
      <c r="I972" s="117"/>
      <c r="J972" s="118"/>
      <c r="K972" s="118"/>
      <c r="L972" s="118"/>
      <c r="M972" s="118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117"/>
      <c r="AD972" s="117"/>
      <c r="AE972" s="117"/>
      <c r="AF972" s="117"/>
      <c r="AG972" s="117"/>
      <c r="AH972" s="117"/>
      <c r="AI972" s="117"/>
      <c r="AJ972" s="117"/>
      <c r="AK972" s="117"/>
      <c r="AL972" s="117"/>
      <c r="AM972" s="117"/>
      <c r="AN972" s="117"/>
      <c r="AO972" s="117"/>
      <c r="AP972" s="117"/>
      <c r="AQ972" s="117"/>
      <c r="AR972" s="117"/>
      <c r="AS972" s="117"/>
      <c r="AT972" s="117"/>
      <c r="AU972" s="117"/>
      <c r="AV972" s="117"/>
      <c r="AW972" s="117"/>
      <c r="AX972" s="117"/>
      <c r="AY972" s="117"/>
      <c r="AZ972" s="117"/>
      <c r="BA972" s="117"/>
      <c r="BB972" s="117"/>
      <c r="BC972" s="117"/>
      <c r="BD972" s="117"/>
      <c r="BE972" s="117"/>
      <c r="BF972" s="117"/>
      <c r="BG972" s="117"/>
    </row>
    <row r="973" spans="1:59">
      <c r="A973" s="117"/>
      <c r="B973" s="117"/>
      <c r="C973" s="117"/>
      <c r="D973" s="117"/>
      <c r="E973" s="117"/>
      <c r="F973" s="117"/>
      <c r="G973" s="117"/>
      <c r="H973" s="117"/>
      <c r="I973" s="117"/>
      <c r="J973" s="118"/>
      <c r="K973" s="118"/>
      <c r="L973" s="118"/>
      <c r="M973" s="118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117"/>
      <c r="AD973" s="117"/>
      <c r="AE973" s="117"/>
      <c r="AF973" s="117"/>
      <c r="AG973" s="117"/>
      <c r="AH973" s="117"/>
      <c r="AI973" s="117"/>
      <c r="AJ973" s="117"/>
      <c r="AK973" s="117"/>
      <c r="AL973" s="117"/>
      <c r="AM973" s="117"/>
      <c r="AN973" s="117"/>
      <c r="AO973" s="117"/>
      <c r="AP973" s="117"/>
      <c r="AQ973" s="117"/>
      <c r="AR973" s="117"/>
      <c r="AS973" s="117"/>
      <c r="AT973" s="117"/>
      <c r="AU973" s="117"/>
      <c r="AV973" s="117"/>
      <c r="AW973" s="117"/>
      <c r="AX973" s="117"/>
      <c r="AY973" s="117"/>
      <c r="AZ973" s="117"/>
      <c r="BA973" s="117"/>
      <c r="BB973" s="117"/>
      <c r="BC973" s="117"/>
      <c r="BD973" s="117"/>
      <c r="BE973" s="117"/>
      <c r="BF973" s="117"/>
      <c r="BG973" s="117"/>
    </row>
    <row r="974" spans="1:59">
      <c r="A974" s="117"/>
      <c r="B974" s="117"/>
      <c r="C974" s="117"/>
      <c r="D974" s="117"/>
      <c r="E974" s="117"/>
      <c r="F974" s="117"/>
      <c r="G974" s="117"/>
      <c r="H974" s="117"/>
      <c r="I974" s="117"/>
      <c r="J974" s="118"/>
      <c r="K974" s="118"/>
      <c r="L974" s="118"/>
      <c r="M974" s="118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117"/>
      <c r="AD974" s="117"/>
      <c r="AE974" s="117"/>
      <c r="AF974" s="117"/>
      <c r="AG974" s="117"/>
      <c r="AH974" s="117"/>
      <c r="AI974" s="117"/>
      <c r="AJ974" s="117"/>
      <c r="AK974" s="117"/>
      <c r="AL974" s="117"/>
      <c r="AM974" s="117"/>
      <c r="AN974" s="117"/>
      <c r="AO974" s="117"/>
      <c r="AP974" s="117"/>
      <c r="AQ974" s="117"/>
      <c r="AR974" s="117"/>
      <c r="AS974" s="117"/>
      <c r="AT974" s="117"/>
      <c r="AU974" s="117"/>
      <c r="AV974" s="117"/>
      <c r="AW974" s="117"/>
      <c r="AX974" s="117"/>
      <c r="AY974" s="117"/>
      <c r="AZ974" s="117"/>
      <c r="BA974" s="117"/>
      <c r="BB974" s="117"/>
      <c r="BC974" s="117"/>
      <c r="BD974" s="117"/>
      <c r="BE974" s="117"/>
      <c r="BF974" s="117"/>
      <c r="BG974" s="117"/>
    </row>
    <row r="975" spans="1:59">
      <c r="A975" s="117"/>
      <c r="B975" s="117"/>
      <c r="C975" s="117"/>
      <c r="D975" s="117"/>
      <c r="E975" s="117"/>
      <c r="F975" s="117"/>
      <c r="G975" s="117"/>
      <c r="H975" s="117"/>
      <c r="I975" s="117"/>
      <c r="J975" s="118"/>
      <c r="K975" s="118"/>
      <c r="L975" s="118"/>
      <c r="M975" s="118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117"/>
      <c r="AD975" s="117"/>
      <c r="AE975" s="117"/>
      <c r="AF975" s="117"/>
      <c r="AG975" s="117"/>
      <c r="AH975" s="117"/>
      <c r="AI975" s="117"/>
      <c r="AJ975" s="117"/>
      <c r="AK975" s="117"/>
      <c r="AL975" s="117"/>
      <c r="AM975" s="117"/>
      <c r="AN975" s="117"/>
      <c r="AO975" s="117"/>
      <c r="AP975" s="117"/>
      <c r="AQ975" s="117"/>
      <c r="AR975" s="117"/>
      <c r="AS975" s="117"/>
      <c r="AT975" s="117"/>
      <c r="AU975" s="117"/>
      <c r="AV975" s="117"/>
      <c r="AW975" s="117"/>
      <c r="AX975" s="117"/>
      <c r="AY975" s="117"/>
      <c r="AZ975" s="117"/>
      <c r="BA975" s="117"/>
      <c r="BB975" s="117"/>
      <c r="BC975" s="117"/>
      <c r="BD975" s="117"/>
      <c r="BE975" s="117"/>
      <c r="BF975" s="117"/>
      <c r="BG975" s="117"/>
    </row>
    <row r="976" spans="1:59">
      <c r="A976" s="117"/>
      <c r="B976" s="117"/>
      <c r="C976" s="117"/>
      <c r="D976" s="117"/>
      <c r="E976" s="117"/>
      <c r="F976" s="117"/>
      <c r="G976" s="117"/>
      <c r="H976" s="117"/>
      <c r="I976" s="117"/>
      <c r="J976" s="118"/>
      <c r="K976" s="118"/>
      <c r="L976" s="118"/>
      <c r="M976" s="118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117"/>
      <c r="AD976" s="117"/>
      <c r="AE976" s="117"/>
      <c r="AF976" s="117"/>
      <c r="AG976" s="117"/>
      <c r="AH976" s="117"/>
      <c r="AI976" s="117"/>
      <c r="AJ976" s="117"/>
      <c r="AK976" s="117"/>
      <c r="AL976" s="117"/>
      <c r="AM976" s="117"/>
      <c r="AN976" s="117"/>
      <c r="AO976" s="117"/>
      <c r="AP976" s="117"/>
      <c r="AQ976" s="117"/>
      <c r="AR976" s="117"/>
      <c r="AS976" s="117"/>
      <c r="AT976" s="117"/>
      <c r="AU976" s="117"/>
      <c r="AV976" s="117"/>
      <c r="AW976" s="117"/>
      <c r="AX976" s="117"/>
      <c r="AY976" s="117"/>
      <c r="AZ976" s="117"/>
      <c r="BA976" s="117"/>
      <c r="BB976" s="117"/>
      <c r="BC976" s="117"/>
      <c r="BD976" s="117"/>
      <c r="BE976" s="117"/>
      <c r="BF976" s="117"/>
      <c r="BG976" s="117"/>
    </row>
    <row r="977" spans="1:59">
      <c r="A977" s="117"/>
      <c r="B977" s="117"/>
      <c r="C977" s="117"/>
      <c r="D977" s="117"/>
      <c r="E977" s="117"/>
      <c r="F977" s="117"/>
      <c r="G977" s="117"/>
      <c r="H977" s="117"/>
      <c r="I977" s="117"/>
      <c r="J977" s="118"/>
      <c r="K977" s="118"/>
      <c r="L977" s="118"/>
      <c r="M977" s="118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117"/>
      <c r="AD977" s="117"/>
      <c r="AE977" s="117"/>
      <c r="AF977" s="117"/>
      <c r="AG977" s="117"/>
      <c r="AH977" s="117"/>
      <c r="AI977" s="117"/>
      <c r="AJ977" s="117"/>
      <c r="AK977" s="117"/>
      <c r="AL977" s="117"/>
      <c r="AM977" s="117"/>
      <c r="AN977" s="117"/>
      <c r="AO977" s="117"/>
      <c r="AP977" s="117"/>
      <c r="AQ977" s="117"/>
      <c r="AR977" s="117"/>
      <c r="AS977" s="117"/>
      <c r="AT977" s="117"/>
      <c r="AU977" s="117"/>
      <c r="AV977" s="117"/>
      <c r="AW977" s="117"/>
      <c r="AX977" s="117"/>
      <c r="AY977" s="117"/>
      <c r="AZ977" s="117"/>
      <c r="BA977" s="117"/>
      <c r="BB977" s="117"/>
      <c r="BC977" s="117"/>
      <c r="BD977" s="117"/>
      <c r="BE977" s="117"/>
      <c r="BF977" s="117"/>
      <c r="BG977" s="117"/>
    </row>
    <row r="978" spans="1:59">
      <c r="A978" s="117"/>
      <c r="B978" s="117"/>
      <c r="C978" s="117"/>
      <c r="D978" s="117"/>
      <c r="E978" s="117"/>
      <c r="F978" s="117"/>
      <c r="G978" s="117"/>
      <c r="H978" s="117"/>
      <c r="I978" s="117"/>
      <c r="J978" s="118"/>
      <c r="K978" s="118"/>
      <c r="L978" s="118"/>
      <c r="M978" s="118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117"/>
      <c r="AD978" s="117"/>
      <c r="AE978" s="117"/>
      <c r="AF978" s="117"/>
      <c r="AG978" s="117"/>
      <c r="AH978" s="117"/>
      <c r="AI978" s="117"/>
      <c r="AJ978" s="117"/>
      <c r="AK978" s="117"/>
      <c r="AL978" s="117"/>
      <c r="AM978" s="117"/>
      <c r="AN978" s="117"/>
      <c r="AO978" s="117"/>
      <c r="AP978" s="117"/>
      <c r="AQ978" s="117"/>
      <c r="AR978" s="117"/>
      <c r="AS978" s="117"/>
      <c r="AT978" s="117"/>
      <c r="AU978" s="117"/>
      <c r="AV978" s="117"/>
      <c r="AW978" s="117"/>
      <c r="AX978" s="117"/>
      <c r="AY978" s="117"/>
      <c r="AZ978" s="117"/>
      <c r="BA978" s="117"/>
      <c r="BB978" s="117"/>
      <c r="BC978" s="117"/>
      <c r="BD978" s="117"/>
      <c r="BE978" s="117"/>
      <c r="BF978" s="117"/>
      <c r="BG978" s="117"/>
    </row>
    <row r="979" spans="1:59">
      <c r="A979" s="117"/>
      <c r="B979" s="117"/>
      <c r="C979" s="117"/>
      <c r="D979" s="117"/>
      <c r="E979" s="117"/>
      <c r="F979" s="117"/>
      <c r="G979" s="117"/>
      <c r="H979" s="117"/>
      <c r="I979" s="117"/>
      <c r="J979" s="118"/>
      <c r="K979" s="118"/>
      <c r="L979" s="118"/>
      <c r="M979" s="118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117"/>
      <c r="AD979" s="117"/>
      <c r="AE979" s="117"/>
      <c r="AF979" s="117"/>
      <c r="AG979" s="117"/>
      <c r="AH979" s="117"/>
      <c r="AI979" s="117"/>
      <c r="AJ979" s="117"/>
      <c r="AK979" s="117"/>
      <c r="AL979" s="117"/>
      <c r="AM979" s="117"/>
      <c r="AN979" s="117"/>
      <c r="AO979" s="117"/>
      <c r="AP979" s="117"/>
      <c r="AQ979" s="117"/>
      <c r="AR979" s="117"/>
      <c r="AS979" s="117"/>
      <c r="AT979" s="117"/>
      <c r="AU979" s="117"/>
      <c r="AV979" s="117"/>
      <c r="AW979" s="117"/>
      <c r="AX979" s="117"/>
      <c r="AY979" s="117"/>
      <c r="AZ979" s="117"/>
      <c r="BA979" s="117"/>
      <c r="BB979" s="117"/>
      <c r="BC979" s="117"/>
      <c r="BD979" s="117"/>
      <c r="BE979" s="117"/>
      <c r="BF979" s="117"/>
      <c r="BG979" s="117"/>
    </row>
    <row r="980" spans="1:59">
      <c r="A980" s="117"/>
      <c r="B980" s="117"/>
      <c r="C980" s="117"/>
      <c r="D980" s="117"/>
      <c r="E980" s="117"/>
      <c r="F980" s="117"/>
      <c r="G980" s="117"/>
      <c r="H980" s="117"/>
      <c r="I980" s="117"/>
      <c r="J980" s="118"/>
      <c r="K980" s="118"/>
      <c r="L980" s="118"/>
      <c r="M980" s="118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117"/>
      <c r="AD980" s="117"/>
      <c r="AE980" s="117"/>
      <c r="AF980" s="117"/>
      <c r="AG980" s="117"/>
      <c r="AH980" s="117"/>
      <c r="AI980" s="117"/>
      <c r="AJ980" s="117"/>
      <c r="AK980" s="117"/>
      <c r="AL980" s="117"/>
      <c r="AM980" s="117"/>
      <c r="AN980" s="117"/>
      <c r="AO980" s="117"/>
      <c r="AP980" s="117"/>
      <c r="AQ980" s="117"/>
      <c r="AR980" s="117"/>
      <c r="AS980" s="117"/>
      <c r="AT980" s="117"/>
      <c r="AU980" s="117"/>
      <c r="AV980" s="117"/>
      <c r="AW980" s="117"/>
      <c r="AX980" s="117"/>
      <c r="AY980" s="117"/>
      <c r="AZ980" s="117"/>
      <c r="BA980" s="117"/>
      <c r="BB980" s="117"/>
      <c r="BC980" s="117"/>
      <c r="BD980" s="117"/>
      <c r="BE980" s="117"/>
      <c r="BF980" s="117"/>
      <c r="BG980" s="117"/>
    </row>
    <row r="981" spans="1:59">
      <c r="A981" s="117"/>
      <c r="B981" s="117"/>
      <c r="C981" s="117"/>
      <c r="D981" s="117"/>
      <c r="E981" s="117"/>
      <c r="F981" s="117"/>
      <c r="G981" s="117"/>
      <c r="H981" s="117"/>
      <c r="I981" s="117"/>
      <c r="J981" s="118"/>
      <c r="K981" s="118"/>
      <c r="L981" s="118"/>
      <c r="M981" s="118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117"/>
      <c r="AD981" s="117"/>
      <c r="AE981" s="117"/>
      <c r="AF981" s="117"/>
      <c r="AG981" s="117"/>
      <c r="AH981" s="117"/>
      <c r="AI981" s="117"/>
      <c r="AJ981" s="117"/>
      <c r="AK981" s="117"/>
      <c r="AL981" s="117"/>
      <c r="AM981" s="117"/>
      <c r="AN981" s="117"/>
      <c r="AO981" s="117"/>
      <c r="AP981" s="117"/>
      <c r="AQ981" s="117"/>
      <c r="AR981" s="117"/>
      <c r="AS981" s="117"/>
      <c r="AT981" s="117"/>
      <c r="AU981" s="117"/>
      <c r="AV981" s="117"/>
      <c r="AW981" s="117"/>
      <c r="AX981" s="117"/>
      <c r="AY981" s="117"/>
      <c r="AZ981" s="117"/>
      <c r="BA981" s="117"/>
      <c r="BB981" s="117"/>
      <c r="BC981" s="117"/>
      <c r="BD981" s="117"/>
      <c r="BE981" s="117"/>
      <c r="BF981" s="117"/>
      <c r="BG981" s="117"/>
    </row>
    <row r="982" spans="1:59">
      <c r="A982" s="117"/>
      <c r="B982" s="117"/>
      <c r="C982" s="117"/>
      <c r="D982" s="117"/>
      <c r="E982" s="117"/>
      <c r="F982" s="117"/>
      <c r="G982" s="117"/>
      <c r="H982" s="117"/>
      <c r="I982" s="117"/>
      <c r="J982" s="118"/>
      <c r="K982" s="118"/>
      <c r="L982" s="118"/>
      <c r="M982" s="118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117"/>
      <c r="AD982" s="117"/>
      <c r="AE982" s="117"/>
      <c r="AF982" s="117"/>
      <c r="AG982" s="117"/>
      <c r="AH982" s="117"/>
      <c r="AI982" s="117"/>
      <c r="AJ982" s="117"/>
      <c r="AK982" s="117"/>
      <c r="AL982" s="117"/>
      <c r="AM982" s="117"/>
      <c r="AN982" s="117"/>
      <c r="AO982" s="117"/>
      <c r="AP982" s="117"/>
      <c r="AQ982" s="117"/>
      <c r="AR982" s="117"/>
      <c r="AS982" s="117"/>
      <c r="AT982" s="117"/>
      <c r="AU982" s="117"/>
      <c r="AV982" s="117"/>
      <c r="AW982" s="117"/>
      <c r="AX982" s="117"/>
      <c r="AY982" s="117"/>
      <c r="AZ982" s="117"/>
      <c r="BA982" s="117"/>
      <c r="BB982" s="117"/>
      <c r="BC982" s="117"/>
      <c r="BD982" s="117"/>
      <c r="BE982" s="117"/>
      <c r="BF982" s="117"/>
      <c r="BG982" s="117"/>
    </row>
    <row r="983" spans="1:59">
      <c r="A983" s="117"/>
      <c r="B983" s="117"/>
      <c r="C983" s="117"/>
      <c r="D983" s="117"/>
      <c r="E983" s="117"/>
      <c r="F983" s="117"/>
      <c r="G983" s="117"/>
      <c r="H983" s="117"/>
      <c r="I983" s="117"/>
      <c r="J983" s="118"/>
      <c r="K983" s="118"/>
      <c r="L983" s="118"/>
      <c r="M983" s="118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117"/>
      <c r="AD983" s="117"/>
      <c r="AE983" s="117"/>
      <c r="AF983" s="117"/>
      <c r="AG983" s="117"/>
      <c r="AH983" s="117"/>
      <c r="AI983" s="117"/>
      <c r="AJ983" s="117"/>
      <c r="AK983" s="117"/>
      <c r="AL983" s="117"/>
      <c r="AM983" s="117"/>
      <c r="AN983" s="117"/>
      <c r="AO983" s="117"/>
      <c r="AP983" s="117"/>
      <c r="AQ983" s="117"/>
      <c r="AR983" s="117"/>
      <c r="AS983" s="117"/>
      <c r="AT983" s="117"/>
      <c r="AU983" s="117"/>
      <c r="AV983" s="117"/>
      <c r="AW983" s="117"/>
      <c r="AX983" s="117"/>
      <c r="AY983" s="117"/>
      <c r="AZ983" s="117"/>
      <c r="BA983" s="117"/>
      <c r="BB983" s="117"/>
      <c r="BC983" s="117"/>
      <c r="BD983" s="117"/>
      <c r="BE983" s="117"/>
      <c r="BF983" s="117"/>
      <c r="BG983" s="117"/>
    </row>
    <row r="984" spans="1:59">
      <c r="A984" s="117"/>
      <c r="B984" s="117"/>
      <c r="C984" s="117"/>
      <c r="D984" s="117"/>
      <c r="E984" s="117"/>
      <c r="F984" s="117"/>
      <c r="G984" s="117"/>
      <c r="H984" s="117"/>
      <c r="I984" s="117"/>
      <c r="J984" s="118"/>
      <c r="K984" s="118"/>
      <c r="L984" s="118"/>
      <c r="M984" s="118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117"/>
      <c r="AD984" s="117"/>
      <c r="AE984" s="117"/>
      <c r="AF984" s="117"/>
      <c r="AG984" s="117"/>
      <c r="AH984" s="117"/>
      <c r="AI984" s="117"/>
      <c r="AJ984" s="117"/>
      <c r="AK984" s="117"/>
      <c r="AL984" s="117"/>
      <c r="AM984" s="117"/>
      <c r="AN984" s="117"/>
      <c r="AO984" s="117"/>
      <c r="AP984" s="117"/>
      <c r="AQ984" s="117"/>
      <c r="AR984" s="117"/>
      <c r="AS984" s="117"/>
      <c r="AT984" s="117"/>
      <c r="AU984" s="117"/>
      <c r="AV984" s="117"/>
      <c r="AW984" s="117"/>
      <c r="AX984" s="117"/>
      <c r="AY984" s="117"/>
      <c r="AZ984" s="117"/>
      <c r="BA984" s="117"/>
      <c r="BB984" s="117"/>
      <c r="BC984" s="117"/>
      <c r="BD984" s="117"/>
      <c r="BE984" s="117"/>
      <c r="BF984" s="117"/>
      <c r="BG984" s="117"/>
    </row>
    <row r="985" spans="1:59">
      <c r="A985" s="117"/>
      <c r="B985" s="117"/>
      <c r="C985" s="117"/>
      <c r="D985" s="117"/>
      <c r="E985" s="117"/>
      <c r="F985" s="117"/>
      <c r="G985" s="117"/>
      <c r="H985" s="117"/>
      <c r="I985" s="117"/>
      <c r="J985" s="118"/>
      <c r="K985" s="118"/>
      <c r="L985" s="118"/>
      <c r="M985" s="118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117"/>
      <c r="AD985" s="117"/>
      <c r="AE985" s="117"/>
      <c r="AF985" s="117"/>
      <c r="AG985" s="117"/>
      <c r="AH985" s="117"/>
      <c r="AI985" s="117"/>
      <c r="AJ985" s="117"/>
      <c r="AK985" s="117"/>
      <c r="AL985" s="117"/>
      <c r="AM985" s="117"/>
      <c r="AN985" s="117"/>
      <c r="AO985" s="117"/>
      <c r="AP985" s="117"/>
      <c r="AQ985" s="117"/>
      <c r="AR985" s="117"/>
      <c r="AS985" s="117"/>
      <c r="AT985" s="117"/>
      <c r="AU985" s="117"/>
      <c r="AV985" s="117"/>
      <c r="AW985" s="117"/>
      <c r="AX985" s="117"/>
      <c r="AY985" s="117"/>
      <c r="AZ985" s="117"/>
      <c r="BA985" s="117"/>
      <c r="BB985" s="117"/>
      <c r="BC985" s="117"/>
      <c r="BD985" s="117"/>
      <c r="BE985" s="117"/>
      <c r="BF985" s="117"/>
      <c r="BG985" s="117"/>
    </row>
    <row r="986" spans="1:59">
      <c r="A986" s="117"/>
      <c r="B986" s="117"/>
      <c r="C986" s="117"/>
      <c r="D986" s="117"/>
      <c r="E986" s="117"/>
      <c r="F986" s="117"/>
      <c r="G986" s="117"/>
      <c r="H986" s="117"/>
      <c r="I986" s="117"/>
      <c r="J986" s="118"/>
      <c r="K986" s="118"/>
      <c r="L986" s="118"/>
      <c r="M986" s="118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117"/>
      <c r="AD986" s="117"/>
      <c r="AE986" s="117"/>
      <c r="AF986" s="117"/>
      <c r="AG986" s="117"/>
      <c r="AH986" s="117"/>
      <c r="AI986" s="117"/>
      <c r="AJ986" s="117"/>
      <c r="AK986" s="117"/>
      <c r="AL986" s="117"/>
      <c r="AM986" s="117"/>
      <c r="AN986" s="117"/>
      <c r="AO986" s="117"/>
      <c r="AP986" s="117"/>
      <c r="AQ986" s="117"/>
      <c r="AR986" s="117"/>
      <c r="AS986" s="117"/>
      <c r="AT986" s="117"/>
      <c r="AU986" s="117"/>
      <c r="AV986" s="117"/>
      <c r="AW986" s="117"/>
      <c r="AX986" s="117"/>
      <c r="AY986" s="117"/>
      <c r="AZ986" s="117"/>
      <c r="BA986" s="117"/>
      <c r="BB986" s="117"/>
      <c r="BC986" s="117"/>
      <c r="BD986" s="117"/>
      <c r="BE986" s="117"/>
      <c r="BF986" s="117"/>
      <c r="BG986" s="117"/>
    </row>
    <row r="987" spans="1:59">
      <c r="A987" s="117"/>
      <c r="B987" s="117"/>
      <c r="C987" s="117"/>
      <c r="D987" s="117"/>
      <c r="E987" s="117"/>
      <c r="F987" s="117"/>
      <c r="G987" s="117"/>
      <c r="H987" s="117"/>
      <c r="I987" s="117"/>
      <c r="J987" s="118"/>
      <c r="K987" s="118"/>
      <c r="L987" s="118"/>
      <c r="M987" s="118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117"/>
      <c r="AD987" s="117"/>
      <c r="AE987" s="117"/>
      <c r="AF987" s="117"/>
      <c r="AG987" s="117"/>
      <c r="AH987" s="117"/>
      <c r="AI987" s="117"/>
      <c r="AJ987" s="117"/>
      <c r="AK987" s="117"/>
      <c r="AL987" s="117"/>
      <c r="AM987" s="117"/>
      <c r="AN987" s="117"/>
      <c r="AO987" s="117"/>
      <c r="AP987" s="117"/>
      <c r="AQ987" s="117"/>
      <c r="AR987" s="117"/>
      <c r="AS987" s="117"/>
      <c r="AT987" s="117"/>
      <c r="AU987" s="117"/>
      <c r="AV987" s="117"/>
      <c r="AW987" s="117"/>
      <c r="AX987" s="117"/>
      <c r="AY987" s="117"/>
      <c r="AZ987" s="117"/>
      <c r="BA987" s="117"/>
      <c r="BB987" s="117"/>
      <c r="BC987" s="117"/>
      <c r="BD987" s="117"/>
      <c r="BE987" s="117"/>
      <c r="BF987" s="117"/>
      <c r="BG987" s="117"/>
    </row>
    <row r="988" spans="1:59">
      <c r="A988" s="117"/>
      <c r="B988" s="117"/>
      <c r="C988" s="117"/>
      <c r="D988" s="117"/>
      <c r="E988" s="117"/>
      <c r="F988" s="117"/>
      <c r="G988" s="117"/>
      <c r="H988" s="117"/>
      <c r="I988" s="117"/>
      <c r="J988" s="118"/>
      <c r="K988" s="118"/>
      <c r="L988" s="118"/>
      <c r="M988" s="118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117"/>
      <c r="AD988" s="117"/>
      <c r="AE988" s="117"/>
      <c r="AF988" s="117"/>
      <c r="AG988" s="117"/>
      <c r="AH988" s="117"/>
      <c r="AI988" s="117"/>
      <c r="AJ988" s="117"/>
      <c r="AK988" s="117"/>
      <c r="AL988" s="117"/>
      <c r="AM988" s="117"/>
      <c r="AN988" s="117"/>
      <c r="AO988" s="117"/>
      <c r="AP988" s="117"/>
      <c r="AQ988" s="117"/>
      <c r="AR988" s="117"/>
      <c r="AS988" s="117"/>
      <c r="AT988" s="117"/>
      <c r="AU988" s="117"/>
      <c r="AV988" s="117"/>
      <c r="AW988" s="117"/>
      <c r="AX988" s="117"/>
      <c r="AY988" s="117"/>
      <c r="AZ988" s="117"/>
      <c r="BA988" s="117"/>
      <c r="BB988" s="117"/>
      <c r="BC988" s="117"/>
      <c r="BD988" s="117"/>
      <c r="BE988" s="117"/>
      <c r="BF988" s="117"/>
      <c r="BG988" s="117"/>
    </row>
    <row r="989" spans="1:59">
      <c r="A989" s="117"/>
      <c r="B989" s="117"/>
      <c r="C989" s="117"/>
      <c r="D989" s="117"/>
      <c r="E989" s="117"/>
      <c r="F989" s="117"/>
      <c r="G989" s="117"/>
      <c r="H989" s="117"/>
      <c r="I989" s="117"/>
      <c r="J989" s="118"/>
      <c r="K989" s="118"/>
      <c r="L989" s="118"/>
      <c r="M989" s="118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117"/>
      <c r="AD989" s="117"/>
      <c r="AE989" s="117"/>
      <c r="AF989" s="117"/>
      <c r="AG989" s="117"/>
      <c r="AH989" s="117"/>
      <c r="AI989" s="117"/>
      <c r="AJ989" s="117"/>
      <c r="AK989" s="117"/>
      <c r="AL989" s="117"/>
      <c r="AM989" s="117"/>
      <c r="AN989" s="117"/>
      <c r="AO989" s="117"/>
      <c r="AP989" s="117"/>
      <c r="AQ989" s="117"/>
      <c r="AR989" s="117"/>
      <c r="AS989" s="117"/>
      <c r="AT989" s="117"/>
      <c r="AU989" s="117"/>
      <c r="AV989" s="117"/>
      <c r="AW989" s="117"/>
      <c r="AX989" s="117"/>
      <c r="AY989" s="117"/>
      <c r="AZ989" s="117"/>
      <c r="BA989" s="117"/>
      <c r="BB989" s="117"/>
      <c r="BC989" s="117"/>
      <c r="BD989" s="117"/>
      <c r="BE989" s="117"/>
      <c r="BF989" s="117"/>
      <c r="BG989" s="117"/>
    </row>
    <row r="990" spans="1:59">
      <c r="A990" s="117"/>
      <c r="B990" s="117"/>
      <c r="C990" s="117"/>
      <c r="D990" s="117"/>
      <c r="E990" s="117"/>
      <c r="F990" s="117"/>
      <c r="G990" s="117"/>
      <c r="H990" s="117"/>
      <c r="I990" s="117"/>
      <c r="J990" s="118"/>
      <c r="K990" s="118"/>
      <c r="L990" s="118"/>
      <c r="M990" s="118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117"/>
      <c r="AD990" s="117"/>
      <c r="AE990" s="117"/>
      <c r="AF990" s="117"/>
      <c r="AG990" s="117"/>
      <c r="AH990" s="117"/>
      <c r="AI990" s="117"/>
      <c r="AJ990" s="117"/>
      <c r="AK990" s="117"/>
      <c r="AL990" s="117"/>
      <c r="AM990" s="117"/>
      <c r="AN990" s="117"/>
      <c r="AO990" s="117"/>
      <c r="AP990" s="117"/>
      <c r="AQ990" s="117"/>
      <c r="AR990" s="117"/>
      <c r="AS990" s="117"/>
      <c r="AT990" s="117"/>
      <c r="AU990" s="117"/>
      <c r="AV990" s="117"/>
      <c r="AW990" s="117"/>
      <c r="AX990" s="117"/>
      <c r="AY990" s="117"/>
      <c r="AZ990" s="117"/>
      <c r="BA990" s="117"/>
      <c r="BB990" s="117"/>
      <c r="BC990" s="117"/>
      <c r="BD990" s="117"/>
      <c r="BE990" s="117"/>
      <c r="BF990" s="117"/>
      <c r="BG990" s="117"/>
    </row>
    <row r="991" spans="1:59">
      <c r="A991" s="117"/>
      <c r="B991" s="117"/>
      <c r="C991" s="117"/>
      <c r="D991" s="117"/>
      <c r="E991" s="117"/>
      <c r="F991" s="117"/>
      <c r="G991" s="117"/>
      <c r="H991" s="117"/>
      <c r="I991" s="117"/>
      <c r="J991" s="118"/>
      <c r="K991" s="118"/>
      <c r="L991" s="118"/>
      <c r="M991" s="118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117"/>
      <c r="AD991" s="117"/>
      <c r="AE991" s="117"/>
      <c r="AF991" s="117"/>
      <c r="AG991" s="117"/>
      <c r="AH991" s="117"/>
      <c r="AI991" s="117"/>
      <c r="AJ991" s="117"/>
      <c r="AK991" s="117"/>
      <c r="AL991" s="117"/>
      <c r="AM991" s="117"/>
      <c r="AN991" s="117"/>
      <c r="AO991" s="117"/>
      <c r="AP991" s="117"/>
      <c r="AQ991" s="117"/>
      <c r="AR991" s="117"/>
      <c r="AS991" s="117"/>
      <c r="AT991" s="117"/>
      <c r="AU991" s="117"/>
      <c r="AV991" s="117"/>
      <c r="AW991" s="117"/>
      <c r="AX991" s="117"/>
      <c r="AY991" s="117"/>
      <c r="AZ991" s="117"/>
      <c r="BA991" s="117"/>
      <c r="BB991" s="117"/>
      <c r="BC991" s="117"/>
      <c r="BD991" s="117"/>
      <c r="BE991" s="117"/>
      <c r="BF991" s="117"/>
      <c r="BG991" s="117"/>
    </row>
    <row r="992" spans="1:59">
      <c r="A992" s="117"/>
      <c r="B992" s="117"/>
      <c r="C992" s="117"/>
      <c r="D992" s="117"/>
      <c r="E992" s="117"/>
      <c r="F992" s="117"/>
      <c r="G992" s="117"/>
      <c r="H992" s="117"/>
      <c r="I992" s="117"/>
      <c r="J992" s="118"/>
      <c r="K992" s="118"/>
      <c r="L992" s="118"/>
      <c r="M992" s="118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117"/>
      <c r="AD992" s="117"/>
      <c r="AE992" s="117"/>
      <c r="AF992" s="117"/>
      <c r="AG992" s="117"/>
      <c r="AH992" s="117"/>
      <c r="AI992" s="117"/>
      <c r="AJ992" s="117"/>
      <c r="AK992" s="117"/>
      <c r="AL992" s="117"/>
      <c r="AM992" s="117"/>
      <c r="AN992" s="117"/>
      <c r="AO992" s="117"/>
      <c r="AP992" s="117"/>
      <c r="AQ992" s="117"/>
      <c r="AR992" s="117"/>
      <c r="AS992" s="117"/>
      <c r="AT992" s="117"/>
      <c r="AU992" s="117"/>
      <c r="AV992" s="117"/>
      <c r="AW992" s="117"/>
      <c r="AX992" s="117"/>
      <c r="AY992" s="117"/>
      <c r="AZ992" s="117"/>
      <c r="BA992" s="117"/>
      <c r="BB992" s="117"/>
      <c r="BC992" s="117"/>
      <c r="BD992" s="117"/>
      <c r="BE992" s="117"/>
      <c r="BF992" s="117"/>
      <c r="BG992" s="117"/>
    </row>
    <row r="993" spans="1:59">
      <c r="A993" s="117"/>
      <c r="B993" s="117"/>
      <c r="C993" s="117"/>
      <c r="D993" s="117"/>
      <c r="E993" s="117"/>
      <c r="F993" s="117"/>
      <c r="G993" s="117"/>
      <c r="H993" s="117"/>
      <c r="I993" s="117"/>
      <c r="J993" s="118"/>
      <c r="K993" s="118"/>
      <c r="L993" s="118"/>
      <c r="M993" s="118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117"/>
      <c r="AD993" s="117"/>
      <c r="AE993" s="117"/>
      <c r="AF993" s="117"/>
      <c r="AG993" s="117"/>
      <c r="AH993" s="117"/>
      <c r="AI993" s="117"/>
      <c r="AJ993" s="117"/>
      <c r="AK993" s="117"/>
      <c r="AL993" s="117"/>
      <c r="AM993" s="117"/>
      <c r="AN993" s="117"/>
      <c r="AO993" s="117"/>
      <c r="AP993" s="117"/>
      <c r="AQ993" s="117"/>
      <c r="AR993" s="117"/>
      <c r="AS993" s="117"/>
      <c r="AT993" s="117"/>
      <c r="AU993" s="117"/>
      <c r="AV993" s="117"/>
      <c r="AW993" s="117"/>
      <c r="AX993" s="117"/>
      <c r="AY993" s="117"/>
      <c r="AZ993" s="117"/>
      <c r="BA993" s="117"/>
      <c r="BB993" s="117"/>
      <c r="BC993" s="117"/>
      <c r="BD993" s="117"/>
      <c r="BE993" s="117"/>
      <c r="BF993" s="117"/>
      <c r="BG993" s="117"/>
    </row>
    <row r="994" spans="1:59">
      <c r="A994" s="117"/>
      <c r="B994" s="117"/>
      <c r="C994" s="117"/>
      <c r="D994" s="117"/>
      <c r="E994" s="117"/>
      <c r="F994" s="117"/>
      <c r="G994" s="117"/>
      <c r="H994" s="117"/>
      <c r="I994" s="117"/>
      <c r="J994" s="118"/>
      <c r="K994" s="118"/>
      <c r="L994" s="118"/>
      <c r="M994" s="118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117"/>
      <c r="AD994" s="117"/>
      <c r="AE994" s="117"/>
      <c r="AF994" s="117"/>
      <c r="AG994" s="117"/>
      <c r="AH994" s="117"/>
      <c r="AI994" s="117"/>
      <c r="AJ994" s="117"/>
      <c r="AK994" s="117"/>
      <c r="AL994" s="117"/>
      <c r="AM994" s="117"/>
      <c r="AN994" s="117"/>
      <c r="AO994" s="117"/>
      <c r="AP994" s="117"/>
      <c r="AQ994" s="117"/>
      <c r="AR994" s="117"/>
      <c r="AS994" s="117"/>
      <c r="AT994" s="117"/>
      <c r="AU994" s="117"/>
      <c r="AV994" s="117"/>
      <c r="AW994" s="117"/>
      <c r="AX994" s="117"/>
      <c r="AY994" s="117"/>
      <c r="AZ994" s="117"/>
      <c r="BA994" s="117"/>
      <c r="BB994" s="117"/>
      <c r="BC994" s="117"/>
      <c r="BD994" s="117"/>
      <c r="BE994" s="117"/>
      <c r="BF994" s="117"/>
      <c r="BG994" s="117"/>
    </row>
    <row r="995" spans="1:59">
      <c r="A995" s="117"/>
      <c r="B995" s="117"/>
      <c r="C995" s="117"/>
      <c r="D995" s="117"/>
      <c r="E995" s="117"/>
      <c r="F995" s="117"/>
      <c r="G995" s="117"/>
      <c r="H995" s="117"/>
      <c r="I995" s="117"/>
      <c r="J995" s="118"/>
      <c r="K995" s="118"/>
      <c r="L995" s="118"/>
      <c r="M995" s="118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117"/>
      <c r="AD995" s="117"/>
      <c r="AE995" s="117"/>
      <c r="AF995" s="117"/>
      <c r="AG995" s="117"/>
      <c r="AH995" s="117"/>
      <c r="AI995" s="117"/>
      <c r="AJ995" s="117"/>
      <c r="AK995" s="117"/>
      <c r="AL995" s="117"/>
      <c r="AM995" s="117"/>
      <c r="AN995" s="117"/>
      <c r="AO995" s="117"/>
      <c r="AP995" s="117"/>
      <c r="AQ995" s="117"/>
      <c r="AR995" s="117"/>
      <c r="AS995" s="117"/>
      <c r="AT995" s="117"/>
      <c r="AU995" s="117"/>
      <c r="AV995" s="117"/>
      <c r="AW995" s="117"/>
      <c r="AX995" s="117"/>
      <c r="AY995" s="117"/>
      <c r="AZ995" s="117"/>
      <c r="BA995" s="117"/>
      <c r="BB995" s="117"/>
      <c r="BC995" s="117"/>
      <c r="BD995" s="117"/>
      <c r="BE995" s="117"/>
      <c r="BF995" s="117"/>
      <c r="BG995" s="117"/>
    </row>
    <row r="996" spans="1:59">
      <c r="A996" s="117"/>
      <c r="B996" s="117"/>
      <c r="C996" s="117"/>
      <c r="D996" s="117"/>
      <c r="E996" s="117"/>
      <c r="F996" s="117"/>
      <c r="G996" s="117"/>
      <c r="H996" s="117"/>
      <c r="I996" s="117"/>
      <c r="J996" s="118"/>
      <c r="K996" s="118"/>
      <c r="L996" s="118"/>
      <c r="M996" s="118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117"/>
      <c r="AD996" s="117"/>
      <c r="AE996" s="117"/>
      <c r="AF996" s="117"/>
      <c r="AG996" s="117"/>
      <c r="AH996" s="117"/>
      <c r="AI996" s="117"/>
      <c r="AJ996" s="117"/>
      <c r="AK996" s="117"/>
      <c r="AL996" s="117"/>
      <c r="AM996" s="117"/>
      <c r="AN996" s="117"/>
      <c r="AO996" s="117"/>
      <c r="AP996" s="117"/>
      <c r="AQ996" s="117"/>
      <c r="AR996" s="117"/>
      <c r="AS996" s="117"/>
      <c r="AT996" s="117"/>
      <c r="AU996" s="117"/>
      <c r="AV996" s="117"/>
      <c r="AW996" s="117"/>
      <c r="AX996" s="117"/>
      <c r="AY996" s="117"/>
      <c r="AZ996" s="117"/>
      <c r="BA996" s="117"/>
      <c r="BB996" s="117"/>
      <c r="BC996" s="117"/>
      <c r="BD996" s="117"/>
      <c r="BE996" s="117"/>
      <c r="BF996" s="117"/>
      <c r="BG996" s="117"/>
    </row>
    <row r="997" spans="1:59">
      <c r="A997" s="117"/>
      <c r="B997" s="117"/>
      <c r="C997" s="117"/>
      <c r="D997" s="117"/>
      <c r="E997" s="117"/>
      <c r="F997" s="117"/>
      <c r="G997" s="117"/>
      <c r="H997" s="117"/>
      <c r="I997" s="117"/>
      <c r="J997" s="118"/>
      <c r="K997" s="118"/>
      <c r="L997" s="118"/>
      <c r="M997" s="118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117"/>
      <c r="AD997" s="117"/>
      <c r="AE997" s="117"/>
      <c r="AF997" s="117"/>
      <c r="AG997" s="117"/>
      <c r="AH997" s="117"/>
      <c r="AI997" s="117"/>
      <c r="AJ997" s="117"/>
      <c r="AK997" s="117"/>
      <c r="AL997" s="117"/>
      <c r="AM997" s="117"/>
      <c r="AN997" s="117"/>
      <c r="AO997" s="117"/>
      <c r="AP997" s="117"/>
      <c r="AQ997" s="117"/>
      <c r="AR997" s="117"/>
      <c r="AS997" s="117"/>
      <c r="AT997" s="117"/>
      <c r="AU997" s="117"/>
      <c r="AV997" s="117"/>
      <c r="AW997" s="117"/>
      <c r="AX997" s="117"/>
      <c r="AY997" s="117"/>
      <c r="AZ997" s="117"/>
      <c r="BA997" s="117"/>
      <c r="BB997" s="117"/>
      <c r="BC997" s="117"/>
      <c r="BD997" s="117"/>
      <c r="BE997" s="117"/>
      <c r="BF997" s="117"/>
      <c r="BG997" s="117"/>
    </row>
    <row r="998" spans="1:59">
      <c r="A998" s="117"/>
      <c r="B998" s="117"/>
      <c r="C998" s="117"/>
      <c r="D998" s="117"/>
      <c r="E998" s="117"/>
      <c r="F998" s="117"/>
      <c r="G998" s="117"/>
      <c r="H998" s="117"/>
      <c r="I998" s="117"/>
      <c r="J998" s="118"/>
      <c r="K998" s="118"/>
      <c r="L998" s="118"/>
      <c r="M998" s="118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117"/>
      <c r="AD998" s="117"/>
      <c r="AE998" s="117"/>
      <c r="AF998" s="117"/>
      <c r="AG998" s="117"/>
      <c r="AH998" s="117"/>
      <c r="AI998" s="117"/>
      <c r="AJ998" s="117"/>
      <c r="AK998" s="117"/>
      <c r="AL998" s="117"/>
      <c r="AM998" s="117"/>
      <c r="AN998" s="117"/>
      <c r="AO998" s="117"/>
      <c r="AP998" s="117"/>
      <c r="AQ998" s="117"/>
      <c r="AR998" s="117"/>
      <c r="AS998" s="117"/>
      <c r="AT998" s="117"/>
      <c r="AU998" s="117"/>
      <c r="AV998" s="117"/>
      <c r="AW998" s="117"/>
      <c r="AX998" s="117"/>
      <c r="AY998" s="117"/>
      <c r="AZ998" s="117"/>
      <c r="BA998" s="117"/>
      <c r="BB998" s="117"/>
      <c r="BC998" s="117"/>
      <c r="BD998" s="117"/>
      <c r="BE998" s="117"/>
      <c r="BF998" s="117"/>
      <c r="BG998" s="117"/>
    </row>
    <row r="999" spans="1:59">
      <c r="A999" s="117"/>
      <c r="B999" s="117"/>
      <c r="C999" s="117"/>
      <c r="D999" s="117"/>
      <c r="E999" s="117"/>
      <c r="F999" s="117"/>
      <c r="G999" s="117"/>
      <c r="H999" s="117"/>
      <c r="I999" s="117"/>
      <c r="J999" s="118"/>
      <c r="K999" s="118"/>
      <c r="L999" s="118"/>
      <c r="M999" s="118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117"/>
      <c r="AD999" s="117"/>
      <c r="AE999" s="117"/>
      <c r="AF999" s="117"/>
      <c r="AG999" s="117"/>
      <c r="AH999" s="117"/>
      <c r="AI999" s="117"/>
      <c r="AJ999" s="117"/>
      <c r="AK999" s="117"/>
      <c r="AL999" s="117"/>
      <c r="AM999" s="117"/>
      <c r="AN999" s="117"/>
      <c r="AO999" s="117"/>
      <c r="AP999" s="117"/>
      <c r="AQ999" s="117"/>
      <c r="AR999" s="117"/>
      <c r="AS999" s="117"/>
      <c r="AT999" s="117"/>
      <c r="AU999" s="117"/>
      <c r="AV999" s="117"/>
      <c r="AW999" s="117"/>
      <c r="AX999" s="117"/>
      <c r="AY999" s="117"/>
      <c r="AZ999" s="117"/>
      <c r="BA999" s="117"/>
      <c r="BB999" s="117"/>
      <c r="BC999" s="117"/>
      <c r="BD999" s="117"/>
      <c r="BE999" s="117"/>
      <c r="BF999" s="117"/>
      <c r="BG999" s="117"/>
    </row>
    <row r="1000" spans="1:59">
      <c r="A1000" s="117"/>
      <c r="B1000" s="117"/>
      <c r="C1000" s="117"/>
      <c r="D1000" s="117"/>
      <c r="E1000" s="117"/>
      <c r="F1000" s="117"/>
      <c r="G1000" s="117"/>
      <c r="H1000" s="117"/>
      <c r="I1000" s="117"/>
      <c r="J1000" s="118"/>
      <c r="K1000" s="118"/>
      <c r="L1000" s="118"/>
      <c r="M1000" s="118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117"/>
      <c r="AD1000" s="117"/>
      <c r="AE1000" s="117"/>
      <c r="AF1000" s="117"/>
      <c r="AG1000" s="117"/>
      <c r="AH1000" s="117"/>
      <c r="AI1000" s="117"/>
      <c r="AJ1000" s="117"/>
      <c r="AK1000" s="117"/>
      <c r="AL1000" s="117"/>
      <c r="AM1000" s="117"/>
      <c r="AN1000" s="117"/>
      <c r="AO1000" s="117"/>
      <c r="AP1000" s="117"/>
      <c r="AQ1000" s="117"/>
      <c r="AR1000" s="117"/>
      <c r="AS1000" s="117"/>
      <c r="AT1000" s="117"/>
      <c r="AU1000" s="117"/>
      <c r="AV1000" s="117"/>
      <c r="AW1000" s="117"/>
      <c r="AX1000" s="117"/>
      <c r="AY1000" s="117"/>
      <c r="AZ1000" s="117"/>
      <c r="BA1000" s="117"/>
      <c r="BB1000" s="117"/>
      <c r="BC1000" s="117"/>
      <c r="BD1000" s="117"/>
      <c r="BE1000" s="117"/>
      <c r="BF1000" s="117"/>
      <c r="BG1000" s="117"/>
    </row>
    <row r="1001" spans="1:59">
      <c r="A1001" s="117"/>
      <c r="B1001" s="117"/>
      <c r="C1001" s="117"/>
      <c r="D1001" s="117"/>
      <c r="E1001" s="117"/>
      <c r="F1001" s="117"/>
      <c r="G1001" s="117"/>
      <c r="H1001" s="117"/>
      <c r="I1001" s="117"/>
      <c r="J1001" s="118"/>
      <c r="K1001" s="118"/>
      <c r="L1001" s="118"/>
      <c r="M1001" s="118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117"/>
      <c r="AD1001" s="117"/>
      <c r="AE1001" s="117"/>
      <c r="AF1001" s="117"/>
      <c r="AG1001" s="117"/>
      <c r="AH1001" s="117"/>
      <c r="AI1001" s="117"/>
      <c r="AJ1001" s="117"/>
      <c r="AK1001" s="117"/>
      <c r="AL1001" s="117"/>
      <c r="AM1001" s="117"/>
      <c r="AN1001" s="117"/>
      <c r="AO1001" s="117"/>
      <c r="AP1001" s="117"/>
      <c r="AQ1001" s="117"/>
      <c r="AR1001" s="117"/>
      <c r="AS1001" s="117"/>
      <c r="AT1001" s="117"/>
      <c r="AU1001" s="117"/>
      <c r="AV1001" s="117"/>
      <c r="AW1001" s="117"/>
      <c r="AX1001" s="117"/>
      <c r="AY1001" s="117"/>
      <c r="AZ1001" s="117"/>
      <c r="BA1001" s="117"/>
      <c r="BB1001" s="117"/>
      <c r="BC1001" s="117"/>
      <c r="BD1001" s="117"/>
      <c r="BE1001" s="117"/>
      <c r="BF1001" s="117"/>
      <c r="BG1001" s="117"/>
    </row>
    <row r="1002" spans="1:59">
      <c r="A1002" s="117"/>
      <c r="B1002" s="117"/>
      <c r="C1002" s="117"/>
      <c r="D1002" s="117"/>
      <c r="E1002" s="117"/>
      <c r="F1002" s="117"/>
      <c r="G1002" s="117"/>
      <c r="H1002" s="117"/>
      <c r="I1002" s="117"/>
      <c r="J1002" s="118"/>
      <c r="K1002" s="118"/>
      <c r="L1002" s="118"/>
      <c r="M1002" s="118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117"/>
      <c r="AD1002" s="117"/>
      <c r="AE1002" s="117"/>
      <c r="AF1002" s="117"/>
      <c r="AG1002" s="117"/>
      <c r="AH1002" s="117"/>
      <c r="AI1002" s="117"/>
      <c r="AJ1002" s="117"/>
      <c r="AK1002" s="117"/>
      <c r="AL1002" s="117"/>
      <c r="AM1002" s="117"/>
      <c r="AN1002" s="117"/>
      <c r="AO1002" s="117"/>
      <c r="AP1002" s="117"/>
      <c r="AQ1002" s="117"/>
      <c r="AR1002" s="117"/>
      <c r="AS1002" s="117"/>
      <c r="AT1002" s="117"/>
      <c r="AU1002" s="117"/>
      <c r="AV1002" s="117"/>
      <c r="AW1002" s="117"/>
      <c r="AX1002" s="117"/>
      <c r="AY1002" s="117"/>
      <c r="AZ1002" s="117"/>
      <c r="BA1002" s="117"/>
      <c r="BB1002" s="117"/>
      <c r="BC1002" s="117"/>
      <c r="BD1002" s="117"/>
      <c r="BE1002" s="117"/>
      <c r="BF1002" s="117"/>
      <c r="BG1002" s="117"/>
    </row>
    <row r="1003" spans="1:59">
      <c r="A1003" s="117"/>
      <c r="B1003" s="117"/>
      <c r="C1003" s="117"/>
      <c r="D1003" s="117"/>
      <c r="E1003" s="117"/>
      <c r="F1003" s="117"/>
      <c r="G1003" s="117"/>
      <c r="H1003" s="117"/>
      <c r="I1003" s="117"/>
      <c r="J1003" s="118"/>
      <c r="K1003" s="118"/>
      <c r="L1003" s="118"/>
      <c r="M1003" s="118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117"/>
      <c r="AD1003" s="117"/>
      <c r="AE1003" s="117"/>
      <c r="AF1003" s="117"/>
      <c r="AG1003" s="117"/>
      <c r="AH1003" s="117"/>
      <c r="AI1003" s="117"/>
      <c r="AJ1003" s="117"/>
      <c r="AK1003" s="117"/>
      <c r="AL1003" s="117"/>
      <c r="AM1003" s="117"/>
      <c r="AN1003" s="117"/>
      <c r="AO1003" s="117"/>
      <c r="AP1003" s="117"/>
      <c r="AQ1003" s="117"/>
      <c r="AR1003" s="117"/>
      <c r="AS1003" s="117"/>
      <c r="AT1003" s="117"/>
      <c r="AU1003" s="117"/>
      <c r="AV1003" s="117"/>
      <c r="AW1003" s="117"/>
      <c r="AX1003" s="117"/>
      <c r="AY1003" s="117"/>
      <c r="AZ1003" s="117"/>
      <c r="BA1003" s="117"/>
      <c r="BB1003" s="117"/>
      <c r="BC1003" s="117"/>
      <c r="BD1003" s="117"/>
      <c r="BE1003" s="117"/>
      <c r="BF1003" s="117"/>
      <c r="BG1003" s="117"/>
    </row>
    <row r="1004" spans="1:59">
      <c r="A1004" s="117"/>
      <c r="B1004" s="117"/>
      <c r="C1004" s="117"/>
      <c r="D1004" s="117"/>
      <c r="E1004" s="117"/>
      <c r="F1004" s="117"/>
      <c r="G1004" s="117"/>
      <c r="H1004" s="117"/>
      <c r="I1004" s="117"/>
      <c r="J1004" s="118"/>
      <c r="K1004" s="118"/>
      <c r="L1004" s="118"/>
      <c r="M1004" s="118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117"/>
      <c r="AD1004" s="117"/>
      <c r="AE1004" s="117"/>
      <c r="AF1004" s="117"/>
      <c r="AG1004" s="117"/>
      <c r="AH1004" s="117"/>
      <c r="AI1004" s="117"/>
      <c r="AJ1004" s="117"/>
      <c r="AK1004" s="117"/>
      <c r="AL1004" s="117"/>
      <c r="AM1004" s="117"/>
      <c r="AN1004" s="117"/>
      <c r="AO1004" s="117"/>
      <c r="AP1004" s="117"/>
      <c r="AQ1004" s="117"/>
      <c r="AR1004" s="117"/>
      <c r="AS1004" s="117"/>
      <c r="AT1004" s="117"/>
      <c r="AU1004" s="117"/>
      <c r="AV1004" s="117"/>
      <c r="AW1004" s="117"/>
      <c r="AX1004" s="117"/>
      <c r="AY1004" s="117"/>
      <c r="AZ1004" s="117"/>
      <c r="BA1004" s="117"/>
      <c r="BB1004" s="117"/>
      <c r="BC1004" s="117"/>
      <c r="BD1004" s="117"/>
      <c r="BE1004" s="117"/>
      <c r="BF1004" s="117"/>
      <c r="BG1004" s="117"/>
    </row>
    <row r="1005" spans="1:59">
      <c r="A1005" s="117"/>
      <c r="B1005" s="117"/>
      <c r="C1005" s="117"/>
      <c r="D1005" s="117"/>
      <c r="E1005" s="117"/>
      <c r="F1005" s="117"/>
      <c r="G1005" s="117"/>
      <c r="H1005" s="117"/>
      <c r="I1005" s="117"/>
      <c r="J1005" s="118"/>
      <c r="K1005" s="118"/>
      <c r="L1005" s="118"/>
      <c r="M1005" s="118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117"/>
      <c r="AD1005" s="117"/>
      <c r="AE1005" s="117"/>
      <c r="AF1005" s="117"/>
      <c r="AG1005" s="117"/>
      <c r="AH1005" s="117"/>
      <c r="AI1005" s="117"/>
      <c r="AJ1005" s="117"/>
      <c r="AK1005" s="117"/>
      <c r="AL1005" s="117"/>
      <c r="AM1005" s="117"/>
      <c r="AN1005" s="117"/>
      <c r="AO1005" s="117"/>
      <c r="AP1005" s="117"/>
      <c r="AQ1005" s="117"/>
      <c r="AR1005" s="117"/>
      <c r="AS1005" s="117"/>
      <c r="AT1005" s="117"/>
      <c r="AU1005" s="117"/>
      <c r="AV1005" s="117"/>
      <c r="AW1005" s="117"/>
      <c r="AX1005" s="117"/>
      <c r="AY1005" s="117"/>
      <c r="AZ1005" s="117"/>
      <c r="BA1005" s="117"/>
      <c r="BB1005" s="117"/>
      <c r="BC1005" s="117"/>
      <c r="BD1005" s="117"/>
      <c r="BE1005" s="117"/>
      <c r="BF1005" s="117"/>
      <c r="BG1005" s="117"/>
    </row>
    <row r="1006" spans="1:59">
      <c r="A1006" s="117"/>
      <c r="B1006" s="117"/>
      <c r="C1006" s="117"/>
      <c r="D1006" s="117"/>
      <c r="E1006" s="117"/>
      <c r="F1006" s="117"/>
      <c r="G1006" s="117"/>
      <c r="H1006" s="117"/>
      <c r="I1006" s="117"/>
      <c r="J1006" s="118"/>
      <c r="K1006" s="118"/>
      <c r="L1006" s="118"/>
      <c r="M1006" s="118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117"/>
      <c r="AD1006" s="117"/>
      <c r="AE1006" s="117"/>
      <c r="AF1006" s="117"/>
      <c r="AG1006" s="117"/>
      <c r="AH1006" s="117"/>
      <c r="AI1006" s="117"/>
      <c r="AJ1006" s="117"/>
      <c r="AK1006" s="117"/>
      <c r="AL1006" s="117"/>
      <c r="AM1006" s="117"/>
      <c r="AN1006" s="117"/>
      <c r="AO1006" s="117"/>
      <c r="AP1006" s="117"/>
      <c r="AQ1006" s="117"/>
      <c r="AR1006" s="117"/>
      <c r="AS1006" s="117"/>
      <c r="AT1006" s="117"/>
      <c r="AU1006" s="117"/>
      <c r="AV1006" s="117"/>
      <c r="AW1006" s="117"/>
      <c r="AX1006" s="117"/>
      <c r="AY1006" s="117"/>
      <c r="AZ1006" s="117"/>
      <c r="BA1006" s="117"/>
      <c r="BB1006" s="117"/>
      <c r="BC1006" s="117"/>
      <c r="BD1006" s="117"/>
      <c r="BE1006" s="117"/>
      <c r="BF1006" s="117"/>
      <c r="BG1006" s="117"/>
    </row>
    <row r="1007" spans="1:59">
      <c r="A1007" s="117"/>
      <c r="B1007" s="117"/>
      <c r="C1007" s="117"/>
      <c r="D1007" s="117"/>
      <c r="E1007" s="117"/>
      <c r="F1007" s="117"/>
      <c r="G1007" s="117"/>
      <c r="H1007" s="117"/>
      <c r="I1007" s="117"/>
      <c r="J1007" s="118"/>
      <c r="K1007" s="118"/>
      <c r="L1007" s="118"/>
      <c r="M1007" s="118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117"/>
      <c r="AD1007" s="117"/>
      <c r="AE1007" s="117"/>
      <c r="AF1007" s="117"/>
      <c r="AG1007" s="117"/>
      <c r="AH1007" s="117"/>
      <c r="AI1007" s="117"/>
      <c r="AJ1007" s="117"/>
      <c r="AK1007" s="117"/>
      <c r="AL1007" s="117"/>
      <c r="AM1007" s="117"/>
      <c r="AN1007" s="117"/>
      <c r="AO1007" s="117"/>
      <c r="AP1007" s="117"/>
      <c r="AQ1007" s="117"/>
      <c r="AR1007" s="117"/>
      <c r="AS1007" s="117"/>
      <c r="AT1007" s="117"/>
      <c r="AU1007" s="117"/>
      <c r="AV1007" s="117"/>
      <c r="AW1007" s="117"/>
      <c r="AX1007" s="117"/>
      <c r="AY1007" s="117"/>
      <c r="AZ1007" s="117"/>
      <c r="BA1007" s="117"/>
      <c r="BB1007" s="117"/>
      <c r="BC1007" s="117"/>
      <c r="BD1007" s="117"/>
      <c r="BE1007" s="117"/>
      <c r="BF1007" s="117"/>
      <c r="BG1007" s="117"/>
    </row>
    <row r="1008" spans="1:59">
      <c r="A1008" s="117"/>
      <c r="B1008" s="117"/>
      <c r="C1008" s="117"/>
      <c r="D1008" s="117"/>
      <c r="E1008" s="117"/>
      <c r="F1008" s="117"/>
      <c r="G1008" s="117"/>
      <c r="H1008" s="117"/>
      <c r="I1008" s="117"/>
      <c r="J1008" s="118"/>
      <c r="K1008" s="118"/>
      <c r="L1008" s="118"/>
      <c r="M1008" s="118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117"/>
      <c r="AD1008" s="117"/>
      <c r="AE1008" s="117"/>
      <c r="AF1008" s="117"/>
      <c r="AG1008" s="117"/>
      <c r="AH1008" s="117"/>
      <c r="AI1008" s="117"/>
      <c r="AJ1008" s="117"/>
      <c r="AK1008" s="117"/>
      <c r="AL1008" s="117"/>
      <c r="AM1008" s="117"/>
      <c r="AN1008" s="117"/>
      <c r="AO1008" s="117"/>
      <c r="AP1008" s="117"/>
      <c r="AQ1008" s="117"/>
      <c r="AR1008" s="117"/>
      <c r="AS1008" s="117"/>
      <c r="AT1008" s="117"/>
      <c r="AU1008" s="117"/>
      <c r="AV1008" s="117"/>
      <c r="AW1008" s="117"/>
      <c r="AX1008" s="117"/>
      <c r="AY1008" s="117"/>
      <c r="AZ1008" s="117"/>
      <c r="BA1008" s="117"/>
      <c r="BB1008" s="117"/>
      <c r="BC1008" s="117"/>
      <c r="BD1008" s="117"/>
      <c r="BE1008" s="117"/>
      <c r="BF1008" s="117"/>
      <c r="BG1008" s="117"/>
    </row>
    <row r="1009" spans="1:59">
      <c r="A1009" s="117"/>
      <c r="B1009" s="117"/>
      <c r="C1009" s="117"/>
      <c r="D1009" s="117"/>
      <c r="E1009" s="117"/>
      <c r="F1009" s="117"/>
      <c r="G1009" s="117"/>
      <c r="H1009" s="117"/>
      <c r="I1009" s="117"/>
      <c r="J1009" s="118"/>
      <c r="K1009" s="118"/>
      <c r="L1009" s="118"/>
      <c r="M1009" s="118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117"/>
      <c r="AD1009" s="117"/>
      <c r="AE1009" s="117"/>
      <c r="AF1009" s="117"/>
      <c r="AG1009" s="117"/>
      <c r="AH1009" s="117"/>
      <c r="AI1009" s="117"/>
      <c r="AJ1009" s="117"/>
      <c r="AK1009" s="117"/>
      <c r="AL1009" s="117"/>
      <c r="AM1009" s="117"/>
      <c r="AN1009" s="117"/>
      <c r="AO1009" s="117"/>
      <c r="AP1009" s="117"/>
      <c r="AQ1009" s="117"/>
      <c r="AR1009" s="117"/>
      <c r="AS1009" s="117"/>
      <c r="AT1009" s="117"/>
      <c r="AU1009" s="117"/>
      <c r="AV1009" s="117"/>
      <c r="AW1009" s="117"/>
      <c r="AX1009" s="117"/>
      <c r="AY1009" s="117"/>
      <c r="AZ1009" s="117"/>
      <c r="BA1009" s="117"/>
      <c r="BB1009" s="117"/>
      <c r="BC1009" s="117"/>
      <c r="BD1009" s="117"/>
      <c r="BE1009" s="117"/>
      <c r="BF1009" s="117"/>
      <c r="BG1009" s="117"/>
    </row>
    <row r="1010" spans="1:59">
      <c r="A1010" s="117"/>
      <c r="B1010" s="117"/>
      <c r="C1010" s="117"/>
      <c r="D1010" s="117"/>
      <c r="E1010" s="117"/>
      <c r="F1010" s="117"/>
      <c r="G1010" s="117"/>
      <c r="H1010" s="117"/>
      <c r="I1010" s="117"/>
      <c r="J1010" s="118"/>
      <c r="K1010" s="118"/>
      <c r="L1010" s="118"/>
      <c r="M1010" s="118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117"/>
      <c r="AD1010" s="117"/>
      <c r="AE1010" s="117"/>
      <c r="AF1010" s="117"/>
      <c r="AG1010" s="117"/>
      <c r="AH1010" s="117"/>
      <c r="AI1010" s="117"/>
      <c r="AJ1010" s="117"/>
      <c r="AK1010" s="117"/>
      <c r="AL1010" s="117"/>
      <c r="AM1010" s="117"/>
      <c r="AN1010" s="117"/>
      <c r="AO1010" s="117"/>
      <c r="AP1010" s="117"/>
      <c r="AQ1010" s="117"/>
      <c r="AR1010" s="117"/>
      <c r="AS1010" s="117"/>
      <c r="AT1010" s="117"/>
      <c r="AU1010" s="117"/>
      <c r="AV1010" s="117"/>
      <c r="AW1010" s="117"/>
      <c r="AX1010" s="117"/>
      <c r="AY1010" s="117"/>
      <c r="AZ1010" s="117"/>
      <c r="BA1010" s="117"/>
      <c r="BB1010" s="117"/>
      <c r="BC1010" s="117"/>
      <c r="BD1010" s="117"/>
      <c r="BE1010" s="117"/>
      <c r="BF1010" s="117"/>
      <c r="BG1010" s="117"/>
    </row>
    <row r="1011" spans="1:59">
      <c r="A1011" s="117"/>
      <c r="B1011" s="117"/>
      <c r="C1011" s="117"/>
      <c r="D1011" s="117"/>
      <c r="E1011" s="117"/>
      <c r="F1011" s="117"/>
      <c r="G1011" s="117"/>
      <c r="H1011" s="117"/>
      <c r="I1011" s="117"/>
      <c r="J1011" s="118"/>
      <c r="K1011" s="118"/>
      <c r="L1011" s="118"/>
      <c r="M1011" s="118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117"/>
      <c r="AD1011" s="117"/>
      <c r="AE1011" s="117"/>
      <c r="AF1011" s="117"/>
      <c r="AG1011" s="117"/>
      <c r="AH1011" s="117"/>
      <c r="AI1011" s="117"/>
      <c r="AJ1011" s="117"/>
      <c r="AK1011" s="117"/>
      <c r="AL1011" s="117"/>
      <c r="AM1011" s="117"/>
      <c r="AN1011" s="117"/>
      <c r="AO1011" s="117"/>
      <c r="AP1011" s="117"/>
      <c r="AQ1011" s="117"/>
      <c r="AR1011" s="117"/>
      <c r="AS1011" s="117"/>
      <c r="AT1011" s="117"/>
      <c r="AU1011" s="117"/>
      <c r="AV1011" s="117"/>
      <c r="AW1011" s="117"/>
      <c r="AX1011" s="117"/>
      <c r="AY1011" s="117"/>
      <c r="AZ1011" s="117"/>
      <c r="BA1011" s="117"/>
      <c r="BB1011" s="117"/>
      <c r="BC1011" s="117"/>
      <c r="BD1011" s="117"/>
      <c r="BE1011" s="117"/>
      <c r="BF1011" s="117"/>
      <c r="BG1011" s="117"/>
    </row>
    <row r="1012" spans="1:59">
      <c r="A1012" s="117"/>
      <c r="B1012" s="117"/>
      <c r="C1012" s="117"/>
      <c r="D1012" s="117"/>
      <c r="E1012" s="117"/>
      <c r="F1012" s="117"/>
      <c r="G1012" s="117"/>
      <c r="H1012" s="117"/>
      <c r="I1012" s="117"/>
      <c r="J1012" s="118"/>
      <c r="K1012" s="118"/>
      <c r="L1012" s="118"/>
      <c r="M1012" s="118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117"/>
      <c r="AD1012" s="117"/>
      <c r="AE1012" s="117"/>
      <c r="AF1012" s="117"/>
      <c r="AG1012" s="117"/>
      <c r="AH1012" s="117"/>
      <c r="AI1012" s="117"/>
      <c r="AJ1012" s="117"/>
      <c r="AK1012" s="117"/>
      <c r="AL1012" s="117"/>
      <c r="AM1012" s="117"/>
      <c r="AN1012" s="117"/>
      <c r="AO1012" s="117"/>
      <c r="AP1012" s="117"/>
      <c r="AQ1012" s="117"/>
      <c r="AR1012" s="117"/>
      <c r="AS1012" s="117"/>
      <c r="AT1012" s="117"/>
      <c r="AU1012" s="117"/>
      <c r="AV1012" s="117"/>
      <c r="AW1012" s="117"/>
      <c r="AX1012" s="117"/>
      <c r="AY1012" s="117"/>
      <c r="AZ1012" s="117"/>
      <c r="BA1012" s="117"/>
      <c r="BB1012" s="117"/>
      <c r="BC1012" s="117"/>
      <c r="BD1012" s="117"/>
      <c r="BE1012" s="117"/>
      <c r="BF1012" s="117"/>
      <c r="BG1012" s="117"/>
    </row>
    <row r="1013" spans="1:59">
      <c r="A1013" s="117"/>
      <c r="B1013" s="117"/>
      <c r="C1013" s="117"/>
      <c r="D1013" s="117"/>
      <c r="E1013" s="117"/>
      <c r="F1013" s="117"/>
      <c r="G1013" s="117"/>
      <c r="H1013" s="117"/>
      <c r="I1013" s="117"/>
      <c r="J1013" s="118"/>
      <c r="K1013" s="118"/>
      <c r="L1013" s="118"/>
      <c r="M1013" s="118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117"/>
      <c r="AD1013" s="117"/>
      <c r="AE1013" s="117"/>
      <c r="AF1013" s="117"/>
      <c r="AG1013" s="117"/>
      <c r="AH1013" s="117"/>
      <c r="AI1013" s="117"/>
      <c r="AJ1013" s="117"/>
      <c r="AK1013" s="117"/>
      <c r="AL1013" s="117"/>
      <c r="AM1013" s="117"/>
      <c r="AN1013" s="117"/>
      <c r="AO1013" s="117"/>
      <c r="AP1013" s="117"/>
      <c r="AQ1013" s="117"/>
      <c r="AR1013" s="117"/>
      <c r="AS1013" s="117"/>
      <c r="AT1013" s="117"/>
      <c r="AU1013" s="117"/>
      <c r="AV1013" s="117"/>
      <c r="AW1013" s="117"/>
      <c r="AX1013" s="117"/>
      <c r="AY1013" s="117"/>
      <c r="AZ1013" s="117"/>
      <c r="BA1013" s="117"/>
      <c r="BB1013" s="117"/>
      <c r="BC1013" s="117"/>
      <c r="BD1013" s="117"/>
      <c r="BE1013" s="117"/>
      <c r="BF1013" s="117"/>
      <c r="BG1013" s="117"/>
    </row>
    <row r="1014" spans="1:59">
      <c r="A1014" s="117"/>
      <c r="B1014" s="117"/>
      <c r="C1014" s="117"/>
      <c r="D1014" s="117"/>
      <c r="E1014" s="117"/>
      <c r="F1014" s="117"/>
      <c r="G1014" s="117"/>
      <c r="H1014" s="117"/>
      <c r="I1014" s="117"/>
      <c r="J1014" s="118"/>
      <c r="K1014" s="118"/>
      <c r="L1014" s="118"/>
      <c r="M1014" s="118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117"/>
      <c r="AD1014" s="117"/>
      <c r="AE1014" s="117"/>
      <c r="AF1014" s="117"/>
      <c r="AG1014" s="117"/>
      <c r="AH1014" s="117"/>
      <c r="AI1014" s="117"/>
      <c r="AJ1014" s="117"/>
      <c r="AK1014" s="117"/>
      <c r="AL1014" s="117"/>
      <c r="AM1014" s="117"/>
      <c r="AN1014" s="117"/>
      <c r="AO1014" s="117"/>
      <c r="AP1014" s="117"/>
      <c r="AQ1014" s="117"/>
      <c r="AR1014" s="117"/>
      <c r="AS1014" s="117"/>
      <c r="AT1014" s="117"/>
      <c r="AU1014" s="117"/>
      <c r="AV1014" s="117"/>
      <c r="AW1014" s="117"/>
      <c r="AX1014" s="117"/>
      <c r="AY1014" s="117"/>
      <c r="AZ1014" s="117"/>
      <c r="BA1014" s="117"/>
      <c r="BB1014" s="117"/>
      <c r="BC1014" s="117"/>
      <c r="BD1014" s="117"/>
      <c r="BE1014" s="117"/>
      <c r="BF1014" s="117"/>
      <c r="BG1014" s="117"/>
    </row>
    <row r="1015" spans="1:59">
      <c r="A1015" s="117"/>
      <c r="B1015" s="117"/>
      <c r="C1015" s="117"/>
      <c r="D1015" s="117"/>
      <c r="E1015" s="117"/>
      <c r="F1015" s="117"/>
      <c r="G1015" s="117"/>
      <c r="H1015" s="117"/>
      <c r="I1015" s="117"/>
      <c r="J1015" s="118"/>
      <c r="K1015" s="118"/>
      <c r="L1015" s="118"/>
      <c r="M1015" s="118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117"/>
      <c r="AD1015" s="117"/>
      <c r="AE1015" s="117"/>
      <c r="AF1015" s="117"/>
      <c r="AG1015" s="117"/>
      <c r="AH1015" s="117"/>
      <c r="AI1015" s="117"/>
      <c r="AJ1015" s="117"/>
      <c r="AK1015" s="117"/>
      <c r="AL1015" s="117"/>
      <c r="AM1015" s="117"/>
      <c r="AN1015" s="117"/>
      <c r="AO1015" s="117"/>
      <c r="AP1015" s="117"/>
      <c r="AQ1015" s="117"/>
      <c r="AR1015" s="117"/>
      <c r="AS1015" s="117"/>
      <c r="AT1015" s="117"/>
      <c r="AU1015" s="117"/>
      <c r="AV1015" s="117"/>
      <c r="AW1015" s="117"/>
      <c r="AX1015" s="117"/>
      <c r="AY1015" s="117"/>
      <c r="AZ1015" s="117"/>
      <c r="BA1015" s="117"/>
      <c r="BB1015" s="117"/>
      <c r="BC1015" s="117"/>
      <c r="BD1015" s="117"/>
      <c r="BE1015" s="117"/>
      <c r="BF1015" s="117"/>
      <c r="BG1015" s="117"/>
    </row>
    <row r="1016" spans="1:59">
      <c r="A1016" s="117"/>
      <c r="B1016" s="117"/>
      <c r="C1016" s="117"/>
      <c r="D1016" s="117"/>
      <c r="E1016" s="117"/>
      <c r="F1016" s="117"/>
      <c r="G1016" s="117"/>
      <c r="H1016" s="117"/>
      <c r="I1016" s="117"/>
      <c r="J1016" s="118"/>
      <c r="K1016" s="118"/>
      <c r="L1016" s="118"/>
      <c r="M1016" s="118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117"/>
      <c r="AD1016" s="117"/>
      <c r="AE1016" s="117"/>
      <c r="AF1016" s="117"/>
      <c r="AG1016" s="117"/>
      <c r="AH1016" s="117"/>
      <c r="AI1016" s="117"/>
      <c r="AJ1016" s="117"/>
      <c r="AK1016" s="117"/>
      <c r="AL1016" s="117"/>
      <c r="AM1016" s="117"/>
      <c r="AN1016" s="117"/>
      <c r="AO1016" s="117"/>
      <c r="AP1016" s="117"/>
      <c r="AQ1016" s="117"/>
      <c r="AR1016" s="117"/>
      <c r="AS1016" s="117"/>
      <c r="AT1016" s="117"/>
      <c r="AU1016" s="117"/>
      <c r="AV1016" s="117"/>
      <c r="AW1016" s="117"/>
      <c r="AX1016" s="117"/>
      <c r="AY1016" s="117"/>
      <c r="AZ1016" s="117"/>
      <c r="BA1016" s="117"/>
      <c r="BB1016" s="117"/>
      <c r="BC1016" s="117"/>
      <c r="BD1016" s="117"/>
      <c r="BE1016" s="117"/>
      <c r="BF1016" s="117"/>
      <c r="BG1016" s="117"/>
    </row>
    <row r="1017" spans="1:59">
      <c r="A1017" s="117"/>
      <c r="B1017" s="117"/>
      <c r="C1017" s="117"/>
      <c r="D1017" s="117"/>
      <c r="E1017" s="117"/>
      <c r="F1017" s="117"/>
      <c r="G1017" s="117"/>
      <c r="H1017" s="117"/>
      <c r="I1017" s="117"/>
      <c r="J1017" s="118"/>
      <c r="K1017" s="118"/>
      <c r="L1017" s="118"/>
      <c r="M1017" s="118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117"/>
      <c r="AD1017" s="117"/>
      <c r="AE1017" s="117"/>
      <c r="AF1017" s="117"/>
      <c r="AG1017" s="117"/>
      <c r="AH1017" s="117"/>
      <c r="AI1017" s="117"/>
      <c r="AJ1017" s="117"/>
      <c r="AK1017" s="117"/>
      <c r="AL1017" s="117"/>
      <c r="AM1017" s="117"/>
      <c r="AN1017" s="117"/>
      <c r="AO1017" s="117"/>
      <c r="AP1017" s="117"/>
      <c r="AQ1017" s="117"/>
      <c r="AR1017" s="117"/>
      <c r="AS1017" s="117"/>
      <c r="AT1017" s="117"/>
      <c r="AU1017" s="117"/>
      <c r="AV1017" s="117"/>
      <c r="AW1017" s="117"/>
      <c r="AX1017" s="117"/>
      <c r="AY1017" s="117"/>
      <c r="AZ1017" s="117"/>
      <c r="BA1017" s="117"/>
      <c r="BB1017" s="117"/>
      <c r="BC1017" s="117"/>
      <c r="BD1017" s="117"/>
      <c r="BE1017" s="117"/>
      <c r="BF1017" s="117"/>
      <c r="BG1017" s="117"/>
    </row>
    <row r="1018" spans="1:59">
      <c r="A1018" s="117"/>
      <c r="B1018" s="117"/>
      <c r="C1018" s="117"/>
      <c r="D1018" s="117"/>
      <c r="E1018" s="117"/>
      <c r="F1018" s="117"/>
      <c r="G1018" s="117"/>
      <c r="H1018" s="117"/>
      <c r="I1018" s="117"/>
      <c r="J1018" s="118"/>
      <c r="K1018" s="118"/>
      <c r="L1018" s="118"/>
      <c r="M1018" s="118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117"/>
      <c r="AD1018" s="117"/>
      <c r="AE1018" s="117"/>
      <c r="AF1018" s="117"/>
      <c r="AG1018" s="117"/>
      <c r="AH1018" s="117"/>
      <c r="AI1018" s="117"/>
      <c r="AJ1018" s="117"/>
      <c r="AK1018" s="117"/>
      <c r="AL1018" s="117"/>
      <c r="AM1018" s="117"/>
      <c r="AN1018" s="117"/>
      <c r="AO1018" s="117"/>
      <c r="AP1018" s="117"/>
      <c r="AQ1018" s="117"/>
      <c r="AR1018" s="117"/>
      <c r="AS1018" s="117"/>
      <c r="AT1018" s="117"/>
      <c r="AU1018" s="117"/>
      <c r="AV1018" s="117"/>
      <c r="AW1018" s="117"/>
      <c r="AX1018" s="117"/>
      <c r="AY1018" s="117"/>
      <c r="AZ1018" s="117"/>
      <c r="BA1018" s="117"/>
      <c r="BB1018" s="117"/>
      <c r="BC1018" s="117"/>
      <c r="BD1018" s="117"/>
      <c r="BE1018" s="117"/>
      <c r="BF1018" s="117"/>
      <c r="BG1018" s="117"/>
    </row>
    <row r="1019" spans="1:59">
      <c r="A1019" s="117"/>
      <c r="B1019" s="117"/>
      <c r="C1019" s="117"/>
      <c r="D1019" s="117"/>
      <c r="E1019" s="117"/>
      <c r="F1019" s="117"/>
      <c r="G1019" s="117"/>
      <c r="H1019" s="117"/>
      <c r="I1019" s="117"/>
      <c r="J1019" s="118"/>
      <c r="K1019" s="118"/>
      <c r="L1019" s="118"/>
      <c r="M1019" s="118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117"/>
      <c r="AD1019" s="117"/>
      <c r="AE1019" s="117"/>
      <c r="AF1019" s="117"/>
      <c r="AG1019" s="117"/>
      <c r="AH1019" s="117"/>
      <c r="AI1019" s="117"/>
      <c r="AJ1019" s="117"/>
      <c r="AK1019" s="117"/>
      <c r="AL1019" s="117"/>
      <c r="AM1019" s="117"/>
      <c r="AN1019" s="117"/>
      <c r="AO1019" s="117"/>
      <c r="AP1019" s="117"/>
      <c r="AQ1019" s="117"/>
      <c r="AR1019" s="117"/>
      <c r="AS1019" s="117"/>
      <c r="AT1019" s="117"/>
      <c r="AU1019" s="117"/>
      <c r="AV1019" s="117"/>
      <c r="AW1019" s="117"/>
      <c r="AX1019" s="117"/>
      <c r="AY1019" s="117"/>
      <c r="AZ1019" s="117"/>
      <c r="BA1019" s="117"/>
      <c r="BB1019" s="117"/>
      <c r="BC1019" s="117"/>
      <c r="BD1019" s="117"/>
      <c r="BE1019" s="117"/>
      <c r="BF1019" s="117"/>
      <c r="BG1019" s="117"/>
    </row>
    <row r="1020" spans="1:59">
      <c r="A1020" s="117"/>
      <c r="B1020" s="117"/>
      <c r="C1020" s="117"/>
      <c r="D1020" s="117"/>
      <c r="E1020" s="117"/>
      <c r="F1020" s="117"/>
      <c r="G1020" s="117"/>
      <c r="H1020" s="117"/>
      <c r="I1020" s="117"/>
      <c r="J1020" s="118"/>
      <c r="K1020" s="118"/>
      <c r="L1020" s="118"/>
      <c r="M1020" s="118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117"/>
      <c r="AD1020" s="117"/>
      <c r="AE1020" s="117"/>
      <c r="AF1020" s="117"/>
      <c r="AG1020" s="117"/>
      <c r="AH1020" s="117"/>
      <c r="AI1020" s="117"/>
      <c r="AJ1020" s="117"/>
      <c r="AK1020" s="117"/>
      <c r="AL1020" s="117"/>
      <c r="AM1020" s="117"/>
      <c r="AN1020" s="117"/>
      <c r="AO1020" s="117"/>
      <c r="AP1020" s="117"/>
      <c r="AQ1020" s="117"/>
      <c r="AR1020" s="117"/>
      <c r="AS1020" s="117"/>
      <c r="AT1020" s="117"/>
      <c r="AU1020" s="117"/>
      <c r="AV1020" s="117"/>
      <c r="AW1020" s="117"/>
      <c r="AX1020" s="117"/>
      <c r="AY1020" s="117"/>
      <c r="AZ1020" s="117"/>
      <c r="BA1020" s="117"/>
      <c r="BB1020" s="117"/>
      <c r="BC1020" s="117"/>
      <c r="BD1020" s="117"/>
      <c r="BE1020" s="117"/>
      <c r="BF1020" s="117"/>
      <c r="BG1020" s="117"/>
    </row>
    <row r="1021" spans="1:59">
      <c r="A1021" s="117"/>
      <c r="B1021" s="117"/>
      <c r="C1021" s="117"/>
      <c r="D1021" s="117"/>
      <c r="E1021" s="117"/>
      <c r="F1021" s="117"/>
      <c r="G1021" s="117"/>
      <c r="H1021" s="117"/>
      <c r="I1021" s="117"/>
      <c r="J1021" s="118"/>
      <c r="K1021" s="118"/>
      <c r="L1021" s="118"/>
      <c r="M1021" s="118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117"/>
      <c r="AD1021" s="117"/>
      <c r="AE1021" s="117"/>
      <c r="AF1021" s="117"/>
      <c r="AG1021" s="117"/>
      <c r="AH1021" s="117"/>
      <c r="AI1021" s="117"/>
      <c r="AJ1021" s="117"/>
      <c r="AK1021" s="117"/>
      <c r="AL1021" s="117"/>
      <c r="AM1021" s="117"/>
      <c r="AN1021" s="117"/>
      <c r="AO1021" s="117"/>
      <c r="AP1021" s="117"/>
      <c r="AQ1021" s="117"/>
      <c r="AR1021" s="117"/>
      <c r="AS1021" s="117"/>
      <c r="AT1021" s="117"/>
      <c r="AU1021" s="117"/>
      <c r="AV1021" s="117"/>
      <c r="AW1021" s="117"/>
      <c r="AX1021" s="117"/>
      <c r="AY1021" s="117"/>
      <c r="AZ1021" s="117"/>
      <c r="BA1021" s="117"/>
      <c r="BB1021" s="117"/>
      <c r="BC1021" s="117"/>
      <c r="BD1021" s="117"/>
      <c r="BE1021" s="117"/>
      <c r="BF1021" s="117"/>
      <c r="BG1021" s="117"/>
    </row>
    <row r="1022" spans="1:59">
      <c r="A1022" s="117"/>
      <c r="B1022" s="117"/>
      <c r="C1022" s="117"/>
      <c r="D1022" s="117"/>
      <c r="E1022" s="117"/>
      <c r="F1022" s="117"/>
      <c r="G1022" s="117"/>
      <c r="H1022" s="117"/>
      <c r="I1022" s="117"/>
      <c r="J1022" s="118"/>
      <c r="K1022" s="118"/>
      <c r="L1022" s="118"/>
      <c r="M1022" s="118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117"/>
      <c r="AD1022" s="117"/>
      <c r="AE1022" s="117"/>
      <c r="AF1022" s="117"/>
      <c r="AG1022" s="117"/>
      <c r="AH1022" s="117"/>
      <c r="AI1022" s="117"/>
      <c r="AJ1022" s="117"/>
      <c r="AK1022" s="117"/>
      <c r="AL1022" s="117"/>
      <c r="AM1022" s="117"/>
      <c r="AN1022" s="117"/>
      <c r="AO1022" s="117"/>
      <c r="AP1022" s="117"/>
      <c r="AQ1022" s="117"/>
      <c r="AR1022" s="117"/>
      <c r="AS1022" s="117"/>
      <c r="AT1022" s="117"/>
      <c r="AU1022" s="117"/>
      <c r="AV1022" s="117"/>
      <c r="AW1022" s="117"/>
      <c r="AX1022" s="117"/>
      <c r="AY1022" s="117"/>
      <c r="AZ1022" s="117"/>
      <c r="BA1022" s="117"/>
      <c r="BB1022" s="117"/>
      <c r="BC1022" s="117"/>
      <c r="BD1022" s="117"/>
      <c r="BE1022" s="117"/>
      <c r="BF1022" s="117"/>
      <c r="BG1022" s="117"/>
    </row>
    <row r="1023" spans="1:59">
      <c r="A1023" s="117"/>
      <c r="B1023" s="117"/>
      <c r="C1023" s="117"/>
      <c r="D1023" s="117"/>
      <c r="E1023" s="117"/>
      <c r="F1023" s="117"/>
      <c r="G1023" s="117"/>
      <c r="H1023" s="117"/>
      <c r="I1023" s="117"/>
      <c r="J1023" s="118"/>
      <c r="K1023" s="118"/>
      <c r="L1023" s="118"/>
      <c r="M1023" s="118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117"/>
      <c r="AD1023" s="117"/>
      <c r="AE1023" s="117"/>
      <c r="AF1023" s="117"/>
      <c r="AG1023" s="117"/>
      <c r="AH1023" s="117"/>
      <c r="AI1023" s="117"/>
      <c r="AJ1023" s="117"/>
      <c r="AK1023" s="117"/>
      <c r="AL1023" s="117"/>
      <c r="AM1023" s="117"/>
      <c r="AN1023" s="117"/>
      <c r="AO1023" s="117"/>
      <c r="AP1023" s="117"/>
      <c r="AQ1023" s="117"/>
      <c r="AR1023" s="117"/>
      <c r="AS1023" s="117"/>
      <c r="AT1023" s="117"/>
      <c r="AU1023" s="117"/>
      <c r="AV1023" s="117"/>
      <c r="AW1023" s="117"/>
      <c r="AX1023" s="117"/>
      <c r="AY1023" s="117"/>
      <c r="AZ1023" s="117"/>
      <c r="BA1023" s="117"/>
      <c r="BB1023" s="117"/>
      <c r="BC1023" s="117"/>
      <c r="BD1023" s="117"/>
      <c r="BE1023" s="117"/>
      <c r="BF1023" s="117"/>
      <c r="BG1023" s="117"/>
    </row>
    <row r="1024" spans="1:59">
      <c r="A1024" s="117"/>
      <c r="B1024" s="117"/>
      <c r="C1024" s="117"/>
      <c r="D1024" s="117"/>
      <c r="E1024" s="117"/>
      <c r="F1024" s="117"/>
      <c r="G1024" s="117"/>
      <c r="H1024" s="117"/>
      <c r="I1024" s="117"/>
      <c r="J1024" s="118"/>
      <c r="K1024" s="118"/>
      <c r="L1024" s="118"/>
      <c r="M1024" s="118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117"/>
      <c r="AD1024" s="117"/>
      <c r="AE1024" s="117"/>
      <c r="AF1024" s="117"/>
      <c r="AG1024" s="117"/>
      <c r="AH1024" s="117"/>
      <c r="AI1024" s="117"/>
      <c r="AJ1024" s="117"/>
      <c r="AK1024" s="117"/>
      <c r="AL1024" s="117"/>
      <c r="AM1024" s="117"/>
      <c r="AN1024" s="117"/>
      <c r="AO1024" s="117"/>
      <c r="AP1024" s="117"/>
      <c r="AQ1024" s="117"/>
      <c r="AR1024" s="117"/>
      <c r="AS1024" s="117"/>
      <c r="AT1024" s="117"/>
      <c r="AU1024" s="117"/>
      <c r="AV1024" s="117"/>
      <c r="AW1024" s="117"/>
      <c r="AX1024" s="117"/>
      <c r="AY1024" s="117"/>
      <c r="AZ1024" s="117"/>
      <c r="BA1024" s="117"/>
      <c r="BB1024" s="117"/>
      <c r="BC1024" s="117"/>
      <c r="BD1024" s="117"/>
      <c r="BE1024" s="117"/>
      <c r="BF1024" s="117"/>
      <c r="BG1024" s="117"/>
    </row>
    <row r="1025" spans="1:59">
      <c r="A1025" s="117"/>
      <c r="B1025" s="117"/>
      <c r="C1025" s="117"/>
      <c r="D1025" s="117"/>
      <c r="E1025" s="117"/>
      <c r="F1025" s="117"/>
      <c r="G1025" s="117"/>
      <c r="H1025" s="117"/>
      <c r="I1025" s="117"/>
      <c r="J1025" s="118"/>
      <c r="K1025" s="118"/>
      <c r="L1025" s="118"/>
      <c r="M1025" s="118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117"/>
      <c r="AD1025" s="117"/>
      <c r="AE1025" s="117"/>
      <c r="AF1025" s="117"/>
      <c r="AG1025" s="117"/>
      <c r="AH1025" s="117"/>
      <c r="AI1025" s="117"/>
      <c r="AJ1025" s="117"/>
      <c r="AK1025" s="117"/>
      <c r="AL1025" s="117"/>
      <c r="AM1025" s="117"/>
      <c r="AN1025" s="117"/>
      <c r="AO1025" s="117"/>
      <c r="AP1025" s="117"/>
      <c r="AQ1025" s="117"/>
      <c r="AR1025" s="117"/>
      <c r="AS1025" s="117"/>
      <c r="AT1025" s="117"/>
      <c r="AU1025" s="117"/>
      <c r="AV1025" s="117"/>
      <c r="AW1025" s="117"/>
      <c r="AX1025" s="117"/>
      <c r="AY1025" s="117"/>
      <c r="AZ1025" s="117"/>
      <c r="BA1025" s="117"/>
      <c r="BB1025" s="117"/>
      <c r="BC1025" s="117"/>
      <c r="BD1025" s="117"/>
      <c r="BE1025" s="117"/>
      <c r="BF1025" s="117"/>
      <c r="BG1025" s="117"/>
    </row>
    <row r="1026" spans="1:59">
      <c r="A1026" s="117"/>
      <c r="B1026" s="117"/>
      <c r="C1026" s="117"/>
      <c r="D1026" s="117"/>
      <c r="E1026" s="117"/>
      <c r="F1026" s="117"/>
      <c r="G1026" s="117"/>
      <c r="H1026" s="117"/>
      <c r="I1026" s="117"/>
      <c r="J1026" s="118"/>
      <c r="K1026" s="118"/>
      <c r="L1026" s="118"/>
      <c r="M1026" s="118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117"/>
      <c r="AD1026" s="117"/>
      <c r="AE1026" s="117"/>
      <c r="AF1026" s="117"/>
      <c r="AG1026" s="117"/>
      <c r="AH1026" s="117"/>
      <c r="AI1026" s="117"/>
      <c r="AJ1026" s="117"/>
      <c r="AK1026" s="117"/>
      <c r="AL1026" s="117"/>
      <c r="AM1026" s="117"/>
      <c r="AN1026" s="117"/>
      <c r="AO1026" s="117"/>
      <c r="AP1026" s="117"/>
      <c r="AQ1026" s="117"/>
      <c r="AR1026" s="117"/>
      <c r="AS1026" s="117"/>
      <c r="AT1026" s="117"/>
      <c r="AU1026" s="117"/>
      <c r="AV1026" s="117"/>
      <c r="AW1026" s="117"/>
      <c r="AX1026" s="117"/>
      <c r="AY1026" s="117"/>
      <c r="AZ1026" s="117"/>
      <c r="BA1026" s="117"/>
      <c r="BB1026" s="117"/>
      <c r="BC1026" s="117"/>
      <c r="BD1026" s="117"/>
      <c r="BE1026" s="117"/>
      <c r="BF1026" s="117"/>
      <c r="BG1026" s="117"/>
    </row>
    <row r="1027" spans="1:59">
      <c r="A1027" s="117"/>
      <c r="B1027" s="117"/>
      <c r="C1027" s="117"/>
      <c r="D1027" s="117"/>
      <c r="E1027" s="117"/>
      <c r="F1027" s="117"/>
      <c r="G1027" s="117"/>
      <c r="H1027" s="117"/>
      <c r="I1027" s="117"/>
      <c r="J1027" s="118"/>
      <c r="K1027" s="118"/>
      <c r="L1027" s="118"/>
      <c r="M1027" s="118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117"/>
      <c r="AD1027" s="117"/>
      <c r="AE1027" s="117"/>
      <c r="AF1027" s="117"/>
      <c r="AG1027" s="117"/>
      <c r="AH1027" s="117"/>
      <c r="AI1027" s="117"/>
      <c r="AJ1027" s="117"/>
      <c r="AK1027" s="117"/>
      <c r="AL1027" s="117"/>
      <c r="AM1027" s="117"/>
      <c r="AN1027" s="117"/>
      <c r="AO1027" s="117"/>
      <c r="AP1027" s="117"/>
      <c r="AQ1027" s="117"/>
      <c r="AR1027" s="117"/>
      <c r="AS1027" s="117"/>
      <c r="AT1027" s="117"/>
      <c r="AU1027" s="117"/>
      <c r="AV1027" s="117"/>
      <c r="AW1027" s="117"/>
      <c r="AX1027" s="117"/>
      <c r="AY1027" s="117"/>
      <c r="AZ1027" s="117"/>
      <c r="BA1027" s="117"/>
      <c r="BB1027" s="117"/>
      <c r="BC1027" s="117"/>
      <c r="BD1027" s="117"/>
      <c r="BE1027" s="117"/>
      <c r="BF1027" s="117"/>
      <c r="BG1027" s="117"/>
    </row>
    <row r="1028" spans="1:59">
      <c r="A1028" s="117"/>
      <c r="B1028" s="117"/>
      <c r="C1028" s="117"/>
      <c r="D1028" s="117"/>
      <c r="E1028" s="117"/>
      <c r="F1028" s="117"/>
      <c r="G1028" s="117"/>
      <c r="H1028" s="117"/>
      <c r="I1028" s="117"/>
      <c r="J1028" s="118"/>
      <c r="K1028" s="118"/>
      <c r="L1028" s="118"/>
      <c r="M1028" s="118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117"/>
      <c r="AD1028" s="117"/>
      <c r="AE1028" s="117"/>
      <c r="AF1028" s="117"/>
      <c r="AG1028" s="117"/>
      <c r="AH1028" s="117"/>
      <c r="AI1028" s="117"/>
      <c r="AJ1028" s="117"/>
      <c r="AK1028" s="117"/>
      <c r="AL1028" s="117"/>
      <c r="AM1028" s="117"/>
      <c r="AN1028" s="117"/>
      <c r="AO1028" s="117"/>
      <c r="AP1028" s="117"/>
      <c r="AQ1028" s="117"/>
      <c r="AR1028" s="117"/>
      <c r="AS1028" s="117"/>
      <c r="AT1028" s="117"/>
      <c r="AU1028" s="117"/>
      <c r="AV1028" s="117"/>
      <c r="AW1028" s="117"/>
      <c r="AX1028" s="117"/>
      <c r="AY1028" s="117"/>
      <c r="AZ1028" s="117"/>
      <c r="BA1028" s="117"/>
      <c r="BB1028" s="117"/>
      <c r="BC1028" s="117"/>
      <c r="BD1028" s="117"/>
      <c r="BE1028" s="117"/>
      <c r="BF1028" s="117"/>
      <c r="BG1028" s="117"/>
    </row>
    <row r="1029" spans="1:59">
      <c r="A1029" s="117"/>
      <c r="B1029" s="117"/>
      <c r="C1029" s="117"/>
      <c r="D1029" s="117"/>
      <c r="E1029" s="117"/>
      <c r="F1029" s="117"/>
      <c r="G1029" s="117"/>
      <c r="H1029" s="117"/>
      <c r="I1029" s="117"/>
      <c r="J1029" s="118"/>
      <c r="K1029" s="118"/>
      <c r="L1029" s="118"/>
      <c r="M1029" s="118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117"/>
      <c r="AD1029" s="117"/>
      <c r="AE1029" s="117"/>
      <c r="AF1029" s="117"/>
      <c r="AG1029" s="117"/>
      <c r="AH1029" s="117"/>
      <c r="AI1029" s="117"/>
      <c r="AJ1029" s="117"/>
      <c r="AK1029" s="117"/>
      <c r="AL1029" s="117"/>
      <c r="AM1029" s="117"/>
      <c r="AN1029" s="117"/>
      <c r="AO1029" s="117"/>
      <c r="AP1029" s="117"/>
      <c r="AQ1029" s="117"/>
      <c r="AR1029" s="117"/>
      <c r="AS1029" s="117"/>
      <c r="AT1029" s="117"/>
      <c r="AU1029" s="117"/>
      <c r="AV1029" s="117"/>
      <c r="AW1029" s="117"/>
      <c r="AX1029" s="117"/>
      <c r="AY1029" s="117"/>
      <c r="AZ1029" s="117"/>
      <c r="BA1029" s="117"/>
      <c r="BB1029" s="117"/>
      <c r="BC1029" s="117"/>
      <c r="BD1029" s="117"/>
      <c r="BE1029" s="117"/>
      <c r="BF1029" s="117"/>
      <c r="BG1029" s="117"/>
    </row>
    <row r="1030" spans="1:59">
      <c r="A1030" s="117"/>
      <c r="B1030" s="117"/>
      <c r="C1030" s="117"/>
      <c r="D1030" s="117"/>
      <c r="E1030" s="117"/>
      <c r="F1030" s="117"/>
      <c r="G1030" s="117"/>
      <c r="H1030" s="117"/>
      <c r="I1030" s="117"/>
      <c r="J1030" s="118"/>
      <c r="K1030" s="118"/>
      <c r="L1030" s="118"/>
      <c r="M1030" s="118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117"/>
      <c r="AD1030" s="117"/>
      <c r="AE1030" s="117"/>
      <c r="AF1030" s="117"/>
      <c r="AG1030" s="117"/>
      <c r="AH1030" s="117"/>
      <c r="AI1030" s="117"/>
      <c r="AJ1030" s="117"/>
      <c r="AK1030" s="117"/>
      <c r="AL1030" s="117"/>
      <c r="AM1030" s="117"/>
      <c r="AN1030" s="117"/>
      <c r="AO1030" s="117"/>
      <c r="AP1030" s="117"/>
      <c r="AQ1030" s="117"/>
      <c r="AR1030" s="117"/>
      <c r="AS1030" s="117"/>
      <c r="AT1030" s="117"/>
      <c r="AU1030" s="117"/>
      <c r="AV1030" s="117"/>
      <c r="AW1030" s="117"/>
      <c r="AX1030" s="117"/>
      <c r="AY1030" s="117"/>
      <c r="AZ1030" s="117"/>
      <c r="BA1030" s="117"/>
      <c r="BB1030" s="117"/>
      <c r="BC1030" s="117"/>
      <c r="BD1030" s="117"/>
      <c r="BE1030" s="117"/>
      <c r="BF1030" s="117"/>
      <c r="BG1030" s="117"/>
    </row>
    <row r="1031" spans="1:59">
      <c r="A1031" s="117"/>
      <c r="B1031" s="117"/>
      <c r="C1031" s="117"/>
      <c r="D1031" s="117"/>
      <c r="E1031" s="117"/>
      <c r="F1031" s="117"/>
      <c r="G1031" s="117"/>
      <c r="H1031" s="117"/>
      <c r="I1031" s="117"/>
      <c r="J1031" s="118"/>
      <c r="K1031" s="118"/>
      <c r="L1031" s="118"/>
      <c r="M1031" s="118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117"/>
      <c r="AD1031" s="117"/>
      <c r="AE1031" s="117"/>
      <c r="AF1031" s="117"/>
      <c r="AG1031" s="117"/>
      <c r="AH1031" s="117"/>
      <c r="AI1031" s="117"/>
      <c r="AJ1031" s="117"/>
      <c r="AK1031" s="117"/>
      <c r="AL1031" s="117"/>
      <c r="AM1031" s="117"/>
      <c r="AN1031" s="117"/>
      <c r="AO1031" s="117"/>
      <c r="AP1031" s="117"/>
      <c r="AQ1031" s="117"/>
      <c r="AR1031" s="117"/>
      <c r="AS1031" s="117"/>
      <c r="AT1031" s="117"/>
      <c r="AU1031" s="117"/>
      <c r="AV1031" s="117"/>
      <c r="AW1031" s="117"/>
      <c r="AX1031" s="117"/>
      <c r="AY1031" s="117"/>
      <c r="AZ1031" s="117"/>
      <c r="BA1031" s="117"/>
      <c r="BB1031" s="117"/>
      <c r="BC1031" s="117"/>
      <c r="BD1031" s="117"/>
      <c r="BE1031" s="117"/>
      <c r="BF1031" s="117"/>
      <c r="BG1031" s="117"/>
    </row>
    <row r="1032" spans="1:59">
      <c r="A1032" s="117"/>
      <c r="B1032" s="117"/>
      <c r="C1032" s="117"/>
      <c r="D1032" s="117"/>
      <c r="E1032" s="117"/>
      <c r="F1032" s="117"/>
      <c r="G1032" s="117"/>
      <c r="H1032" s="117"/>
      <c r="I1032" s="117"/>
      <c r="J1032" s="118"/>
      <c r="K1032" s="118"/>
      <c r="L1032" s="118"/>
      <c r="M1032" s="118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117"/>
      <c r="AD1032" s="117"/>
      <c r="AE1032" s="117"/>
      <c r="AF1032" s="117"/>
      <c r="AG1032" s="117"/>
      <c r="AH1032" s="117"/>
      <c r="AI1032" s="117"/>
      <c r="AJ1032" s="117"/>
      <c r="AK1032" s="117"/>
      <c r="AL1032" s="117"/>
      <c r="AM1032" s="117"/>
      <c r="AN1032" s="117"/>
      <c r="AO1032" s="117"/>
      <c r="AP1032" s="117"/>
      <c r="AQ1032" s="117"/>
      <c r="AR1032" s="117"/>
      <c r="AS1032" s="117"/>
      <c r="AT1032" s="117"/>
      <c r="AU1032" s="117"/>
      <c r="AV1032" s="117"/>
      <c r="AW1032" s="117"/>
      <c r="AX1032" s="117"/>
      <c r="AY1032" s="117"/>
      <c r="AZ1032" s="117"/>
      <c r="BA1032" s="117"/>
      <c r="BB1032" s="117"/>
      <c r="BC1032" s="117"/>
      <c r="BD1032" s="117"/>
      <c r="BE1032" s="117"/>
      <c r="BF1032" s="117"/>
      <c r="BG1032" s="117"/>
    </row>
    <row r="1033" spans="1:59">
      <c r="A1033" s="117"/>
      <c r="B1033" s="117"/>
      <c r="C1033" s="117"/>
      <c r="D1033" s="117"/>
      <c r="E1033" s="117"/>
      <c r="F1033" s="117"/>
      <c r="G1033" s="117"/>
      <c r="H1033" s="117"/>
      <c r="I1033" s="117"/>
      <c r="J1033" s="118"/>
      <c r="K1033" s="118"/>
      <c r="L1033" s="118"/>
      <c r="M1033" s="118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117"/>
      <c r="AD1033" s="117"/>
      <c r="AE1033" s="117"/>
      <c r="AF1033" s="117"/>
      <c r="AG1033" s="117"/>
      <c r="AH1033" s="117"/>
      <c r="AI1033" s="117"/>
      <c r="AJ1033" s="117"/>
      <c r="AK1033" s="117"/>
      <c r="AL1033" s="117"/>
      <c r="AM1033" s="117"/>
      <c r="AN1033" s="117"/>
      <c r="AO1033" s="117"/>
      <c r="AP1033" s="117"/>
      <c r="AQ1033" s="117"/>
      <c r="AR1033" s="117"/>
      <c r="AS1033" s="117"/>
      <c r="AT1033" s="117"/>
      <c r="AU1033" s="117"/>
      <c r="AV1033" s="117"/>
      <c r="AW1033" s="117"/>
      <c r="AX1033" s="117"/>
      <c r="AY1033" s="117"/>
      <c r="AZ1033" s="117"/>
      <c r="BA1033" s="117"/>
      <c r="BB1033" s="117"/>
      <c r="BC1033" s="117"/>
      <c r="BD1033" s="117"/>
      <c r="BE1033" s="117"/>
      <c r="BF1033" s="117"/>
      <c r="BG1033" s="117"/>
    </row>
    <row r="1034" spans="1:59">
      <c r="A1034" s="117"/>
      <c r="B1034" s="117"/>
      <c r="C1034" s="117"/>
      <c r="D1034" s="117"/>
      <c r="E1034" s="117"/>
      <c r="F1034" s="117"/>
      <c r="G1034" s="117"/>
      <c r="H1034" s="117"/>
      <c r="I1034" s="117"/>
      <c r="J1034" s="118"/>
      <c r="K1034" s="118"/>
      <c r="L1034" s="118"/>
      <c r="M1034" s="118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117"/>
      <c r="AD1034" s="117"/>
      <c r="AE1034" s="117"/>
      <c r="AF1034" s="117"/>
      <c r="AG1034" s="117"/>
      <c r="AH1034" s="117"/>
      <c r="AI1034" s="117"/>
      <c r="AJ1034" s="117"/>
      <c r="AK1034" s="117"/>
      <c r="AL1034" s="117"/>
      <c r="AM1034" s="117"/>
      <c r="AN1034" s="117"/>
      <c r="AO1034" s="117"/>
      <c r="AP1034" s="117"/>
      <c r="AQ1034" s="117"/>
      <c r="AR1034" s="117"/>
      <c r="AS1034" s="117"/>
      <c r="AT1034" s="117"/>
      <c r="AU1034" s="117"/>
      <c r="AV1034" s="117"/>
      <c r="AW1034" s="117"/>
      <c r="AX1034" s="117"/>
      <c r="AY1034" s="117"/>
      <c r="AZ1034" s="117"/>
      <c r="BA1034" s="117"/>
      <c r="BB1034" s="117"/>
      <c r="BC1034" s="117"/>
      <c r="BD1034" s="117"/>
      <c r="BE1034" s="117"/>
      <c r="BF1034" s="117"/>
      <c r="BG1034" s="117"/>
    </row>
    <row r="1035" spans="1:59">
      <c r="A1035" s="117"/>
      <c r="B1035" s="117"/>
      <c r="C1035" s="117"/>
      <c r="D1035" s="117"/>
      <c r="E1035" s="117"/>
      <c r="F1035" s="117"/>
      <c r="G1035" s="117"/>
      <c r="H1035" s="117"/>
      <c r="I1035" s="117"/>
      <c r="J1035" s="118"/>
      <c r="K1035" s="118"/>
      <c r="L1035" s="118"/>
      <c r="M1035" s="118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117"/>
      <c r="AD1035" s="117"/>
      <c r="AE1035" s="117"/>
      <c r="AF1035" s="117"/>
      <c r="AG1035" s="117"/>
      <c r="AH1035" s="117"/>
      <c r="AI1035" s="117"/>
      <c r="AJ1035" s="117"/>
      <c r="AK1035" s="117"/>
      <c r="AL1035" s="117"/>
      <c r="AM1035" s="117"/>
      <c r="AN1035" s="117"/>
      <c r="AO1035" s="117"/>
      <c r="AP1035" s="117"/>
      <c r="AQ1035" s="117"/>
      <c r="AR1035" s="117"/>
      <c r="AS1035" s="117"/>
      <c r="AT1035" s="117"/>
      <c r="AU1035" s="117"/>
      <c r="AV1035" s="117"/>
      <c r="AW1035" s="117"/>
      <c r="AX1035" s="117"/>
      <c r="AY1035" s="117"/>
      <c r="AZ1035" s="117"/>
      <c r="BA1035" s="117"/>
      <c r="BB1035" s="117"/>
      <c r="BC1035" s="117"/>
      <c r="BD1035" s="117"/>
      <c r="BE1035" s="117"/>
      <c r="BF1035" s="117"/>
      <c r="BG1035" s="117"/>
    </row>
    <row r="1036" spans="1:59">
      <c r="A1036" s="117"/>
      <c r="B1036" s="117"/>
      <c r="C1036" s="117"/>
      <c r="D1036" s="117"/>
      <c r="E1036" s="117"/>
      <c r="F1036" s="117"/>
      <c r="G1036" s="117"/>
      <c r="H1036" s="117"/>
      <c r="I1036" s="117"/>
      <c r="J1036" s="118"/>
      <c r="K1036" s="118"/>
      <c r="L1036" s="118"/>
      <c r="M1036" s="118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117"/>
      <c r="AD1036" s="117"/>
      <c r="AE1036" s="117"/>
      <c r="AF1036" s="117"/>
      <c r="AG1036" s="117"/>
      <c r="AH1036" s="117"/>
      <c r="AI1036" s="117"/>
      <c r="AJ1036" s="117"/>
      <c r="AK1036" s="117"/>
      <c r="AL1036" s="117"/>
      <c r="AM1036" s="117"/>
      <c r="AN1036" s="117"/>
      <c r="AO1036" s="117"/>
      <c r="AP1036" s="117"/>
      <c r="AQ1036" s="117"/>
      <c r="AR1036" s="117"/>
      <c r="AS1036" s="117"/>
      <c r="AT1036" s="117"/>
      <c r="AU1036" s="117"/>
      <c r="AV1036" s="117"/>
      <c r="AW1036" s="117"/>
      <c r="AX1036" s="117"/>
      <c r="AY1036" s="117"/>
      <c r="AZ1036" s="117"/>
      <c r="BA1036" s="117"/>
      <c r="BB1036" s="117"/>
      <c r="BC1036" s="117"/>
      <c r="BD1036" s="117"/>
      <c r="BE1036" s="117"/>
      <c r="BF1036" s="117"/>
      <c r="BG1036" s="117"/>
    </row>
    <row r="1037" spans="1:59">
      <c r="A1037" s="117"/>
      <c r="B1037" s="117"/>
      <c r="C1037" s="117"/>
      <c r="D1037" s="117"/>
      <c r="E1037" s="117"/>
      <c r="F1037" s="117"/>
      <c r="G1037" s="117"/>
      <c r="H1037" s="117"/>
      <c r="I1037" s="117"/>
      <c r="J1037" s="118"/>
      <c r="K1037" s="118"/>
      <c r="L1037" s="118"/>
      <c r="M1037" s="118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117"/>
      <c r="AD1037" s="117"/>
      <c r="AE1037" s="117"/>
      <c r="AF1037" s="117"/>
      <c r="AG1037" s="117"/>
      <c r="AH1037" s="117"/>
      <c r="AI1037" s="117"/>
      <c r="AJ1037" s="117"/>
      <c r="AK1037" s="117"/>
      <c r="AL1037" s="117"/>
      <c r="AM1037" s="117"/>
      <c r="AN1037" s="117"/>
      <c r="AO1037" s="117"/>
      <c r="AP1037" s="117"/>
      <c r="AQ1037" s="117"/>
      <c r="AR1037" s="117"/>
      <c r="AS1037" s="117"/>
      <c r="AT1037" s="117"/>
      <c r="AU1037" s="117"/>
      <c r="AV1037" s="117"/>
      <c r="AW1037" s="117"/>
      <c r="AX1037" s="117"/>
      <c r="AY1037" s="117"/>
      <c r="AZ1037" s="117"/>
      <c r="BA1037" s="117"/>
      <c r="BB1037" s="117"/>
      <c r="BC1037" s="117"/>
      <c r="BD1037" s="117"/>
      <c r="BE1037" s="117"/>
      <c r="BF1037" s="117"/>
      <c r="BG1037" s="117"/>
    </row>
    <row r="1038" spans="1:59">
      <c r="A1038" s="117"/>
      <c r="B1038" s="117"/>
      <c r="C1038" s="117"/>
      <c r="D1038" s="117"/>
      <c r="E1038" s="117"/>
      <c r="F1038" s="117"/>
      <c r="G1038" s="117"/>
      <c r="H1038" s="117"/>
      <c r="I1038" s="117"/>
      <c r="J1038" s="118"/>
      <c r="K1038" s="118"/>
      <c r="L1038" s="118"/>
      <c r="M1038" s="118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117"/>
      <c r="AD1038" s="117"/>
      <c r="AE1038" s="117"/>
      <c r="AF1038" s="117"/>
      <c r="AG1038" s="117"/>
      <c r="AH1038" s="117"/>
      <c r="AI1038" s="117"/>
      <c r="AJ1038" s="117"/>
      <c r="AK1038" s="117"/>
      <c r="AL1038" s="117"/>
      <c r="AM1038" s="117"/>
      <c r="AN1038" s="117"/>
      <c r="AO1038" s="117"/>
      <c r="AP1038" s="117"/>
      <c r="AQ1038" s="117"/>
      <c r="AR1038" s="117"/>
      <c r="AS1038" s="117"/>
      <c r="AT1038" s="117"/>
      <c r="AU1038" s="117"/>
      <c r="AV1038" s="117"/>
      <c r="AW1038" s="117"/>
      <c r="AX1038" s="117"/>
      <c r="AY1038" s="117"/>
      <c r="AZ1038" s="117"/>
      <c r="BA1038" s="117"/>
      <c r="BB1038" s="117"/>
      <c r="BC1038" s="117"/>
      <c r="BD1038" s="117"/>
      <c r="BE1038" s="117"/>
      <c r="BF1038" s="117"/>
      <c r="BG1038" s="117"/>
    </row>
    <row r="1039" spans="1:59">
      <c r="A1039" s="117"/>
      <c r="B1039" s="117"/>
      <c r="C1039" s="117"/>
      <c r="D1039" s="117"/>
      <c r="E1039" s="117"/>
      <c r="F1039" s="117"/>
      <c r="G1039" s="117"/>
      <c r="H1039" s="117"/>
      <c r="I1039" s="117"/>
      <c r="J1039" s="118"/>
      <c r="K1039" s="118"/>
      <c r="L1039" s="118"/>
      <c r="M1039" s="118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117"/>
      <c r="AD1039" s="117"/>
      <c r="AE1039" s="117"/>
      <c r="AF1039" s="117"/>
      <c r="AG1039" s="117"/>
      <c r="AH1039" s="117"/>
      <c r="AI1039" s="117"/>
      <c r="AJ1039" s="117"/>
      <c r="AK1039" s="117"/>
      <c r="AL1039" s="117"/>
      <c r="AM1039" s="117"/>
      <c r="AN1039" s="117"/>
      <c r="AO1039" s="117"/>
      <c r="AP1039" s="117"/>
      <c r="AQ1039" s="117"/>
      <c r="AR1039" s="117"/>
      <c r="AS1039" s="117"/>
      <c r="AT1039" s="117"/>
      <c r="AU1039" s="117"/>
      <c r="AV1039" s="117"/>
      <c r="AW1039" s="117"/>
      <c r="AX1039" s="117"/>
      <c r="AY1039" s="117"/>
      <c r="AZ1039" s="117"/>
      <c r="BA1039" s="117"/>
      <c r="BB1039" s="117"/>
      <c r="BC1039" s="117"/>
      <c r="BD1039" s="117"/>
      <c r="BE1039" s="117"/>
      <c r="BF1039" s="117"/>
      <c r="BG1039" s="117"/>
    </row>
    <row r="1040" spans="1:59">
      <c r="A1040" s="117"/>
      <c r="B1040" s="117"/>
      <c r="C1040" s="117"/>
      <c r="D1040" s="117"/>
      <c r="E1040" s="117"/>
      <c r="F1040" s="117"/>
      <c r="G1040" s="117"/>
      <c r="H1040" s="117"/>
      <c r="I1040" s="117"/>
      <c r="J1040" s="118"/>
      <c r="K1040" s="118"/>
      <c r="L1040" s="118"/>
      <c r="M1040" s="118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117"/>
      <c r="AD1040" s="117"/>
      <c r="AE1040" s="117"/>
      <c r="AF1040" s="117"/>
      <c r="AG1040" s="117"/>
      <c r="AH1040" s="117"/>
      <c r="AI1040" s="117"/>
      <c r="AJ1040" s="117"/>
      <c r="AK1040" s="117"/>
      <c r="AL1040" s="117"/>
      <c r="AM1040" s="117"/>
      <c r="AN1040" s="117"/>
      <c r="AO1040" s="117"/>
      <c r="AP1040" s="117"/>
      <c r="AQ1040" s="117"/>
      <c r="AR1040" s="117"/>
      <c r="AS1040" s="117"/>
      <c r="AT1040" s="117"/>
      <c r="AU1040" s="117"/>
      <c r="AV1040" s="117"/>
      <c r="AW1040" s="117"/>
      <c r="AX1040" s="117"/>
      <c r="AY1040" s="117"/>
      <c r="AZ1040" s="117"/>
      <c r="BA1040" s="117"/>
      <c r="BB1040" s="117"/>
      <c r="BC1040" s="117"/>
      <c r="BD1040" s="117"/>
      <c r="BE1040" s="117"/>
      <c r="BF1040" s="117"/>
      <c r="BG1040" s="117"/>
    </row>
    <row r="1041" spans="1:59">
      <c r="A1041" s="117"/>
      <c r="B1041" s="117"/>
      <c r="C1041" s="117"/>
      <c r="D1041" s="117"/>
      <c r="E1041" s="117"/>
      <c r="F1041" s="117"/>
      <c r="G1041" s="117"/>
      <c r="H1041" s="117"/>
      <c r="I1041" s="117"/>
      <c r="J1041" s="118"/>
      <c r="K1041" s="118"/>
      <c r="L1041" s="118"/>
      <c r="M1041" s="118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117"/>
      <c r="AD1041" s="117"/>
      <c r="AE1041" s="117"/>
      <c r="AF1041" s="117"/>
      <c r="AG1041" s="117"/>
      <c r="AH1041" s="117"/>
      <c r="AI1041" s="117"/>
      <c r="AJ1041" s="117"/>
      <c r="AK1041" s="117"/>
      <c r="AL1041" s="117"/>
      <c r="AM1041" s="117"/>
      <c r="AN1041" s="117"/>
      <c r="AO1041" s="117"/>
      <c r="AP1041" s="117"/>
      <c r="AQ1041" s="117"/>
      <c r="AR1041" s="117"/>
      <c r="AS1041" s="117"/>
      <c r="AT1041" s="117"/>
      <c r="AU1041" s="117"/>
      <c r="AV1041" s="117"/>
      <c r="AW1041" s="117"/>
      <c r="AX1041" s="117"/>
      <c r="AY1041" s="117"/>
      <c r="AZ1041" s="117"/>
      <c r="BA1041" s="117"/>
      <c r="BB1041" s="117"/>
      <c r="BC1041" s="117"/>
      <c r="BD1041" s="117"/>
      <c r="BE1041" s="117"/>
      <c r="BF1041" s="117"/>
      <c r="BG1041" s="117"/>
    </row>
    <row r="1042" spans="1:59">
      <c r="A1042" s="117"/>
      <c r="B1042" s="117"/>
      <c r="C1042" s="117"/>
      <c r="D1042" s="117"/>
      <c r="E1042" s="117"/>
      <c r="F1042" s="117"/>
      <c r="G1042" s="117"/>
      <c r="H1042" s="117"/>
      <c r="I1042" s="117"/>
      <c r="J1042" s="118"/>
      <c r="K1042" s="118"/>
      <c r="L1042" s="118"/>
      <c r="M1042" s="118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117"/>
      <c r="AD1042" s="117"/>
      <c r="AE1042" s="117"/>
      <c r="AF1042" s="117"/>
      <c r="AG1042" s="117"/>
      <c r="AH1042" s="117"/>
      <c r="AI1042" s="117"/>
      <c r="AJ1042" s="117"/>
      <c r="AK1042" s="117"/>
      <c r="AL1042" s="117"/>
      <c r="AM1042" s="117"/>
      <c r="AN1042" s="117"/>
      <c r="AO1042" s="117"/>
      <c r="AP1042" s="117"/>
      <c r="AQ1042" s="117"/>
      <c r="AR1042" s="117"/>
      <c r="AS1042" s="117"/>
      <c r="AT1042" s="117"/>
      <c r="AU1042" s="117"/>
      <c r="AV1042" s="117"/>
      <c r="AW1042" s="117"/>
      <c r="AX1042" s="117"/>
      <c r="AY1042" s="117"/>
      <c r="AZ1042" s="117"/>
      <c r="BA1042" s="117"/>
      <c r="BB1042" s="117"/>
      <c r="BC1042" s="117"/>
      <c r="BD1042" s="117"/>
      <c r="BE1042" s="117"/>
      <c r="BF1042" s="117"/>
      <c r="BG1042" s="117"/>
    </row>
    <row r="1043" spans="1:59">
      <c r="A1043" s="117"/>
      <c r="B1043" s="117"/>
      <c r="C1043" s="117"/>
      <c r="D1043" s="117"/>
      <c r="E1043" s="117"/>
      <c r="F1043" s="117"/>
      <c r="G1043" s="117"/>
      <c r="H1043" s="117"/>
      <c r="I1043" s="117"/>
      <c r="J1043" s="118"/>
      <c r="K1043" s="118"/>
      <c r="L1043" s="118"/>
      <c r="M1043" s="118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117"/>
      <c r="AD1043" s="117"/>
      <c r="AE1043" s="117"/>
      <c r="AF1043" s="117"/>
      <c r="AG1043" s="117"/>
      <c r="AH1043" s="117"/>
      <c r="AI1043" s="117"/>
      <c r="AJ1043" s="117"/>
      <c r="AK1043" s="117"/>
      <c r="AL1043" s="117"/>
      <c r="AM1043" s="117"/>
      <c r="AN1043" s="117"/>
      <c r="AO1043" s="117"/>
      <c r="AP1043" s="117"/>
      <c r="AQ1043" s="117"/>
      <c r="AR1043" s="117"/>
      <c r="AS1043" s="117"/>
      <c r="AT1043" s="117"/>
      <c r="AU1043" s="117"/>
      <c r="AV1043" s="117"/>
      <c r="AW1043" s="117"/>
      <c r="AX1043" s="117"/>
      <c r="AY1043" s="117"/>
      <c r="AZ1043" s="117"/>
      <c r="BA1043" s="117"/>
      <c r="BB1043" s="117"/>
      <c r="BC1043" s="117"/>
      <c r="BD1043" s="117"/>
      <c r="BE1043" s="117"/>
      <c r="BF1043" s="117"/>
      <c r="BG1043" s="117"/>
    </row>
    <row r="1044" spans="1:59">
      <c r="A1044" s="117"/>
      <c r="B1044" s="117"/>
      <c r="C1044" s="117"/>
      <c r="D1044" s="117"/>
      <c r="E1044" s="117"/>
      <c r="F1044" s="117"/>
      <c r="G1044" s="117"/>
      <c r="H1044" s="117"/>
      <c r="I1044" s="117"/>
      <c r="J1044" s="118"/>
      <c r="K1044" s="118"/>
      <c r="L1044" s="118"/>
      <c r="M1044" s="118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117"/>
      <c r="AD1044" s="117"/>
      <c r="AE1044" s="117"/>
      <c r="AF1044" s="117"/>
      <c r="AG1044" s="117"/>
      <c r="AH1044" s="117"/>
      <c r="AI1044" s="117"/>
      <c r="AJ1044" s="117"/>
      <c r="AK1044" s="117"/>
      <c r="AL1044" s="117"/>
      <c r="AM1044" s="117"/>
      <c r="AN1044" s="117"/>
      <c r="AO1044" s="117"/>
      <c r="AP1044" s="117"/>
      <c r="AQ1044" s="117"/>
      <c r="AR1044" s="117"/>
      <c r="AS1044" s="117"/>
      <c r="AT1044" s="117"/>
      <c r="AU1044" s="117"/>
      <c r="AV1044" s="117"/>
      <c r="AW1044" s="117"/>
      <c r="AX1044" s="117"/>
      <c r="AY1044" s="117"/>
      <c r="AZ1044" s="117"/>
      <c r="BA1044" s="117"/>
      <c r="BB1044" s="117"/>
      <c r="BC1044" s="117"/>
      <c r="BD1044" s="117"/>
      <c r="BE1044" s="117"/>
      <c r="BF1044" s="117"/>
      <c r="BG1044" s="117"/>
    </row>
    <row r="1045" spans="1:59">
      <c r="A1045" s="117"/>
      <c r="B1045" s="117"/>
      <c r="C1045" s="117"/>
      <c r="D1045" s="117"/>
      <c r="E1045" s="117"/>
      <c r="F1045" s="117"/>
      <c r="G1045" s="117"/>
      <c r="H1045" s="117"/>
      <c r="I1045" s="117"/>
      <c r="J1045" s="118"/>
      <c r="K1045" s="118"/>
      <c r="L1045" s="118"/>
      <c r="M1045" s="118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117"/>
      <c r="AD1045" s="117"/>
      <c r="AE1045" s="117"/>
      <c r="AF1045" s="117"/>
      <c r="AG1045" s="117"/>
      <c r="AH1045" s="117"/>
      <c r="AI1045" s="117"/>
      <c r="AJ1045" s="117"/>
      <c r="AK1045" s="117"/>
      <c r="AL1045" s="117"/>
      <c r="AM1045" s="117"/>
      <c r="AN1045" s="117"/>
      <c r="AO1045" s="117"/>
      <c r="AP1045" s="117"/>
      <c r="AQ1045" s="117"/>
      <c r="AR1045" s="117"/>
      <c r="AS1045" s="117"/>
      <c r="AT1045" s="117"/>
      <c r="AU1045" s="117"/>
      <c r="AV1045" s="117"/>
      <c r="AW1045" s="117"/>
      <c r="AX1045" s="117"/>
      <c r="AY1045" s="117"/>
      <c r="AZ1045" s="117"/>
      <c r="BA1045" s="117"/>
      <c r="BB1045" s="117"/>
      <c r="BC1045" s="117"/>
      <c r="BD1045" s="117"/>
      <c r="BE1045" s="117"/>
      <c r="BF1045" s="117"/>
      <c r="BG1045" s="117"/>
    </row>
    <row r="1046" spans="1:59">
      <c r="A1046" s="117"/>
      <c r="B1046" s="117"/>
      <c r="C1046" s="117"/>
      <c r="D1046" s="117"/>
      <c r="E1046" s="117"/>
      <c r="F1046" s="117"/>
      <c r="G1046" s="117"/>
      <c r="H1046" s="117"/>
      <c r="I1046" s="117"/>
      <c r="J1046" s="118"/>
      <c r="K1046" s="118"/>
      <c r="L1046" s="118"/>
      <c r="M1046" s="118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117"/>
      <c r="AD1046" s="117"/>
      <c r="AE1046" s="117"/>
      <c r="AF1046" s="117"/>
      <c r="AG1046" s="117"/>
      <c r="AH1046" s="117"/>
      <c r="AI1046" s="117"/>
      <c r="AJ1046" s="117"/>
      <c r="AK1046" s="117"/>
      <c r="AL1046" s="117"/>
      <c r="AM1046" s="117"/>
      <c r="AN1046" s="117"/>
      <c r="AO1046" s="117"/>
      <c r="AP1046" s="117"/>
      <c r="AQ1046" s="117"/>
      <c r="AR1046" s="117"/>
      <c r="AS1046" s="117"/>
      <c r="AT1046" s="117"/>
      <c r="AU1046" s="117"/>
      <c r="AV1046" s="117"/>
      <c r="AW1046" s="117"/>
      <c r="AX1046" s="117"/>
      <c r="AY1046" s="117"/>
      <c r="AZ1046" s="117"/>
      <c r="BA1046" s="117"/>
      <c r="BB1046" s="117"/>
      <c r="BC1046" s="117"/>
      <c r="BD1046" s="117"/>
      <c r="BE1046" s="117"/>
      <c r="BF1046" s="117"/>
      <c r="BG1046" s="117"/>
    </row>
    <row r="1047" spans="1:59">
      <c r="A1047" s="117"/>
      <c r="B1047" s="117"/>
      <c r="C1047" s="117"/>
      <c r="D1047" s="117"/>
      <c r="E1047" s="117"/>
      <c r="F1047" s="117"/>
      <c r="G1047" s="117"/>
      <c r="H1047" s="117"/>
      <c r="I1047" s="117"/>
      <c r="J1047" s="118"/>
      <c r="K1047" s="118"/>
      <c r="L1047" s="118"/>
      <c r="M1047" s="118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117"/>
      <c r="AD1047" s="117"/>
      <c r="AE1047" s="117"/>
      <c r="AF1047" s="117"/>
      <c r="AG1047" s="117"/>
      <c r="AH1047" s="117"/>
      <c r="AI1047" s="117"/>
      <c r="AJ1047" s="117"/>
      <c r="AK1047" s="117"/>
      <c r="AL1047" s="117"/>
      <c r="AM1047" s="117"/>
      <c r="AN1047" s="117"/>
      <c r="AO1047" s="117"/>
      <c r="AP1047" s="117"/>
      <c r="AQ1047" s="117"/>
      <c r="AR1047" s="117"/>
      <c r="AS1047" s="117"/>
      <c r="AT1047" s="117"/>
      <c r="AU1047" s="117"/>
      <c r="AV1047" s="117"/>
      <c r="AW1047" s="117"/>
      <c r="AX1047" s="117"/>
      <c r="AY1047" s="117"/>
      <c r="AZ1047" s="117"/>
      <c r="BA1047" s="117"/>
      <c r="BB1047" s="117"/>
      <c r="BC1047" s="117"/>
      <c r="BD1047" s="117"/>
      <c r="BE1047" s="117"/>
      <c r="BF1047" s="117"/>
      <c r="BG1047" s="117"/>
    </row>
    <row r="1048" spans="1:59">
      <c r="A1048" s="117"/>
      <c r="B1048" s="117"/>
      <c r="C1048" s="117"/>
      <c r="D1048" s="117"/>
      <c r="E1048" s="117"/>
      <c r="F1048" s="117"/>
      <c r="G1048" s="117"/>
      <c r="H1048" s="117"/>
      <c r="I1048" s="117"/>
      <c r="J1048" s="118"/>
      <c r="K1048" s="118"/>
      <c r="L1048" s="118"/>
      <c r="M1048" s="118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117"/>
      <c r="AD1048" s="117"/>
      <c r="AE1048" s="117"/>
      <c r="AF1048" s="117"/>
      <c r="AG1048" s="117"/>
      <c r="AH1048" s="117"/>
      <c r="AI1048" s="117"/>
      <c r="AJ1048" s="117"/>
      <c r="AK1048" s="117"/>
      <c r="AL1048" s="117"/>
      <c r="AM1048" s="117"/>
      <c r="AN1048" s="117"/>
      <c r="AO1048" s="117"/>
      <c r="AP1048" s="117"/>
      <c r="AQ1048" s="117"/>
      <c r="AR1048" s="117"/>
      <c r="AS1048" s="117"/>
      <c r="AT1048" s="117"/>
      <c r="AU1048" s="117"/>
      <c r="AV1048" s="117"/>
      <c r="AW1048" s="117"/>
      <c r="AX1048" s="117"/>
      <c r="AY1048" s="117"/>
      <c r="AZ1048" s="117"/>
      <c r="BA1048" s="117"/>
      <c r="BB1048" s="117"/>
      <c r="BC1048" s="117"/>
      <c r="BD1048" s="117"/>
      <c r="BE1048" s="117"/>
      <c r="BF1048" s="117"/>
      <c r="BG1048" s="117"/>
    </row>
    <row r="1049" spans="1:59">
      <c r="A1049" s="117"/>
      <c r="B1049" s="117"/>
      <c r="C1049" s="117"/>
      <c r="D1049" s="117"/>
      <c r="E1049" s="117"/>
      <c r="F1049" s="117"/>
      <c r="G1049" s="117"/>
      <c r="H1049" s="117"/>
      <c r="I1049" s="117"/>
      <c r="J1049" s="118"/>
      <c r="K1049" s="118"/>
      <c r="L1049" s="118"/>
      <c r="M1049" s="118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117"/>
      <c r="AD1049" s="117"/>
      <c r="AE1049" s="117"/>
      <c r="AF1049" s="117"/>
      <c r="AG1049" s="117"/>
      <c r="AH1049" s="117"/>
      <c r="AI1049" s="117"/>
      <c r="AJ1049" s="117"/>
      <c r="AK1049" s="117"/>
      <c r="AL1049" s="117"/>
      <c r="AM1049" s="117"/>
      <c r="AN1049" s="117"/>
      <c r="AO1049" s="117"/>
      <c r="AP1049" s="117"/>
      <c r="AQ1049" s="117"/>
      <c r="AR1049" s="117"/>
      <c r="AS1049" s="117"/>
      <c r="AT1049" s="117"/>
      <c r="AU1049" s="117"/>
      <c r="AV1049" s="117"/>
      <c r="AW1049" s="117"/>
      <c r="AX1049" s="117"/>
      <c r="AY1049" s="117"/>
      <c r="AZ1049" s="117"/>
      <c r="BA1049" s="117"/>
      <c r="BB1049" s="117"/>
      <c r="BC1049" s="117"/>
      <c r="BD1049" s="117"/>
      <c r="BE1049" s="117"/>
      <c r="BF1049" s="117"/>
      <c r="BG1049" s="117"/>
    </row>
    <row r="1050" spans="1:59">
      <c r="A1050" s="117"/>
      <c r="B1050" s="117"/>
      <c r="C1050" s="117"/>
      <c r="D1050" s="117"/>
      <c r="E1050" s="117"/>
      <c r="F1050" s="117"/>
      <c r="G1050" s="117"/>
      <c r="H1050" s="117"/>
      <c r="I1050" s="117"/>
      <c r="J1050" s="118"/>
      <c r="K1050" s="118"/>
      <c r="L1050" s="118"/>
      <c r="M1050" s="118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117"/>
      <c r="AD1050" s="117"/>
      <c r="AE1050" s="117"/>
      <c r="AF1050" s="117"/>
      <c r="AG1050" s="117"/>
      <c r="AH1050" s="117"/>
      <c r="AI1050" s="117"/>
      <c r="AJ1050" s="117"/>
      <c r="AK1050" s="117"/>
      <c r="AL1050" s="117"/>
      <c r="AM1050" s="117"/>
      <c r="AN1050" s="117"/>
      <c r="AO1050" s="117"/>
      <c r="AP1050" s="117"/>
      <c r="AQ1050" s="117"/>
      <c r="AR1050" s="117"/>
      <c r="AS1050" s="117"/>
      <c r="AT1050" s="117"/>
      <c r="AU1050" s="117"/>
      <c r="AV1050" s="117"/>
      <c r="AW1050" s="117"/>
      <c r="AX1050" s="117"/>
      <c r="AY1050" s="117"/>
      <c r="AZ1050" s="117"/>
      <c r="BA1050" s="117"/>
      <c r="BB1050" s="117"/>
      <c r="BC1050" s="117"/>
      <c r="BD1050" s="117"/>
      <c r="BE1050" s="117"/>
      <c r="BF1050" s="117"/>
      <c r="BG1050" s="117"/>
    </row>
    <row r="1051" spans="1:59">
      <c r="A1051" s="117"/>
      <c r="B1051" s="117"/>
      <c r="C1051" s="117"/>
      <c r="D1051" s="117"/>
      <c r="E1051" s="117"/>
      <c r="F1051" s="117"/>
      <c r="G1051" s="117"/>
      <c r="H1051" s="117"/>
      <c r="I1051" s="117"/>
      <c r="J1051" s="118"/>
      <c r="K1051" s="118"/>
      <c r="L1051" s="118"/>
      <c r="M1051" s="118"/>
      <c r="N1051" s="117"/>
      <c r="O1051" s="117"/>
      <c r="P1051" s="117"/>
      <c r="Q1051" s="117"/>
      <c r="R1051" s="117"/>
      <c r="S1051" s="117"/>
      <c r="T1051" s="117"/>
      <c r="U1051" s="117"/>
      <c r="V1051" s="117"/>
      <c r="W1051" s="117"/>
      <c r="X1051" s="117"/>
      <c r="Y1051" s="117"/>
      <c r="Z1051" s="117"/>
      <c r="AA1051" s="117"/>
      <c r="AB1051" s="117"/>
      <c r="AC1051" s="117"/>
      <c r="AD1051" s="117"/>
      <c r="AE1051" s="117"/>
      <c r="AF1051" s="117"/>
      <c r="AG1051" s="117"/>
      <c r="AH1051" s="117"/>
      <c r="AI1051" s="117"/>
      <c r="AJ1051" s="117"/>
      <c r="AK1051" s="117"/>
      <c r="AL1051" s="117"/>
      <c r="AM1051" s="117"/>
      <c r="AN1051" s="117"/>
      <c r="AO1051" s="117"/>
      <c r="AP1051" s="117"/>
      <c r="AQ1051" s="117"/>
      <c r="AR1051" s="117"/>
      <c r="AS1051" s="117"/>
      <c r="AT1051" s="117"/>
      <c r="AU1051" s="117"/>
      <c r="AV1051" s="117"/>
      <c r="AW1051" s="117"/>
      <c r="AX1051" s="117"/>
      <c r="AY1051" s="117"/>
      <c r="AZ1051" s="117"/>
      <c r="BA1051" s="117"/>
      <c r="BB1051" s="117"/>
      <c r="BC1051" s="117"/>
      <c r="BD1051" s="117"/>
      <c r="BE1051" s="117"/>
      <c r="BF1051" s="117"/>
      <c r="BG1051" s="117"/>
    </row>
    <row r="1052" spans="1:59">
      <c r="A1052" s="117"/>
      <c r="B1052" s="117"/>
      <c r="C1052" s="117"/>
      <c r="D1052" s="117"/>
      <c r="E1052" s="117"/>
      <c r="F1052" s="117"/>
      <c r="G1052" s="117"/>
      <c r="H1052" s="117"/>
      <c r="I1052" s="117"/>
      <c r="J1052" s="118"/>
      <c r="K1052" s="118"/>
      <c r="L1052" s="118"/>
      <c r="M1052" s="118"/>
      <c r="N1052" s="117"/>
      <c r="O1052" s="117"/>
      <c r="P1052" s="117"/>
      <c r="Q1052" s="117"/>
      <c r="R1052" s="117"/>
      <c r="S1052" s="117"/>
      <c r="T1052" s="117"/>
      <c r="U1052" s="117"/>
      <c r="V1052" s="117"/>
      <c r="W1052" s="117"/>
      <c r="X1052" s="117"/>
      <c r="Y1052" s="117"/>
      <c r="Z1052" s="117"/>
      <c r="AA1052" s="117"/>
      <c r="AB1052" s="117"/>
      <c r="AC1052" s="117"/>
      <c r="AD1052" s="117"/>
      <c r="AE1052" s="117"/>
      <c r="AF1052" s="117"/>
      <c r="AG1052" s="117"/>
      <c r="AH1052" s="117"/>
      <c r="AI1052" s="117"/>
      <c r="AJ1052" s="117"/>
      <c r="AK1052" s="117"/>
      <c r="AL1052" s="117"/>
      <c r="AM1052" s="117"/>
      <c r="AN1052" s="117"/>
      <c r="AO1052" s="117"/>
      <c r="AP1052" s="117"/>
      <c r="AQ1052" s="117"/>
      <c r="AR1052" s="117"/>
      <c r="AS1052" s="117"/>
      <c r="AT1052" s="117"/>
      <c r="AU1052" s="117"/>
      <c r="AV1052" s="117"/>
      <c r="AW1052" s="117"/>
      <c r="AX1052" s="117"/>
      <c r="AY1052" s="117"/>
      <c r="AZ1052" s="117"/>
      <c r="BA1052" s="117"/>
      <c r="BB1052" s="117"/>
      <c r="BC1052" s="117"/>
      <c r="BD1052" s="117"/>
      <c r="BE1052" s="117"/>
      <c r="BF1052" s="117"/>
      <c r="BG1052" s="117"/>
    </row>
    <row r="1053" spans="1:59">
      <c r="A1053" s="117"/>
      <c r="B1053" s="117"/>
      <c r="C1053" s="117"/>
      <c r="D1053" s="117"/>
      <c r="E1053" s="117"/>
      <c r="F1053" s="117"/>
      <c r="G1053" s="117"/>
      <c r="H1053" s="117"/>
      <c r="I1053" s="117"/>
      <c r="J1053" s="118"/>
      <c r="K1053" s="118"/>
      <c r="L1053" s="118"/>
      <c r="M1053" s="118"/>
      <c r="N1053" s="117"/>
      <c r="O1053" s="117"/>
      <c r="P1053" s="117"/>
      <c r="Q1053" s="117"/>
      <c r="R1053" s="117"/>
      <c r="S1053" s="117"/>
      <c r="T1053" s="117"/>
      <c r="U1053" s="117"/>
      <c r="V1053" s="117"/>
      <c r="W1053" s="117"/>
      <c r="X1053" s="117"/>
      <c r="Y1053" s="117"/>
      <c r="Z1053" s="117"/>
      <c r="AA1053" s="117"/>
      <c r="AB1053" s="117"/>
      <c r="AC1053" s="117"/>
      <c r="AD1053" s="117"/>
      <c r="AE1053" s="117"/>
      <c r="AF1053" s="117"/>
      <c r="AG1053" s="117"/>
      <c r="AH1053" s="117"/>
      <c r="AI1053" s="117"/>
      <c r="AJ1053" s="117"/>
      <c r="AK1053" s="117"/>
      <c r="AL1053" s="117"/>
      <c r="AM1053" s="117"/>
      <c r="AN1053" s="117"/>
      <c r="AO1053" s="117"/>
      <c r="AP1053" s="117"/>
      <c r="AQ1053" s="117"/>
      <c r="AR1053" s="117"/>
      <c r="AS1053" s="117"/>
      <c r="AT1053" s="117"/>
      <c r="AU1053" s="117"/>
      <c r="AV1053" s="117"/>
      <c r="AW1053" s="117"/>
      <c r="AX1053" s="117"/>
      <c r="AY1053" s="117"/>
      <c r="AZ1053" s="117"/>
      <c r="BA1053" s="117"/>
      <c r="BB1053" s="117"/>
      <c r="BC1053" s="117"/>
      <c r="BD1053" s="117"/>
      <c r="BE1053" s="117"/>
      <c r="BF1053" s="117"/>
      <c r="BG1053" s="117"/>
    </row>
    <row r="1054" spans="1:59">
      <c r="A1054" s="117"/>
      <c r="B1054" s="117"/>
      <c r="C1054" s="117"/>
      <c r="D1054" s="117"/>
      <c r="E1054" s="117"/>
      <c r="F1054" s="117"/>
      <c r="G1054" s="117"/>
      <c r="H1054" s="117"/>
      <c r="I1054" s="117"/>
      <c r="J1054" s="118"/>
      <c r="K1054" s="118"/>
      <c r="L1054" s="118"/>
      <c r="M1054" s="118"/>
      <c r="N1054" s="117"/>
      <c r="O1054" s="117"/>
      <c r="P1054" s="117"/>
      <c r="Q1054" s="117"/>
      <c r="R1054" s="117"/>
      <c r="S1054" s="117"/>
      <c r="T1054" s="117"/>
      <c r="U1054" s="117"/>
      <c r="V1054" s="117"/>
      <c r="W1054" s="117"/>
      <c r="X1054" s="117"/>
      <c r="Y1054" s="117"/>
      <c r="Z1054" s="117"/>
      <c r="AA1054" s="117"/>
      <c r="AB1054" s="117"/>
      <c r="AC1054" s="117"/>
      <c r="AD1054" s="117"/>
      <c r="AE1054" s="117"/>
      <c r="AF1054" s="117"/>
      <c r="AG1054" s="117"/>
      <c r="AH1054" s="117"/>
      <c r="AI1054" s="117"/>
      <c r="AJ1054" s="117"/>
      <c r="AK1054" s="117"/>
      <c r="AL1054" s="117"/>
      <c r="AM1054" s="117"/>
      <c r="AN1054" s="117"/>
      <c r="AO1054" s="117"/>
      <c r="AP1054" s="117"/>
      <c r="AQ1054" s="117"/>
      <c r="AR1054" s="117"/>
      <c r="AS1054" s="117"/>
      <c r="AT1054" s="117"/>
      <c r="AU1054" s="117"/>
      <c r="AV1054" s="117"/>
      <c r="AW1054" s="117"/>
      <c r="AX1054" s="117"/>
      <c r="AY1054" s="117"/>
      <c r="AZ1054" s="117"/>
      <c r="BA1054" s="117"/>
      <c r="BB1054" s="117"/>
      <c r="BC1054" s="117"/>
      <c r="BD1054" s="117"/>
      <c r="BE1054" s="117"/>
      <c r="BF1054" s="117"/>
      <c r="BG1054" s="117"/>
    </row>
    <row r="1055" spans="1:59">
      <c r="A1055" s="117"/>
      <c r="B1055" s="117"/>
      <c r="C1055" s="117"/>
      <c r="D1055" s="117"/>
      <c r="E1055" s="117"/>
      <c r="F1055" s="117"/>
      <c r="G1055" s="117"/>
      <c r="H1055" s="117"/>
      <c r="I1055" s="117"/>
      <c r="J1055" s="118"/>
      <c r="K1055" s="118"/>
      <c r="L1055" s="118"/>
      <c r="M1055" s="118"/>
      <c r="N1055" s="117"/>
      <c r="O1055" s="117"/>
      <c r="P1055" s="117"/>
      <c r="Q1055" s="117"/>
      <c r="R1055" s="117"/>
      <c r="S1055" s="117"/>
      <c r="T1055" s="117"/>
      <c r="U1055" s="117"/>
      <c r="V1055" s="117"/>
      <c r="W1055" s="117"/>
      <c r="X1055" s="117"/>
      <c r="Y1055" s="117"/>
      <c r="Z1055" s="117"/>
      <c r="AA1055" s="117"/>
      <c r="AB1055" s="117"/>
      <c r="AC1055" s="117"/>
      <c r="AD1055" s="117"/>
      <c r="AE1055" s="117"/>
      <c r="AF1055" s="117"/>
      <c r="AG1055" s="117"/>
      <c r="AH1055" s="117"/>
      <c r="AI1055" s="117"/>
      <c r="AJ1055" s="117"/>
      <c r="AK1055" s="117"/>
      <c r="AL1055" s="117"/>
      <c r="AM1055" s="117"/>
      <c r="AN1055" s="117"/>
      <c r="AO1055" s="117"/>
      <c r="AP1055" s="117"/>
      <c r="AQ1055" s="117"/>
      <c r="AR1055" s="117"/>
      <c r="AS1055" s="117"/>
      <c r="AT1055" s="117"/>
      <c r="AU1055" s="117"/>
      <c r="AV1055" s="117"/>
      <c r="AW1055" s="117"/>
      <c r="AX1055" s="117"/>
      <c r="AY1055" s="117"/>
      <c r="AZ1055" s="117"/>
      <c r="BA1055" s="117"/>
      <c r="BB1055" s="117"/>
      <c r="BC1055" s="117"/>
      <c r="BD1055" s="117"/>
      <c r="BE1055" s="117"/>
      <c r="BF1055" s="117"/>
      <c r="BG1055" s="117"/>
    </row>
    <row r="1056" spans="1:59">
      <c r="A1056" s="117"/>
      <c r="B1056" s="117"/>
      <c r="C1056" s="117"/>
      <c r="D1056" s="117"/>
      <c r="E1056" s="117"/>
      <c r="F1056" s="117"/>
      <c r="G1056" s="117"/>
      <c r="H1056" s="117"/>
      <c r="I1056" s="117"/>
      <c r="J1056" s="118"/>
      <c r="K1056" s="118"/>
      <c r="L1056" s="118"/>
      <c r="M1056" s="118"/>
      <c r="N1056" s="117"/>
      <c r="O1056" s="117"/>
      <c r="P1056" s="117"/>
      <c r="Q1056" s="117"/>
      <c r="R1056" s="117"/>
      <c r="S1056" s="117"/>
      <c r="T1056" s="117"/>
      <c r="U1056" s="117"/>
      <c r="V1056" s="117"/>
      <c r="W1056" s="117"/>
      <c r="X1056" s="117"/>
      <c r="Y1056" s="117"/>
      <c r="Z1056" s="117"/>
      <c r="AA1056" s="117"/>
      <c r="AB1056" s="117"/>
      <c r="AC1056" s="117"/>
      <c r="AD1056" s="117"/>
      <c r="AE1056" s="117"/>
      <c r="AF1056" s="117"/>
      <c r="AG1056" s="117"/>
      <c r="AH1056" s="117"/>
      <c r="AI1056" s="117"/>
      <c r="AJ1056" s="117"/>
      <c r="AK1056" s="117"/>
      <c r="AL1056" s="117"/>
      <c r="AM1056" s="117"/>
      <c r="AN1056" s="117"/>
      <c r="AO1056" s="117"/>
      <c r="AP1056" s="117"/>
      <c r="AQ1056" s="117"/>
      <c r="AR1056" s="117"/>
      <c r="AS1056" s="117"/>
      <c r="AT1056" s="117"/>
      <c r="AU1056" s="117"/>
      <c r="AV1056" s="117"/>
      <c r="AW1056" s="117"/>
      <c r="AX1056" s="117"/>
      <c r="AY1056" s="117"/>
      <c r="AZ1056" s="117"/>
      <c r="BA1056" s="117"/>
      <c r="BB1056" s="117"/>
      <c r="BC1056" s="117"/>
      <c r="BD1056" s="117"/>
      <c r="BE1056" s="117"/>
      <c r="BF1056" s="117"/>
      <c r="BG1056" s="117"/>
    </row>
    <row r="1057" spans="1:59">
      <c r="A1057" s="117"/>
      <c r="B1057" s="117"/>
      <c r="C1057" s="117"/>
      <c r="D1057" s="117"/>
      <c r="E1057" s="117"/>
      <c r="F1057" s="117"/>
      <c r="G1057" s="117"/>
      <c r="H1057" s="117"/>
      <c r="I1057" s="117"/>
      <c r="J1057" s="118"/>
      <c r="K1057" s="118"/>
      <c r="L1057" s="118"/>
      <c r="M1057" s="118"/>
      <c r="N1057" s="117"/>
      <c r="O1057" s="117"/>
      <c r="P1057" s="117"/>
      <c r="Q1057" s="117"/>
      <c r="R1057" s="117"/>
      <c r="S1057" s="117"/>
      <c r="T1057" s="117"/>
      <c r="U1057" s="117"/>
      <c r="V1057" s="117"/>
      <c r="W1057" s="117"/>
      <c r="X1057" s="117"/>
      <c r="Y1057" s="117"/>
      <c r="Z1057" s="117"/>
      <c r="AA1057" s="117"/>
      <c r="AB1057" s="117"/>
      <c r="AC1057" s="117"/>
      <c r="AD1057" s="117"/>
      <c r="AE1057" s="117"/>
      <c r="AF1057" s="117"/>
      <c r="AG1057" s="117"/>
      <c r="AH1057" s="117"/>
      <c r="AI1057" s="117"/>
      <c r="AJ1057" s="117"/>
      <c r="AK1057" s="117"/>
      <c r="AL1057" s="117"/>
      <c r="AM1057" s="117"/>
      <c r="AN1057" s="117"/>
      <c r="AO1057" s="117"/>
      <c r="AP1057" s="117"/>
      <c r="AQ1057" s="117"/>
      <c r="AR1057" s="117"/>
      <c r="AS1057" s="117"/>
      <c r="AT1057" s="117"/>
      <c r="AU1057" s="117"/>
      <c r="AV1057" s="117"/>
      <c r="AW1057" s="117"/>
      <c r="AX1057" s="117"/>
      <c r="AY1057" s="117"/>
      <c r="AZ1057" s="117"/>
      <c r="BA1057" s="117"/>
      <c r="BB1057" s="117"/>
      <c r="BC1057" s="117"/>
      <c r="BD1057" s="117"/>
      <c r="BE1057" s="117"/>
      <c r="BF1057" s="117"/>
      <c r="BG1057" s="117"/>
    </row>
    <row r="1058" spans="1:59">
      <c r="A1058" s="117"/>
      <c r="B1058" s="117"/>
      <c r="C1058" s="117"/>
      <c r="D1058" s="117"/>
      <c r="E1058" s="117"/>
      <c r="F1058" s="117"/>
      <c r="G1058" s="117"/>
      <c r="H1058" s="117"/>
      <c r="I1058" s="117"/>
      <c r="J1058" s="118"/>
      <c r="K1058" s="118"/>
      <c r="L1058" s="118"/>
      <c r="M1058" s="118"/>
      <c r="N1058" s="117"/>
      <c r="O1058" s="117"/>
      <c r="P1058" s="117"/>
      <c r="Q1058" s="117"/>
      <c r="R1058" s="117"/>
      <c r="S1058" s="117"/>
      <c r="T1058" s="117"/>
      <c r="U1058" s="117"/>
      <c r="V1058" s="117"/>
      <c r="W1058" s="117"/>
      <c r="X1058" s="117"/>
      <c r="Y1058" s="117"/>
      <c r="Z1058" s="117"/>
      <c r="AA1058" s="117"/>
      <c r="AB1058" s="117"/>
      <c r="AC1058" s="117"/>
      <c r="AD1058" s="117"/>
      <c r="AE1058" s="117"/>
      <c r="AF1058" s="117"/>
      <c r="AG1058" s="117"/>
      <c r="AH1058" s="117"/>
      <c r="AI1058" s="117"/>
      <c r="AJ1058" s="117"/>
      <c r="AK1058" s="117"/>
      <c r="AL1058" s="117"/>
      <c r="AM1058" s="117"/>
      <c r="AN1058" s="117"/>
      <c r="AO1058" s="117"/>
      <c r="AP1058" s="117"/>
      <c r="AQ1058" s="117"/>
      <c r="AR1058" s="117"/>
      <c r="AS1058" s="117"/>
      <c r="AT1058" s="117"/>
      <c r="AU1058" s="117"/>
      <c r="AV1058" s="117"/>
      <c r="AW1058" s="117"/>
      <c r="AX1058" s="117"/>
      <c r="AY1058" s="117"/>
      <c r="AZ1058" s="117"/>
      <c r="BA1058" s="117"/>
      <c r="BB1058" s="117"/>
      <c r="BC1058" s="117"/>
      <c r="BD1058" s="117"/>
      <c r="BE1058" s="117"/>
      <c r="BF1058" s="117"/>
      <c r="BG1058" s="117"/>
    </row>
    <row r="1059" spans="1:59">
      <c r="A1059" s="117"/>
      <c r="B1059" s="117"/>
      <c r="C1059" s="117"/>
      <c r="D1059" s="117"/>
      <c r="E1059" s="117"/>
      <c r="F1059" s="117"/>
      <c r="G1059" s="117"/>
      <c r="H1059" s="117"/>
      <c r="I1059" s="117"/>
      <c r="J1059" s="118"/>
      <c r="K1059" s="118"/>
      <c r="L1059" s="118"/>
      <c r="M1059" s="118"/>
      <c r="N1059" s="117"/>
      <c r="O1059" s="117"/>
      <c r="P1059" s="117"/>
      <c r="Q1059" s="117"/>
      <c r="R1059" s="117"/>
      <c r="S1059" s="117"/>
      <c r="T1059" s="117"/>
      <c r="U1059" s="117"/>
      <c r="V1059" s="117"/>
      <c r="W1059" s="117"/>
      <c r="X1059" s="117"/>
      <c r="Y1059" s="117"/>
      <c r="Z1059" s="117"/>
      <c r="AA1059" s="117"/>
      <c r="AB1059" s="117"/>
      <c r="AC1059" s="117"/>
      <c r="AD1059" s="117"/>
      <c r="AE1059" s="117"/>
      <c r="AF1059" s="117"/>
      <c r="AG1059" s="117"/>
      <c r="AH1059" s="117"/>
      <c r="AI1059" s="117"/>
      <c r="AJ1059" s="117"/>
      <c r="AK1059" s="117"/>
      <c r="AL1059" s="117"/>
      <c r="AM1059" s="117"/>
      <c r="AN1059" s="117"/>
      <c r="AO1059" s="117"/>
      <c r="AP1059" s="117"/>
      <c r="AQ1059" s="117"/>
      <c r="AR1059" s="117"/>
      <c r="AS1059" s="117"/>
      <c r="AT1059" s="117"/>
      <c r="AU1059" s="117"/>
      <c r="AV1059" s="117"/>
      <c r="AW1059" s="117"/>
      <c r="AX1059" s="117"/>
      <c r="AY1059" s="117"/>
      <c r="AZ1059" s="117"/>
      <c r="BA1059" s="117"/>
      <c r="BB1059" s="117"/>
      <c r="BC1059" s="117"/>
      <c r="BD1059" s="117"/>
      <c r="BE1059" s="117"/>
      <c r="BF1059" s="117"/>
      <c r="BG1059" s="117"/>
    </row>
    <row r="1060" spans="1:59">
      <c r="A1060" s="117"/>
      <c r="B1060" s="117"/>
      <c r="C1060" s="117"/>
      <c r="D1060" s="117"/>
      <c r="E1060" s="117"/>
      <c r="F1060" s="117"/>
      <c r="G1060" s="117"/>
      <c r="H1060" s="117"/>
      <c r="I1060" s="117"/>
      <c r="J1060" s="118"/>
      <c r="K1060" s="118"/>
      <c r="L1060" s="118"/>
      <c r="M1060" s="118"/>
      <c r="N1060" s="117"/>
      <c r="O1060" s="117"/>
      <c r="P1060" s="117"/>
      <c r="Q1060" s="117"/>
      <c r="R1060" s="117"/>
      <c r="S1060" s="117"/>
      <c r="T1060" s="117"/>
      <c r="U1060" s="117"/>
      <c r="V1060" s="117"/>
      <c r="W1060" s="117"/>
      <c r="X1060" s="117"/>
      <c r="Y1060" s="117"/>
      <c r="Z1060" s="117"/>
      <c r="AA1060" s="117"/>
      <c r="AB1060" s="117"/>
      <c r="AC1060" s="117"/>
      <c r="AD1060" s="117"/>
      <c r="AE1060" s="117"/>
      <c r="AF1060" s="117"/>
      <c r="AG1060" s="117"/>
      <c r="AH1060" s="117"/>
      <c r="AI1060" s="117"/>
      <c r="AJ1060" s="117"/>
      <c r="AK1060" s="117"/>
      <c r="AL1060" s="117"/>
      <c r="AM1060" s="117"/>
      <c r="AN1060" s="117"/>
      <c r="AO1060" s="117"/>
      <c r="AP1060" s="117"/>
      <c r="AQ1060" s="117"/>
      <c r="AR1060" s="117"/>
      <c r="AS1060" s="117"/>
      <c r="AT1060" s="117"/>
      <c r="AU1060" s="117"/>
      <c r="AV1060" s="117"/>
      <c r="AW1060" s="117"/>
      <c r="AX1060" s="117"/>
      <c r="AY1060" s="117"/>
      <c r="AZ1060" s="117"/>
      <c r="BA1060" s="117"/>
      <c r="BB1060" s="117"/>
      <c r="BC1060" s="117"/>
      <c r="BD1060" s="117"/>
      <c r="BE1060" s="117"/>
      <c r="BF1060" s="117"/>
      <c r="BG1060" s="117"/>
    </row>
    <row r="1061" spans="1:59">
      <c r="A1061" s="117"/>
      <c r="B1061" s="117"/>
      <c r="C1061" s="117"/>
      <c r="D1061" s="117"/>
      <c r="E1061" s="117"/>
      <c r="F1061" s="117"/>
      <c r="G1061" s="117"/>
      <c r="H1061" s="117"/>
      <c r="I1061" s="117"/>
      <c r="J1061" s="118"/>
      <c r="K1061" s="118"/>
      <c r="L1061" s="118"/>
      <c r="M1061" s="118"/>
      <c r="N1061" s="117"/>
      <c r="O1061" s="117"/>
      <c r="P1061" s="117"/>
      <c r="Q1061" s="117"/>
      <c r="R1061" s="117"/>
      <c r="S1061" s="117"/>
      <c r="T1061" s="117"/>
      <c r="U1061" s="117"/>
      <c r="V1061" s="117"/>
      <c r="W1061" s="117"/>
      <c r="X1061" s="117"/>
      <c r="Y1061" s="117"/>
      <c r="Z1061" s="117"/>
      <c r="AA1061" s="117"/>
      <c r="AB1061" s="117"/>
      <c r="AC1061" s="117"/>
      <c r="AD1061" s="117"/>
      <c r="AE1061" s="117"/>
      <c r="AF1061" s="117"/>
      <c r="AG1061" s="117"/>
      <c r="AH1061" s="117"/>
      <c r="AI1061" s="117"/>
      <c r="AJ1061" s="117"/>
      <c r="AK1061" s="117"/>
      <c r="AL1061" s="117"/>
      <c r="AM1061" s="117"/>
      <c r="AN1061" s="117"/>
      <c r="AO1061" s="117"/>
      <c r="AP1061" s="117"/>
      <c r="AQ1061" s="117"/>
      <c r="AR1061" s="117"/>
      <c r="AS1061" s="117"/>
      <c r="AT1061" s="117"/>
      <c r="AU1061" s="117"/>
      <c r="AV1061" s="117"/>
      <c r="AW1061" s="117"/>
      <c r="AX1061" s="117"/>
      <c r="AY1061" s="117"/>
      <c r="AZ1061" s="117"/>
      <c r="BA1061" s="117"/>
      <c r="BB1061" s="117"/>
      <c r="BC1061" s="117"/>
      <c r="BD1061" s="117"/>
      <c r="BE1061" s="117"/>
      <c r="BF1061" s="117"/>
      <c r="BG1061" s="117"/>
    </row>
    <row r="1062" spans="1:59">
      <c r="A1062" s="117"/>
      <c r="B1062" s="117"/>
      <c r="C1062" s="117"/>
      <c r="D1062" s="117"/>
      <c r="E1062" s="117"/>
      <c r="F1062" s="117"/>
      <c r="G1062" s="117"/>
      <c r="H1062" s="117"/>
      <c r="I1062" s="117"/>
      <c r="J1062" s="118"/>
      <c r="K1062" s="118"/>
      <c r="L1062" s="118"/>
      <c r="M1062" s="118"/>
      <c r="N1062" s="117"/>
      <c r="O1062" s="117"/>
      <c r="P1062" s="117"/>
      <c r="Q1062" s="117"/>
      <c r="R1062" s="117"/>
      <c r="S1062" s="117"/>
      <c r="T1062" s="117"/>
      <c r="U1062" s="117"/>
      <c r="V1062" s="117"/>
      <c r="W1062" s="117"/>
      <c r="X1062" s="117"/>
      <c r="Y1062" s="117"/>
      <c r="Z1062" s="117"/>
      <c r="AA1062" s="117"/>
      <c r="AB1062" s="117"/>
      <c r="AC1062" s="117"/>
      <c r="AD1062" s="117"/>
      <c r="AE1062" s="117"/>
      <c r="AF1062" s="117"/>
      <c r="AG1062" s="117"/>
      <c r="AH1062" s="117"/>
      <c r="AI1062" s="117"/>
      <c r="AJ1062" s="117"/>
      <c r="AK1062" s="117"/>
      <c r="AL1062" s="117"/>
      <c r="AM1062" s="117"/>
      <c r="AN1062" s="117"/>
      <c r="AO1062" s="117"/>
      <c r="AP1062" s="117"/>
      <c r="AQ1062" s="117"/>
      <c r="AR1062" s="117"/>
      <c r="AS1062" s="117"/>
      <c r="AT1062" s="117"/>
      <c r="AU1062" s="117"/>
      <c r="AV1062" s="117"/>
      <c r="AW1062" s="117"/>
      <c r="AX1062" s="117"/>
      <c r="AY1062" s="117"/>
      <c r="AZ1062" s="117"/>
      <c r="BA1062" s="117"/>
      <c r="BB1062" s="117"/>
      <c r="BC1062" s="117"/>
      <c r="BD1062" s="117"/>
      <c r="BE1062" s="117"/>
      <c r="BF1062" s="117"/>
      <c r="BG1062" s="117"/>
    </row>
    <row r="1063" spans="1:59">
      <c r="A1063" s="117"/>
      <c r="B1063" s="117"/>
      <c r="C1063" s="117"/>
      <c r="D1063" s="117"/>
      <c r="E1063" s="117"/>
      <c r="F1063" s="117"/>
      <c r="G1063" s="117"/>
      <c r="H1063" s="117"/>
      <c r="I1063" s="117"/>
      <c r="J1063" s="118"/>
      <c r="K1063" s="118"/>
      <c r="L1063" s="118"/>
      <c r="M1063" s="118"/>
      <c r="N1063" s="117"/>
      <c r="O1063" s="117"/>
      <c r="P1063" s="117"/>
      <c r="Q1063" s="117"/>
      <c r="R1063" s="117"/>
      <c r="S1063" s="117"/>
      <c r="T1063" s="117"/>
      <c r="U1063" s="117"/>
      <c r="V1063" s="117"/>
      <c r="W1063" s="117"/>
      <c r="X1063" s="117"/>
      <c r="Y1063" s="117"/>
      <c r="Z1063" s="117"/>
      <c r="AA1063" s="117"/>
      <c r="AB1063" s="117"/>
      <c r="AC1063" s="117"/>
      <c r="AD1063" s="117"/>
      <c r="AE1063" s="117"/>
      <c r="AF1063" s="117"/>
      <c r="AG1063" s="117"/>
      <c r="AH1063" s="117"/>
      <c r="AI1063" s="117"/>
      <c r="AJ1063" s="117"/>
      <c r="AK1063" s="117"/>
      <c r="AL1063" s="117"/>
      <c r="AM1063" s="117"/>
      <c r="AN1063" s="117"/>
      <c r="AO1063" s="117"/>
      <c r="AP1063" s="117"/>
      <c r="AQ1063" s="117"/>
      <c r="AR1063" s="117"/>
      <c r="AS1063" s="117"/>
      <c r="AT1063" s="117"/>
      <c r="AU1063" s="117"/>
      <c r="AV1063" s="117"/>
      <c r="AW1063" s="117"/>
      <c r="AX1063" s="117"/>
      <c r="AY1063" s="117"/>
      <c r="AZ1063" s="117"/>
      <c r="BA1063" s="117"/>
      <c r="BB1063" s="117"/>
      <c r="BC1063" s="117"/>
      <c r="BD1063" s="117"/>
      <c r="BE1063" s="117"/>
      <c r="BF1063" s="117"/>
      <c r="BG1063" s="117"/>
    </row>
    <row r="1064" spans="1:59">
      <c r="A1064" s="117"/>
      <c r="B1064" s="117"/>
      <c r="C1064" s="117"/>
      <c r="D1064" s="117"/>
      <c r="E1064" s="117"/>
      <c r="F1064" s="117"/>
      <c r="G1064" s="117"/>
      <c r="H1064" s="117"/>
      <c r="I1064" s="117"/>
      <c r="J1064" s="118"/>
      <c r="K1064" s="118"/>
      <c r="L1064" s="118"/>
      <c r="M1064" s="118"/>
      <c r="N1064" s="117"/>
      <c r="O1064" s="117"/>
      <c r="P1064" s="117"/>
      <c r="Q1064" s="117"/>
      <c r="R1064" s="117"/>
      <c r="S1064" s="117"/>
      <c r="T1064" s="117"/>
      <c r="U1064" s="117"/>
      <c r="V1064" s="117"/>
      <c r="W1064" s="117"/>
      <c r="X1064" s="117"/>
      <c r="Y1064" s="117"/>
      <c r="Z1064" s="117"/>
      <c r="AA1064" s="117"/>
      <c r="AB1064" s="117"/>
      <c r="AC1064" s="117"/>
      <c r="AD1064" s="117"/>
      <c r="AE1064" s="117"/>
      <c r="AF1064" s="117"/>
      <c r="AG1064" s="117"/>
      <c r="AH1064" s="117"/>
      <c r="AI1064" s="117"/>
      <c r="AJ1064" s="117"/>
      <c r="AK1064" s="117"/>
      <c r="AL1064" s="117"/>
      <c r="AM1064" s="117"/>
      <c r="AN1064" s="117"/>
      <c r="AO1064" s="117"/>
      <c r="AP1064" s="117"/>
      <c r="AQ1064" s="117"/>
      <c r="AR1064" s="117"/>
      <c r="AS1064" s="117"/>
      <c r="AT1064" s="117"/>
      <c r="AU1064" s="117"/>
      <c r="AV1064" s="117"/>
      <c r="AW1064" s="117"/>
      <c r="AX1064" s="117"/>
      <c r="AY1064" s="117"/>
      <c r="AZ1064" s="117"/>
      <c r="BA1064" s="117"/>
      <c r="BB1064" s="117"/>
      <c r="BC1064" s="117"/>
      <c r="BD1064" s="117"/>
      <c r="BE1064" s="117"/>
      <c r="BF1064" s="117"/>
      <c r="BG1064" s="117"/>
    </row>
    <row r="1065" spans="1:59">
      <c r="A1065" s="117"/>
      <c r="B1065" s="117"/>
      <c r="C1065" s="117"/>
      <c r="D1065" s="117"/>
      <c r="E1065" s="117"/>
      <c r="F1065" s="117"/>
      <c r="G1065" s="117"/>
      <c r="H1065" s="117"/>
      <c r="I1065" s="117"/>
      <c r="J1065" s="118"/>
      <c r="K1065" s="118"/>
      <c r="L1065" s="118"/>
      <c r="M1065" s="118"/>
      <c r="N1065" s="117"/>
      <c r="O1065" s="117"/>
      <c r="P1065" s="117"/>
      <c r="Q1065" s="117"/>
      <c r="R1065" s="117"/>
      <c r="S1065" s="117"/>
      <c r="T1065" s="117"/>
      <c r="U1065" s="117"/>
      <c r="V1065" s="117"/>
      <c r="W1065" s="117"/>
      <c r="X1065" s="117"/>
      <c r="Y1065" s="117"/>
      <c r="Z1065" s="117"/>
      <c r="AA1065" s="117"/>
      <c r="AB1065" s="117"/>
      <c r="AC1065" s="117"/>
      <c r="AD1065" s="117"/>
      <c r="AE1065" s="117"/>
      <c r="AF1065" s="117"/>
      <c r="AG1065" s="117"/>
      <c r="AH1065" s="117"/>
      <c r="AI1065" s="117"/>
      <c r="AJ1065" s="117"/>
      <c r="AK1065" s="117"/>
      <c r="AL1065" s="117"/>
      <c r="AM1065" s="117"/>
      <c r="AN1065" s="117"/>
      <c r="AO1065" s="117"/>
      <c r="AP1065" s="117"/>
      <c r="AQ1065" s="117"/>
      <c r="AR1065" s="117"/>
      <c r="AS1065" s="117"/>
      <c r="AT1065" s="117"/>
      <c r="AU1065" s="117"/>
      <c r="AV1065" s="117"/>
      <c r="AW1065" s="117"/>
      <c r="AX1065" s="117"/>
      <c r="AY1065" s="117"/>
      <c r="AZ1065" s="117"/>
      <c r="BA1065" s="117"/>
      <c r="BB1065" s="117"/>
      <c r="BC1065" s="117"/>
      <c r="BD1065" s="117"/>
      <c r="BE1065" s="117"/>
      <c r="BF1065" s="117"/>
      <c r="BG1065" s="117"/>
    </row>
    <row r="1066" spans="1:59">
      <c r="A1066" s="117"/>
      <c r="B1066" s="117"/>
      <c r="C1066" s="117"/>
      <c r="D1066" s="117"/>
      <c r="E1066" s="117"/>
      <c r="F1066" s="117"/>
      <c r="G1066" s="117"/>
      <c r="H1066" s="117"/>
      <c r="I1066" s="117"/>
      <c r="J1066" s="118"/>
      <c r="K1066" s="118"/>
      <c r="L1066" s="118"/>
      <c r="M1066" s="118"/>
      <c r="N1066" s="117"/>
      <c r="O1066" s="117"/>
      <c r="P1066" s="117"/>
      <c r="Q1066" s="117"/>
      <c r="R1066" s="117"/>
      <c r="S1066" s="117"/>
      <c r="T1066" s="117"/>
      <c r="U1066" s="117"/>
      <c r="V1066" s="117"/>
      <c r="W1066" s="117"/>
      <c r="X1066" s="117"/>
      <c r="Y1066" s="117"/>
      <c r="Z1066" s="117"/>
      <c r="AA1066" s="117"/>
      <c r="AB1066" s="117"/>
      <c r="AC1066" s="117"/>
      <c r="AD1066" s="117"/>
      <c r="AE1066" s="117"/>
      <c r="AF1066" s="117"/>
      <c r="AG1066" s="117"/>
      <c r="AH1066" s="117"/>
      <c r="AI1066" s="117"/>
      <c r="AJ1066" s="117"/>
      <c r="AK1066" s="117"/>
      <c r="AL1066" s="117"/>
      <c r="AM1066" s="117"/>
      <c r="AN1066" s="117"/>
      <c r="AO1066" s="117"/>
      <c r="AP1066" s="117"/>
      <c r="AQ1066" s="117"/>
      <c r="AR1066" s="117"/>
      <c r="AS1066" s="117"/>
      <c r="AT1066" s="117"/>
      <c r="AU1066" s="117"/>
      <c r="AV1066" s="117"/>
      <c r="AW1066" s="117"/>
      <c r="AX1066" s="117"/>
      <c r="AY1066" s="117"/>
      <c r="AZ1066" s="117"/>
      <c r="BA1066" s="117"/>
      <c r="BB1066" s="117"/>
      <c r="BC1066" s="117"/>
      <c r="BD1066" s="117"/>
      <c r="BE1066" s="117"/>
      <c r="BF1066" s="117"/>
      <c r="BG1066" s="117"/>
    </row>
    <row r="1067" spans="1:59">
      <c r="A1067" s="117"/>
      <c r="B1067" s="117"/>
      <c r="C1067" s="117"/>
      <c r="D1067" s="117"/>
      <c r="E1067" s="117"/>
      <c r="F1067" s="117"/>
      <c r="G1067" s="117"/>
      <c r="H1067" s="117"/>
      <c r="I1067" s="117"/>
      <c r="J1067" s="118"/>
      <c r="K1067" s="118"/>
      <c r="L1067" s="118"/>
      <c r="M1067" s="118"/>
      <c r="N1067" s="117"/>
      <c r="O1067" s="117"/>
      <c r="P1067" s="117"/>
      <c r="Q1067" s="117"/>
      <c r="R1067" s="117"/>
      <c r="S1067" s="117"/>
      <c r="T1067" s="117"/>
      <c r="U1067" s="117"/>
      <c r="V1067" s="117"/>
      <c r="W1067" s="117"/>
      <c r="X1067" s="117"/>
      <c r="Y1067" s="117"/>
      <c r="Z1067" s="117"/>
      <c r="AA1067" s="117"/>
      <c r="AB1067" s="117"/>
      <c r="AC1067" s="117"/>
      <c r="AD1067" s="117"/>
      <c r="AE1067" s="117"/>
      <c r="AF1067" s="117"/>
      <c r="AG1067" s="117"/>
      <c r="AH1067" s="117"/>
      <c r="AI1067" s="117"/>
      <c r="AJ1067" s="117"/>
      <c r="AK1067" s="117"/>
      <c r="AL1067" s="117"/>
      <c r="AM1067" s="117"/>
      <c r="AN1067" s="117"/>
      <c r="AO1067" s="117"/>
      <c r="AP1067" s="117"/>
      <c r="AQ1067" s="117"/>
      <c r="AR1067" s="117"/>
      <c r="AS1067" s="117"/>
      <c r="AT1067" s="117"/>
      <c r="AU1067" s="117"/>
      <c r="AV1067" s="117"/>
      <c r="AW1067" s="117"/>
      <c r="AX1067" s="117"/>
      <c r="AY1067" s="117"/>
      <c r="AZ1067" s="117"/>
      <c r="BA1067" s="117"/>
      <c r="BB1067" s="117"/>
      <c r="BC1067" s="117"/>
      <c r="BD1067" s="117"/>
      <c r="BE1067" s="117"/>
      <c r="BF1067" s="117"/>
      <c r="BG1067" s="117"/>
    </row>
    <row r="1068" spans="1:59">
      <c r="A1068" s="117"/>
      <c r="B1068" s="117"/>
      <c r="C1068" s="117"/>
      <c r="D1068" s="117"/>
      <c r="E1068" s="117"/>
      <c r="F1068" s="117"/>
      <c r="G1068" s="117"/>
      <c r="H1068" s="117"/>
      <c r="I1068" s="117"/>
      <c r="J1068" s="118"/>
      <c r="K1068" s="118"/>
      <c r="L1068" s="118"/>
      <c r="M1068" s="118"/>
      <c r="N1068" s="117"/>
      <c r="O1068" s="117"/>
      <c r="P1068" s="117"/>
      <c r="Q1068" s="117"/>
      <c r="R1068" s="117"/>
      <c r="S1068" s="117"/>
      <c r="T1068" s="117"/>
      <c r="U1068" s="117"/>
      <c r="V1068" s="117"/>
      <c r="W1068" s="117"/>
      <c r="X1068" s="117"/>
      <c r="Y1068" s="117"/>
      <c r="Z1068" s="117"/>
      <c r="AA1068" s="117"/>
      <c r="AB1068" s="117"/>
      <c r="AC1068" s="117"/>
      <c r="AD1068" s="117"/>
      <c r="AE1068" s="117"/>
      <c r="AF1068" s="117"/>
      <c r="AG1068" s="117"/>
      <c r="AH1068" s="117"/>
      <c r="AI1068" s="117"/>
      <c r="AJ1068" s="117"/>
      <c r="AK1068" s="117"/>
      <c r="AL1068" s="117"/>
      <c r="AM1068" s="117"/>
      <c r="AN1068" s="117"/>
      <c r="AO1068" s="117"/>
      <c r="AP1068" s="117"/>
      <c r="AQ1068" s="117"/>
      <c r="AR1068" s="117"/>
      <c r="AS1068" s="117"/>
      <c r="AT1068" s="117"/>
      <c r="AU1068" s="117"/>
      <c r="AV1068" s="117"/>
      <c r="AW1068" s="117"/>
      <c r="AX1068" s="117"/>
      <c r="AY1068" s="117"/>
      <c r="AZ1068" s="117"/>
      <c r="BA1068" s="117"/>
      <c r="BB1068" s="117"/>
      <c r="BC1068" s="117"/>
      <c r="BD1068" s="117"/>
      <c r="BE1068" s="117"/>
      <c r="BF1068" s="117"/>
      <c r="BG1068" s="117"/>
    </row>
    <row r="1069" spans="1:59">
      <c r="A1069" s="117"/>
      <c r="B1069" s="117"/>
      <c r="C1069" s="117"/>
      <c r="D1069" s="117"/>
      <c r="E1069" s="117"/>
      <c r="F1069" s="117"/>
      <c r="G1069" s="117"/>
      <c r="H1069" s="117"/>
      <c r="I1069" s="117"/>
      <c r="J1069" s="118"/>
      <c r="K1069" s="118"/>
      <c r="L1069" s="118"/>
      <c r="M1069" s="118"/>
      <c r="N1069" s="117"/>
      <c r="O1069" s="117"/>
      <c r="P1069" s="117"/>
      <c r="Q1069" s="117"/>
      <c r="R1069" s="117"/>
      <c r="S1069" s="117"/>
      <c r="T1069" s="117"/>
      <c r="U1069" s="117"/>
      <c r="V1069" s="117"/>
      <c r="W1069" s="117"/>
      <c r="X1069" s="117"/>
      <c r="Y1069" s="117"/>
      <c r="Z1069" s="117"/>
      <c r="AA1069" s="117"/>
      <c r="AB1069" s="117"/>
      <c r="AC1069" s="117"/>
      <c r="AD1069" s="117"/>
      <c r="AE1069" s="117"/>
      <c r="AF1069" s="117"/>
      <c r="AG1069" s="117"/>
      <c r="AH1069" s="117"/>
      <c r="AI1069" s="117"/>
      <c r="AJ1069" s="117"/>
      <c r="AK1069" s="117"/>
      <c r="AL1069" s="117"/>
      <c r="AM1069" s="117"/>
      <c r="AN1069" s="117"/>
      <c r="AO1069" s="117"/>
      <c r="AP1069" s="117"/>
      <c r="AQ1069" s="117"/>
      <c r="AR1069" s="117"/>
      <c r="AS1069" s="117"/>
      <c r="AT1069" s="117"/>
      <c r="AU1069" s="117"/>
      <c r="AV1069" s="117"/>
      <c r="AW1069" s="117"/>
      <c r="AX1069" s="117"/>
      <c r="AY1069" s="117"/>
      <c r="AZ1069" s="117"/>
      <c r="BA1069" s="117"/>
      <c r="BB1069" s="117"/>
      <c r="BC1069" s="117"/>
      <c r="BD1069" s="117"/>
      <c r="BE1069" s="117"/>
      <c r="BF1069" s="117"/>
      <c r="BG1069" s="117"/>
    </row>
    <row r="1070" spans="1:59">
      <c r="A1070" s="117"/>
      <c r="B1070" s="117"/>
      <c r="C1070" s="117"/>
      <c r="D1070" s="117"/>
      <c r="E1070" s="117"/>
      <c r="F1070" s="117"/>
      <c r="G1070" s="117"/>
      <c r="H1070" s="117"/>
      <c r="I1070" s="117"/>
      <c r="J1070" s="118"/>
      <c r="K1070" s="118"/>
      <c r="L1070" s="118"/>
      <c r="M1070" s="118"/>
      <c r="N1070" s="117"/>
      <c r="O1070" s="117"/>
      <c r="P1070" s="117"/>
      <c r="Q1070" s="117"/>
      <c r="R1070" s="117"/>
      <c r="S1070" s="117"/>
      <c r="T1070" s="117"/>
      <c r="U1070" s="117"/>
      <c r="V1070" s="117"/>
      <c r="W1070" s="117"/>
      <c r="X1070" s="117"/>
      <c r="Y1070" s="117"/>
      <c r="Z1070" s="117"/>
      <c r="AA1070" s="117"/>
      <c r="AB1070" s="117"/>
      <c r="AC1070" s="117"/>
      <c r="AD1070" s="117"/>
      <c r="AE1070" s="117"/>
      <c r="AF1070" s="117"/>
      <c r="AG1070" s="117"/>
      <c r="AH1070" s="117"/>
      <c r="AI1070" s="117"/>
      <c r="AJ1070" s="117"/>
      <c r="AK1070" s="117"/>
      <c r="AL1070" s="117"/>
      <c r="AM1070" s="117"/>
      <c r="AN1070" s="117"/>
      <c r="AO1070" s="117"/>
      <c r="AP1070" s="117"/>
      <c r="AQ1070" s="117"/>
      <c r="AR1070" s="117"/>
      <c r="AS1070" s="117"/>
      <c r="AT1070" s="117"/>
      <c r="AU1070" s="117"/>
      <c r="AV1070" s="117"/>
      <c r="AW1070" s="117"/>
      <c r="AX1070" s="117"/>
      <c r="AY1070" s="117"/>
      <c r="AZ1070" s="117"/>
      <c r="BA1070" s="117"/>
      <c r="BB1070" s="117"/>
      <c r="BC1070" s="117"/>
      <c r="BD1070" s="117"/>
      <c r="BE1070" s="117"/>
      <c r="BF1070" s="117"/>
      <c r="BG1070" s="117"/>
    </row>
    <row r="1071" spans="1:59">
      <c r="A1071" s="117"/>
      <c r="B1071" s="117"/>
      <c r="C1071" s="117"/>
      <c r="D1071" s="117"/>
      <c r="E1071" s="117"/>
      <c r="F1071" s="117"/>
      <c r="G1071" s="117"/>
      <c r="H1071" s="117"/>
      <c r="I1071" s="117"/>
      <c r="J1071" s="118"/>
      <c r="K1071" s="118"/>
      <c r="L1071" s="118"/>
      <c r="M1071" s="118"/>
      <c r="N1071" s="117"/>
      <c r="O1071" s="117"/>
      <c r="P1071" s="117"/>
      <c r="Q1071" s="117"/>
      <c r="R1071" s="117"/>
      <c r="S1071" s="117"/>
      <c r="T1071" s="117"/>
      <c r="U1071" s="117"/>
      <c r="V1071" s="117"/>
      <c r="W1071" s="117"/>
      <c r="X1071" s="117"/>
      <c r="Y1071" s="117"/>
      <c r="Z1071" s="117"/>
      <c r="AA1071" s="117"/>
      <c r="AB1071" s="117"/>
      <c r="AC1071" s="117"/>
      <c r="AD1071" s="117"/>
      <c r="AE1071" s="117"/>
      <c r="AF1071" s="117"/>
      <c r="AG1071" s="117"/>
      <c r="AH1071" s="117"/>
      <c r="AI1071" s="117"/>
      <c r="AJ1071" s="117"/>
      <c r="AK1071" s="117"/>
      <c r="AL1071" s="117"/>
      <c r="AM1071" s="117"/>
      <c r="AN1071" s="117"/>
      <c r="AO1071" s="117"/>
      <c r="AP1071" s="117"/>
      <c r="AQ1071" s="117"/>
      <c r="AR1071" s="117"/>
      <c r="AS1071" s="117"/>
      <c r="AT1071" s="117"/>
      <c r="AU1071" s="117"/>
      <c r="AV1071" s="117"/>
      <c r="AW1071" s="117"/>
      <c r="AX1071" s="117"/>
      <c r="AY1071" s="117"/>
      <c r="AZ1071" s="117"/>
      <c r="BA1071" s="117"/>
      <c r="BB1071" s="117"/>
      <c r="BC1071" s="117"/>
      <c r="BD1071" s="117"/>
      <c r="BE1071" s="117"/>
      <c r="BF1071" s="117"/>
      <c r="BG1071" s="117"/>
    </row>
    <row r="1072" spans="1:59">
      <c r="A1072" s="117"/>
      <c r="B1072" s="117"/>
      <c r="C1072" s="117"/>
      <c r="D1072" s="117"/>
      <c r="E1072" s="117"/>
      <c r="F1072" s="117"/>
      <c r="G1072" s="117"/>
      <c r="H1072" s="117"/>
      <c r="I1072" s="117"/>
      <c r="J1072" s="118"/>
      <c r="K1072" s="118"/>
      <c r="L1072" s="118"/>
      <c r="M1072" s="118"/>
      <c r="N1072" s="117"/>
      <c r="O1072" s="117"/>
      <c r="P1072" s="117"/>
      <c r="Q1072" s="117"/>
      <c r="R1072" s="117"/>
      <c r="S1072" s="117"/>
      <c r="T1072" s="117"/>
      <c r="U1072" s="117"/>
      <c r="V1072" s="117"/>
      <c r="W1072" s="117"/>
      <c r="X1072" s="117"/>
      <c r="Y1072" s="117"/>
      <c r="Z1072" s="117"/>
      <c r="AA1072" s="117"/>
      <c r="AB1072" s="117"/>
      <c r="AC1072" s="117"/>
      <c r="AD1072" s="117"/>
      <c r="AE1072" s="117"/>
      <c r="AF1072" s="117"/>
      <c r="AG1072" s="117"/>
      <c r="AH1072" s="117"/>
      <c r="AI1072" s="117"/>
      <c r="AJ1072" s="117"/>
      <c r="AK1072" s="117"/>
      <c r="AL1072" s="117"/>
      <c r="AM1072" s="117"/>
      <c r="AN1072" s="117"/>
      <c r="AO1072" s="117"/>
      <c r="AP1072" s="117"/>
      <c r="AQ1072" s="117"/>
      <c r="AR1072" s="117"/>
      <c r="AS1072" s="117"/>
      <c r="AT1072" s="117"/>
      <c r="AU1072" s="117"/>
      <c r="AV1072" s="117"/>
      <c r="AW1072" s="117"/>
      <c r="AX1072" s="117"/>
      <c r="AY1072" s="117"/>
      <c r="AZ1072" s="117"/>
      <c r="BA1072" s="117"/>
      <c r="BB1072" s="117"/>
      <c r="BC1072" s="117"/>
      <c r="BD1072" s="117"/>
      <c r="BE1072" s="117"/>
      <c r="BF1072" s="117"/>
      <c r="BG1072" s="117"/>
    </row>
    <row r="1073" spans="1:59">
      <c r="A1073" s="117"/>
      <c r="B1073" s="117"/>
      <c r="C1073" s="117"/>
      <c r="D1073" s="117"/>
      <c r="E1073" s="117"/>
      <c r="F1073" s="117"/>
      <c r="G1073" s="117"/>
      <c r="H1073" s="117"/>
      <c r="I1073" s="117"/>
      <c r="J1073" s="118"/>
      <c r="K1073" s="118"/>
      <c r="L1073" s="118"/>
      <c r="M1073" s="118"/>
      <c r="N1073" s="117"/>
      <c r="O1073" s="117"/>
      <c r="P1073" s="117"/>
      <c r="Q1073" s="117"/>
      <c r="R1073" s="117"/>
      <c r="S1073" s="117"/>
      <c r="T1073" s="117"/>
      <c r="U1073" s="117"/>
      <c r="V1073" s="117"/>
      <c r="W1073" s="117"/>
      <c r="X1073" s="117"/>
      <c r="Y1073" s="117"/>
      <c r="Z1073" s="117"/>
      <c r="AA1073" s="117"/>
      <c r="AB1073" s="117"/>
      <c r="AC1073" s="117"/>
      <c r="AD1073" s="117"/>
      <c r="AE1073" s="117"/>
      <c r="AF1073" s="117"/>
      <c r="AG1073" s="117"/>
      <c r="AH1073" s="117"/>
      <c r="AI1073" s="117"/>
      <c r="AJ1073" s="117"/>
      <c r="AK1073" s="117"/>
      <c r="AL1073" s="117"/>
      <c r="AM1073" s="117"/>
      <c r="AN1073" s="117"/>
      <c r="AO1073" s="117"/>
      <c r="AP1073" s="117"/>
      <c r="AQ1073" s="117"/>
      <c r="AR1073" s="117"/>
      <c r="AS1073" s="117"/>
      <c r="AT1073" s="117"/>
      <c r="AU1073" s="117"/>
      <c r="AV1073" s="117"/>
      <c r="AW1073" s="117"/>
      <c r="AX1073" s="117"/>
      <c r="AY1073" s="117"/>
      <c r="AZ1073" s="117"/>
      <c r="BA1073" s="117"/>
      <c r="BB1073" s="117"/>
      <c r="BC1073" s="117"/>
      <c r="BD1073" s="117"/>
      <c r="BE1073" s="117"/>
      <c r="BF1073" s="117"/>
      <c r="BG1073" s="117"/>
    </row>
    <row r="1074" spans="1:59">
      <c r="A1074" s="117"/>
      <c r="B1074" s="117"/>
      <c r="C1074" s="117"/>
      <c r="D1074" s="117"/>
      <c r="E1074" s="117"/>
      <c r="F1074" s="117"/>
      <c r="G1074" s="117"/>
      <c r="H1074" s="117"/>
      <c r="I1074" s="117"/>
      <c r="J1074" s="118"/>
      <c r="K1074" s="118"/>
      <c r="L1074" s="118"/>
      <c r="M1074" s="118"/>
      <c r="N1074" s="117"/>
      <c r="O1074" s="117"/>
      <c r="P1074" s="117"/>
      <c r="Q1074" s="117"/>
      <c r="R1074" s="117"/>
      <c r="S1074" s="117"/>
      <c r="T1074" s="117"/>
      <c r="U1074" s="117"/>
      <c r="V1074" s="117"/>
      <c r="W1074" s="117"/>
      <c r="X1074" s="117"/>
      <c r="Y1074" s="117"/>
      <c r="Z1074" s="117"/>
      <c r="AA1074" s="117"/>
      <c r="AB1074" s="117"/>
      <c r="AC1074" s="117"/>
      <c r="AD1074" s="117"/>
      <c r="AE1074" s="117"/>
      <c r="AF1074" s="117"/>
      <c r="AG1074" s="117"/>
      <c r="AH1074" s="117"/>
      <c r="AI1074" s="117"/>
      <c r="AJ1074" s="117"/>
      <c r="AK1074" s="117"/>
      <c r="AL1074" s="117"/>
      <c r="AM1074" s="117"/>
      <c r="AN1074" s="117"/>
      <c r="AO1074" s="117"/>
      <c r="AP1074" s="117"/>
      <c r="AQ1074" s="117"/>
      <c r="AR1074" s="117"/>
      <c r="AS1074" s="117"/>
      <c r="AT1074" s="117"/>
      <c r="AU1074" s="117"/>
      <c r="AV1074" s="117"/>
      <c r="AW1074" s="117"/>
      <c r="AX1074" s="117"/>
      <c r="AY1074" s="117"/>
      <c r="AZ1074" s="117"/>
      <c r="BA1074" s="117"/>
      <c r="BB1074" s="117"/>
      <c r="BC1074" s="117"/>
      <c r="BD1074" s="117"/>
      <c r="BE1074" s="117"/>
      <c r="BF1074" s="117"/>
      <c r="BG1074" s="117"/>
    </row>
    <row r="1075" spans="1:59">
      <c r="A1075" s="117"/>
      <c r="B1075" s="117"/>
      <c r="C1075" s="117"/>
      <c r="D1075" s="117"/>
      <c r="E1075" s="117"/>
      <c r="F1075" s="117"/>
      <c r="G1075" s="117"/>
      <c r="H1075" s="117"/>
      <c r="I1075" s="117"/>
      <c r="J1075" s="118"/>
      <c r="K1075" s="118"/>
      <c r="L1075" s="118"/>
      <c r="M1075" s="118"/>
      <c r="N1075" s="117"/>
      <c r="O1075" s="117"/>
      <c r="P1075" s="117"/>
      <c r="Q1075" s="117"/>
      <c r="R1075" s="117"/>
      <c r="S1075" s="117"/>
      <c r="T1075" s="117"/>
      <c r="U1075" s="117"/>
      <c r="V1075" s="117"/>
      <c r="W1075" s="117"/>
      <c r="X1075" s="117"/>
      <c r="Y1075" s="117"/>
      <c r="Z1075" s="117"/>
      <c r="AA1075" s="117"/>
      <c r="AB1075" s="117"/>
      <c r="AC1075" s="117"/>
      <c r="AD1075" s="117"/>
      <c r="AE1075" s="117"/>
      <c r="AF1075" s="117"/>
      <c r="AG1075" s="117"/>
      <c r="AH1075" s="117"/>
      <c r="AI1075" s="117"/>
      <c r="AJ1075" s="117"/>
      <c r="AK1075" s="117"/>
      <c r="AL1075" s="117"/>
      <c r="AM1075" s="117"/>
      <c r="AN1075" s="117"/>
      <c r="AO1075" s="117"/>
      <c r="AP1075" s="117"/>
      <c r="AQ1075" s="117"/>
      <c r="AR1075" s="117"/>
      <c r="AS1075" s="117"/>
      <c r="AT1075" s="117"/>
      <c r="AU1075" s="117"/>
      <c r="AV1075" s="117"/>
      <c r="AW1075" s="117"/>
      <c r="AX1075" s="117"/>
      <c r="AY1075" s="117"/>
      <c r="AZ1075" s="117"/>
      <c r="BA1075" s="117"/>
      <c r="BB1075" s="117"/>
      <c r="BC1075" s="117"/>
      <c r="BD1075" s="117"/>
      <c r="BE1075" s="117"/>
      <c r="BF1075" s="117"/>
      <c r="BG1075" s="117"/>
    </row>
    <row r="1076" spans="1:59">
      <c r="A1076" s="117"/>
      <c r="B1076" s="117"/>
      <c r="C1076" s="117"/>
      <c r="D1076" s="117"/>
      <c r="E1076" s="117"/>
      <c r="F1076" s="117"/>
      <c r="G1076" s="117"/>
      <c r="H1076" s="117"/>
      <c r="I1076" s="117"/>
      <c r="J1076" s="118"/>
      <c r="K1076" s="118"/>
      <c r="L1076" s="118"/>
      <c r="M1076" s="118"/>
      <c r="N1076" s="117"/>
      <c r="O1076" s="117"/>
      <c r="P1076" s="117"/>
      <c r="Q1076" s="117"/>
      <c r="R1076" s="117"/>
      <c r="S1076" s="117"/>
      <c r="T1076" s="117"/>
      <c r="U1076" s="117"/>
      <c r="V1076" s="117"/>
      <c r="W1076" s="117"/>
      <c r="X1076" s="117"/>
      <c r="Y1076" s="117"/>
      <c r="Z1076" s="117"/>
      <c r="AA1076" s="117"/>
      <c r="AB1076" s="117"/>
      <c r="AC1076" s="117"/>
      <c r="AD1076" s="117"/>
      <c r="AE1076" s="117"/>
      <c r="AF1076" s="117"/>
      <c r="AG1076" s="117"/>
      <c r="AH1076" s="117"/>
      <c r="AI1076" s="117"/>
      <c r="AJ1076" s="117"/>
      <c r="AK1076" s="117"/>
      <c r="AL1076" s="117"/>
      <c r="AM1076" s="117"/>
      <c r="AN1076" s="117"/>
      <c r="AO1076" s="117"/>
      <c r="AP1076" s="117"/>
      <c r="AQ1076" s="117"/>
      <c r="AR1076" s="117"/>
      <c r="AS1076" s="117"/>
      <c r="AT1076" s="117"/>
      <c r="AU1076" s="117"/>
      <c r="AV1076" s="117"/>
      <c r="AW1076" s="117"/>
      <c r="AX1076" s="117"/>
      <c r="AY1076" s="117"/>
      <c r="AZ1076" s="117"/>
      <c r="BA1076" s="117"/>
      <c r="BB1076" s="117"/>
      <c r="BC1076" s="117"/>
      <c r="BD1076" s="117"/>
      <c r="BE1076" s="117"/>
      <c r="BF1076" s="117"/>
      <c r="BG1076" s="117"/>
    </row>
    <row r="1077" spans="1:59">
      <c r="A1077" s="117"/>
      <c r="B1077" s="117"/>
      <c r="C1077" s="117"/>
      <c r="D1077" s="117"/>
      <c r="E1077" s="117"/>
      <c r="F1077" s="117"/>
      <c r="G1077" s="117"/>
      <c r="H1077" s="117"/>
      <c r="I1077" s="117"/>
      <c r="J1077" s="118"/>
      <c r="K1077" s="118"/>
      <c r="L1077" s="118"/>
      <c r="M1077" s="118"/>
      <c r="N1077" s="117"/>
      <c r="O1077" s="117"/>
      <c r="P1077" s="117"/>
      <c r="Q1077" s="117"/>
      <c r="R1077" s="117"/>
      <c r="S1077" s="117"/>
      <c r="T1077" s="117"/>
      <c r="U1077" s="117"/>
      <c r="V1077" s="117"/>
      <c r="W1077" s="117"/>
      <c r="X1077" s="117"/>
      <c r="Y1077" s="117"/>
      <c r="Z1077" s="117"/>
      <c r="AA1077" s="117"/>
      <c r="AB1077" s="117"/>
      <c r="AC1077" s="117"/>
      <c r="AD1077" s="117"/>
      <c r="AE1077" s="117"/>
      <c r="AF1077" s="117"/>
      <c r="AG1077" s="117"/>
      <c r="AH1077" s="117"/>
      <c r="AI1077" s="117"/>
      <c r="AJ1077" s="117"/>
      <c r="AK1077" s="117"/>
      <c r="AL1077" s="117"/>
      <c r="AM1077" s="117"/>
      <c r="AN1077" s="117"/>
      <c r="AO1077" s="117"/>
      <c r="AP1077" s="117"/>
      <c r="AQ1077" s="117"/>
      <c r="AR1077" s="117"/>
      <c r="AS1077" s="117"/>
      <c r="AT1077" s="117"/>
      <c r="AU1077" s="117"/>
      <c r="AV1077" s="117"/>
      <c r="AW1077" s="117"/>
      <c r="AX1077" s="117"/>
      <c r="AY1077" s="117"/>
      <c r="AZ1077" s="117"/>
      <c r="BA1077" s="117"/>
      <c r="BB1077" s="117"/>
      <c r="BC1077" s="117"/>
      <c r="BD1077" s="117"/>
      <c r="BE1077" s="117"/>
      <c r="BF1077" s="117"/>
      <c r="BG1077" s="117"/>
    </row>
    <row r="1078" spans="1:59">
      <c r="A1078" s="117"/>
      <c r="B1078" s="117"/>
      <c r="C1078" s="117"/>
      <c r="D1078" s="117"/>
      <c r="E1078" s="117"/>
      <c r="F1078" s="117"/>
      <c r="G1078" s="117"/>
      <c r="H1078" s="117"/>
      <c r="I1078" s="117"/>
      <c r="J1078" s="118"/>
      <c r="K1078" s="118"/>
      <c r="L1078" s="118"/>
      <c r="M1078" s="118"/>
      <c r="N1078" s="117"/>
      <c r="O1078" s="117"/>
      <c r="P1078" s="117"/>
      <c r="Q1078" s="117"/>
      <c r="R1078" s="117"/>
      <c r="S1078" s="117"/>
      <c r="T1078" s="117"/>
      <c r="U1078" s="117"/>
      <c r="V1078" s="117"/>
      <c r="W1078" s="117"/>
      <c r="X1078" s="117"/>
      <c r="Y1078" s="117"/>
      <c r="Z1078" s="117"/>
      <c r="AA1078" s="117"/>
      <c r="AB1078" s="117"/>
      <c r="AC1078" s="117"/>
      <c r="AD1078" s="117"/>
      <c r="AE1078" s="117"/>
      <c r="AF1078" s="117"/>
      <c r="AG1078" s="117"/>
      <c r="AH1078" s="117"/>
      <c r="AI1078" s="117"/>
      <c r="AJ1078" s="117"/>
      <c r="AK1078" s="117"/>
      <c r="AL1078" s="117"/>
      <c r="AM1078" s="117"/>
      <c r="AN1078" s="117"/>
      <c r="AO1078" s="117"/>
      <c r="AP1078" s="117"/>
      <c r="AQ1078" s="117"/>
      <c r="AR1078" s="117"/>
      <c r="AS1078" s="117"/>
      <c r="AT1078" s="117"/>
      <c r="AU1078" s="117"/>
      <c r="AV1078" s="117"/>
      <c r="AW1078" s="117"/>
      <c r="AX1078" s="117"/>
      <c r="AY1078" s="117"/>
      <c r="AZ1078" s="117"/>
      <c r="BA1078" s="117"/>
      <c r="BB1078" s="117"/>
      <c r="BC1078" s="117"/>
      <c r="BD1078" s="117"/>
      <c r="BE1078" s="117"/>
      <c r="BF1078" s="117"/>
      <c r="BG1078" s="117"/>
    </row>
    <row r="1079" spans="1:59">
      <c r="A1079" s="117"/>
      <c r="B1079" s="117"/>
      <c r="C1079" s="117"/>
      <c r="D1079" s="117"/>
      <c r="E1079" s="117"/>
      <c r="F1079" s="117"/>
      <c r="G1079" s="117"/>
      <c r="H1079" s="117"/>
      <c r="I1079" s="117"/>
      <c r="J1079" s="118"/>
      <c r="K1079" s="118"/>
      <c r="L1079" s="118"/>
      <c r="M1079" s="118"/>
      <c r="N1079" s="117"/>
      <c r="O1079" s="117"/>
      <c r="P1079" s="117"/>
      <c r="Q1079" s="117"/>
      <c r="R1079" s="117"/>
      <c r="S1079" s="117"/>
      <c r="T1079" s="117"/>
      <c r="U1079" s="117"/>
      <c r="V1079" s="117"/>
      <c r="W1079" s="117"/>
      <c r="X1079" s="117"/>
      <c r="Y1079" s="117"/>
      <c r="Z1079" s="117"/>
      <c r="AA1079" s="117"/>
      <c r="AB1079" s="117"/>
      <c r="AC1079" s="117"/>
      <c r="AD1079" s="117"/>
      <c r="AE1079" s="117"/>
      <c r="AF1079" s="117"/>
      <c r="AG1079" s="117"/>
      <c r="AH1079" s="117"/>
      <c r="AI1079" s="117"/>
      <c r="AJ1079" s="117"/>
      <c r="AK1079" s="117"/>
      <c r="AL1079" s="117"/>
      <c r="AM1079" s="117"/>
      <c r="AN1079" s="117"/>
      <c r="AO1079" s="117"/>
      <c r="AP1079" s="117"/>
      <c r="AQ1079" s="117"/>
      <c r="AR1079" s="117"/>
      <c r="AS1079" s="117"/>
      <c r="AT1079" s="117"/>
      <c r="AU1079" s="117"/>
      <c r="AV1079" s="117"/>
      <c r="AW1079" s="117"/>
      <c r="AX1079" s="117"/>
      <c r="AY1079" s="117"/>
      <c r="AZ1079" s="117"/>
      <c r="BA1079" s="117"/>
      <c r="BB1079" s="117"/>
      <c r="BC1079" s="117"/>
      <c r="BD1079" s="117"/>
      <c r="BE1079" s="117"/>
      <c r="BF1079" s="117"/>
      <c r="BG1079" s="117"/>
    </row>
    <row r="1080" spans="1:59">
      <c r="A1080" s="117"/>
      <c r="B1080" s="117"/>
      <c r="C1080" s="117"/>
      <c r="D1080" s="117"/>
      <c r="E1080" s="117"/>
      <c r="F1080" s="117"/>
      <c r="G1080" s="117"/>
      <c r="H1080" s="117"/>
      <c r="I1080" s="117"/>
      <c r="J1080" s="118"/>
      <c r="K1080" s="118"/>
      <c r="L1080" s="118"/>
      <c r="M1080" s="118"/>
      <c r="N1080" s="117"/>
      <c r="O1080" s="117"/>
      <c r="P1080" s="117"/>
      <c r="Q1080" s="117"/>
      <c r="R1080" s="117"/>
      <c r="S1080" s="117"/>
      <c r="T1080" s="117"/>
      <c r="U1080" s="117"/>
      <c r="V1080" s="117"/>
      <c r="W1080" s="117"/>
      <c r="X1080" s="117"/>
      <c r="Y1080" s="117"/>
      <c r="Z1080" s="117"/>
      <c r="AA1080" s="117"/>
      <c r="AB1080" s="117"/>
      <c r="AC1080" s="117"/>
      <c r="AD1080" s="117"/>
      <c r="AE1080" s="117"/>
      <c r="AF1080" s="117"/>
      <c r="AG1080" s="117"/>
      <c r="AH1080" s="117"/>
      <c r="AI1080" s="117"/>
      <c r="AJ1080" s="117"/>
      <c r="AK1080" s="117"/>
      <c r="AL1080" s="117"/>
      <c r="AM1080" s="117"/>
      <c r="AN1080" s="117"/>
      <c r="AO1080" s="117"/>
      <c r="AP1080" s="117"/>
      <c r="AQ1080" s="117"/>
      <c r="AR1080" s="117"/>
      <c r="AS1080" s="117"/>
      <c r="AT1080" s="117"/>
      <c r="AU1080" s="117"/>
      <c r="AV1080" s="117"/>
      <c r="AW1080" s="117"/>
      <c r="AX1080" s="117"/>
      <c r="AY1080" s="117"/>
      <c r="AZ1080" s="117"/>
      <c r="BA1080" s="117"/>
      <c r="BB1080" s="117"/>
      <c r="BC1080" s="117"/>
      <c r="BD1080" s="117"/>
      <c r="BE1080" s="117"/>
      <c r="BF1080" s="117"/>
      <c r="BG1080" s="117"/>
    </row>
    <row r="1081" spans="1:59">
      <c r="A1081" s="117"/>
      <c r="B1081" s="117"/>
      <c r="C1081" s="117"/>
      <c r="D1081" s="117"/>
      <c r="E1081" s="117"/>
      <c r="F1081" s="117"/>
      <c r="G1081" s="117"/>
      <c r="H1081" s="117"/>
      <c r="I1081" s="117"/>
      <c r="J1081" s="118"/>
      <c r="K1081" s="118"/>
      <c r="L1081" s="118"/>
      <c r="M1081" s="118"/>
      <c r="N1081" s="117"/>
      <c r="O1081" s="117"/>
      <c r="P1081" s="117"/>
      <c r="Q1081" s="117"/>
      <c r="R1081" s="117"/>
      <c r="S1081" s="117"/>
      <c r="T1081" s="117"/>
      <c r="U1081" s="117"/>
      <c r="V1081" s="117"/>
      <c r="W1081" s="117"/>
      <c r="X1081" s="117"/>
      <c r="Y1081" s="117"/>
      <c r="Z1081" s="117"/>
      <c r="AA1081" s="117"/>
      <c r="AB1081" s="117"/>
      <c r="AC1081" s="117"/>
      <c r="AD1081" s="117"/>
      <c r="AE1081" s="117"/>
      <c r="AF1081" s="117"/>
      <c r="AG1081" s="117"/>
      <c r="AH1081" s="117"/>
      <c r="AI1081" s="117"/>
      <c r="AJ1081" s="117"/>
      <c r="AK1081" s="117"/>
      <c r="AL1081" s="117"/>
      <c r="AM1081" s="117"/>
      <c r="AN1081" s="117"/>
      <c r="AO1081" s="117"/>
      <c r="AP1081" s="117"/>
      <c r="AQ1081" s="117"/>
      <c r="AR1081" s="117"/>
      <c r="AS1081" s="117"/>
      <c r="AT1081" s="117"/>
      <c r="AU1081" s="117"/>
      <c r="AV1081" s="117"/>
      <c r="AW1081" s="117"/>
      <c r="AX1081" s="117"/>
      <c r="AY1081" s="117"/>
      <c r="AZ1081" s="117"/>
      <c r="BA1081" s="117"/>
      <c r="BB1081" s="117"/>
      <c r="BC1081" s="117"/>
      <c r="BD1081" s="117"/>
      <c r="BE1081" s="117"/>
      <c r="BF1081" s="117"/>
      <c r="BG1081" s="117"/>
    </row>
    <row r="1082" spans="1:59">
      <c r="A1082" s="117"/>
      <c r="B1082" s="117"/>
      <c r="C1082" s="117"/>
      <c r="D1082" s="117"/>
      <c r="E1082" s="117"/>
      <c r="F1082" s="117"/>
      <c r="G1082" s="117"/>
      <c r="H1082" s="117"/>
      <c r="I1082" s="117"/>
      <c r="J1082" s="118"/>
      <c r="K1082" s="118"/>
      <c r="L1082" s="118"/>
      <c r="M1082" s="118"/>
      <c r="N1082" s="117"/>
      <c r="O1082" s="117"/>
      <c r="P1082" s="117"/>
      <c r="Q1082" s="117"/>
      <c r="R1082" s="117"/>
      <c r="S1082" s="117"/>
      <c r="T1082" s="117"/>
      <c r="U1082" s="117"/>
      <c r="V1082" s="117"/>
      <c r="W1082" s="117"/>
      <c r="X1082" s="117"/>
      <c r="Y1082" s="117"/>
      <c r="Z1082" s="117"/>
      <c r="AA1082" s="117"/>
      <c r="AB1082" s="117"/>
      <c r="AC1082" s="117"/>
      <c r="AD1082" s="117"/>
      <c r="AE1082" s="117"/>
      <c r="AF1082" s="117"/>
      <c r="AG1082" s="117"/>
      <c r="AH1082" s="117"/>
      <c r="AI1082" s="117"/>
      <c r="AJ1082" s="117"/>
      <c r="AK1082" s="117"/>
      <c r="AL1082" s="117"/>
      <c r="AM1082" s="117"/>
      <c r="AN1082" s="117"/>
      <c r="AO1082" s="117"/>
      <c r="AP1082" s="117"/>
      <c r="AQ1082" s="117"/>
      <c r="AR1082" s="117"/>
      <c r="AS1082" s="117"/>
      <c r="AT1082" s="117"/>
      <c r="AU1082" s="117"/>
      <c r="AV1082" s="117"/>
      <c r="AW1082" s="117"/>
      <c r="AX1082" s="117"/>
      <c r="AY1082" s="117"/>
      <c r="AZ1082" s="117"/>
      <c r="BA1082" s="117"/>
      <c r="BB1082" s="117"/>
      <c r="BC1082" s="117"/>
      <c r="BD1082" s="117"/>
      <c r="BE1082" s="117"/>
      <c r="BF1082" s="117"/>
      <c r="BG1082" s="117"/>
    </row>
    <row r="1083" spans="1:59">
      <c r="A1083" s="117"/>
      <c r="B1083" s="117"/>
      <c r="C1083" s="117"/>
      <c r="D1083" s="117"/>
      <c r="E1083" s="117"/>
      <c r="F1083" s="117"/>
      <c r="G1083" s="117"/>
      <c r="H1083" s="117"/>
      <c r="I1083" s="117"/>
      <c r="J1083" s="118"/>
      <c r="K1083" s="118"/>
      <c r="L1083" s="118"/>
      <c r="M1083" s="118"/>
      <c r="N1083" s="117"/>
      <c r="O1083" s="117"/>
      <c r="P1083" s="117"/>
      <c r="Q1083" s="117"/>
      <c r="R1083" s="117"/>
      <c r="S1083" s="117"/>
      <c r="T1083" s="117"/>
      <c r="U1083" s="117"/>
      <c r="V1083" s="117"/>
      <c r="W1083" s="117"/>
      <c r="X1083" s="117"/>
      <c r="Y1083" s="117"/>
      <c r="Z1083" s="117"/>
      <c r="AA1083" s="117"/>
      <c r="AB1083" s="117"/>
      <c r="AC1083" s="117"/>
      <c r="AD1083" s="117"/>
      <c r="AE1083" s="117"/>
      <c r="AF1083" s="117"/>
      <c r="AG1083" s="117"/>
      <c r="AH1083" s="117"/>
      <c r="AI1083" s="117"/>
      <c r="AJ1083" s="117"/>
      <c r="AK1083" s="117"/>
      <c r="AL1083" s="117"/>
      <c r="AM1083" s="117"/>
      <c r="AN1083" s="117"/>
      <c r="AO1083" s="117"/>
      <c r="AP1083" s="117"/>
      <c r="AQ1083" s="117"/>
      <c r="AR1083" s="117"/>
      <c r="AS1083" s="117"/>
      <c r="AT1083" s="117"/>
      <c r="AU1083" s="117"/>
      <c r="AV1083" s="117"/>
      <c r="AW1083" s="117"/>
      <c r="AX1083" s="117"/>
      <c r="AY1083" s="117"/>
      <c r="AZ1083" s="117"/>
      <c r="BA1083" s="117"/>
      <c r="BB1083" s="117"/>
      <c r="BC1083" s="117"/>
      <c r="BD1083" s="117"/>
      <c r="BE1083" s="117"/>
      <c r="BF1083" s="117"/>
      <c r="BG1083" s="117"/>
    </row>
    <row r="1084" spans="1:59">
      <c r="A1084" s="117"/>
      <c r="B1084" s="117"/>
      <c r="C1084" s="117"/>
      <c r="D1084" s="117"/>
      <c r="E1084" s="117"/>
      <c r="F1084" s="117"/>
      <c r="G1084" s="117"/>
      <c r="H1084" s="117"/>
      <c r="I1084" s="117"/>
      <c r="J1084" s="118"/>
      <c r="K1084" s="118"/>
      <c r="L1084" s="118"/>
      <c r="M1084" s="118"/>
      <c r="N1084" s="117"/>
      <c r="O1084" s="117"/>
      <c r="P1084" s="117"/>
      <c r="Q1084" s="117"/>
      <c r="R1084" s="117"/>
      <c r="S1084" s="117"/>
      <c r="T1084" s="117"/>
      <c r="U1084" s="117"/>
      <c r="V1084" s="117"/>
      <c r="W1084" s="117"/>
      <c r="X1084" s="117"/>
      <c r="Y1084" s="117"/>
      <c r="Z1084" s="117"/>
      <c r="AA1084" s="117"/>
      <c r="AB1084" s="117"/>
      <c r="AC1084" s="117"/>
      <c r="AD1084" s="117"/>
      <c r="AE1084" s="117"/>
      <c r="AF1084" s="117"/>
      <c r="AG1084" s="117"/>
      <c r="AH1084" s="117"/>
      <c r="AI1084" s="117"/>
      <c r="AJ1084" s="117"/>
      <c r="AK1084" s="117"/>
      <c r="AL1084" s="117"/>
      <c r="AM1084" s="117"/>
      <c r="AN1084" s="117"/>
      <c r="AO1084" s="117"/>
      <c r="AP1084" s="117"/>
      <c r="AQ1084" s="117"/>
      <c r="AR1084" s="117"/>
      <c r="AS1084" s="117"/>
      <c r="AT1084" s="117"/>
      <c r="AU1084" s="117"/>
      <c r="AV1084" s="117"/>
      <c r="AW1084" s="117"/>
      <c r="AX1084" s="117"/>
      <c r="AY1084" s="117"/>
      <c r="AZ1084" s="117"/>
      <c r="BA1084" s="117"/>
      <c r="BB1084" s="117"/>
      <c r="BC1084" s="117"/>
      <c r="BD1084" s="117"/>
      <c r="BE1084" s="117"/>
      <c r="BF1084" s="117"/>
      <c r="BG1084" s="117"/>
    </row>
    <row r="1085" spans="1:59">
      <c r="A1085" s="117"/>
      <c r="B1085" s="117"/>
      <c r="C1085" s="117"/>
      <c r="D1085" s="117"/>
      <c r="E1085" s="117"/>
      <c r="F1085" s="117"/>
      <c r="G1085" s="117"/>
      <c r="H1085" s="117"/>
      <c r="I1085" s="117"/>
      <c r="J1085" s="118"/>
      <c r="K1085" s="118"/>
      <c r="L1085" s="118"/>
      <c r="M1085" s="118"/>
      <c r="N1085" s="117"/>
      <c r="O1085" s="117"/>
      <c r="P1085" s="117"/>
      <c r="Q1085" s="117"/>
      <c r="R1085" s="117"/>
      <c r="S1085" s="117"/>
      <c r="T1085" s="117"/>
      <c r="U1085" s="117"/>
      <c r="V1085" s="117"/>
      <c r="W1085" s="117"/>
      <c r="X1085" s="117"/>
      <c r="Y1085" s="117"/>
      <c r="Z1085" s="117"/>
      <c r="AA1085" s="117"/>
      <c r="AB1085" s="117"/>
      <c r="AC1085" s="117"/>
      <c r="AD1085" s="117"/>
      <c r="AE1085" s="117"/>
      <c r="AF1085" s="117"/>
      <c r="AG1085" s="117"/>
      <c r="AH1085" s="117"/>
      <c r="AI1085" s="117"/>
      <c r="AJ1085" s="117"/>
      <c r="AK1085" s="117"/>
      <c r="AL1085" s="117"/>
      <c r="AM1085" s="117"/>
      <c r="AN1085" s="117"/>
      <c r="AO1085" s="117"/>
      <c r="AP1085" s="117"/>
      <c r="AQ1085" s="117"/>
      <c r="AR1085" s="117"/>
      <c r="AS1085" s="117"/>
      <c r="AT1085" s="117"/>
      <c r="AU1085" s="117"/>
      <c r="AV1085" s="117"/>
      <c r="AW1085" s="117"/>
      <c r="AX1085" s="117"/>
      <c r="AY1085" s="117"/>
      <c r="AZ1085" s="117"/>
      <c r="BA1085" s="117"/>
      <c r="BB1085" s="117"/>
      <c r="BC1085" s="117"/>
      <c r="BD1085" s="117"/>
      <c r="BE1085" s="117"/>
      <c r="BF1085" s="117"/>
      <c r="BG1085" s="117"/>
    </row>
    <row r="1086" spans="1:59">
      <c r="A1086" s="117"/>
      <c r="B1086" s="117"/>
      <c r="C1086" s="117"/>
      <c r="D1086" s="117"/>
      <c r="E1086" s="117"/>
      <c r="F1086" s="117"/>
      <c r="G1086" s="117"/>
      <c r="H1086" s="117"/>
      <c r="I1086" s="117"/>
      <c r="J1086" s="118"/>
      <c r="K1086" s="118"/>
      <c r="L1086" s="118"/>
      <c r="M1086" s="118"/>
      <c r="N1086" s="117"/>
      <c r="O1086" s="117"/>
      <c r="P1086" s="117"/>
      <c r="Q1086" s="117"/>
      <c r="R1086" s="117"/>
      <c r="S1086" s="117"/>
      <c r="T1086" s="117"/>
      <c r="U1086" s="117"/>
      <c r="V1086" s="117"/>
      <c r="W1086" s="117"/>
      <c r="X1086" s="117"/>
      <c r="Y1086" s="117"/>
      <c r="Z1086" s="117"/>
      <c r="AA1086" s="117"/>
      <c r="AB1086" s="117"/>
      <c r="AC1086" s="117"/>
      <c r="AD1086" s="117"/>
      <c r="AE1086" s="117"/>
      <c r="AF1086" s="117"/>
      <c r="AG1086" s="117"/>
      <c r="AH1086" s="117"/>
      <c r="AI1086" s="117"/>
      <c r="AJ1086" s="117"/>
      <c r="AK1086" s="117"/>
      <c r="AL1086" s="117"/>
      <c r="AM1086" s="117"/>
      <c r="AN1086" s="117"/>
      <c r="AO1086" s="117"/>
      <c r="AP1086" s="117"/>
      <c r="AQ1086" s="117"/>
      <c r="AR1086" s="117"/>
      <c r="AS1086" s="117"/>
      <c r="AT1086" s="117"/>
      <c r="AU1086" s="117"/>
      <c r="AV1086" s="117"/>
      <c r="AW1086" s="117"/>
      <c r="AX1086" s="117"/>
      <c r="AY1086" s="117"/>
      <c r="AZ1086" s="117"/>
      <c r="BA1086" s="117"/>
      <c r="BB1086" s="117"/>
      <c r="BC1086" s="117"/>
      <c r="BD1086" s="117"/>
      <c r="BE1086" s="117"/>
      <c r="BF1086" s="117"/>
      <c r="BG1086" s="117"/>
    </row>
    <row r="1087" spans="1:59">
      <c r="A1087" s="117"/>
      <c r="B1087" s="117"/>
      <c r="C1087" s="117"/>
      <c r="D1087" s="117"/>
      <c r="E1087" s="117"/>
      <c r="F1087" s="117"/>
      <c r="G1087" s="117"/>
      <c r="H1087" s="117"/>
      <c r="I1087" s="117"/>
      <c r="J1087" s="118"/>
      <c r="K1087" s="118"/>
      <c r="L1087" s="118"/>
      <c r="M1087" s="118"/>
      <c r="N1087" s="117"/>
      <c r="O1087" s="117"/>
      <c r="P1087" s="117"/>
      <c r="Q1087" s="117"/>
      <c r="R1087" s="117"/>
      <c r="S1087" s="117"/>
      <c r="T1087" s="117"/>
      <c r="U1087" s="117"/>
      <c r="V1087" s="117"/>
      <c r="W1087" s="117"/>
      <c r="X1087" s="117"/>
      <c r="Y1087" s="117"/>
      <c r="Z1087" s="117"/>
      <c r="AA1087" s="117"/>
      <c r="AB1087" s="117"/>
      <c r="AC1087" s="117"/>
      <c r="AD1087" s="117"/>
      <c r="AE1087" s="117"/>
      <c r="AF1087" s="117"/>
      <c r="AG1087" s="117"/>
      <c r="AH1087" s="117"/>
      <c r="AI1087" s="117"/>
      <c r="AJ1087" s="117"/>
      <c r="AK1087" s="117"/>
      <c r="AL1087" s="117"/>
      <c r="AM1087" s="117"/>
      <c r="AN1087" s="117"/>
      <c r="AO1087" s="117"/>
      <c r="AP1087" s="117"/>
      <c r="AQ1087" s="117"/>
      <c r="AR1087" s="117"/>
      <c r="AS1087" s="117"/>
      <c r="AT1087" s="117"/>
      <c r="AU1087" s="117"/>
      <c r="AV1087" s="117"/>
      <c r="AW1087" s="117"/>
      <c r="AX1087" s="117"/>
      <c r="AY1087" s="117"/>
      <c r="AZ1087" s="117"/>
      <c r="BA1087" s="117"/>
      <c r="BB1087" s="117"/>
      <c r="BC1087" s="117"/>
      <c r="BD1087" s="117"/>
      <c r="BE1087" s="117"/>
      <c r="BF1087" s="117"/>
      <c r="BG1087" s="117"/>
    </row>
    <row r="1088" spans="1:59">
      <c r="A1088" s="117"/>
      <c r="B1088" s="117"/>
      <c r="C1088" s="117"/>
      <c r="D1088" s="117"/>
      <c r="E1088" s="117"/>
      <c r="F1088" s="117"/>
      <c r="G1088" s="117"/>
      <c r="H1088" s="117"/>
      <c r="I1088" s="117"/>
      <c r="J1088" s="118"/>
      <c r="K1088" s="118"/>
      <c r="L1088" s="118"/>
      <c r="M1088" s="118"/>
      <c r="N1088" s="117"/>
      <c r="O1088" s="117"/>
      <c r="P1088" s="117"/>
      <c r="Q1088" s="117"/>
      <c r="R1088" s="117"/>
      <c r="S1088" s="117"/>
      <c r="T1088" s="117"/>
      <c r="U1088" s="117"/>
      <c r="V1088" s="117"/>
      <c r="W1088" s="117"/>
      <c r="X1088" s="117"/>
      <c r="Y1088" s="117"/>
      <c r="Z1088" s="117"/>
      <c r="AA1088" s="117"/>
      <c r="AB1088" s="117"/>
      <c r="AC1088" s="117"/>
      <c r="AD1088" s="117"/>
      <c r="AE1088" s="117"/>
      <c r="AF1088" s="117"/>
      <c r="AG1088" s="117"/>
      <c r="AH1088" s="117"/>
      <c r="AI1088" s="117"/>
      <c r="AJ1088" s="117"/>
      <c r="AK1088" s="117"/>
      <c r="AL1088" s="117"/>
      <c r="AM1088" s="117"/>
      <c r="AN1088" s="117"/>
      <c r="AO1088" s="117"/>
      <c r="AP1088" s="117"/>
      <c r="AQ1088" s="117"/>
      <c r="AR1088" s="117"/>
      <c r="AS1088" s="117"/>
      <c r="AT1088" s="117"/>
      <c r="AU1088" s="117"/>
      <c r="AV1088" s="117"/>
      <c r="AW1088" s="117"/>
      <c r="AX1088" s="117"/>
      <c r="AY1088" s="117"/>
      <c r="AZ1088" s="117"/>
      <c r="BA1088" s="117"/>
      <c r="BB1088" s="117"/>
      <c r="BC1088" s="117"/>
      <c r="BD1088" s="117"/>
      <c r="BE1088" s="117"/>
      <c r="BF1088" s="117"/>
      <c r="BG1088" s="117"/>
    </row>
    <row r="1089" spans="1:59">
      <c r="A1089" s="117"/>
      <c r="B1089" s="117"/>
      <c r="C1089" s="117"/>
      <c r="D1089" s="117"/>
      <c r="E1089" s="117"/>
      <c r="F1089" s="117"/>
      <c r="G1089" s="117"/>
      <c r="H1089" s="117"/>
      <c r="I1089" s="117"/>
      <c r="J1089" s="118"/>
      <c r="K1089" s="118"/>
      <c r="L1089" s="118"/>
      <c r="M1089" s="118"/>
      <c r="N1089" s="117"/>
      <c r="O1089" s="117"/>
      <c r="P1089" s="117"/>
      <c r="Q1089" s="117"/>
      <c r="R1089" s="117"/>
      <c r="S1089" s="117"/>
      <c r="T1089" s="117"/>
      <c r="U1089" s="117"/>
      <c r="V1089" s="117"/>
      <c r="W1089" s="117"/>
      <c r="X1089" s="117"/>
      <c r="Y1089" s="117"/>
      <c r="Z1089" s="117"/>
      <c r="AA1089" s="117"/>
      <c r="AB1089" s="117"/>
      <c r="AC1089" s="117"/>
      <c r="AD1089" s="117"/>
      <c r="AE1089" s="117"/>
      <c r="AF1089" s="117"/>
      <c r="AG1089" s="117"/>
      <c r="AH1089" s="117"/>
      <c r="AI1089" s="117"/>
      <c r="AJ1089" s="117"/>
      <c r="AK1089" s="117"/>
      <c r="AL1089" s="117"/>
      <c r="AM1089" s="117"/>
      <c r="AN1089" s="117"/>
      <c r="AO1089" s="117"/>
      <c r="AP1089" s="117"/>
      <c r="AQ1089" s="117"/>
      <c r="AR1089" s="117"/>
      <c r="AS1089" s="117"/>
      <c r="AT1089" s="117"/>
      <c r="AU1089" s="117"/>
      <c r="AV1089" s="117"/>
      <c r="AW1089" s="117"/>
      <c r="AX1089" s="117"/>
      <c r="AY1089" s="117"/>
      <c r="AZ1089" s="117"/>
      <c r="BA1089" s="117"/>
      <c r="BB1089" s="117"/>
      <c r="BC1089" s="117"/>
      <c r="BD1089" s="117"/>
      <c r="BE1089" s="117"/>
      <c r="BF1089" s="117"/>
      <c r="BG1089" s="117"/>
    </row>
    <row r="1090" spans="1:59">
      <c r="A1090" s="117"/>
      <c r="B1090" s="117"/>
      <c r="C1090" s="117"/>
      <c r="D1090" s="117"/>
      <c r="E1090" s="117"/>
      <c r="F1090" s="117"/>
      <c r="G1090" s="117"/>
      <c r="H1090" s="117"/>
      <c r="I1090" s="117"/>
      <c r="J1090" s="118"/>
      <c r="K1090" s="118"/>
      <c r="L1090" s="118"/>
      <c r="M1090" s="118"/>
      <c r="N1090" s="117"/>
      <c r="O1090" s="117"/>
      <c r="P1090" s="117"/>
      <c r="Q1090" s="117"/>
      <c r="R1090" s="117"/>
      <c r="S1090" s="117"/>
      <c r="T1090" s="117"/>
      <c r="U1090" s="117"/>
      <c r="V1090" s="117"/>
      <c r="W1090" s="117"/>
      <c r="X1090" s="117"/>
      <c r="Y1090" s="117"/>
      <c r="Z1090" s="117"/>
      <c r="AA1090" s="117"/>
      <c r="AB1090" s="117"/>
      <c r="AC1090" s="117"/>
      <c r="AD1090" s="117"/>
      <c r="AE1090" s="117"/>
      <c r="AF1090" s="117"/>
      <c r="AG1090" s="117"/>
      <c r="AH1090" s="117"/>
      <c r="AI1090" s="117"/>
      <c r="AJ1090" s="117"/>
      <c r="AK1090" s="117"/>
      <c r="AL1090" s="117"/>
      <c r="AM1090" s="117"/>
      <c r="AN1090" s="117"/>
      <c r="AO1090" s="117"/>
      <c r="AP1090" s="117"/>
      <c r="AQ1090" s="117"/>
      <c r="AR1090" s="117"/>
      <c r="AS1090" s="117"/>
      <c r="AT1090" s="117"/>
      <c r="AU1090" s="117"/>
      <c r="AV1090" s="117"/>
      <c r="AW1090" s="117"/>
      <c r="AX1090" s="117"/>
      <c r="AY1090" s="117"/>
      <c r="AZ1090" s="117"/>
      <c r="BA1090" s="117"/>
      <c r="BB1090" s="117"/>
      <c r="BC1090" s="117"/>
      <c r="BD1090" s="117"/>
      <c r="BE1090" s="117"/>
      <c r="BF1090" s="117"/>
      <c r="BG1090" s="117"/>
    </row>
    <row r="1091" spans="1:59">
      <c r="A1091" s="117"/>
      <c r="B1091" s="117"/>
      <c r="C1091" s="117"/>
      <c r="D1091" s="117"/>
      <c r="E1091" s="117"/>
      <c r="F1091" s="117"/>
      <c r="G1091" s="117"/>
      <c r="H1091" s="117"/>
      <c r="I1091" s="117"/>
      <c r="J1091" s="118"/>
      <c r="K1091" s="118"/>
      <c r="L1091" s="118"/>
      <c r="M1091" s="118"/>
      <c r="N1091" s="117"/>
      <c r="O1091" s="117"/>
      <c r="P1091" s="117"/>
      <c r="Q1091" s="117"/>
      <c r="R1091" s="117"/>
      <c r="S1091" s="117"/>
      <c r="T1091" s="117"/>
      <c r="U1091" s="117"/>
      <c r="V1091" s="117"/>
      <c r="W1091" s="117"/>
      <c r="X1091" s="117"/>
      <c r="Y1091" s="117"/>
      <c r="Z1091" s="117"/>
      <c r="AA1091" s="117"/>
      <c r="AB1091" s="117"/>
      <c r="AC1091" s="117"/>
      <c r="AD1091" s="117"/>
      <c r="AE1091" s="117"/>
      <c r="AF1091" s="117"/>
      <c r="AG1091" s="117"/>
      <c r="AH1091" s="117"/>
      <c r="AI1091" s="117"/>
      <c r="AJ1091" s="117"/>
      <c r="AK1091" s="117"/>
      <c r="AL1091" s="117"/>
      <c r="AM1091" s="117"/>
      <c r="AN1091" s="117"/>
      <c r="AO1091" s="117"/>
      <c r="AP1091" s="117"/>
      <c r="AQ1091" s="117"/>
      <c r="AR1091" s="117"/>
      <c r="AS1091" s="117"/>
      <c r="AT1091" s="117"/>
      <c r="AU1091" s="117"/>
      <c r="AV1091" s="117"/>
      <c r="AW1091" s="117"/>
      <c r="AX1091" s="117"/>
      <c r="AY1091" s="117"/>
      <c r="AZ1091" s="117"/>
      <c r="BA1091" s="117"/>
      <c r="BB1091" s="117"/>
      <c r="BC1091" s="117"/>
      <c r="BD1091" s="117"/>
      <c r="BE1091" s="117"/>
      <c r="BF1091" s="117"/>
      <c r="BG1091" s="117"/>
    </row>
    <row r="1092" spans="1:59">
      <c r="A1092" s="117"/>
      <c r="B1092" s="117"/>
      <c r="C1092" s="117"/>
      <c r="D1092" s="117"/>
      <c r="E1092" s="117"/>
      <c r="F1092" s="117"/>
      <c r="G1092" s="117"/>
      <c r="H1092" s="117"/>
      <c r="I1092" s="117"/>
      <c r="J1092" s="118"/>
      <c r="K1092" s="118"/>
      <c r="L1092" s="118"/>
      <c r="M1092" s="118"/>
      <c r="N1092" s="117"/>
      <c r="O1092" s="117"/>
      <c r="P1092" s="117"/>
      <c r="Q1092" s="117"/>
      <c r="R1092" s="117"/>
      <c r="S1092" s="117"/>
      <c r="T1092" s="117"/>
      <c r="U1092" s="117"/>
      <c r="V1092" s="117"/>
      <c r="W1092" s="117"/>
      <c r="X1092" s="117"/>
      <c r="Y1092" s="117"/>
      <c r="Z1092" s="117"/>
      <c r="AA1092" s="117"/>
      <c r="AB1092" s="117"/>
      <c r="AC1092" s="117"/>
      <c r="AD1092" s="117"/>
      <c r="AE1092" s="117"/>
      <c r="AF1092" s="117"/>
      <c r="AG1092" s="117"/>
      <c r="AH1092" s="117"/>
      <c r="AI1092" s="117"/>
      <c r="AJ1092" s="117"/>
      <c r="AK1092" s="117"/>
      <c r="AL1092" s="117"/>
      <c r="AM1092" s="117"/>
      <c r="AN1092" s="117"/>
      <c r="AO1092" s="117"/>
      <c r="AP1092" s="117"/>
      <c r="AQ1092" s="117"/>
      <c r="AR1092" s="117"/>
      <c r="AS1092" s="117"/>
      <c r="AT1092" s="117"/>
      <c r="AU1092" s="117"/>
      <c r="AV1092" s="117"/>
      <c r="AW1092" s="117"/>
      <c r="AX1092" s="117"/>
      <c r="AY1092" s="117"/>
      <c r="AZ1092" s="117"/>
      <c r="BA1092" s="117"/>
      <c r="BB1092" s="117"/>
      <c r="BC1092" s="117"/>
      <c r="BD1092" s="117"/>
      <c r="BE1092" s="117"/>
      <c r="BF1092" s="117"/>
      <c r="BG1092" s="117"/>
    </row>
    <row r="1093" spans="1:59">
      <c r="A1093" s="117"/>
      <c r="B1093" s="117"/>
      <c r="C1093" s="117"/>
      <c r="D1093" s="117"/>
      <c r="E1093" s="117"/>
      <c r="F1093" s="117"/>
      <c r="G1093" s="117"/>
      <c r="H1093" s="117"/>
      <c r="I1093" s="117"/>
      <c r="J1093" s="118"/>
      <c r="K1093" s="118"/>
      <c r="L1093" s="118"/>
      <c r="M1093" s="118"/>
      <c r="N1093" s="117"/>
      <c r="O1093" s="117"/>
      <c r="P1093" s="117"/>
      <c r="Q1093" s="117"/>
      <c r="R1093" s="117"/>
      <c r="S1093" s="117"/>
      <c r="T1093" s="117"/>
      <c r="U1093" s="117"/>
      <c r="V1093" s="117"/>
      <c r="W1093" s="117"/>
      <c r="X1093" s="117"/>
      <c r="Y1093" s="117"/>
      <c r="Z1093" s="117"/>
      <c r="AA1093" s="117"/>
      <c r="AB1093" s="117"/>
      <c r="AC1093" s="117"/>
      <c r="AD1093" s="117"/>
      <c r="AE1093" s="117"/>
      <c r="AF1093" s="117"/>
      <c r="AG1093" s="117"/>
      <c r="AH1093" s="117"/>
      <c r="AI1093" s="117"/>
      <c r="AJ1093" s="117"/>
      <c r="AK1093" s="117"/>
      <c r="AL1093" s="117"/>
      <c r="AM1093" s="117"/>
      <c r="AN1093" s="117"/>
      <c r="AO1093" s="117"/>
      <c r="AP1093" s="117"/>
      <c r="AQ1093" s="117"/>
      <c r="AR1093" s="117"/>
      <c r="AS1093" s="117"/>
      <c r="AT1093" s="117"/>
      <c r="AU1093" s="117"/>
      <c r="AV1093" s="117"/>
      <c r="AW1093" s="117"/>
      <c r="AX1093" s="117"/>
      <c r="AY1093" s="117"/>
      <c r="AZ1093" s="117"/>
      <c r="BA1093" s="117"/>
      <c r="BB1093" s="117"/>
      <c r="BC1093" s="117"/>
      <c r="BD1093" s="117"/>
      <c r="BE1093" s="117"/>
      <c r="BF1093" s="117"/>
      <c r="BG1093" s="117"/>
    </row>
    <row r="1094" spans="1:59">
      <c r="A1094" s="117"/>
      <c r="B1094" s="117"/>
      <c r="C1094" s="117"/>
      <c r="D1094" s="117"/>
      <c r="E1094" s="117"/>
      <c r="F1094" s="117"/>
      <c r="G1094" s="117"/>
      <c r="H1094" s="117"/>
      <c r="I1094" s="117"/>
      <c r="J1094" s="118"/>
      <c r="K1094" s="118"/>
      <c r="L1094" s="118"/>
      <c r="M1094" s="118"/>
      <c r="N1094" s="117"/>
      <c r="O1094" s="117"/>
      <c r="P1094" s="117"/>
      <c r="Q1094" s="117"/>
      <c r="R1094" s="117"/>
      <c r="S1094" s="117"/>
      <c r="T1094" s="117"/>
      <c r="U1094" s="117"/>
      <c r="V1094" s="117"/>
      <c r="W1094" s="117"/>
      <c r="X1094" s="117"/>
      <c r="Y1094" s="117"/>
      <c r="Z1094" s="117"/>
      <c r="AA1094" s="117"/>
      <c r="AB1094" s="117"/>
      <c r="AC1094" s="117"/>
      <c r="AD1094" s="117"/>
      <c r="AE1094" s="117"/>
      <c r="AF1094" s="117"/>
      <c r="AG1094" s="117"/>
      <c r="AH1094" s="117"/>
      <c r="AI1094" s="117"/>
      <c r="AJ1094" s="117"/>
      <c r="AK1094" s="117"/>
      <c r="AL1094" s="117"/>
      <c r="AM1094" s="117"/>
      <c r="AN1094" s="117"/>
      <c r="AO1094" s="117"/>
      <c r="AP1094" s="117"/>
      <c r="AQ1094" s="117"/>
      <c r="AR1094" s="117"/>
      <c r="AS1094" s="117"/>
      <c r="AT1094" s="117"/>
      <c r="AU1094" s="117"/>
      <c r="AV1094" s="117"/>
      <c r="AW1094" s="117"/>
      <c r="AX1094" s="117"/>
      <c r="AY1094" s="117"/>
      <c r="AZ1094" s="117"/>
      <c r="BA1094" s="117"/>
      <c r="BB1094" s="117"/>
      <c r="BC1094" s="117"/>
      <c r="BD1094" s="117"/>
      <c r="BE1094" s="117"/>
      <c r="BF1094" s="117"/>
      <c r="BG1094" s="117"/>
    </row>
    <row r="1095" spans="1:59">
      <c r="A1095" s="117"/>
      <c r="B1095" s="117"/>
      <c r="C1095" s="117"/>
      <c r="D1095" s="117"/>
      <c r="E1095" s="117"/>
      <c r="F1095" s="117"/>
      <c r="G1095" s="117"/>
      <c r="H1095" s="117"/>
      <c r="I1095" s="117"/>
      <c r="J1095" s="118"/>
      <c r="K1095" s="118"/>
      <c r="L1095" s="118"/>
      <c r="M1095" s="118"/>
      <c r="N1095" s="117"/>
      <c r="O1095" s="117"/>
      <c r="P1095" s="117"/>
      <c r="Q1095" s="117"/>
      <c r="R1095" s="117"/>
      <c r="S1095" s="117"/>
      <c r="T1095" s="117"/>
      <c r="U1095" s="117"/>
      <c r="V1095" s="117"/>
      <c r="W1095" s="117"/>
      <c r="X1095" s="117"/>
      <c r="Y1095" s="117"/>
      <c r="Z1095" s="117"/>
      <c r="AA1095" s="117"/>
      <c r="AB1095" s="117"/>
      <c r="AC1095" s="117"/>
      <c r="AD1095" s="117"/>
      <c r="AE1095" s="117"/>
      <c r="AF1095" s="117"/>
      <c r="AG1095" s="117"/>
      <c r="AH1095" s="117"/>
      <c r="AI1095" s="117"/>
      <c r="AJ1095" s="117"/>
      <c r="AK1095" s="117"/>
      <c r="AL1095" s="117"/>
      <c r="AM1095" s="117"/>
      <c r="AN1095" s="117"/>
      <c r="AO1095" s="117"/>
      <c r="AP1095" s="117"/>
      <c r="AQ1095" s="117"/>
      <c r="AR1095" s="117"/>
      <c r="AS1095" s="117"/>
      <c r="AT1095" s="117"/>
      <c r="AU1095" s="117"/>
      <c r="AV1095" s="117"/>
      <c r="AW1095" s="117"/>
      <c r="AX1095" s="117"/>
      <c r="AY1095" s="117"/>
      <c r="AZ1095" s="117"/>
      <c r="BA1095" s="117"/>
      <c r="BB1095" s="117"/>
      <c r="BC1095" s="117"/>
      <c r="BD1095" s="117"/>
      <c r="BE1095" s="117"/>
      <c r="BF1095" s="117"/>
      <c r="BG1095" s="117"/>
    </row>
    <row r="1096" spans="1:59">
      <c r="A1096" s="117"/>
      <c r="B1096" s="117"/>
      <c r="C1096" s="117"/>
      <c r="D1096" s="117"/>
      <c r="E1096" s="117"/>
      <c r="F1096" s="117"/>
      <c r="G1096" s="117"/>
      <c r="H1096" s="117"/>
      <c r="I1096" s="117"/>
      <c r="J1096" s="118"/>
      <c r="K1096" s="118"/>
      <c r="L1096" s="118"/>
      <c r="M1096" s="118"/>
      <c r="N1096" s="117"/>
      <c r="O1096" s="117"/>
      <c r="P1096" s="117"/>
      <c r="Q1096" s="117"/>
      <c r="R1096" s="117"/>
      <c r="S1096" s="117"/>
      <c r="T1096" s="117"/>
      <c r="U1096" s="117"/>
      <c r="V1096" s="117"/>
      <c r="W1096" s="117"/>
      <c r="X1096" s="117"/>
      <c r="Y1096" s="117"/>
      <c r="Z1096" s="117"/>
      <c r="AA1096" s="117"/>
      <c r="AB1096" s="117"/>
      <c r="AC1096" s="117"/>
      <c r="AD1096" s="117"/>
      <c r="AE1096" s="117"/>
      <c r="AF1096" s="117"/>
      <c r="AG1096" s="117"/>
      <c r="AH1096" s="117"/>
      <c r="AI1096" s="117"/>
      <c r="AJ1096" s="117"/>
      <c r="AK1096" s="117"/>
      <c r="AL1096" s="117"/>
      <c r="AM1096" s="117"/>
      <c r="AN1096" s="117"/>
      <c r="AO1096" s="117"/>
      <c r="AP1096" s="117"/>
      <c r="AQ1096" s="117"/>
      <c r="AR1096" s="117"/>
      <c r="AS1096" s="117"/>
      <c r="AT1096" s="117"/>
      <c r="AU1096" s="117"/>
      <c r="AV1096" s="117"/>
      <c r="AW1096" s="117"/>
      <c r="AX1096" s="117"/>
      <c r="AY1096" s="117"/>
      <c r="AZ1096" s="117"/>
      <c r="BA1096" s="117"/>
      <c r="BB1096" s="117"/>
      <c r="BC1096" s="117"/>
      <c r="BD1096" s="117"/>
      <c r="BE1096" s="117"/>
      <c r="BF1096" s="117"/>
      <c r="BG1096" s="117"/>
    </row>
    <row r="1097" spans="1:59">
      <c r="A1097" s="117"/>
      <c r="B1097" s="117"/>
      <c r="C1097" s="117"/>
      <c r="D1097" s="117"/>
      <c r="E1097" s="117"/>
      <c r="F1097" s="117"/>
      <c r="G1097" s="117"/>
      <c r="H1097" s="117"/>
      <c r="I1097" s="117"/>
      <c r="J1097" s="118"/>
      <c r="K1097" s="118"/>
      <c r="L1097" s="118"/>
      <c r="M1097" s="118"/>
      <c r="N1097" s="117"/>
      <c r="O1097" s="117"/>
      <c r="P1097" s="117"/>
      <c r="Q1097" s="117"/>
      <c r="R1097" s="117"/>
      <c r="S1097" s="117"/>
      <c r="T1097" s="117"/>
      <c r="U1097" s="117"/>
      <c r="V1097" s="117"/>
      <c r="W1097" s="117"/>
      <c r="X1097" s="117"/>
      <c r="Y1097" s="117"/>
      <c r="Z1097" s="117"/>
      <c r="AA1097" s="117"/>
      <c r="AB1097" s="117"/>
      <c r="AC1097" s="117"/>
      <c r="AD1097" s="117"/>
      <c r="AE1097" s="117"/>
      <c r="AF1097" s="117"/>
      <c r="AG1097" s="117"/>
      <c r="AH1097" s="117"/>
      <c r="AI1097" s="117"/>
      <c r="AJ1097" s="117"/>
      <c r="AK1097" s="117"/>
      <c r="AL1097" s="117"/>
      <c r="AM1097" s="117"/>
      <c r="AN1097" s="117"/>
      <c r="AO1097" s="117"/>
      <c r="AP1097" s="117"/>
      <c r="AQ1097" s="117"/>
      <c r="AR1097" s="117"/>
      <c r="AS1097" s="117"/>
      <c r="AT1097" s="117"/>
      <c r="AU1097" s="117"/>
      <c r="AV1097" s="117"/>
      <c r="AW1097" s="117"/>
      <c r="AX1097" s="117"/>
      <c r="AY1097" s="117"/>
      <c r="AZ1097" s="117"/>
      <c r="BA1097" s="117"/>
      <c r="BB1097" s="117"/>
      <c r="BC1097" s="117"/>
      <c r="BD1097" s="117"/>
      <c r="BE1097" s="117"/>
      <c r="BF1097" s="117"/>
      <c r="BG1097" s="117"/>
    </row>
    <row r="1098" spans="1:59">
      <c r="A1098" s="117"/>
      <c r="B1098" s="117"/>
      <c r="C1098" s="117"/>
      <c r="D1098" s="117"/>
      <c r="E1098" s="117"/>
      <c r="F1098" s="117"/>
      <c r="G1098" s="117"/>
      <c r="H1098" s="117"/>
      <c r="I1098" s="117"/>
      <c r="J1098" s="118"/>
      <c r="K1098" s="118"/>
      <c r="L1098" s="118"/>
      <c r="M1098" s="118"/>
      <c r="N1098" s="117"/>
      <c r="O1098" s="117"/>
      <c r="P1098" s="117"/>
      <c r="Q1098" s="117"/>
      <c r="R1098" s="117"/>
      <c r="S1098" s="117"/>
      <c r="T1098" s="117"/>
      <c r="U1098" s="117"/>
      <c r="V1098" s="117"/>
      <c r="W1098" s="117"/>
      <c r="X1098" s="117"/>
      <c r="Y1098" s="117"/>
      <c r="Z1098" s="117"/>
      <c r="AA1098" s="117"/>
      <c r="AB1098" s="117"/>
      <c r="AC1098" s="117"/>
      <c r="AD1098" s="117"/>
      <c r="AE1098" s="117"/>
      <c r="AF1098" s="117"/>
      <c r="AG1098" s="117"/>
      <c r="AH1098" s="117"/>
      <c r="AI1098" s="117"/>
      <c r="AJ1098" s="117"/>
      <c r="AK1098" s="117"/>
      <c r="AL1098" s="117"/>
      <c r="AM1098" s="117"/>
      <c r="AN1098" s="117"/>
      <c r="AO1098" s="117"/>
      <c r="AP1098" s="117"/>
      <c r="AQ1098" s="117"/>
      <c r="AR1098" s="117"/>
      <c r="AS1098" s="117"/>
      <c r="AT1098" s="117"/>
      <c r="AU1098" s="117"/>
      <c r="AV1098" s="117"/>
      <c r="AW1098" s="117"/>
      <c r="AX1098" s="117"/>
      <c r="AY1098" s="117"/>
      <c r="AZ1098" s="117"/>
      <c r="BA1098" s="117"/>
      <c r="BB1098" s="117"/>
      <c r="BC1098" s="117"/>
      <c r="BD1098" s="117"/>
      <c r="BE1098" s="117"/>
      <c r="BF1098" s="117"/>
      <c r="BG1098" s="117"/>
    </row>
    <row r="1099" spans="1:59">
      <c r="A1099" s="117"/>
      <c r="B1099" s="117"/>
      <c r="C1099" s="117"/>
      <c r="D1099" s="117"/>
      <c r="E1099" s="117"/>
      <c r="F1099" s="117"/>
      <c r="G1099" s="117"/>
      <c r="H1099" s="117"/>
      <c r="I1099" s="117"/>
      <c r="J1099" s="118"/>
      <c r="K1099" s="118"/>
      <c r="L1099" s="118"/>
      <c r="M1099" s="118"/>
      <c r="N1099" s="117"/>
      <c r="O1099" s="117"/>
      <c r="P1099" s="117"/>
      <c r="Q1099" s="117"/>
      <c r="R1099" s="117"/>
      <c r="S1099" s="117"/>
      <c r="T1099" s="117"/>
      <c r="U1099" s="117"/>
      <c r="V1099" s="117"/>
      <c r="W1099" s="117"/>
      <c r="X1099" s="117"/>
      <c r="Y1099" s="117"/>
      <c r="Z1099" s="117"/>
      <c r="AA1099" s="117"/>
      <c r="AB1099" s="117"/>
      <c r="AC1099" s="117"/>
      <c r="AD1099" s="117"/>
      <c r="AE1099" s="117"/>
      <c r="AF1099" s="117"/>
      <c r="AG1099" s="117"/>
      <c r="AH1099" s="117"/>
      <c r="AI1099" s="117"/>
      <c r="AJ1099" s="117"/>
      <c r="AK1099" s="117"/>
      <c r="AL1099" s="117"/>
      <c r="AM1099" s="117"/>
      <c r="AN1099" s="117"/>
      <c r="AO1099" s="117"/>
      <c r="AP1099" s="117"/>
      <c r="AQ1099" s="117"/>
      <c r="AR1099" s="117"/>
      <c r="AS1099" s="117"/>
      <c r="AT1099" s="117"/>
      <c r="AU1099" s="117"/>
      <c r="AV1099" s="117"/>
      <c r="AW1099" s="117"/>
      <c r="AX1099" s="117"/>
      <c r="AY1099" s="117"/>
      <c r="AZ1099" s="117"/>
      <c r="BA1099" s="117"/>
      <c r="BB1099" s="117"/>
      <c r="BC1099" s="117"/>
      <c r="BD1099" s="117"/>
      <c r="BE1099" s="117"/>
      <c r="BF1099" s="117"/>
      <c r="BG1099" s="117"/>
    </row>
    <row r="1100" spans="1:59">
      <c r="A1100" s="117"/>
      <c r="B1100" s="117"/>
      <c r="C1100" s="117"/>
      <c r="D1100" s="117"/>
      <c r="E1100" s="117"/>
      <c r="F1100" s="117"/>
      <c r="G1100" s="117"/>
      <c r="H1100" s="117"/>
      <c r="I1100" s="117"/>
      <c r="J1100" s="118"/>
      <c r="K1100" s="118"/>
      <c r="L1100" s="118"/>
      <c r="M1100" s="118"/>
      <c r="N1100" s="117"/>
      <c r="O1100" s="117"/>
      <c r="P1100" s="117"/>
      <c r="Q1100" s="117"/>
      <c r="R1100" s="117"/>
      <c r="S1100" s="117"/>
      <c r="T1100" s="117"/>
      <c r="U1100" s="117"/>
      <c r="V1100" s="117"/>
      <c r="W1100" s="117"/>
      <c r="X1100" s="117"/>
      <c r="Y1100" s="117"/>
      <c r="Z1100" s="117"/>
      <c r="AA1100" s="117"/>
      <c r="AB1100" s="117"/>
      <c r="AC1100" s="117"/>
      <c r="AD1100" s="117"/>
      <c r="AE1100" s="117"/>
      <c r="AF1100" s="117"/>
      <c r="AG1100" s="117"/>
      <c r="AH1100" s="117"/>
      <c r="AI1100" s="117"/>
      <c r="AJ1100" s="117"/>
      <c r="AK1100" s="117"/>
      <c r="AL1100" s="117"/>
      <c r="AM1100" s="117"/>
      <c r="AN1100" s="117"/>
      <c r="AO1100" s="117"/>
      <c r="AP1100" s="117"/>
      <c r="AQ1100" s="117"/>
      <c r="AR1100" s="117"/>
      <c r="AS1100" s="117"/>
      <c r="AT1100" s="117"/>
      <c r="AU1100" s="117"/>
      <c r="AV1100" s="117"/>
      <c r="AW1100" s="117"/>
      <c r="AX1100" s="117"/>
      <c r="AY1100" s="117"/>
      <c r="AZ1100" s="117"/>
      <c r="BA1100" s="117"/>
      <c r="BB1100" s="117"/>
      <c r="BC1100" s="117"/>
      <c r="BD1100" s="117"/>
      <c r="BE1100" s="117"/>
      <c r="BF1100" s="117"/>
      <c r="BG1100" s="117"/>
    </row>
    <row r="1101" spans="1:59">
      <c r="A1101" s="117"/>
      <c r="B1101" s="117"/>
      <c r="C1101" s="117"/>
      <c r="D1101" s="117"/>
      <c r="E1101" s="117"/>
      <c r="F1101" s="117"/>
      <c r="G1101" s="117"/>
      <c r="H1101" s="117"/>
      <c r="I1101" s="117"/>
      <c r="J1101" s="118"/>
      <c r="K1101" s="118"/>
      <c r="L1101" s="118"/>
      <c r="M1101" s="118"/>
      <c r="N1101" s="117"/>
      <c r="O1101" s="117"/>
      <c r="P1101" s="117"/>
      <c r="Q1101" s="117"/>
      <c r="R1101" s="117"/>
      <c r="S1101" s="117"/>
      <c r="T1101" s="117"/>
      <c r="U1101" s="117"/>
      <c r="V1101" s="117"/>
      <c r="W1101" s="117"/>
      <c r="X1101" s="117"/>
      <c r="Y1101" s="117"/>
      <c r="Z1101" s="117"/>
      <c r="AA1101" s="117"/>
      <c r="AB1101" s="117"/>
      <c r="AC1101" s="117"/>
      <c r="AD1101" s="117"/>
      <c r="AE1101" s="117"/>
      <c r="AF1101" s="117"/>
      <c r="AG1101" s="117"/>
      <c r="AH1101" s="117"/>
      <c r="AI1101" s="117"/>
      <c r="AJ1101" s="117"/>
      <c r="AK1101" s="117"/>
      <c r="AL1101" s="117"/>
      <c r="AM1101" s="117"/>
      <c r="AN1101" s="117"/>
      <c r="AO1101" s="117"/>
      <c r="AP1101" s="117"/>
      <c r="AQ1101" s="117"/>
      <c r="AR1101" s="117"/>
      <c r="AS1101" s="117"/>
      <c r="AT1101" s="117"/>
      <c r="AU1101" s="117"/>
      <c r="AV1101" s="117"/>
      <c r="AW1101" s="117"/>
      <c r="AX1101" s="117"/>
      <c r="AY1101" s="117"/>
      <c r="AZ1101" s="117"/>
      <c r="BA1101" s="117"/>
      <c r="BB1101" s="117"/>
      <c r="BC1101" s="117"/>
      <c r="BD1101" s="117"/>
      <c r="BE1101" s="117"/>
      <c r="BF1101" s="117"/>
      <c r="BG1101" s="117"/>
    </row>
    <row r="1102" spans="1:59">
      <c r="A1102" s="117"/>
      <c r="B1102" s="117"/>
      <c r="C1102" s="117"/>
      <c r="D1102" s="117"/>
      <c r="E1102" s="117"/>
      <c r="F1102" s="117"/>
      <c r="G1102" s="117"/>
      <c r="H1102" s="117"/>
      <c r="I1102" s="117"/>
      <c r="J1102" s="118"/>
      <c r="K1102" s="118"/>
      <c r="L1102" s="118"/>
      <c r="M1102" s="118"/>
      <c r="N1102" s="117"/>
      <c r="O1102" s="117"/>
      <c r="P1102" s="117"/>
      <c r="Q1102" s="117"/>
      <c r="R1102" s="117"/>
      <c r="S1102" s="117"/>
      <c r="T1102" s="117"/>
      <c r="U1102" s="117"/>
      <c r="V1102" s="117"/>
      <c r="W1102" s="117"/>
      <c r="X1102" s="117"/>
      <c r="Y1102" s="117"/>
      <c r="Z1102" s="117"/>
      <c r="AA1102" s="117"/>
      <c r="AB1102" s="117"/>
      <c r="AC1102" s="117"/>
      <c r="AD1102" s="117"/>
      <c r="AE1102" s="117"/>
      <c r="AF1102" s="117"/>
      <c r="AG1102" s="117"/>
      <c r="AH1102" s="117"/>
      <c r="AI1102" s="117"/>
      <c r="AJ1102" s="117"/>
      <c r="AK1102" s="117"/>
      <c r="AL1102" s="117"/>
      <c r="AM1102" s="117"/>
      <c r="AN1102" s="117"/>
      <c r="AO1102" s="117"/>
      <c r="AP1102" s="117"/>
      <c r="AQ1102" s="117"/>
      <c r="AR1102" s="117"/>
      <c r="AS1102" s="117"/>
      <c r="AT1102" s="117"/>
      <c r="AU1102" s="117"/>
      <c r="AV1102" s="117"/>
      <c r="AW1102" s="117"/>
      <c r="AX1102" s="117"/>
      <c r="AY1102" s="117"/>
      <c r="AZ1102" s="117"/>
      <c r="BA1102" s="117"/>
      <c r="BB1102" s="117"/>
      <c r="BC1102" s="117"/>
      <c r="BD1102" s="117"/>
      <c r="BE1102" s="117"/>
      <c r="BF1102" s="117"/>
      <c r="BG1102" s="117"/>
    </row>
    <row r="1103" spans="1:59">
      <c r="A1103" s="117"/>
      <c r="B1103" s="117"/>
      <c r="C1103" s="117"/>
      <c r="D1103" s="117"/>
      <c r="E1103" s="117"/>
      <c r="F1103" s="117"/>
      <c r="G1103" s="117"/>
      <c r="H1103" s="117"/>
      <c r="I1103" s="117"/>
      <c r="J1103" s="118"/>
      <c r="K1103" s="118"/>
      <c r="L1103" s="118"/>
      <c r="M1103" s="118"/>
      <c r="N1103" s="117"/>
      <c r="O1103" s="117"/>
      <c r="P1103" s="117"/>
      <c r="Q1103" s="117"/>
      <c r="R1103" s="117"/>
      <c r="S1103" s="117"/>
      <c r="T1103" s="117"/>
      <c r="U1103" s="117"/>
      <c r="V1103" s="117"/>
      <c r="W1103" s="117"/>
      <c r="X1103" s="117"/>
      <c r="Y1103" s="117"/>
      <c r="Z1103" s="117"/>
      <c r="AA1103" s="117"/>
      <c r="AB1103" s="117"/>
      <c r="AC1103" s="117"/>
      <c r="AD1103" s="117"/>
      <c r="AE1103" s="117"/>
      <c r="AF1103" s="117"/>
      <c r="AG1103" s="117"/>
      <c r="AH1103" s="117"/>
      <c r="AI1103" s="117"/>
      <c r="AJ1103" s="117"/>
      <c r="AK1103" s="117"/>
      <c r="AL1103" s="117"/>
      <c r="AM1103" s="117"/>
      <c r="AN1103" s="117"/>
      <c r="AO1103" s="117"/>
      <c r="AP1103" s="117"/>
      <c r="AQ1103" s="117"/>
      <c r="AR1103" s="117"/>
      <c r="AS1103" s="117"/>
      <c r="AT1103" s="117"/>
      <c r="AU1103" s="117"/>
      <c r="AV1103" s="117"/>
      <c r="AW1103" s="117"/>
      <c r="AX1103" s="117"/>
      <c r="AY1103" s="117"/>
      <c r="AZ1103" s="117"/>
      <c r="BA1103" s="117"/>
      <c r="BB1103" s="117"/>
      <c r="BC1103" s="117"/>
      <c r="BD1103" s="117"/>
      <c r="BE1103" s="117"/>
      <c r="BF1103" s="117"/>
      <c r="BG1103" s="117"/>
    </row>
    <row r="1104" spans="1:59">
      <c r="A1104" s="117"/>
      <c r="B1104" s="117"/>
      <c r="C1104" s="117"/>
      <c r="D1104" s="117"/>
      <c r="E1104" s="117"/>
      <c r="F1104" s="117"/>
      <c r="G1104" s="117"/>
      <c r="H1104" s="117"/>
      <c r="I1104" s="117"/>
      <c r="J1104" s="118"/>
      <c r="K1104" s="118"/>
      <c r="L1104" s="118"/>
      <c r="M1104" s="118"/>
      <c r="N1104" s="117"/>
      <c r="O1104" s="117"/>
      <c r="P1104" s="117"/>
      <c r="Q1104" s="117"/>
      <c r="R1104" s="117"/>
      <c r="S1104" s="117"/>
      <c r="T1104" s="117"/>
      <c r="U1104" s="117"/>
      <c r="V1104" s="117"/>
      <c r="W1104" s="117"/>
      <c r="X1104" s="117"/>
      <c r="Y1104" s="117"/>
      <c r="Z1104" s="117"/>
      <c r="AA1104" s="117"/>
      <c r="AB1104" s="117"/>
      <c r="AC1104" s="117"/>
      <c r="AD1104" s="117"/>
      <c r="AE1104" s="117"/>
      <c r="AF1104" s="117"/>
      <c r="AG1104" s="117"/>
      <c r="AH1104" s="117"/>
      <c r="AI1104" s="117"/>
      <c r="AJ1104" s="117"/>
      <c r="AK1104" s="117"/>
      <c r="AL1104" s="117"/>
      <c r="AM1104" s="117"/>
      <c r="AN1104" s="117"/>
      <c r="AO1104" s="117"/>
      <c r="AP1104" s="117"/>
      <c r="AQ1104" s="117"/>
      <c r="AR1104" s="117"/>
      <c r="AS1104" s="117"/>
      <c r="AT1104" s="117"/>
      <c r="AU1104" s="117"/>
      <c r="AV1104" s="117"/>
      <c r="AW1104" s="117"/>
      <c r="AX1104" s="117"/>
      <c r="AY1104" s="117"/>
      <c r="AZ1104" s="117"/>
      <c r="BA1104" s="117"/>
      <c r="BB1104" s="117"/>
      <c r="BC1104" s="117"/>
      <c r="BD1104" s="117"/>
      <c r="BE1104" s="117"/>
      <c r="BF1104" s="117"/>
      <c r="BG1104" s="117"/>
    </row>
    <row r="1105" spans="1:59">
      <c r="A1105" s="117"/>
      <c r="B1105" s="117"/>
      <c r="C1105" s="117"/>
      <c r="D1105" s="117"/>
      <c r="E1105" s="117"/>
      <c r="F1105" s="117"/>
      <c r="G1105" s="117"/>
      <c r="H1105" s="117"/>
      <c r="I1105" s="117"/>
      <c r="J1105" s="118"/>
      <c r="K1105" s="118"/>
      <c r="L1105" s="118"/>
      <c r="M1105" s="118"/>
      <c r="N1105" s="117"/>
      <c r="O1105" s="117"/>
      <c r="P1105" s="117"/>
      <c r="Q1105" s="117"/>
      <c r="R1105" s="117"/>
      <c r="S1105" s="117"/>
      <c r="T1105" s="117"/>
      <c r="U1105" s="117"/>
      <c r="V1105" s="117"/>
      <c r="W1105" s="117"/>
      <c r="X1105" s="117"/>
      <c r="Y1105" s="117"/>
      <c r="Z1105" s="117"/>
      <c r="AA1105" s="117"/>
      <c r="AB1105" s="117"/>
      <c r="AC1105" s="117"/>
      <c r="AD1105" s="117"/>
      <c r="AE1105" s="117"/>
      <c r="AF1105" s="117"/>
      <c r="AG1105" s="117"/>
      <c r="AH1105" s="117"/>
      <c r="AI1105" s="117"/>
      <c r="AJ1105" s="117"/>
      <c r="AK1105" s="117"/>
      <c r="AL1105" s="117"/>
      <c r="AM1105" s="117"/>
      <c r="AN1105" s="117"/>
      <c r="AO1105" s="117"/>
      <c r="AP1105" s="117"/>
      <c r="AQ1105" s="117"/>
      <c r="AR1105" s="117"/>
      <c r="AS1105" s="117"/>
      <c r="AT1105" s="117"/>
      <c r="AU1105" s="117"/>
      <c r="AV1105" s="117"/>
      <c r="AW1105" s="117"/>
      <c r="AX1105" s="117"/>
      <c r="AY1105" s="117"/>
      <c r="AZ1105" s="117"/>
      <c r="BA1105" s="117"/>
      <c r="BB1105" s="117"/>
      <c r="BC1105" s="117"/>
      <c r="BD1105" s="117"/>
      <c r="BE1105" s="117"/>
      <c r="BF1105" s="117"/>
      <c r="BG1105" s="117"/>
    </row>
    <row r="1106" spans="1:59">
      <c r="A1106" s="117"/>
      <c r="B1106" s="117"/>
      <c r="C1106" s="117"/>
      <c r="D1106" s="117"/>
      <c r="E1106" s="117"/>
      <c r="F1106" s="117"/>
      <c r="G1106" s="117"/>
      <c r="H1106" s="117"/>
      <c r="I1106" s="117"/>
      <c r="J1106" s="118"/>
      <c r="K1106" s="118"/>
      <c r="L1106" s="118"/>
      <c r="M1106" s="118"/>
      <c r="N1106" s="117"/>
      <c r="O1106" s="117"/>
      <c r="P1106" s="117"/>
      <c r="Q1106" s="117"/>
      <c r="R1106" s="117"/>
      <c r="S1106" s="117"/>
      <c r="T1106" s="117"/>
      <c r="U1106" s="117"/>
      <c r="V1106" s="117"/>
      <c r="W1106" s="117"/>
      <c r="X1106" s="117"/>
      <c r="Y1106" s="117"/>
      <c r="Z1106" s="117"/>
      <c r="AA1106" s="117"/>
      <c r="AB1106" s="117"/>
      <c r="AC1106" s="117"/>
      <c r="AD1106" s="117"/>
      <c r="AE1106" s="117"/>
      <c r="AF1106" s="117"/>
      <c r="AG1106" s="117"/>
      <c r="AH1106" s="117"/>
      <c r="AI1106" s="117"/>
      <c r="AJ1106" s="117"/>
      <c r="AK1106" s="117"/>
      <c r="AL1106" s="117"/>
      <c r="AM1106" s="117"/>
      <c r="AN1106" s="117"/>
      <c r="AO1106" s="117"/>
      <c r="AP1106" s="117"/>
      <c r="AQ1106" s="117"/>
      <c r="AR1106" s="117"/>
      <c r="AS1106" s="117"/>
      <c r="AT1106" s="117"/>
      <c r="AU1106" s="117"/>
      <c r="AV1106" s="117"/>
      <c r="AW1106" s="117"/>
      <c r="AX1106" s="117"/>
      <c r="AY1106" s="117"/>
      <c r="AZ1106" s="117"/>
      <c r="BA1106" s="117"/>
      <c r="BB1106" s="117"/>
      <c r="BC1106" s="117"/>
      <c r="BD1106" s="117"/>
      <c r="BE1106" s="117"/>
      <c r="BF1106" s="117"/>
      <c r="BG1106" s="117"/>
    </row>
    <row r="1107" spans="1:59">
      <c r="A1107" s="117"/>
      <c r="B1107" s="117"/>
      <c r="C1107" s="117"/>
      <c r="D1107" s="117"/>
      <c r="E1107" s="117"/>
      <c r="F1107" s="117"/>
      <c r="G1107" s="117"/>
      <c r="H1107" s="117"/>
      <c r="I1107" s="117"/>
      <c r="J1107" s="118"/>
      <c r="K1107" s="118"/>
      <c r="L1107" s="118"/>
      <c r="M1107" s="118"/>
      <c r="N1107" s="117"/>
      <c r="O1107" s="117"/>
      <c r="P1107" s="117"/>
      <c r="Q1107" s="117"/>
      <c r="R1107" s="117"/>
      <c r="S1107" s="117"/>
      <c r="T1107" s="117"/>
      <c r="U1107" s="117"/>
      <c r="V1107" s="117"/>
      <c r="W1107" s="117"/>
      <c r="X1107" s="117"/>
      <c r="Y1107" s="117"/>
      <c r="Z1107" s="117"/>
      <c r="AA1107" s="117"/>
      <c r="AB1107" s="117"/>
      <c r="AC1107" s="117"/>
      <c r="AD1107" s="117"/>
      <c r="AE1107" s="117"/>
      <c r="AF1107" s="117"/>
      <c r="AG1107" s="117"/>
      <c r="AH1107" s="117"/>
      <c r="AI1107" s="117"/>
      <c r="AJ1107" s="117"/>
      <c r="AK1107" s="117"/>
      <c r="AL1107" s="117"/>
      <c r="AM1107" s="117"/>
      <c r="AN1107" s="117"/>
      <c r="AO1107" s="117"/>
      <c r="AP1107" s="117"/>
      <c r="AQ1107" s="117"/>
      <c r="AR1107" s="117"/>
      <c r="AS1107" s="117"/>
      <c r="AT1107" s="117"/>
      <c r="AU1107" s="117"/>
      <c r="AV1107" s="117"/>
      <c r="AW1107" s="117"/>
      <c r="AX1107" s="117"/>
      <c r="AY1107" s="117"/>
      <c r="AZ1107" s="117"/>
      <c r="BA1107" s="117"/>
      <c r="BB1107" s="117"/>
      <c r="BC1107" s="117"/>
      <c r="BD1107" s="117"/>
      <c r="BE1107" s="117"/>
      <c r="BF1107" s="117"/>
      <c r="BG1107" s="117"/>
    </row>
    <row r="1108" spans="1:59">
      <c r="A1108" s="117"/>
      <c r="B1108" s="117"/>
      <c r="C1108" s="117"/>
      <c r="D1108" s="117"/>
      <c r="E1108" s="117"/>
      <c r="F1108" s="117"/>
      <c r="G1108" s="117"/>
      <c r="H1108" s="117"/>
      <c r="I1108" s="117"/>
      <c r="J1108" s="118"/>
      <c r="K1108" s="118"/>
      <c r="L1108" s="118"/>
      <c r="M1108" s="118"/>
      <c r="N1108" s="117"/>
      <c r="O1108" s="117"/>
      <c r="P1108" s="117"/>
      <c r="Q1108" s="117"/>
      <c r="R1108" s="117"/>
      <c r="S1108" s="117"/>
      <c r="T1108" s="117"/>
      <c r="U1108" s="117"/>
      <c r="V1108" s="117"/>
      <c r="W1108" s="117"/>
      <c r="X1108" s="117"/>
      <c r="Y1108" s="117"/>
      <c r="Z1108" s="117"/>
      <c r="AA1108" s="117"/>
      <c r="AB1108" s="117"/>
      <c r="AC1108" s="117"/>
      <c r="AD1108" s="117"/>
      <c r="AE1108" s="117"/>
      <c r="AF1108" s="117"/>
      <c r="AG1108" s="117"/>
      <c r="AH1108" s="117"/>
      <c r="AI1108" s="117"/>
      <c r="AJ1108" s="117"/>
      <c r="AK1108" s="117"/>
      <c r="AL1108" s="117"/>
      <c r="AM1108" s="117"/>
      <c r="AN1108" s="117"/>
      <c r="AO1108" s="117"/>
      <c r="AP1108" s="117"/>
      <c r="AQ1108" s="117"/>
      <c r="AR1108" s="117"/>
      <c r="AS1108" s="117"/>
      <c r="AT1108" s="117"/>
      <c r="AU1108" s="117"/>
      <c r="AV1108" s="117"/>
      <c r="AW1108" s="117"/>
      <c r="AX1108" s="117"/>
      <c r="AY1108" s="117"/>
      <c r="AZ1108" s="117"/>
      <c r="BA1108" s="117"/>
      <c r="BB1108" s="117"/>
      <c r="BC1108" s="117"/>
      <c r="BD1108" s="117"/>
      <c r="BE1108" s="117"/>
      <c r="BF1108" s="117"/>
      <c r="BG1108" s="117"/>
    </row>
    <row r="1109" spans="1:59">
      <c r="A1109" s="117"/>
      <c r="B1109" s="117"/>
      <c r="C1109" s="117"/>
      <c r="D1109" s="117"/>
      <c r="E1109" s="117"/>
      <c r="F1109" s="117"/>
      <c r="G1109" s="117"/>
      <c r="H1109" s="117"/>
      <c r="I1109" s="117"/>
      <c r="J1109" s="118"/>
      <c r="K1109" s="118"/>
      <c r="L1109" s="118"/>
      <c r="M1109" s="118"/>
      <c r="N1109" s="117"/>
      <c r="O1109" s="117"/>
      <c r="P1109" s="117"/>
      <c r="Q1109" s="117"/>
      <c r="R1109" s="117"/>
      <c r="S1109" s="117"/>
      <c r="T1109" s="117"/>
      <c r="U1109" s="117"/>
      <c r="V1109" s="117"/>
      <c r="W1109" s="117"/>
      <c r="X1109" s="117"/>
      <c r="Y1109" s="117"/>
      <c r="Z1109" s="117"/>
      <c r="AA1109" s="117"/>
      <c r="AB1109" s="117"/>
      <c r="AC1109" s="117"/>
      <c r="AD1109" s="117"/>
      <c r="AE1109" s="117"/>
      <c r="AF1109" s="117"/>
      <c r="AG1109" s="117"/>
      <c r="AH1109" s="117"/>
      <c r="AI1109" s="117"/>
      <c r="AJ1109" s="117"/>
      <c r="AK1109" s="117"/>
      <c r="AL1109" s="117"/>
      <c r="AM1109" s="117"/>
      <c r="AN1109" s="117"/>
      <c r="AO1109" s="117"/>
      <c r="AP1109" s="117"/>
      <c r="AQ1109" s="117"/>
      <c r="AR1109" s="117"/>
      <c r="AS1109" s="117"/>
      <c r="AT1109" s="117"/>
      <c r="AU1109" s="117"/>
      <c r="AV1109" s="117"/>
      <c r="AW1109" s="117"/>
      <c r="AX1109" s="117"/>
      <c r="AY1109" s="117"/>
      <c r="AZ1109" s="117"/>
      <c r="BA1109" s="117"/>
      <c r="BB1109" s="117"/>
      <c r="BC1109" s="117"/>
      <c r="BD1109" s="117"/>
      <c r="BE1109" s="117"/>
      <c r="BF1109" s="117"/>
      <c r="BG1109" s="117"/>
    </row>
    <row r="1110" spans="1:59">
      <c r="A1110" s="117"/>
      <c r="B1110" s="117"/>
      <c r="C1110" s="117"/>
      <c r="D1110" s="117"/>
      <c r="E1110" s="117"/>
      <c r="F1110" s="117"/>
      <c r="G1110" s="117"/>
      <c r="H1110" s="117"/>
      <c r="I1110" s="117"/>
      <c r="J1110" s="118"/>
      <c r="K1110" s="118"/>
      <c r="L1110" s="118"/>
      <c r="M1110" s="118"/>
      <c r="N1110" s="117"/>
      <c r="O1110" s="117"/>
      <c r="P1110" s="117"/>
      <c r="Q1110" s="117"/>
      <c r="R1110" s="117"/>
      <c r="S1110" s="117"/>
      <c r="T1110" s="117"/>
      <c r="U1110" s="117"/>
      <c r="V1110" s="117"/>
      <c r="W1110" s="117"/>
      <c r="X1110" s="117"/>
      <c r="Y1110" s="117"/>
      <c r="Z1110" s="117"/>
      <c r="AA1110" s="117"/>
      <c r="AB1110" s="117"/>
      <c r="AC1110" s="117"/>
      <c r="AD1110" s="117"/>
      <c r="AE1110" s="117"/>
      <c r="AF1110" s="117"/>
      <c r="AG1110" s="117"/>
      <c r="AH1110" s="117"/>
      <c r="AI1110" s="117"/>
      <c r="AJ1110" s="117"/>
      <c r="AK1110" s="117"/>
      <c r="AL1110" s="117"/>
      <c r="AM1110" s="117"/>
      <c r="AN1110" s="117"/>
      <c r="AO1110" s="117"/>
      <c r="AP1110" s="117"/>
      <c r="AQ1110" s="117"/>
      <c r="AR1110" s="117"/>
      <c r="AS1110" s="117"/>
      <c r="AT1110" s="117"/>
      <c r="AU1110" s="117"/>
      <c r="AV1110" s="117"/>
      <c r="AW1110" s="117"/>
      <c r="AX1110" s="117"/>
      <c r="AY1110" s="117"/>
      <c r="AZ1110" s="117"/>
      <c r="BA1110" s="117"/>
      <c r="BB1110" s="117"/>
      <c r="BC1110" s="117"/>
      <c r="BD1110" s="117"/>
      <c r="BE1110" s="117"/>
      <c r="BF1110" s="117"/>
      <c r="BG1110" s="117"/>
    </row>
    <row r="1111" spans="1:59">
      <c r="A1111" s="117"/>
      <c r="B1111" s="117"/>
      <c r="C1111" s="117"/>
      <c r="D1111" s="117"/>
      <c r="E1111" s="117"/>
      <c r="F1111" s="117"/>
      <c r="G1111" s="117"/>
      <c r="H1111" s="117"/>
      <c r="I1111" s="117"/>
      <c r="J1111" s="118"/>
      <c r="K1111" s="118"/>
      <c r="L1111" s="118"/>
      <c r="M1111" s="118"/>
      <c r="N1111" s="117"/>
      <c r="O1111" s="117"/>
      <c r="P1111" s="117"/>
      <c r="Q1111" s="117"/>
      <c r="R1111" s="117"/>
      <c r="S1111" s="117"/>
      <c r="T1111" s="117"/>
      <c r="U1111" s="117"/>
      <c r="V1111" s="117"/>
      <c r="W1111" s="117"/>
      <c r="X1111" s="117"/>
      <c r="Y1111" s="117"/>
      <c r="Z1111" s="117"/>
      <c r="AA1111" s="117"/>
      <c r="AB1111" s="117"/>
      <c r="AC1111" s="117"/>
      <c r="AD1111" s="117"/>
      <c r="AE1111" s="117"/>
      <c r="AF1111" s="117"/>
      <c r="AG1111" s="117"/>
      <c r="AH1111" s="117"/>
      <c r="AI1111" s="117"/>
      <c r="AJ1111" s="117"/>
      <c r="AK1111" s="117"/>
      <c r="AL1111" s="117"/>
      <c r="AM1111" s="117"/>
      <c r="AN1111" s="117"/>
      <c r="AO1111" s="117"/>
      <c r="AP1111" s="117"/>
      <c r="AQ1111" s="117"/>
      <c r="AR1111" s="117"/>
      <c r="AS1111" s="117"/>
      <c r="AT1111" s="117"/>
      <c r="AU1111" s="117"/>
      <c r="AV1111" s="117"/>
      <c r="AW1111" s="117"/>
      <c r="AX1111" s="117"/>
      <c r="AY1111" s="117"/>
      <c r="AZ1111" s="117"/>
      <c r="BA1111" s="117"/>
      <c r="BB1111" s="117"/>
      <c r="BC1111" s="117"/>
      <c r="BD1111" s="117"/>
      <c r="BE1111" s="117"/>
      <c r="BF1111" s="117"/>
      <c r="BG1111" s="117"/>
    </row>
    <row r="1112" spans="1:59">
      <c r="A1112" s="117"/>
      <c r="B1112" s="117"/>
      <c r="C1112" s="117"/>
      <c r="D1112" s="117"/>
      <c r="E1112" s="117"/>
      <c r="F1112" s="117"/>
      <c r="G1112" s="117"/>
      <c r="H1112" s="117"/>
      <c r="I1112" s="117"/>
      <c r="J1112" s="118"/>
      <c r="K1112" s="118"/>
      <c r="L1112" s="118"/>
      <c r="M1112" s="118"/>
      <c r="N1112" s="117"/>
      <c r="O1112" s="117"/>
      <c r="P1112" s="117"/>
      <c r="Q1112" s="117"/>
      <c r="R1112" s="117"/>
      <c r="S1112" s="117"/>
      <c r="T1112" s="117"/>
      <c r="U1112" s="117"/>
      <c r="V1112" s="117"/>
      <c r="W1112" s="117"/>
      <c r="X1112" s="117"/>
      <c r="Y1112" s="117"/>
      <c r="Z1112" s="117"/>
      <c r="AA1112" s="117"/>
      <c r="AB1112" s="117"/>
      <c r="AC1112" s="117"/>
      <c r="AD1112" s="117"/>
      <c r="AE1112" s="117"/>
      <c r="AF1112" s="117"/>
      <c r="AG1112" s="117"/>
      <c r="AH1112" s="117"/>
      <c r="AI1112" s="117"/>
      <c r="AJ1112" s="117"/>
      <c r="AK1112" s="117"/>
      <c r="AL1112" s="117"/>
      <c r="AM1112" s="117"/>
      <c r="AN1112" s="117"/>
      <c r="AO1112" s="117"/>
      <c r="AP1112" s="117"/>
      <c r="AQ1112" s="117"/>
      <c r="AR1112" s="117"/>
      <c r="AS1112" s="117"/>
      <c r="AT1112" s="117"/>
      <c r="AU1112" s="117"/>
      <c r="AV1112" s="117"/>
      <c r="AW1112" s="117"/>
      <c r="AX1112" s="117"/>
      <c r="AY1112" s="117"/>
      <c r="AZ1112" s="117"/>
      <c r="BA1112" s="117"/>
      <c r="BB1112" s="117"/>
      <c r="BC1112" s="117"/>
      <c r="BD1112" s="117"/>
      <c r="BE1112" s="117"/>
      <c r="BF1112" s="117"/>
      <c r="BG1112" s="117"/>
    </row>
    <row r="1113" spans="1:59">
      <c r="A1113" s="117"/>
      <c r="B1113" s="117"/>
      <c r="C1113" s="117"/>
      <c r="D1113" s="117"/>
      <c r="E1113" s="117"/>
      <c r="F1113" s="117"/>
      <c r="G1113" s="117"/>
      <c r="H1113" s="117"/>
      <c r="I1113" s="117"/>
      <c r="J1113" s="118"/>
      <c r="K1113" s="118"/>
      <c r="L1113" s="118"/>
      <c r="M1113" s="118"/>
      <c r="N1113" s="117"/>
      <c r="O1113" s="117"/>
      <c r="P1113" s="117"/>
      <c r="Q1113" s="117"/>
      <c r="R1113" s="117"/>
      <c r="S1113" s="117"/>
      <c r="T1113" s="117"/>
      <c r="U1113" s="117"/>
      <c r="V1113" s="117"/>
      <c r="W1113" s="117"/>
      <c r="X1113" s="117"/>
      <c r="Y1113" s="117"/>
      <c r="Z1113" s="117"/>
      <c r="AA1113" s="117"/>
      <c r="AB1113" s="117"/>
      <c r="AC1113" s="117"/>
      <c r="AD1113" s="117"/>
      <c r="AE1113" s="117"/>
      <c r="AF1113" s="117"/>
      <c r="AG1113" s="117"/>
      <c r="AH1113" s="117"/>
      <c r="AI1113" s="117"/>
      <c r="AJ1113" s="117"/>
      <c r="AK1113" s="117"/>
      <c r="AL1113" s="117"/>
      <c r="AM1113" s="117"/>
      <c r="AN1113" s="117"/>
      <c r="AO1113" s="117"/>
      <c r="AP1113" s="117"/>
      <c r="AQ1113" s="117"/>
      <c r="AR1113" s="117"/>
      <c r="AS1113" s="117"/>
      <c r="AT1113" s="117"/>
      <c r="AU1113" s="117"/>
      <c r="AV1113" s="117"/>
      <c r="AW1113" s="117"/>
      <c r="AX1113" s="117"/>
      <c r="AY1113" s="117"/>
      <c r="AZ1113" s="117"/>
      <c r="BA1113" s="117"/>
      <c r="BB1113" s="117"/>
      <c r="BC1113" s="117"/>
      <c r="BD1113" s="117"/>
      <c r="BE1113" s="117"/>
      <c r="BF1113" s="117"/>
      <c r="BG1113" s="117"/>
    </row>
    <row r="1114" spans="1:59">
      <c r="A1114" s="117"/>
      <c r="B1114" s="117"/>
      <c r="C1114" s="117"/>
      <c r="D1114" s="117"/>
      <c r="E1114" s="117"/>
      <c r="F1114" s="117"/>
      <c r="G1114" s="117"/>
      <c r="H1114" s="117"/>
      <c r="I1114" s="117"/>
      <c r="J1114" s="118"/>
      <c r="K1114" s="118"/>
      <c r="L1114" s="118"/>
      <c r="M1114" s="118"/>
      <c r="N1114" s="117"/>
      <c r="O1114" s="117"/>
      <c r="P1114" s="117"/>
      <c r="Q1114" s="117"/>
      <c r="R1114" s="117"/>
      <c r="S1114" s="117"/>
      <c r="T1114" s="117"/>
      <c r="U1114" s="117"/>
      <c r="V1114" s="117"/>
      <c r="W1114" s="117"/>
      <c r="X1114" s="117"/>
      <c r="Y1114" s="117"/>
      <c r="Z1114" s="117"/>
      <c r="AA1114" s="117"/>
      <c r="AB1114" s="117"/>
      <c r="AC1114" s="117"/>
      <c r="AD1114" s="117"/>
      <c r="AE1114" s="117"/>
      <c r="AF1114" s="117"/>
      <c r="AG1114" s="117"/>
      <c r="AH1114" s="117"/>
      <c r="AI1114" s="117"/>
      <c r="AJ1114" s="117"/>
      <c r="AK1114" s="117"/>
      <c r="AL1114" s="117"/>
      <c r="AM1114" s="117"/>
      <c r="AN1114" s="117"/>
      <c r="AO1114" s="117"/>
      <c r="AP1114" s="117"/>
      <c r="AQ1114" s="117"/>
      <c r="AR1114" s="117"/>
      <c r="AS1114" s="117"/>
      <c r="AT1114" s="117"/>
      <c r="AU1114" s="117"/>
      <c r="AV1114" s="117"/>
      <c r="AW1114" s="117"/>
      <c r="AX1114" s="117"/>
      <c r="AY1114" s="117"/>
      <c r="AZ1114" s="117"/>
      <c r="BA1114" s="117"/>
      <c r="BB1114" s="117"/>
      <c r="BC1114" s="117"/>
      <c r="BD1114" s="117"/>
      <c r="BE1114" s="117"/>
      <c r="BF1114" s="117"/>
      <c r="BG1114" s="117"/>
    </row>
    <row r="1115" spans="1:59">
      <c r="A1115" s="117"/>
      <c r="B1115" s="117"/>
      <c r="C1115" s="117"/>
      <c r="D1115" s="117"/>
      <c r="E1115" s="117"/>
      <c r="F1115" s="117"/>
      <c r="G1115" s="117"/>
      <c r="H1115" s="117"/>
      <c r="I1115" s="117"/>
      <c r="J1115" s="118"/>
      <c r="K1115" s="118"/>
      <c r="L1115" s="118"/>
      <c r="M1115" s="118"/>
      <c r="N1115" s="117"/>
      <c r="O1115" s="117"/>
      <c r="P1115" s="117"/>
      <c r="Q1115" s="117"/>
      <c r="R1115" s="117"/>
      <c r="S1115" s="117"/>
      <c r="T1115" s="117"/>
      <c r="U1115" s="117"/>
      <c r="V1115" s="117"/>
      <c r="W1115" s="117"/>
      <c r="X1115" s="117"/>
      <c r="Y1115" s="117"/>
      <c r="Z1115" s="117"/>
      <c r="AA1115" s="117"/>
      <c r="AB1115" s="117"/>
      <c r="AC1115" s="117"/>
      <c r="AD1115" s="117"/>
      <c r="AE1115" s="117"/>
      <c r="AF1115" s="117"/>
      <c r="AG1115" s="117"/>
      <c r="AH1115" s="117"/>
      <c r="AI1115" s="117"/>
      <c r="AJ1115" s="117"/>
      <c r="AK1115" s="117"/>
      <c r="AL1115" s="117"/>
      <c r="AM1115" s="117"/>
      <c r="AN1115" s="117"/>
      <c r="AO1115" s="117"/>
      <c r="AP1115" s="117"/>
      <c r="AQ1115" s="117"/>
      <c r="AR1115" s="117"/>
      <c r="AS1115" s="117"/>
      <c r="AT1115" s="117"/>
      <c r="AU1115" s="117"/>
      <c r="AV1115" s="117"/>
      <c r="AW1115" s="117"/>
      <c r="AX1115" s="117"/>
      <c r="AY1115" s="117"/>
      <c r="AZ1115" s="117"/>
      <c r="BA1115" s="117"/>
      <c r="BB1115" s="117"/>
      <c r="BC1115" s="117"/>
      <c r="BD1115" s="117"/>
      <c r="BE1115" s="117"/>
      <c r="BF1115" s="117"/>
      <c r="BG1115" s="117"/>
    </row>
    <row r="1116" spans="1:59">
      <c r="A1116" s="117"/>
      <c r="B1116" s="117"/>
      <c r="C1116" s="117"/>
      <c r="D1116" s="117"/>
      <c r="E1116" s="117"/>
      <c r="F1116" s="117"/>
      <c r="G1116" s="117"/>
      <c r="H1116" s="117"/>
      <c r="I1116" s="117"/>
      <c r="J1116" s="118"/>
      <c r="K1116" s="118"/>
      <c r="L1116" s="118"/>
      <c r="M1116" s="118"/>
      <c r="N1116" s="117"/>
      <c r="O1116" s="117"/>
      <c r="P1116" s="117"/>
      <c r="Q1116" s="117"/>
      <c r="R1116" s="117"/>
      <c r="S1116" s="117"/>
      <c r="T1116" s="117"/>
      <c r="U1116" s="117"/>
      <c r="V1116" s="117"/>
      <c r="W1116" s="117"/>
      <c r="X1116" s="117"/>
      <c r="Y1116" s="117"/>
      <c r="Z1116" s="117"/>
      <c r="AA1116" s="117"/>
      <c r="AB1116" s="117"/>
      <c r="AC1116" s="117"/>
      <c r="AD1116" s="117"/>
      <c r="AE1116" s="117"/>
      <c r="AF1116" s="117"/>
      <c r="AG1116" s="117"/>
      <c r="AH1116" s="117"/>
      <c r="AI1116" s="117"/>
      <c r="AJ1116" s="117"/>
      <c r="AK1116" s="117"/>
      <c r="AL1116" s="117"/>
      <c r="AM1116" s="117"/>
      <c r="AN1116" s="117"/>
      <c r="AO1116" s="117"/>
      <c r="AP1116" s="117"/>
      <c r="AQ1116" s="117"/>
      <c r="AR1116" s="117"/>
      <c r="AS1116" s="117"/>
      <c r="AT1116" s="117"/>
      <c r="AU1116" s="117"/>
      <c r="AV1116" s="117"/>
      <c r="AW1116" s="117"/>
      <c r="AX1116" s="117"/>
      <c r="AY1116" s="117"/>
      <c r="AZ1116" s="117"/>
      <c r="BA1116" s="117"/>
      <c r="BB1116" s="117"/>
      <c r="BC1116" s="117"/>
      <c r="BD1116" s="117"/>
      <c r="BE1116" s="117"/>
      <c r="BF1116" s="117"/>
      <c r="BG1116" s="117"/>
    </row>
    <row r="1117" spans="1:59">
      <c r="A1117" s="117"/>
      <c r="B1117" s="117"/>
      <c r="C1117" s="117"/>
      <c r="D1117" s="117"/>
      <c r="E1117" s="117"/>
      <c r="F1117" s="117"/>
      <c r="G1117" s="117"/>
      <c r="H1117" s="117"/>
      <c r="I1117" s="117"/>
      <c r="J1117" s="118"/>
      <c r="K1117" s="118"/>
      <c r="L1117" s="118"/>
      <c r="M1117" s="118"/>
      <c r="N1117" s="117"/>
      <c r="O1117" s="117"/>
      <c r="P1117" s="117"/>
      <c r="Q1117" s="117"/>
      <c r="R1117" s="117"/>
      <c r="S1117" s="117"/>
      <c r="T1117" s="117"/>
      <c r="U1117" s="117"/>
      <c r="V1117" s="117"/>
      <c r="W1117" s="117"/>
      <c r="X1117" s="117"/>
      <c r="Y1117" s="117"/>
      <c r="Z1117" s="117"/>
      <c r="AA1117" s="117"/>
      <c r="AB1117" s="117"/>
      <c r="AC1117" s="117"/>
      <c r="AD1117" s="117"/>
      <c r="AE1117" s="117"/>
      <c r="AF1117" s="117"/>
      <c r="AG1117" s="117"/>
      <c r="AH1117" s="117"/>
      <c r="AI1117" s="117"/>
      <c r="AJ1117" s="117"/>
      <c r="AK1117" s="117"/>
      <c r="AL1117" s="117"/>
      <c r="AM1117" s="117"/>
      <c r="AN1117" s="117"/>
      <c r="AO1117" s="117"/>
      <c r="AP1117" s="117"/>
      <c r="AQ1117" s="117"/>
      <c r="AR1117" s="117"/>
      <c r="AS1117" s="117"/>
      <c r="AT1117" s="117"/>
      <c r="AU1117" s="117"/>
      <c r="AV1117" s="117"/>
      <c r="AW1117" s="117"/>
      <c r="AX1117" s="117"/>
      <c r="AY1117" s="117"/>
      <c r="AZ1117" s="117"/>
      <c r="BA1117" s="117"/>
      <c r="BB1117" s="117"/>
      <c r="BC1117" s="117"/>
      <c r="BD1117" s="117"/>
      <c r="BE1117" s="117"/>
      <c r="BF1117" s="117"/>
      <c r="BG1117" s="117"/>
    </row>
    <row r="1118" spans="1:59">
      <c r="A1118" s="117"/>
      <c r="B1118" s="117"/>
      <c r="C1118" s="117"/>
      <c r="D1118" s="117"/>
      <c r="E1118" s="117"/>
      <c r="F1118" s="117"/>
      <c r="G1118" s="117"/>
      <c r="H1118" s="117"/>
      <c r="I1118" s="117"/>
      <c r="J1118" s="118"/>
      <c r="K1118" s="118"/>
      <c r="L1118" s="118"/>
      <c r="M1118" s="118"/>
      <c r="N1118" s="117"/>
      <c r="O1118" s="117"/>
      <c r="P1118" s="117"/>
      <c r="Q1118" s="117"/>
      <c r="R1118" s="117"/>
      <c r="S1118" s="117"/>
      <c r="T1118" s="117"/>
      <c r="U1118" s="117"/>
      <c r="V1118" s="117"/>
      <c r="W1118" s="117"/>
      <c r="X1118" s="117"/>
      <c r="Y1118" s="117"/>
      <c r="Z1118" s="117"/>
      <c r="AA1118" s="117"/>
      <c r="AB1118" s="117"/>
      <c r="AC1118" s="117"/>
      <c r="AD1118" s="117"/>
      <c r="AE1118" s="117"/>
      <c r="AF1118" s="117"/>
      <c r="AG1118" s="117"/>
      <c r="AH1118" s="117"/>
      <c r="AI1118" s="117"/>
      <c r="AJ1118" s="117"/>
      <c r="AK1118" s="117"/>
      <c r="AL1118" s="117"/>
      <c r="AM1118" s="117"/>
      <c r="AN1118" s="117"/>
      <c r="AO1118" s="117"/>
      <c r="AP1118" s="117"/>
      <c r="AQ1118" s="117"/>
      <c r="AR1118" s="117"/>
      <c r="AS1118" s="117"/>
      <c r="AT1118" s="117"/>
      <c r="AU1118" s="117"/>
      <c r="AV1118" s="117"/>
      <c r="AW1118" s="117"/>
      <c r="AX1118" s="117"/>
      <c r="AY1118" s="117"/>
      <c r="AZ1118" s="117"/>
      <c r="BA1118" s="117"/>
      <c r="BB1118" s="117"/>
      <c r="BC1118" s="117"/>
      <c r="BD1118" s="117"/>
      <c r="BE1118" s="117"/>
      <c r="BF1118" s="117"/>
      <c r="BG1118" s="117"/>
    </row>
    <row r="1119" spans="1:59">
      <c r="A1119" s="117"/>
      <c r="B1119" s="117"/>
      <c r="C1119" s="117"/>
      <c r="D1119" s="117"/>
      <c r="E1119" s="117"/>
      <c r="F1119" s="117"/>
      <c r="G1119" s="117"/>
      <c r="H1119" s="117"/>
      <c r="I1119" s="117"/>
      <c r="J1119" s="118"/>
      <c r="K1119" s="118"/>
      <c r="L1119" s="118"/>
      <c r="M1119" s="118"/>
      <c r="N1119" s="117"/>
      <c r="O1119" s="117"/>
      <c r="P1119" s="117"/>
      <c r="Q1119" s="117"/>
      <c r="R1119" s="117"/>
      <c r="S1119" s="117"/>
      <c r="T1119" s="117"/>
      <c r="U1119" s="117"/>
      <c r="V1119" s="117"/>
      <c r="W1119" s="117"/>
      <c r="X1119" s="117"/>
      <c r="Y1119" s="117"/>
      <c r="Z1119" s="117"/>
      <c r="AA1119" s="117"/>
      <c r="AB1119" s="117"/>
      <c r="AC1119" s="117"/>
      <c r="AD1119" s="117"/>
      <c r="AE1119" s="117"/>
      <c r="AF1119" s="117"/>
      <c r="AG1119" s="117"/>
      <c r="AH1119" s="117"/>
      <c r="AI1119" s="117"/>
      <c r="AJ1119" s="117"/>
      <c r="AK1119" s="117"/>
      <c r="AL1119" s="117"/>
      <c r="AM1119" s="117"/>
      <c r="AN1119" s="117"/>
      <c r="AO1119" s="117"/>
      <c r="AP1119" s="117"/>
      <c r="AQ1119" s="117"/>
      <c r="AR1119" s="117"/>
      <c r="AS1119" s="117"/>
      <c r="AT1119" s="117"/>
      <c r="AU1119" s="117"/>
      <c r="AV1119" s="117"/>
      <c r="AW1119" s="117"/>
      <c r="AX1119" s="117"/>
      <c r="AY1119" s="117"/>
      <c r="AZ1119" s="117"/>
      <c r="BA1119" s="117"/>
      <c r="BB1119" s="117"/>
      <c r="BC1119" s="117"/>
      <c r="BD1119" s="117"/>
      <c r="BE1119" s="117"/>
      <c r="BF1119" s="117"/>
      <c r="BG1119" s="117"/>
    </row>
    <row r="1120" spans="1:59">
      <c r="A1120" s="117"/>
      <c r="B1120" s="117"/>
      <c r="C1120" s="117"/>
      <c r="D1120" s="117"/>
      <c r="E1120" s="117"/>
      <c r="F1120" s="117"/>
      <c r="G1120" s="117"/>
      <c r="H1120" s="117"/>
      <c r="I1120" s="117"/>
      <c r="J1120" s="118"/>
      <c r="K1120" s="118"/>
      <c r="L1120" s="118"/>
      <c r="M1120" s="118"/>
      <c r="N1120" s="117"/>
      <c r="O1120" s="117"/>
      <c r="P1120" s="117"/>
      <c r="Q1120" s="117"/>
      <c r="R1120" s="117"/>
      <c r="S1120" s="117"/>
      <c r="T1120" s="117"/>
      <c r="U1120" s="117"/>
      <c r="V1120" s="117"/>
      <c r="W1120" s="117"/>
      <c r="X1120" s="117"/>
      <c r="Y1120" s="117"/>
      <c r="Z1120" s="117"/>
      <c r="AA1120" s="117"/>
      <c r="AB1120" s="117"/>
      <c r="AC1120" s="117"/>
      <c r="AD1120" s="117"/>
      <c r="AE1120" s="117"/>
      <c r="AF1120" s="117"/>
      <c r="AG1120" s="117"/>
      <c r="AH1120" s="117"/>
      <c r="AI1120" s="117"/>
      <c r="AJ1120" s="117"/>
      <c r="AK1120" s="117"/>
      <c r="AL1120" s="117"/>
      <c r="AM1120" s="117"/>
      <c r="AN1120" s="117"/>
      <c r="AO1120" s="117"/>
      <c r="AP1120" s="117"/>
      <c r="AQ1120" s="117"/>
      <c r="AR1120" s="117"/>
      <c r="AS1120" s="117"/>
      <c r="AT1120" s="117"/>
      <c r="AU1120" s="117"/>
      <c r="AV1120" s="117"/>
      <c r="AW1120" s="117"/>
      <c r="AX1120" s="117"/>
      <c r="AY1120" s="117"/>
      <c r="AZ1120" s="117"/>
      <c r="BA1120" s="117"/>
      <c r="BB1120" s="117"/>
      <c r="BC1120" s="117"/>
      <c r="BD1120" s="117"/>
      <c r="BE1120" s="117"/>
      <c r="BF1120" s="117"/>
      <c r="BG1120" s="117"/>
    </row>
    <row r="1121" spans="1:59">
      <c r="A1121" s="117"/>
      <c r="B1121" s="117"/>
      <c r="C1121" s="117"/>
      <c r="D1121" s="117"/>
      <c r="E1121" s="117"/>
      <c r="F1121" s="117"/>
      <c r="G1121" s="117"/>
      <c r="H1121" s="117"/>
      <c r="I1121" s="117"/>
      <c r="J1121" s="118"/>
      <c r="K1121" s="118"/>
      <c r="L1121" s="118"/>
      <c r="M1121" s="118"/>
      <c r="N1121" s="117"/>
      <c r="O1121" s="117"/>
      <c r="P1121" s="117"/>
      <c r="Q1121" s="117"/>
      <c r="R1121" s="117"/>
      <c r="S1121" s="117"/>
      <c r="T1121" s="117"/>
      <c r="U1121" s="117"/>
      <c r="V1121" s="117"/>
      <c r="W1121" s="117"/>
      <c r="X1121" s="117"/>
      <c r="Y1121" s="117"/>
      <c r="Z1121" s="117"/>
      <c r="AA1121" s="117"/>
      <c r="AB1121" s="117"/>
      <c r="AC1121" s="117"/>
      <c r="AD1121" s="117"/>
      <c r="AE1121" s="117"/>
      <c r="AF1121" s="117"/>
      <c r="AG1121" s="117"/>
      <c r="AH1121" s="117"/>
      <c r="AI1121" s="117"/>
      <c r="AJ1121" s="117"/>
      <c r="AK1121" s="117"/>
      <c r="AL1121" s="117"/>
      <c r="AM1121" s="117"/>
      <c r="AN1121" s="117"/>
      <c r="AO1121" s="117"/>
      <c r="AP1121" s="117"/>
      <c r="AQ1121" s="117"/>
      <c r="AR1121" s="117"/>
      <c r="AS1121" s="117"/>
      <c r="AT1121" s="117"/>
      <c r="AU1121" s="117"/>
      <c r="AV1121" s="117"/>
      <c r="AW1121" s="117"/>
      <c r="AX1121" s="117"/>
      <c r="AY1121" s="117"/>
      <c r="AZ1121" s="117"/>
      <c r="BA1121" s="117"/>
      <c r="BB1121" s="117"/>
      <c r="BC1121" s="117"/>
      <c r="BD1121" s="117"/>
      <c r="BE1121" s="117"/>
      <c r="BF1121" s="117"/>
      <c r="BG1121" s="117"/>
    </row>
    <row r="1122" spans="1:59">
      <c r="A1122" s="117"/>
      <c r="B1122" s="117"/>
      <c r="C1122" s="117"/>
      <c r="D1122" s="117"/>
      <c r="E1122" s="117"/>
      <c r="F1122" s="117"/>
      <c r="G1122" s="117"/>
      <c r="H1122" s="117"/>
      <c r="I1122" s="117"/>
      <c r="J1122" s="118"/>
      <c r="K1122" s="118"/>
      <c r="L1122" s="118"/>
      <c r="M1122" s="118"/>
      <c r="N1122" s="117"/>
      <c r="O1122" s="117"/>
      <c r="P1122" s="117"/>
      <c r="Q1122" s="117"/>
      <c r="R1122" s="117"/>
      <c r="S1122" s="117"/>
      <c r="T1122" s="117"/>
      <c r="U1122" s="117"/>
      <c r="V1122" s="117"/>
      <c r="W1122" s="117"/>
      <c r="X1122" s="117"/>
      <c r="Y1122" s="117"/>
      <c r="Z1122" s="117"/>
      <c r="AA1122" s="117"/>
      <c r="AB1122" s="117"/>
      <c r="AC1122" s="117"/>
      <c r="AD1122" s="117"/>
      <c r="AE1122" s="117"/>
      <c r="AF1122" s="117"/>
      <c r="AG1122" s="117"/>
      <c r="AH1122" s="117"/>
      <c r="AI1122" s="117"/>
      <c r="AJ1122" s="117"/>
      <c r="AK1122" s="117"/>
      <c r="AL1122" s="117"/>
      <c r="AM1122" s="117"/>
      <c r="AN1122" s="117"/>
      <c r="AO1122" s="117"/>
      <c r="AP1122" s="117"/>
      <c r="AQ1122" s="117"/>
      <c r="AR1122" s="117"/>
      <c r="AS1122" s="117"/>
      <c r="AT1122" s="117"/>
      <c r="AU1122" s="117"/>
      <c r="AV1122" s="117"/>
      <c r="AW1122" s="117"/>
      <c r="AX1122" s="117"/>
      <c r="AY1122" s="117"/>
      <c r="AZ1122" s="117"/>
      <c r="BA1122" s="117"/>
      <c r="BB1122" s="117"/>
      <c r="BC1122" s="117"/>
      <c r="BD1122" s="117"/>
      <c r="BE1122" s="117"/>
      <c r="BF1122" s="117"/>
      <c r="BG1122" s="117"/>
    </row>
    <row r="1123" spans="1:59">
      <c r="A1123" s="117"/>
      <c r="B1123" s="117"/>
      <c r="C1123" s="117"/>
      <c r="D1123" s="117"/>
      <c r="E1123" s="117"/>
      <c r="F1123" s="117"/>
      <c r="G1123" s="117"/>
      <c r="H1123" s="117"/>
      <c r="I1123" s="117"/>
      <c r="J1123" s="118"/>
      <c r="K1123" s="118"/>
      <c r="L1123" s="118"/>
      <c r="M1123" s="118"/>
      <c r="N1123" s="117"/>
      <c r="O1123" s="117"/>
      <c r="P1123" s="117"/>
      <c r="Q1123" s="117"/>
      <c r="R1123" s="117"/>
      <c r="S1123" s="117"/>
      <c r="T1123" s="117"/>
      <c r="U1123" s="117"/>
      <c r="V1123" s="117"/>
      <c r="W1123" s="117"/>
      <c r="X1123" s="117"/>
      <c r="Y1123" s="117"/>
      <c r="Z1123" s="117"/>
      <c r="AA1123" s="117"/>
      <c r="AB1123" s="117"/>
      <c r="AC1123" s="117"/>
      <c r="AD1123" s="117"/>
      <c r="AE1123" s="117"/>
      <c r="AF1123" s="117"/>
      <c r="AG1123" s="117"/>
      <c r="AH1123" s="117"/>
      <c r="AI1123" s="117"/>
      <c r="AJ1123" s="117"/>
      <c r="AK1123" s="117"/>
      <c r="AL1123" s="117"/>
      <c r="AM1123" s="117"/>
      <c r="AN1123" s="117"/>
      <c r="AO1123" s="117"/>
      <c r="AP1123" s="117"/>
      <c r="AQ1123" s="117"/>
      <c r="AR1123" s="117"/>
      <c r="AS1123" s="117"/>
      <c r="AT1123" s="117"/>
      <c r="AU1123" s="117"/>
      <c r="AV1123" s="117"/>
      <c r="AW1123" s="117"/>
      <c r="AX1123" s="117"/>
      <c r="AY1123" s="117"/>
      <c r="AZ1123" s="117"/>
      <c r="BA1123" s="117"/>
      <c r="BB1123" s="117"/>
      <c r="BC1123" s="117"/>
      <c r="BD1123" s="117"/>
      <c r="BE1123" s="117"/>
      <c r="BF1123" s="117"/>
      <c r="BG1123" s="117"/>
    </row>
    <row r="1124" spans="1:59">
      <c r="A1124" s="117"/>
      <c r="B1124" s="117"/>
      <c r="C1124" s="117"/>
      <c r="D1124" s="117"/>
      <c r="E1124" s="117"/>
      <c r="F1124" s="117"/>
      <c r="G1124" s="117"/>
      <c r="H1124" s="117"/>
      <c r="I1124" s="117"/>
      <c r="J1124" s="118"/>
      <c r="K1124" s="118"/>
      <c r="L1124" s="118"/>
      <c r="M1124" s="118"/>
      <c r="N1124" s="117"/>
      <c r="O1124" s="117"/>
      <c r="P1124" s="117"/>
      <c r="Q1124" s="117"/>
      <c r="R1124" s="117"/>
      <c r="S1124" s="117"/>
      <c r="T1124" s="117"/>
      <c r="U1124" s="117"/>
      <c r="V1124" s="117"/>
      <c r="W1124" s="117"/>
      <c r="X1124" s="117"/>
      <c r="Y1124" s="117"/>
      <c r="Z1124" s="117"/>
      <c r="AA1124" s="117"/>
      <c r="AB1124" s="117"/>
      <c r="AC1124" s="117"/>
      <c r="AD1124" s="117"/>
      <c r="AE1124" s="117"/>
      <c r="AF1124" s="117"/>
      <c r="AG1124" s="117"/>
      <c r="AH1124" s="117"/>
      <c r="AI1124" s="117"/>
      <c r="AJ1124" s="117"/>
      <c r="AK1124" s="117"/>
      <c r="AL1124" s="117"/>
      <c r="AM1124" s="117"/>
      <c r="AN1124" s="117"/>
      <c r="AO1124" s="117"/>
      <c r="AP1124" s="117"/>
      <c r="AQ1124" s="117"/>
      <c r="AR1124" s="117"/>
      <c r="AS1124" s="117"/>
      <c r="AT1124" s="117"/>
      <c r="AU1124" s="117"/>
      <c r="AV1124" s="117"/>
      <c r="AW1124" s="117"/>
      <c r="AX1124" s="117"/>
      <c r="AY1124" s="117"/>
      <c r="AZ1124" s="117"/>
      <c r="BA1124" s="117"/>
      <c r="BB1124" s="117"/>
      <c r="BC1124" s="117"/>
      <c r="BD1124" s="117"/>
      <c r="BE1124" s="117"/>
      <c r="BF1124" s="117"/>
      <c r="BG1124" s="117"/>
    </row>
    <row r="1125" spans="1:59">
      <c r="A1125" s="117"/>
      <c r="B1125" s="117"/>
      <c r="C1125" s="117"/>
      <c r="D1125" s="117"/>
      <c r="E1125" s="117"/>
      <c r="F1125" s="117"/>
      <c r="G1125" s="117"/>
      <c r="H1125" s="117"/>
      <c r="I1125" s="117"/>
      <c r="J1125" s="118"/>
      <c r="K1125" s="118"/>
      <c r="L1125" s="118"/>
      <c r="M1125" s="118"/>
      <c r="N1125" s="117"/>
      <c r="O1125" s="117"/>
      <c r="P1125" s="117"/>
      <c r="Q1125" s="117"/>
      <c r="R1125" s="117"/>
      <c r="S1125" s="117"/>
      <c r="T1125" s="117"/>
      <c r="U1125" s="117"/>
      <c r="V1125" s="117"/>
      <c r="W1125" s="117"/>
      <c r="X1125" s="117"/>
      <c r="Y1125" s="117"/>
      <c r="Z1125" s="117"/>
      <c r="AA1125" s="117"/>
      <c r="AB1125" s="117"/>
      <c r="AC1125" s="117"/>
      <c r="AD1125" s="117"/>
      <c r="AE1125" s="117"/>
      <c r="AF1125" s="117"/>
      <c r="AG1125" s="117"/>
      <c r="AH1125" s="117"/>
      <c r="AI1125" s="117"/>
      <c r="AJ1125" s="117"/>
      <c r="AK1125" s="117"/>
      <c r="AL1125" s="117"/>
      <c r="AM1125" s="117"/>
      <c r="AN1125" s="117"/>
      <c r="AO1125" s="117"/>
      <c r="AP1125" s="117"/>
      <c r="AQ1125" s="117"/>
      <c r="AR1125" s="117"/>
      <c r="AS1125" s="117"/>
      <c r="AT1125" s="117"/>
      <c r="AU1125" s="117"/>
      <c r="AV1125" s="117"/>
      <c r="AW1125" s="117"/>
      <c r="AX1125" s="117"/>
      <c r="AY1125" s="117"/>
      <c r="AZ1125" s="117"/>
      <c r="BA1125" s="117"/>
      <c r="BB1125" s="117"/>
      <c r="BC1125" s="117"/>
      <c r="BD1125" s="117"/>
      <c r="BE1125" s="117"/>
      <c r="BF1125" s="117"/>
      <c r="BG1125" s="117"/>
    </row>
    <row r="1126" spans="1:59">
      <c r="A1126" s="117"/>
      <c r="B1126" s="117"/>
      <c r="C1126" s="117"/>
      <c r="D1126" s="117"/>
      <c r="E1126" s="117"/>
      <c r="F1126" s="117"/>
      <c r="G1126" s="117"/>
      <c r="H1126" s="117"/>
      <c r="I1126" s="117"/>
      <c r="J1126" s="118"/>
      <c r="K1126" s="118"/>
      <c r="L1126" s="118"/>
      <c r="M1126" s="118"/>
      <c r="N1126" s="117"/>
      <c r="O1126" s="117"/>
      <c r="P1126" s="117"/>
      <c r="Q1126" s="117"/>
      <c r="R1126" s="117"/>
      <c r="S1126" s="117"/>
      <c r="T1126" s="117"/>
      <c r="U1126" s="117"/>
      <c r="V1126" s="117"/>
      <c r="W1126" s="117"/>
      <c r="X1126" s="117"/>
      <c r="Y1126" s="117"/>
      <c r="Z1126" s="117"/>
      <c r="AA1126" s="117"/>
      <c r="AB1126" s="117"/>
      <c r="AC1126" s="117"/>
      <c r="AD1126" s="117"/>
      <c r="AE1126" s="117"/>
      <c r="AF1126" s="117"/>
      <c r="AG1126" s="117"/>
      <c r="AH1126" s="117"/>
      <c r="AI1126" s="117"/>
      <c r="AJ1126" s="117"/>
      <c r="AK1126" s="117"/>
      <c r="AL1126" s="117"/>
      <c r="AM1126" s="117"/>
      <c r="AN1126" s="117"/>
      <c r="AO1126" s="117"/>
      <c r="AP1126" s="117"/>
      <c r="AQ1126" s="117"/>
      <c r="AR1126" s="117"/>
      <c r="AS1126" s="117"/>
      <c r="AT1126" s="117"/>
      <c r="AU1126" s="117"/>
      <c r="AV1126" s="117"/>
      <c r="AW1126" s="117"/>
      <c r="AX1126" s="117"/>
      <c r="AY1126" s="117"/>
      <c r="AZ1126" s="117"/>
      <c r="BA1126" s="117"/>
      <c r="BB1126" s="117"/>
      <c r="BC1126" s="117"/>
      <c r="BD1126" s="117"/>
      <c r="BE1126" s="117"/>
      <c r="BF1126" s="117"/>
      <c r="BG1126" s="117"/>
    </row>
    <row r="1127" spans="1:59">
      <c r="A1127" s="117"/>
      <c r="B1127" s="117"/>
      <c r="C1127" s="117"/>
      <c r="D1127" s="117"/>
      <c r="E1127" s="117"/>
      <c r="F1127" s="117"/>
      <c r="G1127" s="117"/>
      <c r="H1127" s="117"/>
      <c r="I1127" s="117"/>
      <c r="J1127" s="118"/>
      <c r="K1127" s="118"/>
      <c r="L1127" s="118"/>
      <c r="M1127" s="118"/>
      <c r="N1127" s="117"/>
      <c r="O1127" s="117"/>
      <c r="P1127" s="117"/>
      <c r="Q1127" s="117"/>
      <c r="R1127" s="117"/>
      <c r="S1127" s="117"/>
      <c r="T1127" s="117"/>
      <c r="U1127" s="117"/>
      <c r="V1127" s="117"/>
      <c r="W1127" s="117"/>
      <c r="X1127" s="117"/>
      <c r="Y1127" s="117"/>
      <c r="Z1127" s="117"/>
      <c r="AA1127" s="117"/>
      <c r="AB1127" s="117"/>
      <c r="AC1127" s="117"/>
      <c r="AD1127" s="117"/>
      <c r="AE1127" s="117"/>
      <c r="AF1127" s="117"/>
      <c r="AG1127" s="117"/>
      <c r="AH1127" s="117"/>
      <c r="AI1127" s="117"/>
      <c r="AJ1127" s="117"/>
      <c r="AK1127" s="117"/>
      <c r="AL1127" s="117"/>
      <c r="AM1127" s="117"/>
      <c r="AN1127" s="117"/>
      <c r="AO1127" s="117"/>
      <c r="AP1127" s="117"/>
      <c r="AQ1127" s="117"/>
      <c r="AR1127" s="117"/>
      <c r="AS1127" s="117"/>
      <c r="AT1127" s="117"/>
      <c r="AU1127" s="117"/>
      <c r="AV1127" s="117"/>
      <c r="AW1127" s="117"/>
      <c r="AX1127" s="117"/>
      <c r="AY1127" s="117"/>
      <c r="AZ1127" s="117"/>
      <c r="BA1127" s="117"/>
      <c r="BB1127" s="117"/>
      <c r="BC1127" s="117"/>
      <c r="BD1127" s="117"/>
      <c r="BE1127" s="117"/>
      <c r="BF1127" s="117"/>
      <c r="BG1127" s="117"/>
    </row>
    <row r="1128" spans="1:59">
      <c r="A1128" s="117"/>
      <c r="B1128" s="117"/>
      <c r="C1128" s="117"/>
      <c r="D1128" s="117"/>
      <c r="E1128" s="117"/>
      <c r="F1128" s="117"/>
      <c r="G1128" s="117"/>
      <c r="H1128" s="117"/>
      <c r="I1128" s="117"/>
      <c r="J1128" s="118"/>
      <c r="K1128" s="118"/>
      <c r="L1128" s="118"/>
      <c r="M1128" s="118"/>
      <c r="N1128" s="117"/>
      <c r="O1128" s="117"/>
      <c r="P1128" s="117"/>
      <c r="Q1128" s="117"/>
      <c r="R1128" s="117"/>
      <c r="S1128" s="117"/>
      <c r="T1128" s="117"/>
      <c r="U1128" s="117"/>
      <c r="V1128" s="117"/>
      <c r="W1128" s="117"/>
      <c r="X1128" s="117"/>
      <c r="Y1128" s="117"/>
      <c r="Z1128" s="117"/>
      <c r="AA1128" s="117"/>
      <c r="AB1128" s="117"/>
      <c r="AC1128" s="117"/>
      <c r="AD1128" s="117"/>
      <c r="AE1128" s="117"/>
      <c r="AF1128" s="117"/>
      <c r="AG1128" s="117"/>
      <c r="AH1128" s="117"/>
      <c r="AI1128" s="117"/>
      <c r="AJ1128" s="117"/>
      <c r="AK1128" s="117"/>
      <c r="AL1128" s="117"/>
      <c r="AM1128" s="117"/>
      <c r="AN1128" s="117"/>
      <c r="AO1128" s="117"/>
      <c r="AP1128" s="117"/>
      <c r="AQ1128" s="117"/>
      <c r="AR1128" s="117"/>
      <c r="AS1128" s="117"/>
      <c r="AT1128" s="117"/>
      <c r="AU1128" s="117"/>
      <c r="AV1128" s="117"/>
      <c r="AW1128" s="117"/>
      <c r="AX1128" s="117"/>
      <c r="AY1128" s="117"/>
      <c r="AZ1128" s="117"/>
      <c r="BA1128" s="117"/>
      <c r="BB1128" s="117"/>
      <c r="BC1128" s="117"/>
      <c r="BD1128" s="117"/>
      <c r="BE1128" s="117"/>
      <c r="BF1128" s="117"/>
      <c r="BG1128" s="117"/>
    </row>
    <row r="1129" spans="1:59">
      <c r="A1129" s="117"/>
      <c r="B1129" s="117"/>
      <c r="C1129" s="117"/>
      <c r="D1129" s="117"/>
      <c r="E1129" s="117"/>
      <c r="F1129" s="117"/>
      <c r="G1129" s="117"/>
      <c r="H1129" s="117"/>
      <c r="I1129" s="117"/>
      <c r="J1129" s="118"/>
      <c r="K1129" s="118"/>
      <c r="L1129" s="118"/>
      <c r="M1129" s="118"/>
      <c r="N1129" s="117"/>
      <c r="O1129" s="117"/>
      <c r="P1129" s="117"/>
      <c r="Q1129" s="117"/>
      <c r="R1129" s="117"/>
      <c r="S1129" s="117"/>
      <c r="T1129" s="117"/>
      <c r="U1129" s="117"/>
      <c r="V1129" s="117"/>
      <c r="W1129" s="117"/>
      <c r="X1129" s="117"/>
      <c r="Y1129" s="117"/>
      <c r="Z1129" s="117"/>
      <c r="AA1129" s="117"/>
      <c r="AB1129" s="117"/>
      <c r="AC1129" s="117"/>
      <c r="AD1129" s="117"/>
      <c r="AE1129" s="117"/>
      <c r="AF1129" s="117"/>
      <c r="AG1129" s="117"/>
      <c r="AH1129" s="117"/>
      <c r="AI1129" s="117"/>
      <c r="AJ1129" s="117"/>
      <c r="AK1129" s="117"/>
      <c r="AL1129" s="117"/>
      <c r="AM1129" s="117"/>
      <c r="AN1129" s="117"/>
      <c r="AO1129" s="117"/>
      <c r="AP1129" s="117"/>
      <c r="AQ1129" s="117"/>
      <c r="AR1129" s="117"/>
      <c r="AS1129" s="117"/>
      <c r="AT1129" s="117"/>
      <c r="AU1129" s="117"/>
      <c r="AV1129" s="117"/>
      <c r="AW1129" s="117"/>
      <c r="AX1129" s="117"/>
      <c r="AY1129" s="117"/>
      <c r="AZ1129" s="117"/>
      <c r="BA1129" s="117"/>
      <c r="BB1129" s="117"/>
      <c r="BC1129" s="117"/>
      <c r="BD1129" s="117"/>
      <c r="BE1129" s="117"/>
      <c r="BF1129" s="117"/>
      <c r="BG1129" s="117"/>
    </row>
    <row r="1130" spans="1:59">
      <c r="A1130" s="117"/>
      <c r="B1130" s="117"/>
      <c r="C1130" s="117"/>
      <c r="D1130" s="117"/>
      <c r="E1130" s="117"/>
      <c r="F1130" s="117"/>
      <c r="G1130" s="117"/>
      <c r="H1130" s="117"/>
      <c r="I1130" s="117"/>
      <c r="J1130" s="118"/>
      <c r="K1130" s="118"/>
      <c r="L1130" s="118"/>
      <c r="M1130" s="118"/>
      <c r="N1130" s="117"/>
      <c r="O1130" s="117"/>
      <c r="P1130" s="117"/>
      <c r="Q1130" s="117"/>
      <c r="R1130" s="117"/>
      <c r="S1130" s="117"/>
      <c r="T1130" s="117"/>
      <c r="U1130" s="117"/>
      <c r="V1130" s="117"/>
      <c r="W1130" s="117"/>
      <c r="X1130" s="117"/>
      <c r="Y1130" s="117"/>
      <c r="Z1130" s="117"/>
      <c r="AA1130" s="117"/>
      <c r="AB1130" s="117"/>
      <c r="AC1130" s="117"/>
      <c r="AD1130" s="117"/>
      <c r="AE1130" s="117"/>
      <c r="AF1130" s="117"/>
      <c r="AG1130" s="117"/>
      <c r="AH1130" s="117"/>
      <c r="AI1130" s="117"/>
      <c r="AJ1130" s="117"/>
      <c r="AK1130" s="117"/>
      <c r="AL1130" s="117"/>
      <c r="AM1130" s="117"/>
      <c r="AN1130" s="117"/>
      <c r="AO1130" s="117"/>
      <c r="AP1130" s="117"/>
      <c r="AQ1130" s="117"/>
      <c r="AR1130" s="117"/>
      <c r="AS1130" s="117"/>
      <c r="AT1130" s="117"/>
      <c r="AU1130" s="117"/>
      <c r="AV1130" s="117"/>
      <c r="AW1130" s="117"/>
      <c r="AX1130" s="117"/>
      <c r="AY1130" s="117"/>
      <c r="AZ1130" s="117"/>
      <c r="BA1130" s="117"/>
      <c r="BB1130" s="117"/>
      <c r="BC1130" s="117"/>
      <c r="BD1130" s="117"/>
      <c r="BE1130" s="117"/>
      <c r="BF1130" s="117"/>
      <c r="BG1130" s="117"/>
    </row>
    <row r="1131" spans="1:59">
      <c r="A1131" s="117"/>
      <c r="B1131" s="117"/>
      <c r="C1131" s="117"/>
      <c r="D1131" s="117"/>
      <c r="E1131" s="117"/>
      <c r="F1131" s="117"/>
      <c r="G1131" s="117"/>
      <c r="H1131" s="117"/>
      <c r="I1131" s="117"/>
      <c r="J1131" s="118"/>
      <c r="K1131" s="118"/>
      <c r="L1131" s="118"/>
      <c r="M1131" s="118"/>
      <c r="N1131" s="117"/>
      <c r="O1131" s="117"/>
      <c r="P1131" s="117"/>
      <c r="Q1131" s="117"/>
      <c r="R1131" s="117"/>
      <c r="S1131" s="117"/>
      <c r="T1131" s="117"/>
      <c r="U1131" s="117"/>
      <c r="V1131" s="117"/>
      <c r="W1131" s="117"/>
      <c r="X1131" s="117"/>
      <c r="Y1131" s="117"/>
      <c r="Z1131" s="117"/>
      <c r="AA1131" s="117"/>
      <c r="AB1131" s="117"/>
      <c r="AC1131" s="117"/>
      <c r="AD1131" s="117"/>
      <c r="AE1131" s="117"/>
      <c r="AF1131" s="117"/>
      <c r="AG1131" s="117"/>
      <c r="AH1131" s="117"/>
      <c r="AI1131" s="117"/>
      <c r="AJ1131" s="117"/>
      <c r="AK1131" s="117"/>
      <c r="AL1131" s="117"/>
      <c r="AM1131" s="117"/>
      <c r="AN1131" s="117"/>
      <c r="AO1131" s="117"/>
      <c r="AP1131" s="117"/>
      <c r="AQ1131" s="117"/>
      <c r="AR1131" s="117"/>
      <c r="AS1131" s="117"/>
      <c r="AT1131" s="117"/>
      <c r="AU1131" s="117"/>
      <c r="AV1131" s="117"/>
      <c r="AW1131" s="117"/>
      <c r="AX1131" s="117"/>
      <c r="AY1131" s="117"/>
      <c r="AZ1131" s="117"/>
      <c r="BA1131" s="117"/>
      <c r="BB1131" s="117"/>
      <c r="BC1131" s="117"/>
      <c r="BD1131" s="117"/>
      <c r="BE1131" s="117"/>
      <c r="BF1131" s="117"/>
      <c r="BG1131" s="117"/>
    </row>
    <row r="1132" spans="1:59">
      <c r="A1132" s="117"/>
      <c r="B1132" s="117"/>
      <c r="C1132" s="117"/>
      <c r="D1132" s="117"/>
      <c r="E1132" s="117"/>
      <c r="F1132" s="117"/>
      <c r="G1132" s="117"/>
      <c r="H1132" s="117"/>
      <c r="I1132" s="117"/>
      <c r="J1132" s="118"/>
      <c r="K1132" s="118"/>
      <c r="L1132" s="118"/>
      <c r="M1132" s="118"/>
      <c r="N1132" s="117"/>
      <c r="O1132" s="117"/>
      <c r="P1132" s="117"/>
      <c r="Q1132" s="117"/>
      <c r="R1132" s="117"/>
      <c r="S1132" s="117"/>
      <c r="T1132" s="117"/>
      <c r="U1132" s="117"/>
      <c r="V1132" s="117"/>
      <c r="W1132" s="117"/>
      <c r="X1132" s="117"/>
      <c r="Y1132" s="117"/>
      <c r="Z1132" s="117"/>
      <c r="AA1132" s="117"/>
      <c r="AB1132" s="117"/>
      <c r="AC1132" s="117"/>
      <c r="AD1132" s="117"/>
      <c r="AE1132" s="117"/>
      <c r="AF1132" s="117"/>
      <c r="AG1132" s="117"/>
      <c r="AH1132" s="117"/>
      <c r="AI1132" s="117"/>
      <c r="AJ1132" s="117"/>
      <c r="AK1132" s="117"/>
      <c r="AL1132" s="117"/>
      <c r="AM1132" s="117"/>
      <c r="AN1132" s="117"/>
      <c r="AO1132" s="117"/>
      <c r="AP1132" s="117"/>
      <c r="AQ1132" s="117"/>
      <c r="AR1132" s="117"/>
      <c r="AS1132" s="117"/>
      <c r="AT1132" s="117"/>
      <c r="AU1132" s="117"/>
      <c r="AV1132" s="117"/>
      <c r="AW1132" s="117"/>
      <c r="AX1132" s="117"/>
      <c r="AY1132" s="117"/>
      <c r="AZ1132" s="117"/>
      <c r="BA1132" s="117"/>
      <c r="BB1132" s="117"/>
      <c r="BC1132" s="117"/>
      <c r="BD1132" s="117"/>
      <c r="BE1132" s="117"/>
      <c r="BF1132" s="117"/>
      <c r="BG1132" s="117"/>
    </row>
    <row r="1133" spans="1:59">
      <c r="A1133" s="117"/>
      <c r="B1133" s="117"/>
      <c r="C1133" s="117"/>
      <c r="D1133" s="117"/>
      <c r="E1133" s="117"/>
      <c r="F1133" s="117"/>
      <c r="G1133" s="117"/>
      <c r="H1133" s="117"/>
      <c r="I1133" s="117"/>
      <c r="J1133" s="118"/>
      <c r="K1133" s="118"/>
      <c r="L1133" s="118"/>
      <c r="M1133" s="118"/>
      <c r="N1133" s="117"/>
      <c r="O1133" s="117"/>
      <c r="P1133" s="117"/>
      <c r="Q1133" s="117"/>
      <c r="R1133" s="117"/>
      <c r="S1133" s="117"/>
      <c r="T1133" s="117"/>
      <c r="U1133" s="117"/>
      <c r="V1133" s="117"/>
      <c r="W1133" s="117"/>
      <c r="X1133" s="117"/>
      <c r="Y1133" s="117"/>
      <c r="Z1133" s="117"/>
      <c r="AA1133" s="117"/>
      <c r="AB1133" s="117"/>
      <c r="AC1133" s="117"/>
      <c r="AD1133" s="117"/>
      <c r="AE1133" s="117"/>
      <c r="AF1133" s="117"/>
      <c r="AG1133" s="117"/>
      <c r="AH1133" s="117"/>
      <c r="AI1133" s="117"/>
      <c r="AJ1133" s="117"/>
      <c r="AK1133" s="117"/>
      <c r="AL1133" s="117"/>
      <c r="AM1133" s="117"/>
      <c r="AN1133" s="117"/>
      <c r="AO1133" s="117"/>
      <c r="AP1133" s="117"/>
      <c r="AQ1133" s="117"/>
      <c r="AR1133" s="117"/>
      <c r="AS1133" s="117"/>
      <c r="AT1133" s="117"/>
      <c r="AU1133" s="117"/>
      <c r="AV1133" s="117"/>
      <c r="AW1133" s="117"/>
      <c r="AX1133" s="117"/>
      <c r="AY1133" s="117"/>
      <c r="AZ1133" s="117"/>
      <c r="BA1133" s="117"/>
      <c r="BB1133" s="117"/>
      <c r="BC1133" s="117"/>
      <c r="BD1133" s="117"/>
      <c r="BE1133" s="117"/>
      <c r="BF1133" s="117"/>
      <c r="BG1133" s="117"/>
    </row>
    <row r="1134" spans="1:59">
      <c r="A1134" s="117"/>
      <c r="B1134" s="117"/>
      <c r="C1134" s="117"/>
      <c r="D1134" s="117"/>
      <c r="E1134" s="117"/>
      <c r="F1134" s="117"/>
      <c r="G1134" s="117"/>
      <c r="H1134" s="117"/>
      <c r="I1134" s="117"/>
      <c r="J1134" s="118"/>
      <c r="K1134" s="118"/>
      <c r="L1134" s="118"/>
      <c r="M1134" s="118"/>
      <c r="N1134" s="117"/>
      <c r="O1134" s="117"/>
      <c r="P1134" s="117"/>
      <c r="Q1134" s="117"/>
      <c r="R1134" s="117"/>
      <c r="S1134" s="117"/>
      <c r="T1134" s="117"/>
      <c r="U1134" s="117"/>
      <c r="V1134" s="117"/>
      <c r="W1134" s="117"/>
      <c r="X1134" s="117"/>
      <c r="Y1134" s="117"/>
      <c r="Z1134" s="117"/>
      <c r="AA1134" s="117"/>
      <c r="AB1134" s="117"/>
      <c r="AC1134" s="117"/>
      <c r="AD1134" s="117"/>
      <c r="AE1134" s="117"/>
      <c r="AF1134" s="117"/>
      <c r="AG1134" s="117"/>
      <c r="AH1134" s="117"/>
      <c r="AI1134" s="117"/>
      <c r="AJ1134" s="117"/>
      <c r="AK1134" s="117"/>
      <c r="AL1134" s="117"/>
      <c r="AM1134" s="117"/>
      <c r="AN1134" s="117"/>
      <c r="AO1134" s="117"/>
      <c r="AP1134" s="117"/>
      <c r="AQ1134" s="117"/>
      <c r="AR1134" s="117"/>
      <c r="AS1134" s="117"/>
      <c r="AT1134" s="117"/>
      <c r="AU1134" s="117"/>
      <c r="AV1134" s="117"/>
      <c r="AW1134" s="117"/>
      <c r="AX1134" s="117"/>
      <c r="AY1134" s="117"/>
      <c r="AZ1134" s="117"/>
      <c r="BA1134" s="117"/>
      <c r="BB1134" s="117"/>
      <c r="BC1134" s="117"/>
      <c r="BD1134" s="117"/>
      <c r="BE1134" s="117"/>
      <c r="BF1134" s="117"/>
      <c r="BG1134" s="117"/>
    </row>
    <row r="1135" spans="1:59">
      <c r="A1135" s="117"/>
      <c r="B1135" s="117"/>
      <c r="C1135" s="117"/>
      <c r="D1135" s="117"/>
      <c r="E1135" s="117"/>
      <c r="F1135" s="117"/>
      <c r="G1135" s="117"/>
      <c r="H1135" s="117"/>
      <c r="I1135" s="117"/>
      <c r="J1135" s="118"/>
      <c r="K1135" s="118"/>
      <c r="L1135" s="118"/>
      <c r="M1135" s="118"/>
      <c r="N1135" s="117"/>
      <c r="O1135" s="117"/>
      <c r="P1135" s="117"/>
      <c r="Q1135" s="117"/>
      <c r="R1135" s="117"/>
      <c r="S1135" s="117"/>
      <c r="T1135" s="117"/>
      <c r="U1135" s="117"/>
      <c r="V1135" s="117"/>
      <c r="W1135" s="117"/>
      <c r="X1135" s="117"/>
      <c r="Y1135" s="117"/>
      <c r="Z1135" s="117"/>
      <c r="AA1135" s="117"/>
      <c r="AB1135" s="117"/>
      <c r="AC1135" s="117"/>
      <c r="AD1135" s="117"/>
      <c r="AE1135" s="117"/>
      <c r="AF1135" s="117"/>
      <c r="AG1135" s="117"/>
      <c r="AH1135" s="117"/>
      <c r="AI1135" s="117"/>
      <c r="AJ1135" s="117"/>
      <c r="AK1135" s="117"/>
      <c r="AL1135" s="117"/>
      <c r="AM1135" s="117"/>
      <c r="AN1135" s="117"/>
      <c r="AO1135" s="117"/>
      <c r="AP1135" s="117"/>
      <c r="AQ1135" s="117"/>
      <c r="AR1135" s="117"/>
      <c r="AS1135" s="117"/>
      <c r="AT1135" s="117"/>
      <c r="AU1135" s="117"/>
      <c r="AV1135" s="117"/>
      <c r="AW1135" s="117"/>
      <c r="AX1135" s="117"/>
      <c r="AY1135" s="117"/>
      <c r="AZ1135" s="117"/>
      <c r="BA1135" s="117"/>
      <c r="BB1135" s="117"/>
      <c r="BC1135" s="117"/>
      <c r="BD1135" s="117"/>
      <c r="BE1135" s="117"/>
      <c r="BF1135" s="117"/>
      <c r="BG1135" s="117"/>
    </row>
    <row r="1136" spans="1:59">
      <c r="A1136" s="117"/>
      <c r="B1136" s="117"/>
      <c r="C1136" s="117"/>
      <c r="D1136" s="117"/>
      <c r="E1136" s="117"/>
      <c r="F1136" s="117"/>
      <c r="G1136" s="117"/>
      <c r="H1136" s="117"/>
      <c r="I1136" s="117"/>
      <c r="J1136" s="118"/>
      <c r="K1136" s="118"/>
      <c r="L1136" s="118"/>
      <c r="M1136" s="118"/>
      <c r="N1136" s="117"/>
      <c r="O1136" s="117"/>
      <c r="P1136" s="117"/>
      <c r="Q1136" s="117"/>
      <c r="R1136" s="117"/>
      <c r="S1136" s="117"/>
      <c r="T1136" s="117"/>
      <c r="U1136" s="117"/>
      <c r="V1136" s="117"/>
      <c r="W1136" s="117"/>
      <c r="X1136" s="117"/>
      <c r="Y1136" s="117"/>
      <c r="Z1136" s="117"/>
      <c r="AA1136" s="117"/>
      <c r="AB1136" s="117"/>
      <c r="AC1136" s="117"/>
      <c r="AD1136" s="117"/>
      <c r="AE1136" s="117"/>
      <c r="AF1136" s="117"/>
      <c r="AG1136" s="117"/>
      <c r="AH1136" s="117"/>
      <c r="AI1136" s="117"/>
      <c r="AJ1136" s="117"/>
      <c r="AK1136" s="117"/>
      <c r="AL1136" s="117"/>
      <c r="AM1136" s="117"/>
      <c r="AN1136" s="117"/>
      <c r="AO1136" s="117"/>
      <c r="AP1136" s="117"/>
      <c r="AQ1136" s="117"/>
      <c r="AR1136" s="117"/>
      <c r="AS1136" s="117"/>
      <c r="AT1136" s="117"/>
      <c r="AU1136" s="117"/>
      <c r="AV1136" s="117"/>
      <c r="AW1136" s="117"/>
      <c r="AX1136" s="117"/>
      <c r="AY1136" s="117"/>
      <c r="AZ1136" s="117"/>
      <c r="BA1136" s="117"/>
      <c r="BB1136" s="117"/>
      <c r="BC1136" s="117"/>
      <c r="BD1136" s="117"/>
      <c r="BE1136" s="117"/>
      <c r="BF1136" s="117"/>
      <c r="BG1136" s="117"/>
    </row>
    <row r="1137" spans="1:59">
      <c r="A1137" s="117"/>
      <c r="B1137" s="117"/>
      <c r="C1137" s="117"/>
      <c r="D1137" s="117"/>
      <c r="E1137" s="117"/>
      <c r="F1137" s="117"/>
      <c r="G1137" s="117"/>
      <c r="H1137" s="117"/>
      <c r="I1137" s="117"/>
      <c r="J1137" s="118"/>
      <c r="K1137" s="118"/>
      <c r="L1137" s="118"/>
      <c r="M1137" s="118"/>
      <c r="N1137" s="117"/>
      <c r="O1137" s="117"/>
      <c r="P1137" s="117"/>
      <c r="Q1137" s="117"/>
      <c r="R1137" s="117"/>
      <c r="S1137" s="117"/>
      <c r="T1137" s="117"/>
      <c r="U1137" s="117"/>
      <c r="V1137" s="117"/>
      <c r="W1137" s="117"/>
      <c r="X1137" s="117"/>
      <c r="Y1137" s="117"/>
      <c r="Z1137" s="117"/>
      <c r="AA1137" s="117"/>
      <c r="AB1137" s="117"/>
      <c r="AC1137" s="117"/>
      <c r="AD1137" s="117"/>
      <c r="AE1137" s="117"/>
      <c r="AF1137" s="117"/>
      <c r="AG1137" s="117"/>
      <c r="AH1137" s="117"/>
      <c r="AI1137" s="117"/>
      <c r="AJ1137" s="117"/>
      <c r="AK1137" s="117"/>
      <c r="AL1137" s="117"/>
      <c r="AM1137" s="117"/>
      <c r="AN1137" s="117"/>
      <c r="AO1137" s="117"/>
      <c r="AP1137" s="117"/>
      <c r="AQ1137" s="117"/>
      <c r="AR1137" s="117"/>
      <c r="AS1137" s="117"/>
      <c r="AT1137" s="117"/>
      <c r="AU1137" s="117"/>
      <c r="AV1137" s="117"/>
      <c r="AW1137" s="117"/>
      <c r="AX1137" s="117"/>
      <c r="AY1137" s="117"/>
      <c r="AZ1137" s="117"/>
      <c r="BA1137" s="117"/>
      <c r="BB1137" s="117"/>
      <c r="BC1137" s="117"/>
      <c r="BD1137" s="117"/>
      <c r="BE1137" s="117"/>
      <c r="BF1137" s="117"/>
      <c r="BG1137" s="117"/>
    </row>
    <row r="1138" spans="1:59">
      <c r="A1138" s="117"/>
      <c r="B1138" s="117"/>
      <c r="C1138" s="117"/>
      <c r="D1138" s="117"/>
      <c r="E1138" s="117"/>
      <c r="F1138" s="117"/>
      <c r="G1138" s="117"/>
      <c r="H1138" s="117"/>
      <c r="I1138" s="117"/>
      <c r="J1138" s="118"/>
      <c r="K1138" s="118"/>
      <c r="L1138" s="118"/>
      <c r="M1138" s="118"/>
      <c r="N1138" s="117"/>
      <c r="O1138" s="117"/>
      <c r="P1138" s="117"/>
      <c r="Q1138" s="117"/>
      <c r="R1138" s="117"/>
      <c r="S1138" s="117"/>
      <c r="T1138" s="117"/>
      <c r="U1138" s="117"/>
      <c r="V1138" s="117"/>
      <c r="W1138" s="117"/>
      <c r="X1138" s="117"/>
      <c r="Y1138" s="117"/>
      <c r="Z1138" s="117"/>
      <c r="AA1138" s="117"/>
      <c r="AB1138" s="117"/>
      <c r="AC1138" s="117"/>
      <c r="AD1138" s="117"/>
      <c r="AE1138" s="117"/>
      <c r="AF1138" s="117"/>
      <c r="AG1138" s="117"/>
      <c r="AH1138" s="117"/>
      <c r="AI1138" s="117"/>
      <c r="AJ1138" s="117"/>
      <c r="AK1138" s="117"/>
      <c r="AL1138" s="117"/>
      <c r="AM1138" s="117"/>
      <c r="AN1138" s="117"/>
      <c r="AO1138" s="117"/>
      <c r="AP1138" s="117"/>
      <c r="AQ1138" s="117"/>
      <c r="AR1138" s="117"/>
      <c r="AS1138" s="117"/>
      <c r="AT1138" s="117"/>
      <c r="AU1138" s="117"/>
      <c r="AV1138" s="117"/>
      <c r="AW1138" s="117"/>
      <c r="AX1138" s="117"/>
      <c r="AY1138" s="117"/>
      <c r="AZ1138" s="117"/>
      <c r="BA1138" s="117"/>
      <c r="BB1138" s="117"/>
      <c r="BC1138" s="117"/>
      <c r="BD1138" s="117"/>
      <c r="BE1138" s="117"/>
      <c r="BF1138" s="117"/>
      <c r="BG1138" s="117"/>
    </row>
    <row r="1139" spans="1:59">
      <c r="A1139" s="117"/>
      <c r="B1139" s="117"/>
      <c r="C1139" s="117"/>
      <c r="D1139" s="117"/>
      <c r="E1139" s="117"/>
      <c r="F1139" s="117"/>
      <c r="G1139" s="117"/>
      <c r="H1139" s="117"/>
      <c r="I1139" s="117"/>
      <c r="J1139" s="118"/>
      <c r="K1139" s="118"/>
      <c r="L1139" s="118"/>
      <c r="M1139" s="118"/>
      <c r="N1139" s="117"/>
      <c r="O1139" s="117"/>
      <c r="P1139" s="117"/>
      <c r="Q1139" s="117"/>
      <c r="R1139" s="117"/>
      <c r="S1139" s="117"/>
      <c r="T1139" s="117"/>
      <c r="U1139" s="117"/>
      <c r="V1139" s="117"/>
      <c r="W1139" s="117"/>
      <c r="X1139" s="117"/>
      <c r="Y1139" s="117"/>
      <c r="Z1139" s="117"/>
      <c r="AA1139" s="117"/>
      <c r="AB1139" s="117"/>
      <c r="AC1139" s="117"/>
      <c r="AD1139" s="117"/>
      <c r="AE1139" s="117"/>
      <c r="AF1139" s="117"/>
      <c r="AG1139" s="117"/>
      <c r="AH1139" s="117"/>
      <c r="AI1139" s="117"/>
      <c r="AJ1139" s="117"/>
      <c r="AK1139" s="117"/>
      <c r="AL1139" s="117"/>
      <c r="AM1139" s="117"/>
      <c r="AN1139" s="117"/>
      <c r="AO1139" s="117"/>
      <c r="AP1139" s="117"/>
      <c r="AQ1139" s="117"/>
      <c r="AR1139" s="117"/>
      <c r="AS1139" s="117"/>
      <c r="AT1139" s="117"/>
      <c r="AU1139" s="117"/>
      <c r="AV1139" s="117"/>
      <c r="AW1139" s="117"/>
      <c r="AX1139" s="117"/>
      <c r="AY1139" s="117"/>
      <c r="AZ1139" s="117"/>
      <c r="BA1139" s="117"/>
      <c r="BB1139" s="117"/>
      <c r="BC1139" s="117"/>
      <c r="BD1139" s="117"/>
      <c r="BE1139" s="117"/>
      <c r="BF1139" s="117"/>
      <c r="BG1139" s="117"/>
    </row>
    <row r="1140" spans="1:59">
      <c r="A1140" s="117"/>
      <c r="B1140" s="117"/>
      <c r="C1140" s="117"/>
      <c r="D1140" s="117"/>
      <c r="E1140" s="117"/>
      <c r="F1140" s="117"/>
      <c r="G1140" s="117"/>
      <c r="H1140" s="117"/>
      <c r="I1140" s="117"/>
      <c r="J1140" s="118"/>
      <c r="K1140" s="118"/>
      <c r="L1140" s="118"/>
      <c r="M1140" s="118"/>
      <c r="N1140" s="117"/>
      <c r="O1140" s="117"/>
      <c r="P1140" s="117"/>
      <c r="Q1140" s="117"/>
      <c r="R1140" s="117"/>
      <c r="S1140" s="117"/>
      <c r="T1140" s="117"/>
      <c r="U1140" s="117"/>
      <c r="V1140" s="117"/>
      <c r="W1140" s="117"/>
      <c r="X1140" s="117"/>
      <c r="Y1140" s="117"/>
      <c r="Z1140" s="117"/>
      <c r="AA1140" s="117"/>
      <c r="AB1140" s="117"/>
      <c r="AC1140" s="117"/>
      <c r="AD1140" s="117"/>
      <c r="AE1140" s="117"/>
      <c r="AF1140" s="117"/>
      <c r="AG1140" s="117"/>
      <c r="AH1140" s="117"/>
      <c r="AI1140" s="117"/>
      <c r="AJ1140" s="117"/>
      <c r="AK1140" s="117"/>
      <c r="AL1140" s="117"/>
      <c r="AM1140" s="117"/>
      <c r="AN1140" s="117"/>
      <c r="AO1140" s="117"/>
      <c r="AP1140" s="117"/>
      <c r="AQ1140" s="117"/>
      <c r="AR1140" s="117"/>
      <c r="AS1140" s="117"/>
      <c r="AT1140" s="117"/>
      <c r="AU1140" s="117"/>
      <c r="AV1140" s="117"/>
      <c r="AW1140" s="117"/>
      <c r="AX1140" s="117"/>
      <c r="AY1140" s="117"/>
      <c r="AZ1140" s="117"/>
      <c r="BA1140" s="117"/>
      <c r="BB1140" s="117"/>
      <c r="BC1140" s="117"/>
      <c r="BD1140" s="117"/>
      <c r="BE1140" s="117"/>
      <c r="BF1140" s="117"/>
      <c r="BG1140" s="117"/>
    </row>
    <row r="1141" spans="1:59">
      <c r="A1141" s="117"/>
      <c r="B1141" s="117"/>
      <c r="C1141" s="117"/>
      <c r="D1141" s="117"/>
      <c r="E1141" s="117"/>
      <c r="F1141" s="117"/>
      <c r="G1141" s="117"/>
      <c r="H1141" s="117"/>
      <c r="I1141" s="117"/>
      <c r="J1141" s="118"/>
      <c r="K1141" s="118"/>
      <c r="L1141" s="118"/>
      <c r="M1141" s="118"/>
      <c r="N1141" s="117"/>
      <c r="O1141" s="117"/>
      <c r="P1141" s="117"/>
      <c r="Q1141" s="117"/>
      <c r="R1141" s="117"/>
      <c r="S1141" s="117"/>
      <c r="T1141" s="117"/>
      <c r="U1141" s="117"/>
      <c r="V1141" s="117"/>
      <c r="W1141" s="117"/>
      <c r="X1141" s="117"/>
      <c r="Y1141" s="117"/>
      <c r="Z1141" s="117"/>
      <c r="AA1141" s="117"/>
      <c r="AB1141" s="117"/>
      <c r="AC1141" s="117"/>
      <c r="AD1141" s="117"/>
      <c r="AE1141" s="117"/>
      <c r="AF1141" s="117"/>
      <c r="AG1141" s="117"/>
      <c r="AH1141" s="117"/>
      <c r="AI1141" s="117"/>
      <c r="AJ1141" s="117"/>
      <c r="AK1141" s="117"/>
      <c r="AL1141" s="117"/>
      <c r="AM1141" s="117"/>
      <c r="AN1141" s="117"/>
      <c r="AO1141" s="117"/>
      <c r="AP1141" s="117"/>
      <c r="AQ1141" s="117"/>
      <c r="AR1141" s="117"/>
      <c r="AS1141" s="117"/>
      <c r="AT1141" s="117"/>
      <c r="AU1141" s="117"/>
      <c r="AV1141" s="117"/>
      <c r="AW1141" s="117"/>
      <c r="AX1141" s="117"/>
      <c r="AY1141" s="117"/>
      <c r="AZ1141" s="117"/>
      <c r="BA1141" s="117"/>
      <c r="BB1141" s="117"/>
      <c r="BC1141" s="117"/>
      <c r="BD1141" s="117"/>
      <c r="BE1141" s="117"/>
      <c r="BF1141" s="117"/>
      <c r="BG1141" s="117"/>
    </row>
    <row r="1142" spans="1:59">
      <c r="A1142" s="117"/>
      <c r="B1142" s="117"/>
      <c r="C1142" s="117"/>
      <c r="D1142" s="117"/>
      <c r="E1142" s="117"/>
      <c r="F1142" s="117"/>
      <c r="G1142" s="117"/>
      <c r="H1142" s="117"/>
      <c r="I1142" s="117"/>
      <c r="J1142" s="118"/>
      <c r="K1142" s="118"/>
      <c r="L1142" s="118"/>
      <c r="M1142" s="118"/>
      <c r="N1142" s="117"/>
      <c r="O1142" s="117"/>
      <c r="P1142" s="117"/>
      <c r="Q1142" s="117"/>
      <c r="R1142" s="117"/>
      <c r="S1142" s="117"/>
      <c r="T1142" s="117"/>
      <c r="U1142" s="117"/>
      <c r="V1142" s="117"/>
      <c r="W1142" s="117"/>
      <c r="X1142" s="117"/>
      <c r="Y1142" s="117"/>
      <c r="Z1142" s="117"/>
      <c r="AA1142" s="117"/>
      <c r="AB1142" s="117"/>
      <c r="AC1142" s="117"/>
      <c r="AD1142" s="117"/>
      <c r="AE1142" s="117"/>
      <c r="AF1142" s="117"/>
      <c r="AG1142" s="117"/>
      <c r="AH1142" s="117"/>
      <c r="AI1142" s="117"/>
      <c r="AJ1142" s="117"/>
      <c r="AK1142" s="117"/>
      <c r="AL1142" s="117"/>
      <c r="AM1142" s="117"/>
      <c r="AN1142" s="117"/>
      <c r="AO1142" s="117"/>
      <c r="AP1142" s="117"/>
      <c r="AQ1142" s="117"/>
      <c r="AR1142" s="117"/>
      <c r="AS1142" s="117"/>
      <c r="AT1142" s="117"/>
      <c r="AU1142" s="117"/>
      <c r="AV1142" s="117"/>
      <c r="AW1142" s="117"/>
      <c r="AX1142" s="117"/>
      <c r="AY1142" s="117"/>
      <c r="AZ1142" s="117"/>
      <c r="BA1142" s="117"/>
      <c r="BB1142" s="117"/>
      <c r="BC1142" s="117"/>
      <c r="BD1142" s="117"/>
      <c r="BE1142" s="117"/>
      <c r="BF1142" s="117"/>
      <c r="BG1142" s="117"/>
    </row>
    <row r="1143" spans="1:59">
      <c r="A1143" s="117"/>
      <c r="B1143" s="117"/>
      <c r="C1143" s="117"/>
      <c r="D1143" s="117"/>
      <c r="E1143" s="117"/>
      <c r="F1143" s="117"/>
      <c r="G1143" s="117"/>
      <c r="H1143" s="117"/>
      <c r="I1143" s="117"/>
      <c r="J1143" s="118"/>
      <c r="K1143" s="118"/>
      <c r="L1143" s="118"/>
      <c r="M1143" s="118"/>
      <c r="N1143" s="117"/>
      <c r="O1143" s="117"/>
      <c r="P1143" s="117"/>
      <c r="Q1143" s="117"/>
      <c r="R1143" s="117"/>
      <c r="S1143" s="117"/>
      <c r="T1143" s="117"/>
      <c r="U1143" s="117"/>
      <c r="V1143" s="117"/>
      <c r="W1143" s="117"/>
      <c r="X1143" s="117"/>
      <c r="Y1143" s="117"/>
      <c r="Z1143" s="117"/>
      <c r="AA1143" s="117"/>
      <c r="AB1143" s="117"/>
      <c r="AC1143" s="117"/>
      <c r="AD1143" s="117"/>
      <c r="AE1143" s="117"/>
      <c r="AF1143" s="117"/>
      <c r="AG1143" s="117"/>
      <c r="AH1143" s="117"/>
      <c r="AI1143" s="117"/>
      <c r="AJ1143" s="117"/>
      <c r="AK1143" s="117"/>
      <c r="AL1143" s="117"/>
      <c r="AM1143" s="117"/>
      <c r="AN1143" s="117"/>
      <c r="AO1143" s="117"/>
      <c r="AP1143" s="117"/>
      <c r="AQ1143" s="117"/>
      <c r="AR1143" s="117"/>
      <c r="AS1143" s="117"/>
      <c r="AT1143" s="117"/>
      <c r="AU1143" s="117"/>
      <c r="AV1143" s="117"/>
      <c r="AW1143" s="117"/>
      <c r="AX1143" s="117"/>
      <c r="AY1143" s="117"/>
      <c r="AZ1143" s="117"/>
      <c r="BA1143" s="117"/>
      <c r="BB1143" s="117"/>
      <c r="BC1143" s="117"/>
      <c r="BD1143" s="117"/>
      <c r="BE1143" s="117"/>
      <c r="BF1143" s="117"/>
      <c r="BG1143" s="117"/>
    </row>
    <row r="1144" spans="1:59">
      <c r="A1144" s="117"/>
      <c r="B1144" s="117"/>
      <c r="C1144" s="117"/>
      <c r="D1144" s="117"/>
      <c r="E1144" s="117"/>
      <c r="F1144" s="117"/>
      <c r="G1144" s="117"/>
      <c r="H1144" s="117"/>
      <c r="I1144" s="117"/>
      <c r="J1144" s="118"/>
      <c r="K1144" s="118"/>
      <c r="L1144" s="118"/>
      <c r="M1144" s="118"/>
      <c r="N1144" s="117"/>
      <c r="O1144" s="117"/>
      <c r="P1144" s="117"/>
      <c r="Q1144" s="117"/>
      <c r="R1144" s="117"/>
      <c r="S1144" s="117"/>
      <c r="T1144" s="117"/>
      <c r="U1144" s="117"/>
      <c r="V1144" s="117"/>
      <c r="W1144" s="117"/>
      <c r="X1144" s="117"/>
      <c r="Y1144" s="117"/>
      <c r="Z1144" s="117"/>
      <c r="AA1144" s="117"/>
      <c r="AB1144" s="117"/>
      <c r="AC1144" s="117"/>
      <c r="AD1144" s="117"/>
      <c r="AE1144" s="117"/>
      <c r="AF1144" s="117"/>
      <c r="AG1144" s="117"/>
      <c r="AH1144" s="117"/>
      <c r="AI1144" s="117"/>
      <c r="AJ1144" s="117"/>
      <c r="AK1144" s="117"/>
      <c r="AL1144" s="117"/>
      <c r="AM1144" s="117"/>
      <c r="AN1144" s="117"/>
      <c r="AO1144" s="117"/>
      <c r="AP1144" s="117"/>
      <c r="AQ1144" s="117"/>
      <c r="AR1144" s="117"/>
      <c r="AS1144" s="117"/>
      <c r="AT1144" s="117"/>
      <c r="AU1144" s="117"/>
      <c r="AV1144" s="117"/>
      <c r="AW1144" s="117"/>
      <c r="AX1144" s="117"/>
      <c r="AY1144" s="117"/>
      <c r="AZ1144" s="117"/>
      <c r="BA1144" s="117"/>
      <c r="BB1144" s="117"/>
      <c r="BC1144" s="117"/>
      <c r="BD1144" s="117"/>
      <c r="BE1144" s="117"/>
      <c r="BF1144" s="117"/>
      <c r="BG1144" s="117"/>
    </row>
    <row r="1145" spans="1:59">
      <c r="A1145" s="117"/>
      <c r="B1145" s="117"/>
      <c r="C1145" s="117"/>
      <c r="D1145" s="117"/>
      <c r="E1145" s="117"/>
      <c r="F1145" s="117"/>
      <c r="G1145" s="117"/>
      <c r="H1145" s="117"/>
      <c r="I1145" s="117"/>
      <c r="J1145" s="118"/>
      <c r="K1145" s="118"/>
      <c r="L1145" s="118"/>
      <c r="M1145" s="118"/>
      <c r="N1145" s="117"/>
      <c r="O1145" s="117"/>
      <c r="P1145" s="117"/>
      <c r="Q1145" s="117"/>
      <c r="R1145" s="117"/>
      <c r="S1145" s="117"/>
      <c r="T1145" s="117"/>
      <c r="U1145" s="117"/>
      <c r="V1145" s="117"/>
      <c r="W1145" s="117"/>
      <c r="X1145" s="117"/>
      <c r="Y1145" s="117"/>
      <c r="Z1145" s="117"/>
      <c r="AA1145" s="117"/>
      <c r="AB1145" s="117"/>
      <c r="AC1145" s="117"/>
      <c r="AD1145" s="117"/>
      <c r="AE1145" s="117"/>
      <c r="AF1145" s="117"/>
      <c r="AG1145" s="117"/>
      <c r="AH1145" s="117"/>
      <c r="AI1145" s="117"/>
      <c r="AJ1145" s="117"/>
      <c r="AK1145" s="117"/>
      <c r="AL1145" s="117"/>
      <c r="AM1145" s="117"/>
      <c r="AN1145" s="117"/>
      <c r="AO1145" s="117"/>
      <c r="AP1145" s="117"/>
      <c r="AQ1145" s="117"/>
      <c r="AR1145" s="117"/>
      <c r="AS1145" s="117"/>
      <c r="AT1145" s="117"/>
      <c r="AU1145" s="117"/>
      <c r="AV1145" s="117"/>
      <c r="AW1145" s="117"/>
      <c r="AX1145" s="117"/>
      <c r="AY1145" s="117"/>
      <c r="AZ1145" s="117"/>
      <c r="BA1145" s="117"/>
      <c r="BB1145" s="117"/>
      <c r="BC1145" s="117"/>
      <c r="BD1145" s="117"/>
      <c r="BE1145" s="117"/>
      <c r="BF1145" s="117"/>
      <c r="BG1145" s="117"/>
    </row>
    <row r="1146" spans="1:59">
      <c r="A1146" s="117"/>
      <c r="B1146" s="117"/>
      <c r="C1146" s="117"/>
      <c r="D1146" s="117"/>
      <c r="E1146" s="117"/>
      <c r="F1146" s="117"/>
      <c r="G1146" s="117"/>
      <c r="H1146" s="117"/>
      <c r="I1146" s="117"/>
      <c r="J1146" s="118"/>
      <c r="K1146" s="118"/>
      <c r="L1146" s="118"/>
      <c r="M1146" s="118"/>
      <c r="N1146" s="117"/>
      <c r="O1146" s="117"/>
      <c r="P1146" s="117"/>
      <c r="Q1146" s="117"/>
      <c r="R1146" s="117"/>
      <c r="S1146" s="117"/>
      <c r="T1146" s="117"/>
      <c r="U1146" s="117"/>
      <c r="V1146" s="117"/>
      <c r="W1146" s="117"/>
      <c r="X1146" s="117"/>
      <c r="Y1146" s="117"/>
      <c r="Z1146" s="117"/>
      <c r="AA1146" s="117"/>
      <c r="AB1146" s="117"/>
      <c r="AC1146" s="117"/>
      <c r="AD1146" s="117"/>
      <c r="AE1146" s="117"/>
      <c r="AF1146" s="117"/>
      <c r="AG1146" s="117"/>
      <c r="AH1146" s="117"/>
      <c r="AI1146" s="117"/>
      <c r="AJ1146" s="117"/>
      <c r="AK1146" s="117"/>
      <c r="AL1146" s="117"/>
      <c r="AM1146" s="117"/>
      <c r="AN1146" s="117"/>
      <c r="AO1146" s="117"/>
      <c r="AP1146" s="117"/>
      <c r="AQ1146" s="117"/>
      <c r="AR1146" s="117"/>
      <c r="AS1146" s="117"/>
      <c r="AT1146" s="117"/>
      <c r="AU1146" s="117"/>
      <c r="AV1146" s="117"/>
      <c r="AW1146" s="117"/>
      <c r="AX1146" s="117"/>
      <c r="AY1146" s="117"/>
      <c r="AZ1146" s="117"/>
      <c r="BA1146" s="117"/>
      <c r="BB1146" s="117"/>
      <c r="BC1146" s="117"/>
      <c r="BD1146" s="117"/>
      <c r="BE1146" s="117"/>
      <c r="BF1146" s="117"/>
      <c r="BG1146" s="117"/>
    </row>
    <row r="1147" spans="1:59">
      <c r="A1147" s="117"/>
      <c r="B1147" s="117"/>
      <c r="C1147" s="117"/>
      <c r="D1147" s="117"/>
      <c r="E1147" s="117"/>
      <c r="F1147" s="117"/>
      <c r="G1147" s="117"/>
      <c r="H1147" s="117"/>
      <c r="I1147" s="117"/>
      <c r="J1147" s="118"/>
      <c r="K1147" s="118"/>
      <c r="L1147" s="118"/>
      <c r="M1147" s="118"/>
      <c r="N1147" s="117"/>
      <c r="O1147" s="117"/>
      <c r="P1147" s="117"/>
      <c r="Q1147" s="117"/>
      <c r="R1147" s="117"/>
      <c r="S1147" s="117"/>
      <c r="T1147" s="117"/>
      <c r="U1147" s="117"/>
      <c r="V1147" s="117"/>
      <c r="W1147" s="117"/>
      <c r="X1147" s="117"/>
      <c r="Y1147" s="117"/>
      <c r="Z1147" s="117"/>
      <c r="AA1147" s="117"/>
      <c r="AB1147" s="117"/>
      <c r="AC1147" s="117"/>
      <c r="AD1147" s="117"/>
      <c r="AE1147" s="117"/>
      <c r="AF1147" s="117"/>
      <c r="AG1147" s="117"/>
      <c r="AH1147" s="117"/>
      <c r="AI1147" s="117"/>
      <c r="AJ1147" s="117"/>
      <c r="AK1147" s="117"/>
      <c r="AL1147" s="117"/>
      <c r="AM1147" s="117"/>
      <c r="AN1147" s="117"/>
      <c r="AO1147" s="117"/>
      <c r="AP1147" s="117"/>
      <c r="AQ1147" s="117"/>
      <c r="AR1147" s="117"/>
      <c r="AS1147" s="117"/>
      <c r="AT1147" s="117"/>
      <c r="AU1147" s="117"/>
      <c r="AV1147" s="117"/>
      <c r="AW1147" s="117"/>
      <c r="AX1147" s="117"/>
      <c r="AY1147" s="117"/>
      <c r="AZ1147" s="117"/>
      <c r="BA1147" s="117"/>
      <c r="BB1147" s="117"/>
      <c r="BC1147" s="117"/>
      <c r="BD1147" s="117"/>
      <c r="BE1147" s="117"/>
      <c r="BF1147" s="117"/>
      <c r="BG1147" s="117"/>
    </row>
    <row r="1148" spans="1:59">
      <c r="A1148" s="117"/>
      <c r="B1148" s="117"/>
      <c r="C1148" s="117"/>
      <c r="D1148" s="117"/>
      <c r="E1148" s="117"/>
      <c r="F1148" s="117"/>
      <c r="G1148" s="117"/>
      <c r="H1148" s="117"/>
      <c r="I1148" s="117"/>
      <c r="J1148" s="118"/>
      <c r="K1148" s="118"/>
      <c r="L1148" s="118"/>
      <c r="M1148" s="118"/>
      <c r="N1148" s="117"/>
      <c r="O1148" s="117"/>
      <c r="P1148" s="117"/>
      <c r="Q1148" s="117"/>
      <c r="R1148" s="117"/>
      <c r="S1148" s="117"/>
      <c r="T1148" s="117"/>
      <c r="U1148" s="117"/>
      <c r="V1148" s="117"/>
      <c r="W1148" s="117"/>
      <c r="X1148" s="117"/>
      <c r="Y1148" s="117"/>
      <c r="Z1148" s="117"/>
      <c r="AA1148" s="117"/>
      <c r="AB1148" s="117"/>
      <c r="AC1148" s="117"/>
      <c r="AD1148" s="117"/>
      <c r="AE1148" s="117"/>
      <c r="AF1148" s="117"/>
      <c r="AG1148" s="117"/>
      <c r="AH1148" s="117"/>
      <c r="AI1148" s="117"/>
      <c r="AJ1148" s="117"/>
      <c r="AK1148" s="117"/>
      <c r="AL1148" s="117"/>
      <c r="AM1148" s="117"/>
      <c r="AN1148" s="117"/>
      <c r="AO1148" s="117"/>
      <c r="AP1148" s="117"/>
      <c r="AQ1148" s="117"/>
      <c r="AR1148" s="117"/>
      <c r="AS1148" s="117"/>
      <c r="AT1148" s="117"/>
      <c r="AU1148" s="117"/>
      <c r="AV1148" s="117"/>
      <c r="AW1148" s="117"/>
      <c r="AX1148" s="117"/>
      <c r="AY1148" s="117"/>
      <c r="AZ1148" s="117"/>
      <c r="BA1148" s="117"/>
      <c r="BB1148" s="117"/>
      <c r="BC1148" s="117"/>
      <c r="BD1148" s="117"/>
      <c r="BE1148" s="117"/>
      <c r="BF1148" s="117"/>
      <c r="BG1148" s="117"/>
    </row>
    <row r="1149" spans="1:59">
      <c r="A1149" s="117"/>
      <c r="B1149" s="117"/>
      <c r="C1149" s="117"/>
      <c r="D1149" s="117"/>
      <c r="E1149" s="117"/>
      <c r="F1149" s="117"/>
      <c r="G1149" s="117"/>
      <c r="H1149" s="117"/>
      <c r="I1149" s="117"/>
      <c r="J1149" s="118"/>
      <c r="K1149" s="118"/>
      <c r="L1149" s="118"/>
      <c r="M1149" s="118"/>
      <c r="N1149" s="117"/>
      <c r="O1149" s="117"/>
      <c r="P1149" s="117"/>
      <c r="Q1149" s="117"/>
      <c r="R1149" s="117"/>
      <c r="S1149" s="117"/>
      <c r="T1149" s="117"/>
      <c r="U1149" s="117"/>
      <c r="V1149" s="117"/>
      <c r="W1149" s="117"/>
      <c r="X1149" s="117"/>
      <c r="Y1149" s="117"/>
      <c r="Z1149" s="117"/>
      <c r="AA1149" s="117"/>
      <c r="AB1149" s="117"/>
      <c r="AC1149" s="117"/>
      <c r="AD1149" s="117"/>
      <c r="AE1149" s="117"/>
      <c r="AF1149" s="117"/>
      <c r="AG1149" s="117"/>
      <c r="AH1149" s="117"/>
      <c r="AI1149" s="117"/>
      <c r="AJ1149" s="117"/>
      <c r="AK1149" s="117"/>
      <c r="AL1149" s="117"/>
      <c r="AM1149" s="117"/>
      <c r="AN1149" s="117"/>
      <c r="AO1149" s="117"/>
      <c r="AP1149" s="117"/>
      <c r="AQ1149" s="117"/>
      <c r="AR1149" s="117"/>
      <c r="AS1149" s="117"/>
      <c r="AT1149" s="117"/>
      <c r="AU1149" s="117"/>
      <c r="AV1149" s="117"/>
      <c r="AW1149" s="117"/>
      <c r="AX1149" s="117"/>
      <c r="AY1149" s="117"/>
      <c r="AZ1149" s="117"/>
      <c r="BA1149" s="117"/>
      <c r="BB1149" s="117"/>
      <c r="BC1149" s="117"/>
      <c r="BD1149" s="117"/>
      <c r="BE1149" s="117"/>
      <c r="BF1149" s="117"/>
      <c r="BG1149" s="117"/>
    </row>
    <row r="1150" spans="1:59">
      <c r="A1150" s="117"/>
      <c r="B1150" s="117"/>
      <c r="C1150" s="117"/>
      <c r="D1150" s="117"/>
      <c r="E1150" s="117"/>
      <c r="F1150" s="117"/>
      <c r="G1150" s="117"/>
      <c r="H1150" s="117"/>
      <c r="I1150" s="117"/>
      <c r="J1150" s="118"/>
      <c r="K1150" s="118"/>
      <c r="L1150" s="118"/>
      <c r="M1150" s="118"/>
      <c r="N1150" s="117"/>
      <c r="O1150" s="117"/>
      <c r="P1150" s="117"/>
      <c r="Q1150" s="117"/>
      <c r="R1150" s="117"/>
      <c r="S1150" s="117"/>
      <c r="T1150" s="117"/>
      <c r="U1150" s="117"/>
      <c r="V1150" s="117"/>
      <c r="W1150" s="117"/>
      <c r="X1150" s="117"/>
      <c r="Y1150" s="117"/>
      <c r="Z1150" s="117"/>
      <c r="AA1150" s="117"/>
      <c r="AB1150" s="117"/>
      <c r="AC1150" s="117"/>
      <c r="AD1150" s="117"/>
      <c r="AE1150" s="117"/>
      <c r="AF1150" s="117"/>
      <c r="AG1150" s="117"/>
      <c r="AH1150" s="117"/>
      <c r="AI1150" s="117"/>
      <c r="AJ1150" s="117"/>
      <c r="AK1150" s="117"/>
      <c r="AL1150" s="117"/>
      <c r="AM1150" s="117"/>
      <c r="AN1150" s="117"/>
      <c r="AO1150" s="117"/>
      <c r="AP1150" s="117"/>
      <c r="AQ1150" s="117"/>
      <c r="AR1150" s="117"/>
      <c r="AS1150" s="117"/>
      <c r="AT1150" s="117"/>
      <c r="AU1150" s="117"/>
      <c r="AV1150" s="117"/>
      <c r="AW1150" s="117"/>
      <c r="AX1150" s="117"/>
      <c r="AY1150" s="117"/>
      <c r="AZ1150" s="117"/>
      <c r="BA1150" s="117"/>
      <c r="BB1150" s="117"/>
      <c r="BC1150" s="117"/>
      <c r="BD1150" s="117"/>
      <c r="BE1150" s="117"/>
      <c r="BF1150" s="117"/>
      <c r="BG1150" s="117"/>
    </row>
    <row r="1151" spans="1:59">
      <c r="A1151" s="117"/>
      <c r="B1151" s="117"/>
      <c r="C1151" s="117"/>
      <c r="D1151" s="117"/>
      <c r="E1151" s="117"/>
      <c r="F1151" s="117"/>
      <c r="G1151" s="117"/>
      <c r="H1151" s="117"/>
      <c r="I1151" s="117"/>
      <c r="J1151" s="118"/>
      <c r="K1151" s="118"/>
      <c r="L1151" s="118"/>
      <c r="M1151" s="118"/>
      <c r="N1151" s="117"/>
      <c r="O1151" s="117"/>
      <c r="P1151" s="117"/>
      <c r="Q1151" s="117"/>
      <c r="R1151" s="117"/>
      <c r="S1151" s="117"/>
      <c r="T1151" s="117"/>
      <c r="U1151" s="117"/>
      <c r="V1151" s="117"/>
      <c r="W1151" s="117"/>
      <c r="X1151" s="117"/>
      <c r="Y1151" s="117"/>
      <c r="Z1151" s="117"/>
      <c r="AA1151" s="117"/>
      <c r="AB1151" s="117"/>
      <c r="AC1151" s="117"/>
      <c r="AD1151" s="117"/>
      <c r="AE1151" s="117"/>
      <c r="AF1151" s="117"/>
      <c r="AG1151" s="117"/>
      <c r="AH1151" s="117"/>
      <c r="AI1151" s="117"/>
      <c r="AJ1151" s="117"/>
      <c r="AK1151" s="117"/>
      <c r="AL1151" s="117"/>
      <c r="AM1151" s="117"/>
      <c r="AN1151" s="117"/>
      <c r="AO1151" s="117"/>
      <c r="AP1151" s="117"/>
      <c r="AQ1151" s="117"/>
      <c r="AR1151" s="117"/>
      <c r="AS1151" s="117"/>
      <c r="AT1151" s="117"/>
      <c r="AU1151" s="117"/>
      <c r="AV1151" s="117"/>
      <c r="AW1151" s="117"/>
      <c r="AX1151" s="117"/>
      <c r="AY1151" s="117"/>
      <c r="AZ1151" s="117"/>
      <c r="BA1151" s="117"/>
      <c r="BB1151" s="117"/>
      <c r="BC1151" s="117"/>
      <c r="BD1151" s="117"/>
      <c r="BE1151" s="117"/>
      <c r="BF1151" s="117"/>
      <c r="BG1151" s="117"/>
    </row>
    <row r="1152" spans="1:59">
      <c r="A1152" s="117"/>
      <c r="B1152" s="117"/>
      <c r="C1152" s="117"/>
      <c r="D1152" s="117"/>
      <c r="E1152" s="117"/>
      <c r="F1152" s="117"/>
      <c r="G1152" s="117"/>
      <c r="H1152" s="117"/>
      <c r="I1152" s="117"/>
      <c r="J1152" s="118"/>
      <c r="K1152" s="118"/>
      <c r="L1152" s="118"/>
      <c r="M1152" s="118"/>
      <c r="N1152" s="117"/>
      <c r="O1152" s="117"/>
      <c r="P1152" s="117"/>
      <c r="Q1152" s="117"/>
      <c r="R1152" s="117"/>
      <c r="S1152" s="117"/>
      <c r="T1152" s="117"/>
      <c r="U1152" s="117"/>
      <c r="V1152" s="117"/>
      <c r="W1152" s="117"/>
      <c r="X1152" s="117"/>
      <c r="Y1152" s="117"/>
      <c r="Z1152" s="117"/>
      <c r="AA1152" s="117"/>
      <c r="AB1152" s="117"/>
      <c r="AC1152" s="117"/>
      <c r="AD1152" s="117"/>
      <c r="AE1152" s="117"/>
      <c r="AF1152" s="117"/>
      <c r="AG1152" s="117"/>
      <c r="AH1152" s="117"/>
      <c r="AI1152" s="117"/>
      <c r="AJ1152" s="117"/>
      <c r="AK1152" s="117"/>
      <c r="AL1152" s="117"/>
      <c r="AM1152" s="117"/>
      <c r="AN1152" s="117"/>
      <c r="AO1152" s="117"/>
      <c r="AP1152" s="117"/>
      <c r="AQ1152" s="117"/>
      <c r="AR1152" s="117"/>
      <c r="AS1152" s="117"/>
      <c r="AT1152" s="117"/>
      <c r="AU1152" s="117"/>
      <c r="AV1152" s="117"/>
      <c r="AW1152" s="117"/>
      <c r="AX1152" s="117"/>
      <c r="AY1152" s="117"/>
      <c r="AZ1152" s="117"/>
      <c r="BA1152" s="117"/>
      <c r="BB1152" s="117"/>
      <c r="BC1152" s="117"/>
      <c r="BD1152" s="117"/>
      <c r="BE1152" s="117"/>
      <c r="BF1152" s="117"/>
      <c r="BG1152" s="117"/>
    </row>
    <row r="1153" spans="1:59">
      <c r="A1153" s="117"/>
      <c r="B1153" s="117"/>
      <c r="C1153" s="117"/>
      <c r="D1153" s="117"/>
      <c r="E1153" s="117"/>
      <c r="F1153" s="117"/>
      <c r="G1153" s="117"/>
      <c r="H1153" s="117"/>
      <c r="I1153" s="117"/>
      <c r="J1153" s="118"/>
      <c r="K1153" s="118"/>
      <c r="L1153" s="118"/>
      <c r="M1153" s="118"/>
      <c r="N1153" s="117"/>
      <c r="O1153" s="117"/>
      <c r="P1153" s="117"/>
      <c r="Q1153" s="117"/>
      <c r="R1153" s="117"/>
      <c r="S1153" s="117"/>
      <c r="T1153" s="117"/>
      <c r="U1153" s="117"/>
      <c r="V1153" s="117"/>
      <c r="W1153" s="117"/>
      <c r="X1153" s="117"/>
      <c r="Y1153" s="117"/>
      <c r="Z1153" s="117"/>
      <c r="AA1153" s="117"/>
      <c r="AB1153" s="117"/>
      <c r="AC1153" s="117"/>
      <c r="AD1153" s="117"/>
      <c r="AE1153" s="117"/>
      <c r="AF1153" s="117"/>
      <c r="AG1153" s="117"/>
      <c r="AH1153" s="117"/>
      <c r="AI1153" s="117"/>
      <c r="AJ1153" s="117"/>
      <c r="AK1153" s="117"/>
      <c r="AL1153" s="117"/>
      <c r="AM1153" s="117"/>
      <c r="AN1153" s="117"/>
      <c r="AO1153" s="117"/>
      <c r="AP1153" s="117"/>
      <c r="AQ1153" s="117"/>
      <c r="AR1153" s="117"/>
      <c r="AS1153" s="117"/>
      <c r="AT1153" s="117"/>
      <c r="AU1153" s="117"/>
      <c r="AV1153" s="117"/>
      <c r="AW1153" s="117"/>
      <c r="AX1153" s="117"/>
      <c r="AY1153" s="117"/>
      <c r="AZ1153" s="117"/>
      <c r="BA1153" s="117"/>
      <c r="BB1153" s="117"/>
      <c r="BC1153" s="117"/>
      <c r="BD1153" s="117"/>
      <c r="BE1153" s="117"/>
      <c r="BF1153" s="117"/>
      <c r="BG1153" s="117"/>
    </row>
    <row r="1154" spans="1:59">
      <c r="A1154" s="117"/>
      <c r="B1154" s="117"/>
      <c r="C1154" s="117"/>
      <c r="D1154" s="117"/>
      <c r="E1154" s="117"/>
      <c r="F1154" s="117"/>
      <c r="G1154" s="117"/>
      <c r="H1154" s="117"/>
      <c r="I1154" s="117"/>
      <c r="J1154" s="118"/>
      <c r="K1154" s="118"/>
      <c r="L1154" s="118"/>
      <c r="M1154" s="118"/>
      <c r="N1154" s="117"/>
      <c r="O1154" s="117"/>
      <c r="P1154" s="117"/>
      <c r="Q1154" s="117"/>
      <c r="R1154" s="117"/>
      <c r="S1154" s="117"/>
      <c r="T1154" s="117"/>
      <c r="U1154" s="117"/>
      <c r="V1154" s="117"/>
      <c r="W1154" s="117"/>
      <c r="X1154" s="117"/>
      <c r="Y1154" s="117"/>
      <c r="Z1154" s="117"/>
      <c r="AA1154" s="117"/>
      <c r="AB1154" s="117"/>
      <c r="AC1154" s="117"/>
      <c r="AD1154" s="117"/>
      <c r="AE1154" s="117"/>
      <c r="AF1154" s="117"/>
      <c r="AG1154" s="117"/>
      <c r="AH1154" s="117"/>
      <c r="AI1154" s="117"/>
      <c r="AJ1154" s="117"/>
      <c r="AK1154" s="117"/>
      <c r="AL1154" s="117"/>
      <c r="AM1154" s="117"/>
      <c r="AN1154" s="117"/>
      <c r="AO1154" s="117"/>
      <c r="AP1154" s="117"/>
      <c r="AQ1154" s="117"/>
      <c r="AR1154" s="117"/>
      <c r="AS1154" s="117"/>
      <c r="AT1154" s="117"/>
      <c r="AU1154" s="117"/>
      <c r="AV1154" s="117"/>
      <c r="AW1154" s="117"/>
      <c r="AX1154" s="117"/>
      <c r="AY1154" s="117"/>
      <c r="AZ1154" s="117"/>
      <c r="BA1154" s="117"/>
      <c r="BB1154" s="117"/>
      <c r="BC1154" s="117"/>
      <c r="BD1154" s="117"/>
      <c r="BE1154" s="117"/>
      <c r="BF1154" s="117"/>
      <c r="BG1154" s="117"/>
    </row>
    <row r="1155" spans="1:59">
      <c r="A1155" s="117"/>
      <c r="B1155" s="117"/>
      <c r="C1155" s="117"/>
      <c r="D1155" s="117"/>
      <c r="E1155" s="117"/>
      <c r="F1155" s="117"/>
      <c r="G1155" s="117"/>
      <c r="H1155" s="117"/>
      <c r="I1155" s="117"/>
      <c r="J1155" s="118"/>
      <c r="K1155" s="118"/>
      <c r="L1155" s="118"/>
      <c r="M1155" s="118"/>
      <c r="N1155" s="117"/>
      <c r="O1155" s="117"/>
      <c r="P1155" s="117"/>
      <c r="Q1155" s="117"/>
      <c r="R1155" s="117"/>
      <c r="S1155" s="117"/>
      <c r="T1155" s="117"/>
      <c r="U1155" s="117"/>
      <c r="V1155" s="117"/>
      <c r="W1155" s="117"/>
      <c r="X1155" s="117"/>
      <c r="Y1155" s="117"/>
      <c r="Z1155" s="117"/>
      <c r="AA1155" s="117"/>
      <c r="AB1155" s="117"/>
      <c r="AC1155" s="117"/>
      <c r="AD1155" s="117"/>
      <c r="AE1155" s="117"/>
      <c r="AF1155" s="117"/>
      <c r="AG1155" s="117"/>
      <c r="AH1155" s="117"/>
      <c r="AI1155" s="117"/>
      <c r="AJ1155" s="117"/>
      <c r="AK1155" s="117"/>
      <c r="AL1155" s="117"/>
      <c r="AM1155" s="117"/>
      <c r="AN1155" s="117"/>
      <c r="AO1155" s="117"/>
      <c r="AP1155" s="117"/>
      <c r="AQ1155" s="117"/>
      <c r="AR1155" s="117"/>
      <c r="AS1155" s="117"/>
      <c r="AT1155" s="117"/>
      <c r="AU1155" s="117"/>
      <c r="AV1155" s="117"/>
      <c r="AW1155" s="117"/>
      <c r="AX1155" s="117"/>
      <c r="AY1155" s="117"/>
      <c r="AZ1155" s="117"/>
      <c r="BA1155" s="117"/>
      <c r="BB1155" s="117"/>
      <c r="BC1155" s="117"/>
      <c r="BD1155" s="117"/>
      <c r="BE1155" s="117"/>
      <c r="BF1155" s="117"/>
      <c r="BG1155" s="117"/>
    </row>
    <row r="1156" spans="1:59">
      <c r="A1156" s="117"/>
      <c r="B1156" s="117"/>
      <c r="C1156" s="117"/>
      <c r="D1156" s="117"/>
      <c r="E1156" s="117"/>
      <c r="F1156" s="117"/>
      <c r="G1156" s="117"/>
      <c r="H1156" s="117"/>
      <c r="I1156" s="117"/>
      <c r="J1156" s="118"/>
      <c r="K1156" s="118"/>
      <c r="L1156" s="118"/>
      <c r="M1156" s="118"/>
      <c r="N1156" s="117"/>
      <c r="O1156" s="117"/>
      <c r="P1156" s="117"/>
      <c r="Q1156" s="117"/>
      <c r="R1156" s="117"/>
      <c r="S1156" s="117"/>
      <c r="T1156" s="117"/>
      <c r="U1156" s="117"/>
      <c r="V1156" s="117"/>
      <c r="W1156" s="117"/>
      <c r="X1156" s="117"/>
      <c r="Y1156" s="117"/>
      <c r="Z1156" s="117"/>
      <c r="AA1156" s="117"/>
      <c r="AB1156" s="117"/>
      <c r="AC1156" s="117"/>
      <c r="AD1156" s="117"/>
      <c r="AE1156" s="117"/>
      <c r="AF1156" s="117"/>
      <c r="AG1156" s="117"/>
      <c r="AH1156" s="117"/>
      <c r="AI1156" s="117"/>
      <c r="AJ1156" s="117"/>
      <c r="AK1156" s="117"/>
      <c r="AL1156" s="117"/>
      <c r="AM1156" s="117"/>
      <c r="AN1156" s="117"/>
      <c r="AO1156" s="117"/>
      <c r="AP1156" s="117"/>
      <c r="AQ1156" s="117"/>
      <c r="AR1156" s="117"/>
      <c r="AS1156" s="117"/>
      <c r="AT1156" s="117"/>
      <c r="AU1156" s="117"/>
      <c r="AV1156" s="117"/>
      <c r="AW1156" s="117"/>
      <c r="AX1156" s="117"/>
      <c r="AY1156" s="117"/>
      <c r="AZ1156" s="117"/>
      <c r="BA1156" s="117"/>
      <c r="BB1156" s="117"/>
      <c r="BC1156" s="117"/>
      <c r="BD1156" s="117"/>
      <c r="BE1156" s="117"/>
      <c r="BF1156" s="117"/>
      <c r="BG1156" s="117"/>
    </row>
    <row r="1157" spans="1:59">
      <c r="A1157" s="117"/>
      <c r="B1157" s="117"/>
      <c r="C1157" s="117"/>
      <c r="D1157" s="117"/>
      <c r="E1157" s="117"/>
      <c r="F1157" s="117"/>
      <c r="G1157" s="117"/>
      <c r="H1157" s="117"/>
      <c r="I1157" s="117"/>
      <c r="J1157" s="118"/>
      <c r="K1157" s="118"/>
      <c r="L1157" s="118"/>
      <c r="M1157" s="118"/>
      <c r="N1157" s="117"/>
      <c r="O1157" s="117"/>
      <c r="P1157" s="117"/>
      <c r="Q1157" s="117"/>
      <c r="R1157" s="117"/>
      <c r="S1157" s="117"/>
      <c r="T1157" s="117"/>
      <c r="U1157" s="117"/>
      <c r="V1157" s="117"/>
      <c r="W1157" s="117"/>
      <c r="X1157" s="117"/>
      <c r="Y1157" s="117"/>
      <c r="Z1157" s="117"/>
      <c r="AA1157" s="117"/>
      <c r="AB1157" s="117"/>
      <c r="AC1157" s="117"/>
      <c r="AD1157" s="117"/>
      <c r="AE1157" s="117"/>
      <c r="AF1157" s="117"/>
      <c r="AG1157" s="117"/>
      <c r="AH1157" s="117"/>
      <c r="AI1157" s="117"/>
      <c r="AJ1157" s="117"/>
      <c r="AK1157" s="117"/>
      <c r="AL1157" s="117"/>
      <c r="AM1157" s="117"/>
      <c r="AN1157" s="117"/>
      <c r="AO1157" s="117"/>
      <c r="AP1157" s="117"/>
      <c r="AQ1157" s="117"/>
      <c r="AR1157" s="117"/>
      <c r="AS1157" s="117"/>
      <c r="AT1157" s="117"/>
      <c r="AU1157" s="117"/>
      <c r="AV1157" s="117"/>
      <c r="AW1157" s="117"/>
      <c r="AX1157" s="117"/>
      <c r="AY1157" s="117"/>
      <c r="AZ1157" s="117"/>
      <c r="BA1157" s="117"/>
      <c r="BB1157" s="117"/>
      <c r="BC1157" s="117"/>
      <c r="BD1157" s="117"/>
      <c r="BE1157" s="117"/>
      <c r="BF1157" s="117"/>
      <c r="BG1157" s="117"/>
    </row>
    <row r="1158" spans="1:59">
      <c r="A1158" s="117"/>
      <c r="B1158" s="117"/>
      <c r="C1158" s="117"/>
      <c r="D1158" s="117"/>
      <c r="E1158" s="117"/>
      <c r="F1158" s="117"/>
      <c r="G1158" s="117"/>
      <c r="H1158" s="117"/>
      <c r="I1158" s="117"/>
      <c r="J1158" s="118"/>
      <c r="K1158" s="118"/>
      <c r="L1158" s="118"/>
      <c r="M1158" s="118"/>
      <c r="N1158" s="117"/>
      <c r="O1158" s="117"/>
      <c r="P1158" s="117"/>
      <c r="Q1158" s="117"/>
      <c r="R1158" s="117"/>
      <c r="S1158" s="117"/>
      <c r="T1158" s="117"/>
      <c r="U1158" s="117"/>
      <c r="V1158" s="117"/>
      <c r="W1158" s="117"/>
      <c r="X1158" s="117"/>
      <c r="Y1158" s="117"/>
      <c r="Z1158" s="117"/>
      <c r="AA1158" s="117"/>
      <c r="AB1158" s="117"/>
      <c r="AC1158" s="117"/>
      <c r="AD1158" s="117"/>
      <c r="AE1158" s="117"/>
      <c r="AF1158" s="117"/>
      <c r="AG1158" s="117"/>
      <c r="AH1158" s="117"/>
      <c r="AI1158" s="117"/>
      <c r="AJ1158" s="117"/>
      <c r="AK1158" s="117"/>
      <c r="AL1158" s="117"/>
      <c r="AM1158" s="117"/>
      <c r="AN1158" s="117"/>
      <c r="AO1158" s="117"/>
      <c r="AP1158" s="117"/>
      <c r="AQ1158" s="117"/>
      <c r="AR1158" s="117"/>
      <c r="AS1158" s="117"/>
      <c r="AT1158" s="117"/>
      <c r="AU1158" s="117"/>
      <c r="AV1158" s="117"/>
      <c r="AW1158" s="117"/>
      <c r="AX1158" s="117"/>
      <c r="AY1158" s="117"/>
      <c r="AZ1158" s="117"/>
      <c r="BA1158" s="117"/>
      <c r="BB1158" s="117"/>
      <c r="BC1158" s="117"/>
      <c r="BD1158" s="117"/>
      <c r="BE1158" s="117"/>
      <c r="BF1158" s="117"/>
      <c r="BG1158" s="117"/>
    </row>
    <row r="1159" spans="1:59">
      <c r="A1159" s="117"/>
      <c r="B1159" s="117"/>
      <c r="C1159" s="117"/>
      <c r="D1159" s="117"/>
      <c r="E1159" s="117"/>
      <c r="F1159" s="117"/>
      <c r="G1159" s="117"/>
      <c r="H1159" s="117"/>
      <c r="I1159" s="117"/>
      <c r="J1159" s="118"/>
      <c r="K1159" s="118"/>
      <c r="L1159" s="118"/>
      <c r="M1159" s="118"/>
      <c r="N1159" s="117"/>
      <c r="O1159" s="117"/>
      <c r="P1159" s="117"/>
      <c r="Q1159" s="117"/>
      <c r="R1159" s="117"/>
      <c r="S1159" s="117"/>
      <c r="T1159" s="117"/>
      <c r="U1159" s="117"/>
      <c r="V1159" s="117"/>
      <c r="W1159" s="117"/>
      <c r="X1159" s="117"/>
      <c r="Y1159" s="117"/>
      <c r="Z1159" s="117"/>
      <c r="AA1159" s="117"/>
      <c r="AB1159" s="117"/>
      <c r="AC1159" s="117"/>
      <c r="AD1159" s="117"/>
      <c r="AE1159" s="117"/>
      <c r="AF1159" s="117"/>
      <c r="AG1159" s="117"/>
      <c r="AH1159" s="117"/>
      <c r="AI1159" s="117"/>
      <c r="AJ1159" s="117"/>
      <c r="AK1159" s="117"/>
      <c r="AL1159" s="117"/>
      <c r="AM1159" s="117"/>
      <c r="AN1159" s="117"/>
      <c r="AO1159" s="117"/>
      <c r="AP1159" s="117"/>
      <c r="AQ1159" s="117"/>
      <c r="AR1159" s="117"/>
      <c r="AS1159" s="117"/>
      <c r="AT1159" s="117"/>
      <c r="AU1159" s="117"/>
      <c r="AV1159" s="117"/>
      <c r="AW1159" s="117"/>
      <c r="AX1159" s="117"/>
      <c r="AY1159" s="117"/>
      <c r="AZ1159" s="117"/>
      <c r="BA1159" s="117"/>
      <c r="BB1159" s="117"/>
      <c r="BC1159" s="117"/>
      <c r="BD1159" s="117"/>
      <c r="BE1159" s="117"/>
      <c r="BF1159" s="117"/>
      <c r="BG1159" s="117"/>
    </row>
    <row r="1160" spans="1:59">
      <c r="A1160" s="117"/>
      <c r="B1160" s="117"/>
      <c r="C1160" s="117"/>
      <c r="D1160" s="117"/>
      <c r="E1160" s="117"/>
      <c r="F1160" s="117"/>
      <c r="G1160" s="117"/>
      <c r="H1160" s="117"/>
      <c r="I1160" s="117"/>
      <c r="J1160" s="118"/>
      <c r="K1160" s="118"/>
      <c r="L1160" s="118"/>
      <c r="M1160" s="118"/>
      <c r="N1160" s="117"/>
      <c r="O1160" s="117"/>
      <c r="P1160" s="117"/>
      <c r="Q1160" s="117"/>
      <c r="R1160" s="117"/>
      <c r="S1160" s="117"/>
      <c r="T1160" s="117"/>
      <c r="U1160" s="117"/>
      <c r="V1160" s="117"/>
      <c r="W1160" s="117"/>
      <c r="X1160" s="117"/>
      <c r="Y1160" s="117"/>
      <c r="Z1160" s="117"/>
      <c r="AA1160" s="117"/>
      <c r="AB1160" s="117"/>
      <c r="AC1160" s="117"/>
      <c r="AD1160" s="117"/>
      <c r="AE1160" s="117"/>
      <c r="AF1160" s="117"/>
      <c r="AG1160" s="117"/>
      <c r="AH1160" s="117"/>
      <c r="AI1160" s="117"/>
      <c r="AJ1160" s="117"/>
      <c r="AK1160" s="117"/>
      <c r="AL1160" s="117"/>
      <c r="AM1160" s="117"/>
      <c r="AN1160" s="117"/>
      <c r="AO1160" s="117"/>
      <c r="AP1160" s="117"/>
      <c r="AQ1160" s="117"/>
      <c r="AR1160" s="117"/>
      <c r="AS1160" s="117"/>
      <c r="AT1160" s="117"/>
      <c r="AU1160" s="117"/>
      <c r="AV1160" s="117"/>
      <c r="AW1160" s="117"/>
      <c r="AX1160" s="117"/>
      <c r="AY1160" s="117"/>
      <c r="AZ1160" s="117"/>
      <c r="BA1160" s="117"/>
      <c r="BB1160" s="117"/>
      <c r="BC1160" s="117"/>
      <c r="BD1160" s="117"/>
      <c r="BE1160" s="117"/>
      <c r="BF1160" s="117"/>
      <c r="BG1160" s="117"/>
    </row>
    <row r="1161" spans="1:59">
      <c r="A1161" s="117"/>
      <c r="B1161" s="117"/>
      <c r="C1161" s="117"/>
      <c r="D1161" s="117"/>
      <c r="E1161" s="117"/>
      <c r="F1161" s="117"/>
      <c r="G1161" s="117"/>
      <c r="H1161" s="117"/>
      <c r="I1161" s="117"/>
      <c r="J1161" s="118"/>
      <c r="K1161" s="118"/>
      <c r="L1161" s="118"/>
      <c r="M1161" s="118"/>
      <c r="N1161" s="117"/>
      <c r="O1161" s="117"/>
      <c r="P1161" s="117"/>
      <c r="Q1161" s="117"/>
      <c r="R1161" s="117"/>
      <c r="S1161" s="117"/>
      <c r="T1161" s="117"/>
      <c r="U1161" s="117"/>
      <c r="V1161" s="117"/>
      <c r="W1161" s="117"/>
      <c r="X1161" s="117"/>
      <c r="Y1161" s="117"/>
      <c r="Z1161" s="117"/>
      <c r="AA1161" s="117"/>
      <c r="AB1161" s="117"/>
      <c r="AC1161" s="117"/>
      <c r="AD1161" s="117"/>
      <c r="AE1161" s="117"/>
      <c r="AF1161" s="117"/>
      <c r="AG1161" s="117"/>
      <c r="AH1161" s="117"/>
      <c r="AI1161" s="117"/>
      <c r="AJ1161" s="117"/>
      <c r="AK1161" s="117"/>
      <c r="AL1161" s="117"/>
      <c r="AM1161" s="117"/>
      <c r="AN1161" s="117"/>
      <c r="AO1161" s="117"/>
      <c r="AP1161" s="117"/>
      <c r="AQ1161" s="117"/>
      <c r="AR1161" s="117"/>
      <c r="AS1161" s="117"/>
      <c r="AT1161" s="117"/>
      <c r="AU1161" s="117"/>
      <c r="AV1161" s="117"/>
      <c r="AW1161" s="117"/>
      <c r="AX1161" s="117"/>
      <c r="AY1161" s="117"/>
      <c r="AZ1161" s="117"/>
      <c r="BA1161" s="117"/>
      <c r="BB1161" s="117"/>
      <c r="BC1161" s="117"/>
      <c r="BD1161" s="117"/>
      <c r="BE1161" s="117"/>
      <c r="BF1161" s="117"/>
      <c r="BG1161" s="117"/>
    </row>
    <row r="1162" spans="1:59">
      <c r="A1162" s="117"/>
      <c r="B1162" s="117"/>
      <c r="C1162" s="117"/>
      <c r="D1162" s="117"/>
      <c r="E1162" s="117"/>
      <c r="F1162" s="117"/>
      <c r="G1162" s="117"/>
      <c r="H1162" s="117"/>
      <c r="I1162" s="117"/>
      <c r="J1162" s="118"/>
      <c r="K1162" s="118"/>
      <c r="L1162" s="118"/>
      <c r="M1162" s="118"/>
      <c r="N1162" s="117"/>
      <c r="O1162" s="117"/>
      <c r="P1162" s="117"/>
      <c r="Q1162" s="117"/>
      <c r="R1162" s="117"/>
      <c r="S1162" s="117"/>
      <c r="T1162" s="117"/>
      <c r="U1162" s="117"/>
      <c r="V1162" s="117"/>
      <c r="W1162" s="117"/>
      <c r="X1162" s="117"/>
      <c r="Y1162" s="117"/>
      <c r="Z1162" s="117"/>
      <c r="AA1162" s="117"/>
      <c r="AB1162" s="117"/>
      <c r="AC1162" s="117"/>
      <c r="AD1162" s="117"/>
      <c r="AE1162" s="117"/>
      <c r="AF1162" s="117"/>
      <c r="AG1162" s="117"/>
      <c r="AH1162" s="117"/>
      <c r="AI1162" s="117"/>
      <c r="AJ1162" s="117"/>
      <c r="AK1162" s="117"/>
      <c r="AL1162" s="117"/>
      <c r="AM1162" s="117"/>
      <c r="AN1162" s="117"/>
      <c r="AO1162" s="117"/>
      <c r="AP1162" s="117"/>
      <c r="AQ1162" s="117"/>
      <c r="AR1162" s="117"/>
      <c r="AS1162" s="117"/>
      <c r="AT1162" s="117"/>
      <c r="AU1162" s="117"/>
      <c r="AV1162" s="117"/>
      <c r="AW1162" s="117"/>
      <c r="AX1162" s="117"/>
      <c r="AY1162" s="117"/>
      <c r="AZ1162" s="117"/>
      <c r="BA1162" s="117"/>
      <c r="BB1162" s="117"/>
      <c r="BC1162" s="117"/>
      <c r="BD1162" s="117"/>
      <c r="BE1162" s="117"/>
      <c r="BF1162" s="117"/>
      <c r="BG1162" s="117"/>
    </row>
    <row r="1163" spans="1:59">
      <c r="A1163" s="117"/>
      <c r="B1163" s="117"/>
      <c r="C1163" s="117"/>
      <c r="D1163" s="117"/>
      <c r="E1163" s="117"/>
      <c r="F1163" s="117"/>
      <c r="G1163" s="117"/>
      <c r="H1163" s="117"/>
      <c r="I1163" s="117"/>
      <c r="J1163" s="118"/>
      <c r="K1163" s="118"/>
      <c r="L1163" s="118"/>
      <c r="M1163" s="118"/>
      <c r="N1163" s="117"/>
      <c r="O1163" s="117"/>
      <c r="P1163" s="117"/>
      <c r="Q1163" s="117"/>
      <c r="R1163" s="117"/>
      <c r="S1163" s="117"/>
      <c r="T1163" s="117"/>
      <c r="U1163" s="117"/>
      <c r="V1163" s="117"/>
      <c r="W1163" s="117"/>
      <c r="X1163" s="117"/>
      <c r="Y1163" s="117"/>
      <c r="Z1163" s="117"/>
      <c r="AA1163" s="117"/>
      <c r="AB1163" s="117"/>
      <c r="AC1163" s="117"/>
      <c r="AD1163" s="117"/>
      <c r="AE1163" s="117"/>
      <c r="AF1163" s="117"/>
      <c r="AG1163" s="117"/>
      <c r="AH1163" s="117"/>
      <c r="AI1163" s="117"/>
      <c r="AJ1163" s="117"/>
      <c r="AK1163" s="117"/>
      <c r="AL1163" s="117"/>
      <c r="AM1163" s="117"/>
      <c r="AN1163" s="117"/>
      <c r="AO1163" s="117"/>
      <c r="AP1163" s="117"/>
      <c r="AQ1163" s="117"/>
      <c r="AR1163" s="117"/>
      <c r="AS1163" s="117"/>
      <c r="AT1163" s="117"/>
      <c r="AU1163" s="117"/>
      <c r="AV1163" s="117"/>
      <c r="AW1163" s="117"/>
      <c r="AX1163" s="117"/>
      <c r="AY1163" s="117"/>
      <c r="AZ1163" s="117"/>
      <c r="BA1163" s="117"/>
      <c r="BB1163" s="117"/>
      <c r="BC1163" s="117"/>
      <c r="BD1163" s="117"/>
      <c r="BE1163" s="117"/>
      <c r="BF1163" s="117"/>
      <c r="BG1163" s="117"/>
    </row>
    <row r="1164" spans="1:59">
      <c r="A1164" s="117"/>
      <c r="B1164" s="117"/>
      <c r="C1164" s="117"/>
      <c r="D1164" s="117"/>
      <c r="E1164" s="117"/>
      <c r="F1164" s="117"/>
      <c r="G1164" s="117"/>
      <c r="H1164" s="117"/>
      <c r="I1164" s="117"/>
      <c r="J1164" s="118"/>
      <c r="K1164" s="118"/>
      <c r="L1164" s="118"/>
      <c r="M1164" s="118"/>
      <c r="N1164" s="117"/>
      <c r="O1164" s="117"/>
      <c r="P1164" s="117"/>
      <c r="Q1164" s="117"/>
      <c r="R1164" s="117"/>
      <c r="S1164" s="117"/>
      <c r="T1164" s="117"/>
      <c r="U1164" s="117"/>
      <c r="V1164" s="117"/>
      <c r="W1164" s="117"/>
      <c r="X1164" s="117"/>
      <c r="Y1164" s="117"/>
      <c r="Z1164" s="117"/>
      <c r="AA1164" s="117"/>
      <c r="AB1164" s="117"/>
      <c r="AC1164" s="117"/>
      <c r="AD1164" s="117"/>
      <c r="AE1164" s="117"/>
      <c r="AF1164" s="117"/>
      <c r="AG1164" s="117"/>
      <c r="AH1164" s="117"/>
      <c r="AI1164" s="117"/>
      <c r="AJ1164" s="117"/>
      <c r="AK1164" s="117"/>
      <c r="AL1164" s="117"/>
      <c r="AM1164" s="117"/>
      <c r="AN1164" s="117"/>
      <c r="AO1164" s="117"/>
      <c r="AP1164" s="117"/>
      <c r="AQ1164" s="117"/>
      <c r="AR1164" s="117"/>
      <c r="AS1164" s="117"/>
      <c r="AT1164" s="117"/>
      <c r="AU1164" s="117"/>
      <c r="AV1164" s="117"/>
      <c r="AW1164" s="117"/>
      <c r="AX1164" s="117"/>
      <c r="AY1164" s="117"/>
      <c r="AZ1164" s="117"/>
      <c r="BA1164" s="117"/>
      <c r="BB1164" s="117"/>
      <c r="BC1164" s="117"/>
      <c r="BD1164" s="117"/>
      <c r="BE1164" s="117"/>
      <c r="BF1164" s="117"/>
      <c r="BG1164" s="117"/>
    </row>
    <row r="1165" spans="1:59">
      <c r="A1165" s="117"/>
      <c r="B1165" s="117"/>
      <c r="C1165" s="117"/>
      <c r="D1165" s="117"/>
      <c r="E1165" s="117"/>
      <c r="F1165" s="117"/>
      <c r="G1165" s="117"/>
      <c r="H1165" s="117"/>
      <c r="I1165" s="117"/>
      <c r="J1165" s="118"/>
      <c r="K1165" s="118"/>
      <c r="L1165" s="118"/>
      <c r="M1165" s="118"/>
      <c r="N1165" s="117"/>
      <c r="O1165" s="117"/>
      <c r="P1165" s="117"/>
      <c r="Q1165" s="117"/>
      <c r="R1165" s="117"/>
      <c r="S1165" s="117"/>
      <c r="T1165" s="117"/>
      <c r="U1165" s="117"/>
      <c r="V1165" s="117"/>
      <c r="W1165" s="117"/>
      <c r="X1165" s="117"/>
      <c r="Y1165" s="117"/>
      <c r="Z1165" s="117"/>
      <c r="AA1165" s="117"/>
      <c r="AB1165" s="117"/>
      <c r="AC1165" s="117"/>
      <c r="AD1165" s="117"/>
      <c r="AE1165" s="117"/>
      <c r="AF1165" s="117"/>
      <c r="AG1165" s="117"/>
      <c r="AH1165" s="117"/>
      <c r="AI1165" s="117"/>
      <c r="AJ1165" s="117"/>
      <c r="AK1165" s="117"/>
      <c r="AL1165" s="117"/>
      <c r="AM1165" s="117"/>
      <c r="AN1165" s="117"/>
      <c r="AO1165" s="117"/>
      <c r="AP1165" s="117"/>
      <c r="AQ1165" s="117"/>
      <c r="AR1165" s="117"/>
      <c r="AS1165" s="117"/>
      <c r="AT1165" s="117"/>
      <c r="AU1165" s="117"/>
      <c r="AV1165" s="117"/>
      <c r="AW1165" s="117"/>
      <c r="AX1165" s="117"/>
      <c r="AY1165" s="117"/>
      <c r="AZ1165" s="117"/>
      <c r="BA1165" s="117"/>
      <c r="BB1165" s="117"/>
      <c r="BC1165" s="117"/>
      <c r="BD1165" s="117"/>
      <c r="BE1165" s="117"/>
      <c r="BF1165" s="117"/>
      <c r="BG1165" s="117"/>
    </row>
    <row r="1166" spans="1:59">
      <c r="A1166" s="117"/>
      <c r="B1166" s="117"/>
      <c r="C1166" s="117"/>
      <c r="D1166" s="117"/>
      <c r="E1166" s="117"/>
      <c r="F1166" s="117"/>
      <c r="G1166" s="117"/>
      <c r="H1166" s="117"/>
      <c r="I1166" s="117"/>
      <c r="J1166" s="118"/>
      <c r="K1166" s="118"/>
      <c r="L1166" s="118"/>
      <c r="M1166" s="118"/>
      <c r="N1166" s="117"/>
      <c r="O1166" s="117"/>
      <c r="P1166" s="117"/>
      <c r="Q1166" s="117"/>
      <c r="R1166" s="117"/>
      <c r="S1166" s="117"/>
      <c r="T1166" s="117"/>
      <c r="U1166" s="117"/>
      <c r="V1166" s="117"/>
      <c r="W1166" s="117"/>
      <c r="X1166" s="117"/>
      <c r="Y1166" s="117"/>
      <c r="Z1166" s="117"/>
      <c r="AA1166" s="117"/>
      <c r="AB1166" s="117"/>
      <c r="AC1166" s="117"/>
      <c r="AD1166" s="117"/>
      <c r="AE1166" s="117"/>
      <c r="AF1166" s="117"/>
      <c r="AG1166" s="117"/>
      <c r="AH1166" s="117"/>
      <c r="AI1166" s="117"/>
      <c r="AJ1166" s="117"/>
      <c r="AK1166" s="117"/>
      <c r="AL1166" s="117"/>
      <c r="AM1166" s="117"/>
      <c r="AN1166" s="117"/>
      <c r="AO1166" s="117"/>
      <c r="AP1166" s="117"/>
      <c r="AQ1166" s="117"/>
      <c r="AR1166" s="117"/>
      <c r="AS1166" s="117"/>
      <c r="AT1166" s="117"/>
      <c r="AU1166" s="117"/>
      <c r="AV1166" s="117"/>
      <c r="AW1166" s="117"/>
      <c r="AX1166" s="117"/>
      <c r="AY1166" s="117"/>
      <c r="AZ1166" s="117"/>
      <c r="BA1166" s="117"/>
      <c r="BB1166" s="117"/>
      <c r="BC1166" s="117"/>
      <c r="BD1166" s="117"/>
      <c r="BE1166" s="117"/>
      <c r="BF1166" s="117"/>
      <c r="BG1166" s="117"/>
    </row>
    <row r="1167" spans="1:59">
      <c r="A1167" s="117"/>
      <c r="B1167" s="117"/>
      <c r="C1167" s="117"/>
      <c r="D1167" s="117"/>
      <c r="E1167" s="117"/>
      <c r="F1167" s="117"/>
      <c r="G1167" s="117"/>
      <c r="H1167" s="117"/>
      <c r="I1167" s="117"/>
      <c r="J1167" s="118"/>
      <c r="K1167" s="118"/>
      <c r="L1167" s="118"/>
      <c r="M1167" s="118"/>
      <c r="N1167" s="117"/>
      <c r="O1167" s="117"/>
      <c r="P1167" s="117"/>
      <c r="Q1167" s="117"/>
      <c r="R1167" s="117"/>
      <c r="S1167" s="117"/>
      <c r="T1167" s="117"/>
      <c r="U1167" s="117"/>
      <c r="V1167" s="117"/>
      <c r="W1167" s="117"/>
      <c r="X1167" s="117"/>
      <c r="Y1167" s="117"/>
      <c r="Z1167" s="117"/>
      <c r="AA1167" s="117"/>
      <c r="AB1167" s="117"/>
      <c r="AC1167" s="117"/>
      <c r="AD1167" s="117"/>
      <c r="AE1167" s="117"/>
      <c r="AF1167" s="117"/>
      <c r="AG1167" s="117"/>
      <c r="AH1167" s="117"/>
      <c r="AI1167" s="117"/>
      <c r="AJ1167" s="117"/>
      <c r="AK1167" s="117"/>
      <c r="AL1167" s="117"/>
      <c r="AM1167" s="117"/>
      <c r="AN1167" s="117"/>
      <c r="AO1167" s="117"/>
      <c r="AP1167" s="117"/>
      <c r="AQ1167" s="117"/>
      <c r="AR1167" s="117"/>
      <c r="AS1167" s="117"/>
      <c r="AT1167" s="117"/>
      <c r="AU1167" s="117"/>
      <c r="AV1167" s="117"/>
      <c r="AW1167" s="117"/>
      <c r="AX1167" s="117"/>
      <c r="AY1167" s="117"/>
      <c r="AZ1167" s="117"/>
      <c r="BA1167" s="117"/>
      <c r="BB1167" s="117"/>
      <c r="BC1167" s="117"/>
      <c r="BD1167" s="117"/>
      <c r="BE1167" s="117"/>
      <c r="BF1167" s="117"/>
      <c r="BG1167" s="117"/>
    </row>
    <row r="1168" spans="1:59">
      <c r="A1168" s="117"/>
      <c r="B1168" s="117"/>
      <c r="C1168" s="117"/>
      <c r="D1168" s="117"/>
      <c r="E1168" s="117"/>
      <c r="F1168" s="117"/>
      <c r="G1168" s="117"/>
      <c r="H1168" s="117"/>
      <c r="I1168" s="117"/>
      <c r="J1168" s="118"/>
      <c r="K1168" s="118"/>
      <c r="L1168" s="118"/>
      <c r="M1168" s="118"/>
      <c r="N1168" s="117"/>
      <c r="O1168" s="117"/>
      <c r="P1168" s="117"/>
      <c r="Q1168" s="117"/>
      <c r="R1168" s="117"/>
      <c r="S1168" s="117"/>
      <c r="T1168" s="117"/>
      <c r="U1168" s="117"/>
      <c r="V1168" s="117"/>
      <c r="W1168" s="117"/>
      <c r="X1168" s="117"/>
      <c r="Y1168" s="117"/>
      <c r="Z1168" s="117"/>
      <c r="AA1168" s="117"/>
      <c r="AB1168" s="117"/>
      <c r="AC1168" s="117"/>
      <c r="AD1168" s="117"/>
      <c r="AE1168" s="117"/>
      <c r="AF1168" s="117"/>
      <c r="AG1168" s="117"/>
      <c r="AH1168" s="117"/>
      <c r="AI1168" s="117"/>
      <c r="AJ1168" s="117"/>
      <c r="AK1168" s="117"/>
      <c r="AL1168" s="117"/>
      <c r="AM1168" s="117"/>
      <c r="AN1168" s="117"/>
      <c r="AO1168" s="117"/>
      <c r="AP1168" s="117"/>
      <c r="AQ1168" s="117"/>
      <c r="AR1168" s="117"/>
      <c r="AS1168" s="117"/>
      <c r="AT1168" s="117"/>
      <c r="AU1168" s="117"/>
      <c r="AV1168" s="117"/>
      <c r="AW1168" s="117"/>
      <c r="AX1168" s="117"/>
      <c r="AY1168" s="117"/>
      <c r="AZ1168" s="117"/>
      <c r="BA1168" s="117"/>
      <c r="BB1168" s="117"/>
      <c r="BC1168" s="117"/>
      <c r="BD1168" s="117"/>
      <c r="BE1168" s="117"/>
      <c r="BF1168" s="117"/>
      <c r="BG1168" s="117"/>
    </row>
    <row r="1169" spans="1:59">
      <c r="A1169" s="117"/>
      <c r="B1169" s="117"/>
      <c r="C1169" s="117"/>
      <c r="D1169" s="117"/>
      <c r="E1169" s="117"/>
      <c r="F1169" s="117"/>
      <c r="G1169" s="117"/>
      <c r="H1169" s="117"/>
      <c r="I1169" s="117"/>
      <c r="J1169" s="118"/>
      <c r="K1169" s="118"/>
      <c r="L1169" s="118"/>
      <c r="M1169" s="118"/>
      <c r="N1169" s="117"/>
      <c r="O1169" s="117"/>
      <c r="P1169" s="117"/>
      <c r="Q1169" s="117"/>
      <c r="R1169" s="117"/>
      <c r="S1169" s="117"/>
      <c r="T1169" s="117"/>
      <c r="U1169" s="117"/>
      <c r="V1169" s="117"/>
      <c r="W1169" s="117"/>
      <c r="X1169" s="117"/>
      <c r="Y1169" s="117"/>
      <c r="Z1169" s="117"/>
      <c r="AA1169" s="117"/>
      <c r="AB1169" s="117"/>
      <c r="AC1169" s="117"/>
      <c r="AD1169" s="117"/>
      <c r="AE1169" s="117"/>
      <c r="AF1169" s="117"/>
      <c r="AG1169" s="117"/>
      <c r="AH1169" s="117"/>
      <c r="AI1169" s="117"/>
      <c r="AJ1169" s="117"/>
      <c r="AK1169" s="117"/>
      <c r="AL1169" s="117"/>
      <c r="AM1169" s="117"/>
      <c r="AN1169" s="117"/>
      <c r="AO1169" s="117"/>
      <c r="AP1169" s="117"/>
      <c r="AQ1169" s="117"/>
      <c r="AR1169" s="117"/>
      <c r="AS1169" s="117"/>
      <c r="AT1169" s="117"/>
      <c r="AU1169" s="117"/>
      <c r="AV1169" s="117"/>
      <c r="AW1169" s="117"/>
      <c r="AX1169" s="117"/>
      <c r="AY1169" s="117"/>
      <c r="AZ1169" s="117"/>
      <c r="BA1169" s="117"/>
      <c r="BB1169" s="117"/>
      <c r="BC1169" s="117"/>
      <c r="BD1169" s="117"/>
      <c r="BE1169" s="117"/>
      <c r="BF1169" s="117"/>
      <c r="BG1169" s="117"/>
    </row>
    <row r="1170" spans="1:59">
      <c r="A1170" s="117"/>
      <c r="B1170" s="117"/>
      <c r="C1170" s="117"/>
      <c r="D1170" s="117"/>
      <c r="E1170" s="117"/>
      <c r="F1170" s="117"/>
      <c r="G1170" s="117"/>
      <c r="H1170" s="117"/>
      <c r="I1170" s="117"/>
      <c r="J1170" s="118"/>
      <c r="K1170" s="118"/>
      <c r="L1170" s="118"/>
      <c r="M1170" s="118"/>
      <c r="N1170" s="117"/>
      <c r="O1170" s="117"/>
      <c r="P1170" s="117"/>
      <c r="Q1170" s="117"/>
      <c r="R1170" s="117"/>
      <c r="S1170" s="117"/>
      <c r="T1170" s="117"/>
      <c r="U1170" s="117"/>
      <c r="V1170" s="117"/>
      <c r="W1170" s="117"/>
      <c r="X1170" s="117"/>
      <c r="Y1170" s="117"/>
      <c r="Z1170" s="117"/>
      <c r="AA1170" s="117"/>
      <c r="AB1170" s="117"/>
      <c r="AC1170" s="117"/>
      <c r="AD1170" s="117"/>
      <c r="AE1170" s="117"/>
      <c r="AF1170" s="117"/>
      <c r="AG1170" s="117"/>
      <c r="AH1170" s="117"/>
      <c r="AI1170" s="117"/>
      <c r="AJ1170" s="117"/>
      <c r="AK1170" s="117"/>
      <c r="AL1170" s="117"/>
      <c r="AM1170" s="117"/>
      <c r="AN1170" s="117"/>
      <c r="AO1170" s="117"/>
      <c r="AP1170" s="117"/>
      <c r="AQ1170" s="117"/>
      <c r="AR1170" s="117"/>
      <c r="AS1170" s="117"/>
      <c r="AT1170" s="117"/>
      <c r="AU1170" s="117"/>
      <c r="AV1170" s="117"/>
      <c r="AW1170" s="117"/>
      <c r="AX1170" s="117"/>
      <c r="AY1170" s="117"/>
      <c r="AZ1170" s="117"/>
      <c r="BA1170" s="117"/>
      <c r="BB1170" s="117"/>
      <c r="BC1170" s="117"/>
      <c r="BD1170" s="117"/>
      <c r="BE1170" s="117"/>
      <c r="BF1170" s="117"/>
      <c r="BG1170" s="117"/>
    </row>
    <row r="1171" spans="1:59">
      <c r="A1171" s="117"/>
      <c r="B1171" s="117"/>
      <c r="C1171" s="117"/>
      <c r="D1171" s="117"/>
      <c r="E1171" s="117"/>
      <c r="F1171" s="117"/>
      <c r="G1171" s="117"/>
      <c r="H1171" s="117"/>
      <c r="I1171" s="117"/>
      <c r="J1171" s="118"/>
      <c r="K1171" s="118"/>
      <c r="L1171" s="118"/>
      <c r="M1171" s="118"/>
      <c r="N1171" s="117"/>
      <c r="O1171" s="117"/>
      <c r="P1171" s="117"/>
      <c r="Q1171" s="117"/>
      <c r="R1171" s="117"/>
      <c r="S1171" s="117"/>
      <c r="T1171" s="117"/>
      <c r="U1171" s="117"/>
      <c r="V1171" s="117"/>
      <c r="W1171" s="117"/>
      <c r="X1171" s="117"/>
      <c r="Y1171" s="117"/>
      <c r="Z1171" s="117"/>
      <c r="AA1171" s="117"/>
      <c r="AB1171" s="117"/>
      <c r="AC1171" s="117"/>
      <c r="AD1171" s="117"/>
      <c r="AE1171" s="117"/>
      <c r="AF1171" s="117"/>
      <c r="AG1171" s="117"/>
      <c r="AH1171" s="117"/>
      <c r="AI1171" s="117"/>
      <c r="AJ1171" s="117"/>
      <c r="AK1171" s="117"/>
      <c r="AL1171" s="117"/>
      <c r="AM1171" s="117"/>
      <c r="AN1171" s="117"/>
      <c r="AO1171" s="117"/>
      <c r="AP1171" s="117"/>
      <c r="AQ1171" s="117"/>
      <c r="AR1171" s="117"/>
      <c r="AS1171" s="117"/>
      <c r="AT1171" s="117"/>
      <c r="AU1171" s="117"/>
      <c r="AV1171" s="117"/>
      <c r="AW1171" s="117"/>
      <c r="AX1171" s="117"/>
      <c r="AY1171" s="117"/>
      <c r="AZ1171" s="117"/>
      <c r="BA1171" s="117"/>
      <c r="BB1171" s="117"/>
      <c r="BC1171" s="117"/>
      <c r="BD1171" s="117"/>
      <c r="BE1171" s="117"/>
      <c r="BF1171" s="117"/>
      <c r="BG1171" s="117"/>
    </row>
    <row r="1172" spans="1:59">
      <c r="A1172" s="117"/>
      <c r="B1172" s="117"/>
      <c r="C1172" s="117"/>
      <c r="D1172" s="117"/>
      <c r="E1172" s="117"/>
      <c r="F1172" s="117"/>
      <c r="G1172" s="117"/>
      <c r="H1172" s="117"/>
      <c r="I1172" s="117"/>
      <c r="J1172" s="118"/>
      <c r="K1172" s="118"/>
      <c r="L1172" s="118"/>
      <c r="M1172" s="118"/>
      <c r="N1172" s="117"/>
      <c r="O1172" s="117"/>
      <c r="P1172" s="117"/>
      <c r="Q1172" s="117"/>
      <c r="R1172" s="117"/>
      <c r="S1172" s="117"/>
      <c r="T1172" s="117"/>
      <c r="U1172" s="117"/>
      <c r="V1172" s="117"/>
      <c r="W1172" s="117"/>
      <c r="X1172" s="117"/>
      <c r="Y1172" s="117"/>
      <c r="Z1172" s="117"/>
      <c r="AA1172" s="117"/>
      <c r="AB1172" s="117"/>
      <c r="AC1172" s="117"/>
      <c r="AD1172" s="117"/>
      <c r="AE1172" s="117"/>
      <c r="AF1172" s="117"/>
      <c r="AG1172" s="117"/>
      <c r="AH1172" s="117"/>
      <c r="AI1172" s="117"/>
      <c r="AJ1172" s="117"/>
      <c r="AK1172" s="117"/>
      <c r="AL1172" s="117"/>
      <c r="AM1172" s="117"/>
      <c r="AN1172" s="117"/>
      <c r="AO1172" s="117"/>
      <c r="AP1172" s="117"/>
      <c r="AQ1172" s="117"/>
      <c r="AR1172" s="117"/>
      <c r="AS1172" s="117"/>
      <c r="AT1172" s="117"/>
      <c r="AU1172" s="117"/>
      <c r="AV1172" s="117"/>
      <c r="AW1172" s="117"/>
      <c r="AX1172" s="117"/>
      <c r="AY1172" s="117"/>
      <c r="AZ1172" s="117"/>
      <c r="BA1172" s="117"/>
      <c r="BB1172" s="117"/>
      <c r="BC1172" s="117"/>
      <c r="BD1172" s="117"/>
      <c r="BE1172" s="117"/>
      <c r="BF1172" s="117"/>
      <c r="BG1172" s="117"/>
    </row>
    <row r="1173" spans="1:59">
      <c r="A1173" s="117"/>
      <c r="B1173" s="117"/>
      <c r="C1173" s="117"/>
      <c r="D1173" s="117"/>
      <c r="E1173" s="117"/>
      <c r="F1173" s="117"/>
      <c r="G1173" s="117"/>
      <c r="H1173" s="117"/>
      <c r="I1173" s="117"/>
      <c r="J1173" s="118"/>
      <c r="K1173" s="118"/>
      <c r="L1173" s="118"/>
      <c r="M1173" s="118"/>
      <c r="N1173" s="117"/>
      <c r="O1173" s="117"/>
      <c r="P1173" s="117"/>
      <c r="Q1173" s="117"/>
      <c r="R1173" s="117"/>
      <c r="S1173" s="117"/>
      <c r="T1173" s="117"/>
      <c r="U1173" s="117"/>
      <c r="V1173" s="117"/>
      <c r="W1173" s="117"/>
      <c r="X1173" s="117"/>
      <c r="Y1173" s="117"/>
      <c r="Z1173" s="117"/>
      <c r="AA1173" s="117"/>
      <c r="AB1173" s="117"/>
      <c r="AC1173" s="117"/>
      <c r="AD1173" s="117"/>
      <c r="AE1173" s="117"/>
      <c r="AF1173" s="117"/>
      <c r="AG1173" s="117"/>
      <c r="AH1173" s="117"/>
      <c r="AI1173" s="117"/>
      <c r="AJ1173" s="117"/>
      <c r="AK1173" s="117"/>
      <c r="AL1173" s="117"/>
      <c r="AM1173" s="117"/>
      <c r="AN1173" s="117"/>
      <c r="AO1173" s="117"/>
      <c r="AP1173" s="117"/>
      <c r="AQ1173" s="117"/>
      <c r="AR1173" s="117"/>
      <c r="AS1173" s="117"/>
      <c r="AT1173" s="117"/>
      <c r="AU1173" s="117"/>
      <c r="AV1173" s="117"/>
      <c r="AW1173" s="117"/>
      <c r="AX1173" s="117"/>
      <c r="AY1173" s="117"/>
      <c r="AZ1173" s="117"/>
      <c r="BA1173" s="117"/>
      <c r="BB1173" s="117"/>
      <c r="BC1173" s="117"/>
      <c r="BD1173" s="117"/>
      <c r="BE1173" s="117"/>
      <c r="BF1173" s="117"/>
      <c r="BG1173" s="117"/>
    </row>
    <row r="1174" spans="1:59">
      <c r="A1174" s="117"/>
      <c r="B1174" s="117"/>
      <c r="C1174" s="117"/>
      <c r="D1174" s="117"/>
      <c r="E1174" s="117"/>
      <c r="F1174" s="117"/>
      <c r="G1174" s="117"/>
      <c r="H1174" s="117"/>
      <c r="I1174" s="117"/>
      <c r="J1174" s="118"/>
      <c r="K1174" s="118"/>
      <c r="L1174" s="118"/>
      <c r="M1174" s="118"/>
      <c r="N1174" s="117"/>
      <c r="O1174" s="117"/>
      <c r="P1174" s="117"/>
      <c r="Q1174" s="117"/>
      <c r="R1174" s="117"/>
      <c r="S1174" s="117"/>
      <c r="T1174" s="117"/>
      <c r="U1174" s="117"/>
      <c r="V1174" s="117"/>
      <c r="W1174" s="117"/>
      <c r="X1174" s="117"/>
      <c r="Y1174" s="117"/>
      <c r="Z1174" s="117"/>
      <c r="AA1174" s="117"/>
      <c r="AB1174" s="117"/>
      <c r="AC1174" s="117"/>
      <c r="AD1174" s="117"/>
      <c r="AE1174" s="117"/>
      <c r="AF1174" s="117"/>
      <c r="AG1174" s="117"/>
      <c r="AH1174" s="117"/>
      <c r="AI1174" s="117"/>
      <c r="AJ1174" s="117"/>
      <c r="AK1174" s="117"/>
      <c r="AL1174" s="117"/>
      <c r="AM1174" s="117"/>
      <c r="AN1174" s="117"/>
      <c r="AO1174" s="117"/>
      <c r="AP1174" s="117"/>
      <c r="AQ1174" s="117"/>
      <c r="AR1174" s="117"/>
      <c r="AS1174" s="117"/>
      <c r="AT1174" s="117"/>
      <c r="AU1174" s="117"/>
      <c r="AV1174" s="117"/>
      <c r="AW1174" s="117"/>
      <c r="AX1174" s="117"/>
      <c r="AY1174" s="117"/>
      <c r="AZ1174" s="117"/>
      <c r="BA1174" s="117"/>
      <c r="BB1174" s="117"/>
      <c r="BC1174" s="117"/>
      <c r="BD1174" s="117"/>
      <c r="BE1174" s="117"/>
      <c r="BF1174" s="117"/>
      <c r="BG1174" s="117"/>
    </row>
    <row r="1175" spans="1:59">
      <c r="A1175" s="117"/>
      <c r="B1175" s="117"/>
      <c r="C1175" s="117"/>
      <c r="D1175" s="117"/>
      <c r="E1175" s="117"/>
      <c r="F1175" s="117"/>
      <c r="G1175" s="117"/>
      <c r="H1175" s="117"/>
      <c r="I1175" s="117"/>
      <c r="J1175" s="118"/>
      <c r="K1175" s="118"/>
      <c r="L1175" s="118"/>
      <c r="M1175" s="118"/>
      <c r="N1175" s="117"/>
      <c r="O1175" s="117"/>
      <c r="P1175" s="117"/>
      <c r="Q1175" s="117"/>
      <c r="R1175" s="117"/>
      <c r="S1175" s="117"/>
      <c r="T1175" s="117"/>
      <c r="U1175" s="117"/>
      <c r="V1175" s="117"/>
      <c r="W1175" s="117"/>
      <c r="X1175" s="117"/>
      <c r="Y1175" s="117"/>
      <c r="Z1175" s="117"/>
      <c r="AA1175" s="117"/>
      <c r="AB1175" s="117"/>
      <c r="AC1175" s="117"/>
      <c r="AD1175" s="117"/>
      <c r="AE1175" s="117"/>
      <c r="AF1175" s="117"/>
      <c r="AG1175" s="117"/>
      <c r="AH1175" s="117"/>
      <c r="AI1175" s="117"/>
      <c r="AJ1175" s="117"/>
      <c r="AK1175" s="117"/>
      <c r="AL1175" s="117"/>
      <c r="AM1175" s="117"/>
      <c r="AN1175" s="117"/>
      <c r="AO1175" s="117"/>
      <c r="AP1175" s="117"/>
      <c r="AQ1175" s="117"/>
      <c r="AR1175" s="117"/>
      <c r="AS1175" s="117"/>
      <c r="AT1175" s="117"/>
      <c r="AU1175" s="117"/>
      <c r="AV1175" s="117"/>
      <c r="AW1175" s="117"/>
      <c r="AX1175" s="117"/>
      <c r="AY1175" s="117"/>
      <c r="AZ1175" s="117"/>
      <c r="BA1175" s="117"/>
      <c r="BB1175" s="117"/>
      <c r="BC1175" s="117"/>
      <c r="BD1175" s="117"/>
      <c r="BE1175" s="117"/>
      <c r="BF1175" s="117"/>
      <c r="BG1175" s="117"/>
    </row>
    <row r="1176" spans="1:59">
      <c r="A1176" s="117"/>
      <c r="B1176" s="117"/>
      <c r="C1176" s="117"/>
      <c r="D1176" s="117"/>
      <c r="E1176" s="117"/>
      <c r="F1176" s="117"/>
      <c r="G1176" s="117"/>
      <c r="H1176" s="117"/>
      <c r="I1176" s="117"/>
      <c r="J1176" s="118"/>
      <c r="K1176" s="118"/>
      <c r="L1176" s="118"/>
      <c r="M1176" s="118"/>
      <c r="N1176" s="117"/>
      <c r="O1176" s="117"/>
      <c r="P1176" s="117"/>
      <c r="Q1176" s="117"/>
      <c r="R1176" s="117"/>
      <c r="S1176" s="117"/>
      <c r="T1176" s="117"/>
      <c r="U1176" s="117"/>
      <c r="V1176" s="117"/>
      <c r="W1176" s="117"/>
      <c r="X1176" s="117"/>
      <c r="Y1176" s="117"/>
      <c r="Z1176" s="117"/>
      <c r="AA1176" s="117"/>
      <c r="AB1176" s="117"/>
      <c r="AC1176" s="117"/>
      <c r="AD1176" s="117"/>
      <c r="AE1176" s="117"/>
      <c r="AF1176" s="117"/>
      <c r="AG1176" s="117"/>
      <c r="AH1176" s="117"/>
      <c r="AI1176" s="117"/>
      <c r="AJ1176" s="117"/>
      <c r="AK1176" s="117"/>
      <c r="AL1176" s="117"/>
      <c r="AM1176" s="117"/>
      <c r="AN1176" s="117"/>
      <c r="AO1176" s="117"/>
      <c r="AP1176" s="117"/>
      <c r="AQ1176" s="117"/>
      <c r="AR1176" s="117"/>
      <c r="AS1176" s="117"/>
      <c r="AT1176" s="117"/>
      <c r="AU1176" s="117"/>
      <c r="AV1176" s="117"/>
      <c r="AW1176" s="117"/>
      <c r="AX1176" s="117"/>
      <c r="AY1176" s="117"/>
      <c r="AZ1176" s="117"/>
      <c r="BA1176" s="117"/>
      <c r="BB1176" s="117"/>
      <c r="BC1176" s="117"/>
      <c r="BD1176" s="117"/>
      <c r="BE1176" s="117"/>
      <c r="BF1176" s="117"/>
      <c r="BG1176" s="117"/>
    </row>
    <row r="1177" spans="1:59">
      <c r="A1177" s="117"/>
      <c r="B1177" s="117"/>
      <c r="C1177" s="117"/>
      <c r="D1177" s="117"/>
      <c r="E1177" s="117"/>
      <c r="F1177" s="117"/>
      <c r="G1177" s="117"/>
      <c r="H1177" s="117"/>
      <c r="I1177" s="117"/>
      <c r="J1177" s="118"/>
      <c r="K1177" s="118"/>
      <c r="L1177" s="118"/>
      <c r="M1177" s="118"/>
      <c r="N1177" s="117"/>
      <c r="O1177" s="117"/>
      <c r="P1177" s="117"/>
      <c r="Q1177" s="117"/>
      <c r="R1177" s="117"/>
      <c r="S1177" s="117"/>
      <c r="T1177" s="117"/>
      <c r="U1177" s="117"/>
      <c r="V1177" s="117"/>
      <c r="W1177" s="117"/>
      <c r="X1177" s="117"/>
      <c r="Y1177" s="117"/>
      <c r="Z1177" s="117"/>
      <c r="AA1177" s="117"/>
      <c r="AB1177" s="117"/>
      <c r="AC1177" s="117"/>
      <c r="AD1177" s="117"/>
      <c r="AE1177" s="117"/>
      <c r="AF1177" s="117"/>
      <c r="AG1177" s="117"/>
      <c r="AH1177" s="117"/>
      <c r="AI1177" s="117"/>
      <c r="AJ1177" s="117"/>
      <c r="AK1177" s="117"/>
      <c r="AL1177" s="117"/>
      <c r="AM1177" s="117"/>
      <c r="AN1177" s="117"/>
      <c r="AO1177" s="117"/>
      <c r="AP1177" s="117"/>
      <c r="AQ1177" s="117"/>
      <c r="AR1177" s="117"/>
      <c r="AS1177" s="117"/>
      <c r="AT1177" s="117"/>
      <c r="AU1177" s="117"/>
      <c r="AV1177" s="117"/>
      <c r="AW1177" s="117"/>
      <c r="AX1177" s="117"/>
      <c r="AY1177" s="117"/>
      <c r="AZ1177" s="117"/>
      <c r="BA1177" s="117"/>
      <c r="BB1177" s="117"/>
      <c r="BC1177" s="117"/>
      <c r="BD1177" s="117"/>
      <c r="BE1177" s="117"/>
      <c r="BF1177" s="117"/>
      <c r="BG1177" s="117"/>
    </row>
    <row r="1178" spans="1:59">
      <c r="A1178" s="117"/>
      <c r="B1178" s="117"/>
      <c r="C1178" s="117"/>
      <c r="D1178" s="117"/>
      <c r="E1178" s="117"/>
      <c r="F1178" s="117"/>
      <c r="G1178" s="117"/>
      <c r="H1178" s="117"/>
      <c r="I1178" s="117"/>
      <c r="J1178" s="118"/>
      <c r="K1178" s="118"/>
      <c r="L1178" s="118"/>
      <c r="M1178" s="118"/>
      <c r="N1178" s="117"/>
      <c r="O1178" s="117"/>
      <c r="P1178" s="117"/>
      <c r="Q1178" s="117"/>
      <c r="R1178" s="117"/>
      <c r="S1178" s="117"/>
      <c r="T1178" s="117"/>
      <c r="U1178" s="117"/>
      <c r="V1178" s="117"/>
      <c r="W1178" s="117"/>
      <c r="X1178" s="117"/>
      <c r="Y1178" s="117"/>
      <c r="Z1178" s="117"/>
      <c r="AA1178" s="117"/>
      <c r="AB1178" s="117"/>
      <c r="AC1178" s="117"/>
      <c r="AD1178" s="117"/>
      <c r="AE1178" s="117"/>
      <c r="AF1178" s="117"/>
      <c r="AG1178" s="117"/>
      <c r="AH1178" s="117"/>
      <c r="AI1178" s="117"/>
      <c r="AJ1178" s="117"/>
      <c r="AK1178" s="117"/>
      <c r="AL1178" s="117"/>
      <c r="AM1178" s="117"/>
      <c r="AN1178" s="117"/>
      <c r="AO1178" s="117"/>
      <c r="AP1178" s="117"/>
      <c r="AQ1178" s="117"/>
      <c r="AR1178" s="117"/>
      <c r="AS1178" s="117"/>
      <c r="AT1178" s="117"/>
      <c r="AU1178" s="117"/>
      <c r="AV1178" s="117"/>
      <c r="AW1178" s="117"/>
      <c r="AX1178" s="117"/>
      <c r="AY1178" s="117"/>
      <c r="AZ1178" s="117"/>
      <c r="BA1178" s="117"/>
      <c r="BB1178" s="117"/>
      <c r="BC1178" s="117"/>
      <c r="BD1178" s="117"/>
      <c r="BE1178" s="117"/>
      <c r="BF1178" s="117"/>
      <c r="BG1178" s="117"/>
    </row>
    <row r="1179" spans="1:59">
      <c r="A1179" s="117"/>
      <c r="B1179" s="117"/>
      <c r="C1179" s="117"/>
      <c r="D1179" s="117"/>
      <c r="E1179" s="117"/>
      <c r="F1179" s="117"/>
      <c r="G1179" s="117"/>
      <c r="H1179" s="117"/>
      <c r="I1179" s="117"/>
      <c r="J1179" s="118"/>
      <c r="K1179" s="118"/>
      <c r="L1179" s="118"/>
      <c r="M1179" s="118"/>
      <c r="N1179" s="117"/>
      <c r="O1179" s="117"/>
      <c r="P1179" s="117"/>
      <c r="Q1179" s="117"/>
      <c r="R1179" s="117"/>
      <c r="S1179" s="117"/>
      <c r="T1179" s="117"/>
      <c r="U1179" s="117"/>
      <c r="V1179" s="117"/>
      <c r="W1179" s="117"/>
      <c r="X1179" s="117"/>
      <c r="Y1179" s="117"/>
      <c r="Z1179" s="117"/>
      <c r="AA1179" s="117"/>
      <c r="AB1179" s="117"/>
      <c r="AC1179" s="117"/>
      <c r="AD1179" s="117"/>
      <c r="AE1179" s="117"/>
      <c r="AF1179" s="117"/>
      <c r="AG1179" s="117"/>
      <c r="AH1179" s="117"/>
      <c r="AI1179" s="117"/>
      <c r="AJ1179" s="117"/>
      <c r="AK1179" s="117"/>
      <c r="AL1179" s="117"/>
      <c r="AM1179" s="117"/>
      <c r="AN1179" s="117"/>
      <c r="AO1179" s="117"/>
      <c r="AP1179" s="117"/>
      <c r="AQ1179" s="117"/>
      <c r="AR1179" s="117"/>
      <c r="AS1179" s="117"/>
      <c r="AT1179" s="117"/>
      <c r="AU1179" s="117"/>
      <c r="AV1179" s="117"/>
      <c r="AW1179" s="117"/>
      <c r="AX1179" s="117"/>
      <c r="AY1179" s="117"/>
      <c r="AZ1179" s="117"/>
      <c r="BA1179" s="117"/>
      <c r="BB1179" s="117"/>
      <c r="BC1179" s="117"/>
      <c r="BD1179" s="117"/>
      <c r="BE1179" s="117"/>
      <c r="BF1179" s="117"/>
      <c r="BG1179" s="117"/>
    </row>
    <row r="1180" spans="1:59">
      <c r="A1180" s="117"/>
      <c r="B1180" s="117"/>
      <c r="C1180" s="117"/>
      <c r="D1180" s="117"/>
      <c r="E1180" s="117"/>
      <c r="F1180" s="117"/>
      <c r="G1180" s="117"/>
      <c r="H1180" s="117"/>
      <c r="I1180" s="117"/>
      <c r="J1180" s="118"/>
      <c r="K1180" s="118"/>
      <c r="L1180" s="118"/>
      <c r="M1180" s="118"/>
      <c r="N1180" s="117"/>
      <c r="O1180" s="117"/>
      <c r="P1180" s="117"/>
      <c r="Q1180" s="117"/>
      <c r="R1180" s="117"/>
      <c r="S1180" s="117"/>
      <c r="T1180" s="117"/>
      <c r="U1180" s="117"/>
      <c r="V1180" s="117"/>
      <c r="W1180" s="117"/>
      <c r="X1180" s="117"/>
      <c r="Y1180" s="117"/>
      <c r="Z1180" s="117"/>
      <c r="AA1180" s="117"/>
      <c r="AB1180" s="117"/>
      <c r="AC1180" s="117"/>
      <c r="AD1180" s="117"/>
      <c r="AE1180" s="117"/>
      <c r="AF1180" s="117"/>
      <c r="AG1180" s="117"/>
      <c r="AH1180" s="117"/>
      <c r="AI1180" s="117"/>
      <c r="AJ1180" s="117"/>
      <c r="AK1180" s="117"/>
      <c r="AL1180" s="117"/>
      <c r="AM1180" s="117"/>
      <c r="AN1180" s="117"/>
      <c r="AO1180" s="117"/>
      <c r="AP1180" s="117"/>
      <c r="AQ1180" s="117"/>
      <c r="AR1180" s="117"/>
      <c r="AS1180" s="117"/>
      <c r="AT1180" s="117"/>
      <c r="AU1180" s="117"/>
      <c r="AV1180" s="117"/>
      <c r="AW1180" s="117"/>
      <c r="AX1180" s="117"/>
      <c r="AY1180" s="117"/>
      <c r="AZ1180" s="117"/>
      <c r="BA1180" s="117"/>
      <c r="BB1180" s="117"/>
      <c r="BC1180" s="117"/>
      <c r="BD1180" s="117"/>
      <c r="BE1180" s="117"/>
      <c r="BF1180" s="117"/>
      <c r="BG1180" s="117"/>
    </row>
    <row r="1181" spans="1:59">
      <c r="A1181" s="117"/>
      <c r="B1181" s="117"/>
      <c r="C1181" s="117"/>
      <c r="D1181" s="117"/>
      <c r="E1181" s="117"/>
      <c r="F1181" s="117"/>
      <c r="G1181" s="117"/>
      <c r="H1181" s="117"/>
      <c r="I1181" s="117"/>
      <c r="J1181" s="118"/>
      <c r="K1181" s="118"/>
      <c r="L1181" s="118"/>
      <c r="M1181" s="118"/>
      <c r="N1181" s="117"/>
      <c r="O1181" s="117"/>
      <c r="P1181" s="117"/>
      <c r="Q1181" s="117"/>
      <c r="R1181" s="117"/>
      <c r="S1181" s="117"/>
      <c r="T1181" s="117"/>
      <c r="U1181" s="117"/>
      <c r="V1181" s="117"/>
      <c r="W1181" s="117"/>
      <c r="X1181" s="117"/>
      <c r="Y1181" s="117"/>
      <c r="Z1181" s="117"/>
      <c r="AA1181" s="117"/>
      <c r="AB1181" s="117"/>
      <c r="AC1181" s="117"/>
      <c r="AD1181" s="117"/>
      <c r="AE1181" s="117"/>
      <c r="AF1181" s="117"/>
      <c r="AG1181" s="117"/>
      <c r="AH1181" s="117"/>
      <c r="AI1181" s="117"/>
      <c r="AJ1181" s="117"/>
      <c r="AK1181" s="117"/>
      <c r="AL1181" s="117"/>
      <c r="AM1181" s="117"/>
      <c r="AN1181" s="117"/>
      <c r="AO1181" s="117"/>
      <c r="AP1181" s="117"/>
      <c r="AQ1181" s="117"/>
      <c r="AR1181" s="117"/>
      <c r="AS1181" s="117"/>
      <c r="AT1181" s="117"/>
      <c r="AU1181" s="117"/>
      <c r="AV1181" s="117"/>
      <c r="AW1181" s="117"/>
      <c r="AX1181" s="117"/>
      <c r="AY1181" s="117"/>
      <c r="AZ1181" s="117"/>
      <c r="BA1181" s="117"/>
      <c r="BB1181" s="117"/>
      <c r="BC1181" s="117"/>
      <c r="BD1181" s="117"/>
      <c r="BE1181" s="117"/>
      <c r="BF1181" s="117"/>
      <c r="BG1181" s="117"/>
    </row>
    <row r="1182" spans="1:59">
      <c r="A1182" s="117"/>
      <c r="B1182" s="117"/>
      <c r="C1182" s="117"/>
      <c r="D1182" s="117"/>
      <c r="E1182" s="117"/>
      <c r="F1182" s="117"/>
      <c r="G1182" s="117"/>
      <c r="H1182" s="117"/>
      <c r="I1182" s="117"/>
      <c r="J1182" s="118"/>
      <c r="K1182" s="118"/>
      <c r="L1182" s="118"/>
      <c r="M1182" s="118"/>
      <c r="N1182" s="117"/>
      <c r="O1182" s="117"/>
      <c r="P1182" s="117"/>
      <c r="Q1182" s="117"/>
      <c r="R1182" s="117"/>
      <c r="S1182" s="117"/>
      <c r="T1182" s="117"/>
      <c r="U1182" s="117"/>
      <c r="V1182" s="117"/>
      <c r="W1182" s="117"/>
      <c r="X1182" s="117"/>
      <c r="Y1182" s="117"/>
      <c r="Z1182" s="117"/>
      <c r="AA1182" s="117"/>
      <c r="AB1182" s="117"/>
      <c r="AC1182" s="117"/>
      <c r="AD1182" s="117"/>
      <c r="AE1182" s="117"/>
      <c r="AF1182" s="117"/>
      <c r="AG1182" s="117"/>
      <c r="AH1182" s="117"/>
      <c r="AI1182" s="117"/>
      <c r="AJ1182" s="117"/>
      <c r="AK1182" s="117"/>
      <c r="AL1182" s="117"/>
      <c r="AM1182" s="117"/>
      <c r="AN1182" s="117"/>
      <c r="AO1182" s="117"/>
      <c r="AP1182" s="117"/>
      <c r="AQ1182" s="117"/>
      <c r="AR1182" s="117"/>
      <c r="AS1182" s="117"/>
      <c r="AT1182" s="117"/>
      <c r="AU1182" s="117"/>
      <c r="AV1182" s="117"/>
      <c r="AW1182" s="117"/>
      <c r="AX1182" s="117"/>
      <c r="AY1182" s="117"/>
      <c r="AZ1182" s="117"/>
      <c r="BA1182" s="117"/>
      <c r="BB1182" s="117"/>
      <c r="BC1182" s="117"/>
      <c r="BD1182" s="117"/>
      <c r="BE1182" s="117"/>
      <c r="BF1182" s="117"/>
      <c r="BG1182" s="117"/>
    </row>
    <row r="1183" spans="1:59">
      <c r="A1183" s="117"/>
      <c r="B1183" s="117"/>
      <c r="C1183" s="117"/>
      <c r="D1183" s="117"/>
      <c r="E1183" s="117"/>
      <c r="F1183" s="117"/>
      <c r="G1183" s="117"/>
      <c r="H1183" s="117"/>
      <c r="I1183" s="117"/>
      <c r="J1183" s="118"/>
      <c r="K1183" s="118"/>
      <c r="L1183" s="118"/>
      <c r="M1183" s="118"/>
      <c r="N1183" s="117"/>
      <c r="O1183" s="117"/>
      <c r="P1183" s="117"/>
      <c r="Q1183" s="117"/>
      <c r="R1183" s="117"/>
      <c r="S1183" s="117"/>
      <c r="T1183" s="117"/>
      <c r="U1183" s="117"/>
      <c r="V1183" s="117"/>
      <c r="W1183" s="117"/>
      <c r="X1183" s="117"/>
      <c r="Y1183" s="117"/>
      <c r="Z1183" s="117"/>
      <c r="AA1183" s="117"/>
      <c r="AB1183" s="117"/>
      <c r="AC1183" s="117"/>
      <c r="AD1183" s="117"/>
      <c r="AE1183" s="117"/>
      <c r="AF1183" s="117"/>
      <c r="AG1183" s="117"/>
      <c r="AH1183" s="117"/>
      <c r="AI1183" s="117"/>
      <c r="AJ1183" s="117"/>
      <c r="AK1183" s="117"/>
      <c r="AL1183" s="117"/>
      <c r="AM1183" s="117"/>
      <c r="AN1183" s="117"/>
      <c r="AO1183" s="117"/>
      <c r="AP1183" s="117"/>
      <c r="AQ1183" s="117"/>
      <c r="AR1183" s="117"/>
      <c r="AS1183" s="117"/>
      <c r="AT1183" s="117"/>
      <c r="AU1183" s="117"/>
      <c r="AV1183" s="117"/>
      <c r="AW1183" s="117"/>
      <c r="AX1183" s="117"/>
      <c r="AY1183" s="117"/>
      <c r="AZ1183" s="117"/>
      <c r="BA1183" s="117"/>
      <c r="BB1183" s="117"/>
      <c r="BC1183" s="117"/>
      <c r="BD1183" s="117"/>
      <c r="BE1183" s="117"/>
      <c r="BF1183" s="117"/>
      <c r="BG1183" s="117"/>
    </row>
    <row r="1184" spans="1:59">
      <c r="A1184" s="117"/>
      <c r="B1184" s="117"/>
      <c r="C1184" s="117"/>
      <c r="D1184" s="117"/>
      <c r="E1184" s="117"/>
      <c r="F1184" s="117"/>
      <c r="G1184" s="117"/>
      <c r="H1184" s="117"/>
      <c r="I1184" s="117"/>
      <c r="J1184" s="118"/>
      <c r="K1184" s="118"/>
      <c r="L1184" s="118"/>
      <c r="M1184" s="118"/>
      <c r="N1184" s="117"/>
      <c r="O1184" s="117"/>
      <c r="P1184" s="117"/>
      <c r="Q1184" s="117"/>
      <c r="R1184" s="117"/>
      <c r="S1184" s="117"/>
      <c r="T1184" s="117"/>
      <c r="U1184" s="117"/>
      <c r="V1184" s="117"/>
      <c r="W1184" s="117"/>
      <c r="X1184" s="117"/>
      <c r="Y1184" s="117"/>
      <c r="Z1184" s="117"/>
      <c r="AA1184" s="117"/>
      <c r="AB1184" s="117"/>
      <c r="AC1184" s="117"/>
      <c r="AD1184" s="117"/>
      <c r="AE1184" s="117"/>
      <c r="AF1184" s="117"/>
      <c r="AG1184" s="117"/>
      <c r="AH1184" s="117"/>
      <c r="AI1184" s="117"/>
      <c r="AJ1184" s="117"/>
      <c r="AK1184" s="117"/>
      <c r="AL1184" s="117"/>
      <c r="AM1184" s="117"/>
      <c r="AN1184" s="117"/>
      <c r="AO1184" s="117"/>
      <c r="AP1184" s="117"/>
      <c r="AQ1184" s="117"/>
      <c r="AR1184" s="117"/>
      <c r="AS1184" s="117"/>
      <c r="AT1184" s="117"/>
      <c r="AU1184" s="117"/>
      <c r="AV1184" s="117"/>
      <c r="AW1184" s="117"/>
      <c r="AX1184" s="117"/>
      <c r="AY1184" s="117"/>
      <c r="AZ1184" s="117"/>
      <c r="BA1184" s="117"/>
      <c r="BB1184" s="117"/>
      <c r="BC1184" s="117"/>
      <c r="BD1184" s="117"/>
      <c r="BE1184" s="117"/>
      <c r="BF1184" s="117"/>
      <c r="BG1184" s="117"/>
    </row>
    <row r="1185" spans="1:59">
      <c r="A1185" s="117"/>
      <c r="B1185" s="117"/>
      <c r="C1185" s="117"/>
      <c r="D1185" s="117"/>
      <c r="E1185" s="117"/>
      <c r="F1185" s="117"/>
      <c r="G1185" s="117"/>
      <c r="H1185" s="117"/>
      <c r="I1185" s="117"/>
      <c r="J1185" s="118"/>
      <c r="K1185" s="118"/>
      <c r="L1185" s="118"/>
      <c r="M1185" s="118"/>
      <c r="N1185" s="117"/>
      <c r="O1185" s="117"/>
      <c r="P1185" s="117"/>
      <c r="Q1185" s="117"/>
      <c r="R1185" s="117"/>
      <c r="S1185" s="117"/>
      <c r="T1185" s="117"/>
      <c r="U1185" s="117"/>
      <c r="V1185" s="117"/>
      <c r="W1185" s="117"/>
      <c r="X1185" s="117"/>
      <c r="Y1185" s="117"/>
      <c r="Z1185" s="117"/>
      <c r="AA1185" s="117"/>
      <c r="AB1185" s="117"/>
      <c r="AC1185" s="117"/>
      <c r="AD1185" s="117"/>
      <c r="AE1185" s="117"/>
      <c r="AF1185" s="117"/>
      <c r="AG1185" s="117"/>
      <c r="AH1185" s="117"/>
      <c r="AI1185" s="117"/>
      <c r="AJ1185" s="117"/>
      <c r="AK1185" s="117"/>
      <c r="AL1185" s="117"/>
      <c r="AM1185" s="117"/>
      <c r="AN1185" s="117"/>
      <c r="AO1185" s="117"/>
      <c r="AP1185" s="117"/>
      <c r="AQ1185" s="117"/>
      <c r="AR1185" s="117"/>
      <c r="AS1185" s="117"/>
      <c r="AT1185" s="117"/>
      <c r="AU1185" s="117"/>
      <c r="AV1185" s="117"/>
      <c r="AW1185" s="117"/>
      <c r="AX1185" s="117"/>
      <c r="AY1185" s="117"/>
      <c r="AZ1185" s="117"/>
      <c r="BA1185" s="117"/>
      <c r="BB1185" s="117"/>
      <c r="BC1185" s="117"/>
      <c r="BD1185" s="117"/>
      <c r="BE1185" s="117"/>
      <c r="BF1185" s="117"/>
      <c r="BG1185" s="117"/>
    </row>
    <row r="1186" spans="1:59">
      <c r="A1186" s="117"/>
      <c r="B1186" s="117"/>
      <c r="C1186" s="117"/>
      <c r="D1186" s="117"/>
      <c r="E1186" s="117"/>
      <c r="F1186" s="117"/>
      <c r="G1186" s="117"/>
      <c r="H1186" s="117"/>
      <c r="I1186" s="117"/>
      <c r="J1186" s="118"/>
      <c r="K1186" s="118"/>
      <c r="L1186" s="118"/>
      <c r="M1186" s="118"/>
      <c r="N1186" s="117"/>
      <c r="O1186" s="117"/>
      <c r="P1186" s="117"/>
      <c r="Q1186" s="117"/>
      <c r="R1186" s="117"/>
      <c r="S1186" s="117"/>
      <c r="T1186" s="117"/>
      <c r="U1186" s="117"/>
      <c r="V1186" s="117"/>
      <c r="W1186" s="117"/>
      <c r="X1186" s="117"/>
      <c r="Y1186" s="117"/>
      <c r="Z1186" s="117"/>
      <c r="AA1186" s="117"/>
      <c r="AB1186" s="117"/>
      <c r="AC1186" s="117"/>
      <c r="AD1186" s="117"/>
      <c r="AE1186" s="117"/>
      <c r="AF1186" s="117"/>
      <c r="AG1186" s="117"/>
      <c r="AH1186" s="117"/>
      <c r="AI1186" s="117"/>
      <c r="AJ1186" s="117"/>
      <c r="AK1186" s="117"/>
      <c r="AL1186" s="117"/>
      <c r="AM1186" s="117"/>
      <c r="AN1186" s="117"/>
      <c r="AO1186" s="117"/>
      <c r="AP1186" s="117"/>
      <c r="AQ1186" s="117"/>
      <c r="AR1186" s="117"/>
      <c r="AS1186" s="117"/>
      <c r="AT1186" s="117"/>
      <c r="AU1186" s="117"/>
      <c r="AV1186" s="117"/>
      <c r="AW1186" s="117"/>
      <c r="AX1186" s="117"/>
      <c r="AY1186" s="117"/>
      <c r="AZ1186" s="117"/>
      <c r="BA1186" s="117"/>
      <c r="BB1186" s="117"/>
      <c r="BC1186" s="117"/>
      <c r="BD1186" s="117"/>
      <c r="BE1186" s="117"/>
      <c r="BF1186" s="117"/>
      <c r="BG1186" s="117"/>
    </row>
    <row r="1187" spans="1:59">
      <c r="A1187" s="117"/>
      <c r="B1187" s="117"/>
      <c r="C1187" s="117"/>
      <c r="D1187" s="117"/>
      <c r="E1187" s="117"/>
      <c r="F1187" s="117"/>
      <c r="G1187" s="117"/>
      <c r="H1187" s="117"/>
      <c r="I1187" s="117"/>
      <c r="J1187" s="118"/>
      <c r="K1187" s="118"/>
      <c r="L1187" s="118"/>
      <c r="M1187" s="118"/>
      <c r="N1187" s="117"/>
      <c r="O1187" s="117"/>
      <c r="P1187" s="117"/>
      <c r="Q1187" s="117"/>
      <c r="R1187" s="117"/>
      <c r="S1187" s="117"/>
      <c r="T1187" s="117"/>
      <c r="U1187" s="117"/>
      <c r="V1187" s="117"/>
      <c r="W1187" s="117"/>
      <c r="X1187" s="117"/>
      <c r="Y1187" s="117"/>
      <c r="Z1187" s="117"/>
      <c r="AA1187" s="117"/>
      <c r="AB1187" s="117"/>
      <c r="AC1187" s="117"/>
      <c r="AD1187" s="117"/>
      <c r="AE1187" s="117"/>
      <c r="AF1187" s="117"/>
      <c r="AG1187" s="117"/>
      <c r="AH1187" s="117"/>
      <c r="AI1187" s="117"/>
      <c r="AJ1187" s="117"/>
      <c r="AK1187" s="117"/>
      <c r="AL1187" s="117"/>
      <c r="AM1187" s="117"/>
      <c r="AN1187" s="117"/>
      <c r="AO1187" s="117"/>
      <c r="AP1187" s="117"/>
      <c r="AQ1187" s="117"/>
      <c r="AR1187" s="117"/>
      <c r="AS1187" s="117"/>
      <c r="AT1187" s="117"/>
      <c r="AU1187" s="117"/>
      <c r="AV1187" s="117"/>
      <c r="AW1187" s="117"/>
      <c r="AX1187" s="117"/>
      <c r="AY1187" s="117"/>
      <c r="AZ1187" s="117"/>
      <c r="BA1187" s="117"/>
      <c r="BB1187" s="117"/>
      <c r="BC1187" s="117"/>
      <c r="BD1187" s="117"/>
      <c r="BE1187" s="117"/>
      <c r="BF1187" s="117"/>
      <c r="BG1187" s="117"/>
    </row>
    <row r="1188" spans="1:59">
      <c r="A1188" s="117"/>
      <c r="B1188" s="117"/>
      <c r="C1188" s="117"/>
      <c r="D1188" s="117"/>
      <c r="E1188" s="117"/>
      <c r="F1188" s="117"/>
      <c r="G1188" s="117"/>
      <c r="H1188" s="117"/>
      <c r="I1188" s="117"/>
      <c r="J1188" s="118"/>
      <c r="K1188" s="118"/>
      <c r="L1188" s="118"/>
      <c r="M1188" s="118"/>
      <c r="N1188" s="117"/>
      <c r="O1188" s="117"/>
      <c r="P1188" s="117"/>
      <c r="Q1188" s="117"/>
      <c r="R1188" s="117"/>
      <c r="S1188" s="117"/>
      <c r="T1188" s="117"/>
      <c r="U1188" s="117"/>
      <c r="V1188" s="117"/>
      <c r="W1188" s="117"/>
      <c r="X1188" s="117"/>
      <c r="Y1188" s="117"/>
      <c r="Z1188" s="117"/>
      <c r="AA1188" s="117"/>
      <c r="AB1188" s="117"/>
      <c r="AC1188" s="117"/>
      <c r="AD1188" s="117"/>
      <c r="AE1188" s="117"/>
      <c r="AF1188" s="117"/>
      <c r="AG1188" s="117"/>
      <c r="AH1188" s="117"/>
      <c r="AI1188" s="117"/>
      <c r="AJ1188" s="117"/>
      <c r="AK1188" s="117"/>
      <c r="AL1188" s="117"/>
      <c r="AM1188" s="117"/>
      <c r="AN1188" s="117"/>
      <c r="AO1188" s="117"/>
      <c r="AP1188" s="117"/>
      <c r="AQ1188" s="117"/>
      <c r="AR1188" s="117"/>
      <c r="AS1188" s="117"/>
      <c r="AT1188" s="117"/>
      <c r="AU1188" s="117"/>
      <c r="AV1188" s="117"/>
      <c r="AW1188" s="117"/>
      <c r="AX1188" s="117"/>
      <c r="AY1188" s="117"/>
      <c r="AZ1188" s="117"/>
      <c r="BA1188" s="117"/>
      <c r="BB1188" s="117"/>
      <c r="BC1188" s="117"/>
      <c r="BD1188" s="117"/>
      <c r="BE1188" s="117"/>
      <c r="BF1188" s="117"/>
      <c r="BG1188" s="117"/>
    </row>
    <row r="1189" spans="1:59">
      <c r="A1189" s="117"/>
      <c r="B1189" s="117"/>
      <c r="C1189" s="117"/>
      <c r="D1189" s="117"/>
      <c r="E1189" s="117"/>
      <c r="F1189" s="117"/>
      <c r="G1189" s="117"/>
      <c r="H1189" s="117"/>
      <c r="I1189" s="117"/>
      <c r="J1189" s="118"/>
      <c r="K1189" s="118"/>
      <c r="L1189" s="118"/>
      <c r="M1189" s="118"/>
      <c r="N1189" s="117"/>
      <c r="O1189" s="117"/>
      <c r="P1189" s="117"/>
      <c r="Q1189" s="117"/>
      <c r="R1189" s="117"/>
      <c r="S1189" s="117"/>
      <c r="T1189" s="117"/>
      <c r="U1189" s="117"/>
      <c r="V1189" s="117"/>
      <c r="W1189" s="117"/>
      <c r="X1189" s="117"/>
      <c r="Y1189" s="117"/>
      <c r="Z1189" s="117"/>
      <c r="AA1189" s="117"/>
      <c r="AB1189" s="117"/>
      <c r="AC1189" s="117"/>
      <c r="AD1189" s="117"/>
      <c r="AE1189" s="117"/>
      <c r="AF1189" s="117"/>
      <c r="AG1189" s="117"/>
      <c r="AH1189" s="117"/>
      <c r="AI1189" s="117"/>
      <c r="AJ1189" s="117"/>
      <c r="AK1189" s="117"/>
      <c r="AL1189" s="117"/>
      <c r="AM1189" s="117"/>
      <c r="AN1189" s="117"/>
      <c r="AO1189" s="117"/>
      <c r="AP1189" s="117"/>
      <c r="AQ1189" s="117"/>
      <c r="AR1189" s="117"/>
      <c r="AS1189" s="117"/>
      <c r="AT1189" s="117"/>
      <c r="AU1189" s="117"/>
      <c r="AV1189" s="117"/>
      <c r="AW1189" s="117"/>
      <c r="AX1189" s="117"/>
      <c r="AY1189" s="117"/>
      <c r="AZ1189" s="117"/>
      <c r="BA1189" s="117"/>
      <c r="BB1189" s="117"/>
      <c r="BC1189" s="117"/>
      <c r="BD1189" s="117"/>
      <c r="BE1189" s="117"/>
      <c r="BF1189" s="117"/>
      <c r="BG1189" s="117"/>
    </row>
    <row r="1190" spans="1:59">
      <c r="A1190" s="117"/>
      <c r="B1190" s="117"/>
      <c r="C1190" s="117"/>
      <c r="D1190" s="117"/>
      <c r="E1190" s="117"/>
      <c r="F1190" s="117"/>
      <c r="G1190" s="117"/>
      <c r="H1190" s="117"/>
      <c r="I1190" s="117"/>
      <c r="J1190" s="118"/>
      <c r="K1190" s="118"/>
      <c r="L1190" s="118"/>
      <c r="M1190" s="118"/>
      <c r="N1190" s="117"/>
      <c r="O1190" s="117"/>
      <c r="P1190" s="117"/>
      <c r="Q1190" s="117"/>
      <c r="R1190" s="117"/>
      <c r="S1190" s="117"/>
      <c r="T1190" s="117"/>
      <c r="U1190" s="117"/>
      <c r="V1190" s="117"/>
      <c r="W1190" s="117"/>
      <c r="X1190" s="117"/>
      <c r="Y1190" s="117"/>
      <c r="Z1190" s="117"/>
      <c r="AA1190" s="117"/>
      <c r="AB1190" s="117"/>
      <c r="AC1190" s="117"/>
      <c r="AD1190" s="117"/>
      <c r="AE1190" s="117"/>
      <c r="AF1190" s="117"/>
      <c r="AG1190" s="117"/>
      <c r="AH1190" s="117"/>
      <c r="AI1190" s="117"/>
      <c r="AJ1190" s="117"/>
      <c r="AK1190" s="117"/>
      <c r="AL1190" s="117"/>
      <c r="AM1190" s="117"/>
      <c r="AN1190" s="117"/>
      <c r="AO1190" s="117"/>
      <c r="AP1190" s="117"/>
      <c r="AQ1190" s="117"/>
      <c r="AR1190" s="117"/>
      <c r="AS1190" s="117"/>
      <c r="AT1190" s="117"/>
      <c r="AU1190" s="117"/>
      <c r="AV1190" s="117"/>
      <c r="AW1190" s="117"/>
      <c r="AX1190" s="117"/>
      <c r="AY1190" s="117"/>
      <c r="AZ1190" s="117"/>
      <c r="BA1190" s="117"/>
      <c r="BB1190" s="117"/>
      <c r="BC1190" s="117"/>
      <c r="BD1190" s="117"/>
      <c r="BE1190" s="117"/>
      <c r="BF1190" s="117"/>
      <c r="BG1190" s="117"/>
    </row>
    <row r="1191" spans="1:59">
      <c r="A1191" s="117"/>
      <c r="B1191" s="117"/>
      <c r="C1191" s="117"/>
      <c r="D1191" s="117"/>
      <c r="E1191" s="117"/>
      <c r="F1191" s="117"/>
      <c r="G1191" s="117"/>
      <c r="H1191" s="117"/>
      <c r="I1191" s="117"/>
      <c r="J1191" s="118"/>
      <c r="K1191" s="118"/>
      <c r="L1191" s="118"/>
      <c r="M1191" s="118"/>
      <c r="N1191" s="117"/>
      <c r="O1191" s="117"/>
      <c r="P1191" s="117"/>
      <c r="Q1191" s="117"/>
      <c r="R1191" s="117"/>
      <c r="S1191" s="117"/>
      <c r="T1191" s="117"/>
      <c r="U1191" s="117"/>
      <c r="V1191" s="117"/>
      <c r="W1191" s="117"/>
      <c r="X1191" s="117"/>
      <c r="Y1191" s="117"/>
      <c r="Z1191" s="117"/>
      <c r="AA1191" s="117"/>
      <c r="AB1191" s="117"/>
      <c r="AC1191" s="117"/>
      <c r="AD1191" s="117"/>
      <c r="AE1191" s="117"/>
      <c r="AF1191" s="117"/>
      <c r="AG1191" s="117"/>
      <c r="AH1191" s="117"/>
      <c r="AI1191" s="117"/>
      <c r="AJ1191" s="117"/>
      <c r="AK1191" s="117"/>
      <c r="AL1191" s="117"/>
      <c r="AM1191" s="117"/>
      <c r="AN1191" s="117"/>
      <c r="AO1191" s="117"/>
      <c r="AP1191" s="117"/>
      <c r="AQ1191" s="117"/>
      <c r="AR1191" s="117"/>
      <c r="AS1191" s="117"/>
      <c r="AT1191" s="117"/>
      <c r="AU1191" s="117"/>
      <c r="AV1191" s="117"/>
      <c r="AW1191" s="117"/>
      <c r="AX1191" s="117"/>
      <c r="AY1191" s="117"/>
      <c r="AZ1191" s="117"/>
      <c r="BA1191" s="117"/>
      <c r="BB1191" s="117"/>
      <c r="BC1191" s="117"/>
      <c r="BD1191" s="117"/>
      <c r="BE1191" s="117"/>
      <c r="BF1191" s="117"/>
      <c r="BG1191" s="117"/>
    </row>
    <row r="1192" spans="1:59">
      <c r="A1192" s="117"/>
      <c r="B1192" s="117"/>
      <c r="C1192" s="117"/>
      <c r="D1192" s="117"/>
      <c r="E1192" s="117"/>
      <c r="F1192" s="117"/>
      <c r="G1192" s="117"/>
      <c r="H1192" s="117"/>
      <c r="I1192" s="117"/>
      <c r="J1192" s="118"/>
      <c r="K1192" s="118"/>
      <c r="L1192" s="118"/>
      <c r="M1192" s="118"/>
      <c r="N1192" s="117"/>
      <c r="O1192" s="117"/>
      <c r="P1192" s="117"/>
      <c r="Q1192" s="117"/>
      <c r="R1192" s="117"/>
      <c r="S1192" s="117"/>
      <c r="T1192" s="117"/>
      <c r="U1192" s="117"/>
      <c r="V1192" s="117"/>
      <c r="W1192" s="117"/>
      <c r="X1192" s="117"/>
      <c r="Y1192" s="117"/>
      <c r="Z1192" s="117"/>
      <c r="AA1192" s="117"/>
      <c r="AB1192" s="117"/>
      <c r="AC1192" s="117"/>
      <c r="AD1192" s="117"/>
      <c r="AE1192" s="117"/>
      <c r="AF1192" s="117"/>
      <c r="AG1192" s="117"/>
      <c r="AH1192" s="117"/>
      <c r="AI1192" s="117"/>
      <c r="AJ1192" s="117"/>
      <c r="AK1192" s="117"/>
      <c r="AL1192" s="117"/>
      <c r="AM1192" s="117"/>
      <c r="AN1192" s="117"/>
      <c r="AO1192" s="117"/>
      <c r="AP1192" s="117"/>
      <c r="AQ1192" s="117"/>
      <c r="AR1192" s="117"/>
      <c r="AS1192" s="117"/>
      <c r="AT1192" s="117"/>
      <c r="AU1192" s="117"/>
      <c r="AV1192" s="117"/>
      <c r="AW1192" s="117"/>
      <c r="AX1192" s="117"/>
      <c r="AY1192" s="117"/>
      <c r="AZ1192" s="117"/>
      <c r="BA1192" s="117"/>
      <c r="BB1192" s="117"/>
      <c r="BC1192" s="117"/>
      <c r="BD1192" s="117"/>
      <c r="BE1192" s="117"/>
      <c r="BF1192" s="117"/>
      <c r="BG1192" s="117"/>
    </row>
    <row r="1193" spans="1:59">
      <c r="A1193" s="117"/>
      <c r="B1193" s="117"/>
      <c r="C1193" s="117"/>
      <c r="D1193" s="117"/>
      <c r="E1193" s="117"/>
      <c r="F1193" s="117"/>
      <c r="G1193" s="117"/>
      <c r="H1193" s="117"/>
      <c r="I1193" s="117"/>
      <c r="J1193" s="118"/>
      <c r="K1193" s="118"/>
      <c r="L1193" s="118"/>
      <c r="M1193" s="118"/>
      <c r="N1193" s="117"/>
      <c r="O1193" s="117"/>
      <c r="P1193" s="117"/>
      <c r="Q1193" s="117"/>
      <c r="R1193" s="117"/>
      <c r="S1193" s="117"/>
      <c r="T1193" s="117"/>
      <c r="U1193" s="117"/>
      <c r="V1193" s="117"/>
      <c r="W1193" s="117"/>
      <c r="X1193" s="117"/>
      <c r="Y1193" s="117"/>
      <c r="Z1193" s="117"/>
      <c r="AA1193" s="117"/>
      <c r="AB1193" s="117"/>
      <c r="AC1193" s="117"/>
      <c r="AD1193" s="117"/>
      <c r="AE1193" s="117"/>
      <c r="AF1193" s="117"/>
      <c r="AG1193" s="117"/>
      <c r="AH1193" s="117"/>
      <c r="AI1193" s="117"/>
      <c r="AJ1193" s="117"/>
      <c r="AK1193" s="117"/>
      <c r="AL1193" s="117"/>
      <c r="AM1193" s="117"/>
      <c r="AN1193" s="117"/>
      <c r="AO1193" s="117"/>
      <c r="AP1193" s="117"/>
      <c r="AQ1193" s="117"/>
      <c r="AR1193" s="117"/>
      <c r="AS1193" s="117"/>
      <c r="AT1193" s="117"/>
      <c r="AU1193" s="117"/>
      <c r="AV1193" s="117"/>
      <c r="AW1193" s="117"/>
      <c r="AX1193" s="117"/>
      <c r="AY1193" s="117"/>
      <c r="AZ1193" s="117"/>
      <c r="BA1193" s="117"/>
      <c r="BB1193" s="117"/>
      <c r="BC1193" s="117"/>
      <c r="BD1193" s="117"/>
      <c r="BE1193" s="117"/>
      <c r="BF1193" s="117"/>
      <c r="BG1193" s="117"/>
    </row>
    <row r="1194" spans="1:59">
      <c r="A1194" s="117"/>
      <c r="B1194" s="117"/>
      <c r="C1194" s="117"/>
      <c r="D1194" s="117"/>
      <c r="E1194" s="117"/>
      <c r="F1194" s="117"/>
      <c r="G1194" s="117"/>
      <c r="H1194" s="117"/>
      <c r="I1194" s="117"/>
      <c r="J1194" s="118"/>
      <c r="K1194" s="118"/>
      <c r="L1194" s="118"/>
      <c r="M1194" s="118"/>
      <c r="N1194" s="117"/>
      <c r="O1194" s="117"/>
      <c r="P1194" s="117"/>
      <c r="Q1194" s="117"/>
      <c r="R1194" s="117"/>
      <c r="S1194" s="117"/>
      <c r="T1194" s="117"/>
      <c r="U1194" s="117"/>
      <c r="V1194" s="117"/>
      <c r="W1194" s="117"/>
      <c r="X1194" s="117"/>
      <c r="Y1194" s="117"/>
      <c r="Z1194" s="117"/>
      <c r="AA1194" s="117"/>
      <c r="AB1194" s="117"/>
      <c r="AC1194" s="117"/>
      <c r="AD1194" s="117"/>
      <c r="AE1194" s="117"/>
      <c r="AF1194" s="117"/>
      <c r="AG1194" s="117"/>
      <c r="AH1194" s="117"/>
      <c r="AI1194" s="117"/>
      <c r="AJ1194" s="117"/>
      <c r="AK1194" s="117"/>
      <c r="AL1194" s="117"/>
      <c r="AM1194" s="117"/>
      <c r="AN1194" s="117"/>
      <c r="AO1194" s="117"/>
      <c r="AP1194" s="117"/>
      <c r="AQ1194" s="117"/>
      <c r="AR1194" s="117"/>
      <c r="AS1194" s="117"/>
      <c r="AT1194" s="117"/>
      <c r="AU1194" s="117"/>
      <c r="AV1194" s="117"/>
      <c r="AW1194" s="117"/>
      <c r="AX1194" s="117"/>
      <c r="AY1194" s="117"/>
      <c r="AZ1194" s="117"/>
      <c r="BA1194" s="117"/>
      <c r="BB1194" s="117"/>
      <c r="BC1194" s="117"/>
      <c r="BD1194" s="117"/>
      <c r="BE1194" s="117"/>
      <c r="BF1194" s="117"/>
      <c r="BG1194" s="117"/>
    </row>
    <row r="1195" spans="1:59">
      <c r="A1195" s="117"/>
      <c r="B1195" s="117"/>
      <c r="C1195" s="117"/>
      <c r="D1195" s="117"/>
      <c r="E1195" s="117"/>
      <c r="F1195" s="117"/>
      <c r="G1195" s="117"/>
      <c r="H1195" s="117"/>
      <c r="I1195" s="117"/>
      <c r="J1195" s="118"/>
      <c r="K1195" s="118"/>
      <c r="L1195" s="118"/>
      <c r="M1195" s="118"/>
      <c r="N1195" s="117"/>
      <c r="O1195" s="117"/>
      <c r="P1195" s="117"/>
      <c r="Q1195" s="117"/>
      <c r="R1195" s="117"/>
      <c r="S1195" s="117"/>
      <c r="T1195" s="117"/>
      <c r="U1195" s="117"/>
      <c r="V1195" s="117"/>
      <c r="W1195" s="117"/>
      <c r="X1195" s="117"/>
      <c r="Y1195" s="117"/>
      <c r="Z1195" s="117"/>
      <c r="AA1195" s="117"/>
      <c r="AB1195" s="117"/>
      <c r="AC1195" s="117"/>
      <c r="AD1195" s="117"/>
      <c r="AE1195" s="117"/>
      <c r="AF1195" s="117"/>
      <c r="AG1195" s="117"/>
      <c r="AH1195" s="117"/>
      <c r="AI1195" s="117"/>
      <c r="AJ1195" s="117"/>
      <c r="AK1195" s="117"/>
      <c r="AL1195" s="117"/>
      <c r="AM1195" s="117"/>
      <c r="AN1195" s="117"/>
      <c r="AO1195" s="117"/>
      <c r="AP1195" s="117"/>
      <c r="AQ1195" s="117"/>
      <c r="AR1195" s="117"/>
      <c r="AS1195" s="117"/>
      <c r="AT1195" s="117"/>
      <c r="AU1195" s="117"/>
      <c r="AV1195" s="117"/>
      <c r="AW1195" s="117"/>
      <c r="AX1195" s="117"/>
      <c r="AY1195" s="117"/>
      <c r="AZ1195" s="117"/>
      <c r="BA1195" s="117"/>
      <c r="BB1195" s="117"/>
      <c r="BC1195" s="117"/>
      <c r="BD1195" s="117"/>
      <c r="BE1195" s="117"/>
      <c r="BF1195" s="117"/>
      <c r="BG1195" s="117"/>
    </row>
    <row r="1196" spans="1:59">
      <c r="A1196" s="117"/>
      <c r="B1196" s="117"/>
      <c r="C1196" s="117"/>
      <c r="D1196" s="117"/>
      <c r="E1196" s="117"/>
      <c r="F1196" s="117"/>
      <c r="G1196" s="117"/>
      <c r="H1196" s="117"/>
      <c r="I1196" s="117"/>
      <c r="J1196" s="118"/>
      <c r="K1196" s="118"/>
      <c r="L1196" s="118"/>
      <c r="M1196" s="118"/>
      <c r="N1196" s="117"/>
      <c r="O1196" s="117"/>
      <c r="P1196" s="117"/>
      <c r="Q1196" s="117"/>
      <c r="R1196" s="117"/>
      <c r="S1196" s="117"/>
      <c r="T1196" s="117"/>
      <c r="U1196" s="117"/>
      <c r="V1196" s="117"/>
      <c r="W1196" s="117"/>
      <c r="X1196" s="117"/>
      <c r="Y1196" s="117"/>
      <c r="Z1196" s="117"/>
      <c r="AA1196" s="117"/>
      <c r="AB1196" s="117"/>
      <c r="AC1196" s="117"/>
      <c r="AD1196" s="117"/>
      <c r="AE1196" s="117"/>
      <c r="AF1196" s="117"/>
      <c r="AG1196" s="117"/>
      <c r="AH1196" s="117"/>
      <c r="AI1196" s="117"/>
      <c r="AJ1196" s="117"/>
      <c r="AK1196" s="117"/>
      <c r="AL1196" s="117"/>
      <c r="AM1196" s="117"/>
      <c r="AN1196" s="117"/>
      <c r="AO1196" s="117"/>
      <c r="AP1196" s="117"/>
      <c r="AQ1196" s="117"/>
      <c r="AR1196" s="117"/>
      <c r="AS1196" s="117"/>
      <c r="AT1196" s="117"/>
      <c r="AU1196" s="117"/>
      <c r="AV1196" s="117"/>
      <c r="AW1196" s="117"/>
      <c r="AX1196" s="117"/>
      <c r="AY1196" s="117"/>
      <c r="AZ1196" s="117"/>
      <c r="BA1196" s="117"/>
      <c r="BB1196" s="117"/>
      <c r="BC1196" s="117"/>
      <c r="BD1196" s="117"/>
      <c r="BE1196" s="117"/>
      <c r="BF1196" s="117"/>
      <c r="BG1196" s="117"/>
    </row>
    <row r="1197" spans="1:59">
      <c r="A1197" s="117"/>
      <c r="B1197" s="117"/>
      <c r="C1197" s="117"/>
      <c r="D1197" s="117"/>
      <c r="E1197" s="117"/>
      <c r="F1197" s="117"/>
      <c r="G1197" s="117"/>
      <c r="H1197" s="117"/>
      <c r="I1197" s="117"/>
      <c r="J1197" s="118"/>
      <c r="K1197" s="118"/>
      <c r="L1197" s="118"/>
      <c r="M1197" s="118"/>
      <c r="N1197" s="117"/>
      <c r="O1197" s="117"/>
      <c r="P1197" s="117"/>
      <c r="Q1197" s="117"/>
      <c r="R1197" s="117"/>
      <c r="S1197" s="117"/>
      <c r="T1197" s="117"/>
      <c r="U1197" s="117"/>
      <c r="V1197" s="117"/>
      <c r="W1197" s="117"/>
      <c r="X1197" s="117"/>
      <c r="Y1197" s="117"/>
      <c r="Z1197" s="117"/>
      <c r="AA1197" s="117"/>
      <c r="AB1197" s="117"/>
      <c r="AC1197" s="117"/>
      <c r="AD1197" s="117"/>
      <c r="AE1197" s="117"/>
      <c r="AF1197" s="117"/>
      <c r="AG1197" s="117"/>
      <c r="AH1197" s="117"/>
      <c r="AI1197" s="117"/>
      <c r="AJ1197" s="117"/>
      <c r="AK1197" s="117"/>
      <c r="AL1197" s="117"/>
      <c r="AM1197" s="117"/>
      <c r="AN1197" s="117"/>
      <c r="AO1197" s="117"/>
      <c r="AP1197" s="117"/>
      <c r="AQ1197" s="117"/>
      <c r="AR1197" s="117"/>
      <c r="AS1197" s="117"/>
      <c r="AT1197" s="117"/>
      <c r="AU1197" s="117"/>
      <c r="AV1197" s="117"/>
      <c r="AW1197" s="117"/>
      <c r="AX1197" s="117"/>
      <c r="AY1197" s="117"/>
      <c r="AZ1197" s="117"/>
      <c r="BA1197" s="117"/>
      <c r="BB1197" s="117"/>
      <c r="BC1197" s="117"/>
      <c r="BD1197" s="117"/>
      <c r="BE1197" s="117"/>
      <c r="BF1197" s="117"/>
      <c r="BG1197" s="117"/>
    </row>
    <row r="1198" spans="1:59">
      <c r="A1198" s="117"/>
      <c r="B1198" s="117"/>
      <c r="C1198" s="117"/>
      <c r="D1198" s="117"/>
      <c r="E1198" s="117"/>
      <c r="F1198" s="117"/>
      <c r="G1198" s="117"/>
      <c r="H1198" s="117"/>
      <c r="I1198" s="117"/>
      <c r="J1198" s="118"/>
      <c r="K1198" s="118"/>
      <c r="L1198" s="118"/>
      <c r="M1198" s="118"/>
      <c r="N1198" s="117"/>
      <c r="O1198" s="117"/>
      <c r="P1198" s="117"/>
      <c r="Q1198" s="117"/>
      <c r="R1198" s="117"/>
      <c r="S1198" s="117"/>
      <c r="T1198" s="117"/>
      <c r="U1198" s="117"/>
      <c r="V1198" s="117"/>
      <c r="W1198" s="117"/>
      <c r="X1198" s="117"/>
      <c r="Y1198" s="117"/>
      <c r="Z1198" s="117"/>
      <c r="AA1198" s="117"/>
      <c r="AB1198" s="117"/>
      <c r="AC1198" s="117"/>
      <c r="AD1198" s="117"/>
      <c r="AE1198" s="117"/>
      <c r="AF1198" s="117"/>
      <c r="AG1198" s="117"/>
      <c r="AH1198" s="117"/>
      <c r="AI1198" s="117"/>
      <c r="AJ1198" s="117"/>
      <c r="AK1198" s="117"/>
      <c r="AL1198" s="117"/>
      <c r="AM1198" s="117"/>
      <c r="AN1198" s="117"/>
      <c r="AO1198" s="117"/>
      <c r="AP1198" s="117"/>
      <c r="AQ1198" s="117"/>
      <c r="AR1198" s="117"/>
      <c r="AS1198" s="117"/>
      <c r="AT1198" s="117"/>
      <c r="AU1198" s="117"/>
      <c r="AV1198" s="117"/>
      <c r="AW1198" s="117"/>
      <c r="AX1198" s="117"/>
      <c r="AY1198" s="117"/>
      <c r="AZ1198" s="117"/>
      <c r="BA1198" s="117"/>
      <c r="BB1198" s="117"/>
      <c r="BC1198" s="117"/>
      <c r="BD1198" s="117"/>
      <c r="BE1198" s="117"/>
      <c r="BF1198" s="117"/>
      <c r="BG1198" s="117"/>
    </row>
    <row r="1199" spans="1:59">
      <c r="A1199" s="117"/>
      <c r="B1199" s="117"/>
      <c r="C1199" s="117"/>
      <c r="D1199" s="117"/>
      <c r="E1199" s="117"/>
      <c r="F1199" s="117"/>
      <c r="G1199" s="117"/>
      <c r="H1199" s="117"/>
      <c r="I1199" s="117"/>
      <c r="J1199" s="118"/>
      <c r="K1199" s="118"/>
      <c r="L1199" s="118"/>
      <c r="M1199" s="118"/>
      <c r="N1199" s="117"/>
      <c r="O1199" s="117"/>
      <c r="P1199" s="117"/>
      <c r="Q1199" s="117"/>
      <c r="R1199" s="117"/>
      <c r="S1199" s="117"/>
      <c r="T1199" s="117"/>
      <c r="U1199" s="117"/>
      <c r="V1199" s="117"/>
      <c r="W1199" s="117"/>
      <c r="X1199" s="117"/>
      <c r="Y1199" s="117"/>
      <c r="Z1199" s="117"/>
      <c r="AA1199" s="117"/>
      <c r="AB1199" s="117"/>
      <c r="AC1199" s="117"/>
      <c r="AD1199" s="117"/>
      <c r="AE1199" s="117"/>
      <c r="AF1199" s="117"/>
      <c r="AG1199" s="117"/>
      <c r="AH1199" s="117"/>
      <c r="AI1199" s="117"/>
      <c r="AJ1199" s="117"/>
      <c r="AK1199" s="117"/>
      <c r="AL1199" s="117"/>
      <c r="AM1199" s="117"/>
      <c r="AN1199" s="117"/>
      <c r="AO1199" s="117"/>
      <c r="AP1199" s="117"/>
      <c r="AQ1199" s="117"/>
      <c r="AR1199" s="117"/>
      <c r="AS1199" s="117"/>
      <c r="AT1199" s="117"/>
      <c r="AU1199" s="117"/>
      <c r="AV1199" s="117"/>
      <c r="AW1199" s="117"/>
      <c r="AX1199" s="117"/>
      <c r="AY1199" s="117"/>
      <c r="AZ1199" s="117"/>
      <c r="BA1199" s="117"/>
      <c r="BB1199" s="117"/>
      <c r="BC1199" s="117"/>
      <c r="BD1199" s="117"/>
      <c r="BE1199" s="117"/>
      <c r="BF1199" s="117"/>
      <c r="BG1199" s="117"/>
    </row>
    <row r="1200" spans="1:59">
      <c r="A1200" s="117"/>
      <c r="B1200" s="117"/>
      <c r="C1200" s="117"/>
      <c r="D1200" s="117"/>
      <c r="E1200" s="117"/>
      <c r="F1200" s="117"/>
      <c r="G1200" s="117"/>
      <c r="H1200" s="117"/>
      <c r="I1200" s="117"/>
      <c r="J1200" s="118"/>
      <c r="K1200" s="118"/>
      <c r="L1200" s="118"/>
      <c r="M1200" s="118"/>
      <c r="N1200" s="117"/>
      <c r="O1200" s="117"/>
      <c r="P1200" s="117"/>
      <c r="Q1200" s="117"/>
      <c r="R1200" s="117"/>
      <c r="S1200" s="117"/>
      <c r="T1200" s="117"/>
      <c r="U1200" s="117"/>
      <c r="V1200" s="117"/>
      <c r="W1200" s="117"/>
      <c r="X1200" s="117"/>
      <c r="Y1200" s="117"/>
      <c r="Z1200" s="117"/>
      <c r="AA1200" s="117"/>
      <c r="AB1200" s="117"/>
      <c r="AC1200" s="117"/>
      <c r="AD1200" s="117"/>
      <c r="AE1200" s="117"/>
      <c r="AF1200" s="117"/>
      <c r="AG1200" s="117"/>
      <c r="AH1200" s="117"/>
      <c r="AI1200" s="117"/>
      <c r="AJ1200" s="117"/>
      <c r="AK1200" s="117"/>
      <c r="AL1200" s="117"/>
      <c r="AM1200" s="117"/>
      <c r="AN1200" s="117"/>
      <c r="AO1200" s="117"/>
      <c r="AP1200" s="117"/>
      <c r="AQ1200" s="117"/>
      <c r="AR1200" s="117"/>
      <c r="AS1200" s="117"/>
      <c r="AT1200" s="117"/>
      <c r="AU1200" s="117"/>
      <c r="AV1200" s="117"/>
      <c r="AW1200" s="117"/>
      <c r="AX1200" s="117"/>
      <c r="AY1200" s="117"/>
      <c r="AZ1200" s="117"/>
      <c r="BA1200" s="117"/>
      <c r="BB1200" s="117"/>
      <c r="BC1200" s="117"/>
      <c r="BD1200" s="117"/>
      <c r="BE1200" s="117"/>
      <c r="BF1200" s="117"/>
      <c r="BG1200" s="117"/>
    </row>
    <row r="1201" spans="1:59">
      <c r="A1201" s="117"/>
      <c r="B1201" s="117"/>
      <c r="C1201" s="117"/>
      <c r="D1201" s="117"/>
      <c r="E1201" s="117"/>
      <c r="F1201" s="117"/>
      <c r="G1201" s="117"/>
      <c r="H1201" s="117"/>
      <c r="I1201" s="117"/>
      <c r="J1201" s="118"/>
      <c r="K1201" s="118"/>
      <c r="L1201" s="118"/>
      <c r="M1201" s="118"/>
      <c r="N1201" s="117"/>
      <c r="O1201" s="117"/>
      <c r="P1201" s="117"/>
      <c r="Q1201" s="117"/>
      <c r="R1201" s="117"/>
      <c r="S1201" s="117"/>
      <c r="T1201" s="117"/>
      <c r="U1201" s="117"/>
      <c r="V1201" s="117"/>
      <c r="W1201" s="117"/>
      <c r="X1201" s="117"/>
      <c r="Y1201" s="117"/>
      <c r="Z1201" s="117"/>
      <c r="AA1201" s="117"/>
      <c r="AB1201" s="117"/>
      <c r="AC1201" s="117"/>
      <c r="AD1201" s="117"/>
      <c r="AE1201" s="117"/>
      <c r="AF1201" s="117"/>
      <c r="AG1201" s="117"/>
      <c r="AH1201" s="117"/>
      <c r="AI1201" s="117"/>
      <c r="AJ1201" s="117"/>
      <c r="AK1201" s="117"/>
      <c r="AL1201" s="117"/>
      <c r="AM1201" s="117"/>
      <c r="AN1201" s="117"/>
      <c r="AO1201" s="117"/>
      <c r="AP1201" s="117"/>
      <c r="AQ1201" s="117"/>
      <c r="AR1201" s="117"/>
      <c r="AS1201" s="117"/>
      <c r="AT1201" s="117"/>
      <c r="AU1201" s="117"/>
      <c r="AV1201" s="117"/>
      <c r="AW1201" s="117"/>
      <c r="AX1201" s="117"/>
      <c r="AY1201" s="117"/>
      <c r="AZ1201" s="117"/>
      <c r="BA1201" s="117"/>
      <c r="BB1201" s="117"/>
      <c r="BC1201" s="117"/>
      <c r="BD1201" s="117"/>
      <c r="BE1201" s="117"/>
      <c r="BF1201" s="117"/>
      <c r="BG1201" s="117"/>
    </row>
    <row r="1202" spans="1:59">
      <c r="A1202" s="117"/>
      <c r="B1202" s="117"/>
      <c r="C1202" s="117"/>
      <c r="D1202" s="117"/>
      <c r="E1202" s="117"/>
      <c r="F1202" s="117"/>
      <c r="G1202" s="117"/>
      <c r="H1202" s="117"/>
      <c r="I1202" s="117"/>
      <c r="J1202" s="118"/>
      <c r="K1202" s="118"/>
      <c r="L1202" s="118"/>
      <c r="M1202" s="118"/>
      <c r="N1202" s="117"/>
      <c r="O1202" s="117"/>
      <c r="P1202" s="117"/>
      <c r="Q1202" s="117"/>
      <c r="R1202" s="117"/>
      <c r="S1202" s="117"/>
      <c r="T1202" s="117"/>
      <c r="U1202" s="117"/>
      <c r="V1202" s="117"/>
      <c r="W1202" s="117"/>
      <c r="X1202" s="117"/>
      <c r="Y1202" s="117"/>
      <c r="Z1202" s="117"/>
      <c r="AA1202" s="117"/>
      <c r="AB1202" s="117"/>
      <c r="AC1202" s="117"/>
      <c r="AD1202" s="117"/>
      <c r="AE1202" s="117"/>
      <c r="AF1202" s="117"/>
      <c r="AG1202" s="117"/>
      <c r="AH1202" s="117"/>
      <c r="AI1202" s="117"/>
      <c r="AJ1202" s="117"/>
      <c r="AK1202" s="117"/>
      <c r="AL1202" s="117"/>
      <c r="AM1202" s="117"/>
      <c r="AN1202" s="117"/>
      <c r="AO1202" s="117"/>
      <c r="AP1202" s="117"/>
      <c r="AQ1202" s="117"/>
      <c r="AR1202" s="117"/>
      <c r="AS1202" s="117"/>
      <c r="AT1202" s="117"/>
      <c r="AU1202" s="117"/>
      <c r="AV1202" s="117"/>
      <c r="AW1202" s="117"/>
      <c r="AX1202" s="117"/>
      <c r="AY1202" s="117"/>
      <c r="AZ1202" s="117"/>
      <c r="BA1202" s="117"/>
      <c r="BB1202" s="117"/>
      <c r="BC1202" s="117"/>
      <c r="BD1202" s="117"/>
      <c r="BE1202" s="117"/>
      <c r="BF1202" s="117"/>
      <c r="BG1202" s="117"/>
    </row>
    <row r="1203" spans="1:59">
      <c r="A1203" s="117"/>
      <c r="B1203" s="117"/>
      <c r="C1203" s="117"/>
      <c r="D1203" s="117"/>
      <c r="E1203" s="117"/>
      <c r="F1203" s="117"/>
      <c r="G1203" s="117"/>
      <c r="H1203" s="117"/>
      <c r="I1203" s="117"/>
      <c r="J1203" s="118"/>
      <c r="K1203" s="118"/>
      <c r="L1203" s="118"/>
      <c r="M1203" s="118"/>
      <c r="N1203" s="117"/>
      <c r="O1203" s="117"/>
      <c r="P1203" s="117"/>
      <c r="Q1203" s="117"/>
      <c r="R1203" s="117"/>
      <c r="S1203" s="117"/>
      <c r="T1203" s="117"/>
      <c r="U1203" s="117"/>
      <c r="V1203" s="117"/>
      <c r="W1203" s="117"/>
      <c r="X1203" s="117"/>
      <c r="Y1203" s="117"/>
      <c r="Z1203" s="117"/>
      <c r="AA1203" s="117"/>
      <c r="AB1203" s="117"/>
      <c r="AC1203" s="117"/>
      <c r="AD1203" s="117"/>
      <c r="AE1203" s="117"/>
      <c r="AF1203" s="117"/>
      <c r="AG1203" s="117"/>
      <c r="AH1203" s="117"/>
      <c r="AI1203" s="117"/>
      <c r="AJ1203" s="117"/>
      <c r="AK1203" s="117"/>
      <c r="AL1203" s="117"/>
      <c r="AM1203" s="117"/>
      <c r="AN1203" s="117"/>
      <c r="AO1203" s="117"/>
      <c r="AP1203" s="117"/>
      <c r="AQ1203" s="117"/>
      <c r="AR1203" s="117"/>
      <c r="AS1203" s="117"/>
      <c r="AT1203" s="117"/>
      <c r="AU1203" s="117"/>
      <c r="AV1203" s="117"/>
      <c r="AW1203" s="117"/>
      <c r="AX1203" s="117"/>
      <c r="AY1203" s="117"/>
      <c r="AZ1203" s="117"/>
      <c r="BA1203" s="117"/>
      <c r="BB1203" s="117"/>
      <c r="BC1203" s="117"/>
      <c r="BD1203" s="117"/>
      <c r="BE1203" s="117"/>
      <c r="BF1203" s="117"/>
      <c r="BG1203" s="117"/>
    </row>
    <row r="1204" spans="1:59">
      <c r="A1204" s="117"/>
      <c r="B1204" s="117"/>
      <c r="C1204" s="117"/>
      <c r="D1204" s="117"/>
      <c r="E1204" s="117"/>
      <c r="F1204" s="117"/>
      <c r="G1204" s="117"/>
      <c r="H1204" s="117"/>
      <c r="I1204" s="117"/>
      <c r="J1204" s="118"/>
      <c r="K1204" s="118"/>
      <c r="L1204" s="118"/>
      <c r="M1204" s="118"/>
      <c r="N1204" s="117"/>
      <c r="O1204" s="117"/>
      <c r="P1204" s="117"/>
      <c r="Q1204" s="117"/>
      <c r="R1204" s="117"/>
      <c r="S1204" s="117"/>
      <c r="T1204" s="117"/>
      <c r="U1204" s="117"/>
      <c r="V1204" s="117"/>
      <c r="W1204" s="117"/>
      <c r="X1204" s="117"/>
      <c r="Y1204" s="117"/>
      <c r="Z1204" s="117"/>
      <c r="AA1204" s="117"/>
      <c r="AB1204" s="117"/>
      <c r="AC1204" s="117"/>
      <c r="AD1204" s="117"/>
      <c r="AE1204" s="117"/>
      <c r="AF1204" s="117"/>
      <c r="AG1204" s="117"/>
      <c r="AH1204" s="117"/>
      <c r="AI1204" s="117"/>
      <c r="AJ1204" s="117"/>
      <c r="AK1204" s="117"/>
      <c r="AL1204" s="117"/>
      <c r="AM1204" s="117"/>
      <c r="AN1204" s="117"/>
      <c r="AO1204" s="117"/>
      <c r="AP1204" s="117"/>
      <c r="AQ1204" s="117"/>
      <c r="AR1204" s="117"/>
      <c r="AS1204" s="117"/>
      <c r="AT1204" s="117"/>
      <c r="AU1204" s="117"/>
      <c r="AV1204" s="117"/>
      <c r="AW1204" s="117"/>
      <c r="AX1204" s="117"/>
      <c r="AY1204" s="117"/>
      <c r="AZ1204" s="117"/>
      <c r="BA1204" s="117"/>
      <c r="BB1204" s="117"/>
      <c r="BC1204" s="117"/>
      <c r="BD1204" s="117"/>
      <c r="BE1204" s="117"/>
      <c r="BF1204" s="117"/>
      <c r="BG1204" s="117"/>
    </row>
    <row r="1205" spans="1:59">
      <c r="A1205" s="117"/>
      <c r="B1205" s="117"/>
      <c r="C1205" s="117"/>
      <c r="D1205" s="117"/>
      <c r="E1205" s="117"/>
      <c r="F1205" s="117"/>
      <c r="G1205" s="117"/>
      <c r="H1205" s="117"/>
      <c r="I1205" s="117"/>
      <c r="J1205" s="118"/>
      <c r="K1205" s="118"/>
      <c r="L1205" s="118"/>
      <c r="M1205" s="118"/>
      <c r="N1205" s="117"/>
      <c r="O1205" s="117"/>
      <c r="P1205" s="117"/>
      <c r="Q1205" s="117"/>
      <c r="R1205" s="117"/>
      <c r="S1205" s="117"/>
      <c r="T1205" s="117"/>
      <c r="U1205" s="117"/>
      <c r="V1205" s="117"/>
      <c r="W1205" s="117"/>
      <c r="X1205" s="117"/>
      <c r="Y1205" s="117"/>
      <c r="Z1205" s="117"/>
      <c r="AA1205" s="117"/>
      <c r="AB1205" s="117"/>
      <c r="AC1205" s="117"/>
      <c r="AD1205" s="117"/>
      <c r="AE1205" s="117"/>
      <c r="AF1205" s="117"/>
      <c r="AG1205" s="117"/>
      <c r="AH1205" s="117"/>
      <c r="AI1205" s="117"/>
      <c r="AJ1205" s="117"/>
      <c r="AK1205" s="117"/>
      <c r="AL1205" s="117"/>
      <c r="AM1205" s="117"/>
      <c r="AN1205" s="117"/>
      <c r="AO1205" s="117"/>
      <c r="AP1205" s="117"/>
      <c r="AQ1205" s="117"/>
      <c r="AR1205" s="117"/>
      <c r="AS1205" s="117"/>
      <c r="AT1205" s="117"/>
      <c r="AU1205" s="117"/>
      <c r="AV1205" s="117"/>
      <c r="AW1205" s="117"/>
      <c r="AX1205" s="117"/>
      <c r="AY1205" s="117"/>
      <c r="AZ1205" s="117"/>
      <c r="BA1205" s="117"/>
      <c r="BB1205" s="117"/>
      <c r="BC1205" s="117"/>
      <c r="BD1205" s="117"/>
      <c r="BE1205" s="117"/>
      <c r="BF1205" s="117"/>
      <c r="BG1205" s="117"/>
    </row>
    <row r="1206" spans="1:59">
      <c r="A1206" s="117"/>
      <c r="B1206" s="117"/>
      <c r="C1206" s="117"/>
      <c r="D1206" s="117"/>
      <c r="E1206" s="117"/>
      <c r="F1206" s="117"/>
      <c r="G1206" s="117"/>
      <c r="H1206" s="117"/>
      <c r="I1206" s="117"/>
      <c r="J1206" s="118"/>
      <c r="K1206" s="118"/>
      <c r="L1206" s="118"/>
      <c r="M1206" s="118"/>
      <c r="N1206" s="117"/>
      <c r="O1206" s="117"/>
      <c r="P1206" s="117"/>
      <c r="Q1206" s="117"/>
      <c r="R1206" s="117"/>
      <c r="S1206" s="117"/>
      <c r="T1206" s="117"/>
      <c r="U1206" s="117"/>
      <c r="V1206" s="117"/>
      <c r="W1206" s="117"/>
      <c r="X1206" s="117"/>
      <c r="Y1206" s="117"/>
      <c r="Z1206" s="117"/>
      <c r="AA1206" s="117"/>
      <c r="AB1206" s="117"/>
      <c r="AC1206" s="117"/>
      <c r="AD1206" s="117"/>
      <c r="AE1206" s="117"/>
      <c r="AF1206" s="117"/>
      <c r="AG1206" s="117"/>
      <c r="AH1206" s="117"/>
      <c r="AI1206" s="117"/>
      <c r="AJ1206" s="117"/>
      <c r="AK1206" s="117"/>
      <c r="AL1206" s="117"/>
      <c r="AM1206" s="117"/>
      <c r="AN1206" s="117"/>
      <c r="AO1206" s="117"/>
      <c r="AP1206" s="117"/>
      <c r="AQ1206" s="117"/>
      <c r="AR1206" s="117"/>
      <c r="AS1206" s="117"/>
      <c r="AT1206" s="117"/>
      <c r="AU1206" s="117"/>
      <c r="AV1206" s="117"/>
      <c r="AW1206" s="117"/>
      <c r="AX1206" s="117"/>
      <c r="AY1206" s="117"/>
      <c r="AZ1206" s="117"/>
      <c r="BA1206" s="117"/>
      <c r="BB1206" s="117"/>
      <c r="BC1206" s="117"/>
      <c r="BD1206" s="117"/>
      <c r="BE1206" s="117"/>
      <c r="BF1206" s="117"/>
      <c r="BG1206" s="117"/>
    </row>
    <row r="1207" spans="1:59">
      <c r="A1207" s="117"/>
      <c r="B1207" s="117"/>
      <c r="C1207" s="117"/>
      <c r="D1207" s="117"/>
      <c r="E1207" s="117"/>
      <c r="F1207" s="117"/>
      <c r="G1207" s="117"/>
      <c r="H1207" s="117"/>
      <c r="I1207" s="117"/>
      <c r="J1207" s="118"/>
      <c r="K1207" s="118"/>
      <c r="L1207" s="118"/>
      <c r="M1207" s="118"/>
      <c r="N1207" s="117"/>
      <c r="O1207" s="117"/>
      <c r="P1207" s="117"/>
      <c r="Q1207" s="117"/>
      <c r="R1207" s="117"/>
      <c r="S1207" s="117"/>
      <c r="T1207" s="117"/>
      <c r="U1207" s="117"/>
      <c r="V1207" s="117"/>
      <c r="W1207" s="117"/>
      <c r="X1207" s="117"/>
      <c r="Y1207" s="117"/>
      <c r="Z1207" s="117"/>
      <c r="AA1207" s="117"/>
      <c r="AB1207" s="117"/>
      <c r="AC1207" s="117"/>
      <c r="AD1207" s="117"/>
      <c r="AE1207" s="117"/>
      <c r="AF1207" s="117"/>
      <c r="AG1207" s="117"/>
      <c r="AH1207" s="117"/>
      <c r="AI1207" s="117"/>
      <c r="AJ1207" s="117"/>
      <c r="AK1207" s="117"/>
      <c r="AL1207" s="117"/>
      <c r="AM1207" s="117"/>
      <c r="AN1207" s="117"/>
      <c r="AO1207" s="117"/>
      <c r="AP1207" s="117"/>
      <c r="AQ1207" s="117"/>
      <c r="AR1207" s="117"/>
      <c r="AS1207" s="117"/>
      <c r="AT1207" s="117"/>
      <c r="AU1207" s="117"/>
      <c r="AV1207" s="117"/>
      <c r="AW1207" s="117"/>
      <c r="AX1207" s="117"/>
      <c r="AY1207" s="117"/>
      <c r="AZ1207" s="117"/>
      <c r="BA1207" s="117"/>
      <c r="BB1207" s="117"/>
      <c r="BC1207" s="117"/>
      <c r="BD1207" s="117"/>
      <c r="BE1207" s="117"/>
      <c r="BF1207" s="117"/>
      <c r="BG1207" s="117"/>
    </row>
    <row r="1208" spans="1:59">
      <c r="A1208" s="117"/>
      <c r="B1208" s="117"/>
      <c r="C1208" s="117"/>
      <c r="D1208" s="117"/>
      <c r="E1208" s="117"/>
      <c r="F1208" s="117"/>
      <c r="G1208" s="117"/>
      <c r="H1208" s="117"/>
      <c r="I1208" s="117"/>
      <c r="J1208" s="118"/>
      <c r="K1208" s="118"/>
      <c r="L1208" s="118"/>
      <c r="M1208" s="118"/>
      <c r="N1208" s="117"/>
      <c r="O1208" s="117"/>
      <c r="P1208" s="117"/>
      <c r="Q1208" s="117"/>
      <c r="R1208" s="117"/>
      <c r="S1208" s="117"/>
      <c r="T1208" s="117"/>
      <c r="U1208" s="117"/>
      <c r="V1208" s="117"/>
      <c r="W1208" s="117"/>
      <c r="X1208" s="117"/>
      <c r="Y1208" s="117"/>
      <c r="Z1208" s="117"/>
      <c r="AA1208" s="117"/>
      <c r="AB1208" s="117"/>
      <c r="AC1208" s="117"/>
      <c r="AD1208" s="117"/>
      <c r="AE1208" s="117"/>
      <c r="AF1208" s="117"/>
      <c r="AG1208" s="117"/>
      <c r="AH1208" s="117"/>
      <c r="AI1208" s="117"/>
      <c r="AJ1208" s="117"/>
      <c r="AK1208" s="117"/>
      <c r="AL1208" s="117"/>
      <c r="AM1208" s="117"/>
      <c r="AN1208" s="117"/>
      <c r="AO1208" s="117"/>
      <c r="AP1208" s="117"/>
      <c r="AQ1208" s="117"/>
      <c r="AR1208" s="117"/>
      <c r="AS1208" s="117"/>
      <c r="AT1208" s="117"/>
      <c r="AU1208" s="117"/>
      <c r="AV1208" s="117"/>
      <c r="AW1208" s="117"/>
      <c r="AX1208" s="117"/>
      <c r="AY1208" s="117"/>
      <c r="AZ1208" s="117"/>
      <c r="BA1208" s="117"/>
      <c r="BB1208" s="117"/>
      <c r="BC1208" s="117"/>
      <c r="BD1208" s="117"/>
      <c r="BE1208" s="117"/>
      <c r="BF1208" s="117"/>
      <c r="BG1208" s="117"/>
    </row>
    <row r="1209" spans="1:59">
      <c r="A1209" s="117"/>
      <c r="B1209" s="117"/>
      <c r="C1209" s="117"/>
      <c r="D1209" s="117"/>
      <c r="E1209" s="117"/>
      <c r="F1209" s="117"/>
      <c r="G1209" s="117"/>
      <c r="H1209" s="117"/>
      <c r="I1209" s="117"/>
      <c r="J1209" s="118"/>
      <c r="K1209" s="118"/>
      <c r="L1209" s="118"/>
      <c r="M1209" s="118"/>
      <c r="N1209" s="117"/>
      <c r="O1209" s="117"/>
      <c r="P1209" s="117"/>
      <c r="Q1209" s="117"/>
      <c r="R1209" s="117"/>
      <c r="S1209" s="117"/>
      <c r="T1209" s="117"/>
      <c r="U1209" s="117"/>
      <c r="V1209" s="117"/>
      <c r="W1209" s="117"/>
      <c r="X1209" s="117"/>
      <c r="Y1209" s="117"/>
      <c r="Z1209" s="117"/>
      <c r="AA1209" s="117"/>
      <c r="AB1209" s="117"/>
      <c r="AC1209" s="117"/>
      <c r="AD1209" s="117"/>
      <c r="AE1209" s="117"/>
      <c r="AF1209" s="117"/>
      <c r="AG1209" s="117"/>
      <c r="AH1209" s="117"/>
      <c r="AI1209" s="117"/>
      <c r="AJ1209" s="117"/>
      <c r="AK1209" s="117"/>
      <c r="AL1209" s="117"/>
      <c r="AM1209" s="117"/>
      <c r="AN1209" s="117"/>
      <c r="AO1209" s="117"/>
      <c r="AP1209" s="117"/>
      <c r="AQ1209" s="117"/>
      <c r="AR1209" s="117"/>
      <c r="AS1209" s="117"/>
      <c r="AT1209" s="117"/>
      <c r="AU1209" s="117"/>
      <c r="AV1209" s="117"/>
      <c r="AW1209" s="117"/>
      <c r="AX1209" s="117"/>
      <c r="AY1209" s="117"/>
      <c r="AZ1209" s="117"/>
      <c r="BA1209" s="117"/>
      <c r="BB1209" s="117"/>
      <c r="BC1209" s="117"/>
      <c r="BD1209" s="117"/>
      <c r="BE1209" s="117"/>
      <c r="BF1209" s="117"/>
      <c r="BG1209" s="117"/>
    </row>
    <row r="1210" spans="1:59">
      <c r="A1210" s="117"/>
      <c r="B1210" s="117"/>
      <c r="C1210" s="117"/>
      <c r="D1210" s="117"/>
      <c r="E1210" s="117"/>
      <c r="F1210" s="117"/>
      <c r="G1210" s="117"/>
      <c r="H1210" s="117"/>
      <c r="I1210" s="117"/>
      <c r="J1210" s="118"/>
      <c r="K1210" s="118"/>
      <c r="L1210" s="118"/>
      <c r="M1210" s="118"/>
      <c r="N1210" s="117"/>
      <c r="O1210" s="117"/>
      <c r="P1210" s="117"/>
      <c r="Q1210" s="117"/>
      <c r="R1210" s="117"/>
      <c r="S1210" s="117"/>
      <c r="T1210" s="117"/>
      <c r="U1210" s="117"/>
      <c r="V1210" s="117"/>
      <c r="W1210" s="117"/>
      <c r="X1210" s="117"/>
      <c r="Y1210" s="117"/>
      <c r="Z1210" s="117"/>
      <c r="AA1210" s="117"/>
      <c r="AB1210" s="117"/>
      <c r="AC1210" s="117"/>
      <c r="AD1210" s="117"/>
      <c r="AE1210" s="117"/>
      <c r="AF1210" s="117"/>
      <c r="AG1210" s="117"/>
      <c r="AH1210" s="117"/>
      <c r="AI1210" s="117"/>
      <c r="AJ1210" s="117"/>
      <c r="AK1210" s="117"/>
      <c r="AL1210" s="117"/>
      <c r="AM1210" s="117"/>
      <c r="AN1210" s="117"/>
      <c r="AO1210" s="117"/>
      <c r="AP1210" s="117"/>
      <c r="AQ1210" s="117"/>
      <c r="AR1210" s="117"/>
      <c r="AS1210" s="117"/>
      <c r="AT1210" s="117"/>
      <c r="AU1210" s="117"/>
      <c r="AV1210" s="117"/>
      <c r="AW1210" s="117"/>
      <c r="AX1210" s="117"/>
      <c r="AY1210" s="117"/>
      <c r="AZ1210" s="117"/>
      <c r="BA1210" s="117"/>
      <c r="BB1210" s="117"/>
      <c r="BC1210" s="117"/>
      <c r="BD1210" s="117"/>
      <c r="BE1210" s="117"/>
      <c r="BF1210" s="117"/>
      <c r="BG1210" s="117"/>
    </row>
    <row r="1211" spans="1:59">
      <c r="A1211" s="117"/>
      <c r="B1211" s="117"/>
      <c r="C1211" s="117"/>
      <c r="D1211" s="117"/>
      <c r="E1211" s="117"/>
      <c r="F1211" s="117"/>
      <c r="G1211" s="117"/>
      <c r="H1211" s="117"/>
      <c r="I1211" s="117"/>
      <c r="J1211" s="118"/>
      <c r="K1211" s="118"/>
      <c r="L1211" s="118"/>
      <c r="M1211" s="118"/>
      <c r="N1211" s="117"/>
      <c r="O1211" s="117"/>
      <c r="P1211" s="117"/>
      <c r="Q1211" s="117"/>
      <c r="R1211" s="117"/>
      <c r="S1211" s="117"/>
      <c r="T1211" s="117"/>
      <c r="U1211" s="117"/>
      <c r="V1211" s="117"/>
      <c r="W1211" s="117"/>
      <c r="X1211" s="117"/>
      <c r="Y1211" s="117"/>
      <c r="Z1211" s="117"/>
      <c r="AA1211" s="117"/>
      <c r="AB1211" s="117"/>
      <c r="AC1211" s="117"/>
      <c r="AD1211" s="117"/>
      <c r="AE1211" s="117"/>
      <c r="AF1211" s="117"/>
      <c r="AG1211" s="117"/>
      <c r="AH1211" s="117"/>
      <c r="AI1211" s="117"/>
      <c r="AJ1211" s="117"/>
      <c r="AK1211" s="117"/>
      <c r="AL1211" s="117"/>
      <c r="AM1211" s="117"/>
      <c r="AN1211" s="117"/>
      <c r="AO1211" s="117"/>
      <c r="AP1211" s="117"/>
      <c r="AQ1211" s="117"/>
      <c r="AR1211" s="117"/>
      <c r="AS1211" s="117"/>
      <c r="AT1211" s="117"/>
      <c r="AU1211" s="117"/>
      <c r="AV1211" s="117"/>
      <c r="AW1211" s="117"/>
      <c r="AX1211" s="117"/>
      <c r="AY1211" s="117"/>
      <c r="AZ1211" s="117"/>
      <c r="BA1211" s="117"/>
      <c r="BB1211" s="117"/>
      <c r="BC1211" s="117"/>
      <c r="BD1211" s="117"/>
      <c r="BE1211" s="117"/>
      <c r="BF1211" s="117"/>
      <c r="BG1211" s="117"/>
    </row>
    <row r="1212" spans="1:59">
      <c r="A1212" s="117"/>
      <c r="B1212" s="117"/>
      <c r="C1212" s="117"/>
      <c r="D1212" s="117"/>
      <c r="E1212" s="117"/>
      <c r="F1212" s="117"/>
      <c r="G1212" s="117"/>
      <c r="H1212" s="117"/>
      <c r="I1212" s="117"/>
      <c r="J1212" s="118"/>
      <c r="K1212" s="118"/>
      <c r="L1212" s="118"/>
      <c r="M1212" s="118"/>
      <c r="N1212" s="117"/>
      <c r="O1212" s="117"/>
      <c r="P1212" s="117"/>
      <c r="Q1212" s="117"/>
      <c r="R1212" s="117"/>
      <c r="S1212" s="117"/>
      <c r="T1212" s="117"/>
      <c r="U1212" s="117"/>
      <c r="V1212" s="117"/>
      <c r="W1212" s="117"/>
      <c r="X1212" s="117"/>
      <c r="Y1212" s="117"/>
      <c r="Z1212" s="117"/>
      <c r="AA1212" s="117"/>
      <c r="AB1212" s="117"/>
      <c r="AC1212" s="117"/>
      <c r="AD1212" s="117"/>
      <c r="AE1212" s="117"/>
      <c r="AF1212" s="117"/>
      <c r="AG1212" s="117"/>
      <c r="AH1212" s="117"/>
      <c r="AI1212" s="117"/>
      <c r="AJ1212" s="117"/>
      <c r="AK1212" s="117"/>
      <c r="AL1212" s="117"/>
      <c r="AM1212" s="117"/>
      <c r="AN1212" s="117"/>
      <c r="AO1212" s="117"/>
      <c r="AP1212" s="117"/>
      <c r="AQ1212" s="117"/>
      <c r="AR1212" s="117"/>
      <c r="AS1212" s="117"/>
      <c r="AT1212" s="117"/>
      <c r="AU1212" s="117"/>
      <c r="AV1212" s="117"/>
      <c r="AW1212" s="117"/>
      <c r="AX1212" s="117"/>
      <c r="AY1212" s="117"/>
      <c r="AZ1212" s="117"/>
      <c r="BA1212" s="117"/>
      <c r="BB1212" s="117"/>
      <c r="BC1212" s="117"/>
      <c r="BD1212" s="117"/>
      <c r="BE1212" s="117"/>
      <c r="BF1212" s="117"/>
      <c r="BG1212" s="117"/>
    </row>
    <row r="1213" spans="1:59">
      <c r="A1213" s="117"/>
      <c r="B1213" s="117"/>
      <c r="C1213" s="117"/>
      <c r="D1213" s="117"/>
      <c r="E1213" s="117"/>
      <c r="F1213" s="117"/>
      <c r="G1213" s="117"/>
      <c r="H1213" s="117"/>
      <c r="I1213" s="117"/>
      <c r="J1213" s="118"/>
      <c r="K1213" s="118"/>
      <c r="L1213" s="118"/>
      <c r="M1213" s="118"/>
      <c r="N1213" s="117"/>
      <c r="O1213" s="117"/>
      <c r="P1213" s="117"/>
      <c r="Q1213" s="117"/>
      <c r="R1213" s="117"/>
      <c r="S1213" s="117"/>
      <c r="T1213" s="117"/>
      <c r="U1213" s="117"/>
      <c r="V1213" s="117"/>
      <c r="W1213" s="117"/>
      <c r="X1213" s="117"/>
      <c r="Y1213" s="117"/>
      <c r="Z1213" s="117"/>
      <c r="AA1213" s="117"/>
      <c r="AB1213" s="117"/>
      <c r="AC1213" s="117"/>
      <c r="AD1213" s="117"/>
      <c r="AE1213" s="117"/>
      <c r="AF1213" s="117"/>
      <c r="AG1213" s="117"/>
      <c r="AH1213" s="117"/>
      <c r="AI1213" s="117"/>
      <c r="AJ1213" s="117"/>
      <c r="AK1213" s="117"/>
      <c r="AL1213" s="117"/>
      <c r="AM1213" s="117"/>
      <c r="AN1213" s="117"/>
      <c r="AO1213" s="117"/>
      <c r="AP1213" s="117"/>
      <c r="AQ1213" s="117"/>
      <c r="AR1213" s="117"/>
      <c r="AS1213" s="117"/>
      <c r="AT1213" s="117"/>
      <c r="AU1213" s="117"/>
      <c r="AV1213" s="117"/>
      <c r="AW1213" s="117"/>
      <c r="AX1213" s="117"/>
      <c r="AY1213" s="117"/>
      <c r="AZ1213" s="117"/>
      <c r="BA1213" s="117"/>
      <c r="BB1213" s="117"/>
      <c r="BC1213" s="117"/>
      <c r="BD1213" s="117"/>
      <c r="BE1213" s="117"/>
      <c r="BF1213" s="117"/>
      <c r="BG1213" s="117"/>
    </row>
    <row r="1214" spans="1:59">
      <c r="A1214" s="117"/>
      <c r="B1214" s="117"/>
      <c r="C1214" s="117"/>
      <c r="D1214" s="117"/>
      <c r="E1214" s="117"/>
      <c r="F1214" s="117"/>
      <c r="G1214" s="117"/>
      <c r="H1214" s="117"/>
      <c r="I1214" s="117"/>
      <c r="J1214" s="118"/>
      <c r="K1214" s="118"/>
      <c r="L1214" s="118"/>
      <c r="M1214" s="118"/>
      <c r="N1214" s="117"/>
      <c r="O1214" s="117"/>
      <c r="P1214" s="117"/>
      <c r="Q1214" s="117"/>
      <c r="R1214" s="117"/>
      <c r="S1214" s="117"/>
      <c r="T1214" s="117"/>
      <c r="U1214" s="117"/>
      <c r="V1214" s="117"/>
      <c r="W1214" s="117"/>
      <c r="X1214" s="117"/>
      <c r="Y1214" s="117"/>
      <c r="Z1214" s="117"/>
      <c r="AA1214" s="117"/>
      <c r="AB1214" s="117"/>
      <c r="AC1214" s="117"/>
      <c r="AD1214" s="117"/>
      <c r="AE1214" s="117"/>
      <c r="AF1214" s="117"/>
      <c r="AG1214" s="117"/>
      <c r="AH1214" s="117"/>
      <c r="AI1214" s="117"/>
      <c r="AJ1214" s="117"/>
      <c r="AK1214" s="117"/>
      <c r="AL1214" s="117"/>
      <c r="AM1214" s="117"/>
      <c r="AN1214" s="117"/>
      <c r="AO1214" s="117"/>
      <c r="AP1214" s="117"/>
      <c r="AQ1214" s="117"/>
      <c r="AR1214" s="117"/>
      <c r="AS1214" s="117"/>
      <c r="AT1214" s="117"/>
      <c r="AU1214" s="117"/>
      <c r="AV1214" s="117"/>
      <c r="AW1214" s="117"/>
      <c r="AX1214" s="117"/>
      <c r="AY1214" s="117"/>
      <c r="AZ1214" s="117"/>
      <c r="BA1214" s="117"/>
      <c r="BB1214" s="117"/>
      <c r="BC1214" s="117"/>
      <c r="BD1214" s="117"/>
      <c r="BE1214" s="117"/>
      <c r="BF1214" s="117"/>
      <c r="BG1214" s="117"/>
    </row>
    <row r="1215" spans="1:59">
      <c r="A1215" s="117"/>
      <c r="B1215" s="117"/>
      <c r="C1215" s="117"/>
      <c r="D1215" s="117"/>
      <c r="E1215" s="117"/>
      <c r="F1215" s="117"/>
      <c r="G1215" s="117"/>
      <c r="H1215" s="117"/>
      <c r="I1215" s="117"/>
      <c r="J1215" s="118"/>
      <c r="K1215" s="118"/>
      <c r="L1215" s="118"/>
      <c r="M1215" s="118"/>
      <c r="N1215" s="117"/>
      <c r="O1215" s="117"/>
      <c r="P1215" s="117"/>
      <c r="Q1215" s="117"/>
      <c r="R1215" s="117"/>
      <c r="S1215" s="117"/>
      <c r="T1215" s="117"/>
      <c r="U1215" s="117"/>
      <c r="V1215" s="117"/>
      <c r="W1215" s="117"/>
      <c r="X1215" s="117"/>
      <c r="Y1215" s="117"/>
      <c r="Z1215" s="117"/>
      <c r="AA1215" s="117"/>
      <c r="AB1215" s="117"/>
      <c r="AC1215" s="117"/>
      <c r="AD1215" s="117"/>
      <c r="AE1215" s="117"/>
      <c r="AF1215" s="117"/>
      <c r="AG1215" s="117"/>
      <c r="AH1215" s="117"/>
      <c r="AI1215" s="117"/>
      <c r="AJ1215" s="117"/>
      <c r="AK1215" s="117"/>
      <c r="AL1215" s="117"/>
      <c r="AM1215" s="117"/>
      <c r="AN1215" s="117"/>
      <c r="AO1215" s="117"/>
      <c r="AP1215" s="117"/>
      <c r="AQ1215" s="117"/>
      <c r="AR1215" s="117"/>
      <c r="AS1215" s="117"/>
      <c r="AT1215" s="117"/>
      <c r="AU1215" s="117"/>
      <c r="AV1215" s="117"/>
      <c r="AW1215" s="117"/>
      <c r="AX1215" s="117"/>
      <c r="AY1215" s="117"/>
      <c r="AZ1215" s="117"/>
      <c r="BA1215" s="117"/>
      <c r="BB1215" s="117"/>
      <c r="BC1215" s="117"/>
      <c r="BD1215" s="117"/>
      <c r="BE1215" s="117"/>
      <c r="BF1215" s="117"/>
      <c r="BG1215" s="117"/>
    </row>
    <row r="1216" spans="1:59">
      <c r="A1216" s="117"/>
      <c r="B1216" s="117"/>
      <c r="C1216" s="117"/>
      <c r="D1216" s="117"/>
      <c r="E1216" s="117"/>
      <c r="F1216" s="117"/>
      <c r="G1216" s="117"/>
      <c r="H1216" s="117"/>
      <c r="I1216" s="117"/>
      <c r="J1216" s="118"/>
      <c r="K1216" s="118"/>
      <c r="L1216" s="118"/>
      <c r="M1216" s="118"/>
      <c r="N1216" s="117"/>
      <c r="O1216" s="117"/>
      <c r="P1216" s="117"/>
      <c r="Q1216" s="117"/>
      <c r="R1216" s="117"/>
      <c r="S1216" s="117"/>
      <c r="T1216" s="117"/>
      <c r="U1216" s="117"/>
      <c r="V1216" s="117"/>
      <c r="W1216" s="117"/>
      <c r="X1216" s="117"/>
      <c r="Y1216" s="117"/>
      <c r="Z1216" s="117"/>
      <c r="AA1216" s="117"/>
      <c r="AB1216" s="117"/>
      <c r="AC1216" s="117"/>
      <c r="AD1216" s="117"/>
      <c r="AE1216" s="117"/>
      <c r="AF1216" s="117"/>
      <c r="AG1216" s="117"/>
      <c r="AH1216" s="117"/>
      <c r="AI1216" s="117"/>
      <c r="AJ1216" s="117"/>
      <c r="AK1216" s="117"/>
      <c r="AL1216" s="117"/>
      <c r="AM1216" s="117"/>
      <c r="AN1216" s="117"/>
      <c r="AO1216" s="117"/>
      <c r="AP1216" s="117"/>
      <c r="AQ1216" s="117"/>
      <c r="AR1216" s="117"/>
      <c r="AS1216" s="117"/>
      <c r="AT1216" s="117"/>
      <c r="AU1216" s="117"/>
      <c r="AV1216" s="117"/>
      <c r="AW1216" s="117"/>
      <c r="AX1216" s="117"/>
      <c r="AY1216" s="117"/>
      <c r="AZ1216" s="117"/>
      <c r="BA1216" s="117"/>
      <c r="BB1216" s="117"/>
      <c r="BC1216" s="117"/>
      <c r="BD1216" s="117"/>
      <c r="BE1216" s="117"/>
      <c r="BF1216" s="117"/>
      <c r="BG1216" s="117"/>
    </row>
    <row r="1217" spans="1:59">
      <c r="A1217" s="117"/>
      <c r="B1217" s="117"/>
      <c r="C1217" s="117"/>
      <c r="D1217" s="117"/>
      <c r="E1217" s="117"/>
      <c r="F1217" s="117"/>
      <c r="G1217" s="117"/>
      <c r="H1217" s="117"/>
      <c r="I1217" s="117"/>
      <c r="J1217" s="118"/>
      <c r="K1217" s="118"/>
      <c r="L1217" s="118"/>
      <c r="M1217" s="118"/>
      <c r="N1217" s="117"/>
      <c r="O1217" s="117"/>
      <c r="P1217" s="117"/>
      <c r="Q1217" s="117"/>
      <c r="R1217" s="117"/>
      <c r="S1217" s="117"/>
      <c r="T1217" s="117"/>
      <c r="U1217" s="117"/>
      <c r="V1217" s="117"/>
      <c r="W1217" s="117"/>
      <c r="X1217" s="117"/>
      <c r="Y1217" s="117"/>
      <c r="Z1217" s="117"/>
      <c r="AA1217" s="117"/>
      <c r="AB1217" s="117"/>
      <c r="AC1217" s="117"/>
      <c r="AD1217" s="117"/>
      <c r="AE1217" s="117"/>
      <c r="AF1217" s="117"/>
      <c r="AG1217" s="117"/>
      <c r="AH1217" s="117"/>
      <c r="AI1217" s="117"/>
      <c r="AJ1217" s="117"/>
      <c r="AK1217" s="117"/>
      <c r="AL1217" s="117"/>
      <c r="AM1217" s="117"/>
      <c r="AN1217" s="117"/>
      <c r="AO1217" s="117"/>
      <c r="AP1217" s="117"/>
      <c r="AQ1217" s="117"/>
      <c r="AR1217" s="117"/>
      <c r="AS1217" s="117"/>
      <c r="AT1217" s="117"/>
      <c r="AU1217" s="117"/>
      <c r="AV1217" s="117"/>
      <c r="AW1217" s="117"/>
      <c r="AX1217" s="117"/>
      <c r="AY1217" s="117"/>
      <c r="AZ1217" s="117"/>
      <c r="BA1217" s="117"/>
      <c r="BB1217" s="117"/>
      <c r="BC1217" s="117"/>
      <c r="BD1217" s="117"/>
      <c r="BE1217" s="117"/>
      <c r="BF1217" s="117"/>
      <c r="BG1217" s="117"/>
    </row>
    <row r="1218" spans="1:59">
      <c r="A1218" s="117"/>
      <c r="B1218" s="117"/>
      <c r="C1218" s="117"/>
      <c r="D1218" s="117"/>
      <c r="E1218" s="117"/>
      <c r="F1218" s="117"/>
      <c r="G1218" s="117"/>
      <c r="H1218" s="117"/>
      <c r="I1218" s="117"/>
      <c r="J1218" s="118"/>
      <c r="K1218" s="118"/>
      <c r="L1218" s="118"/>
      <c r="M1218" s="118"/>
      <c r="N1218" s="117"/>
      <c r="O1218" s="117"/>
      <c r="P1218" s="117"/>
      <c r="Q1218" s="117"/>
      <c r="R1218" s="117"/>
      <c r="S1218" s="117"/>
      <c r="T1218" s="117"/>
      <c r="U1218" s="117"/>
      <c r="V1218" s="117"/>
      <c r="W1218" s="117"/>
      <c r="X1218" s="117"/>
      <c r="Y1218" s="117"/>
      <c r="Z1218" s="117"/>
      <c r="AA1218" s="117"/>
      <c r="AB1218" s="117"/>
      <c r="AC1218" s="117"/>
      <c r="AD1218" s="117"/>
      <c r="AE1218" s="117"/>
      <c r="AF1218" s="117"/>
      <c r="AG1218" s="117"/>
      <c r="AH1218" s="117"/>
      <c r="AI1218" s="117"/>
      <c r="AJ1218" s="117"/>
      <c r="AK1218" s="117"/>
      <c r="AL1218" s="117"/>
      <c r="AM1218" s="117"/>
      <c r="AN1218" s="117"/>
      <c r="AO1218" s="117"/>
      <c r="AP1218" s="117"/>
      <c r="AQ1218" s="117"/>
      <c r="AR1218" s="117"/>
      <c r="AS1218" s="117"/>
      <c r="AT1218" s="117"/>
      <c r="AU1218" s="117"/>
      <c r="AV1218" s="117"/>
      <c r="AW1218" s="117"/>
      <c r="AX1218" s="117"/>
      <c r="AY1218" s="117"/>
      <c r="AZ1218" s="117"/>
      <c r="BA1218" s="117"/>
      <c r="BB1218" s="117"/>
      <c r="BC1218" s="117"/>
      <c r="BD1218" s="117"/>
      <c r="BE1218" s="117"/>
      <c r="BF1218" s="117"/>
      <c r="BG1218" s="117"/>
    </row>
    <row r="1219" spans="1:59">
      <c r="A1219" s="117"/>
      <c r="B1219" s="117"/>
      <c r="C1219" s="117"/>
      <c r="D1219" s="117"/>
      <c r="E1219" s="117"/>
      <c r="F1219" s="117"/>
      <c r="G1219" s="117"/>
      <c r="H1219" s="117"/>
      <c r="I1219" s="117"/>
      <c r="J1219" s="118"/>
      <c r="K1219" s="118"/>
      <c r="L1219" s="118"/>
      <c r="M1219" s="118"/>
      <c r="N1219" s="117"/>
      <c r="O1219" s="117"/>
      <c r="P1219" s="117"/>
      <c r="Q1219" s="117"/>
      <c r="R1219" s="117"/>
      <c r="S1219" s="117"/>
      <c r="T1219" s="117"/>
      <c r="U1219" s="117"/>
      <c r="V1219" s="117"/>
      <c r="W1219" s="117"/>
      <c r="X1219" s="117"/>
      <c r="Y1219" s="117"/>
      <c r="Z1219" s="117"/>
      <c r="AA1219" s="117"/>
      <c r="AB1219" s="117"/>
      <c r="AC1219" s="117"/>
      <c r="AD1219" s="117"/>
      <c r="AE1219" s="117"/>
      <c r="AF1219" s="117"/>
      <c r="AG1219" s="117"/>
      <c r="AH1219" s="117"/>
      <c r="AI1219" s="117"/>
      <c r="AJ1219" s="117"/>
      <c r="AK1219" s="117"/>
      <c r="AL1219" s="117"/>
      <c r="AM1219" s="117"/>
      <c r="AN1219" s="117"/>
      <c r="AO1219" s="117"/>
      <c r="AP1219" s="117"/>
      <c r="AQ1219" s="117"/>
      <c r="AR1219" s="117"/>
      <c r="AS1219" s="117"/>
      <c r="AT1219" s="117"/>
      <c r="AU1219" s="117"/>
      <c r="AV1219" s="117"/>
      <c r="AW1219" s="117"/>
      <c r="AX1219" s="117"/>
      <c r="AY1219" s="117"/>
      <c r="AZ1219" s="117"/>
      <c r="BA1219" s="117"/>
      <c r="BB1219" s="117"/>
      <c r="BC1219" s="117"/>
      <c r="BD1219" s="117"/>
      <c r="BE1219" s="117"/>
      <c r="BF1219" s="117"/>
      <c r="BG1219" s="117"/>
    </row>
    <row r="1220" spans="1:59">
      <c r="A1220" s="117"/>
      <c r="B1220" s="117"/>
      <c r="C1220" s="117"/>
      <c r="D1220" s="117"/>
      <c r="E1220" s="117"/>
      <c r="F1220" s="117"/>
      <c r="G1220" s="117"/>
      <c r="H1220" s="117"/>
      <c r="I1220" s="117"/>
      <c r="J1220" s="118"/>
      <c r="K1220" s="118"/>
      <c r="L1220" s="118"/>
      <c r="M1220" s="118"/>
      <c r="N1220" s="117"/>
      <c r="O1220" s="117"/>
      <c r="P1220" s="117"/>
      <c r="Q1220" s="117"/>
      <c r="R1220" s="117"/>
      <c r="S1220" s="117"/>
      <c r="T1220" s="117"/>
      <c r="U1220" s="117"/>
      <c r="V1220" s="117"/>
      <c r="W1220" s="117"/>
      <c r="X1220" s="117"/>
      <c r="Y1220" s="117"/>
      <c r="Z1220" s="117"/>
      <c r="AA1220" s="117"/>
      <c r="AB1220" s="117"/>
      <c r="AC1220" s="117"/>
      <c r="AD1220" s="117"/>
      <c r="AE1220" s="117"/>
      <c r="AF1220" s="117"/>
      <c r="AG1220" s="117"/>
      <c r="AH1220" s="117"/>
      <c r="AI1220" s="117"/>
      <c r="AJ1220" s="117"/>
      <c r="AK1220" s="117"/>
      <c r="AL1220" s="117"/>
      <c r="AM1220" s="117"/>
      <c r="AN1220" s="117"/>
      <c r="AO1220" s="117"/>
      <c r="AP1220" s="117"/>
      <c r="AQ1220" s="117"/>
      <c r="AR1220" s="117"/>
      <c r="AS1220" s="117"/>
      <c r="AT1220" s="117"/>
      <c r="AU1220" s="117"/>
      <c r="AV1220" s="117"/>
      <c r="AW1220" s="117"/>
      <c r="AX1220" s="117"/>
      <c r="AY1220" s="117"/>
      <c r="AZ1220" s="117"/>
      <c r="BA1220" s="117"/>
      <c r="BB1220" s="117"/>
      <c r="BC1220" s="117"/>
      <c r="BD1220" s="117"/>
      <c r="BE1220" s="117"/>
      <c r="BF1220" s="117"/>
      <c r="BG1220" s="117"/>
    </row>
    <row r="1221" spans="1:59">
      <c r="A1221" s="117"/>
      <c r="B1221" s="117"/>
      <c r="C1221" s="117"/>
      <c r="D1221" s="117"/>
      <c r="E1221" s="117"/>
      <c r="F1221" s="117"/>
      <c r="G1221" s="117"/>
      <c r="H1221" s="117"/>
      <c r="I1221" s="117"/>
      <c r="J1221" s="118"/>
      <c r="K1221" s="118"/>
      <c r="L1221" s="118"/>
      <c r="M1221" s="118"/>
      <c r="N1221" s="117"/>
      <c r="O1221" s="117"/>
      <c r="P1221" s="117"/>
      <c r="Q1221" s="117"/>
      <c r="R1221" s="117"/>
      <c r="S1221" s="117"/>
      <c r="T1221" s="117"/>
      <c r="U1221" s="117"/>
      <c r="V1221" s="117"/>
      <c r="W1221" s="117"/>
      <c r="X1221" s="117"/>
      <c r="Y1221" s="117"/>
      <c r="Z1221" s="117"/>
      <c r="AA1221" s="117"/>
      <c r="AB1221" s="117"/>
      <c r="AC1221" s="117"/>
      <c r="AD1221" s="117"/>
      <c r="AE1221" s="117"/>
      <c r="AF1221" s="117"/>
      <c r="AG1221" s="117"/>
      <c r="AH1221" s="117"/>
      <c r="AI1221" s="117"/>
      <c r="AJ1221" s="117"/>
      <c r="AK1221" s="117"/>
      <c r="AL1221" s="117"/>
      <c r="AM1221" s="117"/>
      <c r="AN1221" s="117"/>
      <c r="AO1221" s="117"/>
      <c r="AP1221" s="117"/>
      <c r="AQ1221" s="117"/>
      <c r="AR1221" s="117"/>
      <c r="AS1221" s="117"/>
      <c r="AT1221" s="117"/>
      <c r="AU1221" s="117"/>
      <c r="AV1221" s="117"/>
      <c r="AW1221" s="117"/>
      <c r="AX1221" s="117"/>
      <c r="AY1221" s="117"/>
      <c r="AZ1221" s="117"/>
      <c r="BA1221" s="117"/>
      <c r="BB1221" s="117"/>
      <c r="BC1221" s="117"/>
      <c r="BD1221" s="117"/>
      <c r="BE1221" s="117"/>
      <c r="BF1221" s="117"/>
      <c r="BG1221" s="117"/>
    </row>
    <row r="1222" spans="1:59">
      <c r="A1222" s="117"/>
      <c r="B1222" s="117"/>
      <c r="C1222" s="117"/>
      <c r="D1222" s="117"/>
      <c r="E1222" s="117"/>
      <c r="F1222" s="117"/>
      <c r="G1222" s="117"/>
      <c r="H1222" s="117"/>
      <c r="I1222" s="117"/>
      <c r="J1222" s="118"/>
      <c r="K1222" s="118"/>
      <c r="L1222" s="118"/>
      <c r="M1222" s="118"/>
      <c r="N1222" s="117"/>
      <c r="O1222" s="117"/>
      <c r="P1222" s="117"/>
      <c r="Q1222" s="117"/>
      <c r="R1222" s="117"/>
      <c r="S1222" s="117"/>
      <c r="T1222" s="117"/>
      <c r="U1222" s="117"/>
      <c r="V1222" s="117"/>
      <c r="W1222" s="117"/>
      <c r="X1222" s="117"/>
      <c r="Y1222" s="117"/>
      <c r="Z1222" s="117"/>
      <c r="AA1222" s="117"/>
      <c r="AB1222" s="117"/>
      <c r="AC1222" s="117"/>
      <c r="AD1222" s="117"/>
      <c r="AE1222" s="117"/>
      <c r="AF1222" s="117"/>
      <c r="AG1222" s="117"/>
      <c r="AH1222" s="117"/>
      <c r="AI1222" s="117"/>
      <c r="AJ1222" s="117"/>
      <c r="AK1222" s="117"/>
      <c r="AL1222" s="117"/>
      <c r="AM1222" s="117"/>
      <c r="AN1222" s="117"/>
      <c r="AO1222" s="117"/>
      <c r="AP1222" s="117"/>
      <c r="AQ1222" s="117"/>
      <c r="AR1222" s="117"/>
      <c r="AS1222" s="117"/>
      <c r="AT1222" s="117"/>
      <c r="AU1222" s="117"/>
      <c r="AV1222" s="117"/>
      <c r="AW1222" s="117"/>
      <c r="AX1222" s="117"/>
      <c r="AY1222" s="117"/>
      <c r="AZ1222" s="117"/>
      <c r="BA1222" s="117"/>
      <c r="BB1222" s="117"/>
      <c r="BC1222" s="117"/>
      <c r="BD1222" s="117"/>
      <c r="BE1222" s="117"/>
      <c r="BF1222" s="117"/>
      <c r="BG1222" s="117"/>
    </row>
    <row r="1223" spans="1:59">
      <c r="A1223" s="117"/>
      <c r="B1223" s="117"/>
      <c r="C1223" s="117"/>
      <c r="D1223" s="117"/>
      <c r="E1223" s="117"/>
      <c r="F1223" s="117"/>
      <c r="G1223" s="117"/>
      <c r="H1223" s="117"/>
      <c r="I1223" s="117"/>
      <c r="J1223" s="118"/>
      <c r="K1223" s="118"/>
      <c r="L1223" s="118"/>
      <c r="M1223" s="118"/>
      <c r="N1223" s="117"/>
      <c r="O1223" s="117"/>
      <c r="P1223" s="117"/>
      <c r="Q1223" s="117"/>
      <c r="R1223" s="117"/>
      <c r="S1223" s="117"/>
      <c r="T1223" s="117"/>
      <c r="U1223" s="117"/>
      <c r="V1223" s="117"/>
      <c r="W1223" s="117"/>
      <c r="X1223" s="117"/>
      <c r="Y1223" s="117"/>
      <c r="Z1223" s="117"/>
      <c r="AA1223" s="117"/>
      <c r="AB1223" s="117"/>
      <c r="AC1223" s="117"/>
      <c r="AD1223" s="117"/>
      <c r="AE1223" s="117"/>
      <c r="AF1223" s="117"/>
      <c r="AG1223" s="117"/>
      <c r="AH1223" s="117"/>
      <c r="AI1223" s="117"/>
      <c r="AJ1223" s="117"/>
      <c r="AK1223" s="117"/>
      <c r="AL1223" s="117"/>
      <c r="AM1223" s="117"/>
      <c r="AN1223" s="117"/>
      <c r="AO1223" s="117"/>
      <c r="AP1223" s="117"/>
      <c r="AQ1223" s="117"/>
      <c r="AR1223" s="117"/>
      <c r="AS1223" s="117"/>
      <c r="AT1223" s="117"/>
      <c r="AU1223" s="117"/>
      <c r="AV1223" s="117"/>
      <c r="AW1223" s="117"/>
      <c r="AX1223" s="117"/>
      <c r="AY1223" s="117"/>
      <c r="AZ1223" s="117"/>
      <c r="BA1223" s="117"/>
      <c r="BB1223" s="117"/>
      <c r="BC1223" s="117"/>
      <c r="BD1223" s="117"/>
      <c r="BE1223" s="117"/>
      <c r="BF1223" s="117"/>
      <c r="BG1223" s="117"/>
    </row>
    <row r="1224" spans="1:59">
      <c r="A1224" s="117"/>
      <c r="B1224" s="117"/>
      <c r="C1224" s="117"/>
      <c r="D1224" s="117"/>
      <c r="E1224" s="117"/>
      <c r="F1224" s="117"/>
      <c r="G1224" s="117"/>
      <c r="H1224" s="117"/>
      <c r="I1224" s="117"/>
      <c r="J1224" s="118"/>
      <c r="K1224" s="118"/>
      <c r="L1224" s="118"/>
      <c r="M1224" s="118"/>
      <c r="N1224" s="117"/>
      <c r="O1224" s="117"/>
      <c r="P1224" s="117"/>
      <c r="Q1224" s="117"/>
      <c r="R1224" s="117"/>
      <c r="S1224" s="117"/>
      <c r="T1224" s="117"/>
      <c r="U1224" s="117"/>
      <c r="V1224" s="117"/>
      <c r="W1224" s="117"/>
      <c r="X1224" s="117"/>
      <c r="Y1224" s="117"/>
      <c r="Z1224" s="117"/>
      <c r="AA1224" s="117"/>
      <c r="AB1224" s="117"/>
      <c r="AC1224" s="117"/>
      <c r="AD1224" s="117"/>
      <c r="AE1224" s="117"/>
      <c r="AF1224" s="117"/>
      <c r="AG1224" s="117"/>
      <c r="AH1224" s="117"/>
      <c r="AI1224" s="117"/>
      <c r="AJ1224" s="117"/>
      <c r="AK1224" s="117"/>
      <c r="AL1224" s="117"/>
      <c r="AM1224" s="117"/>
      <c r="AN1224" s="117"/>
      <c r="AO1224" s="117"/>
      <c r="AP1224" s="117"/>
      <c r="AQ1224" s="117"/>
      <c r="AR1224" s="117"/>
      <c r="AS1224" s="117"/>
      <c r="AT1224" s="117"/>
      <c r="AU1224" s="117"/>
      <c r="AV1224" s="117"/>
      <c r="AW1224" s="117"/>
      <c r="AX1224" s="117"/>
      <c r="AY1224" s="117"/>
      <c r="AZ1224" s="117"/>
      <c r="BA1224" s="117"/>
      <c r="BB1224" s="117"/>
      <c r="BC1224" s="117"/>
      <c r="BD1224" s="117"/>
      <c r="BE1224" s="117"/>
      <c r="BF1224" s="117"/>
      <c r="BG1224" s="117"/>
    </row>
    <row r="1225" spans="1:59">
      <c r="A1225" s="117"/>
      <c r="B1225" s="117"/>
      <c r="C1225" s="117"/>
      <c r="D1225" s="117"/>
      <c r="E1225" s="117"/>
      <c r="F1225" s="117"/>
      <c r="G1225" s="117"/>
      <c r="H1225" s="117"/>
      <c r="I1225" s="117"/>
      <c r="J1225" s="118"/>
      <c r="K1225" s="118"/>
      <c r="L1225" s="118"/>
      <c r="M1225" s="118"/>
      <c r="N1225" s="117"/>
      <c r="O1225" s="117"/>
      <c r="P1225" s="117"/>
      <c r="Q1225" s="117"/>
      <c r="R1225" s="117"/>
      <c r="S1225" s="117"/>
      <c r="T1225" s="117"/>
      <c r="U1225" s="117"/>
      <c r="V1225" s="117"/>
      <c r="W1225" s="117"/>
      <c r="X1225" s="117"/>
      <c r="Y1225" s="117"/>
      <c r="Z1225" s="117"/>
      <c r="AA1225" s="117"/>
      <c r="AB1225" s="117"/>
      <c r="AC1225" s="117"/>
      <c r="AD1225" s="117"/>
      <c r="AE1225" s="117"/>
      <c r="AF1225" s="117"/>
      <c r="AG1225" s="117"/>
      <c r="AH1225" s="117"/>
      <c r="AI1225" s="117"/>
      <c r="AJ1225" s="117"/>
      <c r="AK1225" s="117"/>
      <c r="AL1225" s="117"/>
      <c r="AM1225" s="117"/>
      <c r="AN1225" s="117"/>
      <c r="AO1225" s="117"/>
      <c r="AP1225" s="117"/>
      <c r="AQ1225" s="117"/>
      <c r="AR1225" s="117"/>
      <c r="AS1225" s="117"/>
      <c r="AT1225" s="117"/>
      <c r="AU1225" s="117"/>
      <c r="AV1225" s="117"/>
      <c r="AW1225" s="117"/>
      <c r="AX1225" s="117"/>
      <c r="AY1225" s="117"/>
      <c r="AZ1225" s="117"/>
      <c r="BA1225" s="117"/>
      <c r="BB1225" s="117"/>
      <c r="BC1225" s="117"/>
      <c r="BD1225" s="117"/>
      <c r="BE1225" s="117"/>
      <c r="BF1225" s="117"/>
      <c r="BG1225" s="117"/>
    </row>
    <row r="1226" spans="1:59">
      <c r="A1226" s="117"/>
      <c r="B1226" s="117"/>
      <c r="C1226" s="117"/>
      <c r="D1226" s="117"/>
      <c r="E1226" s="117"/>
      <c r="F1226" s="117"/>
      <c r="G1226" s="117"/>
      <c r="H1226" s="117"/>
      <c r="I1226" s="117"/>
      <c r="J1226" s="118"/>
      <c r="K1226" s="118"/>
      <c r="L1226" s="118"/>
      <c r="M1226" s="118"/>
      <c r="N1226" s="117"/>
      <c r="O1226" s="117"/>
      <c r="P1226" s="117"/>
      <c r="Q1226" s="117"/>
      <c r="R1226" s="117"/>
      <c r="S1226" s="117"/>
      <c r="T1226" s="117"/>
      <c r="U1226" s="117"/>
      <c r="V1226" s="117"/>
      <c r="W1226" s="117"/>
      <c r="X1226" s="117"/>
      <c r="Y1226" s="117"/>
      <c r="Z1226" s="117"/>
      <c r="AA1226" s="117"/>
      <c r="AB1226" s="117"/>
      <c r="AC1226" s="117"/>
      <c r="AD1226" s="117"/>
      <c r="AE1226" s="117"/>
      <c r="AF1226" s="117"/>
      <c r="AG1226" s="117"/>
      <c r="AH1226" s="117"/>
      <c r="AI1226" s="117"/>
      <c r="AJ1226" s="117"/>
      <c r="AK1226" s="117"/>
      <c r="AL1226" s="117"/>
      <c r="AM1226" s="117"/>
      <c r="AN1226" s="117"/>
      <c r="AO1226" s="117"/>
      <c r="AP1226" s="117"/>
      <c r="AQ1226" s="117"/>
      <c r="AR1226" s="117"/>
      <c r="AS1226" s="117"/>
      <c r="AT1226" s="117"/>
      <c r="AU1226" s="117"/>
      <c r="AV1226" s="117"/>
      <c r="AW1226" s="117"/>
      <c r="AX1226" s="117"/>
      <c r="AY1226" s="117"/>
      <c r="AZ1226" s="117"/>
      <c r="BA1226" s="117"/>
      <c r="BB1226" s="117"/>
      <c r="BC1226" s="117"/>
      <c r="BD1226" s="117"/>
      <c r="BE1226" s="117"/>
      <c r="BF1226" s="117"/>
      <c r="BG1226" s="117"/>
    </row>
    <row r="1227" spans="1:59">
      <c r="A1227" s="117"/>
      <c r="B1227" s="117"/>
      <c r="C1227" s="117"/>
      <c r="D1227" s="117"/>
      <c r="E1227" s="117"/>
      <c r="F1227" s="117"/>
      <c r="G1227" s="117"/>
      <c r="H1227" s="117"/>
      <c r="I1227" s="117"/>
      <c r="J1227" s="118"/>
      <c r="K1227" s="118"/>
      <c r="L1227" s="118"/>
      <c r="M1227" s="118"/>
      <c r="N1227" s="117"/>
      <c r="O1227" s="117"/>
      <c r="P1227" s="117"/>
      <c r="Q1227" s="117"/>
      <c r="R1227" s="117"/>
      <c r="S1227" s="117"/>
      <c r="T1227" s="117"/>
      <c r="U1227" s="117"/>
      <c r="V1227" s="117"/>
      <c r="W1227" s="117"/>
      <c r="X1227" s="117"/>
      <c r="Y1227" s="117"/>
      <c r="Z1227" s="117"/>
      <c r="AA1227" s="117"/>
      <c r="AB1227" s="117"/>
      <c r="AC1227" s="117"/>
      <c r="AD1227" s="117"/>
      <c r="AE1227" s="117"/>
      <c r="AF1227" s="117"/>
      <c r="AG1227" s="117"/>
      <c r="AH1227" s="117"/>
      <c r="AI1227" s="117"/>
      <c r="AJ1227" s="117"/>
      <c r="AK1227" s="117"/>
      <c r="AL1227" s="117"/>
      <c r="AM1227" s="117"/>
      <c r="AN1227" s="117"/>
      <c r="AO1227" s="117"/>
      <c r="AP1227" s="117"/>
      <c r="AQ1227" s="117"/>
      <c r="AR1227" s="117"/>
      <c r="AS1227" s="117"/>
      <c r="AT1227" s="117"/>
      <c r="AU1227" s="117"/>
      <c r="AV1227" s="117"/>
      <c r="AW1227" s="117"/>
      <c r="AX1227" s="117"/>
      <c r="AY1227" s="117"/>
      <c r="AZ1227" s="117"/>
      <c r="BA1227" s="117"/>
      <c r="BB1227" s="117"/>
      <c r="BC1227" s="117"/>
      <c r="BD1227" s="117"/>
      <c r="BE1227" s="117"/>
      <c r="BF1227" s="117"/>
      <c r="BG1227" s="117"/>
    </row>
    <row r="1228" spans="1:59">
      <c r="A1228" s="117"/>
      <c r="B1228" s="117"/>
      <c r="C1228" s="117"/>
      <c r="D1228" s="117"/>
      <c r="E1228" s="117"/>
      <c r="F1228" s="117"/>
      <c r="G1228" s="117"/>
      <c r="H1228" s="117"/>
      <c r="I1228" s="117"/>
      <c r="J1228" s="118"/>
      <c r="K1228" s="118"/>
      <c r="L1228" s="118"/>
      <c r="M1228" s="118"/>
      <c r="N1228" s="117"/>
      <c r="O1228" s="117"/>
      <c r="P1228" s="117"/>
      <c r="Q1228" s="117"/>
      <c r="R1228" s="117"/>
      <c r="S1228" s="117"/>
      <c r="T1228" s="117"/>
      <c r="U1228" s="117"/>
      <c r="V1228" s="117"/>
      <c r="W1228" s="117"/>
      <c r="X1228" s="117"/>
      <c r="Y1228" s="117"/>
      <c r="Z1228" s="117"/>
      <c r="AA1228" s="117"/>
      <c r="AB1228" s="117"/>
      <c r="AC1228" s="117"/>
      <c r="AD1228" s="117"/>
      <c r="AE1228" s="117"/>
      <c r="AF1228" s="117"/>
      <c r="AG1228" s="117"/>
      <c r="AH1228" s="117"/>
      <c r="AI1228" s="117"/>
      <c r="AJ1228" s="117"/>
      <c r="AK1228" s="117"/>
      <c r="AL1228" s="117"/>
      <c r="AM1228" s="117"/>
      <c r="AN1228" s="117"/>
      <c r="AO1228" s="117"/>
      <c r="AP1228" s="117"/>
      <c r="AQ1228" s="117"/>
      <c r="AR1228" s="117"/>
      <c r="AS1228" s="117"/>
      <c r="AT1228" s="117"/>
      <c r="AU1228" s="117"/>
      <c r="AV1228" s="117"/>
      <c r="AW1228" s="117"/>
      <c r="AX1228" s="117"/>
      <c r="AY1228" s="117"/>
      <c r="AZ1228" s="117"/>
      <c r="BA1228" s="117"/>
      <c r="BB1228" s="117"/>
      <c r="BC1228" s="117"/>
      <c r="BD1228" s="117"/>
      <c r="BE1228" s="117"/>
      <c r="BF1228" s="117"/>
      <c r="BG1228" s="117"/>
    </row>
    <row r="1229" spans="1:59">
      <c r="A1229" s="117"/>
      <c r="B1229" s="117"/>
      <c r="C1229" s="117"/>
      <c r="D1229" s="117"/>
      <c r="E1229" s="117"/>
      <c r="F1229" s="117"/>
      <c r="G1229" s="117"/>
      <c r="H1229" s="117"/>
      <c r="I1229" s="117"/>
      <c r="J1229" s="118"/>
      <c r="K1229" s="118"/>
      <c r="L1229" s="118"/>
      <c r="M1229" s="118"/>
      <c r="N1229" s="117"/>
      <c r="O1229" s="117"/>
      <c r="P1229" s="117"/>
      <c r="Q1229" s="117"/>
      <c r="R1229" s="117"/>
      <c r="S1229" s="117"/>
      <c r="T1229" s="117"/>
      <c r="U1229" s="117"/>
      <c r="V1229" s="117"/>
      <c r="W1229" s="117"/>
      <c r="X1229" s="117"/>
      <c r="Y1229" s="117"/>
      <c r="Z1229" s="117"/>
      <c r="AA1229" s="117"/>
      <c r="AB1229" s="117"/>
      <c r="AC1229" s="117"/>
      <c r="AD1229" s="117"/>
      <c r="AE1229" s="117"/>
      <c r="AF1229" s="117"/>
      <c r="AG1229" s="117"/>
      <c r="AH1229" s="117"/>
      <c r="AI1229" s="117"/>
      <c r="AJ1229" s="117"/>
      <c r="AK1229" s="117"/>
      <c r="AL1229" s="117"/>
      <c r="AM1229" s="117"/>
      <c r="AN1229" s="117"/>
      <c r="AO1229" s="117"/>
      <c r="AP1229" s="117"/>
      <c r="AQ1229" s="117"/>
      <c r="AR1229" s="117"/>
      <c r="AS1229" s="117"/>
      <c r="AT1229" s="117"/>
      <c r="AU1229" s="117"/>
      <c r="AV1229" s="117"/>
      <c r="AW1229" s="117"/>
      <c r="AX1229" s="117"/>
      <c r="AY1229" s="117"/>
      <c r="AZ1229" s="117"/>
      <c r="BA1229" s="117"/>
      <c r="BB1229" s="117"/>
      <c r="BC1229" s="117"/>
      <c r="BD1229" s="117"/>
      <c r="BE1229" s="117"/>
      <c r="BF1229" s="117"/>
      <c r="BG1229" s="117"/>
    </row>
    <row r="1230" spans="1:59">
      <c r="A1230" s="117"/>
      <c r="B1230" s="117"/>
      <c r="C1230" s="117"/>
      <c r="D1230" s="117"/>
      <c r="E1230" s="117"/>
      <c r="F1230" s="117"/>
      <c r="G1230" s="117"/>
      <c r="H1230" s="117"/>
      <c r="I1230" s="117"/>
      <c r="J1230" s="118"/>
      <c r="K1230" s="118"/>
      <c r="L1230" s="118"/>
      <c r="M1230" s="118"/>
      <c r="N1230" s="117"/>
      <c r="O1230" s="117"/>
      <c r="P1230" s="117"/>
      <c r="Q1230" s="117"/>
      <c r="R1230" s="117"/>
      <c r="S1230" s="117"/>
      <c r="T1230" s="117"/>
      <c r="U1230" s="117"/>
      <c r="V1230" s="117"/>
      <c r="W1230" s="117"/>
      <c r="X1230" s="117"/>
      <c r="Y1230" s="117"/>
      <c r="Z1230" s="117"/>
      <c r="AA1230" s="117"/>
      <c r="AB1230" s="117"/>
      <c r="AC1230" s="117"/>
      <c r="AD1230" s="117"/>
      <c r="AE1230" s="117"/>
      <c r="AF1230" s="117"/>
      <c r="AG1230" s="117"/>
      <c r="AH1230" s="117"/>
      <c r="AI1230" s="117"/>
      <c r="AJ1230" s="117"/>
      <c r="AK1230" s="117"/>
      <c r="AL1230" s="117"/>
      <c r="AM1230" s="117"/>
      <c r="AN1230" s="117"/>
      <c r="AO1230" s="117"/>
      <c r="AP1230" s="117"/>
      <c r="AQ1230" s="117"/>
      <c r="AR1230" s="117"/>
      <c r="AS1230" s="117"/>
      <c r="AT1230" s="117"/>
      <c r="AU1230" s="117"/>
      <c r="AV1230" s="117"/>
      <c r="AW1230" s="117"/>
      <c r="AX1230" s="117"/>
      <c r="AY1230" s="117"/>
      <c r="AZ1230" s="117"/>
      <c r="BA1230" s="117"/>
      <c r="BB1230" s="117"/>
      <c r="BC1230" s="117"/>
      <c r="BD1230" s="117"/>
      <c r="BE1230" s="117"/>
      <c r="BF1230" s="117"/>
      <c r="BG1230" s="117"/>
    </row>
    <row r="1231" spans="1:59">
      <c r="A1231" s="117"/>
      <c r="B1231" s="117"/>
      <c r="C1231" s="117"/>
      <c r="D1231" s="117"/>
      <c r="E1231" s="117"/>
      <c r="F1231" s="117"/>
      <c r="G1231" s="117"/>
      <c r="H1231" s="117"/>
      <c r="I1231" s="117"/>
      <c r="J1231" s="118"/>
      <c r="K1231" s="118"/>
      <c r="L1231" s="118"/>
      <c r="M1231" s="118"/>
      <c r="N1231" s="117"/>
      <c r="O1231" s="117"/>
      <c r="P1231" s="117"/>
      <c r="Q1231" s="117"/>
      <c r="R1231" s="117"/>
      <c r="S1231" s="117"/>
      <c r="T1231" s="117"/>
      <c r="U1231" s="117"/>
      <c r="V1231" s="117"/>
      <c r="W1231" s="117"/>
      <c r="X1231" s="117"/>
      <c r="Y1231" s="117"/>
      <c r="Z1231" s="117"/>
      <c r="AA1231" s="117"/>
      <c r="AB1231" s="117"/>
      <c r="AC1231" s="117"/>
      <c r="AD1231" s="117"/>
      <c r="AE1231" s="117"/>
      <c r="AF1231" s="117"/>
      <c r="AG1231" s="117"/>
      <c r="AH1231" s="117"/>
      <c r="AI1231" s="117"/>
      <c r="AJ1231" s="117"/>
      <c r="AK1231" s="117"/>
      <c r="AL1231" s="117"/>
      <c r="AM1231" s="117"/>
      <c r="AN1231" s="117"/>
      <c r="AO1231" s="117"/>
      <c r="AP1231" s="117"/>
      <c r="AQ1231" s="117"/>
      <c r="AR1231" s="117"/>
      <c r="AS1231" s="117"/>
      <c r="AT1231" s="117"/>
      <c r="AU1231" s="117"/>
      <c r="AV1231" s="117"/>
      <c r="AW1231" s="117"/>
      <c r="AX1231" s="117"/>
      <c r="AY1231" s="117"/>
      <c r="AZ1231" s="117"/>
      <c r="BA1231" s="117"/>
      <c r="BB1231" s="117"/>
      <c r="BC1231" s="117"/>
      <c r="BD1231" s="117"/>
      <c r="BE1231" s="117"/>
      <c r="BF1231" s="117"/>
      <c r="BG1231" s="117"/>
    </row>
    <row r="1232" spans="1:59">
      <c r="A1232" s="117"/>
      <c r="B1232" s="117"/>
      <c r="C1232" s="117"/>
      <c r="D1232" s="117"/>
      <c r="E1232" s="117"/>
      <c r="F1232" s="117"/>
      <c r="G1232" s="117"/>
      <c r="H1232" s="117"/>
      <c r="I1232" s="117"/>
      <c r="J1232" s="118"/>
      <c r="K1232" s="118"/>
      <c r="L1232" s="118"/>
      <c r="M1232" s="118"/>
      <c r="N1232" s="117"/>
      <c r="O1232" s="117"/>
      <c r="P1232" s="117"/>
      <c r="Q1232" s="117"/>
      <c r="R1232" s="117"/>
      <c r="S1232" s="117"/>
      <c r="T1232" s="117"/>
      <c r="U1232" s="117"/>
      <c r="V1232" s="117"/>
      <c r="W1232" s="117"/>
      <c r="X1232" s="117"/>
      <c r="Y1232" s="117"/>
      <c r="Z1232" s="117"/>
      <c r="AA1232" s="117"/>
      <c r="AB1232" s="117"/>
      <c r="AC1232" s="117"/>
      <c r="AD1232" s="117"/>
      <c r="AE1232" s="117"/>
      <c r="AF1232" s="117"/>
      <c r="AG1232" s="117"/>
      <c r="AH1232" s="117"/>
      <c r="AI1232" s="117"/>
      <c r="AJ1232" s="117"/>
      <c r="AK1232" s="117"/>
      <c r="AL1232" s="117"/>
      <c r="AM1232" s="117"/>
      <c r="AN1232" s="117"/>
      <c r="AO1232" s="117"/>
      <c r="AP1232" s="117"/>
      <c r="AQ1232" s="117"/>
      <c r="AR1232" s="117"/>
      <c r="AS1232" s="117"/>
      <c r="AT1232" s="117"/>
      <c r="AU1232" s="117"/>
      <c r="AV1232" s="117"/>
      <c r="AW1232" s="117"/>
      <c r="AX1232" s="117"/>
      <c r="AY1232" s="117"/>
      <c r="AZ1232" s="117"/>
      <c r="BA1232" s="117"/>
      <c r="BB1232" s="117"/>
      <c r="BC1232" s="117"/>
      <c r="BD1232" s="117"/>
      <c r="BE1232" s="117"/>
      <c r="BF1232" s="117"/>
      <c r="BG1232" s="117"/>
    </row>
    <row r="1233" spans="1:59">
      <c r="A1233" s="117"/>
      <c r="B1233" s="117"/>
      <c r="C1233" s="117"/>
      <c r="D1233" s="117"/>
      <c r="E1233" s="117"/>
      <c r="F1233" s="117"/>
      <c r="G1233" s="117"/>
      <c r="H1233" s="117"/>
      <c r="I1233" s="117"/>
      <c r="J1233" s="118"/>
      <c r="K1233" s="118"/>
      <c r="L1233" s="118"/>
      <c r="M1233" s="118"/>
      <c r="N1233" s="117"/>
      <c r="O1233" s="117"/>
      <c r="P1233" s="117"/>
      <c r="Q1233" s="117"/>
      <c r="R1233" s="117"/>
      <c r="S1233" s="117"/>
      <c r="T1233" s="117"/>
      <c r="U1233" s="117"/>
      <c r="V1233" s="117"/>
      <c r="W1233" s="117"/>
      <c r="X1233" s="117"/>
      <c r="Y1233" s="117"/>
      <c r="Z1233" s="117"/>
      <c r="AA1233" s="117"/>
      <c r="AB1233" s="117"/>
      <c r="AC1233" s="117"/>
      <c r="AD1233" s="117"/>
      <c r="AE1233" s="117"/>
      <c r="AF1233" s="117"/>
      <c r="AG1233" s="117"/>
      <c r="AH1233" s="117"/>
      <c r="AI1233" s="117"/>
      <c r="AJ1233" s="117"/>
      <c r="AK1233" s="117"/>
      <c r="AL1233" s="117"/>
      <c r="AM1233" s="117"/>
      <c r="AN1233" s="117"/>
      <c r="AO1233" s="117"/>
      <c r="AP1233" s="117"/>
      <c r="AQ1233" s="117"/>
      <c r="AR1233" s="117"/>
      <c r="AS1233" s="117"/>
      <c r="AT1233" s="117"/>
      <c r="AU1233" s="117"/>
      <c r="AV1233" s="117"/>
      <c r="AW1233" s="117"/>
      <c r="AX1233" s="117"/>
      <c r="AY1233" s="117"/>
      <c r="AZ1233" s="117"/>
      <c r="BA1233" s="117"/>
      <c r="BB1233" s="117"/>
      <c r="BC1233" s="117"/>
      <c r="BD1233" s="117"/>
      <c r="BE1233" s="117"/>
      <c r="BF1233" s="117"/>
      <c r="BG1233" s="117"/>
    </row>
    <row r="1234" spans="1:59">
      <c r="A1234" s="117"/>
      <c r="B1234" s="117"/>
      <c r="C1234" s="117"/>
      <c r="D1234" s="117"/>
      <c r="E1234" s="117"/>
      <c r="F1234" s="117"/>
      <c r="G1234" s="117"/>
      <c r="H1234" s="117"/>
      <c r="I1234" s="117"/>
      <c r="J1234" s="118"/>
      <c r="K1234" s="118"/>
      <c r="L1234" s="118"/>
      <c r="M1234" s="118"/>
      <c r="N1234" s="117"/>
      <c r="O1234" s="117"/>
      <c r="P1234" s="117"/>
      <c r="Q1234" s="117"/>
      <c r="R1234" s="117"/>
      <c r="S1234" s="117"/>
      <c r="T1234" s="117"/>
      <c r="U1234" s="117"/>
      <c r="V1234" s="117"/>
      <c r="W1234" s="117"/>
      <c r="X1234" s="117"/>
      <c r="Y1234" s="117"/>
      <c r="Z1234" s="117"/>
      <c r="AA1234" s="117"/>
      <c r="AB1234" s="117"/>
      <c r="AC1234" s="117"/>
      <c r="AD1234" s="117"/>
      <c r="AE1234" s="117"/>
      <c r="AF1234" s="117"/>
      <c r="AG1234" s="117"/>
      <c r="AH1234" s="117"/>
      <c r="AI1234" s="117"/>
      <c r="AJ1234" s="117"/>
      <c r="AK1234" s="117"/>
      <c r="AL1234" s="117"/>
      <c r="AM1234" s="117"/>
      <c r="AN1234" s="117"/>
      <c r="AO1234" s="117"/>
      <c r="AP1234" s="117"/>
      <c r="AQ1234" s="117"/>
      <c r="AR1234" s="117"/>
      <c r="AS1234" s="117"/>
      <c r="AT1234" s="117"/>
      <c r="AU1234" s="117"/>
      <c r="AV1234" s="117"/>
      <c r="AW1234" s="117"/>
      <c r="AX1234" s="117"/>
      <c r="AY1234" s="117"/>
      <c r="AZ1234" s="117"/>
      <c r="BA1234" s="117"/>
      <c r="BB1234" s="117"/>
      <c r="BC1234" s="117"/>
      <c r="BD1234" s="117"/>
      <c r="BE1234" s="117"/>
      <c r="BF1234" s="117"/>
      <c r="BG1234" s="117"/>
    </row>
    <row r="1235" spans="1:59">
      <c r="A1235" s="117"/>
      <c r="B1235" s="117"/>
      <c r="C1235" s="117"/>
      <c r="D1235" s="117"/>
      <c r="E1235" s="117"/>
      <c r="F1235" s="117"/>
      <c r="G1235" s="117"/>
      <c r="H1235" s="117"/>
      <c r="I1235" s="117"/>
      <c r="J1235" s="118"/>
      <c r="K1235" s="118"/>
      <c r="L1235" s="118"/>
      <c r="M1235" s="118"/>
      <c r="N1235" s="117"/>
      <c r="O1235" s="117"/>
      <c r="P1235" s="117"/>
      <c r="Q1235" s="117"/>
      <c r="R1235" s="117"/>
      <c r="S1235" s="117"/>
      <c r="T1235" s="117"/>
      <c r="U1235" s="117"/>
      <c r="V1235" s="117"/>
      <c r="W1235" s="117"/>
      <c r="X1235" s="117"/>
      <c r="Y1235" s="117"/>
      <c r="Z1235" s="117"/>
      <c r="AA1235" s="117"/>
      <c r="AB1235" s="117"/>
      <c r="AC1235" s="117"/>
      <c r="AD1235" s="117"/>
      <c r="AE1235" s="117"/>
      <c r="AF1235" s="117"/>
      <c r="AG1235" s="117"/>
      <c r="AH1235" s="117"/>
      <c r="AI1235" s="117"/>
      <c r="AJ1235" s="117"/>
      <c r="AK1235" s="117"/>
      <c r="AL1235" s="117"/>
      <c r="AM1235" s="117"/>
      <c r="AN1235" s="117"/>
      <c r="AO1235" s="117"/>
      <c r="AP1235" s="117"/>
      <c r="AQ1235" s="117"/>
      <c r="AR1235" s="117"/>
      <c r="AS1235" s="117"/>
      <c r="AT1235" s="117"/>
      <c r="AU1235" s="117"/>
      <c r="AV1235" s="117"/>
      <c r="AW1235" s="117"/>
      <c r="AX1235" s="117"/>
      <c r="AY1235" s="117"/>
      <c r="AZ1235" s="117"/>
      <c r="BA1235" s="117"/>
      <c r="BB1235" s="117"/>
      <c r="BC1235" s="117"/>
      <c r="BD1235" s="117"/>
      <c r="BE1235" s="117"/>
      <c r="BF1235" s="117"/>
      <c r="BG1235" s="117"/>
    </row>
    <row r="1236" spans="1:59">
      <c r="A1236" s="117"/>
      <c r="B1236" s="117"/>
      <c r="C1236" s="117"/>
      <c r="D1236" s="117"/>
      <c r="E1236" s="117"/>
      <c r="F1236" s="117"/>
      <c r="G1236" s="117"/>
      <c r="H1236" s="117"/>
      <c r="I1236" s="117"/>
      <c r="J1236" s="118"/>
      <c r="K1236" s="118"/>
      <c r="L1236" s="118"/>
      <c r="M1236" s="118"/>
      <c r="N1236" s="117"/>
      <c r="O1236" s="117"/>
      <c r="P1236" s="117"/>
      <c r="Q1236" s="117"/>
      <c r="R1236" s="117"/>
      <c r="S1236" s="117"/>
      <c r="T1236" s="117"/>
      <c r="U1236" s="117"/>
      <c r="V1236" s="117"/>
      <c r="W1236" s="117"/>
      <c r="X1236" s="117"/>
      <c r="Y1236" s="117"/>
      <c r="Z1236" s="117"/>
      <c r="AA1236" s="117"/>
      <c r="AB1236" s="117"/>
      <c r="AC1236" s="117"/>
      <c r="AD1236" s="117"/>
      <c r="AE1236" s="117"/>
      <c r="AF1236" s="117"/>
      <c r="AG1236" s="117"/>
      <c r="AH1236" s="117"/>
      <c r="AI1236" s="117"/>
      <c r="AJ1236" s="117"/>
      <c r="AK1236" s="117"/>
      <c r="AL1236" s="117"/>
      <c r="AM1236" s="117"/>
      <c r="AN1236" s="117"/>
      <c r="AO1236" s="117"/>
      <c r="AP1236" s="117"/>
      <c r="AQ1236" s="117"/>
      <c r="AR1236" s="117"/>
      <c r="AS1236" s="117"/>
      <c r="AT1236" s="117"/>
      <c r="AU1236" s="117"/>
      <c r="AV1236" s="117"/>
      <c r="AW1236" s="117"/>
      <c r="AX1236" s="117"/>
      <c r="AY1236" s="117"/>
      <c r="AZ1236" s="117"/>
      <c r="BA1236" s="117"/>
      <c r="BB1236" s="117"/>
      <c r="BC1236" s="117"/>
      <c r="BD1236" s="117"/>
      <c r="BE1236" s="117"/>
      <c r="BF1236" s="117"/>
      <c r="BG1236" s="117"/>
    </row>
    <row r="1237" spans="1:59">
      <c r="A1237" s="117"/>
      <c r="B1237" s="117"/>
      <c r="C1237" s="117"/>
      <c r="D1237" s="117"/>
      <c r="E1237" s="117"/>
      <c r="F1237" s="117"/>
      <c r="G1237" s="117"/>
      <c r="H1237" s="117"/>
      <c r="I1237" s="117"/>
      <c r="J1237" s="118"/>
      <c r="K1237" s="118"/>
      <c r="L1237" s="118"/>
      <c r="M1237" s="118"/>
      <c r="N1237" s="117"/>
      <c r="O1237" s="117"/>
      <c r="P1237" s="117"/>
      <c r="Q1237" s="117"/>
      <c r="R1237" s="117"/>
      <c r="S1237" s="117"/>
      <c r="T1237" s="117"/>
      <c r="U1237" s="117"/>
      <c r="V1237" s="117"/>
      <c r="W1237" s="117"/>
      <c r="X1237" s="117"/>
      <c r="Y1237" s="117"/>
      <c r="Z1237" s="117"/>
      <c r="AA1237" s="117"/>
      <c r="AB1237" s="117"/>
      <c r="AC1237" s="117"/>
      <c r="AD1237" s="117"/>
      <c r="AE1237" s="117"/>
      <c r="AF1237" s="117"/>
      <c r="AG1237" s="117"/>
      <c r="AH1237" s="117"/>
      <c r="AI1237" s="117"/>
      <c r="AJ1237" s="117"/>
      <c r="AK1237" s="117"/>
      <c r="AL1237" s="117"/>
      <c r="AM1237" s="117"/>
      <c r="AN1237" s="117"/>
      <c r="AO1237" s="117"/>
      <c r="AP1237" s="117"/>
      <c r="AQ1237" s="117"/>
      <c r="AR1237" s="117"/>
      <c r="AS1237" s="117"/>
      <c r="AT1237" s="117"/>
      <c r="AU1237" s="117"/>
      <c r="AV1237" s="117"/>
      <c r="AW1237" s="117"/>
      <c r="AX1237" s="117"/>
      <c r="AY1237" s="117"/>
      <c r="AZ1237" s="117"/>
      <c r="BA1237" s="117"/>
      <c r="BB1237" s="117"/>
      <c r="BC1237" s="117"/>
      <c r="BD1237" s="117"/>
      <c r="BE1237" s="117"/>
      <c r="BF1237" s="117"/>
      <c r="BG1237" s="117"/>
    </row>
    <row r="1238" spans="1:59">
      <c r="A1238" s="117"/>
      <c r="B1238" s="117"/>
      <c r="C1238" s="117"/>
      <c r="D1238" s="117"/>
      <c r="E1238" s="117"/>
      <c r="F1238" s="117"/>
      <c r="G1238" s="117"/>
      <c r="H1238" s="117"/>
      <c r="I1238" s="117"/>
      <c r="J1238" s="118"/>
      <c r="K1238" s="118"/>
      <c r="L1238" s="118"/>
      <c r="M1238" s="118"/>
      <c r="N1238" s="117"/>
      <c r="O1238" s="117"/>
      <c r="P1238" s="117"/>
      <c r="Q1238" s="117"/>
      <c r="R1238" s="117"/>
      <c r="S1238" s="117"/>
      <c r="T1238" s="117"/>
      <c r="U1238" s="117"/>
      <c r="V1238" s="117"/>
      <c r="W1238" s="117"/>
      <c r="X1238" s="117"/>
      <c r="Y1238" s="117"/>
      <c r="Z1238" s="117"/>
      <c r="AA1238" s="117"/>
      <c r="AB1238" s="117"/>
      <c r="AC1238" s="117"/>
      <c r="AD1238" s="117"/>
      <c r="AE1238" s="117"/>
      <c r="AF1238" s="117"/>
      <c r="AG1238" s="117"/>
      <c r="AH1238" s="117"/>
      <c r="AI1238" s="117"/>
      <c r="AJ1238" s="117"/>
      <c r="AK1238" s="117"/>
      <c r="AL1238" s="117"/>
      <c r="AM1238" s="117"/>
      <c r="AN1238" s="117"/>
      <c r="AO1238" s="117"/>
      <c r="AP1238" s="117"/>
      <c r="AQ1238" s="117"/>
      <c r="AR1238" s="117"/>
      <c r="AS1238" s="117"/>
      <c r="AT1238" s="117"/>
      <c r="AU1238" s="117"/>
      <c r="AV1238" s="117"/>
      <c r="AW1238" s="117"/>
      <c r="AX1238" s="117"/>
      <c r="AY1238" s="117"/>
      <c r="AZ1238" s="117"/>
      <c r="BA1238" s="117"/>
      <c r="BB1238" s="117"/>
      <c r="BC1238" s="117"/>
      <c r="BD1238" s="117"/>
      <c r="BE1238" s="117"/>
      <c r="BF1238" s="117"/>
      <c r="BG1238" s="117"/>
    </row>
    <row r="1239" spans="1:59">
      <c r="A1239" s="117"/>
      <c r="B1239" s="117"/>
      <c r="C1239" s="117"/>
      <c r="D1239" s="117"/>
      <c r="E1239" s="117"/>
      <c r="F1239" s="117"/>
      <c r="G1239" s="117"/>
      <c r="H1239" s="117"/>
      <c r="I1239" s="117"/>
      <c r="J1239" s="118"/>
      <c r="K1239" s="118"/>
      <c r="L1239" s="118"/>
      <c r="M1239" s="118"/>
      <c r="N1239" s="117"/>
      <c r="O1239" s="117"/>
      <c r="P1239" s="117"/>
      <c r="Q1239" s="117"/>
      <c r="R1239" s="117"/>
      <c r="S1239" s="117"/>
      <c r="T1239" s="117"/>
      <c r="U1239" s="117"/>
      <c r="V1239" s="117"/>
      <c r="W1239" s="117"/>
      <c r="X1239" s="117"/>
      <c r="Y1239" s="117"/>
      <c r="Z1239" s="117"/>
      <c r="AA1239" s="117"/>
      <c r="AB1239" s="117"/>
      <c r="AC1239" s="117"/>
      <c r="AD1239" s="117"/>
      <c r="AE1239" s="117"/>
      <c r="AF1239" s="117"/>
      <c r="AG1239" s="117"/>
      <c r="AH1239" s="117"/>
      <c r="AI1239" s="117"/>
      <c r="AJ1239" s="117"/>
      <c r="AK1239" s="117"/>
      <c r="AL1239" s="117"/>
      <c r="AM1239" s="117"/>
      <c r="AN1239" s="117"/>
      <c r="AO1239" s="117"/>
      <c r="AP1239" s="117"/>
      <c r="AQ1239" s="117"/>
      <c r="AR1239" s="117"/>
      <c r="AS1239" s="117"/>
      <c r="AT1239" s="117"/>
      <c r="AU1239" s="117"/>
      <c r="AV1239" s="117"/>
      <c r="AW1239" s="117"/>
      <c r="AX1239" s="117"/>
      <c r="AY1239" s="117"/>
      <c r="AZ1239" s="117"/>
      <c r="BA1239" s="117"/>
      <c r="BB1239" s="117"/>
      <c r="BC1239" s="117"/>
      <c r="BD1239" s="117"/>
      <c r="BE1239" s="117"/>
      <c r="BF1239" s="117"/>
      <c r="BG1239" s="117"/>
    </row>
    <row r="1240" spans="1:59">
      <c r="A1240" s="117"/>
      <c r="B1240" s="117"/>
      <c r="C1240" s="117"/>
      <c r="D1240" s="117"/>
      <c r="E1240" s="117"/>
      <c r="F1240" s="117"/>
      <c r="G1240" s="117"/>
      <c r="H1240" s="117"/>
      <c r="I1240" s="117"/>
      <c r="J1240" s="118"/>
      <c r="K1240" s="118"/>
      <c r="L1240" s="118"/>
      <c r="M1240" s="118"/>
      <c r="N1240" s="117"/>
      <c r="O1240" s="117"/>
      <c r="P1240" s="117"/>
      <c r="Q1240" s="117"/>
      <c r="R1240" s="117"/>
      <c r="S1240" s="117"/>
      <c r="T1240" s="117"/>
      <c r="U1240" s="117"/>
      <c r="V1240" s="117"/>
      <c r="W1240" s="117"/>
      <c r="X1240" s="117"/>
      <c r="Y1240" s="117"/>
      <c r="Z1240" s="117"/>
      <c r="AA1240" s="117"/>
      <c r="AB1240" s="117"/>
      <c r="AC1240" s="117"/>
      <c r="AD1240" s="117"/>
      <c r="AE1240" s="117"/>
      <c r="AF1240" s="117"/>
      <c r="AG1240" s="117"/>
      <c r="AH1240" s="117"/>
      <c r="AI1240" s="117"/>
      <c r="AJ1240" s="117"/>
      <c r="AK1240" s="117"/>
      <c r="AL1240" s="117"/>
      <c r="AM1240" s="117"/>
      <c r="AN1240" s="117"/>
      <c r="AO1240" s="117"/>
      <c r="AP1240" s="117"/>
      <c r="AQ1240" s="117"/>
      <c r="AR1240" s="117"/>
      <c r="AS1240" s="117"/>
      <c r="AT1240" s="117"/>
      <c r="AU1240" s="117"/>
      <c r="AV1240" s="117"/>
      <c r="AW1240" s="117"/>
      <c r="AX1240" s="117"/>
      <c r="AY1240" s="117"/>
      <c r="AZ1240" s="117"/>
      <c r="BA1240" s="117"/>
      <c r="BB1240" s="117"/>
      <c r="BC1240" s="117"/>
      <c r="BD1240" s="117"/>
      <c r="BE1240" s="117"/>
      <c r="BF1240" s="117"/>
      <c r="BG1240" s="117"/>
    </row>
    <row r="1241" spans="1:59">
      <c r="A1241" s="117"/>
      <c r="B1241" s="117"/>
      <c r="C1241" s="117"/>
      <c r="D1241" s="117"/>
      <c r="E1241" s="117"/>
      <c r="F1241" s="117"/>
      <c r="G1241" s="117"/>
      <c r="H1241" s="117"/>
      <c r="I1241" s="117"/>
      <c r="J1241" s="118"/>
      <c r="K1241" s="118"/>
      <c r="L1241" s="118"/>
      <c r="M1241" s="118"/>
      <c r="N1241" s="117"/>
      <c r="O1241" s="117"/>
      <c r="P1241" s="117"/>
      <c r="Q1241" s="117"/>
      <c r="R1241" s="117"/>
      <c r="S1241" s="117"/>
      <c r="T1241" s="117"/>
      <c r="U1241" s="117"/>
      <c r="V1241" s="117"/>
      <c r="W1241" s="117"/>
      <c r="X1241" s="117"/>
      <c r="Y1241" s="117"/>
      <c r="Z1241" s="117"/>
      <c r="AA1241" s="117"/>
      <c r="AB1241" s="117"/>
      <c r="AC1241" s="117"/>
      <c r="AD1241" s="117"/>
      <c r="AE1241" s="117"/>
      <c r="AF1241" s="117"/>
      <c r="AG1241" s="117"/>
      <c r="AH1241" s="117"/>
      <c r="AI1241" s="117"/>
      <c r="AJ1241" s="117"/>
      <c r="AK1241" s="117"/>
      <c r="AL1241" s="117"/>
      <c r="AM1241" s="117"/>
      <c r="AN1241" s="117"/>
      <c r="AO1241" s="117"/>
      <c r="AP1241" s="117"/>
      <c r="AQ1241" s="117"/>
      <c r="AR1241" s="117"/>
      <c r="AS1241" s="117"/>
      <c r="AT1241" s="117"/>
      <c r="AU1241" s="117"/>
      <c r="AV1241" s="117"/>
      <c r="AW1241" s="117"/>
      <c r="AX1241" s="117"/>
      <c r="AY1241" s="117"/>
      <c r="AZ1241" s="117"/>
      <c r="BA1241" s="117"/>
      <c r="BB1241" s="117"/>
      <c r="BC1241" s="117"/>
      <c r="BD1241" s="117"/>
      <c r="BE1241" s="117"/>
      <c r="BF1241" s="117"/>
      <c r="BG1241" s="117"/>
    </row>
    <row r="1242" spans="1:59">
      <c r="A1242" s="117"/>
      <c r="B1242" s="117"/>
      <c r="C1242" s="117"/>
      <c r="D1242" s="117"/>
      <c r="E1242" s="117"/>
      <c r="F1242" s="117"/>
      <c r="G1242" s="117"/>
      <c r="H1242" s="117"/>
      <c r="I1242" s="117"/>
      <c r="J1242" s="118"/>
      <c r="K1242" s="118"/>
      <c r="L1242" s="118"/>
      <c r="M1242" s="118"/>
      <c r="N1242" s="117"/>
      <c r="O1242" s="117"/>
      <c r="P1242" s="117"/>
      <c r="Q1242" s="117"/>
      <c r="R1242" s="117"/>
      <c r="S1242" s="117"/>
      <c r="T1242" s="117"/>
      <c r="U1242" s="117"/>
      <c r="V1242" s="117"/>
      <c r="W1242" s="117"/>
      <c r="X1242" s="117"/>
      <c r="Y1242" s="117"/>
      <c r="Z1242" s="117"/>
      <c r="AA1242" s="117"/>
      <c r="AB1242" s="117"/>
      <c r="AC1242" s="117"/>
      <c r="AD1242" s="117"/>
      <c r="AE1242" s="117"/>
      <c r="AF1242" s="117"/>
      <c r="AG1242" s="117"/>
      <c r="AH1242" s="117"/>
      <c r="AI1242" s="117"/>
      <c r="AJ1242" s="117"/>
      <c r="AK1242" s="117"/>
      <c r="AL1242" s="117"/>
      <c r="AM1242" s="117"/>
      <c r="AN1242" s="117"/>
      <c r="AO1242" s="117"/>
      <c r="AP1242" s="117"/>
      <c r="AQ1242" s="117"/>
      <c r="AR1242" s="117"/>
      <c r="AS1242" s="117"/>
      <c r="AT1242" s="117"/>
      <c r="AU1242" s="117"/>
      <c r="AV1242" s="117"/>
      <c r="AW1242" s="117"/>
      <c r="AX1242" s="117"/>
      <c r="AY1242" s="117"/>
      <c r="AZ1242" s="117"/>
      <c r="BA1242" s="117"/>
      <c r="BB1242" s="117"/>
      <c r="BC1242" s="117"/>
      <c r="BD1242" s="117"/>
      <c r="BE1242" s="117"/>
      <c r="BF1242" s="117"/>
      <c r="BG1242" s="117"/>
    </row>
    <row r="1243" spans="1:59">
      <c r="A1243" s="117"/>
      <c r="B1243" s="117"/>
      <c r="C1243" s="117"/>
      <c r="D1243" s="117"/>
      <c r="E1243" s="117"/>
      <c r="F1243" s="117"/>
      <c r="G1243" s="117"/>
      <c r="H1243" s="117"/>
      <c r="I1243" s="117"/>
      <c r="J1243" s="118"/>
      <c r="K1243" s="118"/>
      <c r="L1243" s="118"/>
      <c r="M1243" s="118"/>
      <c r="N1243" s="117"/>
      <c r="O1243" s="117"/>
      <c r="P1243" s="117"/>
      <c r="Q1243" s="117"/>
      <c r="R1243" s="117"/>
      <c r="S1243" s="117"/>
      <c r="T1243" s="117"/>
      <c r="U1243" s="117"/>
      <c r="V1243" s="117"/>
      <c r="W1243" s="117"/>
      <c r="X1243" s="117"/>
      <c r="Y1243" s="117"/>
      <c r="Z1243" s="117"/>
      <c r="AA1243" s="117"/>
      <c r="AB1243" s="117"/>
      <c r="AC1243" s="117"/>
      <c r="AD1243" s="117"/>
      <c r="AE1243" s="117"/>
      <c r="AF1243" s="117"/>
      <c r="AG1243" s="117"/>
      <c r="AH1243" s="117"/>
      <c r="AI1243" s="117"/>
      <c r="AJ1243" s="117"/>
      <c r="AK1243" s="117"/>
      <c r="AL1243" s="117"/>
      <c r="AM1243" s="117"/>
      <c r="AN1243" s="117"/>
      <c r="AO1243" s="117"/>
      <c r="AP1243" s="117"/>
      <c r="AQ1243" s="117"/>
      <c r="AR1243" s="117"/>
      <c r="AS1243" s="117"/>
      <c r="AT1243" s="117"/>
      <c r="AU1243" s="117"/>
      <c r="AV1243" s="117"/>
      <c r="AW1243" s="117"/>
      <c r="AX1243" s="117"/>
      <c r="AY1243" s="117"/>
      <c r="AZ1243" s="117"/>
      <c r="BA1243" s="117"/>
      <c r="BB1243" s="117"/>
      <c r="BC1243" s="117"/>
      <c r="BD1243" s="117"/>
      <c r="BE1243" s="117"/>
      <c r="BF1243" s="117"/>
      <c r="BG1243" s="117"/>
    </row>
    <row r="1244" spans="1:59">
      <c r="A1244" s="117"/>
      <c r="B1244" s="117"/>
      <c r="C1244" s="117"/>
      <c r="D1244" s="117"/>
      <c r="E1244" s="117"/>
      <c r="F1244" s="117"/>
      <c r="G1244" s="117"/>
      <c r="H1244" s="117"/>
      <c r="I1244" s="117"/>
      <c r="J1244" s="118"/>
      <c r="K1244" s="118"/>
      <c r="L1244" s="118"/>
      <c r="M1244" s="118"/>
      <c r="N1244" s="117"/>
      <c r="O1244" s="117"/>
      <c r="P1244" s="117"/>
      <c r="Q1244" s="117"/>
      <c r="R1244" s="117"/>
      <c r="S1244" s="117"/>
      <c r="T1244" s="117"/>
      <c r="U1244" s="117"/>
      <c r="V1244" s="117"/>
      <c r="W1244" s="117"/>
      <c r="X1244" s="117"/>
      <c r="Y1244" s="117"/>
      <c r="Z1244" s="117"/>
      <c r="AA1244" s="117"/>
      <c r="AB1244" s="117"/>
      <c r="AC1244" s="117"/>
      <c r="AD1244" s="117"/>
      <c r="AE1244" s="117"/>
      <c r="AF1244" s="117"/>
      <c r="AG1244" s="117"/>
      <c r="AH1244" s="117"/>
      <c r="AI1244" s="117"/>
      <c r="AJ1244" s="117"/>
      <c r="AK1244" s="117"/>
      <c r="AL1244" s="117"/>
      <c r="AM1244" s="117"/>
      <c r="AN1244" s="117"/>
      <c r="AO1244" s="117"/>
      <c r="AP1244" s="117"/>
      <c r="AQ1244" s="117"/>
      <c r="AR1244" s="117"/>
      <c r="AS1244" s="117"/>
      <c r="AT1244" s="117"/>
      <c r="AU1244" s="117"/>
      <c r="AV1244" s="117"/>
      <c r="AW1244" s="117"/>
      <c r="AX1244" s="117"/>
      <c r="AY1244" s="117"/>
      <c r="AZ1244" s="117"/>
      <c r="BA1244" s="117"/>
      <c r="BB1244" s="117"/>
      <c r="BC1244" s="117"/>
      <c r="BD1244" s="117"/>
      <c r="BE1244" s="117"/>
      <c r="BF1244" s="117"/>
      <c r="BG1244" s="117"/>
    </row>
    <row r="1245" spans="1:59">
      <c r="A1245" s="117"/>
      <c r="B1245" s="117"/>
      <c r="C1245" s="117"/>
      <c r="D1245" s="117"/>
      <c r="E1245" s="117"/>
      <c r="F1245" s="117"/>
      <c r="G1245" s="117"/>
      <c r="H1245" s="117"/>
      <c r="I1245" s="117"/>
      <c r="J1245" s="118"/>
      <c r="K1245" s="118"/>
      <c r="L1245" s="118"/>
      <c r="M1245" s="118"/>
      <c r="N1245" s="117"/>
      <c r="O1245" s="117"/>
      <c r="P1245" s="117"/>
      <c r="Q1245" s="117"/>
      <c r="R1245" s="117"/>
      <c r="S1245" s="117"/>
      <c r="T1245" s="117"/>
      <c r="U1245" s="117"/>
      <c r="V1245" s="117"/>
      <c r="W1245" s="117"/>
      <c r="X1245" s="117"/>
      <c r="Y1245" s="117"/>
      <c r="Z1245" s="117"/>
      <c r="AA1245" s="117"/>
      <c r="AB1245" s="117"/>
      <c r="AC1245" s="117"/>
      <c r="AD1245" s="117"/>
      <c r="AE1245" s="117"/>
      <c r="AF1245" s="117"/>
      <c r="AG1245" s="117"/>
      <c r="AH1245" s="117"/>
      <c r="AI1245" s="117"/>
      <c r="AJ1245" s="117"/>
      <c r="AK1245" s="117"/>
      <c r="AL1245" s="117"/>
      <c r="AM1245" s="117"/>
      <c r="AN1245" s="117"/>
      <c r="AO1245" s="117"/>
      <c r="AP1245" s="117"/>
      <c r="AQ1245" s="117"/>
      <c r="AR1245" s="117"/>
      <c r="AS1245" s="117"/>
      <c r="AT1245" s="117"/>
      <c r="AU1245" s="117"/>
      <c r="AV1245" s="117"/>
      <c r="AW1245" s="117"/>
      <c r="AX1245" s="117"/>
      <c r="AY1245" s="117"/>
      <c r="AZ1245" s="117"/>
      <c r="BA1245" s="117"/>
      <c r="BB1245" s="117"/>
      <c r="BC1245" s="117"/>
      <c r="BD1245" s="117"/>
      <c r="BE1245" s="117"/>
      <c r="BF1245" s="117"/>
      <c r="BG1245" s="117"/>
    </row>
    <row r="1246" spans="1:59">
      <c r="A1246" s="117"/>
      <c r="B1246" s="117"/>
      <c r="C1246" s="117"/>
      <c r="D1246" s="117"/>
      <c r="E1246" s="117"/>
      <c r="F1246" s="117"/>
      <c r="G1246" s="117"/>
      <c r="H1246" s="117"/>
      <c r="I1246" s="117"/>
      <c r="J1246" s="118"/>
      <c r="K1246" s="118"/>
      <c r="L1246" s="118"/>
      <c r="M1246" s="118"/>
      <c r="N1246" s="117"/>
      <c r="O1246" s="117"/>
      <c r="P1246" s="117"/>
      <c r="Q1246" s="117"/>
      <c r="R1246" s="117"/>
      <c r="S1246" s="117"/>
      <c r="T1246" s="117"/>
      <c r="U1246" s="117"/>
      <c r="V1246" s="117"/>
      <c r="W1246" s="117"/>
      <c r="X1246" s="117"/>
      <c r="Y1246" s="117"/>
      <c r="Z1246" s="117"/>
      <c r="AA1246" s="117"/>
      <c r="AB1246" s="117"/>
      <c r="AC1246" s="117"/>
      <c r="AD1246" s="117"/>
      <c r="AE1246" s="117"/>
      <c r="AF1246" s="117"/>
      <c r="AG1246" s="117"/>
      <c r="AH1246" s="117"/>
      <c r="AI1246" s="117"/>
      <c r="AJ1246" s="117"/>
      <c r="AK1246" s="117"/>
      <c r="AL1246" s="117"/>
      <c r="AM1246" s="117"/>
      <c r="AN1246" s="117"/>
      <c r="AO1246" s="117"/>
      <c r="AP1246" s="117"/>
      <c r="AQ1246" s="117"/>
      <c r="AR1246" s="117"/>
      <c r="AS1246" s="117"/>
      <c r="AT1246" s="117"/>
      <c r="AU1246" s="117"/>
      <c r="AV1246" s="117"/>
      <c r="AW1246" s="117"/>
      <c r="AX1246" s="117"/>
      <c r="AY1246" s="117"/>
      <c r="AZ1246" s="117"/>
      <c r="BA1246" s="117"/>
      <c r="BB1246" s="117"/>
      <c r="BC1246" s="117"/>
      <c r="BD1246" s="117"/>
      <c r="BE1246" s="117"/>
      <c r="BF1246" s="117"/>
      <c r="BG1246" s="117"/>
    </row>
    <row r="1247" spans="1:59">
      <c r="A1247" s="117"/>
      <c r="B1247" s="117"/>
      <c r="C1247" s="117"/>
      <c r="D1247" s="117"/>
      <c r="E1247" s="117"/>
      <c r="F1247" s="117"/>
      <c r="G1247" s="117"/>
      <c r="H1247" s="117"/>
      <c r="I1247" s="117"/>
      <c r="J1247" s="118"/>
      <c r="K1247" s="118"/>
      <c r="L1247" s="118"/>
      <c r="M1247" s="118"/>
      <c r="N1247" s="117"/>
      <c r="O1247" s="117"/>
      <c r="P1247" s="117"/>
      <c r="Q1247" s="117"/>
      <c r="R1247" s="117"/>
      <c r="S1247" s="117"/>
      <c r="T1247" s="117"/>
      <c r="U1247" s="117"/>
      <c r="V1247" s="117"/>
      <c r="W1247" s="117"/>
      <c r="X1247" s="117"/>
      <c r="Y1247" s="117"/>
      <c r="Z1247" s="117"/>
      <c r="AA1247" s="117"/>
      <c r="AB1247" s="117"/>
      <c r="AC1247" s="117"/>
      <c r="AD1247" s="117"/>
      <c r="AE1247" s="117"/>
      <c r="AF1247" s="117"/>
      <c r="AG1247" s="117"/>
      <c r="AH1247" s="117"/>
      <c r="AI1247" s="117"/>
      <c r="AJ1247" s="117"/>
      <c r="AK1247" s="117"/>
      <c r="AL1247" s="117"/>
      <c r="AM1247" s="117"/>
      <c r="AN1247" s="117"/>
      <c r="AO1247" s="117"/>
      <c r="AP1247" s="117"/>
      <c r="AQ1247" s="117"/>
      <c r="AR1247" s="117"/>
      <c r="AS1247" s="117"/>
      <c r="AT1247" s="117"/>
      <c r="AU1247" s="117"/>
      <c r="AV1247" s="117"/>
      <c r="AW1247" s="117"/>
      <c r="AX1247" s="117"/>
      <c r="AY1247" s="117"/>
      <c r="AZ1247" s="117"/>
      <c r="BA1247" s="117"/>
      <c r="BB1247" s="117"/>
      <c r="BC1247" s="117"/>
      <c r="BD1247" s="117"/>
      <c r="BE1247" s="117"/>
      <c r="BF1247" s="117"/>
      <c r="BG1247" s="117"/>
    </row>
    <row r="1248" spans="1:59">
      <c r="A1248" s="117"/>
      <c r="B1248" s="117"/>
      <c r="C1248" s="117"/>
      <c r="D1248" s="117"/>
      <c r="E1248" s="117"/>
      <c r="F1248" s="117"/>
      <c r="G1248" s="117"/>
      <c r="H1248" s="117"/>
      <c r="I1248" s="117"/>
      <c r="J1248" s="118"/>
      <c r="K1248" s="118"/>
      <c r="L1248" s="118"/>
      <c r="M1248" s="118"/>
      <c r="N1248" s="117"/>
      <c r="O1248" s="117"/>
      <c r="P1248" s="117"/>
      <c r="Q1248" s="117"/>
      <c r="R1248" s="117"/>
      <c r="S1248" s="117"/>
      <c r="T1248" s="117"/>
      <c r="U1248" s="117"/>
      <c r="V1248" s="117"/>
      <c r="W1248" s="117"/>
      <c r="X1248" s="117"/>
      <c r="Y1248" s="117"/>
      <c r="Z1248" s="117"/>
      <c r="AA1248" s="117"/>
      <c r="AB1248" s="117"/>
      <c r="AC1248" s="117"/>
      <c r="AD1248" s="117"/>
      <c r="AE1248" s="117"/>
      <c r="AF1248" s="117"/>
      <c r="AG1248" s="117"/>
      <c r="AH1248" s="117"/>
      <c r="AI1248" s="117"/>
      <c r="AJ1248" s="117"/>
      <c r="AK1248" s="117"/>
      <c r="AL1248" s="117"/>
      <c r="AM1248" s="117"/>
      <c r="AN1248" s="117"/>
      <c r="AO1248" s="117"/>
      <c r="AP1248" s="117"/>
      <c r="AQ1248" s="117"/>
      <c r="AR1248" s="117"/>
      <c r="AS1248" s="117"/>
      <c r="AT1248" s="117"/>
      <c r="AU1248" s="117"/>
      <c r="AV1248" s="117"/>
      <c r="AW1248" s="117"/>
      <c r="AX1248" s="117"/>
      <c r="AY1248" s="117"/>
      <c r="AZ1248" s="117"/>
      <c r="BA1248" s="117"/>
      <c r="BB1248" s="117"/>
      <c r="BC1248" s="117"/>
      <c r="BD1248" s="117"/>
      <c r="BE1248" s="117"/>
      <c r="BF1248" s="117"/>
      <c r="BG1248" s="117"/>
    </row>
    <row r="1249" spans="1:59">
      <c r="A1249" s="117"/>
      <c r="B1249" s="117"/>
      <c r="C1249" s="117"/>
      <c r="D1249" s="117"/>
      <c r="E1249" s="117"/>
      <c r="F1249" s="117"/>
      <c r="G1249" s="117"/>
      <c r="H1249" s="117"/>
      <c r="I1249" s="117"/>
      <c r="J1249" s="118"/>
      <c r="K1249" s="118"/>
      <c r="L1249" s="118"/>
      <c r="M1249" s="118"/>
      <c r="N1249" s="117"/>
      <c r="O1249" s="117"/>
      <c r="P1249" s="117"/>
      <c r="Q1249" s="117"/>
      <c r="R1249" s="117"/>
      <c r="S1249" s="117"/>
      <c r="T1249" s="117"/>
      <c r="U1249" s="117"/>
      <c r="V1249" s="117"/>
      <c r="W1249" s="117"/>
      <c r="X1249" s="117"/>
      <c r="Y1249" s="117"/>
      <c r="Z1249" s="117"/>
      <c r="AA1249" s="117"/>
      <c r="AB1249" s="117"/>
      <c r="AC1249" s="117"/>
      <c r="AD1249" s="117"/>
      <c r="AE1249" s="117"/>
      <c r="AF1249" s="117"/>
      <c r="AG1249" s="117"/>
      <c r="AH1249" s="117"/>
      <c r="AI1249" s="117"/>
      <c r="AJ1249" s="117"/>
      <c r="AK1249" s="117"/>
      <c r="AL1249" s="117"/>
      <c r="AM1249" s="117"/>
      <c r="AN1249" s="117"/>
      <c r="AO1249" s="117"/>
      <c r="AP1249" s="117"/>
      <c r="AQ1249" s="117"/>
      <c r="AR1249" s="117"/>
      <c r="AS1249" s="117"/>
      <c r="AT1249" s="117"/>
      <c r="AU1249" s="117"/>
      <c r="AV1249" s="117"/>
      <c r="AW1249" s="117"/>
      <c r="AX1249" s="117"/>
      <c r="AY1249" s="117"/>
      <c r="AZ1249" s="117"/>
      <c r="BA1249" s="117"/>
      <c r="BB1249" s="117"/>
      <c r="BC1249" s="117"/>
      <c r="BD1249" s="117"/>
      <c r="BE1249" s="117"/>
      <c r="BF1249" s="117"/>
      <c r="BG1249" s="117"/>
    </row>
    <row r="1250" spans="1:59">
      <c r="A1250" s="117"/>
      <c r="B1250" s="117"/>
      <c r="C1250" s="117"/>
      <c r="D1250" s="117"/>
      <c r="E1250" s="117"/>
      <c r="F1250" s="117"/>
      <c r="G1250" s="117"/>
      <c r="H1250" s="117"/>
      <c r="I1250" s="117"/>
      <c r="J1250" s="118"/>
      <c r="K1250" s="118"/>
      <c r="L1250" s="118"/>
      <c r="M1250" s="118"/>
      <c r="N1250" s="117"/>
      <c r="O1250" s="117"/>
      <c r="P1250" s="117"/>
      <c r="Q1250" s="117"/>
      <c r="R1250" s="117"/>
      <c r="S1250" s="117"/>
      <c r="T1250" s="117"/>
      <c r="U1250" s="117"/>
      <c r="V1250" s="117"/>
      <c r="W1250" s="117"/>
      <c r="X1250" s="117"/>
      <c r="Y1250" s="117"/>
      <c r="Z1250" s="117"/>
      <c r="AA1250" s="117"/>
      <c r="AB1250" s="117"/>
      <c r="AC1250" s="117"/>
      <c r="AD1250" s="117"/>
      <c r="AE1250" s="117"/>
      <c r="AF1250" s="117"/>
      <c r="AG1250" s="117"/>
      <c r="AH1250" s="117"/>
      <c r="AI1250" s="117"/>
      <c r="AJ1250" s="117"/>
      <c r="AK1250" s="117"/>
      <c r="AL1250" s="117"/>
      <c r="AM1250" s="117"/>
      <c r="AN1250" s="117"/>
      <c r="AO1250" s="117"/>
      <c r="AP1250" s="117"/>
      <c r="AQ1250" s="117"/>
      <c r="AR1250" s="117"/>
      <c r="AS1250" s="117"/>
      <c r="AT1250" s="117"/>
      <c r="AU1250" s="117"/>
      <c r="AV1250" s="117"/>
      <c r="AW1250" s="117"/>
      <c r="AX1250" s="117"/>
      <c r="AY1250" s="117"/>
      <c r="AZ1250" s="117"/>
      <c r="BA1250" s="117"/>
      <c r="BB1250" s="117"/>
      <c r="BC1250" s="117"/>
      <c r="BD1250" s="117"/>
      <c r="BE1250" s="117"/>
      <c r="BF1250" s="117"/>
      <c r="BG1250" s="117"/>
    </row>
    <row r="1251" spans="1:59">
      <c r="A1251" s="117"/>
      <c r="B1251" s="117"/>
      <c r="C1251" s="117"/>
      <c r="D1251" s="117"/>
      <c r="E1251" s="117"/>
      <c r="F1251" s="117"/>
      <c r="G1251" s="117"/>
      <c r="H1251" s="117"/>
      <c r="I1251" s="117"/>
      <c r="J1251" s="118"/>
      <c r="K1251" s="118"/>
      <c r="L1251" s="118"/>
      <c r="M1251" s="118"/>
      <c r="N1251" s="117"/>
      <c r="O1251" s="117"/>
      <c r="P1251" s="117"/>
      <c r="Q1251" s="117"/>
      <c r="R1251" s="117"/>
      <c r="S1251" s="117"/>
      <c r="T1251" s="117"/>
      <c r="U1251" s="117"/>
      <c r="V1251" s="117"/>
      <c r="W1251" s="117"/>
      <c r="X1251" s="117"/>
      <c r="Y1251" s="117"/>
      <c r="Z1251" s="117"/>
      <c r="AA1251" s="117"/>
      <c r="AB1251" s="117"/>
      <c r="AC1251" s="117"/>
      <c r="AD1251" s="117"/>
      <c r="AE1251" s="117"/>
      <c r="AF1251" s="117"/>
      <c r="AG1251" s="117"/>
      <c r="AH1251" s="117"/>
      <c r="AI1251" s="117"/>
      <c r="AJ1251" s="117"/>
      <c r="AK1251" s="117"/>
      <c r="AL1251" s="117"/>
      <c r="AM1251" s="117"/>
      <c r="AN1251" s="117"/>
      <c r="AO1251" s="117"/>
      <c r="AP1251" s="117"/>
      <c r="AQ1251" s="117"/>
      <c r="AR1251" s="117"/>
      <c r="AS1251" s="117"/>
      <c r="AT1251" s="117"/>
      <c r="AU1251" s="117"/>
      <c r="AV1251" s="117"/>
      <c r="AW1251" s="117"/>
      <c r="AX1251" s="117"/>
      <c r="AY1251" s="117"/>
      <c r="AZ1251" s="117"/>
      <c r="BA1251" s="117"/>
      <c r="BB1251" s="117"/>
      <c r="BC1251" s="117"/>
      <c r="BD1251" s="117"/>
      <c r="BE1251" s="117"/>
      <c r="BF1251" s="117"/>
      <c r="BG1251" s="117"/>
    </row>
    <row r="1252" spans="1:59">
      <c r="A1252" s="117"/>
      <c r="B1252" s="117"/>
      <c r="C1252" s="117"/>
      <c r="D1252" s="117"/>
      <c r="E1252" s="117"/>
      <c r="F1252" s="117"/>
      <c r="G1252" s="117"/>
      <c r="H1252" s="117"/>
      <c r="I1252" s="117"/>
      <c r="J1252" s="118"/>
      <c r="K1252" s="118"/>
      <c r="L1252" s="118"/>
      <c r="M1252" s="118"/>
      <c r="N1252" s="117"/>
      <c r="O1252" s="117"/>
      <c r="P1252" s="117"/>
      <c r="Q1252" s="117"/>
      <c r="R1252" s="117"/>
      <c r="S1252" s="117"/>
      <c r="T1252" s="117"/>
      <c r="U1252" s="117"/>
      <c r="V1252" s="117"/>
      <c r="W1252" s="117"/>
      <c r="X1252" s="117"/>
      <c r="Y1252" s="117"/>
      <c r="Z1252" s="117"/>
      <c r="AA1252" s="117"/>
      <c r="AB1252" s="117"/>
      <c r="AC1252" s="117"/>
      <c r="AD1252" s="117"/>
      <c r="AE1252" s="117"/>
      <c r="AF1252" s="117"/>
      <c r="AG1252" s="117"/>
      <c r="AH1252" s="117"/>
      <c r="AI1252" s="117"/>
      <c r="AJ1252" s="117"/>
      <c r="AK1252" s="117"/>
      <c r="AL1252" s="117"/>
      <c r="AM1252" s="117"/>
      <c r="AN1252" s="117"/>
      <c r="AO1252" s="117"/>
      <c r="AP1252" s="117"/>
      <c r="AQ1252" s="117"/>
      <c r="AR1252" s="117"/>
      <c r="AS1252" s="117"/>
      <c r="AT1252" s="117"/>
      <c r="AU1252" s="117"/>
      <c r="AV1252" s="117"/>
      <c r="AW1252" s="117"/>
      <c r="AX1252" s="117"/>
      <c r="AY1252" s="117"/>
      <c r="AZ1252" s="117"/>
      <c r="BA1252" s="117"/>
      <c r="BB1252" s="117"/>
      <c r="BC1252" s="117"/>
      <c r="BD1252" s="117"/>
      <c r="BE1252" s="117"/>
      <c r="BF1252" s="117"/>
      <c r="BG1252" s="117"/>
    </row>
    <row r="1253" spans="1:59">
      <c r="A1253" s="117"/>
      <c r="B1253" s="117"/>
      <c r="C1253" s="117"/>
      <c r="D1253" s="117"/>
      <c r="E1253" s="117"/>
      <c r="F1253" s="117"/>
      <c r="G1253" s="117"/>
      <c r="H1253" s="117"/>
      <c r="I1253" s="117"/>
      <c r="J1253" s="118"/>
      <c r="K1253" s="118"/>
      <c r="L1253" s="118"/>
      <c r="M1253" s="118"/>
      <c r="N1253" s="117"/>
      <c r="O1253" s="117"/>
      <c r="P1253" s="117"/>
      <c r="Q1253" s="117"/>
      <c r="R1253" s="117"/>
      <c r="S1253" s="117"/>
      <c r="T1253" s="117"/>
      <c r="U1253" s="117"/>
      <c r="V1253" s="117"/>
      <c r="W1253" s="117"/>
      <c r="X1253" s="117"/>
      <c r="Y1253" s="117"/>
      <c r="Z1253" s="117"/>
      <c r="AA1253" s="117"/>
      <c r="AB1253" s="117"/>
      <c r="AC1253" s="117"/>
      <c r="AD1253" s="117"/>
      <c r="AE1253" s="117"/>
      <c r="AF1253" s="117"/>
      <c r="AG1253" s="117"/>
      <c r="AH1253" s="117"/>
      <c r="AI1253" s="117"/>
      <c r="AJ1253" s="117"/>
      <c r="AK1253" s="117"/>
      <c r="AL1253" s="117"/>
      <c r="AM1253" s="117"/>
      <c r="AN1253" s="117"/>
      <c r="AO1253" s="117"/>
      <c r="AP1253" s="117"/>
      <c r="AQ1253" s="117"/>
      <c r="AR1253" s="117"/>
      <c r="AS1253" s="117"/>
      <c r="AT1253" s="117"/>
      <c r="AU1253" s="117"/>
      <c r="AV1253" s="117"/>
      <c r="AW1253" s="117"/>
      <c r="AX1253" s="117"/>
      <c r="AY1253" s="117"/>
      <c r="AZ1253" s="117"/>
      <c r="BA1253" s="117"/>
      <c r="BB1253" s="117"/>
      <c r="BC1253" s="117"/>
      <c r="BD1253" s="117"/>
      <c r="BE1253" s="117"/>
      <c r="BF1253" s="117"/>
      <c r="BG1253" s="117"/>
    </row>
    <row r="1254" spans="1:59">
      <c r="A1254" s="117"/>
      <c r="B1254" s="117"/>
      <c r="C1254" s="117"/>
      <c r="D1254" s="117"/>
      <c r="E1254" s="117"/>
      <c r="F1254" s="117"/>
      <c r="G1254" s="117"/>
      <c r="H1254" s="117"/>
      <c r="I1254" s="117"/>
      <c r="J1254" s="118"/>
      <c r="K1254" s="118"/>
      <c r="L1254" s="118"/>
      <c r="M1254" s="118"/>
      <c r="N1254" s="117"/>
      <c r="O1254" s="117"/>
      <c r="P1254" s="117"/>
      <c r="Q1254" s="117"/>
      <c r="R1254" s="117"/>
      <c r="S1254" s="117"/>
      <c r="T1254" s="117"/>
      <c r="U1254" s="117"/>
      <c r="V1254" s="117"/>
      <c r="W1254" s="117"/>
      <c r="X1254" s="117"/>
      <c r="Y1254" s="117"/>
      <c r="Z1254" s="117"/>
      <c r="AA1254" s="117"/>
      <c r="AB1254" s="117"/>
      <c r="AC1254" s="117"/>
      <c r="AD1254" s="117"/>
      <c r="AE1254" s="117"/>
      <c r="AF1254" s="117"/>
      <c r="AG1254" s="117"/>
      <c r="AH1254" s="117"/>
      <c r="AI1254" s="117"/>
      <c r="AJ1254" s="117"/>
      <c r="AK1254" s="117"/>
      <c r="AL1254" s="117"/>
      <c r="AM1254" s="117"/>
      <c r="AN1254" s="117"/>
      <c r="AO1254" s="117"/>
      <c r="AP1254" s="117"/>
      <c r="AQ1254" s="117"/>
      <c r="AR1254" s="117"/>
      <c r="AS1254" s="117"/>
      <c r="AT1254" s="117"/>
      <c r="AU1254" s="117"/>
      <c r="AV1254" s="117"/>
      <c r="AW1254" s="117"/>
      <c r="AX1254" s="117"/>
      <c r="AY1254" s="117"/>
      <c r="AZ1254" s="117"/>
      <c r="BA1254" s="117"/>
      <c r="BB1254" s="117"/>
      <c r="BC1254" s="117"/>
      <c r="BD1254" s="117"/>
      <c r="BE1254" s="117"/>
      <c r="BF1254" s="117"/>
      <c r="BG1254" s="117"/>
    </row>
    <row r="1255" spans="1:59">
      <c r="A1255" s="117"/>
      <c r="B1255" s="117"/>
      <c r="C1255" s="117"/>
      <c r="D1255" s="117"/>
      <c r="E1255" s="117"/>
      <c r="F1255" s="117"/>
      <c r="G1255" s="117"/>
      <c r="H1255" s="117"/>
      <c r="I1255" s="117"/>
      <c r="J1255" s="118"/>
      <c r="K1255" s="118"/>
      <c r="L1255" s="118"/>
      <c r="M1255" s="118"/>
      <c r="N1255" s="117"/>
      <c r="O1255" s="117"/>
      <c r="P1255" s="117"/>
      <c r="Q1255" s="117"/>
      <c r="R1255" s="117"/>
      <c r="S1255" s="117"/>
      <c r="T1255" s="117"/>
      <c r="U1255" s="117"/>
      <c r="V1255" s="117"/>
      <c r="W1255" s="117"/>
      <c r="X1255" s="117"/>
      <c r="Y1255" s="117"/>
      <c r="Z1255" s="117"/>
      <c r="AA1255" s="117"/>
      <c r="AB1255" s="117"/>
      <c r="AC1255" s="117"/>
      <c r="AD1255" s="117"/>
      <c r="AE1255" s="117"/>
      <c r="AF1255" s="117"/>
      <c r="AG1255" s="117"/>
      <c r="AH1255" s="117"/>
      <c r="AI1255" s="117"/>
      <c r="AJ1255" s="117"/>
      <c r="AK1255" s="117"/>
      <c r="AL1255" s="117"/>
      <c r="AM1255" s="117"/>
      <c r="AN1255" s="117"/>
      <c r="AO1255" s="117"/>
      <c r="AP1255" s="117"/>
      <c r="AQ1255" s="117"/>
      <c r="AR1255" s="117"/>
      <c r="AS1255" s="117"/>
      <c r="AT1255" s="117"/>
      <c r="AU1255" s="117"/>
      <c r="AV1255" s="117"/>
      <c r="AW1255" s="117"/>
      <c r="AX1255" s="117"/>
      <c r="AY1255" s="117"/>
      <c r="AZ1255" s="117"/>
      <c r="BA1255" s="117"/>
      <c r="BB1255" s="117"/>
      <c r="BC1255" s="117"/>
      <c r="BD1255" s="117"/>
      <c r="BE1255" s="117"/>
      <c r="BF1255" s="117"/>
      <c r="BG1255" s="117"/>
    </row>
    <row r="1256" spans="1:59">
      <c r="A1256" s="117"/>
      <c r="B1256" s="117"/>
      <c r="C1256" s="117"/>
      <c r="D1256" s="117"/>
      <c r="E1256" s="117"/>
      <c r="F1256" s="117"/>
      <c r="G1256" s="117"/>
      <c r="H1256" s="117"/>
      <c r="I1256" s="117"/>
      <c r="J1256" s="118"/>
      <c r="K1256" s="118"/>
      <c r="L1256" s="118"/>
      <c r="M1256" s="118"/>
      <c r="N1256" s="117"/>
      <c r="O1256" s="117"/>
      <c r="P1256" s="117"/>
      <c r="Q1256" s="117"/>
      <c r="R1256" s="117"/>
      <c r="S1256" s="117"/>
      <c r="T1256" s="117"/>
      <c r="U1256" s="117"/>
      <c r="V1256" s="117"/>
      <c r="W1256" s="117"/>
      <c r="X1256" s="117"/>
      <c r="Y1256" s="117"/>
      <c r="Z1256" s="117"/>
      <c r="AA1256" s="117"/>
      <c r="AB1256" s="117"/>
      <c r="AC1256" s="117"/>
      <c r="AD1256" s="117"/>
      <c r="AE1256" s="117"/>
      <c r="AF1256" s="117"/>
      <c r="AG1256" s="117"/>
      <c r="AH1256" s="117"/>
      <c r="AI1256" s="117"/>
      <c r="AJ1256" s="117"/>
      <c r="AK1256" s="117"/>
      <c r="AL1256" s="117"/>
      <c r="AM1256" s="117"/>
      <c r="AN1256" s="117"/>
      <c r="AO1256" s="117"/>
      <c r="AP1256" s="117"/>
      <c r="AQ1256" s="117"/>
      <c r="AR1256" s="117"/>
      <c r="AS1256" s="117"/>
      <c r="AT1256" s="117"/>
      <c r="AU1256" s="117"/>
      <c r="AV1256" s="117"/>
      <c r="AW1256" s="117"/>
      <c r="AX1256" s="117"/>
      <c r="AY1256" s="117"/>
      <c r="AZ1256" s="117"/>
      <c r="BA1256" s="117"/>
      <c r="BB1256" s="117"/>
      <c r="BC1256" s="117"/>
      <c r="BD1256" s="117"/>
      <c r="BE1256" s="117"/>
      <c r="BF1256" s="117"/>
      <c r="BG1256" s="117"/>
    </row>
    <row r="1257" spans="1:59">
      <c r="A1257" s="117"/>
      <c r="B1257" s="117"/>
      <c r="C1257" s="117"/>
      <c r="D1257" s="117"/>
      <c r="E1257" s="117"/>
      <c r="F1257" s="117"/>
      <c r="G1257" s="117"/>
      <c r="H1257" s="117"/>
      <c r="I1257" s="117"/>
      <c r="J1257" s="118"/>
      <c r="K1257" s="118"/>
      <c r="L1257" s="118"/>
      <c r="M1257" s="118"/>
      <c r="N1257" s="117"/>
      <c r="O1257" s="117"/>
      <c r="P1257" s="117"/>
      <c r="Q1257" s="117"/>
      <c r="R1257" s="117"/>
      <c r="S1257" s="117"/>
      <c r="T1257" s="117"/>
      <c r="U1257" s="117"/>
      <c r="V1257" s="117"/>
      <c r="W1257" s="117"/>
      <c r="X1257" s="117"/>
      <c r="Y1257" s="117"/>
      <c r="Z1257" s="117"/>
      <c r="AA1257" s="117"/>
      <c r="AB1257" s="117"/>
      <c r="AC1257" s="117"/>
      <c r="AD1257" s="117"/>
      <c r="AE1257" s="117"/>
      <c r="AF1257" s="117"/>
      <c r="AG1257" s="117"/>
      <c r="AH1257" s="117"/>
      <c r="AI1257" s="117"/>
      <c r="AJ1257" s="117"/>
      <c r="AK1257" s="117"/>
      <c r="AL1257" s="117"/>
      <c r="AM1257" s="117"/>
      <c r="AN1257" s="117"/>
      <c r="AO1257" s="117"/>
      <c r="AP1257" s="117"/>
      <c r="AQ1257" s="117"/>
      <c r="AR1257" s="117"/>
      <c r="AS1257" s="117"/>
      <c r="AT1257" s="117"/>
      <c r="AU1257" s="117"/>
      <c r="AV1257" s="117"/>
      <c r="AW1257" s="117"/>
      <c r="AX1257" s="117"/>
      <c r="AY1257" s="117"/>
      <c r="AZ1257" s="117"/>
      <c r="BA1257" s="117"/>
      <c r="BB1257" s="117"/>
      <c r="BC1257" s="117"/>
      <c r="BD1257" s="117"/>
      <c r="BE1257" s="117"/>
      <c r="BF1257" s="117"/>
      <c r="BG1257" s="117"/>
    </row>
    <row r="1258" spans="1:59">
      <c r="A1258" s="117"/>
      <c r="B1258" s="117"/>
      <c r="C1258" s="117"/>
      <c r="D1258" s="117"/>
      <c r="E1258" s="117"/>
      <c r="F1258" s="117"/>
      <c r="G1258" s="117"/>
      <c r="H1258" s="117"/>
      <c r="I1258" s="117"/>
      <c r="J1258" s="118"/>
      <c r="K1258" s="118"/>
      <c r="L1258" s="118"/>
      <c r="M1258" s="118"/>
      <c r="N1258" s="117"/>
      <c r="O1258" s="117"/>
      <c r="P1258" s="117"/>
      <c r="Q1258" s="117"/>
      <c r="R1258" s="117"/>
      <c r="S1258" s="117"/>
      <c r="T1258" s="117"/>
      <c r="U1258" s="117"/>
      <c r="V1258" s="117"/>
      <c r="W1258" s="117"/>
      <c r="X1258" s="117"/>
      <c r="Y1258" s="117"/>
      <c r="Z1258" s="117"/>
      <c r="AA1258" s="117"/>
      <c r="AB1258" s="117"/>
      <c r="AC1258" s="117"/>
      <c r="AD1258" s="117"/>
      <c r="AE1258" s="117"/>
      <c r="AF1258" s="117"/>
      <c r="AG1258" s="117"/>
      <c r="AH1258" s="117"/>
      <c r="AI1258" s="117"/>
      <c r="AJ1258" s="117"/>
      <c r="AK1258" s="117"/>
      <c r="AL1258" s="117"/>
      <c r="AM1258" s="117"/>
      <c r="AN1258" s="117"/>
      <c r="AO1258" s="117"/>
      <c r="AP1258" s="117"/>
      <c r="AQ1258" s="117"/>
      <c r="AR1258" s="117"/>
      <c r="AS1258" s="117"/>
      <c r="AT1258" s="117"/>
      <c r="AU1258" s="117"/>
      <c r="AV1258" s="117"/>
      <c r="AW1258" s="117"/>
      <c r="AX1258" s="117"/>
      <c r="AY1258" s="117"/>
      <c r="AZ1258" s="117"/>
      <c r="BA1258" s="117"/>
      <c r="BB1258" s="117"/>
      <c r="BC1258" s="117"/>
      <c r="BD1258" s="117"/>
      <c r="BE1258" s="117"/>
      <c r="BF1258" s="117"/>
      <c r="BG1258" s="117"/>
    </row>
    <row r="1259" spans="1:59">
      <c r="A1259" s="117"/>
      <c r="B1259" s="117"/>
      <c r="C1259" s="117"/>
      <c r="D1259" s="117"/>
      <c r="E1259" s="117"/>
      <c r="F1259" s="117"/>
      <c r="G1259" s="117"/>
      <c r="H1259" s="117"/>
      <c r="I1259" s="117"/>
      <c r="J1259" s="118"/>
      <c r="K1259" s="118"/>
      <c r="L1259" s="118"/>
      <c r="M1259" s="118"/>
      <c r="N1259" s="117"/>
      <c r="O1259" s="117"/>
      <c r="P1259" s="117"/>
      <c r="Q1259" s="117"/>
      <c r="R1259" s="117"/>
      <c r="S1259" s="117"/>
      <c r="T1259" s="117"/>
      <c r="U1259" s="117"/>
      <c r="V1259" s="117"/>
      <c r="W1259" s="117"/>
      <c r="X1259" s="117"/>
      <c r="Y1259" s="117"/>
      <c r="Z1259" s="117"/>
      <c r="AA1259" s="117"/>
      <c r="AB1259" s="117"/>
      <c r="AC1259" s="117"/>
      <c r="AD1259" s="117"/>
      <c r="AE1259" s="117"/>
      <c r="AF1259" s="117"/>
      <c r="AG1259" s="117"/>
      <c r="AH1259" s="117"/>
      <c r="AI1259" s="117"/>
      <c r="AJ1259" s="117"/>
      <c r="AK1259" s="117"/>
      <c r="AL1259" s="117"/>
      <c r="AM1259" s="117"/>
      <c r="AN1259" s="117"/>
      <c r="AO1259" s="117"/>
      <c r="AP1259" s="117"/>
      <c r="AQ1259" s="117"/>
      <c r="AR1259" s="117"/>
      <c r="AS1259" s="117"/>
      <c r="AT1259" s="117"/>
      <c r="AU1259" s="117"/>
      <c r="AV1259" s="117"/>
      <c r="AW1259" s="117"/>
      <c r="AX1259" s="117"/>
      <c r="AY1259" s="117"/>
      <c r="AZ1259" s="117"/>
      <c r="BA1259" s="117"/>
      <c r="BB1259" s="117"/>
      <c r="BC1259" s="117"/>
      <c r="BD1259" s="117"/>
      <c r="BE1259" s="117"/>
      <c r="BF1259" s="117"/>
      <c r="BG1259" s="117"/>
    </row>
    <row r="1260" spans="1:59">
      <c r="A1260" s="117"/>
      <c r="B1260" s="117"/>
      <c r="C1260" s="117"/>
      <c r="D1260" s="117"/>
      <c r="E1260" s="117"/>
      <c r="F1260" s="117"/>
      <c r="G1260" s="117"/>
      <c r="H1260" s="117"/>
      <c r="I1260" s="117"/>
      <c r="J1260" s="118"/>
      <c r="K1260" s="118"/>
      <c r="L1260" s="118"/>
      <c r="M1260" s="118"/>
      <c r="N1260" s="117"/>
      <c r="O1260" s="117"/>
      <c r="P1260" s="117"/>
      <c r="Q1260" s="117"/>
      <c r="R1260" s="117"/>
      <c r="S1260" s="117"/>
      <c r="T1260" s="117"/>
      <c r="U1260" s="117"/>
      <c r="V1260" s="117"/>
      <c r="W1260" s="117"/>
      <c r="X1260" s="117"/>
      <c r="Y1260" s="117"/>
      <c r="Z1260" s="117"/>
      <c r="AA1260" s="117"/>
      <c r="AB1260" s="117"/>
      <c r="AC1260" s="117"/>
      <c r="AD1260" s="117"/>
      <c r="AE1260" s="117"/>
      <c r="AF1260" s="117"/>
      <c r="AG1260" s="117"/>
      <c r="AH1260" s="117"/>
      <c r="AI1260" s="117"/>
      <c r="AJ1260" s="117"/>
      <c r="AK1260" s="117"/>
      <c r="AL1260" s="117"/>
      <c r="AM1260" s="117"/>
      <c r="AN1260" s="117"/>
      <c r="AO1260" s="117"/>
      <c r="AP1260" s="117"/>
      <c r="AQ1260" s="117"/>
      <c r="AR1260" s="117"/>
      <c r="AS1260" s="117"/>
      <c r="AT1260" s="117"/>
      <c r="AU1260" s="117"/>
      <c r="AV1260" s="117"/>
      <c r="AW1260" s="117"/>
      <c r="AX1260" s="117"/>
      <c r="AY1260" s="117"/>
      <c r="AZ1260" s="117"/>
      <c r="BA1260" s="117"/>
      <c r="BB1260" s="117"/>
      <c r="BC1260" s="117"/>
      <c r="BD1260" s="117"/>
      <c r="BE1260" s="117"/>
      <c r="BF1260" s="117"/>
      <c r="BG1260" s="117"/>
    </row>
    <row r="1261" spans="1:59">
      <c r="A1261" s="117"/>
      <c r="B1261" s="117"/>
      <c r="C1261" s="117"/>
      <c r="D1261" s="117"/>
      <c r="E1261" s="117"/>
      <c r="F1261" s="117"/>
      <c r="G1261" s="117"/>
      <c r="H1261" s="117"/>
      <c r="I1261" s="117"/>
      <c r="J1261" s="118"/>
      <c r="K1261" s="118"/>
      <c r="L1261" s="118"/>
      <c r="M1261" s="118"/>
      <c r="N1261" s="117"/>
      <c r="O1261" s="117"/>
      <c r="P1261" s="117"/>
      <c r="Q1261" s="117"/>
      <c r="R1261" s="117"/>
      <c r="S1261" s="117"/>
      <c r="T1261" s="117"/>
      <c r="U1261" s="117"/>
      <c r="V1261" s="117"/>
      <c r="W1261" s="117"/>
      <c r="X1261" s="117"/>
      <c r="Y1261" s="117"/>
      <c r="Z1261" s="117"/>
      <c r="AA1261" s="117"/>
      <c r="AB1261" s="117"/>
      <c r="AC1261" s="117"/>
      <c r="AD1261" s="117"/>
      <c r="AE1261" s="117"/>
      <c r="AF1261" s="117"/>
      <c r="AG1261" s="117"/>
      <c r="AH1261" s="117"/>
      <c r="AI1261" s="117"/>
      <c r="AJ1261" s="117"/>
      <c r="AK1261" s="117"/>
      <c r="AL1261" s="117"/>
      <c r="AM1261" s="117"/>
      <c r="AN1261" s="117"/>
      <c r="AO1261" s="117"/>
      <c r="AP1261" s="117"/>
      <c r="AQ1261" s="117"/>
      <c r="AR1261" s="117"/>
      <c r="AS1261" s="117"/>
      <c r="AT1261" s="117"/>
      <c r="AU1261" s="117"/>
      <c r="AV1261" s="117"/>
      <c r="AW1261" s="117"/>
      <c r="AX1261" s="117"/>
      <c r="AY1261" s="117"/>
      <c r="AZ1261" s="117"/>
      <c r="BA1261" s="117"/>
      <c r="BB1261" s="117"/>
      <c r="BC1261" s="117"/>
      <c r="BD1261" s="117"/>
      <c r="BE1261" s="117"/>
      <c r="BF1261" s="117"/>
      <c r="BG1261" s="117"/>
    </row>
    <row r="1262" spans="1:59">
      <c r="A1262" s="117"/>
      <c r="B1262" s="117"/>
      <c r="C1262" s="117"/>
      <c r="D1262" s="117"/>
      <c r="E1262" s="117"/>
      <c r="F1262" s="117"/>
      <c r="G1262" s="117"/>
      <c r="H1262" s="117"/>
      <c r="I1262" s="117"/>
      <c r="J1262" s="118"/>
      <c r="K1262" s="118"/>
      <c r="L1262" s="118"/>
      <c r="M1262" s="118"/>
      <c r="N1262" s="117"/>
      <c r="O1262" s="117"/>
      <c r="P1262" s="117"/>
      <c r="Q1262" s="117"/>
      <c r="R1262" s="117"/>
      <c r="S1262" s="117"/>
      <c r="T1262" s="117"/>
      <c r="U1262" s="117"/>
      <c r="V1262" s="117"/>
      <c r="W1262" s="117"/>
      <c r="X1262" s="117"/>
      <c r="Y1262" s="117"/>
      <c r="Z1262" s="117"/>
      <c r="AA1262" s="117"/>
      <c r="AB1262" s="117"/>
      <c r="AC1262" s="117"/>
      <c r="AD1262" s="117"/>
      <c r="AE1262" s="117"/>
      <c r="AF1262" s="117"/>
      <c r="AG1262" s="117"/>
      <c r="AH1262" s="117"/>
      <c r="AI1262" s="117"/>
      <c r="AJ1262" s="117"/>
      <c r="AK1262" s="117"/>
      <c r="AL1262" s="117"/>
      <c r="AM1262" s="117"/>
      <c r="AN1262" s="117"/>
      <c r="AO1262" s="117"/>
      <c r="AP1262" s="117"/>
      <c r="AQ1262" s="117"/>
      <c r="AR1262" s="117"/>
      <c r="AS1262" s="117"/>
      <c r="AT1262" s="117"/>
      <c r="AU1262" s="117"/>
      <c r="AV1262" s="117"/>
      <c r="AW1262" s="117"/>
      <c r="AX1262" s="117"/>
      <c r="AY1262" s="117"/>
      <c r="AZ1262" s="117"/>
      <c r="BA1262" s="117"/>
      <c r="BB1262" s="117"/>
      <c r="BC1262" s="117"/>
      <c r="BD1262" s="117"/>
      <c r="BE1262" s="117"/>
      <c r="BF1262" s="117"/>
      <c r="BG1262" s="117"/>
    </row>
    <row r="1263" spans="1:59">
      <c r="A1263" s="117"/>
      <c r="B1263" s="117"/>
      <c r="C1263" s="117"/>
      <c r="D1263" s="117"/>
      <c r="E1263" s="117"/>
      <c r="F1263" s="117"/>
      <c r="G1263" s="117"/>
      <c r="H1263" s="117"/>
      <c r="I1263" s="117"/>
      <c r="J1263" s="118"/>
      <c r="K1263" s="118"/>
      <c r="L1263" s="118"/>
      <c r="M1263" s="118"/>
      <c r="N1263" s="117"/>
      <c r="O1263" s="117"/>
      <c r="P1263" s="117"/>
      <c r="Q1263" s="117"/>
      <c r="R1263" s="117"/>
      <c r="S1263" s="117"/>
      <c r="T1263" s="117"/>
      <c r="U1263" s="117"/>
      <c r="V1263" s="117"/>
      <c r="W1263" s="117"/>
      <c r="X1263" s="117"/>
      <c r="Y1263" s="117"/>
      <c r="Z1263" s="117"/>
      <c r="AA1263" s="117"/>
      <c r="AB1263" s="117"/>
      <c r="AC1263" s="117"/>
      <c r="AD1263" s="117"/>
      <c r="AE1263" s="117"/>
      <c r="AF1263" s="117"/>
      <c r="AG1263" s="117"/>
      <c r="AH1263" s="117"/>
      <c r="AI1263" s="117"/>
      <c r="AJ1263" s="117"/>
      <c r="AK1263" s="117"/>
      <c r="AL1263" s="117"/>
      <c r="AM1263" s="117"/>
      <c r="AN1263" s="117"/>
      <c r="AO1263" s="117"/>
      <c r="AP1263" s="117"/>
      <c r="AQ1263" s="117"/>
      <c r="AR1263" s="117"/>
      <c r="AS1263" s="117"/>
      <c r="AT1263" s="117"/>
      <c r="AU1263" s="117"/>
      <c r="AV1263" s="117"/>
      <c r="AW1263" s="117"/>
      <c r="AX1263" s="117"/>
      <c r="AY1263" s="117"/>
      <c r="AZ1263" s="117"/>
      <c r="BA1263" s="117"/>
      <c r="BB1263" s="117"/>
      <c r="BC1263" s="117"/>
      <c r="BD1263" s="117"/>
      <c r="BE1263" s="117"/>
      <c r="BF1263" s="117"/>
      <c r="BG1263" s="117"/>
    </row>
    <row r="1264" spans="1:59">
      <c r="A1264" s="117"/>
      <c r="B1264" s="117"/>
      <c r="C1264" s="117"/>
      <c r="D1264" s="117"/>
      <c r="E1264" s="117"/>
      <c r="F1264" s="117"/>
      <c r="G1264" s="117"/>
      <c r="H1264" s="117"/>
      <c r="I1264" s="117"/>
      <c r="J1264" s="118"/>
      <c r="K1264" s="118"/>
      <c r="L1264" s="118"/>
      <c r="M1264" s="118"/>
      <c r="N1264" s="117"/>
      <c r="O1264" s="117"/>
      <c r="P1264" s="117"/>
      <c r="Q1264" s="117"/>
      <c r="R1264" s="117"/>
      <c r="S1264" s="117"/>
      <c r="T1264" s="117"/>
      <c r="U1264" s="117"/>
      <c r="V1264" s="117"/>
      <c r="W1264" s="117"/>
      <c r="X1264" s="117"/>
      <c r="Y1264" s="117"/>
      <c r="Z1264" s="117"/>
      <c r="AA1264" s="117"/>
      <c r="AB1264" s="117"/>
      <c r="AC1264" s="117"/>
      <c r="AD1264" s="117"/>
      <c r="AE1264" s="117"/>
      <c r="AF1264" s="117"/>
      <c r="AG1264" s="117"/>
      <c r="AH1264" s="117"/>
      <c r="AI1264" s="117"/>
      <c r="AJ1264" s="117"/>
      <c r="AK1264" s="117"/>
      <c r="AL1264" s="117"/>
      <c r="AM1264" s="117"/>
      <c r="AN1264" s="117"/>
      <c r="AO1264" s="117"/>
      <c r="AP1264" s="117"/>
      <c r="AQ1264" s="117"/>
      <c r="AR1264" s="117"/>
      <c r="AS1264" s="117"/>
      <c r="AT1264" s="117"/>
      <c r="AU1264" s="117"/>
      <c r="AV1264" s="117"/>
      <c r="AW1264" s="117"/>
      <c r="AX1264" s="117"/>
      <c r="AY1264" s="117"/>
      <c r="AZ1264" s="117"/>
      <c r="BA1264" s="117"/>
      <c r="BB1264" s="117"/>
      <c r="BC1264" s="117"/>
      <c r="BD1264" s="117"/>
      <c r="BE1264" s="117"/>
      <c r="BF1264" s="117"/>
      <c r="BG1264" s="117"/>
    </row>
    <row r="1265" spans="1:59">
      <c r="A1265" s="117"/>
      <c r="B1265" s="117"/>
      <c r="C1265" s="117"/>
      <c r="D1265" s="117"/>
      <c r="E1265" s="117"/>
      <c r="F1265" s="117"/>
      <c r="G1265" s="117"/>
      <c r="H1265" s="117"/>
      <c r="I1265" s="117"/>
      <c r="J1265" s="118"/>
      <c r="K1265" s="118"/>
      <c r="L1265" s="118"/>
      <c r="M1265" s="118"/>
      <c r="N1265" s="117"/>
      <c r="O1265" s="117"/>
      <c r="P1265" s="117"/>
      <c r="Q1265" s="117"/>
      <c r="R1265" s="117"/>
      <c r="S1265" s="117"/>
      <c r="T1265" s="117"/>
      <c r="U1265" s="117"/>
      <c r="V1265" s="117"/>
      <c r="W1265" s="117"/>
      <c r="X1265" s="117"/>
      <c r="Y1265" s="117"/>
      <c r="Z1265" s="117"/>
      <c r="AA1265" s="117"/>
      <c r="AB1265" s="117"/>
      <c r="AC1265" s="117"/>
      <c r="AD1265" s="117"/>
      <c r="AE1265" s="117"/>
      <c r="AF1265" s="117"/>
      <c r="AG1265" s="117"/>
      <c r="AH1265" s="117"/>
      <c r="AI1265" s="117"/>
      <c r="AJ1265" s="117"/>
      <c r="AK1265" s="117"/>
      <c r="AL1265" s="117"/>
      <c r="AM1265" s="117"/>
      <c r="AN1265" s="117"/>
      <c r="AO1265" s="117"/>
      <c r="AP1265" s="117"/>
      <c r="AQ1265" s="117"/>
      <c r="AR1265" s="117"/>
      <c r="AS1265" s="117"/>
      <c r="AT1265" s="117"/>
      <c r="AU1265" s="117"/>
      <c r="AV1265" s="117"/>
      <c r="AW1265" s="117"/>
      <c r="AX1265" s="117"/>
      <c r="AY1265" s="117"/>
      <c r="AZ1265" s="117"/>
      <c r="BA1265" s="117"/>
      <c r="BB1265" s="117"/>
      <c r="BC1265" s="117"/>
      <c r="BD1265" s="117"/>
      <c r="BE1265" s="117"/>
      <c r="BF1265" s="117"/>
      <c r="BG1265" s="117"/>
    </row>
    <row r="1266" spans="1:59">
      <c r="A1266" s="117"/>
      <c r="B1266" s="117"/>
      <c r="C1266" s="117"/>
      <c r="D1266" s="117"/>
      <c r="E1266" s="117"/>
      <c r="F1266" s="117"/>
      <c r="G1266" s="117"/>
      <c r="H1266" s="117"/>
      <c r="I1266" s="117"/>
      <c r="J1266" s="118"/>
      <c r="K1266" s="118"/>
      <c r="L1266" s="118"/>
      <c r="M1266" s="118"/>
      <c r="N1266" s="117"/>
      <c r="O1266" s="117"/>
      <c r="P1266" s="117"/>
      <c r="Q1266" s="117"/>
      <c r="R1266" s="117"/>
      <c r="S1266" s="117"/>
      <c r="T1266" s="117"/>
      <c r="U1266" s="117"/>
      <c r="V1266" s="117"/>
      <c r="W1266" s="117"/>
      <c r="X1266" s="117"/>
      <c r="Y1266" s="117"/>
      <c r="Z1266" s="117"/>
      <c r="AA1266" s="117"/>
      <c r="AB1266" s="117"/>
      <c r="AC1266" s="117"/>
      <c r="AD1266" s="117"/>
      <c r="AE1266" s="117"/>
      <c r="AF1266" s="117"/>
      <c r="AG1266" s="117"/>
      <c r="AH1266" s="117"/>
      <c r="AI1266" s="117"/>
      <c r="AJ1266" s="117"/>
      <c r="AK1266" s="117"/>
      <c r="AL1266" s="117"/>
      <c r="AM1266" s="117"/>
      <c r="AN1266" s="117"/>
      <c r="AO1266" s="117"/>
      <c r="AP1266" s="117"/>
      <c r="AQ1266" s="117"/>
      <c r="AR1266" s="117"/>
      <c r="AS1266" s="117"/>
      <c r="AT1266" s="117"/>
      <c r="AU1266" s="117"/>
      <c r="AV1266" s="117"/>
      <c r="AW1266" s="117"/>
      <c r="AX1266" s="117"/>
      <c r="AY1266" s="117"/>
      <c r="AZ1266" s="117"/>
      <c r="BA1266" s="117"/>
      <c r="BB1266" s="117"/>
      <c r="BC1266" s="117"/>
      <c r="BD1266" s="117"/>
      <c r="BE1266" s="117"/>
      <c r="BF1266" s="117"/>
      <c r="BG1266" s="117"/>
    </row>
    <row r="1267" spans="1:59">
      <c r="A1267" s="117"/>
      <c r="B1267" s="117"/>
      <c r="C1267" s="117"/>
      <c r="D1267" s="117"/>
      <c r="E1267" s="117"/>
      <c r="F1267" s="117"/>
      <c r="G1267" s="117"/>
      <c r="H1267" s="117"/>
      <c r="I1267" s="117"/>
      <c r="J1267" s="118"/>
      <c r="K1267" s="118"/>
      <c r="L1267" s="118"/>
      <c r="M1267" s="118"/>
      <c r="N1267" s="117"/>
      <c r="O1267" s="117"/>
      <c r="P1267" s="117"/>
      <c r="Q1267" s="117"/>
      <c r="R1267" s="117"/>
      <c r="S1267" s="117"/>
      <c r="T1267" s="117"/>
      <c r="U1267" s="117"/>
      <c r="V1267" s="117"/>
      <c r="W1267" s="117"/>
      <c r="X1267" s="117"/>
      <c r="Y1267" s="117"/>
      <c r="Z1267" s="117"/>
      <c r="AA1267" s="117"/>
      <c r="AB1267" s="117"/>
      <c r="AC1267" s="117"/>
      <c r="AD1267" s="117"/>
      <c r="AE1267" s="117"/>
      <c r="AF1267" s="117"/>
      <c r="AG1267" s="117"/>
      <c r="AH1267" s="117"/>
      <c r="AI1267" s="117"/>
      <c r="AJ1267" s="117"/>
      <c r="AK1267" s="117"/>
      <c r="AL1267" s="117"/>
      <c r="AM1267" s="117"/>
      <c r="AN1267" s="117"/>
      <c r="AO1267" s="117"/>
      <c r="AP1267" s="117"/>
      <c r="AQ1267" s="117"/>
      <c r="AR1267" s="117"/>
      <c r="AS1267" s="117"/>
      <c r="AT1267" s="117"/>
      <c r="AU1267" s="117"/>
      <c r="AV1267" s="117"/>
      <c r="AW1267" s="117"/>
      <c r="AX1267" s="117"/>
      <c r="AY1267" s="117"/>
      <c r="AZ1267" s="117"/>
      <c r="BA1267" s="117"/>
      <c r="BB1267" s="117"/>
      <c r="BC1267" s="117"/>
      <c r="BD1267" s="117"/>
      <c r="BE1267" s="117"/>
      <c r="BF1267" s="117"/>
      <c r="BG1267" s="117"/>
    </row>
    <row r="1268" spans="1:59">
      <c r="A1268" s="117"/>
      <c r="B1268" s="117"/>
      <c r="C1268" s="117"/>
      <c r="D1268" s="117"/>
      <c r="E1268" s="117"/>
      <c r="F1268" s="117"/>
      <c r="G1268" s="117"/>
      <c r="H1268" s="117"/>
      <c r="I1268" s="117"/>
      <c r="J1268" s="118"/>
      <c r="K1268" s="118"/>
      <c r="L1268" s="118"/>
      <c r="M1268" s="118"/>
      <c r="N1268" s="117"/>
      <c r="O1268" s="117"/>
      <c r="P1268" s="117"/>
      <c r="Q1268" s="117"/>
      <c r="R1268" s="117"/>
      <c r="S1268" s="117"/>
      <c r="T1268" s="117"/>
      <c r="U1268" s="117"/>
      <c r="V1268" s="117"/>
      <c r="W1268" s="117"/>
      <c r="X1268" s="117"/>
      <c r="Y1268" s="117"/>
      <c r="Z1268" s="117"/>
      <c r="AA1268" s="117"/>
      <c r="AB1268" s="117"/>
      <c r="AC1268" s="117"/>
      <c r="AD1268" s="117"/>
      <c r="AE1268" s="117"/>
      <c r="AF1268" s="117"/>
      <c r="AG1268" s="117"/>
      <c r="AH1268" s="117"/>
      <c r="AI1268" s="117"/>
      <c r="AJ1268" s="117"/>
      <c r="AK1268" s="117"/>
      <c r="AL1268" s="117"/>
      <c r="AM1268" s="117"/>
      <c r="AN1268" s="117"/>
      <c r="AO1268" s="117"/>
      <c r="AP1268" s="117"/>
      <c r="AQ1268" s="117"/>
      <c r="AR1268" s="117"/>
      <c r="AS1268" s="117"/>
      <c r="AT1268" s="117"/>
      <c r="AU1268" s="117"/>
      <c r="AV1268" s="117"/>
      <c r="AW1268" s="117"/>
      <c r="AX1268" s="117"/>
      <c r="AY1268" s="117"/>
      <c r="AZ1268" s="117"/>
      <c r="BA1268" s="117"/>
      <c r="BB1268" s="117"/>
      <c r="BC1268" s="117"/>
      <c r="BD1268" s="117"/>
      <c r="BE1268" s="117"/>
      <c r="BF1268" s="117"/>
      <c r="BG1268" s="117"/>
    </row>
    <row r="1269" spans="1:59">
      <c r="A1269" s="117"/>
      <c r="B1269" s="117"/>
      <c r="C1269" s="117"/>
      <c r="D1269" s="117"/>
      <c r="E1269" s="117"/>
      <c r="F1269" s="117"/>
      <c r="G1269" s="117"/>
      <c r="H1269" s="117"/>
      <c r="I1269" s="117"/>
      <c r="J1269" s="118"/>
      <c r="K1269" s="118"/>
      <c r="L1269" s="118"/>
      <c r="M1269" s="118"/>
      <c r="N1269" s="117"/>
      <c r="O1269" s="117"/>
      <c r="P1269" s="117"/>
      <c r="Q1269" s="117"/>
      <c r="R1269" s="117"/>
      <c r="S1269" s="117"/>
      <c r="T1269" s="117"/>
      <c r="U1269" s="117"/>
      <c r="V1269" s="117"/>
      <c r="W1269" s="117"/>
      <c r="X1269" s="117"/>
      <c r="Y1269" s="117"/>
      <c r="Z1269" s="117"/>
      <c r="AA1269" s="117"/>
      <c r="AB1269" s="117"/>
      <c r="AC1269" s="117"/>
      <c r="AD1269" s="117"/>
      <c r="AE1269" s="117"/>
      <c r="AF1269" s="117"/>
      <c r="AG1269" s="117"/>
      <c r="AH1269" s="117"/>
      <c r="AI1269" s="117"/>
      <c r="AJ1269" s="117"/>
      <c r="AK1269" s="117"/>
      <c r="AL1269" s="117"/>
      <c r="AM1269" s="117"/>
      <c r="AN1269" s="117"/>
      <c r="AO1269" s="117"/>
      <c r="AP1269" s="117"/>
      <c r="AQ1269" s="117"/>
      <c r="AR1269" s="117"/>
      <c r="AS1269" s="117"/>
      <c r="AT1269" s="117"/>
      <c r="AU1269" s="117"/>
      <c r="AV1269" s="117"/>
      <c r="AW1269" s="117"/>
      <c r="AX1269" s="117"/>
      <c r="AY1269" s="117"/>
      <c r="AZ1269" s="117"/>
      <c r="BA1269" s="117"/>
      <c r="BB1269" s="117"/>
      <c r="BC1269" s="117"/>
      <c r="BD1269" s="117"/>
      <c r="BE1269" s="117"/>
      <c r="BF1269" s="117"/>
      <c r="BG1269" s="117"/>
    </row>
    <row r="1270" spans="1:59">
      <c r="A1270" s="117"/>
      <c r="B1270" s="117"/>
      <c r="C1270" s="117"/>
      <c r="D1270" s="117"/>
      <c r="E1270" s="117"/>
      <c r="F1270" s="117"/>
      <c r="G1270" s="117"/>
      <c r="H1270" s="117"/>
      <c r="I1270" s="117"/>
      <c r="J1270" s="118"/>
      <c r="K1270" s="118"/>
      <c r="L1270" s="118"/>
      <c r="M1270" s="118"/>
      <c r="N1270" s="117"/>
      <c r="O1270" s="117"/>
      <c r="P1270" s="117"/>
      <c r="Q1270" s="117"/>
      <c r="R1270" s="117"/>
      <c r="S1270" s="117"/>
      <c r="T1270" s="117"/>
      <c r="U1270" s="117"/>
      <c r="V1270" s="117"/>
      <c r="W1270" s="117"/>
      <c r="X1270" s="117"/>
      <c r="Y1270" s="117"/>
      <c r="Z1270" s="117"/>
      <c r="AA1270" s="117"/>
      <c r="AB1270" s="117"/>
      <c r="AC1270" s="117"/>
      <c r="AD1270" s="117"/>
      <c r="AE1270" s="117"/>
      <c r="AF1270" s="117"/>
      <c r="AG1270" s="117"/>
      <c r="AH1270" s="117"/>
      <c r="AI1270" s="117"/>
      <c r="AJ1270" s="117"/>
      <c r="AK1270" s="117"/>
      <c r="AL1270" s="117"/>
      <c r="AM1270" s="117"/>
      <c r="AN1270" s="117"/>
      <c r="AO1270" s="117"/>
      <c r="AP1270" s="117"/>
      <c r="AQ1270" s="117"/>
      <c r="AR1270" s="117"/>
      <c r="AS1270" s="117"/>
      <c r="AT1270" s="117"/>
      <c r="AU1270" s="117"/>
      <c r="AV1270" s="117"/>
      <c r="AW1270" s="117"/>
      <c r="AX1270" s="117"/>
      <c r="AY1270" s="117"/>
      <c r="AZ1270" s="117"/>
      <c r="BA1270" s="117"/>
      <c r="BB1270" s="117"/>
      <c r="BC1270" s="117"/>
      <c r="BD1270" s="117"/>
      <c r="BE1270" s="117"/>
      <c r="BF1270" s="117"/>
      <c r="BG1270" s="117"/>
    </row>
    <row r="1271" spans="1:59">
      <c r="A1271" s="117"/>
      <c r="B1271" s="117"/>
      <c r="C1271" s="117"/>
      <c r="D1271" s="117"/>
      <c r="E1271" s="117"/>
      <c r="F1271" s="117"/>
      <c r="G1271" s="117"/>
      <c r="H1271" s="117"/>
      <c r="I1271" s="117"/>
      <c r="J1271" s="118"/>
      <c r="K1271" s="118"/>
      <c r="L1271" s="118"/>
      <c r="M1271" s="118"/>
      <c r="N1271" s="117"/>
      <c r="O1271" s="117"/>
      <c r="P1271" s="117"/>
      <c r="Q1271" s="117"/>
      <c r="R1271" s="117"/>
      <c r="S1271" s="117"/>
      <c r="T1271" s="117"/>
      <c r="U1271" s="117"/>
      <c r="V1271" s="117"/>
      <c r="W1271" s="117"/>
      <c r="X1271" s="117"/>
      <c r="Y1271" s="117"/>
      <c r="Z1271" s="117"/>
      <c r="AA1271" s="117"/>
      <c r="AB1271" s="117"/>
      <c r="AC1271" s="117"/>
      <c r="AD1271" s="117"/>
      <c r="AE1271" s="117"/>
      <c r="AF1271" s="117"/>
      <c r="AG1271" s="117"/>
      <c r="AH1271" s="117"/>
      <c r="AI1271" s="117"/>
      <c r="AJ1271" s="117"/>
      <c r="AK1271" s="117"/>
      <c r="AL1271" s="117"/>
      <c r="AM1271" s="117"/>
      <c r="AN1271" s="117"/>
      <c r="AO1271" s="117"/>
      <c r="AP1271" s="117"/>
      <c r="AQ1271" s="117"/>
      <c r="AR1271" s="117"/>
      <c r="AS1271" s="117"/>
      <c r="AT1271" s="117"/>
      <c r="AU1271" s="117"/>
      <c r="AV1271" s="117"/>
      <c r="AW1271" s="117"/>
      <c r="AX1271" s="117"/>
      <c r="AY1271" s="117"/>
      <c r="AZ1271" s="117"/>
      <c r="BA1271" s="117"/>
      <c r="BB1271" s="117"/>
      <c r="BC1271" s="117"/>
      <c r="BD1271" s="117"/>
      <c r="BE1271" s="117"/>
      <c r="BF1271" s="117"/>
      <c r="BG1271" s="117"/>
    </row>
    <row r="1272" spans="1:59">
      <c r="A1272" s="117"/>
      <c r="B1272" s="117"/>
      <c r="C1272" s="117"/>
      <c r="D1272" s="117"/>
      <c r="E1272" s="117"/>
      <c r="F1272" s="117"/>
      <c r="G1272" s="117"/>
      <c r="H1272" s="117"/>
      <c r="I1272" s="117"/>
      <c r="J1272" s="118"/>
      <c r="K1272" s="118"/>
      <c r="L1272" s="118"/>
      <c r="M1272" s="118"/>
      <c r="N1272" s="117"/>
      <c r="O1272" s="117"/>
      <c r="P1272" s="117"/>
      <c r="Q1272" s="117"/>
      <c r="R1272" s="117"/>
      <c r="S1272" s="117"/>
      <c r="T1272" s="117"/>
      <c r="U1272" s="117"/>
      <c r="V1272" s="117"/>
      <c r="W1272" s="117"/>
      <c r="X1272" s="117"/>
      <c r="Y1272" s="117"/>
      <c r="Z1272" s="117"/>
      <c r="AA1272" s="117"/>
      <c r="AB1272" s="117"/>
      <c r="AC1272" s="117"/>
      <c r="AD1272" s="117"/>
      <c r="AE1272" s="117"/>
      <c r="AF1272" s="117"/>
      <c r="AG1272" s="117"/>
      <c r="AH1272" s="117"/>
      <c r="AI1272" s="117"/>
      <c r="AJ1272" s="117"/>
      <c r="AK1272" s="117"/>
      <c r="AL1272" s="117"/>
      <c r="AM1272" s="117"/>
      <c r="AN1272" s="117"/>
      <c r="AO1272" s="117"/>
      <c r="AP1272" s="117"/>
      <c r="AQ1272" s="117"/>
      <c r="AR1272" s="117"/>
      <c r="AS1272" s="117"/>
      <c r="AT1272" s="117"/>
      <c r="AU1272" s="117"/>
      <c r="AV1272" s="117"/>
      <c r="AW1272" s="117"/>
      <c r="AX1272" s="117"/>
      <c r="AY1272" s="117"/>
      <c r="AZ1272" s="117"/>
      <c r="BA1272" s="117"/>
      <c r="BB1272" s="117"/>
      <c r="BC1272" s="117"/>
      <c r="BD1272" s="117"/>
      <c r="BE1272" s="117"/>
      <c r="BF1272" s="117"/>
      <c r="BG1272" s="117"/>
    </row>
    <row r="1273" spans="1:59">
      <c r="A1273" s="117"/>
      <c r="B1273" s="117"/>
      <c r="C1273" s="117"/>
      <c r="D1273" s="117"/>
      <c r="E1273" s="117"/>
      <c r="F1273" s="117"/>
      <c r="G1273" s="117"/>
      <c r="H1273" s="117"/>
      <c r="I1273" s="117"/>
      <c r="J1273" s="118"/>
      <c r="K1273" s="118"/>
      <c r="L1273" s="118"/>
      <c r="M1273" s="118"/>
      <c r="N1273" s="117"/>
      <c r="O1273" s="117"/>
      <c r="P1273" s="117"/>
      <c r="Q1273" s="117"/>
      <c r="R1273" s="117"/>
      <c r="S1273" s="117"/>
      <c r="T1273" s="117"/>
      <c r="U1273" s="117"/>
      <c r="V1273" s="117"/>
      <c r="W1273" s="117"/>
      <c r="X1273" s="117"/>
      <c r="Y1273" s="117"/>
      <c r="Z1273" s="117"/>
      <c r="AA1273" s="117"/>
      <c r="AB1273" s="117"/>
      <c r="AC1273" s="117"/>
      <c r="AD1273" s="117"/>
      <c r="AE1273" s="117"/>
      <c r="AF1273" s="117"/>
      <c r="AG1273" s="117"/>
      <c r="AH1273" s="117"/>
      <c r="AI1273" s="117"/>
      <c r="AJ1273" s="117"/>
      <c r="AK1273" s="117"/>
      <c r="AL1273" s="117"/>
      <c r="AM1273" s="117"/>
      <c r="AN1273" s="117"/>
      <c r="AO1273" s="117"/>
      <c r="AP1273" s="117"/>
      <c r="AQ1273" s="117"/>
      <c r="AR1273" s="117"/>
      <c r="AS1273" s="117"/>
      <c r="AT1273" s="117"/>
      <c r="AU1273" s="117"/>
      <c r="AV1273" s="117"/>
      <c r="AW1273" s="117"/>
      <c r="AX1273" s="117"/>
      <c r="AY1273" s="117"/>
      <c r="AZ1273" s="117"/>
      <c r="BA1273" s="117"/>
      <c r="BB1273" s="117"/>
      <c r="BC1273" s="117"/>
      <c r="BD1273" s="117"/>
      <c r="BE1273" s="117"/>
      <c r="BF1273" s="117"/>
      <c r="BG1273" s="117"/>
    </row>
    <row r="1274" spans="1:59">
      <c r="A1274" s="117"/>
      <c r="B1274" s="117"/>
      <c r="C1274" s="117"/>
      <c r="D1274" s="117"/>
      <c r="E1274" s="117"/>
      <c r="F1274" s="117"/>
      <c r="G1274" s="117"/>
      <c r="H1274" s="117"/>
      <c r="I1274" s="117"/>
      <c r="J1274" s="118"/>
      <c r="K1274" s="118"/>
      <c r="L1274" s="118"/>
      <c r="M1274" s="118"/>
      <c r="N1274" s="117"/>
      <c r="O1274" s="117"/>
      <c r="P1274" s="117"/>
      <c r="Q1274" s="117"/>
      <c r="R1274" s="117"/>
      <c r="S1274" s="117"/>
      <c r="T1274" s="117"/>
      <c r="U1274" s="117"/>
      <c r="V1274" s="117"/>
      <c r="W1274" s="117"/>
      <c r="X1274" s="117"/>
      <c r="Y1274" s="117"/>
      <c r="Z1274" s="117"/>
      <c r="AA1274" s="117"/>
      <c r="AB1274" s="117"/>
      <c r="AC1274" s="117"/>
      <c r="AD1274" s="117"/>
      <c r="AE1274" s="117"/>
      <c r="AF1274" s="117"/>
      <c r="AG1274" s="117"/>
      <c r="AH1274" s="117"/>
      <c r="AI1274" s="117"/>
      <c r="AJ1274" s="117"/>
      <c r="AK1274" s="117"/>
      <c r="AL1274" s="117"/>
      <c r="AM1274" s="117"/>
      <c r="AN1274" s="117"/>
      <c r="AO1274" s="117"/>
      <c r="AP1274" s="117"/>
      <c r="AQ1274" s="117"/>
      <c r="AR1274" s="117"/>
      <c r="AS1274" s="117"/>
      <c r="AT1274" s="117"/>
      <c r="AU1274" s="117"/>
      <c r="AV1274" s="117"/>
      <c r="AW1274" s="117"/>
      <c r="AX1274" s="117"/>
      <c r="AY1274" s="117"/>
      <c r="AZ1274" s="117"/>
      <c r="BA1274" s="117"/>
      <c r="BB1274" s="117"/>
      <c r="BC1274" s="117"/>
      <c r="BD1274" s="117"/>
      <c r="BE1274" s="117"/>
      <c r="BF1274" s="117"/>
      <c r="BG1274" s="117"/>
    </row>
    <row r="1275" spans="1:59">
      <c r="A1275" s="117"/>
      <c r="B1275" s="117"/>
      <c r="C1275" s="117"/>
      <c r="D1275" s="117"/>
      <c r="E1275" s="117"/>
      <c r="F1275" s="117"/>
      <c r="G1275" s="117"/>
      <c r="H1275" s="117"/>
      <c r="I1275" s="117"/>
      <c r="J1275" s="118"/>
      <c r="K1275" s="118"/>
      <c r="L1275" s="118"/>
      <c r="M1275" s="118"/>
      <c r="N1275" s="117"/>
      <c r="O1275" s="117"/>
      <c r="P1275" s="117"/>
      <c r="Q1275" s="117"/>
      <c r="R1275" s="117"/>
      <c r="S1275" s="117"/>
      <c r="T1275" s="117"/>
      <c r="U1275" s="117"/>
      <c r="V1275" s="117"/>
      <c r="W1275" s="117"/>
      <c r="X1275" s="117"/>
      <c r="Y1275" s="117"/>
      <c r="Z1275" s="117"/>
      <c r="AA1275" s="117"/>
      <c r="AB1275" s="117"/>
      <c r="AC1275" s="117"/>
      <c r="AD1275" s="117"/>
      <c r="AE1275" s="117"/>
      <c r="AF1275" s="117"/>
      <c r="AG1275" s="117"/>
      <c r="AH1275" s="117"/>
      <c r="AI1275" s="117"/>
      <c r="AJ1275" s="117"/>
      <c r="AK1275" s="117"/>
      <c r="AL1275" s="117"/>
      <c r="AM1275" s="117"/>
      <c r="AN1275" s="117"/>
      <c r="AO1275" s="117"/>
      <c r="AP1275" s="117"/>
      <c r="AQ1275" s="117"/>
      <c r="AR1275" s="117"/>
      <c r="AS1275" s="117"/>
      <c r="AT1275" s="117"/>
      <c r="AU1275" s="117"/>
      <c r="AV1275" s="117"/>
      <c r="AW1275" s="117"/>
      <c r="AX1275" s="117"/>
      <c r="AY1275" s="117"/>
      <c r="AZ1275" s="117"/>
      <c r="BA1275" s="117"/>
      <c r="BB1275" s="117"/>
      <c r="BC1275" s="117"/>
      <c r="BD1275" s="117"/>
      <c r="BE1275" s="117"/>
      <c r="BF1275" s="117"/>
      <c r="BG1275" s="117"/>
    </row>
    <row r="1276" spans="1:59">
      <c r="A1276" s="117"/>
      <c r="B1276" s="117"/>
      <c r="C1276" s="117"/>
      <c r="D1276" s="117"/>
      <c r="E1276" s="117"/>
      <c r="F1276" s="117"/>
      <c r="G1276" s="117"/>
      <c r="H1276" s="117"/>
      <c r="I1276" s="117"/>
      <c r="J1276" s="118"/>
      <c r="K1276" s="118"/>
      <c r="L1276" s="118"/>
      <c r="M1276" s="118"/>
      <c r="N1276" s="117"/>
      <c r="O1276" s="117"/>
      <c r="P1276" s="117"/>
      <c r="Q1276" s="117"/>
      <c r="R1276" s="117"/>
      <c r="S1276" s="117"/>
      <c r="T1276" s="117"/>
      <c r="U1276" s="117"/>
      <c r="V1276" s="117"/>
      <c r="W1276" s="117"/>
      <c r="X1276" s="117"/>
      <c r="Y1276" s="117"/>
      <c r="Z1276" s="117"/>
      <c r="AA1276" s="117"/>
      <c r="AB1276" s="117"/>
      <c r="AC1276" s="117"/>
      <c r="AD1276" s="117"/>
      <c r="AE1276" s="117"/>
      <c r="AF1276" s="117"/>
      <c r="AG1276" s="117"/>
      <c r="AH1276" s="117"/>
      <c r="AI1276" s="117"/>
      <c r="AJ1276" s="117"/>
      <c r="AK1276" s="117"/>
      <c r="AL1276" s="117"/>
      <c r="AM1276" s="117"/>
      <c r="AN1276" s="117"/>
      <c r="AO1276" s="117"/>
      <c r="AP1276" s="117"/>
      <c r="AQ1276" s="117"/>
      <c r="AR1276" s="117"/>
      <c r="AS1276" s="117"/>
      <c r="AT1276" s="117"/>
      <c r="AU1276" s="117"/>
      <c r="AV1276" s="117"/>
      <c r="AW1276" s="117"/>
      <c r="AX1276" s="117"/>
      <c r="AY1276" s="117"/>
      <c r="AZ1276" s="117"/>
      <c r="BA1276" s="117"/>
      <c r="BB1276" s="117"/>
      <c r="BC1276" s="117"/>
      <c r="BD1276" s="117"/>
      <c r="BE1276" s="117"/>
      <c r="BF1276" s="117"/>
      <c r="BG1276" s="117"/>
    </row>
    <row r="1277" spans="1:59">
      <c r="A1277" s="117"/>
      <c r="B1277" s="117"/>
      <c r="C1277" s="117"/>
      <c r="D1277" s="117"/>
      <c r="E1277" s="117"/>
      <c r="F1277" s="117"/>
      <c r="G1277" s="117"/>
      <c r="H1277" s="117"/>
      <c r="I1277" s="117"/>
      <c r="J1277" s="118"/>
      <c r="K1277" s="118"/>
      <c r="L1277" s="118"/>
      <c r="M1277" s="118"/>
      <c r="N1277" s="117"/>
      <c r="O1277" s="117"/>
      <c r="P1277" s="117"/>
      <c r="Q1277" s="117"/>
      <c r="R1277" s="117"/>
      <c r="S1277" s="117"/>
      <c r="T1277" s="117"/>
      <c r="U1277" s="117"/>
      <c r="V1277" s="117"/>
      <c r="W1277" s="117"/>
      <c r="X1277" s="117"/>
      <c r="Y1277" s="117"/>
      <c r="Z1277" s="117"/>
      <c r="AA1277" s="117"/>
      <c r="AB1277" s="117"/>
      <c r="AC1277" s="117"/>
      <c r="AD1277" s="117"/>
      <c r="AE1277" s="117"/>
      <c r="AF1277" s="117"/>
      <c r="AG1277" s="117"/>
      <c r="AH1277" s="117"/>
      <c r="AI1277" s="117"/>
      <c r="AJ1277" s="117"/>
      <c r="AK1277" s="117"/>
      <c r="AL1277" s="117"/>
      <c r="AM1277" s="117"/>
      <c r="AN1277" s="117"/>
      <c r="AO1277" s="117"/>
      <c r="AP1277" s="117"/>
      <c r="AQ1277" s="117"/>
      <c r="AR1277" s="117"/>
      <c r="AS1277" s="117"/>
      <c r="AT1277" s="117"/>
      <c r="AU1277" s="117"/>
      <c r="AV1277" s="117"/>
      <c r="AW1277" s="117"/>
      <c r="AX1277" s="117"/>
      <c r="AY1277" s="117"/>
      <c r="AZ1277" s="117"/>
      <c r="BA1277" s="117"/>
      <c r="BB1277" s="117"/>
      <c r="BC1277" s="117"/>
      <c r="BD1277" s="117"/>
      <c r="BE1277" s="117"/>
      <c r="BF1277" s="117"/>
      <c r="BG1277" s="117"/>
    </row>
    <row r="1278" spans="1:59">
      <c r="A1278" s="117"/>
      <c r="B1278" s="117"/>
      <c r="C1278" s="117"/>
      <c r="D1278" s="117"/>
      <c r="E1278" s="117"/>
      <c r="F1278" s="117"/>
      <c r="G1278" s="117"/>
      <c r="H1278" s="117"/>
      <c r="I1278" s="117"/>
      <c r="J1278" s="118"/>
      <c r="K1278" s="118"/>
      <c r="L1278" s="118"/>
      <c r="M1278" s="118"/>
      <c r="N1278" s="117"/>
      <c r="O1278" s="117"/>
      <c r="P1278" s="117"/>
      <c r="Q1278" s="117"/>
      <c r="R1278" s="117"/>
      <c r="S1278" s="117"/>
      <c r="T1278" s="117"/>
      <c r="U1278" s="117"/>
      <c r="V1278" s="117"/>
      <c r="W1278" s="117"/>
      <c r="X1278" s="117"/>
      <c r="Y1278" s="117"/>
      <c r="Z1278" s="117"/>
      <c r="AA1278" s="117"/>
      <c r="AB1278" s="117"/>
      <c r="AC1278" s="117"/>
      <c r="AD1278" s="117"/>
      <c r="AE1278" s="117"/>
      <c r="AF1278" s="117"/>
      <c r="AG1278" s="117"/>
      <c r="AH1278" s="117"/>
      <c r="AI1278" s="117"/>
      <c r="AJ1278" s="117"/>
      <c r="AK1278" s="117"/>
      <c r="AL1278" s="117"/>
      <c r="AM1278" s="117"/>
      <c r="AN1278" s="117"/>
      <c r="AO1278" s="117"/>
      <c r="AP1278" s="117"/>
      <c r="AQ1278" s="117"/>
      <c r="AR1278" s="117"/>
      <c r="AS1278" s="117"/>
      <c r="AT1278" s="117"/>
      <c r="AU1278" s="117"/>
      <c r="AV1278" s="117"/>
      <c r="AW1278" s="117"/>
      <c r="AX1278" s="117"/>
      <c r="AY1278" s="117"/>
      <c r="AZ1278" s="117"/>
      <c r="BA1278" s="117"/>
      <c r="BB1278" s="117"/>
      <c r="BC1278" s="117"/>
      <c r="BD1278" s="117"/>
      <c r="BE1278" s="117"/>
      <c r="BF1278" s="117"/>
      <c r="BG1278" s="117"/>
    </row>
    <row r="1279" spans="1:59">
      <c r="A1279" s="117"/>
      <c r="B1279" s="117"/>
      <c r="C1279" s="117"/>
      <c r="D1279" s="117"/>
      <c r="E1279" s="117"/>
      <c r="F1279" s="117"/>
      <c r="G1279" s="117"/>
      <c r="H1279" s="117"/>
      <c r="I1279" s="117"/>
      <c r="J1279" s="118"/>
      <c r="K1279" s="118"/>
      <c r="L1279" s="118"/>
      <c r="M1279" s="118"/>
      <c r="N1279" s="117"/>
      <c r="O1279" s="117"/>
      <c r="P1279" s="117"/>
      <c r="Q1279" s="117"/>
      <c r="R1279" s="117"/>
      <c r="S1279" s="117"/>
      <c r="T1279" s="117"/>
      <c r="U1279" s="117"/>
      <c r="V1279" s="117"/>
      <c r="W1279" s="117"/>
      <c r="X1279" s="117"/>
      <c r="Y1279" s="117"/>
      <c r="Z1279" s="117"/>
      <c r="AA1279" s="117"/>
      <c r="AB1279" s="117"/>
      <c r="AC1279" s="117"/>
      <c r="AD1279" s="117"/>
      <c r="AE1279" s="117"/>
      <c r="AF1279" s="117"/>
      <c r="AG1279" s="117"/>
      <c r="AH1279" s="117"/>
      <c r="AI1279" s="117"/>
      <c r="AJ1279" s="117"/>
      <c r="AK1279" s="117"/>
      <c r="AL1279" s="117"/>
      <c r="AM1279" s="117"/>
      <c r="AN1279" s="117"/>
      <c r="AO1279" s="117"/>
      <c r="AP1279" s="117"/>
      <c r="AQ1279" s="117"/>
      <c r="AR1279" s="117"/>
      <c r="AS1279" s="117"/>
      <c r="AT1279" s="117"/>
      <c r="AU1279" s="117"/>
      <c r="AV1279" s="117"/>
      <c r="AW1279" s="117"/>
      <c r="AX1279" s="117"/>
      <c r="AY1279" s="117"/>
      <c r="AZ1279" s="117"/>
      <c r="BA1279" s="117"/>
      <c r="BB1279" s="117"/>
      <c r="BC1279" s="117"/>
      <c r="BD1279" s="117"/>
      <c r="BE1279" s="117"/>
      <c r="BF1279" s="117"/>
      <c r="BG1279" s="117"/>
    </row>
    <row r="1280" spans="1:59">
      <c r="A1280" s="117"/>
      <c r="B1280" s="117"/>
      <c r="C1280" s="117"/>
      <c r="D1280" s="117"/>
      <c r="E1280" s="117"/>
      <c r="F1280" s="117"/>
      <c r="G1280" s="117"/>
      <c r="H1280" s="117"/>
      <c r="I1280" s="117"/>
      <c r="J1280" s="118"/>
      <c r="K1280" s="118"/>
      <c r="L1280" s="118"/>
      <c r="M1280" s="118"/>
      <c r="N1280" s="117"/>
      <c r="O1280" s="117"/>
      <c r="P1280" s="117"/>
      <c r="Q1280" s="117"/>
      <c r="R1280" s="117"/>
      <c r="S1280" s="117"/>
      <c r="T1280" s="117"/>
      <c r="U1280" s="117"/>
      <c r="V1280" s="117"/>
      <c r="W1280" s="117"/>
      <c r="X1280" s="117"/>
      <c r="Y1280" s="117"/>
      <c r="Z1280" s="117"/>
      <c r="AA1280" s="117"/>
      <c r="AB1280" s="117"/>
      <c r="AC1280" s="117"/>
      <c r="AD1280" s="117"/>
      <c r="AE1280" s="117"/>
      <c r="AF1280" s="117"/>
      <c r="AG1280" s="117"/>
      <c r="AH1280" s="117"/>
      <c r="AI1280" s="117"/>
      <c r="AJ1280" s="117"/>
      <c r="AK1280" s="117"/>
      <c r="AL1280" s="117"/>
      <c r="AM1280" s="117"/>
      <c r="AN1280" s="117"/>
      <c r="AO1280" s="117"/>
      <c r="AP1280" s="117"/>
      <c r="AQ1280" s="117"/>
      <c r="AR1280" s="117"/>
      <c r="AS1280" s="117"/>
      <c r="AT1280" s="117"/>
      <c r="AU1280" s="117"/>
      <c r="AV1280" s="117"/>
      <c r="AW1280" s="117"/>
      <c r="AX1280" s="117"/>
      <c r="AY1280" s="117"/>
      <c r="AZ1280" s="117"/>
      <c r="BA1280" s="117"/>
      <c r="BB1280" s="117"/>
      <c r="BC1280" s="117"/>
      <c r="BD1280" s="117"/>
      <c r="BE1280" s="117"/>
      <c r="BF1280" s="117"/>
      <c r="BG1280" s="117"/>
    </row>
    <row r="1281" spans="1:59">
      <c r="A1281" s="117"/>
      <c r="B1281" s="117"/>
      <c r="C1281" s="117"/>
      <c r="D1281" s="117"/>
      <c r="E1281" s="117"/>
      <c r="F1281" s="117"/>
      <c r="G1281" s="117"/>
      <c r="H1281" s="117"/>
      <c r="I1281" s="117"/>
      <c r="J1281" s="118"/>
      <c r="K1281" s="118"/>
      <c r="L1281" s="118"/>
      <c r="M1281" s="118"/>
      <c r="N1281" s="117"/>
      <c r="O1281" s="117"/>
      <c r="P1281" s="117"/>
      <c r="Q1281" s="117"/>
      <c r="R1281" s="117"/>
      <c r="S1281" s="117"/>
      <c r="T1281" s="117"/>
      <c r="U1281" s="117"/>
      <c r="V1281" s="117"/>
      <c r="W1281" s="117"/>
      <c r="X1281" s="117"/>
      <c r="Y1281" s="117"/>
      <c r="Z1281" s="117"/>
      <c r="AA1281" s="117"/>
      <c r="AB1281" s="117"/>
      <c r="AC1281" s="117"/>
      <c r="AD1281" s="117"/>
      <c r="AE1281" s="117"/>
      <c r="AF1281" s="117"/>
      <c r="AG1281" s="117"/>
      <c r="AH1281" s="117"/>
      <c r="AI1281" s="117"/>
      <c r="AJ1281" s="117"/>
      <c r="AK1281" s="117"/>
      <c r="AL1281" s="117"/>
      <c r="AM1281" s="117"/>
      <c r="AN1281" s="117"/>
      <c r="AO1281" s="117"/>
      <c r="AP1281" s="117"/>
      <c r="AQ1281" s="117"/>
      <c r="AR1281" s="117"/>
      <c r="AS1281" s="117"/>
      <c r="AT1281" s="117"/>
      <c r="AU1281" s="117"/>
      <c r="AV1281" s="117"/>
      <c r="AW1281" s="117"/>
      <c r="AX1281" s="117"/>
      <c r="AY1281" s="117"/>
      <c r="AZ1281" s="117"/>
      <c r="BA1281" s="117"/>
      <c r="BB1281" s="117"/>
      <c r="BC1281" s="117"/>
      <c r="BD1281" s="117"/>
      <c r="BE1281" s="117"/>
      <c r="BF1281" s="117"/>
      <c r="BG1281" s="117"/>
    </row>
    <row r="1282" spans="1:59">
      <c r="A1282" s="117"/>
      <c r="B1282" s="117"/>
      <c r="C1282" s="117"/>
      <c r="D1282" s="117"/>
      <c r="E1282" s="117"/>
      <c r="F1282" s="117"/>
      <c r="G1282" s="117"/>
      <c r="H1282" s="117"/>
      <c r="I1282" s="117"/>
      <c r="J1282" s="118"/>
      <c r="K1282" s="118"/>
      <c r="L1282" s="118"/>
      <c r="M1282" s="118"/>
      <c r="N1282" s="117"/>
      <c r="O1282" s="117"/>
      <c r="P1282" s="117"/>
      <c r="Q1282" s="117"/>
      <c r="R1282" s="117"/>
      <c r="S1282" s="117"/>
      <c r="T1282" s="117"/>
      <c r="U1282" s="117"/>
      <c r="V1282" s="117"/>
      <c r="W1282" s="117"/>
      <c r="X1282" s="117"/>
      <c r="Y1282" s="117"/>
      <c r="Z1282" s="117"/>
      <c r="AA1282" s="117"/>
      <c r="AB1282" s="117"/>
      <c r="AC1282" s="117"/>
      <c r="AD1282" s="117"/>
      <c r="AE1282" s="117"/>
      <c r="AF1282" s="117"/>
      <c r="AG1282" s="117"/>
      <c r="AH1282" s="117"/>
      <c r="AI1282" s="117"/>
      <c r="AJ1282" s="117"/>
      <c r="AK1282" s="117"/>
      <c r="AL1282" s="117"/>
      <c r="AM1282" s="117"/>
      <c r="AN1282" s="117"/>
      <c r="AO1282" s="117"/>
      <c r="AP1282" s="117"/>
      <c r="AQ1282" s="117"/>
      <c r="AR1282" s="117"/>
      <c r="AS1282" s="117"/>
      <c r="AT1282" s="117"/>
      <c r="AU1282" s="117"/>
      <c r="AV1282" s="117"/>
      <c r="AW1282" s="117"/>
      <c r="AX1282" s="117"/>
      <c r="AY1282" s="117"/>
      <c r="AZ1282" s="117"/>
      <c r="BA1282" s="117"/>
      <c r="BB1282" s="117"/>
      <c r="BC1282" s="117"/>
      <c r="BD1282" s="117"/>
      <c r="BE1282" s="117"/>
      <c r="BF1282" s="117"/>
      <c r="BG1282" s="117"/>
    </row>
    <row r="1283" spans="1:59">
      <c r="A1283" s="117"/>
      <c r="B1283" s="117"/>
      <c r="C1283" s="117"/>
      <c r="D1283" s="117"/>
      <c r="E1283" s="117"/>
      <c r="F1283" s="117"/>
      <c r="G1283" s="117"/>
      <c r="H1283" s="117"/>
      <c r="I1283" s="117"/>
      <c r="J1283" s="118"/>
      <c r="K1283" s="118"/>
      <c r="L1283" s="118"/>
      <c r="M1283" s="118"/>
      <c r="N1283" s="117"/>
      <c r="O1283" s="117"/>
      <c r="P1283" s="117"/>
      <c r="Q1283" s="117"/>
      <c r="R1283" s="117"/>
      <c r="S1283" s="117"/>
      <c r="T1283" s="117"/>
      <c r="U1283" s="117"/>
      <c r="V1283" s="117"/>
      <c r="W1283" s="117"/>
      <c r="X1283" s="117"/>
      <c r="Y1283" s="117"/>
      <c r="Z1283" s="117"/>
      <c r="AA1283" s="117"/>
      <c r="AB1283" s="117"/>
      <c r="AC1283" s="117"/>
      <c r="AD1283" s="117"/>
      <c r="AE1283" s="117"/>
      <c r="AF1283" s="117"/>
      <c r="AG1283" s="117"/>
      <c r="AH1283" s="117"/>
      <c r="AI1283" s="117"/>
      <c r="AJ1283" s="117"/>
      <c r="AK1283" s="117"/>
      <c r="AL1283" s="117"/>
      <c r="AM1283" s="117"/>
      <c r="AN1283" s="117"/>
      <c r="AO1283" s="117"/>
      <c r="AP1283" s="117"/>
      <c r="AQ1283" s="117"/>
      <c r="AR1283" s="117"/>
      <c r="AS1283" s="117"/>
      <c r="AT1283" s="117"/>
      <c r="AU1283" s="117"/>
      <c r="AV1283" s="117"/>
      <c r="AW1283" s="117"/>
      <c r="AX1283" s="117"/>
      <c r="AY1283" s="117"/>
      <c r="AZ1283" s="117"/>
      <c r="BA1283" s="117"/>
      <c r="BB1283" s="117"/>
      <c r="BC1283" s="117"/>
      <c r="BD1283" s="117"/>
      <c r="BE1283" s="117"/>
      <c r="BF1283" s="117"/>
      <c r="BG1283" s="117"/>
    </row>
    <row r="1284" spans="1:59">
      <c r="A1284" s="117"/>
      <c r="B1284" s="117"/>
      <c r="C1284" s="117"/>
      <c r="D1284" s="117"/>
      <c r="E1284" s="117"/>
      <c r="F1284" s="117"/>
      <c r="G1284" s="117"/>
      <c r="H1284" s="117"/>
      <c r="I1284" s="117"/>
      <c r="J1284" s="118"/>
      <c r="K1284" s="118"/>
      <c r="L1284" s="118"/>
      <c r="M1284" s="118"/>
      <c r="N1284" s="117"/>
      <c r="O1284" s="117"/>
      <c r="P1284" s="117"/>
      <c r="Q1284" s="117"/>
      <c r="R1284" s="117"/>
      <c r="S1284" s="117"/>
      <c r="T1284" s="117"/>
      <c r="U1284" s="117"/>
      <c r="V1284" s="117"/>
      <c r="W1284" s="117"/>
      <c r="X1284" s="117"/>
      <c r="Y1284" s="117"/>
      <c r="Z1284" s="117"/>
      <c r="AA1284" s="117"/>
      <c r="AB1284" s="117"/>
      <c r="AC1284" s="117"/>
      <c r="AD1284" s="117"/>
      <c r="AE1284" s="117"/>
      <c r="AF1284" s="117"/>
      <c r="AG1284" s="117"/>
      <c r="AH1284" s="117"/>
      <c r="AI1284" s="117"/>
      <c r="AJ1284" s="117"/>
      <c r="AK1284" s="117"/>
      <c r="AL1284" s="117"/>
      <c r="AM1284" s="117"/>
      <c r="AN1284" s="117"/>
      <c r="AO1284" s="117"/>
      <c r="AP1284" s="117"/>
      <c r="AQ1284" s="117"/>
      <c r="AR1284" s="117"/>
      <c r="AS1284" s="117"/>
      <c r="AT1284" s="117"/>
      <c r="AU1284" s="117"/>
      <c r="AV1284" s="117"/>
      <c r="AW1284" s="117"/>
      <c r="AX1284" s="117"/>
      <c r="AY1284" s="117"/>
      <c r="AZ1284" s="117"/>
      <c r="BA1284" s="117"/>
      <c r="BB1284" s="117"/>
      <c r="BC1284" s="117"/>
      <c r="BD1284" s="117"/>
      <c r="BE1284" s="117"/>
      <c r="BF1284" s="117"/>
      <c r="BG1284" s="117"/>
    </row>
    <row r="1285" spans="1:59">
      <c r="A1285" s="117"/>
      <c r="B1285" s="117"/>
      <c r="C1285" s="117"/>
      <c r="D1285" s="117"/>
      <c r="E1285" s="117"/>
      <c r="F1285" s="117"/>
      <c r="G1285" s="117"/>
      <c r="H1285" s="117"/>
      <c r="I1285" s="117"/>
      <c r="J1285" s="118"/>
      <c r="K1285" s="118"/>
      <c r="L1285" s="118"/>
      <c r="M1285" s="118"/>
      <c r="N1285" s="117"/>
      <c r="O1285" s="117"/>
      <c r="P1285" s="117"/>
      <c r="Q1285" s="117"/>
      <c r="R1285" s="117"/>
      <c r="S1285" s="117"/>
      <c r="T1285" s="117"/>
      <c r="U1285" s="117"/>
      <c r="V1285" s="117"/>
      <c r="W1285" s="117"/>
      <c r="X1285" s="117"/>
      <c r="Y1285" s="117"/>
      <c r="Z1285" s="117"/>
      <c r="AA1285" s="117"/>
      <c r="AB1285" s="117"/>
      <c r="AC1285" s="117"/>
      <c r="AD1285" s="117"/>
      <c r="AE1285" s="117"/>
      <c r="AF1285" s="117"/>
      <c r="AG1285" s="117"/>
      <c r="AH1285" s="117"/>
      <c r="AI1285" s="117"/>
      <c r="AJ1285" s="117"/>
      <c r="AK1285" s="117"/>
      <c r="AL1285" s="117"/>
      <c r="AM1285" s="117"/>
      <c r="AN1285" s="117"/>
      <c r="AO1285" s="117"/>
      <c r="AP1285" s="117"/>
      <c r="AQ1285" s="117"/>
      <c r="AR1285" s="117"/>
      <c r="AS1285" s="117"/>
      <c r="AT1285" s="117"/>
      <c r="AU1285" s="117"/>
      <c r="AV1285" s="117"/>
      <c r="AW1285" s="117"/>
      <c r="AX1285" s="117"/>
      <c r="AY1285" s="117"/>
      <c r="AZ1285" s="117"/>
      <c r="BA1285" s="117"/>
      <c r="BB1285" s="117"/>
      <c r="BC1285" s="117"/>
      <c r="BD1285" s="117"/>
      <c r="BE1285" s="117"/>
      <c r="BF1285" s="117"/>
      <c r="BG1285" s="117"/>
    </row>
    <row r="1286" spans="1:59">
      <c r="A1286" s="117"/>
      <c r="B1286" s="117"/>
      <c r="C1286" s="117"/>
      <c r="D1286" s="117"/>
      <c r="E1286" s="117"/>
      <c r="F1286" s="117"/>
      <c r="G1286" s="117"/>
      <c r="H1286" s="117"/>
      <c r="I1286" s="117"/>
      <c r="J1286" s="118"/>
      <c r="K1286" s="118"/>
      <c r="L1286" s="118"/>
      <c r="M1286" s="118"/>
      <c r="N1286" s="117"/>
      <c r="O1286" s="117"/>
      <c r="P1286" s="117"/>
      <c r="Q1286" s="117"/>
      <c r="R1286" s="117"/>
      <c r="S1286" s="117"/>
      <c r="T1286" s="117"/>
      <c r="U1286" s="117"/>
      <c r="V1286" s="117"/>
      <c r="W1286" s="117"/>
      <c r="X1286" s="117"/>
      <c r="Y1286" s="117"/>
      <c r="Z1286" s="117"/>
      <c r="AA1286" s="117"/>
      <c r="AB1286" s="117"/>
      <c r="AC1286" s="117"/>
      <c r="AD1286" s="117"/>
      <c r="AE1286" s="117"/>
      <c r="AF1286" s="117"/>
      <c r="AG1286" s="117"/>
      <c r="AH1286" s="117"/>
      <c r="AI1286" s="117"/>
      <c r="AJ1286" s="117"/>
      <c r="AK1286" s="117"/>
      <c r="AL1286" s="117"/>
      <c r="AM1286" s="117"/>
      <c r="AN1286" s="117"/>
      <c r="AO1286" s="117"/>
      <c r="AP1286" s="117"/>
      <c r="AQ1286" s="117"/>
      <c r="AR1286" s="117"/>
      <c r="AS1286" s="117"/>
      <c r="AT1286" s="117"/>
      <c r="AU1286" s="117"/>
      <c r="AV1286" s="117"/>
      <c r="AW1286" s="117"/>
      <c r="AX1286" s="117"/>
      <c r="AY1286" s="117"/>
      <c r="AZ1286" s="117"/>
      <c r="BA1286" s="117"/>
      <c r="BB1286" s="117"/>
      <c r="BC1286" s="117"/>
      <c r="BD1286" s="117"/>
      <c r="BE1286" s="117"/>
      <c r="BF1286" s="117"/>
      <c r="BG1286" s="117"/>
    </row>
    <row r="1287" spans="1:59">
      <c r="A1287" s="117"/>
      <c r="B1287" s="117"/>
      <c r="C1287" s="117"/>
      <c r="D1287" s="117"/>
      <c r="E1287" s="117"/>
      <c r="F1287" s="117"/>
      <c r="G1287" s="117"/>
      <c r="H1287" s="117"/>
      <c r="I1287" s="117"/>
      <c r="J1287" s="118"/>
      <c r="K1287" s="118"/>
      <c r="L1287" s="118"/>
      <c r="M1287" s="118"/>
      <c r="N1287" s="117"/>
      <c r="O1287" s="117"/>
      <c r="P1287" s="117"/>
      <c r="Q1287" s="117"/>
      <c r="R1287" s="117"/>
      <c r="S1287" s="117"/>
      <c r="T1287" s="117"/>
      <c r="U1287" s="117"/>
      <c r="V1287" s="117"/>
      <c r="W1287" s="117"/>
      <c r="X1287" s="117"/>
      <c r="Y1287" s="117"/>
      <c r="Z1287" s="117"/>
      <c r="AA1287" s="117"/>
      <c r="AB1287" s="117"/>
      <c r="AC1287" s="117"/>
      <c r="AD1287" s="117"/>
      <c r="AE1287" s="117"/>
      <c r="AF1287" s="117"/>
      <c r="AG1287" s="117"/>
      <c r="AH1287" s="117"/>
      <c r="AI1287" s="117"/>
      <c r="AJ1287" s="117"/>
      <c r="AK1287" s="117"/>
      <c r="AL1287" s="117"/>
      <c r="AM1287" s="117"/>
      <c r="AN1287" s="117"/>
      <c r="AO1287" s="117"/>
      <c r="AP1287" s="117"/>
      <c r="AQ1287" s="117"/>
      <c r="AR1287" s="117"/>
      <c r="AS1287" s="117"/>
      <c r="AT1287" s="117"/>
      <c r="AU1287" s="117"/>
      <c r="AV1287" s="117"/>
      <c r="AW1287" s="117"/>
      <c r="AX1287" s="117"/>
      <c r="AY1287" s="117"/>
      <c r="AZ1287" s="117"/>
      <c r="BA1287" s="117"/>
      <c r="BB1287" s="117"/>
      <c r="BC1287" s="117"/>
      <c r="BD1287" s="117"/>
      <c r="BE1287" s="117"/>
      <c r="BF1287" s="117"/>
      <c r="BG1287" s="117"/>
    </row>
    <row r="1288" spans="1:59">
      <c r="A1288" s="117"/>
      <c r="B1288" s="117"/>
      <c r="C1288" s="117"/>
      <c r="D1288" s="117"/>
      <c r="E1288" s="117"/>
      <c r="F1288" s="117"/>
      <c r="G1288" s="117"/>
      <c r="H1288" s="117"/>
      <c r="I1288" s="117"/>
      <c r="J1288" s="118"/>
      <c r="K1288" s="118"/>
      <c r="L1288" s="118"/>
      <c r="M1288" s="118"/>
      <c r="N1288" s="117"/>
      <c r="O1288" s="117"/>
      <c r="P1288" s="117"/>
      <c r="Q1288" s="117"/>
      <c r="R1288" s="117"/>
      <c r="S1288" s="117"/>
      <c r="T1288" s="117"/>
      <c r="U1288" s="117"/>
      <c r="V1288" s="117"/>
      <c r="W1288" s="117"/>
      <c r="X1288" s="117"/>
      <c r="Y1288" s="117"/>
      <c r="Z1288" s="117"/>
      <c r="AA1288" s="117"/>
      <c r="AB1288" s="117"/>
      <c r="AC1288" s="117"/>
      <c r="AD1288" s="117"/>
      <c r="AE1288" s="117"/>
      <c r="AF1288" s="117"/>
      <c r="AG1288" s="117"/>
      <c r="AH1288" s="117"/>
      <c r="AI1288" s="117"/>
      <c r="AJ1288" s="117"/>
      <c r="AK1288" s="117"/>
      <c r="AL1288" s="117"/>
      <c r="AM1288" s="117"/>
      <c r="AN1288" s="117"/>
      <c r="AO1288" s="117"/>
      <c r="AP1288" s="117"/>
      <c r="AQ1288" s="117"/>
      <c r="AR1288" s="117"/>
      <c r="AS1288" s="117"/>
      <c r="AT1288" s="117"/>
      <c r="AU1288" s="117"/>
      <c r="AV1288" s="117"/>
      <c r="AW1288" s="117"/>
      <c r="AX1288" s="117"/>
      <c r="AY1288" s="117"/>
      <c r="AZ1288" s="117"/>
      <c r="BA1288" s="117"/>
      <c r="BB1288" s="117"/>
      <c r="BC1288" s="117"/>
      <c r="BD1288" s="117"/>
      <c r="BE1288" s="117"/>
      <c r="BF1288" s="117"/>
      <c r="BG1288" s="117"/>
    </row>
    <row r="1289" spans="1:59">
      <c r="A1289" s="117"/>
      <c r="B1289" s="117"/>
      <c r="C1289" s="117"/>
      <c r="D1289" s="117"/>
      <c r="E1289" s="117"/>
      <c r="F1289" s="117"/>
      <c r="G1289" s="117"/>
      <c r="H1289" s="117"/>
      <c r="I1289" s="117"/>
      <c r="J1289" s="118"/>
      <c r="K1289" s="118"/>
      <c r="L1289" s="118"/>
      <c r="M1289" s="118"/>
      <c r="N1289" s="117"/>
      <c r="O1289" s="117"/>
      <c r="P1289" s="117"/>
      <c r="Q1289" s="117"/>
      <c r="R1289" s="117"/>
      <c r="S1289" s="117"/>
      <c r="T1289" s="117"/>
      <c r="U1289" s="117"/>
      <c r="V1289" s="117"/>
      <c r="W1289" s="117"/>
      <c r="X1289" s="117"/>
      <c r="Y1289" s="117"/>
      <c r="Z1289" s="117"/>
      <c r="AA1289" s="117"/>
      <c r="AB1289" s="117"/>
      <c r="AC1289" s="117"/>
      <c r="AD1289" s="117"/>
      <c r="AE1289" s="117"/>
      <c r="AF1289" s="117"/>
      <c r="AG1289" s="117"/>
      <c r="AH1289" s="117"/>
      <c r="AI1289" s="117"/>
      <c r="AJ1289" s="117"/>
      <c r="AK1289" s="117"/>
      <c r="AL1289" s="117"/>
      <c r="AM1289" s="117"/>
      <c r="AN1289" s="117"/>
      <c r="AO1289" s="117"/>
      <c r="AP1289" s="117"/>
      <c r="AQ1289" s="117"/>
      <c r="AR1289" s="117"/>
      <c r="AS1289" s="117"/>
      <c r="AT1289" s="117"/>
      <c r="AU1289" s="117"/>
      <c r="AV1289" s="117"/>
      <c r="AW1289" s="117"/>
      <c r="AX1289" s="117"/>
      <c r="AY1289" s="117"/>
      <c r="AZ1289" s="117"/>
      <c r="BA1289" s="117"/>
      <c r="BB1289" s="117"/>
      <c r="BC1289" s="117"/>
      <c r="BD1289" s="117"/>
      <c r="BE1289" s="117"/>
      <c r="BF1289" s="117"/>
      <c r="BG1289" s="117"/>
    </row>
    <row r="1290" spans="1:59">
      <c r="A1290" s="117"/>
      <c r="B1290" s="117"/>
      <c r="C1290" s="117"/>
      <c r="D1290" s="117"/>
      <c r="E1290" s="117"/>
      <c r="F1290" s="117"/>
      <c r="G1290" s="117"/>
      <c r="H1290" s="117"/>
      <c r="I1290" s="117"/>
      <c r="J1290" s="118"/>
      <c r="K1290" s="118"/>
      <c r="L1290" s="118"/>
      <c r="M1290" s="118"/>
      <c r="N1290" s="117"/>
      <c r="O1290" s="117"/>
      <c r="P1290" s="117"/>
      <c r="Q1290" s="117"/>
      <c r="R1290" s="117"/>
      <c r="S1290" s="117"/>
      <c r="T1290" s="117"/>
      <c r="U1290" s="117"/>
      <c r="V1290" s="117"/>
      <c r="W1290" s="117"/>
      <c r="X1290" s="117"/>
      <c r="Y1290" s="117"/>
      <c r="Z1290" s="117"/>
      <c r="AA1290" s="117"/>
      <c r="AB1290" s="117"/>
      <c r="AC1290" s="117"/>
      <c r="AD1290" s="117"/>
      <c r="AE1290" s="117"/>
      <c r="AF1290" s="117"/>
      <c r="AG1290" s="117"/>
      <c r="AH1290" s="117"/>
      <c r="AI1290" s="117"/>
      <c r="AJ1290" s="117"/>
      <c r="AK1290" s="117"/>
      <c r="AL1290" s="117"/>
      <c r="AM1290" s="117"/>
      <c r="AN1290" s="117"/>
      <c r="AO1290" s="117"/>
      <c r="AP1290" s="117"/>
      <c r="AQ1290" s="117"/>
      <c r="AR1290" s="117"/>
      <c r="AS1290" s="117"/>
      <c r="AT1290" s="117"/>
      <c r="AU1290" s="117"/>
      <c r="AV1290" s="117"/>
      <c r="AW1290" s="117"/>
      <c r="AX1290" s="117"/>
      <c r="AY1290" s="117"/>
      <c r="AZ1290" s="117"/>
      <c r="BA1290" s="117"/>
      <c r="BB1290" s="117"/>
      <c r="BC1290" s="117"/>
      <c r="BD1290" s="117"/>
      <c r="BE1290" s="117"/>
      <c r="BF1290" s="117"/>
      <c r="BG1290" s="117"/>
    </row>
    <row r="1291" spans="1:59">
      <c r="A1291" s="117"/>
      <c r="B1291" s="117"/>
      <c r="C1291" s="117"/>
      <c r="D1291" s="117"/>
      <c r="E1291" s="117"/>
      <c r="F1291" s="117"/>
      <c r="G1291" s="117"/>
      <c r="H1291" s="117"/>
      <c r="I1291" s="117"/>
      <c r="J1291" s="118"/>
      <c r="K1291" s="118"/>
      <c r="L1291" s="118"/>
      <c r="M1291" s="118"/>
      <c r="N1291" s="117"/>
      <c r="O1291" s="117"/>
      <c r="P1291" s="117"/>
      <c r="Q1291" s="117"/>
      <c r="R1291" s="117"/>
      <c r="S1291" s="117"/>
      <c r="T1291" s="117"/>
      <c r="U1291" s="117"/>
      <c r="V1291" s="117"/>
      <c r="W1291" s="117"/>
      <c r="X1291" s="117"/>
      <c r="Y1291" s="117"/>
      <c r="Z1291" s="117"/>
      <c r="AA1291" s="117"/>
      <c r="AB1291" s="117"/>
      <c r="AC1291" s="117"/>
      <c r="AD1291" s="117"/>
      <c r="AE1291" s="117"/>
      <c r="AF1291" s="117"/>
      <c r="AG1291" s="117"/>
      <c r="AH1291" s="117"/>
      <c r="AI1291" s="117"/>
      <c r="AJ1291" s="117"/>
      <c r="AK1291" s="117"/>
      <c r="AL1291" s="117"/>
      <c r="AM1291" s="117"/>
      <c r="AN1291" s="117"/>
      <c r="AO1291" s="117"/>
      <c r="AP1291" s="117"/>
      <c r="AQ1291" s="117"/>
      <c r="AR1291" s="117"/>
      <c r="AS1291" s="117"/>
      <c r="AT1291" s="117"/>
      <c r="AU1291" s="117"/>
      <c r="AV1291" s="117"/>
      <c r="AW1291" s="117"/>
      <c r="AX1291" s="117"/>
      <c r="AY1291" s="117"/>
      <c r="AZ1291" s="117"/>
      <c r="BA1291" s="117"/>
      <c r="BB1291" s="117"/>
      <c r="BC1291" s="117"/>
      <c r="BD1291" s="117"/>
      <c r="BE1291" s="117"/>
      <c r="BF1291" s="117"/>
      <c r="BG1291" s="117"/>
    </row>
    <row r="1292" spans="1:59">
      <c r="A1292" s="117"/>
      <c r="B1292" s="117"/>
      <c r="C1292" s="117"/>
      <c r="D1292" s="117"/>
      <c r="E1292" s="117"/>
      <c r="F1292" s="117"/>
      <c r="G1292" s="117"/>
      <c r="H1292" s="117"/>
      <c r="I1292" s="117"/>
      <c r="J1292" s="118"/>
      <c r="K1292" s="118"/>
      <c r="L1292" s="118"/>
      <c r="M1292" s="118"/>
      <c r="N1292" s="117"/>
      <c r="O1292" s="117"/>
      <c r="P1292" s="117"/>
      <c r="Q1292" s="117"/>
      <c r="R1292" s="117"/>
      <c r="S1292" s="117"/>
      <c r="T1292" s="117"/>
      <c r="U1292" s="117"/>
      <c r="V1292" s="117"/>
      <c r="W1292" s="117"/>
      <c r="X1292" s="117"/>
      <c r="Y1292" s="117"/>
      <c r="Z1292" s="117"/>
      <c r="AA1292" s="117"/>
      <c r="AB1292" s="117"/>
      <c r="AC1292" s="117"/>
      <c r="AD1292" s="117"/>
      <c r="AE1292" s="117"/>
      <c r="AF1292" s="117"/>
      <c r="AG1292" s="117"/>
      <c r="AH1292" s="117"/>
      <c r="AI1292" s="117"/>
      <c r="AJ1292" s="117"/>
      <c r="AK1292" s="117"/>
      <c r="AL1292" s="117"/>
      <c r="AM1292" s="117"/>
      <c r="AN1292" s="117"/>
      <c r="AO1292" s="117"/>
      <c r="AP1292" s="117"/>
      <c r="AQ1292" s="117"/>
      <c r="AR1292" s="117"/>
      <c r="AS1292" s="117"/>
      <c r="AT1292" s="117"/>
      <c r="AU1292" s="117"/>
      <c r="AV1292" s="117"/>
      <c r="AW1292" s="117"/>
      <c r="AX1292" s="117"/>
      <c r="AY1292" s="117"/>
      <c r="AZ1292" s="117"/>
      <c r="BA1292" s="117"/>
      <c r="BB1292" s="117"/>
      <c r="BC1292" s="117"/>
      <c r="BD1292" s="117"/>
      <c r="BE1292" s="117"/>
      <c r="BF1292" s="117"/>
      <c r="BG1292" s="117"/>
    </row>
    <row r="1293" spans="1:59">
      <c r="A1293" s="117"/>
      <c r="B1293" s="117"/>
      <c r="C1293" s="117"/>
      <c r="D1293" s="117"/>
      <c r="E1293" s="117"/>
      <c r="F1293" s="117"/>
      <c r="G1293" s="117"/>
      <c r="H1293" s="117"/>
      <c r="I1293" s="117"/>
      <c r="J1293" s="118"/>
      <c r="K1293" s="118"/>
      <c r="L1293" s="118"/>
      <c r="M1293" s="118"/>
      <c r="N1293" s="117"/>
      <c r="O1293" s="117"/>
      <c r="P1293" s="117"/>
      <c r="Q1293" s="117"/>
      <c r="R1293" s="117"/>
      <c r="S1293" s="117"/>
      <c r="T1293" s="117"/>
      <c r="U1293" s="117"/>
      <c r="V1293" s="117"/>
      <c r="W1293" s="117"/>
      <c r="X1293" s="117"/>
      <c r="Y1293" s="117"/>
      <c r="Z1293" s="117"/>
      <c r="AA1293" s="117"/>
      <c r="AB1293" s="117"/>
      <c r="AC1293" s="117"/>
      <c r="AD1293" s="117"/>
      <c r="AE1293" s="117"/>
      <c r="AF1293" s="117"/>
      <c r="AG1293" s="117"/>
      <c r="AH1293" s="117"/>
      <c r="AI1293" s="117"/>
      <c r="AJ1293" s="117"/>
      <c r="AK1293" s="117"/>
      <c r="AL1293" s="117"/>
      <c r="AM1293" s="117"/>
      <c r="AN1293" s="117"/>
      <c r="AO1293" s="117"/>
      <c r="AP1293" s="117"/>
      <c r="AQ1293" s="117"/>
      <c r="AR1293" s="117"/>
      <c r="AS1293" s="117"/>
      <c r="AT1293" s="117"/>
      <c r="AU1293" s="117"/>
      <c r="AV1293" s="117"/>
      <c r="AW1293" s="117"/>
      <c r="AX1293" s="117"/>
      <c r="AY1293" s="117"/>
      <c r="AZ1293" s="117"/>
      <c r="BA1293" s="117"/>
      <c r="BB1293" s="117"/>
      <c r="BC1293" s="117"/>
      <c r="BD1293" s="117"/>
      <c r="BE1293" s="117"/>
      <c r="BF1293" s="117"/>
      <c r="BG1293" s="117"/>
    </row>
    <row r="1294" spans="1:59">
      <c r="A1294" s="117"/>
      <c r="B1294" s="117"/>
      <c r="C1294" s="117"/>
      <c r="D1294" s="117"/>
      <c r="E1294" s="117"/>
      <c r="F1294" s="117"/>
      <c r="G1294" s="117"/>
      <c r="H1294" s="117"/>
      <c r="I1294" s="117"/>
      <c r="J1294" s="118"/>
      <c r="K1294" s="118"/>
      <c r="L1294" s="118"/>
      <c r="M1294" s="118"/>
      <c r="N1294" s="117"/>
      <c r="O1294" s="117"/>
      <c r="P1294" s="117"/>
      <c r="Q1294" s="117"/>
      <c r="R1294" s="117"/>
      <c r="S1294" s="117"/>
      <c r="T1294" s="117"/>
      <c r="U1294" s="117"/>
      <c r="V1294" s="117"/>
      <c r="W1294" s="117"/>
      <c r="X1294" s="117"/>
      <c r="Y1294" s="117"/>
      <c r="Z1294" s="117"/>
      <c r="AA1294" s="117"/>
      <c r="AB1294" s="117"/>
      <c r="AC1294" s="117"/>
      <c r="AD1294" s="117"/>
      <c r="AE1294" s="117"/>
      <c r="AF1294" s="117"/>
      <c r="AG1294" s="117"/>
      <c r="AH1294" s="117"/>
      <c r="AI1294" s="117"/>
      <c r="AJ1294" s="117"/>
      <c r="AK1294" s="117"/>
      <c r="AL1294" s="117"/>
      <c r="AM1294" s="117"/>
      <c r="AN1294" s="117"/>
      <c r="AO1294" s="117"/>
      <c r="AP1294" s="117"/>
      <c r="AQ1294" s="117"/>
      <c r="AR1294" s="117"/>
      <c r="AS1294" s="117"/>
      <c r="AT1294" s="117"/>
      <c r="AU1294" s="117"/>
      <c r="AV1294" s="117"/>
      <c r="AW1294" s="117"/>
      <c r="AX1294" s="117"/>
      <c r="AY1294" s="117"/>
      <c r="AZ1294" s="117"/>
      <c r="BA1294" s="117"/>
      <c r="BB1294" s="117"/>
      <c r="BC1294" s="117"/>
      <c r="BD1294" s="117"/>
      <c r="BE1294" s="117"/>
      <c r="BF1294" s="117"/>
      <c r="BG1294" s="117"/>
    </row>
    <row r="1295" spans="1:59">
      <c r="A1295" s="117"/>
      <c r="B1295" s="117"/>
      <c r="C1295" s="117"/>
      <c r="D1295" s="117"/>
      <c r="E1295" s="117"/>
      <c r="F1295" s="117"/>
      <c r="G1295" s="117"/>
      <c r="H1295" s="117"/>
      <c r="I1295" s="117"/>
      <c r="J1295" s="118"/>
      <c r="K1295" s="118"/>
      <c r="L1295" s="118"/>
      <c r="M1295" s="118"/>
      <c r="N1295" s="117"/>
      <c r="O1295" s="117"/>
      <c r="P1295" s="117"/>
      <c r="Q1295" s="117"/>
      <c r="R1295" s="117"/>
      <c r="S1295" s="117"/>
      <c r="T1295" s="117"/>
      <c r="U1295" s="117"/>
      <c r="V1295" s="117"/>
      <c r="W1295" s="117"/>
      <c r="X1295" s="117"/>
      <c r="Y1295" s="117"/>
      <c r="Z1295" s="117"/>
      <c r="AA1295" s="117"/>
      <c r="AB1295" s="117"/>
      <c r="AC1295" s="117"/>
      <c r="AD1295" s="117"/>
      <c r="AE1295" s="117"/>
      <c r="AF1295" s="117"/>
      <c r="AG1295" s="117"/>
      <c r="AH1295" s="117"/>
      <c r="AI1295" s="117"/>
      <c r="AJ1295" s="117"/>
      <c r="AK1295" s="117"/>
      <c r="AL1295" s="117"/>
      <c r="AM1295" s="117"/>
      <c r="AN1295" s="117"/>
      <c r="AO1295" s="117"/>
      <c r="AP1295" s="117"/>
      <c r="AQ1295" s="117"/>
      <c r="AR1295" s="117"/>
      <c r="AS1295" s="117"/>
      <c r="AT1295" s="117"/>
      <c r="AU1295" s="117"/>
      <c r="AV1295" s="117"/>
      <c r="AW1295" s="117"/>
      <c r="AX1295" s="117"/>
      <c r="AY1295" s="117"/>
      <c r="AZ1295" s="117"/>
      <c r="BA1295" s="117"/>
      <c r="BB1295" s="117"/>
      <c r="BC1295" s="117"/>
      <c r="BD1295" s="117"/>
      <c r="BE1295" s="117"/>
      <c r="BF1295" s="117"/>
      <c r="BG1295" s="117"/>
    </row>
    <row r="1296" spans="1:59">
      <c r="A1296" s="117"/>
      <c r="B1296" s="117"/>
      <c r="C1296" s="117"/>
      <c r="D1296" s="117"/>
      <c r="E1296" s="117"/>
      <c r="F1296" s="117"/>
      <c r="G1296" s="117"/>
      <c r="H1296" s="117"/>
      <c r="I1296" s="117"/>
      <c r="J1296" s="118"/>
      <c r="K1296" s="118"/>
      <c r="L1296" s="118"/>
      <c r="M1296" s="118"/>
      <c r="N1296" s="117"/>
      <c r="O1296" s="117"/>
      <c r="P1296" s="117"/>
      <c r="Q1296" s="117"/>
      <c r="R1296" s="117"/>
      <c r="S1296" s="117"/>
      <c r="T1296" s="117"/>
      <c r="U1296" s="117"/>
      <c r="V1296" s="117"/>
      <c r="W1296" s="117"/>
      <c r="X1296" s="117"/>
      <c r="Y1296" s="117"/>
      <c r="Z1296" s="117"/>
      <c r="AA1296" s="117"/>
      <c r="AB1296" s="117"/>
      <c r="AC1296" s="117"/>
      <c r="AD1296" s="117"/>
      <c r="AE1296" s="117"/>
      <c r="AF1296" s="117"/>
      <c r="AG1296" s="117"/>
      <c r="AH1296" s="117"/>
      <c r="AI1296" s="117"/>
      <c r="AJ1296" s="117"/>
      <c r="AK1296" s="117"/>
      <c r="AL1296" s="117"/>
      <c r="AM1296" s="117"/>
      <c r="AN1296" s="117"/>
      <c r="AO1296" s="117"/>
      <c r="AP1296" s="117"/>
      <c r="AQ1296" s="117"/>
      <c r="AR1296" s="117"/>
      <c r="AS1296" s="117"/>
      <c r="AT1296" s="117"/>
      <c r="AU1296" s="117"/>
      <c r="AV1296" s="117"/>
      <c r="AW1296" s="117"/>
      <c r="AX1296" s="117"/>
      <c r="AY1296" s="117"/>
      <c r="AZ1296" s="117"/>
      <c r="BA1296" s="117"/>
      <c r="BB1296" s="117"/>
      <c r="BC1296" s="117"/>
      <c r="BD1296" s="117"/>
      <c r="BE1296" s="117"/>
      <c r="BF1296" s="117"/>
      <c r="BG1296" s="117"/>
    </row>
    <row r="1297" spans="1:59">
      <c r="A1297" s="117"/>
      <c r="B1297" s="117"/>
      <c r="C1297" s="117"/>
      <c r="D1297" s="117"/>
      <c r="E1297" s="117"/>
      <c r="F1297" s="117"/>
      <c r="G1297" s="117"/>
      <c r="H1297" s="117"/>
      <c r="I1297" s="117"/>
      <c r="J1297" s="118"/>
      <c r="K1297" s="118"/>
      <c r="L1297" s="118"/>
      <c r="M1297" s="118"/>
      <c r="N1297" s="117"/>
      <c r="O1297" s="117"/>
      <c r="P1297" s="117"/>
      <c r="Q1297" s="117"/>
      <c r="R1297" s="117"/>
      <c r="S1297" s="117"/>
      <c r="T1297" s="117"/>
      <c r="U1297" s="117"/>
      <c r="V1297" s="117"/>
      <c r="W1297" s="117"/>
      <c r="X1297" s="117"/>
      <c r="Y1297" s="117"/>
      <c r="Z1297" s="117"/>
      <c r="AA1297" s="117"/>
      <c r="AB1297" s="117"/>
      <c r="AC1297" s="117"/>
      <c r="AD1297" s="117"/>
      <c r="AE1297" s="117"/>
      <c r="AF1297" s="117"/>
      <c r="AG1297" s="117"/>
      <c r="AH1297" s="117"/>
      <c r="AI1297" s="117"/>
      <c r="AJ1297" s="117"/>
      <c r="AK1297" s="117"/>
      <c r="AL1297" s="117"/>
      <c r="AM1297" s="117"/>
      <c r="AN1297" s="117"/>
      <c r="AO1297" s="117"/>
      <c r="AP1297" s="117"/>
      <c r="AQ1297" s="117"/>
      <c r="AR1297" s="117"/>
      <c r="AS1297" s="117"/>
      <c r="AT1297" s="117"/>
      <c r="AU1297" s="117"/>
      <c r="AV1297" s="117"/>
      <c r="AW1297" s="117"/>
      <c r="AX1297" s="117"/>
      <c r="AY1297" s="117"/>
      <c r="AZ1297" s="117"/>
      <c r="BA1297" s="117"/>
      <c r="BB1297" s="117"/>
      <c r="BC1297" s="117"/>
      <c r="BD1297" s="117"/>
      <c r="BE1297" s="117"/>
      <c r="BF1297" s="117"/>
      <c r="BG1297" s="117"/>
    </row>
    <row r="1298" spans="1:59">
      <c r="A1298" s="117"/>
      <c r="B1298" s="117"/>
      <c r="C1298" s="117"/>
      <c r="D1298" s="117"/>
      <c r="E1298" s="117"/>
      <c r="F1298" s="117"/>
      <c r="G1298" s="117"/>
      <c r="H1298" s="117"/>
      <c r="I1298" s="117"/>
      <c r="J1298" s="118"/>
      <c r="K1298" s="118"/>
      <c r="L1298" s="118"/>
      <c r="M1298" s="118"/>
      <c r="N1298" s="117"/>
      <c r="O1298" s="117"/>
      <c r="P1298" s="117"/>
      <c r="Q1298" s="117"/>
      <c r="R1298" s="117"/>
      <c r="S1298" s="117"/>
      <c r="T1298" s="117"/>
      <c r="U1298" s="117"/>
      <c r="V1298" s="117"/>
      <c r="W1298" s="117"/>
      <c r="X1298" s="117"/>
      <c r="Y1298" s="117"/>
      <c r="Z1298" s="117"/>
      <c r="AA1298" s="117"/>
      <c r="AB1298" s="117"/>
      <c r="AC1298" s="117"/>
      <c r="AD1298" s="117"/>
      <c r="AE1298" s="117"/>
      <c r="AF1298" s="117"/>
      <c r="AG1298" s="117"/>
      <c r="AH1298" s="117"/>
      <c r="AI1298" s="117"/>
      <c r="AJ1298" s="117"/>
      <c r="AK1298" s="117"/>
      <c r="AL1298" s="117"/>
      <c r="AM1298" s="117"/>
      <c r="AN1298" s="117"/>
      <c r="AO1298" s="117"/>
      <c r="AP1298" s="117"/>
      <c r="AQ1298" s="117"/>
      <c r="AR1298" s="117"/>
      <c r="AS1298" s="117"/>
      <c r="AT1298" s="117"/>
      <c r="AU1298" s="117"/>
      <c r="AV1298" s="117"/>
      <c r="AW1298" s="117"/>
      <c r="AX1298" s="117"/>
      <c r="AY1298" s="117"/>
      <c r="AZ1298" s="117"/>
      <c r="BA1298" s="117"/>
      <c r="BB1298" s="117"/>
      <c r="BC1298" s="117"/>
      <c r="BD1298" s="117"/>
      <c r="BE1298" s="117"/>
      <c r="BF1298" s="117"/>
      <c r="BG1298" s="117"/>
    </row>
    <row r="1299" spans="1:59">
      <c r="A1299" s="117"/>
      <c r="B1299" s="117"/>
      <c r="C1299" s="117"/>
      <c r="D1299" s="117"/>
      <c r="E1299" s="117"/>
      <c r="F1299" s="117"/>
      <c r="G1299" s="117"/>
      <c r="H1299" s="117"/>
      <c r="I1299" s="117"/>
      <c r="J1299" s="118"/>
      <c r="K1299" s="118"/>
      <c r="L1299" s="118"/>
      <c r="M1299" s="118"/>
      <c r="N1299" s="117"/>
      <c r="O1299" s="117"/>
      <c r="P1299" s="117"/>
      <c r="Q1299" s="117"/>
      <c r="R1299" s="117"/>
      <c r="S1299" s="117"/>
      <c r="T1299" s="117"/>
      <c r="U1299" s="117"/>
      <c r="V1299" s="117"/>
      <c r="W1299" s="117"/>
      <c r="X1299" s="117"/>
      <c r="Y1299" s="117"/>
      <c r="Z1299" s="117"/>
      <c r="AA1299" s="117"/>
      <c r="AB1299" s="117"/>
      <c r="AC1299" s="117"/>
      <c r="AD1299" s="117"/>
      <c r="AE1299" s="117"/>
      <c r="AF1299" s="117"/>
      <c r="AG1299" s="117"/>
      <c r="AH1299" s="117"/>
      <c r="AI1299" s="117"/>
      <c r="AJ1299" s="117"/>
      <c r="AK1299" s="117"/>
      <c r="AL1299" s="117"/>
      <c r="AM1299" s="117"/>
      <c r="AN1299" s="117"/>
      <c r="AO1299" s="117"/>
      <c r="AP1299" s="117"/>
      <c r="AQ1299" s="117"/>
      <c r="AR1299" s="117"/>
      <c r="AS1299" s="117"/>
      <c r="AT1299" s="117"/>
      <c r="AU1299" s="117"/>
      <c r="AV1299" s="117"/>
      <c r="AW1299" s="117"/>
      <c r="AX1299" s="117"/>
      <c r="AY1299" s="117"/>
      <c r="AZ1299" s="117"/>
      <c r="BA1299" s="117"/>
      <c r="BB1299" s="117"/>
      <c r="BC1299" s="117"/>
      <c r="BD1299" s="117"/>
      <c r="BE1299" s="117"/>
      <c r="BF1299" s="117"/>
      <c r="BG1299" s="117"/>
    </row>
    <row r="1300" spans="1:59">
      <c r="A1300" s="117"/>
      <c r="B1300" s="117"/>
      <c r="C1300" s="117"/>
      <c r="D1300" s="117"/>
      <c r="E1300" s="117"/>
      <c r="F1300" s="117"/>
      <c r="G1300" s="117"/>
      <c r="H1300" s="117"/>
      <c r="I1300" s="117"/>
      <c r="J1300" s="118"/>
      <c r="K1300" s="118"/>
      <c r="L1300" s="118"/>
      <c r="M1300" s="118"/>
      <c r="N1300" s="117"/>
      <c r="O1300" s="117"/>
      <c r="P1300" s="117"/>
      <c r="Q1300" s="117"/>
      <c r="R1300" s="117"/>
      <c r="S1300" s="117"/>
      <c r="T1300" s="117"/>
      <c r="U1300" s="117"/>
      <c r="V1300" s="117"/>
      <c r="W1300" s="117"/>
      <c r="X1300" s="117"/>
      <c r="Y1300" s="117"/>
      <c r="Z1300" s="117"/>
      <c r="AA1300" s="117"/>
      <c r="AB1300" s="117"/>
      <c r="AC1300" s="117"/>
      <c r="AD1300" s="117"/>
      <c r="AE1300" s="117"/>
      <c r="AF1300" s="117"/>
      <c r="AG1300" s="117"/>
      <c r="AH1300" s="117"/>
      <c r="AI1300" s="117"/>
      <c r="AJ1300" s="117"/>
      <c r="AK1300" s="117"/>
      <c r="AL1300" s="117"/>
      <c r="AM1300" s="117"/>
      <c r="AN1300" s="117"/>
      <c r="AO1300" s="117"/>
      <c r="AP1300" s="117"/>
      <c r="AQ1300" s="117"/>
      <c r="AR1300" s="117"/>
      <c r="AS1300" s="117"/>
      <c r="AT1300" s="117"/>
      <c r="AU1300" s="117"/>
      <c r="AV1300" s="117"/>
      <c r="AW1300" s="117"/>
      <c r="AX1300" s="117"/>
      <c r="AY1300" s="117"/>
      <c r="AZ1300" s="117"/>
      <c r="BA1300" s="117"/>
      <c r="BB1300" s="117"/>
      <c r="BC1300" s="117"/>
      <c r="BD1300" s="117"/>
      <c r="BE1300" s="117"/>
      <c r="BF1300" s="117"/>
      <c r="BG1300" s="117"/>
    </row>
    <row r="1301" spans="1:59">
      <c r="A1301" s="117"/>
      <c r="B1301" s="117"/>
      <c r="C1301" s="117"/>
      <c r="D1301" s="117"/>
      <c r="E1301" s="117"/>
      <c r="F1301" s="117"/>
      <c r="G1301" s="117"/>
      <c r="H1301" s="117"/>
      <c r="I1301" s="117"/>
      <c r="J1301" s="118"/>
      <c r="K1301" s="118"/>
      <c r="L1301" s="118"/>
      <c r="M1301" s="118"/>
      <c r="N1301" s="117"/>
      <c r="O1301" s="117"/>
      <c r="P1301" s="117"/>
      <c r="Q1301" s="117"/>
      <c r="R1301" s="117"/>
      <c r="S1301" s="117"/>
      <c r="T1301" s="117"/>
      <c r="U1301" s="117"/>
      <c r="V1301" s="117"/>
      <c r="W1301" s="117"/>
      <c r="X1301" s="117"/>
      <c r="Y1301" s="117"/>
      <c r="Z1301" s="117"/>
      <c r="AA1301" s="117"/>
      <c r="AB1301" s="117"/>
      <c r="AC1301" s="117"/>
      <c r="AD1301" s="117"/>
      <c r="AE1301" s="117"/>
      <c r="AF1301" s="117"/>
      <c r="AG1301" s="117"/>
      <c r="AH1301" s="117"/>
      <c r="AI1301" s="117"/>
      <c r="AJ1301" s="117"/>
      <c r="AK1301" s="117"/>
      <c r="AL1301" s="117"/>
      <c r="AM1301" s="117"/>
      <c r="AN1301" s="117"/>
      <c r="AO1301" s="117"/>
      <c r="AP1301" s="117"/>
      <c r="AQ1301" s="117"/>
      <c r="AR1301" s="117"/>
      <c r="AS1301" s="117"/>
      <c r="AT1301" s="117"/>
      <c r="AU1301" s="117"/>
      <c r="AV1301" s="117"/>
      <c r="AW1301" s="117"/>
      <c r="AX1301" s="117"/>
      <c r="AY1301" s="117"/>
      <c r="AZ1301" s="117"/>
      <c r="BA1301" s="117"/>
      <c r="BB1301" s="117"/>
      <c r="BC1301" s="117"/>
      <c r="BD1301" s="117"/>
      <c r="BE1301" s="117"/>
      <c r="BF1301" s="117"/>
      <c r="BG1301" s="117"/>
    </row>
    <row r="1302" spans="1:59">
      <c r="A1302" s="117"/>
      <c r="B1302" s="117"/>
      <c r="C1302" s="117"/>
      <c r="D1302" s="117"/>
      <c r="E1302" s="117"/>
      <c r="F1302" s="117"/>
      <c r="G1302" s="117"/>
      <c r="H1302" s="117"/>
      <c r="I1302" s="117"/>
      <c r="J1302" s="118"/>
      <c r="K1302" s="118"/>
      <c r="L1302" s="118"/>
      <c r="M1302" s="118"/>
      <c r="N1302" s="117"/>
      <c r="O1302" s="117"/>
      <c r="P1302" s="117"/>
      <c r="Q1302" s="117"/>
      <c r="R1302" s="117"/>
      <c r="S1302" s="117"/>
      <c r="T1302" s="117"/>
      <c r="U1302" s="117"/>
      <c r="V1302" s="117"/>
      <c r="W1302" s="117"/>
      <c r="X1302" s="117"/>
      <c r="Y1302" s="117"/>
      <c r="Z1302" s="117"/>
      <c r="AA1302" s="117"/>
      <c r="AB1302" s="117"/>
      <c r="AC1302" s="117"/>
      <c r="AD1302" s="117"/>
      <c r="AE1302" s="117"/>
      <c r="AF1302" s="117"/>
      <c r="AG1302" s="117"/>
      <c r="AH1302" s="117"/>
      <c r="AI1302" s="117"/>
      <c r="AJ1302" s="117"/>
      <c r="AK1302" s="117"/>
      <c r="AL1302" s="117"/>
      <c r="AM1302" s="117"/>
      <c r="AN1302" s="117"/>
      <c r="AO1302" s="117"/>
      <c r="AP1302" s="117"/>
      <c r="AQ1302" s="117"/>
      <c r="AR1302" s="117"/>
      <c r="AS1302" s="117"/>
      <c r="AT1302" s="117"/>
      <c r="AU1302" s="117"/>
      <c r="AV1302" s="117"/>
      <c r="AW1302" s="117"/>
      <c r="AX1302" s="117"/>
      <c r="AY1302" s="117"/>
      <c r="AZ1302" s="117"/>
      <c r="BA1302" s="117"/>
      <c r="BB1302" s="117"/>
      <c r="BC1302" s="117"/>
      <c r="BD1302" s="117"/>
      <c r="BE1302" s="117"/>
      <c r="BF1302" s="117"/>
      <c r="BG1302" s="117"/>
    </row>
    <row r="1303" spans="1:59">
      <c r="A1303" s="117"/>
      <c r="B1303" s="117"/>
      <c r="C1303" s="117"/>
      <c r="D1303" s="117"/>
      <c r="E1303" s="117"/>
      <c r="F1303" s="117"/>
      <c r="G1303" s="117"/>
      <c r="H1303" s="117"/>
      <c r="I1303" s="117"/>
      <c r="J1303" s="118"/>
      <c r="K1303" s="118"/>
      <c r="L1303" s="118"/>
      <c r="M1303" s="118"/>
      <c r="N1303" s="117"/>
      <c r="O1303" s="117"/>
      <c r="P1303" s="117"/>
      <c r="Q1303" s="117"/>
      <c r="R1303" s="117"/>
      <c r="S1303" s="117"/>
      <c r="T1303" s="117"/>
      <c r="U1303" s="117"/>
      <c r="V1303" s="117"/>
      <c r="W1303" s="117"/>
      <c r="X1303" s="117"/>
      <c r="Y1303" s="117"/>
      <c r="Z1303" s="117"/>
      <c r="AA1303" s="117"/>
      <c r="AB1303" s="117"/>
      <c r="AC1303" s="117"/>
      <c r="AD1303" s="117"/>
      <c r="AE1303" s="117"/>
      <c r="AF1303" s="117"/>
      <c r="AG1303" s="117"/>
      <c r="AH1303" s="117"/>
      <c r="AI1303" s="117"/>
      <c r="AJ1303" s="117"/>
      <c r="AK1303" s="117"/>
      <c r="AL1303" s="117"/>
      <c r="AM1303" s="117"/>
      <c r="AN1303" s="117"/>
      <c r="AO1303" s="117"/>
      <c r="AP1303" s="117"/>
      <c r="AQ1303" s="117"/>
      <c r="AR1303" s="117"/>
      <c r="AS1303" s="117"/>
      <c r="AT1303" s="117"/>
      <c r="AU1303" s="117"/>
      <c r="AV1303" s="117"/>
      <c r="AW1303" s="117"/>
      <c r="AX1303" s="117"/>
      <c r="AY1303" s="117"/>
      <c r="AZ1303" s="117"/>
      <c r="BA1303" s="117"/>
      <c r="BB1303" s="117"/>
      <c r="BC1303" s="117"/>
      <c r="BD1303" s="117"/>
      <c r="BE1303" s="117"/>
      <c r="BF1303" s="117"/>
      <c r="BG1303" s="117"/>
    </row>
    <row r="1304" spans="1:59">
      <c r="A1304" s="117"/>
      <c r="B1304" s="117"/>
      <c r="C1304" s="117"/>
      <c r="D1304" s="117"/>
      <c r="E1304" s="117"/>
      <c r="F1304" s="117"/>
      <c r="G1304" s="117"/>
      <c r="H1304" s="117"/>
      <c r="I1304" s="117"/>
      <c r="J1304" s="118"/>
      <c r="K1304" s="118"/>
      <c r="L1304" s="118"/>
      <c r="M1304" s="118"/>
      <c r="N1304" s="117"/>
      <c r="O1304" s="117"/>
      <c r="P1304" s="117"/>
      <c r="Q1304" s="117"/>
      <c r="R1304" s="117"/>
      <c r="S1304" s="117"/>
      <c r="T1304" s="117"/>
      <c r="U1304" s="117"/>
      <c r="V1304" s="117"/>
      <c r="W1304" s="117"/>
      <c r="X1304" s="117"/>
      <c r="Y1304" s="117"/>
      <c r="Z1304" s="117"/>
      <c r="AA1304" s="117"/>
      <c r="AB1304" s="117"/>
      <c r="AC1304" s="117"/>
      <c r="AD1304" s="117"/>
      <c r="AE1304" s="117"/>
      <c r="AF1304" s="117"/>
      <c r="AG1304" s="117"/>
      <c r="AH1304" s="117"/>
      <c r="AI1304" s="117"/>
      <c r="AJ1304" s="117"/>
      <c r="AK1304" s="117"/>
      <c r="AL1304" s="117"/>
      <c r="AM1304" s="117"/>
      <c r="AN1304" s="117"/>
      <c r="AO1304" s="117"/>
      <c r="AP1304" s="117"/>
      <c r="AQ1304" s="117"/>
      <c r="AR1304" s="117"/>
      <c r="AS1304" s="117"/>
      <c r="AT1304" s="117"/>
      <c r="AU1304" s="117"/>
      <c r="AV1304" s="117"/>
      <c r="AW1304" s="117"/>
      <c r="AX1304" s="117"/>
      <c r="AY1304" s="117"/>
      <c r="AZ1304" s="117"/>
      <c r="BA1304" s="117"/>
      <c r="BB1304" s="117"/>
      <c r="BC1304" s="117"/>
      <c r="BD1304" s="117"/>
      <c r="BE1304" s="117"/>
      <c r="BF1304" s="117"/>
      <c r="BG1304" s="117"/>
    </row>
    <row r="1305" spans="1:59">
      <c r="A1305" s="117"/>
      <c r="B1305" s="117"/>
      <c r="C1305" s="117"/>
      <c r="D1305" s="117"/>
      <c r="E1305" s="117"/>
      <c r="F1305" s="117"/>
      <c r="G1305" s="117"/>
      <c r="H1305" s="117"/>
      <c r="I1305" s="117"/>
      <c r="J1305" s="118"/>
      <c r="K1305" s="118"/>
      <c r="L1305" s="118"/>
      <c r="M1305" s="118"/>
      <c r="N1305" s="117"/>
      <c r="O1305" s="117"/>
      <c r="P1305" s="117"/>
      <c r="Q1305" s="117"/>
      <c r="R1305" s="117"/>
      <c r="S1305" s="117"/>
      <c r="T1305" s="117"/>
      <c r="U1305" s="117"/>
      <c r="V1305" s="117"/>
      <c r="W1305" s="117"/>
      <c r="X1305" s="117"/>
      <c r="Y1305" s="117"/>
      <c r="Z1305" s="117"/>
      <c r="AA1305" s="117"/>
      <c r="AB1305" s="117"/>
      <c r="AC1305" s="117"/>
      <c r="AD1305" s="117"/>
      <c r="AE1305" s="117"/>
      <c r="AF1305" s="117"/>
      <c r="AG1305" s="117"/>
      <c r="AH1305" s="117"/>
      <c r="AI1305" s="117"/>
      <c r="AJ1305" s="117"/>
      <c r="AK1305" s="117"/>
      <c r="AL1305" s="117"/>
      <c r="AM1305" s="117"/>
      <c r="AN1305" s="117"/>
      <c r="AO1305" s="117"/>
      <c r="AP1305" s="117"/>
      <c r="AQ1305" s="117"/>
      <c r="AR1305" s="117"/>
      <c r="AS1305" s="117"/>
      <c r="AT1305" s="117"/>
      <c r="AU1305" s="117"/>
      <c r="AV1305" s="117"/>
      <c r="AW1305" s="117"/>
      <c r="AX1305" s="117"/>
      <c r="AY1305" s="117"/>
      <c r="AZ1305" s="117"/>
      <c r="BA1305" s="117"/>
      <c r="BB1305" s="117"/>
      <c r="BC1305" s="117"/>
      <c r="BD1305" s="117"/>
      <c r="BE1305" s="117"/>
      <c r="BF1305" s="117"/>
      <c r="BG1305" s="117"/>
    </row>
    <row r="1306" spans="1:59">
      <c r="A1306" s="117"/>
      <c r="B1306" s="117"/>
      <c r="C1306" s="117"/>
      <c r="D1306" s="117"/>
      <c r="E1306" s="117"/>
      <c r="F1306" s="117"/>
      <c r="G1306" s="117"/>
      <c r="H1306" s="117"/>
      <c r="I1306" s="117"/>
      <c r="J1306" s="118"/>
      <c r="K1306" s="118"/>
      <c r="L1306" s="118"/>
      <c r="M1306" s="118"/>
      <c r="N1306" s="117"/>
      <c r="O1306" s="117"/>
      <c r="P1306" s="117"/>
      <c r="Q1306" s="117"/>
      <c r="R1306" s="117"/>
      <c r="S1306" s="117"/>
      <c r="T1306" s="117"/>
      <c r="U1306" s="117"/>
      <c r="V1306" s="117"/>
      <c r="W1306" s="117"/>
      <c r="X1306" s="117"/>
      <c r="Y1306" s="117"/>
      <c r="Z1306" s="117"/>
      <c r="AA1306" s="117"/>
      <c r="AB1306" s="117"/>
      <c r="AC1306" s="117"/>
      <c r="AD1306" s="117"/>
      <c r="AE1306" s="117"/>
      <c r="AF1306" s="117"/>
      <c r="AG1306" s="117"/>
      <c r="AH1306" s="117"/>
      <c r="AI1306" s="117"/>
      <c r="AJ1306" s="117"/>
      <c r="AK1306" s="117"/>
      <c r="AL1306" s="117"/>
      <c r="AM1306" s="117"/>
      <c r="AN1306" s="117"/>
      <c r="AO1306" s="117"/>
      <c r="AP1306" s="117"/>
      <c r="AQ1306" s="117"/>
      <c r="AR1306" s="117"/>
      <c r="AS1306" s="117"/>
      <c r="AT1306" s="117"/>
      <c r="AU1306" s="117"/>
      <c r="AV1306" s="117"/>
      <c r="AW1306" s="117"/>
      <c r="AX1306" s="117"/>
      <c r="AY1306" s="117"/>
      <c r="AZ1306" s="117"/>
      <c r="BA1306" s="117"/>
      <c r="BB1306" s="117"/>
      <c r="BC1306" s="117"/>
      <c r="BD1306" s="117"/>
      <c r="BE1306" s="117"/>
      <c r="BF1306" s="117"/>
      <c r="BG1306" s="117"/>
    </row>
    <row r="1307" spans="1:59">
      <c r="A1307" s="117"/>
      <c r="B1307" s="117"/>
      <c r="C1307" s="117"/>
      <c r="D1307" s="117"/>
      <c r="E1307" s="117"/>
      <c r="F1307" s="117"/>
      <c r="G1307" s="117"/>
      <c r="H1307" s="117"/>
      <c r="I1307" s="117"/>
      <c r="J1307" s="118"/>
      <c r="K1307" s="118"/>
      <c r="L1307" s="118"/>
      <c r="M1307" s="118"/>
      <c r="N1307" s="117"/>
      <c r="O1307" s="117"/>
      <c r="P1307" s="117"/>
      <c r="Q1307" s="117"/>
      <c r="R1307" s="117"/>
      <c r="S1307" s="117"/>
      <c r="T1307" s="117"/>
      <c r="U1307" s="117"/>
      <c r="V1307" s="117"/>
      <c r="W1307" s="117"/>
      <c r="X1307" s="117"/>
      <c r="Y1307" s="117"/>
      <c r="Z1307" s="117"/>
      <c r="AA1307" s="117"/>
      <c r="AB1307" s="117"/>
      <c r="AC1307" s="117"/>
      <c r="AD1307" s="117"/>
      <c r="AE1307" s="117"/>
      <c r="AF1307" s="117"/>
      <c r="AG1307" s="117"/>
      <c r="AH1307" s="117"/>
      <c r="AI1307" s="117"/>
      <c r="AJ1307" s="117"/>
      <c r="AK1307" s="117"/>
      <c r="AL1307" s="117"/>
      <c r="AM1307" s="117"/>
      <c r="AN1307" s="117"/>
      <c r="AO1307" s="117"/>
      <c r="AP1307" s="117"/>
      <c r="AQ1307" s="117"/>
      <c r="AR1307" s="117"/>
      <c r="AS1307" s="117"/>
      <c r="AT1307" s="117"/>
      <c r="AU1307" s="117"/>
      <c r="AV1307" s="117"/>
      <c r="AW1307" s="117"/>
      <c r="AX1307" s="117"/>
      <c r="AY1307" s="117"/>
      <c r="AZ1307" s="117"/>
      <c r="BA1307" s="117"/>
      <c r="BB1307" s="117"/>
      <c r="BC1307" s="117"/>
      <c r="BD1307" s="117"/>
      <c r="BE1307" s="117"/>
      <c r="BF1307" s="117"/>
      <c r="BG1307" s="117"/>
    </row>
    <row r="1308" spans="1:59">
      <c r="A1308" s="117"/>
      <c r="B1308" s="117"/>
      <c r="C1308" s="117"/>
      <c r="D1308" s="117"/>
      <c r="E1308" s="117"/>
      <c r="F1308" s="117"/>
      <c r="G1308" s="117"/>
      <c r="H1308" s="117"/>
      <c r="I1308" s="117"/>
      <c r="J1308" s="118"/>
      <c r="K1308" s="118"/>
      <c r="L1308" s="118"/>
      <c r="M1308" s="118"/>
      <c r="N1308" s="117"/>
      <c r="O1308" s="117"/>
      <c r="P1308" s="117"/>
      <c r="Q1308" s="117"/>
      <c r="R1308" s="117"/>
      <c r="S1308" s="117"/>
      <c r="T1308" s="117"/>
      <c r="U1308" s="117"/>
      <c r="V1308" s="117"/>
      <c r="W1308" s="117"/>
      <c r="X1308" s="117"/>
      <c r="Y1308" s="117"/>
      <c r="Z1308" s="117"/>
      <c r="AA1308" s="117"/>
      <c r="AB1308" s="117"/>
      <c r="AC1308" s="117"/>
      <c r="AD1308" s="117"/>
      <c r="AE1308" s="117"/>
      <c r="AF1308" s="117"/>
      <c r="AG1308" s="117"/>
      <c r="AH1308" s="117"/>
      <c r="AI1308" s="117"/>
      <c r="AJ1308" s="117"/>
      <c r="AK1308" s="117"/>
      <c r="AL1308" s="117"/>
      <c r="AM1308" s="117"/>
      <c r="AN1308" s="117"/>
      <c r="AO1308" s="117"/>
      <c r="AP1308" s="117"/>
      <c r="AQ1308" s="117"/>
      <c r="AR1308" s="117"/>
      <c r="AS1308" s="117"/>
      <c r="AT1308" s="117"/>
      <c r="AU1308" s="117"/>
      <c r="AV1308" s="117"/>
      <c r="AW1308" s="117"/>
      <c r="AX1308" s="117"/>
      <c r="AY1308" s="117"/>
      <c r="AZ1308" s="117"/>
      <c r="BA1308" s="117"/>
      <c r="BB1308" s="117"/>
      <c r="BC1308" s="117"/>
      <c r="BD1308" s="117"/>
      <c r="BE1308" s="117"/>
      <c r="BF1308" s="117"/>
      <c r="BG1308" s="117"/>
    </row>
    <row r="1309" spans="1:59">
      <c r="A1309" s="117"/>
      <c r="B1309" s="117"/>
      <c r="C1309" s="117"/>
      <c r="D1309" s="117"/>
      <c r="E1309" s="117"/>
      <c r="F1309" s="117"/>
      <c r="G1309" s="117"/>
      <c r="H1309" s="117"/>
      <c r="I1309" s="117"/>
      <c r="J1309" s="118"/>
      <c r="K1309" s="118"/>
      <c r="L1309" s="118"/>
      <c r="M1309" s="118"/>
      <c r="N1309" s="117"/>
      <c r="O1309" s="117"/>
      <c r="P1309" s="117"/>
      <c r="Q1309" s="117"/>
      <c r="R1309" s="117"/>
      <c r="S1309" s="117"/>
      <c r="T1309" s="117"/>
      <c r="U1309" s="117"/>
      <c r="V1309" s="117"/>
      <c r="W1309" s="117"/>
      <c r="X1309" s="117"/>
      <c r="Y1309" s="117"/>
      <c r="Z1309" s="117"/>
      <c r="AA1309" s="117"/>
      <c r="AB1309" s="117"/>
      <c r="AC1309" s="117"/>
      <c r="AD1309" s="117"/>
      <c r="AE1309" s="117"/>
      <c r="AF1309" s="117"/>
      <c r="AG1309" s="117"/>
      <c r="AH1309" s="117"/>
      <c r="AI1309" s="117"/>
      <c r="AJ1309" s="117"/>
      <c r="AK1309" s="117"/>
      <c r="AL1309" s="117"/>
      <c r="AM1309" s="117"/>
      <c r="AN1309" s="117"/>
      <c r="AO1309" s="117"/>
      <c r="AP1309" s="117"/>
      <c r="AQ1309" s="117"/>
      <c r="AR1309" s="117"/>
      <c r="AS1309" s="117"/>
      <c r="AT1309" s="117"/>
      <c r="AU1309" s="117"/>
      <c r="AV1309" s="117"/>
      <c r="AW1309" s="117"/>
      <c r="AX1309" s="117"/>
      <c r="AY1309" s="117"/>
      <c r="AZ1309" s="117"/>
      <c r="BA1309" s="117"/>
      <c r="BB1309" s="117"/>
      <c r="BC1309" s="117"/>
      <c r="BD1309" s="117"/>
      <c r="BE1309" s="117"/>
      <c r="BF1309" s="117"/>
      <c r="BG1309" s="117"/>
    </row>
    <row r="1310" spans="1:59">
      <c r="A1310" s="117"/>
      <c r="B1310" s="117"/>
      <c r="C1310" s="117"/>
      <c r="D1310" s="117"/>
      <c r="E1310" s="117"/>
      <c r="F1310" s="117"/>
      <c r="G1310" s="117"/>
      <c r="H1310" s="117"/>
      <c r="I1310" s="117"/>
      <c r="J1310" s="118"/>
      <c r="K1310" s="118"/>
      <c r="L1310" s="118"/>
      <c r="M1310" s="118"/>
      <c r="N1310" s="117"/>
      <c r="O1310" s="117"/>
      <c r="P1310" s="117"/>
      <c r="Q1310" s="117"/>
      <c r="R1310" s="117"/>
      <c r="S1310" s="117"/>
      <c r="T1310" s="117"/>
      <c r="U1310" s="117"/>
      <c r="V1310" s="117"/>
      <c r="W1310" s="117"/>
      <c r="X1310" s="117"/>
      <c r="Y1310" s="117"/>
      <c r="Z1310" s="117"/>
      <c r="AA1310" s="117"/>
      <c r="AB1310" s="117"/>
      <c r="AC1310" s="117"/>
      <c r="AD1310" s="117"/>
      <c r="AE1310" s="117"/>
      <c r="AF1310" s="117"/>
      <c r="AG1310" s="117"/>
      <c r="AH1310" s="117"/>
      <c r="AI1310" s="117"/>
      <c r="AJ1310" s="117"/>
      <c r="AK1310" s="117"/>
      <c r="AL1310" s="117"/>
      <c r="AM1310" s="117"/>
      <c r="AN1310" s="117"/>
      <c r="AO1310" s="117"/>
      <c r="AP1310" s="117"/>
      <c r="AQ1310" s="117"/>
      <c r="AR1310" s="117"/>
      <c r="AS1310" s="117"/>
      <c r="AT1310" s="117"/>
      <c r="AU1310" s="117"/>
      <c r="AV1310" s="117"/>
      <c r="AW1310" s="117"/>
      <c r="AX1310" s="117"/>
      <c r="AY1310" s="117"/>
      <c r="AZ1310" s="117"/>
      <c r="BA1310" s="117"/>
      <c r="BB1310" s="117"/>
      <c r="BC1310" s="117"/>
      <c r="BD1310" s="117"/>
      <c r="BE1310" s="117"/>
      <c r="BF1310" s="117"/>
      <c r="BG1310" s="117"/>
    </row>
    <row r="1311" spans="1:59">
      <c r="A1311" s="117"/>
      <c r="B1311" s="117"/>
      <c r="C1311" s="117"/>
      <c r="D1311" s="117"/>
      <c r="E1311" s="117"/>
      <c r="F1311" s="117"/>
      <c r="G1311" s="117"/>
      <c r="H1311" s="117"/>
      <c r="I1311" s="117"/>
      <c r="J1311" s="118"/>
      <c r="K1311" s="118"/>
      <c r="L1311" s="118"/>
      <c r="M1311" s="118"/>
      <c r="N1311" s="117"/>
      <c r="O1311" s="117"/>
      <c r="P1311" s="117"/>
      <c r="Q1311" s="117"/>
      <c r="R1311" s="117"/>
      <c r="S1311" s="117"/>
      <c r="T1311" s="117"/>
      <c r="U1311" s="117"/>
      <c r="V1311" s="117"/>
      <c r="W1311" s="117"/>
      <c r="X1311" s="117"/>
      <c r="Y1311" s="117"/>
      <c r="Z1311" s="117"/>
      <c r="AA1311" s="117"/>
      <c r="AB1311" s="117"/>
      <c r="AC1311" s="117"/>
      <c r="AD1311" s="117"/>
      <c r="AE1311" s="117"/>
      <c r="AF1311" s="117"/>
      <c r="AG1311" s="117"/>
      <c r="AH1311" s="117"/>
      <c r="AI1311" s="117"/>
      <c r="AJ1311" s="117"/>
      <c r="AK1311" s="117"/>
      <c r="AL1311" s="117"/>
      <c r="AM1311" s="117"/>
      <c r="AN1311" s="117"/>
      <c r="AO1311" s="117"/>
      <c r="AP1311" s="117"/>
      <c r="AQ1311" s="117"/>
      <c r="AR1311" s="117"/>
      <c r="AS1311" s="117"/>
      <c r="AT1311" s="117"/>
      <c r="AU1311" s="117"/>
      <c r="AV1311" s="117"/>
      <c r="AW1311" s="117"/>
      <c r="AX1311" s="117"/>
      <c r="AY1311" s="117"/>
      <c r="AZ1311" s="117"/>
      <c r="BA1311" s="117"/>
      <c r="BB1311" s="117"/>
      <c r="BC1311" s="117"/>
      <c r="BD1311" s="117"/>
      <c r="BE1311" s="117"/>
      <c r="BF1311" s="117"/>
      <c r="BG1311" s="117"/>
    </row>
    <row r="1312" spans="1:59">
      <c r="A1312" s="117"/>
      <c r="B1312" s="117"/>
      <c r="C1312" s="117"/>
      <c r="D1312" s="117"/>
      <c r="E1312" s="117"/>
      <c r="F1312" s="117"/>
      <c r="G1312" s="117"/>
      <c r="H1312" s="117"/>
      <c r="I1312" s="117"/>
      <c r="J1312" s="118"/>
      <c r="K1312" s="118"/>
      <c r="L1312" s="118"/>
      <c r="M1312" s="118"/>
      <c r="N1312" s="117"/>
      <c r="O1312" s="117"/>
      <c r="P1312" s="117"/>
      <c r="Q1312" s="117"/>
      <c r="R1312" s="117"/>
      <c r="S1312" s="117"/>
      <c r="T1312" s="117"/>
      <c r="U1312" s="117"/>
      <c r="V1312" s="117"/>
      <c r="W1312" s="117"/>
      <c r="X1312" s="117"/>
      <c r="Y1312" s="117"/>
      <c r="Z1312" s="117"/>
      <c r="AA1312" s="117"/>
      <c r="AB1312" s="117"/>
      <c r="AC1312" s="117"/>
      <c r="AD1312" s="117"/>
      <c r="AE1312" s="117"/>
      <c r="AF1312" s="117"/>
      <c r="AG1312" s="117"/>
      <c r="AH1312" s="117"/>
      <c r="AI1312" s="117"/>
      <c r="AJ1312" s="117"/>
      <c r="AK1312" s="117"/>
      <c r="AL1312" s="117"/>
      <c r="AM1312" s="117"/>
      <c r="AN1312" s="117"/>
      <c r="AO1312" s="117"/>
      <c r="AP1312" s="117"/>
      <c r="AQ1312" s="117"/>
      <c r="AR1312" s="117"/>
      <c r="AS1312" s="117"/>
      <c r="AT1312" s="117"/>
      <c r="AU1312" s="117"/>
      <c r="AV1312" s="117"/>
      <c r="AW1312" s="117"/>
      <c r="AX1312" s="117"/>
      <c r="AY1312" s="117"/>
      <c r="AZ1312" s="117"/>
      <c r="BA1312" s="117"/>
      <c r="BB1312" s="117"/>
      <c r="BC1312" s="117"/>
      <c r="BD1312" s="117"/>
      <c r="BE1312" s="117"/>
      <c r="BF1312" s="117"/>
      <c r="BG1312" s="117"/>
    </row>
    <row r="1313" spans="1:59">
      <c r="A1313" s="117"/>
      <c r="B1313" s="117"/>
      <c r="C1313" s="117"/>
      <c r="D1313" s="117"/>
      <c r="E1313" s="117"/>
      <c r="F1313" s="117"/>
      <c r="G1313" s="117"/>
      <c r="H1313" s="117"/>
      <c r="I1313" s="117"/>
      <c r="J1313" s="118"/>
      <c r="K1313" s="118"/>
      <c r="L1313" s="118"/>
      <c r="M1313" s="118"/>
      <c r="N1313" s="117"/>
      <c r="O1313" s="117"/>
      <c r="P1313" s="117"/>
      <c r="Q1313" s="117"/>
      <c r="R1313" s="117"/>
      <c r="S1313" s="117"/>
      <c r="T1313" s="117"/>
      <c r="U1313" s="117"/>
      <c r="V1313" s="117"/>
      <c r="W1313" s="117"/>
      <c r="X1313" s="117"/>
      <c r="Y1313" s="117"/>
      <c r="Z1313" s="117"/>
      <c r="AA1313" s="117"/>
      <c r="AB1313" s="117"/>
      <c r="AC1313" s="117"/>
      <c r="AD1313" s="117"/>
      <c r="AE1313" s="117"/>
      <c r="AF1313" s="117"/>
      <c r="AG1313" s="117"/>
      <c r="AH1313" s="117"/>
      <c r="AI1313" s="117"/>
      <c r="AJ1313" s="117"/>
      <c r="AK1313" s="117"/>
      <c r="AL1313" s="117"/>
      <c r="AM1313" s="117"/>
      <c r="AN1313" s="117"/>
      <c r="AO1313" s="117"/>
      <c r="AP1313" s="117"/>
      <c r="AQ1313" s="117"/>
      <c r="AR1313" s="117"/>
      <c r="AS1313" s="117"/>
      <c r="AT1313" s="117"/>
      <c r="AU1313" s="117"/>
      <c r="AV1313" s="117"/>
      <c r="AW1313" s="117"/>
      <c r="AX1313" s="117"/>
      <c r="AY1313" s="117"/>
      <c r="AZ1313" s="117"/>
      <c r="BA1313" s="117"/>
      <c r="BB1313" s="117"/>
      <c r="BC1313" s="117"/>
      <c r="BD1313" s="117"/>
      <c r="BE1313" s="117"/>
      <c r="BF1313" s="117"/>
      <c r="BG1313" s="117"/>
    </row>
    <row r="1314" spans="1:59">
      <c r="A1314" s="117"/>
      <c r="B1314" s="117"/>
      <c r="C1314" s="117"/>
      <c r="D1314" s="117"/>
      <c r="E1314" s="117"/>
      <c r="F1314" s="117"/>
      <c r="G1314" s="117"/>
      <c r="H1314" s="117"/>
      <c r="I1314" s="117"/>
      <c r="J1314" s="118"/>
      <c r="K1314" s="118"/>
      <c r="L1314" s="118"/>
      <c r="M1314" s="118"/>
      <c r="N1314" s="117"/>
      <c r="O1314" s="117"/>
      <c r="P1314" s="117"/>
      <c r="Q1314" s="117"/>
      <c r="R1314" s="117"/>
      <c r="S1314" s="117"/>
      <c r="T1314" s="117"/>
      <c r="U1314" s="117"/>
      <c r="V1314" s="117"/>
      <c r="W1314" s="117"/>
      <c r="X1314" s="117"/>
      <c r="Y1314" s="117"/>
      <c r="Z1314" s="117"/>
      <c r="AA1314" s="117"/>
      <c r="AB1314" s="117"/>
      <c r="AC1314" s="117"/>
      <c r="AD1314" s="117"/>
      <c r="AE1314" s="117"/>
      <c r="AF1314" s="117"/>
      <c r="AG1314" s="117"/>
      <c r="AH1314" s="117"/>
      <c r="AI1314" s="117"/>
      <c r="AJ1314" s="117"/>
      <c r="AK1314" s="117"/>
      <c r="AL1314" s="117"/>
      <c r="AM1314" s="117"/>
      <c r="AN1314" s="117"/>
      <c r="AO1314" s="117"/>
      <c r="AP1314" s="117"/>
      <c r="AQ1314" s="117"/>
      <c r="AR1314" s="117"/>
      <c r="AS1314" s="117"/>
      <c r="AT1314" s="117"/>
      <c r="AU1314" s="117"/>
      <c r="AV1314" s="117"/>
      <c r="AW1314" s="117"/>
      <c r="AX1314" s="117"/>
      <c r="AY1314" s="117"/>
      <c r="AZ1314" s="117"/>
      <c r="BA1314" s="117"/>
      <c r="BB1314" s="117"/>
      <c r="BC1314" s="117"/>
      <c r="BD1314" s="117"/>
      <c r="BE1314" s="117"/>
      <c r="BF1314" s="117"/>
      <c r="BG1314" s="117"/>
    </row>
    <row r="1315" spans="1:59">
      <c r="A1315" s="117"/>
      <c r="B1315" s="117"/>
      <c r="C1315" s="117"/>
      <c r="D1315" s="117"/>
      <c r="E1315" s="117"/>
      <c r="F1315" s="117"/>
      <c r="G1315" s="117"/>
      <c r="H1315" s="117"/>
      <c r="I1315" s="117"/>
      <c r="J1315" s="118"/>
      <c r="K1315" s="118"/>
      <c r="L1315" s="118"/>
      <c r="M1315" s="118"/>
      <c r="N1315" s="117"/>
      <c r="O1315" s="117"/>
      <c r="P1315" s="117"/>
      <c r="Q1315" s="117"/>
      <c r="R1315" s="117"/>
      <c r="S1315" s="117"/>
      <c r="T1315" s="117"/>
      <c r="U1315" s="117"/>
      <c r="V1315" s="117"/>
      <c r="W1315" s="117"/>
      <c r="X1315" s="117"/>
      <c r="Y1315" s="117"/>
      <c r="Z1315" s="117"/>
      <c r="AA1315" s="117"/>
      <c r="AB1315" s="117"/>
      <c r="AC1315" s="117"/>
      <c r="AD1315" s="117"/>
      <c r="AE1315" s="117"/>
      <c r="AF1315" s="117"/>
      <c r="AG1315" s="117"/>
      <c r="AH1315" s="117"/>
      <c r="AI1315" s="117"/>
      <c r="AJ1315" s="117"/>
      <c r="AK1315" s="117"/>
      <c r="AL1315" s="117"/>
      <c r="AM1315" s="117"/>
      <c r="AN1315" s="117"/>
      <c r="AO1315" s="117"/>
      <c r="AP1315" s="117"/>
      <c r="AQ1315" s="117"/>
      <c r="AR1315" s="117"/>
      <c r="AS1315" s="117"/>
      <c r="AT1315" s="117"/>
      <c r="AU1315" s="117"/>
      <c r="AV1315" s="117"/>
      <c r="AW1315" s="117"/>
      <c r="AX1315" s="117"/>
      <c r="AY1315" s="117"/>
      <c r="AZ1315" s="117"/>
      <c r="BA1315" s="117"/>
      <c r="BB1315" s="117"/>
      <c r="BC1315" s="117"/>
      <c r="BD1315" s="117"/>
      <c r="BE1315" s="117"/>
      <c r="BF1315" s="117"/>
      <c r="BG1315" s="117"/>
    </row>
    <row r="1316" spans="1:59">
      <c r="A1316" s="117"/>
      <c r="B1316" s="117"/>
      <c r="C1316" s="117"/>
      <c r="D1316" s="117"/>
      <c r="E1316" s="117"/>
      <c r="F1316" s="117"/>
      <c r="G1316" s="117"/>
      <c r="H1316" s="117"/>
      <c r="I1316" s="117"/>
      <c r="J1316" s="118"/>
      <c r="K1316" s="118"/>
      <c r="L1316" s="118"/>
      <c r="M1316" s="118"/>
      <c r="N1316" s="117"/>
      <c r="O1316" s="117"/>
      <c r="P1316" s="117"/>
      <c r="Q1316" s="117"/>
      <c r="R1316" s="117"/>
      <c r="S1316" s="117"/>
      <c r="T1316" s="117"/>
      <c r="U1316" s="117"/>
      <c r="V1316" s="117"/>
      <c r="W1316" s="117"/>
      <c r="X1316" s="117"/>
      <c r="Y1316" s="117"/>
      <c r="Z1316" s="117"/>
      <c r="AA1316" s="117"/>
      <c r="AB1316" s="117"/>
      <c r="AC1316" s="117"/>
      <c r="AD1316" s="117"/>
      <c r="AE1316" s="117"/>
      <c r="AF1316" s="117"/>
      <c r="AG1316" s="117"/>
      <c r="AH1316" s="117"/>
      <c r="AI1316" s="117"/>
      <c r="AJ1316" s="117"/>
      <c r="AK1316" s="117"/>
      <c r="AL1316" s="117"/>
      <c r="AM1316" s="117"/>
      <c r="AN1316" s="117"/>
      <c r="AO1316" s="117"/>
      <c r="AP1316" s="117"/>
      <c r="AQ1316" s="117"/>
      <c r="AR1316" s="117"/>
      <c r="AS1316" s="117"/>
      <c r="AT1316" s="117"/>
      <c r="AU1316" s="117"/>
      <c r="AV1316" s="117"/>
      <c r="AW1316" s="117"/>
      <c r="AX1316" s="117"/>
      <c r="AY1316" s="117"/>
      <c r="AZ1316" s="117"/>
      <c r="BA1316" s="117"/>
      <c r="BB1316" s="117"/>
      <c r="BC1316" s="117"/>
      <c r="BD1316" s="117"/>
      <c r="BE1316" s="117"/>
      <c r="BF1316" s="117"/>
      <c r="BG1316" s="117"/>
    </row>
    <row r="1317" spans="1:59">
      <c r="A1317" s="117"/>
      <c r="B1317" s="117"/>
      <c r="C1317" s="117"/>
      <c r="D1317" s="117"/>
      <c r="E1317" s="117"/>
      <c r="F1317" s="117"/>
      <c r="G1317" s="117"/>
      <c r="H1317" s="117"/>
      <c r="I1317" s="117"/>
      <c r="J1317" s="118"/>
      <c r="K1317" s="118"/>
      <c r="L1317" s="118"/>
      <c r="M1317" s="118"/>
      <c r="N1317" s="117"/>
      <c r="O1317" s="117"/>
      <c r="P1317" s="117"/>
      <c r="Q1317" s="117"/>
      <c r="R1317" s="117"/>
      <c r="S1317" s="117"/>
      <c r="T1317" s="117"/>
      <c r="U1317" s="117"/>
      <c r="V1317" s="117"/>
      <c r="W1317" s="117"/>
      <c r="X1317" s="117"/>
      <c r="Y1317" s="117"/>
      <c r="Z1317" s="117"/>
      <c r="AA1317" s="117"/>
      <c r="AB1317" s="117"/>
      <c r="AC1317" s="117"/>
      <c r="AD1317" s="117"/>
      <c r="AE1317" s="117"/>
      <c r="AF1317" s="117"/>
      <c r="AG1317" s="117"/>
      <c r="AH1317" s="117"/>
      <c r="AI1317" s="117"/>
      <c r="AJ1317" s="117"/>
      <c r="AK1317" s="117"/>
      <c r="AL1317" s="117"/>
      <c r="AM1317" s="117"/>
      <c r="AN1317" s="117"/>
      <c r="AO1317" s="117"/>
      <c r="AP1317" s="117"/>
      <c r="AQ1317" s="117"/>
      <c r="AR1317" s="117"/>
      <c r="AS1317" s="117"/>
      <c r="AT1317" s="117"/>
      <c r="AU1317" s="117"/>
      <c r="AV1317" s="117"/>
      <c r="AW1317" s="117"/>
      <c r="AX1317" s="117"/>
      <c r="AY1317" s="117"/>
      <c r="AZ1317" s="117"/>
      <c r="BA1317" s="117"/>
      <c r="BB1317" s="117"/>
      <c r="BC1317" s="117"/>
      <c r="BD1317" s="117"/>
      <c r="BE1317" s="117"/>
      <c r="BF1317" s="117"/>
      <c r="BG1317" s="117"/>
    </row>
    <row r="1318" spans="1:59">
      <c r="A1318" s="117"/>
      <c r="B1318" s="117"/>
      <c r="C1318" s="117"/>
      <c r="D1318" s="117"/>
      <c r="E1318" s="117"/>
      <c r="F1318" s="117"/>
      <c r="G1318" s="117"/>
      <c r="H1318" s="117"/>
      <c r="I1318" s="117"/>
      <c r="J1318" s="118"/>
      <c r="K1318" s="118"/>
      <c r="L1318" s="118"/>
      <c r="M1318" s="118"/>
      <c r="N1318" s="117"/>
      <c r="O1318" s="117"/>
      <c r="P1318" s="117"/>
      <c r="Q1318" s="117"/>
      <c r="R1318" s="117"/>
      <c r="S1318" s="117"/>
      <c r="T1318" s="117"/>
      <c r="U1318" s="117"/>
      <c r="V1318" s="117"/>
      <c r="W1318" s="117"/>
      <c r="X1318" s="117"/>
      <c r="Y1318" s="117"/>
      <c r="Z1318" s="117"/>
      <c r="AA1318" s="117"/>
      <c r="AB1318" s="117"/>
      <c r="AC1318" s="117"/>
      <c r="AD1318" s="117"/>
      <c r="AE1318" s="117"/>
      <c r="AF1318" s="117"/>
      <c r="AG1318" s="117"/>
      <c r="AH1318" s="117"/>
      <c r="AI1318" s="117"/>
      <c r="AJ1318" s="117"/>
      <c r="AK1318" s="117"/>
      <c r="AL1318" s="117"/>
      <c r="AM1318" s="117"/>
      <c r="AN1318" s="117"/>
      <c r="AO1318" s="117"/>
      <c r="AP1318" s="117"/>
      <c r="AQ1318" s="117"/>
      <c r="AR1318" s="117"/>
      <c r="AS1318" s="117"/>
      <c r="AT1318" s="117"/>
      <c r="AU1318" s="117"/>
      <c r="AV1318" s="117"/>
      <c r="AW1318" s="117"/>
      <c r="AX1318" s="117"/>
      <c r="AY1318" s="117"/>
      <c r="AZ1318" s="117"/>
      <c r="BA1318" s="117"/>
      <c r="BB1318" s="117"/>
      <c r="BC1318" s="117"/>
      <c r="BD1318" s="117"/>
      <c r="BE1318" s="117"/>
      <c r="BF1318" s="117"/>
      <c r="BG1318" s="117"/>
    </row>
    <row r="1319" spans="1:59">
      <c r="A1319" s="117"/>
      <c r="B1319" s="117"/>
      <c r="C1319" s="117"/>
      <c r="D1319" s="117"/>
      <c r="E1319" s="117"/>
      <c r="F1319" s="117"/>
      <c r="G1319" s="117"/>
      <c r="H1319" s="117"/>
      <c r="I1319" s="117"/>
      <c r="J1319" s="118"/>
      <c r="K1319" s="118"/>
      <c r="L1319" s="118"/>
      <c r="M1319" s="118"/>
      <c r="N1319" s="117"/>
      <c r="O1319" s="117"/>
      <c r="P1319" s="117"/>
      <c r="Q1319" s="117"/>
      <c r="R1319" s="117"/>
      <c r="S1319" s="117"/>
      <c r="T1319" s="117"/>
      <c r="U1319" s="117"/>
      <c r="V1319" s="117"/>
      <c r="W1319" s="117"/>
      <c r="X1319" s="117"/>
      <c r="Y1319" s="117"/>
      <c r="Z1319" s="117"/>
      <c r="AA1319" s="117"/>
      <c r="AB1319" s="117"/>
      <c r="AC1319" s="117"/>
      <c r="AD1319" s="117"/>
      <c r="AE1319" s="117"/>
      <c r="AF1319" s="117"/>
      <c r="AG1319" s="117"/>
      <c r="AH1319" s="117"/>
      <c r="AI1319" s="117"/>
      <c r="AJ1319" s="117"/>
      <c r="AK1319" s="117"/>
      <c r="AL1319" s="117"/>
      <c r="AM1319" s="117"/>
      <c r="AN1319" s="117"/>
      <c r="AO1319" s="117"/>
      <c r="AP1319" s="117"/>
      <c r="AQ1319" s="117"/>
      <c r="AR1319" s="117"/>
      <c r="AS1319" s="117"/>
      <c r="AT1319" s="117"/>
      <c r="AU1319" s="117"/>
      <c r="AV1319" s="117"/>
      <c r="AW1319" s="117"/>
      <c r="AX1319" s="117"/>
      <c r="AY1319" s="117"/>
      <c r="AZ1319" s="117"/>
      <c r="BA1319" s="117"/>
      <c r="BB1319" s="117"/>
      <c r="BC1319" s="117"/>
      <c r="BD1319" s="117"/>
      <c r="BE1319" s="117"/>
      <c r="BF1319" s="117"/>
      <c r="BG1319" s="117"/>
    </row>
    <row r="1320" spans="1:59">
      <c r="A1320" s="117"/>
      <c r="B1320" s="117"/>
      <c r="C1320" s="117"/>
      <c r="D1320" s="117"/>
      <c r="E1320" s="117"/>
      <c r="F1320" s="117"/>
      <c r="G1320" s="117"/>
      <c r="H1320" s="117"/>
      <c r="I1320" s="117"/>
      <c r="J1320" s="118"/>
      <c r="K1320" s="118"/>
      <c r="L1320" s="118"/>
      <c r="M1320" s="118"/>
      <c r="N1320" s="117"/>
      <c r="O1320" s="117"/>
      <c r="P1320" s="117"/>
      <c r="Q1320" s="117"/>
      <c r="R1320" s="117"/>
      <c r="S1320" s="117"/>
      <c r="T1320" s="117"/>
      <c r="U1320" s="117"/>
      <c r="V1320" s="117"/>
      <c r="W1320" s="117"/>
      <c r="X1320" s="117"/>
      <c r="Y1320" s="117"/>
      <c r="Z1320" s="117"/>
      <c r="AA1320" s="117"/>
      <c r="AB1320" s="117"/>
      <c r="AC1320" s="117"/>
      <c r="AD1320" s="117"/>
      <c r="AE1320" s="117"/>
      <c r="AF1320" s="117"/>
      <c r="AG1320" s="117"/>
      <c r="AH1320" s="117"/>
      <c r="AI1320" s="117"/>
      <c r="AJ1320" s="117"/>
      <c r="AK1320" s="117"/>
      <c r="AL1320" s="117"/>
      <c r="AM1320" s="117"/>
      <c r="AN1320" s="117"/>
      <c r="AO1320" s="117"/>
      <c r="AP1320" s="117"/>
      <c r="AQ1320" s="117"/>
      <c r="AR1320" s="117"/>
      <c r="AS1320" s="117"/>
      <c r="AT1320" s="117"/>
      <c r="AU1320" s="117"/>
      <c r="AV1320" s="117"/>
      <c r="AW1320" s="117"/>
      <c r="AX1320" s="117"/>
      <c r="AY1320" s="117"/>
      <c r="AZ1320" s="117"/>
      <c r="BA1320" s="117"/>
      <c r="BB1320" s="117"/>
      <c r="BC1320" s="117"/>
      <c r="BD1320" s="117"/>
      <c r="BE1320" s="117"/>
      <c r="BF1320" s="117"/>
      <c r="BG1320" s="117"/>
    </row>
    <row r="1321" spans="1:59">
      <c r="A1321" s="117"/>
      <c r="B1321" s="117"/>
      <c r="C1321" s="117"/>
      <c r="D1321" s="117"/>
      <c r="E1321" s="117"/>
      <c r="F1321" s="117"/>
      <c r="G1321" s="117"/>
      <c r="H1321" s="117"/>
      <c r="I1321" s="117"/>
      <c r="J1321" s="118"/>
      <c r="K1321" s="118"/>
      <c r="L1321" s="118"/>
      <c r="M1321" s="118"/>
      <c r="N1321" s="117"/>
      <c r="O1321" s="117"/>
      <c r="P1321" s="117"/>
      <c r="Q1321" s="117"/>
      <c r="R1321" s="117"/>
      <c r="S1321" s="117"/>
      <c r="T1321" s="117"/>
      <c r="U1321" s="117"/>
      <c r="V1321" s="117"/>
      <c r="W1321" s="117"/>
      <c r="X1321" s="117"/>
      <c r="Y1321" s="117"/>
      <c r="Z1321" s="117"/>
      <c r="AA1321" s="117"/>
      <c r="AB1321" s="117"/>
      <c r="AC1321" s="117"/>
      <c r="AD1321" s="117"/>
      <c r="AE1321" s="117"/>
      <c r="AF1321" s="117"/>
      <c r="AG1321" s="117"/>
      <c r="AH1321" s="117"/>
      <c r="AI1321" s="117"/>
      <c r="AJ1321" s="117"/>
      <c r="AK1321" s="117"/>
      <c r="AL1321" s="117"/>
      <c r="AM1321" s="117"/>
      <c r="AN1321" s="117"/>
      <c r="AO1321" s="117"/>
      <c r="AP1321" s="117"/>
      <c r="AQ1321" s="117"/>
      <c r="AR1321" s="117"/>
      <c r="AS1321" s="117"/>
      <c r="AT1321" s="117"/>
      <c r="AU1321" s="117"/>
      <c r="AV1321" s="117"/>
      <c r="AW1321" s="117"/>
      <c r="AX1321" s="117"/>
      <c r="AY1321" s="117"/>
      <c r="AZ1321" s="117"/>
      <c r="BA1321" s="117"/>
      <c r="BB1321" s="117"/>
      <c r="BC1321" s="117"/>
      <c r="BD1321" s="117"/>
      <c r="BE1321" s="117"/>
      <c r="BF1321" s="117"/>
      <c r="BG1321" s="117"/>
    </row>
    <row r="1322" spans="1:59">
      <c r="A1322" s="117"/>
      <c r="B1322" s="117"/>
      <c r="C1322" s="117"/>
      <c r="D1322" s="117"/>
      <c r="E1322" s="117"/>
      <c r="F1322" s="117"/>
      <c r="G1322" s="117"/>
      <c r="H1322" s="117"/>
      <c r="I1322" s="117"/>
      <c r="J1322" s="118"/>
      <c r="K1322" s="118"/>
      <c r="L1322" s="118"/>
      <c r="M1322" s="118"/>
      <c r="N1322" s="117"/>
      <c r="O1322" s="117"/>
      <c r="P1322" s="117"/>
      <c r="Q1322" s="117"/>
      <c r="R1322" s="117"/>
      <c r="S1322" s="117"/>
      <c r="T1322" s="117"/>
      <c r="U1322" s="117"/>
      <c r="V1322" s="117"/>
      <c r="W1322" s="117"/>
      <c r="X1322" s="117"/>
      <c r="Y1322" s="117"/>
      <c r="Z1322" s="117"/>
      <c r="AA1322" s="117"/>
      <c r="AB1322" s="117"/>
      <c r="AC1322" s="117"/>
      <c r="AD1322" s="117"/>
      <c r="AE1322" s="117"/>
      <c r="AF1322" s="117"/>
      <c r="AG1322" s="117"/>
      <c r="AH1322" s="117"/>
      <c r="AI1322" s="117"/>
      <c r="AJ1322" s="117"/>
      <c r="AK1322" s="117"/>
      <c r="AL1322" s="117"/>
      <c r="AM1322" s="117"/>
      <c r="AN1322" s="117"/>
      <c r="AO1322" s="117"/>
      <c r="AP1322" s="117"/>
      <c r="AQ1322" s="117"/>
      <c r="AR1322" s="117"/>
      <c r="AS1322" s="117"/>
      <c r="AT1322" s="117"/>
      <c r="AU1322" s="117"/>
      <c r="AV1322" s="117"/>
      <c r="AW1322" s="117"/>
      <c r="AX1322" s="117"/>
      <c r="AY1322" s="117"/>
      <c r="AZ1322" s="117"/>
      <c r="BA1322" s="117"/>
      <c r="BB1322" s="117"/>
      <c r="BC1322" s="117"/>
      <c r="BD1322" s="117"/>
      <c r="BE1322" s="117"/>
      <c r="BF1322" s="117"/>
      <c r="BG1322" s="117"/>
    </row>
    <row r="1323" spans="1:59">
      <c r="A1323" s="117"/>
      <c r="B1323" s="117"/>
      <c r="C1323" s="117"/>
      <c r="D1323" s="117"/>
      <c r="E1323" s="117"/>
      <c r="F1323" s="117"/>
      <c r="G1323" s="117"/>
      <c r="H1323" s="117"/>
      <c r="I1323" s="117"/>
      <c r="J1323" s="118"/>
      <c r="K1323" s="118"/>
      <c r="L1323" s="118"/>
      <c r="M1323" s="118"/>
      <c r="N1323" s="117"/>
      <c r="O1323" s="117"/>
      <c r="P1323" s="117"/>
      <c r="Q1323" s="117"/>
      <c r="R1323" s="117"/>
      <c r="S1323" s="117"/>
      <c r="T1323" s="117"/>
      <c r="U1323" s="117"/>
      <c r="V1323" s="117"/>
      <c r="W1323" s="117"/>
      <c r="X1323" s="117"/>
      <c r="Y1323" s="117"/>
      <c r="Z1323" s="117"/>
      <c r="AA1323" s="117"/>
      <c r="AB1323" s="117"/>
      <c r="AC1323" s="117"/>
      <c r="AD1323" s="117"/>
      <c r="AE1323" s="117"/>
      <c r="AF1323" s="117"/>
      <c r="AG1323" s="117"/>
      <c r="AH1323" s="117"/>
      <c r="AI1323" s="117"/>
      <c r="AJ1323" s="117"/>
      <c r="AK1323" s="117"/>
      <c r="AL1323" s="117"/>
      <c r="AM1323" s="117"/>
      <c r="AN1323" s="117"/>
      <c r="AO1323" s="117"/>
      <c r="AP1323" s="117"/>
      <c r="AQ1323" s="117"/>
      <c r="AR1323" s="117"/>
      <c r="AS1323" s="117"/>
      <c r="AT1323" s="117"/>
      <c r="AU1323" s="117"/>
      <c r="AV1323" s="117"/>
      <c r="AW1323" s="117"/>
      <c r="AX1323" s="117"/>
      <c r="AY1323" s="117"/>
      <c r="AZ1323" s="117"/>
      <c r="BA1323" s="117"/>
      <c r="BB1323" s="117"/>
      <c r="BC1323" s="117"/>
      <c r="BD1323" s="117"/>
      <c r="BE1323" s="117"/>
      <c r="BF1323" s="117"/>
      <c r="BG1323" s="117"/>
    </row>
    <row r="1324" spans="1:59">
      <c r="A1324" s="117"/>
      <c r="B1324" s="117"/>
      <c r="C1324" s="117"/>
      <c r="D1324" s="117"/>
      <c r="E1324" s="117"/>
      <c r="F1324" s="117"/>
      <c r="G1324" s="117"/>
      <c r="H1324" s="117"/>
      <c r="I1324" s="117"/>
      <c r="J1324" s="118"/>
      <c r="K1324" s="118"/>
      <c r="L1324" s="118"/>
      <c r="M1324" s="118"/>
      <c r="N1324" s="117"/>
      <c r="O1324" s="117"/>
      <c r="P1324" s="117"/>
      <c r="Q1324" s="117"/>
      <c r="R1324" s="117"/>
      <c r="S1324" s="117"/>
      <c r="T1324" s="117"/>
      <c r="U1324" s="117"/>
      <c r="V1324" s="117"/>
      <c r="W1324" s="117"/>
      <c r="X1324" s="117"/>
      <c r="Y1324" s="117"/>
      <c r="Z1324" s="117"/>
      <c r="AA1324" s="117"/>
      <c r="AB1324" s="117"/>
      <c r="AC1324" s="117"/>
      <c r="AD1324" s="117"/>
      <c r="AE1324" s="117"/>
      <c r="AF1324" s="117"/>
      <c r="AG1324" s="117"/>
      <c r="AH1324" s="117"/>
      <c r="AI1324" s="117"/>
      <c r="AJ1324" s="117"/>
      <c r="AK1324" s="117"/>
      <c r="AL1324" s="117"/>
      <c r="AM1324" s="117"/>
      <c r="AN1324" s="117"/>
      <c r="AO1324" s="117"/>
      <c r="AP1324" s="117"/>
      <c r="AQ1324" s="117"/>
      <c r="AR1324" s="117"/>
      <c r="AS1324" s="117"/>
      <c r="AT1324" s="117"/>
      <c r="AU1324" s="117"/>
      <c r="AV1324" s="117"/>
      <c r="AW1324" s="117"/>
      <c r="AX1324" s="117"/>
      <c r="AY1324" s="117"/>
      <c r="AZ1324" s="117"/>
      <c r="BA1324" s="117"/>
      <c r="BB1324" s="117"/>
      <c r="BC1324" s="117"/>
      <c r="BD1324" s="117"/>
      <c r="BE1324" s="117"/>
      <c r="BF1324" s="117"/>
      <c r="BG1324" s="117"/>
    </row>
    <row r="1325" spans="1:59">
      <c r="A1325" s="117"/>
      <c r="B1325" s="117"/>
      <c r="C1325" s="117"/>
      <c r="D1325" s="117"/>
      <c r="E1325" s="117"/>
      <c r="F1325" s="117"/>
      <c r="G1325" s="117"/>
      <c r="H1325" s="117"/>
      <c r="I1325" s="117"/>
      <c r="J1325" s="118"/>
      <c r="K1325" s="118"/>
      <c r="L1325" s="118"/>
      <c r="M1325" s="118"/>
      <c r="N1325" s="117"/>
      <c r="O1325" s="117"/>
      <c r="P1325" s="117"/>
      <c r="Q1325" s="117"/>
      <c r="R1325" s="117"/>
      <c r="S1325" s="117"/>
      <c r="T1325" s="117"/>
      <c r="U1325" s="117"/>
      <c r="V1325" s="117"/>
      <c r="W1325" s="117"/>
      <c r="X1325" s="117"/>
      <c r="Y1325" s="117"/>
      <c r="Z1325" s="117"/>
      <c r="AA1325" s="117"/>
      <c r="AB1325" s="117"/>
      <c r="AC1325" s="117"/>
      <c r="AD1325" s="117"/>
      <c r="AE1325" s="117"/>
      <c r="AF1325" s="117"/>
      <c r="AG1325" s="117"/>
      <c r="AH1325" s="117"/>
      <c r="AI1325" s="117"/>
      <c r="AJ1325" s="117"/>
      <c r="AK1325" s="117"/>
      <c r="AL1325" s="117"/>
      <c r="AM1325" s="117"/>
      <c r="AN1325" s="117"/>
      <c r="AO1325" s="117"/>
      <c r="AP1325" s="117"/>
      <c r="AQ1325" s="117"/>
      <c r="AR1325" s="117"/>
      <c r="AS1325" s="117"/>
      <c r="AT1325" s="117"/>
      <c r="AU1325" s="117"/>
      <c r="AV1325" s="117"/>
      <c r="AW1325" s="117"/>
      <c r="AX1325" s="117"/>
      <c r="AY1325" s="117"/>
      <c r="AZ1325" s="117"/>
      <c r="BA1325" s="117"/>
      <c r="BB1325" s="117"/>
      <c r="BC1325" s="117"/>
      <c r="BD1325" s="117"/>
      <c r="BE1325" s="117"/>
      <c r="BF1325" s="117"/>
      <c r="BG1325" s="117"/>
    </row>
    <row r="1326" spans="1:59">
      <c r="A1326" s="117"/>
      <c r="B1326" s="117"/>
      <c r="C1326" s="117"/>
      <c r="D1326" s="117"/>
      <c r="E1326" s="117"/>
      <c r="F1326" s="117"/>
      <c r="G1326" s="117"/>
      <c r="H1326" s="117"/>
      <c r="I1326" s="117"/>
      <c r="J1326" s="118"/>
      <c r="K1326" s="118"/>
      <c r="L1326" s="118"/>
      <c r="M1326" s="118"/>
      <c r="N1326" s="117"/>
      <c r="O1326" s="117"/>
      <c r="P1326" s="117"/>
      <c r="Q1326" s="117"/>
      <c r="R1326" s="117"/>
      <c r="S1326" s="117"/>
      <c r="T1326" s="117"/>
      <c r="U1326" s="117"/>
      <c r="V1326" s="117"/>
      <c r="W1326" s="117"/>
      <c r="X1326" s="117"/>
      <c r="Y1326" s="117"/>
      <c r="Z1326" s="117"/>
      <c r="AA1326" s="117"/>
      <c r="AB1326" s="117"/>
      <c r="AC1326" s="117"/>
      <c r="AD1326" s="117"/>
      <c r="AE1326" s="117"/>
      <c r="AF1326" s="117"/>
      <c r="AG1326" s="117"/>
      <c r="AH1326" s="117"/>
      <c r="AI1326" s="117"/>
      <c r="AJ1326" s="117"/>
      <c r="AK1326" s="117"/>
      <c r="AL1326" s="117"/>
      <c r="AM1326" s="117"/>
      <c r="AN1326" s="117"/>
      <c r="AO1326" s="117"/>
      <c r="AP1326" s="117"/>
      <c r="AQ1326" s="117"/>
      <c r="AR1326" s="117"/>
      <c r="AS1326" s="117"/>
      <c r="AT1326" s="117"/>
      <c r="AU1326" s="117"/>
      <c r="AV1326" s="117"/>
      <c r="AW1326" s="117"/>
      <c r="AX1326" s="117"/>
      <c r="AY1326" s="117"/>
      <c r="AZ1326" s="117"/>
      <c r="BA1326" s="117"/>
      <c r="BB1326" s="117"/>
      <c r="BC1326" s="117"/>
      <c r="BD1326" s="117"/>
      <c r="BE1326" s="117"/>
      <c r="BF1326" s="117"/>
      <c r="BG1326" s="117"/>
    </row>
    <row r="1327" spans="1:59">
      <c r="A1327" s="117"/>
      <c r="B1327" s="117"/>
      <c r="C1327" s="117"/>
      <c r="D1327" s="117"/>
      <c r="E1327" s="117"/>
      <c r="F1327" s="117"/>
      <c r="G1327" s="117"/>
      <c r="H1327" s="117"/>
      <c r="I1327" s="117"/>
      <c r="J1327" s="118"/>
      <c r="K1327" s="118"/>
      <c r="L1327" s="118"/>
      <c r="M1327" s="118"/>
      <c r="N1327" s="117"/>
      <c r="O1327" s="117"/>
      <c r="P1327" s="117"/>
      <c r="Q1327" s="117"/>
      <c r="R1327" s="117"/>
      <c r="S1327" s="117"/>
      <c r="T1327" s="117"/>
      <c r="U1327" s="117"/>
      <c r="V1327" s="117"/>
      <c r="W1327" s="117"/>
      <c r="X1327" s="117"/>
      <c r="Y1327" s="117"/>
      <c r="Z1327" s="117"/>
      <c r="AA1327" s="117"/>
      <c r="AB1327" s="117"/>
      <c r="AC1327" s="117"/>
      <c r="AD1327" s="117"/>
      <c r="AE1327" s="117"/>
      <c r="AF1327" s="117"/>
      <c r="AG1327" s="117"/>
      <c r="AH1327" s="117"/>
      <c r="AI1327" s="117"/>
      <c r="AJ1327" s="117"/>
      <c r="AK1327" s="117"/>
      <c r="AL1327" s="117"/>
      <c r="AM1327" s="117"/>
      <c r="AN1327" s="117"/>
      <c r="AO1327" s="117"/>
      <c r="AP1327" s="117"/>
      <c r="AQ1327" s="117"/>
      <c r="AR1327" s="117"/>
      <c r="AS1327" s="117"/>
      <c r="AT1327" s="117"/>
      <c r="AU1327" s="117"/>
      <c r="AV1327" s="117"/>
      <c r="AW1327" s="117"/>
      <c r="AX1327" s="117"/>
      <c r="AY1327" s="117"/>
      <c r="AZ1327" s="117"/>
      <c r="BA1327" s="117"/>
      <c r="BB1327" s="117"/>
      <c r="BC1327" s="117"/>
      <c r="BD1327" s="117"/>
      <c r="BE1327" s="117"/>
      <c r="BF1327" s="117"/>
      <c r="BG1327" s="117"/>
    </row>
    <row r="1328" spans="1:59">
      <c r="A1328" s="117"/>
      <c r="B1328" s="117"/>
      <c r="C1328" s="117"/>
      <c r="D1328" s="117"/>
      <c r="E1328" s="117"/>
      <c r="F1328" s="117"/>
      <c r="G1328" s="117"/>
      <c r="H1328" s="117"/>
      <c r="I1328" s="117"/>
      <c r="J1328" s="118"/>
      <c r="K1328" s="118"/>
      <c r="L1328" s="118"/>
      <c r="M1328" s="118"/>
      <c r="N1328" s="117"/>
      <c r="O1328" s="117"/>
      <c r="P1328" s="117"/>
      <c r="Q1328" s="117"/>
      <c r="R1328" s="117"/>
      <c r="S1328" s="117"/>
      <c r="T1328" s="117"/>
      <c r="U1328" s="117"/>
      <c r="V1328" s="117"/>
      <c r="W1328" s="117"/>
      <c r="X1328" s="117"/>
      <c r="Y1328" s="117"/>
      <c r="Z1328" s="117"/>
      <c r="AA1328" s="117"/>
      <c r="AB1328" s="117"/>
      <c r="AC1328" s="117"/>
      <c r="AD1328" s="117"/>
      <c r="AE1328" s="117"/>
      <c r="AF1328" s="117"/>
      <c r="AG1328" s="117"/>
      <c r="AH1328" s="117"/>
      <c r="AI1328" s="117"/>
      <c r="AJ1328" s="117"/>
      <c r="AK1328" s="117"/>
      <c r="AL1328" s="117"/>
      <c r="AM1328" s="117"/>
      <c r="AN1328" s="117"/>
      <c r="AO1328" s="117"/>
      <c r="AP1328" s="117"/>
      <c r="AQ1328" s="117"/>
      <c r="AR1328" s="117"/>
      <c r="AS1328" s="117"/>
      <c r="AT1328" s="117"/>
      <c r="AU1328" s="117"/>
      <c r="AV1328" s="117"/>
      <c r="AW1328" s="117"/>
      <c r="AX1328" s="117"/>
      <c r="AY1328" s="117"/>
      <c r="AZ1328" s="117"/>
      <c r="BA1328" s="117"/>
      <c r="BB1328" s="117"/>
      <c r="BC1328" s="117"/>
      <c r="BD1328" s="117"/>
      <c r="BE1328" s="117"/>
      <c r="BF1328" s="117"/>
      <c r="BG1328" s="117"/>
    </row>
    <row r="1329" spans="1:59">
      <c r="A1329" s="117"/>
      <c r="B1329" s="117"/>
      <c r="C1329" s="117"/>
      <c r="D1329" s="117"/>
      <c r="E1329" s="117"/>
      <c r="F1329" s="117"/>
      <c r="G1329" s="117"/>
      <c r="H1329" s="117"/>
      <c r="I1329" s="117"/>
      <c r="J1329" s="118"/>
      <c r="K1329" s="118"/>
      <c r="L1329" s="118"/>
      <c r="M1329" s="118"/>
      <c r="N1329" s="117"/>
      <c r="O1329" s="117"/>
      <c r="P1329" s="117"/>
      <c r="Q1329" s="117"/>
      <c r="R1329" s="117"/>
      <c r="S1329" s="117"/>
      <c r="T1329" s="117"/>
      <c r="U1329" s="117"/>
      <c r="V1329" s="117"/>
      <c r="W1329" s="117"/>
      <c r="X1329" s="117"/>
      <c r="Y1329" s="117"/>
      <c r="Z1329" s="117"/>
      <c r="AA1329" s="117"/>
      <c r="AB1329" s="117"/>
      <c r="AC1329" s="117"/>
      <c r="AD1329" s="117"/>
      <c r="AE1329" s="117"/>
      <c r="AF1329" s="117"/>
      <c r="AG1329" s="117"/>
      <c r="AH1329" s="117"/>
      <c r="AI1329" s="117"/>
      <c r="AJ1329" s="117"/>
      <c r="AK1329" s="117"/>
      <c r="AL1329" s="117"/>
      <c r="AM1329" s="117"/>
      <c r="AN1329" s="117"/>
      <c r="AO1329" s="117"/>
      <c r="AP1329" s="117"/>
      <c r="AQ1329" s="117"/>
      <c r="AR1329" s="117"/>
      <c r="AS1329" s="117"/>
      <c r="AT1329" s="117"/>
      <c r="AU1329" s="117"/>
      <c r="AV1329" s="117"/>
      <c r="AW1329" s="117"/>
      <c r="AX1329" s="117"/>
      <c r="AY1329" s="117"/>
      <c r="AZ1329" s="117"/>
      <c r="BA1329" s="117"/>
      <c r="BB1329" s="117"/>
      <c r="BC1329" s="117"/>
      <c r="BD1329" s="117"/>
      <c r="BE1329" s="117"/>
      <c r="BF1329" s="117"/>
      <c r="BG1329" s="117"/>
    </row>
    <row r="1330" spans="1:59">
      <c r="A1330" s="117"/>
      <c r="B1330" s="117"/>
      <c r="C1330" s="117"/>
      <c r="D1330" s="117"/>
      <c r="E1330" s="117"/>
      <c r="F1330" s="117"/>
      <c r="G1330" s="117"/>
      <c r="H1330" s="117"/>
      <c r="I1330" s="117"/>
      <c r="J1330" s="118"/>
      <c r="K1330" s="118"/>
      <c r="L1330" s="118"/>
      <c r="M1330" s="118"/>
      <c r="N1330" s="117"/>
      <c r="O1330" s="117"/>
      <c r="P1330" s="117"/>
      <c r="Q1330" s="117"/>
      <c r="R1330" s="117"/>
      <c r="S1330" s="117"/>
      <c r="T1330" s="117"/>
      <c r="U1330" s="117"/>
      <c r="V1330" s="117"/>
      <c r="W1330" s="117"/>
      <c r="X1330" s="117"/>
      <c r="Y1330" s="117"/>
      <c r="Z1330" s="117"/>
      <c r="AA1330" s="117"/>
      <c r="AB1330" s="117"/>
      <c r="AC1330" s="117"/>
      <c r="AD1330" s="117"/>
      <c r="AE1330" s="117"/>
      <c r="AF1330" s="117"/>
      <c r="AG1330" s="117"/>
      <c r="AH1330" s="117"/>
      <c r="AI1330" s="117"/>
      <c r="AJ1330" s="117"/>
      <c r="AK1330" s="117"/>
      <c r="AL1330" s="117"/>
      <c r="AM1330" s="117"/>
      <c r="AN1330" s="117"/>
      <c r="AO1330" s="117"/>
      <c r="AP1330" s="117"/>
      <c r="AQ1330" s="117"/>
      <c r="AR1330" s="117"/>
      <c r="AS1330" s="117"/>
      <c r="AT1330" s="117"/>
      <c r="AU1330" s="117"/>
      <c r="AV1330" s="117"/>
      <c r="AW1330" s="117"/>
      <c r="AX1330" s="117"/>
      <c r="AY1330" s="117"/>
      <c r="AZ1330" s="117"/>
      <c r="BA1330" s="117"/>
      <c r="BB1330" s="117"/>
      <c r="BC1330" s="117"/>
      <c r="BD1330" s="117"/>
      <c r="BE1330" s="117"/>
      <c r="BF1330" s="117"/>
      <c r="BG1330" s="117"/>
    </row>
    <row r="1331" spans="1:59">
      <c r="A1331" s="117"/>
      <c r="B1331" s="117"/>
      <c r="C1331" s="117"/>
      <c r="D1331" s="117"/>
      <c r="E1331" s="117"/>
      <c r="F1331" s="117"/>
      <c r="G1331" s="117"/>
      <c r="H1331" s="117"/>
      <c r="I1331" s="117"/>
      <c r="J1331" s="118"/>
      <c r="K1331" s="118"/>
      <c r="L1331" s="118"/>
      <c r="M1331" s="118"/>
      <c r="N1331" s="117"/>
      <c r="O1331" s="117"/>
      <c r="P1331" s="117"/>
      <c r="Q1331" s="117"/>
      <c r="R1331" s="117"/>
      <c r="S1331" s="117"/>
      <c r="T1331" s="117"/>
      <c r="U1331" s="117"/>
      <c r="V1331" s="117"/>
      <c r="W1331" s="117"/>
      <c r="X1331" s="117"/>
      <c r="Y1331" s="117"/>
      <c r="Z1331" s="117"/>
      <c r="AA1331" s="117"/>
      <c r="AB1331" s="117"/>
      <c r="AC1331" s="117"/>
      <c r="AD1331" s="117"/>
      <c r="AE1331" s="117"/>
      <c r="AF1331" s="117"/>
      <c r="AG1331" s="117"/>
      <c r="AH1331" s="117"/>
      <c r="AI1331" s="117"/>
      <c r="AJ1331" s="117"/>
      <c r="AK1331" s="117"/>
      <c r="AL1331" s="117"/>
      <c r="AM1331" s="117"/>
      <c r="AN1331" s="117"/>
      <c r="AO1331" s="117"/>
      <c r="AP1331" s="117"/>
      <c r="AQ1331" s="117"/>
      <c r="AR1331" s="117"/>
      <c r="AS1331" s="117"/>
      <c r="AT1331" s="117"/>
      <c r="AU1331" s="117"/>
      <c r="AV1331" s="117"/>
      <c r="AW1331" s="117"/>
      <c r="AX1331" s="117"/>
      <c r="AY1331" s="117"/>
      <c r="AZ1331" s="117"/>
      <c r="BA1331" s="117"/>
      <c r="BB1331" s="117"/>
      <c r="BC1331" s="117"/>
      <c r="BD1331" s="117"/>
      <c r="BE1331" s="117"/>
      <c r="BF1331" s="117"/>
      <c r="BG1331" s="117"/>
    </row>
    <row r="1332" spans="1:59">
      <c r="A1332" s="117"/>
      <c r="B1332" s="117"/>
      <c r="C1332" s="117"/>
      <c r="D1332" s="117"/>
      <c r="E1332" s="117"/>
      <c r="F1332" s="117"/>
      <c r="G1332" s="117"/>
      <c r="H1332" s="117"/>
      <c r="I1332" s="117"/>
      <c r="J1332" s="118"/>
      <c r="K1332" s="118"/>
      <c r="L1332" s="118"/>
      <c r="M1332" s="118"/>
      <c r="N1332" s="117"/>
      <c r="O1332" s="117"/>
      <c r="P1332" s="117"/>
      <c r="Q1332" s="117"/>
      <c r="R1332" s="117"/>
      <c r="S1332" s="117"/>
      <c r="T1332" s="117"/>
      <c r="U1332" s="117"/>
      <c r="V1332" s="117"/>
      <c r="W1332" s="117"/>
      <c r="X1332" s="117"/>
      <c r="Y1332" s="117"/>
      <c r="Z1332" s="117"/>
      <c r="AA1332" s="117"/>
      <c r="AB1332" s="117"/>
      <c r="AC1332" s="117"/>
      <c r="AD1332" s="117"/>
      <c r="AE1332" s="117"/>
      <c r="AF1332" s="117"/>
      <c r="AG1332" s="117"/>
      <c r="AH1332" s="117"/>
      <c r="AI1332" s="117"/>
      <c r="AJ1332" s="117"/>
      <c r="AK1332" s="117"/>
      <c r="AL1332" s="117"/>
      <c r="AM1332" s="117"/>
      <c r="AN1332" s="117"/>
      <c r="AO1332" s="117"/>
      <c r="AP1332" s="117"/>
      <c r="AQ1332" s="117"/>
      <c r="AR1332" s="117"/>
      <c r="AS1332" s="117"/>
      <c r="AT1332" s="117"/>
      <c r="AU1332" s="117"/>
      <c r="AV1332" s="117"/>
      <c r="AW1332" s="117"/>
      <c r="AX1332" s="117"/>
      <c r="AY1332" s="117"/>
      <c r="AZ1332" s="117"/>
      <c r="BA1332" s="117"/>
      <c r="BB1332" s="117"/>
      <c r="BC1332" s="117"/>
      <c r="BD1332" s="117"/>
      <c r="BE1332" s="117"/>
      <c r="BF1332" s="117"/>
      <c r="BG1332" s="117"/>
    </row>
    <row r="1333" spans="1:59">
      <c r="A1333" s="117"/>
      <c r="B1333" s="117"/>
      <c r="C1333" s="117"/>
      <c r="D1333" s="117"/>
      <c r="E1333" s="117"/>
      <c r="F1333" s="117"/>
      <c r="G1333" s="117"/>
      <c r="H1333" s="117"/>
      <c r="I1333" s="117"/>
      <c r="J1333" s="118"/>
      <c r="K1333" s="118"/>
      <c r="L1333" s="118"/>
      <c r="M1333" s="118"/>
      <c r="N1333" s="117"/>
      <c r="O1333" s="117"/>
      <c r="P1333" s="117"/>
      <c r="Q1333" s="117"/>
      <c r="R1333" s="117"/>
      <c r="S1333" s="117"/>
      <c r="T1333" s="117"/>
      <c r="U1333" s="117"/>
      <c r="V1333" s="117"/>
      <c r="W1333" s="117"/>
      <c r="X1333" s="117"/>
      <c r="Y1333" s="117"/>
      <c r="Z1333" s="117"/>
      <c r="AA1333" s="117"/>
      <c r="AB1333" s="117"/>
      <c r="AC1333" s="117"/>
      <c r="AD1333" s="117"/>
      <c r="AE1333" s="117"/>
      <c r="AF1333" s="117"/>
      <c r="AG1333" s="117"/>
      <c r="AH1333" s="117"/>
      <c r="AI1333" s="117"/>
      <c r="AJ1333" s="117"/>
      <c r="AK1333" s="117"/>
      <c r="AL1333" s="117"/>
      <c r="AM1333" s="117"/>
      <c r="AN1333" s="117"/>
      <c r="AO1333" s="117"/>
      <c r="AP1333" s="117"/>
      <c r="AQ1333" s="117"/>
      <c r="AR1333" s="117"/>
      <c r="AS1333" s="117"/>
      <c r="AT1333" s="117"/>
      <c r="AU1333" s="117"/>
      <c r="AV1333" s="117"/>
      <c r="AW1333" s="117"/>
      <c r="AX1333" s="117"/>
      <c r="AY1333" s="117"/>
      <c r="AZ1333" s="117"/>
      <c r="BA1333" s="117"/>
      <c r="BB1333" s="117"/>
      <c r="BC1333" s="117"/>
      <c r="BD1333" s="117"/>
      <c r="BE1333" s="117"/>
      <c r="BF1333" s="117"/>
      <c r="BG1333" s="117"/>
    </row>
    <row r="1334" spans="1:59">
      <c r="A1334" s="117"/>
      <c r="B1334" s="117"/>
      <c r="C1334" s="117"/>
      <c r="D1334" s="117"/>
      <c r="E1334" s="117"/>
      <c r="F1334" s="117"/>
      <c r="G1334" s="117"/>
      <c r="H1334" s="117"/>
      <c r="I1334" s="117"/>
      <c r="J1334" s="118"/>
      <c r="K1334" s="118"/>
      <c r="L1334" s="118"/>
      <c r="M1334" s="118"/>
      <c r="N1334" s="117"/>
      <c r="O1334" s="117"/>
      <c r="P1334" s="117"/>
      <c r="Q1334" s="117"/>
      <c r="R1334" s="117"/>
      <c r="S1334" s="117"/>
      <c r="T1334" s="117"/>
      <c r="U1334" s="117"/>
      <c r="V1334" s="117"/>
      <c r="W1334" s="117"/>
      <c r="X1334" s="117"/>
      <c r="Y1334" s="117"/>
      <c r="Z1334" s="117"/>
      <c r="AA1334" s="117"/>
      <c r="AB1334" s="117"/>
      <c r="AC1334" s="117"/>
      <c r="AD1334" s="117"/>
      <c r="AE1334" s="117"/>
      <c r="AF1334" s="117"/>
      <c r="AG1334" s="117"/>
      <c r="AH1334" s="117"/>
      <c r="AI1334" s="117"/>
      <c r="AJ1334" s="117"/>
      <c r="AK1334" s="117"/>
      <c r="AL1334" s="117"/>
      <c r="AM1334" s="117"/>
      <c r="AN1334" s="117"/>
      <c r="AO1334" s="117"/>
      <c r="AP1334" s="117"/>
      <c r="AQ1334" s="117"/>
      <c r="AR1334" s="117"/>
      <c r="AS1334" s="117"/>
      <c r="AT1334" s="117"/>
      <c r="AU1334" s="117"/>
      <c r="AV1334" s="117"/>
      <c r="AW1334" s="117"/>
      <c r="AX1334" s="117"/>
      <c r="AY1334" s="117"/>
      <c r="AZ1334" s="117"/>
      <c r="BA1334" s="117"/>
      <c r="BB1334" s="117"/>
      <c r="BC1334" s="117"/>
      <c r="BD1334" s="117"/>
      <c r="BE1334" s="117"/>
      <c r="BF1334" s="117"/>
      <c r="BG1334" s="117"/>
    </row>
    <row r="1335" spans="1:59">
      <c r="A1335" s="117"/>
      <c r="B1335" s="117"/>
      <c r="C1335" s="117"/>
      <c r="D1335" s="117"/>
      <c r="E1335" s="117"/>
      <c r="F1335" s="117"/>
      <c r="G1335" s="117"/>
      <c r="H1335" s="117"/>
      <c r="I1335" s="117"/>
      <c r="J1335" s="118"/>
      <c r="K1335" s="118"/>
      <c r="L1335" s="118"/>
      <c r="M1335" s="118"/>
      <c r="N1335" s="117"/>
      <c r="O1335" s="117"/>
      <c r="P1335" s="117"/>
      <c r="Q1335" s="117"/>
      <c r="R1335" s="117"/>
      <c r="S1335" s="117"/>
      <c r="T1335" s="117"/>
      <c r="U1335" s="117"/>
      <c r="V1335" s="117"/>
      <c r="W1335" s="117"/>
      <c r="X1335" s="117"/>
      <c r="Y1335" s="117"/>
      <c r="Z1335" s="117"/>
      <c r="AA1335" s="117"/>
      <c r="AB1335" s="117"/>
      <c r="AC1335" s="117"/>
      <c r="AD1335" s="117"/>
      <c r="AE1335" s="117"/>
      <c r="AF1335" s="117"/>
      <c r="AG1335" s="117"/>
      <c r="AH1335" s="117"/>
      <c r="AI1335" s="117"/>
      <c r="AJ1335" s="117"/>
      <c r="AK1335" s="117"/>
      <c r="AL1335" s="117"/>
      <c r="AM1335" s="117"/>
      <c r="AN1335" s="117"/>
      <c r="AO1335" s="117"/>
      <c r="AP1335" s="117"/>
      <c r="AQ1335" s="117"/>
      <c r="AR1335" s="117"/>
      <c r="AS1335" s="117"/>
      <c r="AT1335" s="117"/>
      <c r="AU1335" s="117"/>
      <c r="AV1335" s="117"/>
      <c r="AW1335" s="117"/>
      <c r="AX1335" s="117"/>
      <c r="AY1335" s="117"/>
      <c r="AZ1335" s="117"/>
      <c r="BA1335" s="117"/>
      <c r="BB1335" s="117"/>
      <c r="BC1335" s="117"/>
      <c r="BD1335" s="117"/>
      <c r="BE1335" s="117"/>
      <c r="BF1335" s="117"/>
      <c r="BG1335" s="117"/>
    </row>
    <row r="1336" spans="1:59">
      <c r="A1336" s="117"/>
      <c r="B1336" s="117"/>
      <c r="C1336" s="117"/>
      <c r="D1336" s="117"/>
      <c r="E1336" s="117"/>
      <c r="F1336" s="117"/>
      <c r="G1336" s="117"/>
      <c r="H1336" s="117"/>
      <c r="I1336" s="117"/>
      <c r="J1336" s="118"/>
      <c r="K1336" s="118"/>
      <c r="L1336" s="118"/>
      <c r="M1336" s="118"/>
      <c r="N1336" s="117"/>
      <c r="O1336" s="117"/>
      <c r="P1336" s="117"/>
      <c r="Q1336" s="117"/>
      <c r="R1336" s="117"/>
      <c r="S1336" s="117"/>
      <c r="T1336" s="117"/>
      <c r="U1336" s="117"/>
      <c r="V1336" s="117"/>
      <c r="W1336" s="117"/>
      <c r="X1336" s="117"/>
      <c r="Y1336" s="117"/>
      <c r="Z1336" s="117"/>
      <c r="AA1336" s="117"/>
      <c r="AB1336" s="117"/>
      <c r="AC1336" s="117"/>
      <c r="AD1336" s="117"/>
      <c r="AE1336" s="117"/>
      <c r="AF1336" s="117"/>
      <c r="AG1336" s="117"/>
      <c r="AH1336" s="117"/>
      <c r="AI1336" s="117"/>
      <c r="AJ1336" s="117"/>
      <c r="AK1336" s="117"/>
      <c r="AL1336" s="117"/>
      <c r="AM1336" s="117"/>
      <c r="AN1336" s="117"/>
      <c r="AO1336" s="117"/>
      <c r="AP1336" s="117"/>
      <c r="AQ1336" s="117"/>
      <c r="AR1336" s="117"/>
      <c r="AS1336" s="117"/>
      <c r="AT1336" s="117"/>
      <c r="AU1336" s="117"/>
      <c r="AV1336" s="117"/>
      <c r="AW1336" s="117"/>
      <c r="AX1336" s="117"/>
      <c r="AY1336" s="117"/>
      <c r="AZ1336" s="117"/>
      <c r="BA1336" s="117"/>
      <c r="BB1336" s="117"/>
      <c r="BC1336" s="117"/>
      <c r="BD1336" s="117"/>
      <c r="BE1336" s="117"/>
      <c r="BF1336" s="117"/>
      <c r="BG1336" s="117"/>
    </row>
    <row r="1337" spans="1:59">
      <c r="A1337" s="117"/>
      <c r="B1337" s="117"/>
      <c r="C1337" s="117"/>
      <c r="D1337" s="117"/>
      <c r="E1337" s="117"/>
      <c r="F1337" s="117"/>
      <c r="G1337" s="117"/>
      <c r="H1337" s="117"/>
      <c r="I1337" s="117"/>
      <c r="J1337" s="118"/>
      <c r="K1337" s="118"/>
      <c r="L1337" s="118"/>
      <c r="M1337" s="118"/>
      <c r="N1337" s="117"/>
      <c r="O1337" s="117"/>
      <c r="P1337" s="117"/>
      <c r="Q1337" s="117"/>
      <c r="R1337" s="117"/>
      <c r="S1337" s="117"/>
      <c r="T1337" s="117"/>
      <c r="U1337" s="117"/>
      <c r="V1337" s="117"/>
      <c r="W1337" s="117"/>
      <c r="X1337" s="117"/>
      <c r="Y1337" s="117"/>
      <c r="Z1337" s="117"/>
      <c r="AA1337" s="117"/>
      <c r="AB1337" s="117"/>
      <c r="AC1337" s="117"/>
      <c r="AD1337" s="117"/>
      <c r="AE1337" s="117"/>
      <c r="AF1337" s="117"/>
      <c r="AG1337" s="117"/>
      <c r="AH1337" s="117"/>
      <c r="AI1337" s="117"/>
      <c r="AJ1337" s="117"/>
      <c r="AK1337" s="117"/>
      <c r="AL1337" s="117"/>
      <c r="AM1337" s="117"/>
      <c r="AN1337" s="117"/>
      <c r="AO1337" s="117"/>
      <c r="AP1337" s="117"/>
      <c r="AQ1337" s="117"/>
      <c r="AR1337" s="117"/>
      <c r="AS1337" s="117"/>
      <c r="AT1337" s="117"/>
      <c r="AU1337" s="117"/>
      <c r="AV1337" s="117"/>
      <c r="AW1337" s="117"/>
      <c r="AX1337" s="117"/>
      <c r="AY1337" s="117"/>
      <c r="AZ1337" s="117"/>
      <c r="BA1337" s="117"/>
      <c r="BB1337" s="117"/>
      <c r="BC1337" s="117"/>
      <c r="BD1337" s="117"/>
      <c r="BE1337" s="117"/>
      <c r="BF1337" s="117"/>
      <c r="BG1337" s="117"/>
    </row>
    <row r="1338" spans="1:59">
      <c r="A1338" s="117"/>
      <c r="B1338" s="117"/>
      <c r="C1338" s="117"/>
      <c r="D1338" s="117"/>
      <c r="E1338" s="117"/>
      <c r="F1338" s="117"/>
      <c r="G1338" s="117"/>
      <c r="H1338" s="117"/>
      <c r="I1338" s="117"/>
      <c r="J1338" s="118"/>
      <c r="K1338" s="118"/>
      <c r="L1338" s="118"/>
      <c r="M1338" s="118"/>
      <c r="N1338" s="117"/>
      <c r="O1338" s="117"/>
      <c r="P1338" s="117"/>
      <c r="Q1338" s="117"/>
      <c r="R1338" s="117"/>
      <c r="S1338" s="117"/>
      <c r="T1338" s="117"/>
      <c r="U1338" s="117"/>
      <c r="V1338" s="117"/>
      <c r="W1338" s="117"/>
      <c r="X1338" s="117"/>
      <c r="Y1338" s="117"/>
      <c r="Z1338" s="117"/>
      <c r="AA1338" s="117"/>
      <c r="AB1338" s="117"/>
      <c r="AC1338" s="117"/>
      <c r="AD1338" s="117"/>
      <c r="AE1338" s="117"/>
      <c r="AF1338" s="117"/>
      <c r="AG1338" s="117"/>
      <c r="AH1338" s="117"/>
      <c r="AI1338" s="117"/>
      <c r="AJ1338" s="117"/>
      <c r="AK1338" s="117"/>
      <c r="AL1338" s="117"/>
      <c r="AM1338" s="117"/>
      <c r="AN1338" s="117"/>
      <c r="AO1338" s="117"/>
      <c r="AP1338" s="117"/>
      <c r="AQ1338" s="117"/>
      <c r="AR1338" s="117"/>
      <c r="AS1338" s="117"/>
      <c r="AT1338" s="117"/>
      <c r="AU1338" s="117"/>
      <c r="AV1338" s="117"/>
      <c r="AW1338" s="117"/>
      <c r="AX1338" s="117"/>
      <c r="AY1338" s="117"/>
      <c r="AZ1338" s="117"/>
      <c r="BA1338" s="117"/>
      <c r="BB1338" s="117"/>
      <c r="BC1338" s="117"/>
      <c r="BD1338" s="117"/>
      <c r="BE1338" s="117"/>
      <c r="BF1338" s="117"/>
      <c r="BG1338" s="117"/>
    </row>
    <row r="1339" spans="1:59">
      <c r="A1339" s="117"/>
      <c r="B1339" s="117"/>
      <c r="C1339" s="117"/>
      <c r="D1339" s="117"/>
      <c r="E1339" s="117"/>
      <c r="F1339" s="117"/>
      <c r="G1339" s="117"/>
      <c r="H1339" s="117"/>
      <c r="I1339" s="117"/>
      <c r="J1339" s="118"/>
      <c r="K1339" s="118"/>
      <c r="L1339" s="118"/>
      <c r="M1339" s="118"/>
      <c r="N1339" s="117"/>
      <c r="O1339" s="117"/>
      <c r="P1339" s="117"/>
      <c r="Q1339" s="117"/>
      <c r="R1339" s="117"/>
      <c r="S1339" s="117"/>
      <c r="T1339" s="117"/>
      <c r="U1339" s="117"/>
      <c r="V1339" s="117"/>
      <c r="W1339" s="117"/>
      <c r="X1339" s="117"/>
      <c r="Y1339" s="117"/>
      <c r="Z1339" s="117"/>
      <c r="AA1339" s="117"/>
      <c r="AB1339" s="117"/>
      <c r="AC1339" s="117"/>
      <c r="AD1339" s="117"/>
      <c r="AE1339" s="117"/>
      <c r="AF1339" s="117"/>
      <c r="AG1339" s="117"/>
      <c r="AH1339" s="117"/>
      <c r="AI1339" s="117"/>
      <c r="AJ1339" s="117"/>
      <c r="AK1339" s="117"/>
      <c r="AL1339" s="117"/>
      <c r="AM1339" s="117"/>
      <c r="AN1339" s="117"/>
      <c r="AO1339" s="117"/>
      <c r="AP1339" s="117"/>
      <c r="AQ1339" s="117"/>
      <c r="AR1339" s="117"/>
      <c r="AS1339" s="117"/>
      <c r="AT1339" s="117"/>
      <c r="AU1339" s="117"/>
      <c r="AV1339" s="117"/>
      <c r="AW1339" s="117"/>
      <c r="AX1339" s="117"/>
      <c r="AY1339" s="117"/>
      <c r="AZ1339" s="117"/>
      <c r="BA1339" s="117"/>
      <c r="BB1339" s="117"/>
      <c r="BC1339" s="117"/>
      <c r="BD1339" s="117"/>
      <c r="BE1339" s="117"/>
      <c r="BF1339" s="117"/>
      <c r="BG1339" s="117"/>
    </row>
    <row r="1340" spans="1:59">
      <c r="A1340" s="117"/>
      <c r="B1340" s="117"/>
      <c r="C1340" s="117"/>
      <c r="D1340" s="117"/>
      <c r="E1340" s="117"/>
      <c r="F1340" s="117"/>
      <c r="G1340" s="117"/>
      <c r="H1340" s="117"/>
      <c r="I1340" s="117"/>
      <c r="J1340" s="118"/>
      <c r="K1340" s="118"/>
      <c r="L1340" s="118"/>
      <c r="M1340" s="118"/>
      <c r="N1340" s="117"/>
      <c r="O1340" s="117"/>
      <c r="P1340" s="117"/>
      <c r="Q1340" s="117"/>
      <c r="R1340" s="117"/>
      <c r="S1340" s="117"/>
      <c r="T1340" s="117"/>
      <c r="U1340" s="117"/>
      <c r="V1340" s="117"/>
      <c r="W1340" s="117"/>
      <c r="X1340" s="117"/>
      <c r="Y1340" s="117"/>
      <c r="Z1340" s="117"/>
      <c r="AA1340" s="117"/>
      <c r="AB1340" s="117"/>
      <c r="AC1340" s="117"/>
      <c r="AD1340" s="117"/>
      <c r="AE1340" s="117"/>
      <c r="AF1340" s="117"/>
      <c r="AG1340" s="117"/>
      <c r="AH1340" s="117"/>
      <c r="AI1340" s="117"/>
      <c r="AJ1340" s="117"/>
      <c r="AK1340" s="117"/>
      <c r="AL1340" s="117"/>
      <c r="AM1340" s="117"/>
      <c r="AN1340" s="117"/>
      <c r="AO1340" s="117"/>
      <c r="AP1340" s="117"/>
      <c r="AQ1340" s="117"/>
      <c r="AR1340" s="117"/>
      <c r="AS1340" s="117"/>
      <c r="AT1340" s="117"/>
      <c r="AU1340" s="117"/>
      <c r="AV1340" s="117"/>
      <c r="AW1340" s="117"/>
      <c r="AX1340" s="117"/>
      <c r="AY1340" s="117"/>
      <c r="AZ1340" s="117"/>
      <c r="BA1340" s="117"/>
      <c r="BB1340" s="117"/>
      <c r="BC1340" s="117"/>
      <c r="BD1340" s="117"/>
      <c r="BE1340" s="117"/>
      <c r="BF1340" s="117"/>
      <c r="BG1340" s="117"/>
    </row>
    <row r="1341" spans="1:59">
      <c r="A1341" s="117"/>
      <c r="B1341" s="117"/>
      <c r="C1341" s="117"/>
      <c r="D1341" s="117"/>
      <c r="E1341" s="117"/>
      <c r="F1341" s="117"/>
      <c r="G1341" s="117"/>
      <c r="H1341" s="117"/>
      <c r="I1341" s="117"/>
      <c r="J1341" s="118"/>
      <c r="K1341" s="118"/>
      <c r="L1341" s="118"/>
      <c r="M1341" s="118"/>
      <c r="N1341" s="117"/>
      <c r="O1341" s="117"/>
      <c r="P1341" s="117"/>
      <c r="Q1341" s="117"/>
      <c r="R1341" s="117"/>
      <c r="S1341" s="117"/>
      <c r="T1341" s="117"/>
      <c r="U1341" s="117"/>
      <c r="V1341" s="117"/>
      <c r="W1341" s="117"/>
      <c r="X1341" s="117"/>
      <c r="Y1341" s="117"/>
      <c r="Z1341" s="117"/>
      <c r="AA1341" s="117"/>
      <c r="AB1341" s="117"/>
      <c r="AC1341" s="117"/>
      <c r="AD1341" s="117"/>
      <c r="AE1341" s="117"/>
      <c r="AF1341" s="117"/>
      <c r="AG1341" s="117"/>
      <c r="AH1341" s="117"/>
      <c r="AI1341" s="117"/>
      <c r="AJ1341" s="117"/>
      <c r="AK1341" s="117"/>
      <c r="AL1341" s="117"/>
      <c r="AM1341" s="117"/>
      <c r="AN1341" s="117"/>
      <c r="AO1341" s="117"/>
      <c r="AP1341" s="117"/>
      <c r="AQ1341" s="117"/>
      <c r="AR1341" s="117"/>
      <c r="AS1341" s="117"/>
      <c r="AT1341" s="117"/>
      <c r="AU1341" s="117"/>
      <c r="AV1341" s="117"/>
      <c r="AW1341" s="117"/>
      <c r="AX1341" s="117"/>
      <c r="AY1341" s="117"/>
      <c r="AZ1341" s="117"/>
      <c r="BA1341" s="117"/>
      <c r="BB1341" s="117"/>
      <c r="BC1341" s="117"/>
      <c r="BD1341" s="117"/>
      <c r="BE1341" s="117"/>
      <c r="BF1341" s="117"/>
      <c r="BG1341" s="117"/>
    </row>
    <row r="1342" spans="1:59">
      <c r="A1342" s="117"/>
      <c r="B1342" s="117"/>
      <c r="C1342" s="117"/>
      <c r="D1342" s="117"/>
      <c r="E1342" s="117"/>
      <c r="F1342" s="117"/>
      <c r="G1342" s="117"/>
      <c r="H1342" s="117"/>
      <c r="I1342" s="117"/>
      <c r="J1342" s="118"/>
      <c r="K1342" s="118"/>
      <c r="L1342" s="118"/>
      <c r="M1342" s="118"/>
      <c r="N1342" s="117"/>
      <c r="O1342" s="117"/>
      <c r="P1342" s="117"/>
      <c r="Q1342" s="117"/>
      <c r="R1342" s="117"/>
      <c r="S1342" s="117"/>
      <c r="T1342" s="117"/>
      <c r="U1342" s="117"/>
      <c r="V1342" s="117"/>
      <c r="W1342" s="117"/>
      <c r="X1342" s="117"/>
      <c r="Y1342" s="117"/>
      <c r="Z1342" s="117"/>
      <c r="AA1342" s="117"/>
      <c r="AB1342" s="117"/>
      <c r="AC1342" s="117"/>
      <c r="AD1342" s="117"/>
      <c r="AE1342" s="117"/>
      <c r="AF1342" s="117"/>
      <c r="AG1342" s="117"/>
      <c r="AH1342" s="117"/>
      <c r="AI1342" s="117"/>
      <c r="AJ1342" s="117"/>
      <c r="AK1342" s="117"/>
      <c r="AL1342" s="117"/>
      <c r="AM1342" s="117"/>
      <c r="AN1342" s="117"/>
      <c r="AO1342" s="117"/>
      <c r="AP1342" s="117"/>
      <c r="AQ1342" s="117"/>
      <c r="AR1342" s="117"/>
      <c r="AS1342" s="117"/>
      <c r="AT1342" s="117"/>
      <c r="AU1342" s="117"/>
      <c r="AV1342" s="117"/>
      <c r="AW1342" s="117"/>
      <c r="AX1342" s="117"/>
      <c r="AY1342" s="117"/>
      <c r="AZ1342" s="117"/>
      <c r="BA1342" s="117"/>
      <c r="BB1342" s="117"/>
      <c r="BC1342" s="117"/>
      <c r="BD1342" s="117"/>
      <c r="BE1342" s="117"/>
      <c r="BF1342" s="117"/>
      <c r="BG1342" s="117"/>
    </row>
    <row r="1343" spans="1:59">
      <c r="A1343" s="117"/>
      <c r="B1343" s="117"/>
      <c r="C1343" s="117"/>
      <c r="D1343" s="117"/>
      <c r="E1343" s="117"/>
      <c r="F1343" s="117"/>
      <c r="G1343" s="117"/>
      <c r="H1343" s="117"/>
      <c r="I1343" s="117"/>
      <c r="J1343" s="118"/>
      <c r="K1343" s="118"/>
      <c r="L1343" s="118"/>
      <c r="M1343" s="118"/>
      <c r="N1343" s="117"/>
      <c r="O1343" s="117"/>
      <c r="P1343" s="117"/>
      <c r="Q1343" s="117"/>
      <c r="R1343" s="117"/>
      <c r="S1343" s="117"/>
      <c r="T1343" s="117"/>
      <c r="U1343" s="117"/>
      <c r="V1343" s="117"/>
      <c r="W1343" s="117"/>
      <c r="X1343" s="117"/>
      <c r="Y1343" s="117"/>
      <c r="Z1343" s="117"/>
      <c r="AA1343" s="117"/>
      <c r="AB1343" s="117"/>
      <c r="AC1343" s="117"/>
      <c r="AD1343" s="117"/>
      <c r="AE1343" s="117"/>
      <c r="AF1343" s="117"/>
      <c r="AG1343" s="117"/>
      <c r="AH1343" s="117"/>
      <c r="AI1343" s="117"/>
      <c r="AJ1343" s="117"/>
      <c r="AK1343" s="117"/>
      <c r="AL1343" s="117"/>
      <c r="AM1343" s="117"/>
      <c r="AN1343" s="117"/>
      <c r="AO1343" s="117"/>
      <c r="AP1343" s="117"/>
      <c r="AQ1343" s="117"/>
      <c r="AR1343" s="117"/>
      <c r="AS1343" s="117"/>
      <c r="AT1343" s="117"/>
      <c r="AU1343" s="117"/>
      <c r="AV1343" s="117"/>
      <c r="AW1343" s="117"/>
      <c r="AX1343" s="117"/>
      <c r="AY1343" s="117"/>
      <c r="AZ1343" s="117"/>
      <c r="BA1343" s="117"/>
      <c r="BB1343" s="117"/>
      <c r="BC1343" s="117"/>
      <c r="BD1343" s="117"/>
      <c r="BE1343" s="117"/>
      <c r="BF1343" s="117"/>
      <c r="BG1343" s="117"/>
    </row>
    <row r="1344" spans="1:59">
      <c r="A1344" s="117"/>
      <c r="B1344" s="117"/>
      <c r="C1344" s="117"/>
      <c r="D1344" s="117"/>
      <c r="E1344" s="117"/>
      <c r="F1344" s="117"/>
      <c r="G1344" s="117"/>
      <c r="H1344" s="117"/>
      <c r="I1344" s="117"/>
      <c r="J1344" s="118"/>
      <c r="K1344" s="118"/>
      <c r="L1344" s="118"/>
      <c r="M1344" s="118"/>
      <c r="N1344" s="117"/>
      <c r="O1344" s="117"/>
      <c r="P1344" s="117"/>
      <c r="Q1344" s="117"/>
      <c r="R1344" s="117"/>
      <c r="S1344" s="117"/>
      <c r="T1344" s="117"/>
      <c r="U1344" s="117"/>
      <c r="V1344" s="117"/>
      <c r="W1344" s="117"/>
      <c r="X1344" s="117"/>
      <c r="Y1344" s="117"/>
      <c r="Z1344" s="117"/>
      <c r="AA1344" s="117"/>
      <c r="AB1344" s="117"/>
      <c r="AC1344" s="117"/>
      <c r="AD1344" s="117"/>
      <c r="AE1344" s="117"/>
      <c r="AF1344" s="117"/>
      <c r="AG1344" s="117"/>
      <c r="AH1344" s="117"/>
      <c r="AI1344" s="117"/>
      <c r="AJ1344" s="117"/>
      <c r="AK1344" s="117"/>
      <c r="AL1344" s="117"/>
      <c r="AM1344" s="117"/>
      <c r="AN1344" s="117"/>
      <c r="AO1344" s="117"/>
      <c r="AP1344" s="117"/>
      <c r="AQ1344" s="117"/>
      <c r="AR1344" s="117"/>
      <c r="AS1344" s="117"/>
      <c r="AT1344" s="117"/>
      <c r="AU1344" s="117"/>
      <c r="AV1344" s="117"/>
      <c r="AW1344" s="117"/>
      <c r="AX1344" s="117"/>
      <c r="AY1344" s="117"/>
      <c r="AZ1344" s="117"/>
      <c r="BA1344" s="117"/>
      <c r="BB1344" s="117"/>
      <c r="BC1344" s="117"/>
      <c r="BD1344" s="117"/>
      <c r="BE1344" s="117"/>
      <c r="BF1344" s="117"/>
      <c r="BG1344" s="117"/>
    </row>
    <row r="1345" spans="1:59">
      <c r="A1345" s="117"/>
      <c r="B1345" s="117"/>
      <c r="C1345" s="117"/>
      <c r="D1345" s="117"/>
      <c r="E1345" s="117"/>
      <c r="F1345" s="117"/>
      <c r="G1345" s="117"/>
      <c r="H1345" s="117"/>
      <c r="I1345" s="117"/>
      <c r="J1345" s="118"/>
      <c r="K1345" s="118"/>
      <c r="L1345" s="118"/>
      <c r="M1345" s="118"/>
      <c r="N1345" s="117"/>
      <c r="O1345" s="117"/>
      <c r="P1345" s="117"/>
      <c r="Q1345" s="117"/>
      <c r="R1345" s="117"/>
      <c r="S1345" s="117"/>
      <c r="T1345" s="117"/>
      <c r="U1345" s="117"/>
      <c r="V1345" s="117"/>
      <c r="W1345" s="117"/>
      <c r="X1345" s="117"/>
      <c r="Y1345" s="117"/>
      <c r="Z1345" s="117"/>
      <c r="AA1345" s="117"/>
      <c r="AB1345" s="117"/>
      <c r="AC1345" s="117"/>
      <c r="AD1345" s="117"/>
      <c r="AE1345" s="117"/>
      <c r="AF1345" s="117"/>
      <c r="AG1345" s="117"/>
      <c r="AH1345" s="117"/>
      <c r="AI1345" s="117"/>
      <c r="AJ1345" s="117"/>
      <c r="AK1345" s="117"/>
      <c r="AL1345" s="117"/>
      <c r="AM1345" s="117"/>
      <c r="AN1345" s="117"/>
      <c r="AO1345" s="117"/>
      <c r="AP1345" s="117"/>
      <c r="AQ1345" s="117"/>
      <c r="AR1345" s="117"/>
      <c r="AS1345" s="117"/>
      <c r="AT1345" s="117"/>
      <c r="AU1345" s="117"/>
      <c r="AV1345" s="117"/>
      <c r="AW1345" s="117"/>
      <c r="AX1345" s="117"/>
      <c r="AY1345" s="117"/>
      <c r="AZ1345" s="117"/>
      <c r="BA1345" s="117"/>
      <c r="BB1345" s="117"/>
      <c r="BC1345" s="117"/>
      <c r="BD1345" s="117"/>
      <c r="BE1345" s="117"/>
      <c r="BF1345" s="117"/>
      <c r="BG1345" s="117"/>
    </row>
    <row r="1346" spans="1:59">
      <c r="A1346" s="117"/>
      <c r="B1346" s="117"/>
      <c r="C1346" s="117"/>
      <c r="D1346" s="117"/>
      <c r="E1346" s="117"/>
      <c r="F1346" s="117"/>
      <c r="G1346" s="117"/>
      <c r="H1346" s="117"/>
      <c r="I1346" s="117"/>
      <c r="J1346" s="118"/>
      <c r="K1346" s="118"/>
      <c r="L1346" s="118"/>
      <c r="M1346" s="118"/>
      <c r="N1346" s="117"/>
      <c r="O1346" s="117"/>
      <c r="P1346" s="117"/>
      <c r="Q1346" s="117"/>
      <c r="R1346" s="117"/>
      <c r="S1346" s="117"/>
      <c r="T1346" s="117"/>
      <c r="U1346" s="117"/>
      <c r="V1346" s="117"/>
      <c r="W1346" s="117"/>
      <c r="X1346" s="117"/>
      <c r="Y1346" s="117"/>
      <c r="Z1346" s="117"/>
      <c r="AA1346" s="117"/>
      <c r="AB1346" s="117"/>
      <c r="AC1346" s="117"/>
      <c r="AD1346" s="117"/>
      <c r="AE1346" s="117"/>
      <c r="AF1346" s="117"/>
      <c r="AG1346" s="117"/>
      <c r="AH1346" s="117"/>
      <c r="AI1346" s="117"/>
      <c r="AJ1346" s="117"/>
      <c r="AK1346" s="117"/>
      <c r="AL1346" s="117"/>
      <c r="AM1346" s="117"/>
      <c r="AN1346" s="117"/>
      <c r="AO1346" s="117"/>
      <c r="AP1346" s="117"/>
      <c r="AQ1346" s="117"/>
      <c r="AR1346" s="117"/>
      <c r="AS1346" s="117"/>
      <c r="AT1346" s="117"/>
      <c r="AU1346" s="117"/>
      <c r="AV1346" s="117"/>
      <c r="AW1346" s="117"/>
      <c r="AX1346" s="117"/>
      <c r="AY1346" s="117"/>
      <c r="AZ1346" s="117"/>
      <c r="BA1346" s="117"/>
      <c r="BB1346" s="117"/>
      <c r="BC1346" s="117"/>
      <c r="BD1346" s="117"/>
      <c r="BE1346" s="117"/>
      <c r="BF1346" s="117"/>
      <c r="BG1346" s="117"/>
    </row>
    <row r="1347" spans="1:59">
      <c r="A1347" s="117"/>
      <c r="B1347" s="117"/>
      <c r="C1347" s="117"/>
      <c r="D1347" s="117"/>
      <c r="E1347" s="117"/>
      <c r="F1347" s="117"/>
      <c r="G1347" s="117"/>
      <c r="H1347" s="117"/>
      <c r="I1347" s="117"/>
      <c r="J1347" s="118"/>
      <c r="K1347" s="118"/>
      <c r="L1347" s="118"/>
      <c r="M1347" s="118"/>
      <c r="N1347" s="117"/>
      <c r="O1347" s="117"/>
      <c r="P1347" s="117"/>
      <c r="Q1347" s="117"/>
      <c r="R1347" s="117"/>
      <c r="S1347" s="117"/>
      <c r="T1347" s="117"/>
      <c r="U1347" s="117"/>
      <c r="V1347" s="117"/>
      <c r="W1347" s="117"/>
      <c r="X1347" s="117"/>
      <c r="Y1347" s="117"/>
      <c r="Z1347" s="117"/>
      <c r="AA1347" s="117"/>
      <c r="AB1347" s="117"/>
      <c r="AC1347" s="117"/>
      <c r="AD1347" s="117"/>
      <c r="AE1347" s="117"/>
      <c r="AF1347" s="117"/>
      <c r="AG1347" s="117"/>
      <c r="AH1347" s="117"/>
      <c r="AI1347" s="117"/>
      <c r="AJ1347" s="117"/>
      <c r="AK1347" s="117"/>
      <c r="AL1347" s="117"/>
      <c r="AM1347" s="117"/>
      <c r="AN1347" s="117"/>
      <c r="AO1347" s="117"/>
      <c r="AP1347" s="117"/>
      <c r="AQ1347" s="117"/>
      <c r="AR1347" s="117"/>
      <c r="AS1347" s="117"/>
      <c r="AT1347" s="117"/>
      <c r="AU1347" s="117"/>
      <c r="AV1347" s="117"/>
      <c r="AW1347" s="117"/>
      <c r="AX1347" s="117"/>
      <c r="AY1347" s="117"/>
      <c r="AZ1347" s="117"/>
      <c r="BA1347" s="117"/>
      <c r="BB1347" s="117"/>
      <c r="BC1347" s="117"/>
      <c r="BD1347" s="117"/>
      <c r="BE1347" s="117"/>
      <c r="BF1347" s="117"/>
      <c r="BG1347" s="117"/>
    </row>
    <row r="1348" spans="1:59">
      <c r="A1348" s="117"/>
      <c r="B1348" s="117"/>
      <c r="C1348" s="117"/>
      <c r="D1348" s="117"/>
      <c r="E1348" s="117"/>
      <c r="F1348" s="117"/>
      <c r="G1348" s="117"/>
      <c r="H1348" s="117"/>
      <c r="I1348" s="117"/>
      <c r="J1348" s="118"/>
      <c r="K1348" s="118"/>
      <c r="L1348" s="118"/>
      <c r="M1348" s="118"/>
      <c r="N1348" s="117"/>
      <c r="O1348" s="117"/>
      <c r="P1348" s="117"/>
      <c r="Q1348" s="117"/>
      <c r="R1348" s="117"/>
      <c r="S1348" s="117"/>
      <c r="T1348" s="117"/>
      <c r="U1348" s="117"/>
      <c r="V1348" s="117"/>
      <c r="W1348" s="117"/>
      <c r="X1348" s="117"/>
      <c r="Y1348" s="117"/>
      <c r="Z1348" s="117"/>
      <c r="AA1348" s="117"/>
      <c r="AB1348" s="117"/>
      <c r="AC1348" s="117"/>
      <c r="AD1348" s="117"/>
      <c r="AE1348" s="117"/>
      <c r="AF1348" s="117"/>
      <c r="AG1348" s="117"/>
      <c r="AH1348" s="117"/>
      <c r="AI1348" s="117"/>
      <c r="AJ1348" s="117"/>
      <c r="AK1348" s="117"/>
      <c r="AL1348" s="117"/>
      <c r="AM1348" s="117"/>
      <c r="AN1348" s="117"/>
      <c r="AO1348" s="117"/>
      <c r="AP1348" s="117"/>
      <c r="AQ1348" s="117"/>
      <c r="AR1348" s="117"/>
      <c r="AS1348" s="117"/>
      <c r="AT1348" s="117"/>
      <c r="AU1348" s="117"/>
      <c r="AV1348" s="117"/>
      <c r="AW1348" s="117"/>
      <c r="AX1348" s="117"/>
      <c r="AY1348" s="117"/>
      <c r="AZ1348" s="117"/>
      <c r="BA1348" s="117"/>
      <c r="BB1348" s="117"/>
      <c r="BC1348" s="117"/>
      <c r="BD1348" s="117"/>
      <c r="BE1348" s="117"/>
      <c r="BF1348" s="117"/>
      <c r="BG1348" s="117"/>
    </row>
    <row r="1349" spans="1:59">
      <c r="A1349" s="117"/>
      <c r="B1349" s="117"/>
      <c r="C1349" s="117"/>
      <c r="D1349" s="117"/>
      <c r="E1349" s="117"/>
      <c r="F1349" s="117"/>
      <c r="G1349" s="117"/>
      <c r="H1349" s="117"/>
      <c r="I1349" s="117"/>
      <c r="J1349" s="118"/>
      <c r="K1349" s="118"/>
      <c r="L1349" s="118"/>
      <c r="M1349" s="118"/>
      <c r="N1349" s="117"/>
      <c r="O1349" s="117"/>
      <c r="P1349" s="117"/>
      <c r="Q1349" s="117"/>
      <c r="R1349" s="117"/>
      <c r="S1349" s="117"/>
      <c r="T1349" s="117"/>
      <c r="U1349" s="117"/>
      <c r="V1349" s="117"/>
      <c r="W1349" s="117"/>
      <c r="X1349" s="117"/>
      <c r="Y1349" s="117"/>
      <c r="Z1349" s="117"/>
      <c r="AA1349" s="117"/>
      <c r="AB1349" s="117"/>
      <c r="AC1349" s="117"/>
      <c r="AD1349" s="117"/>
      <c r="AE1349" s="117"/>
      <c r="AF1349" s="117"/>
      <c r="AG1349" s="117"/>
      <c r="AH1349" s="117"/>
      <c r="AI1349" s="117"/>
      <c r="AJ1349" s="117"/>
      <c r="AK1349" s="117"/>
      <c r="AL1349" s="117"/>
      <c r="AM1349" s="117"/>
      <c r="AN1349" s="117"/>
      <c r="AO1349" s="117"/>
      <c r="AP1349" s="117"/>
      <c r="AQ1349" s="117"/>
      <c r="AR1349" s="117"/>
      <c r="AS1349" s="117"/>
      <c r="AT1349" s="117"/>
      <c r="AU1349" s="117"/>
      <c r="AV1349" s="117"/>
      <c r="AW1349" s="117"/>
      <c r="AX1349" s="117"/>
      <c r="AY1349" s="117"/>
      <c r="AZ1349" s="117"/>
      <c r="BA1349" s="117"/>
      <c r="BB1349" s="117"/>
      <c r="BC1349" s="117"/>
      <c r="BD1349" s="117"/>
      <c r="BE1349" s="117"/>
      <c r="BF1349" s="117"/>
      <c r="BG1349" s="117"/>
    </row>
    <row r="1350" spans="1:59">
      <c r="A1350" s="117"/>
      <c r="B1350" s="117"/>
      <c r="C1350" s="117"/>
      <c r="D1350" s="117"/>
      <c r="E1350" s="117"/>
      <c r="F1350" s="117"/>
      <c r="G1350" s="117"/>
      <c r="H1350" s="117"/>
      <c r="I1350" s="117"/>
      <c r="J1350" s="118"/>
      <c r="K1350" s="118"/>
      <c r="L1350" s="118"/>
      <c r="M1350" s="118"/>
      <c r="N1350" s="117"/>
      <c r="O1350" s="117"/>
      <c r="P1350" s="117"/>
      <c r="Q1350" s="117"/>
      <c r="R1350" s="117"/>
      <c r="S1350" s="117"/>
      <c r="T1350" s="117"/>
      <c r="U1350" s="117"/>
      <c r="V1350" s="117"/>
      <c r="W1350" s="117"/>
      <c r="X1350" s="117"/>
      <c r="Y1350" s="117"/>
      <c r="Z1350" s="117"/>
      <c r="AA1350" s="117"/>
      <c r="AB1350" s="117"/>
      <c r="AC1350" s="117"/>
      <c r="AD1350" s="117"/>
      <c r="AE1350" s="117"/>
      <c r="AF1350" s="117"/>
      <c r="AG1350" s="117"/>
      <c r="AH1350" s="117"/>
      <c r="AI1350" s="117"/>
      <c r="AJ1350" s="117"/>
      <c r="AK1350" s="117"/>
      <c r="AL1350" s="117"/>
      <c r="AM1350" s="117"/>
      <c r="AN1350" s="117"/>
      <c r="AO1350" s="117"/>
      <c r="AP1350" s="117"/>
      <c r="AQ1350" s="117"/>
      <c r="AR1350" s="117"/>
      <c r="AS1350" s="117"/>
      <c r="AT1350" s="117"/>
      <c r="AU1350" s="117"/>
      <c r="AV1350" s="117"/>
      <c r="AW1350" s="117"/>
      <c r="AX1350" s="117"/>
      <c r="AY1350" s="117"/>
      <c r="AZ1350" s="117"/>
      <c r="BA1350" s="117"/>
      <c r="BB1350" s="117"/>
      <c r="BC1350" s="117"/>
      <c r="BD1350" s="117"/>
      <c r="BE1350" s="117"/>
      <c r="BF1350" s="117"/>
      <c r="BG1350" s="117"/>
    </row>
    <row r="1351" spans="1:59">
      <c r="A1351" s="117"/>
      <c r="B1351" s="117"/>
      <c r="C1351" s="117"/>
      <c r="D1351" s="117"/>
      <c r="E1351" s="117"/>
      <c r="F1351" s="117"/>
      <c r="G1351" s="117"/>
      <c r="H1351" s="117"/>
      <c r="I1351" s="117"/>
      <c r="J1351" s="118"/>
      <c r="K1351" s="118"/>
      <c r="L1351" s="118"/>
      <c r="M1351" s="118"/>
      <c r="N1351" s="117"/>
      <c r="O1351" s="117"/>
      <c r="P1351" s="117"/>
      <c r="Q1351" s="117"/>
      <c r="R1351" s="117"/>
      <c r="S1351" s="117"/>
      <c r="T1351" s="117"/>
      <c r="U1351" s="117"/>
      <c r="V1351" s="117"/>
      <c r="W1351" s="117"/>
      <c r="X1351" s="117"/>
      <c r="Y1351" s="117"/>
      <c r="Z1351" s="117"/>
      <c r="AA1351" s="117"/>
      <c r="AB1351" s="117"/>
      <c r="AC1351" s="117"/>
      <c r="AD1351" s="117"/>
      <c r="AE1351" s="117"/>
      <c r="AF1351" s="117"/>
      <c r="AG1351" s="117"/>
      <c r="AH1351" s="117"/>
      <c r="AI1351" s="117"/>
      <c r="AJ1351" s="117"/>
      <c r="AK1351" s="117"/>
      <c r="AL1351" s="117"/>
      <c r="AM1351" s="117"/>
      <c r="AN1351" s="117"/>
      <c r="AO1351" s="117"/>
      <c r="AP1351" s="117"/>
      <c r="AQ1351" s="117"/>
      <c r="AR1351" s="117"/>
      <c r="AS1351" s="117"/>
      <c r="AT1351" s="117"/>
      <c r="AU1351" s="117"/>
      <c r="AV1351" s="117"/>
      <c r="AW1351" s="117"/>
      <c r="AX1351" s="117"/>
      <c r="AY1351" s="117"/>
      <c r="AZ1351" s="117"/>
      <c r="BA1351" s="117"/>
      <c r="BB1351" s="117"/>
      <c r="BC1351" s="117"/>
      <c r="BD1351" s="117"/>
      <c r="BE1351" s="117"/>
      <c r="BF1351" s="117"/>
      <c r="BG1351" s="117"/>
    </row>
    <row r="1352" spans="1:59">
      <c r="A1352" s="117"/>
      <c r="B1352" s="117"/>
      <c r="C1352" s="117"/>
      <c r="D1352" s="117"/>
      <c r="E1352" s="117"/>
      <c r="F1352" s="117"/>
      <c r="G1352" s="117"/>
      <c r="H1352" s="117"/>
      <c r="I1352" s="117"/>
      <c r="J1352" s="118"/>
      <c r="K1352" s="118"/>
      <c r="L1352" s="118"/>
      <c r="M1352" s="118"/>
      <c r="N1352" s="117"/>
      <c r="O1352" s="117"/>
      <c r="P1352" s="117"/>
      <c r="Q1352" s="117"/>
      <c r="R1352" s="117"/>
      <c r="S1352" s="117"/>
      <c r="T1352" s="117"/>
      <c r="U1352" s="117"/>
      <c r="V1352" s="117"/>
      <c r="W1352" s="117"/>
      <c r="X1352" s="117"/>
      <c r="Y1352" s="117"/>
      <c r="Z1352" s="117"/>
      <c r="AA1352" s="117"/>
      <c r="AB1352" s="117"/>
      <c r="AC1352" s="117"/>
      <c r="AD1352" s="117"/>
      <c r="AE1352" s="117"/>
      <c r="AF1352" s="117"/>
      <c r="AG1352" s="117"/>
      <c r="AH1352" s="117"/>
      <c r="AI1352" s="117"/>
      <c r="AJ1352" s="117"/>
      <c r="AK1352" s="117"/>
      <c r="AL1352" s="117"/>
      <c r="AM1352" s="117"/>
      <c r="AN1352" s="117"/>
      <c r="AO1352" s="117"/>
      <c r="AP1352" s="117"/>
      <c r="AQ1352" s="117"/>
      <c r="AR1352" s="117"/>
      <c r="AS1352" s="117"/>
      <c r="AT1352" s="117"/>
      <c r="AU1352" s="117"/>
      <c r="AV1352" s="117"/>
      <c r="AW1352" s="117"/>
      <c r="AX1352" s="117"/>
      <c r="AY1352" s="117"/>
      <c r="AZ1352" s="117"/>
      <c r="BA1352" s="117"/>
      <c r="BB1352" s="117"/>
      <c r="BC1352" s="117"/>
      <c r="BD1352" s="117"/>
      <c r="BE1352" s="117"/>
      <c r="BF1352" s="117"/>
      <c r="BG1352" s="117"/>
    </row>
    <row r="1353" spans="1:59">
      <c r="A1353" s="117"/>
      <c r="B1353" s="117"/>
      <c r="C1353" s="117"/>
      <c r="D1353" s="117"/>
      <c r="E1353" s="117"/>
      <c r="F1353" s="117"/>
      <c r="G1353" s="117"/>
      <c r="H1353" s="117"/>
      <c r="I1353" s="117"/>
      <c r="J1353" s="118"/>
      <c r="K1353" s="118"/>
      <c r="L1353" s="118"/>
      <c r="M1353" s="118"/>
      <c r="N1353" s="117"/>
      <c r="O1353" s="117"/>
      <c r="P1353" s="117"/>
      <c r="Q1353" s="117"/>
      <c r="R1353" s="117"/>
      <c r="S1353" s="117"/>
      <c r="T1353" s="117"/>
      <c r="U1353" s="117"/>
      <c r="V1353" s="117"/>
      <c r="W1353" s="117"/>
      <c r="X1353" s="117"/>
      <c r="Y1353" s="117"/>
      <c r="Z1353" s="117"/>
      <c r="AA1353" s="117"/>
      <c r="AB1353" s="117"/>
      <c r="AC1353" s="117"/>
      <c r="AD1353" s="117"/>
      <c r="AE1353" s="117"/>
      <c r="AF1353" s="117"/>
      <c r="AG1353" s="117"/>
      <c r="AH1353" s="117"/>
      <c r="AI1353" s="117"/>
      <c r="AJ1353" s="117"/>
      <c r="AK1353" s="117"/>
      <c r="AL1353" s="117"/>
      <c r="AM1353" s="117"/>
      <c r="AN1353" s="117"/>
      <c r="AO1353" s="117"/>
      <c r="AP1353" s="117"/>
      <c r="AQ1353" s="117"/>
      <c r="AR1353" s="117"/>
      <c r="AS1353" s="117"/>
      <c r="AT1353" s="117"/>
      <c r="AU1353" s="117"/>
      <c r="AV1353" s="117"/>
      <c r="AW1353" s="117"/>
      <c r="AX1353" s="117"/>
      <c r="AY1353" s="117"/>
      <c r="AZ1353" s="117"/>
      <c r="BA1353" s="117"/>
      <c r="BB1353" s="117"/>
      <c r="BC1353" s="117"/>
      <c r="BD1353" s="117"/>
      <c r="BE1353" s="117"/>
      <c r="BF1353" s="117"/>
      <c r="BG1353" s="117"/>
    </row>
    <row r="1354" spans="1:59">
      <c r="A1354" s="117"/>
      <c r="B1354" s="117"/>
      <c r="C1354" s="117"/>
      <c r="D1354" s="117"/>
      <c r="E1354" s="117"/>
      <c r="F1354" s="117"/>
      <c r="G1354" s="117"/>
      <c r="H1354" s="117"/>
      <c r="I1354" s="117"/>
      <c r="J1354" s="118"/>
      <c r="K1354" s="118"/>
      <c r="L1354" s="118"/>
      <c r="M1354" s="118"/>
      <c r="N1354" s="117"/>
      <c r="O1354" s="117"/>
      <c r="P1354" s="117"/>
      <c r="Q1354" s="117"/>
      <c r="R1354" s="117"/>
      <c r="S1354" s="117"/>
      <c r="T1354" s="117"/>
      <c r="U1354" s="117"/>
      <c r="V1354" s="117"/>
      <c r="W1354" s="117"/>
      <c r="X1354" s="117"/>
      <c r="Y1354" s="117"/>
      <c r="Z1354" s="117"/>
      <c r="AA1354" s="117"/>
      <c r="AB1354" s="117"/>
      <c r="AC1354" s="117"/>
      <c r="AD1354" s="117"/>
      <c r="AE1354" s="117"/>
      <c r="AF1354" s="117"/>
      <c r="AG1354" s="117"/>
      <c r="AH1354" s="117"/>
      <c r="AI1354" s="117"/>
      <c r="AJ1354" s="117"/>
      <c r="AK1354" s="117"/>
      <c r="AL1354" s="117"/>
      <c r="AM1354" s="117"/>
      <c r="AN1354" s="117"/>
      <c r="AO1354" s="117"/>
      <c r="AP1354" s="117"/>
      <c r="AQ1354" s="117"/>
      <c r="AR1354" s="117"/>
      <c r="AS1354" s="117"/>
      <c r="AT1354" s="117"/>
      <c r="AU1354" s="117"/>
      <c r="AV1354" s="117"/>
      <c r="AW1354" s="117"/>
      <c r="AX1354" s="117"/>
      <c r="AY1354" s="117"/>
      <c r="AZ1354" s="117"/>
      <c r="BA1354" s="117"/>
      <c r="BB1354" s="117"/>
      <c r="BC1354" s="117"/>
      <c r="BD1354" s="117"/>
      <c r="BE1354" s="117"/>
      <c r="BF1354" s="117"/>
      <c r="BG1354" s="117"/>
    </row>
    <row r="1355" spans="1:59">
      <c r="A1355" s="117"/>
      <c r="B1355" s="117"/>
      <c r="C1355" s="117"/>
      <c r="D1355" s="117"/>
      <c r="E1355" s="117"/>
      <c r="F1355" s="117"/>
      <c r="G1355" s="117"/>
      <c r="H1355" s="117"/>
      <c r="I1355" s="117"/>
      <c r="J1355" s="118"/>
      <c r="K1355" s="118"/>
      <c r="L1355" s="118"/>
      <c r="M1355" s="118"/>
      <c r="N1355" s="117"/>
      <c r="O1355" s="117"/>
      <c r="P1355" s="117"/>
      <c r="Q1355" s="117"/>
      <c r="R1355" s="117"/>
      <c r="S1355" s="117"/>
      <c r="T1355" s="117"/>
      <c r="U1355" s="117"/>
      <c r="V1355" s="117"/>
      <c r="W1355" s="117"/>
      <c r="X1355" s="117"/>
      <c r="Y1355" s="117"/>
      <c r="Z1355" s="117"/>
      <c r="AA1355" s="117"/>
      <c r="AB1355" s="117"/>
      <c r="AC1355" s="117"/>
      <c r="AD1355" s="117"/>
      <c r="AE1355" s="117"/>
      <c r="AF1355" s="117"/>
      <c r="AG1355" s="117"/>
      <c r="AH1355" s="117"/>
      <c r="AI1355" s="117"/>
      <c r="AJ1355" s="117"/>
      <c r="AK1355" s="117"/>
      <c r="AL1355" s="117"/>
      <c r="AM1355" s="117"/>
      <c r="AN1355" s="117"/>
      <c r="AO1355" s="117"/>
      <c r="AP1355" s="117"/>
      <c r="AQ1355" s="117"/>
      <c r="AR1355" s="117"/>
      <c r="AS1355" s="117"/>
      <c r="AT1355" s="117"/>
      <c r="AU1355" s="117"/>
      <c r="AV1355" s="117"/>
      <c r="AW1355" s="117"/>
      <c r="AX1355" s="117"/>
      <c r="AY1355" s="117"/>
      <c r="AZ1355" s="117"/>
      <c r="BA1355" s="117"/>
      <c r="BB1355" s="117"/>
      <c r="BC1355" s="117"/>
      <c r="BD1355" s="117"/>
      <c r="BE1355" s="117"/>
      <c r="BF1355" s="117"/>
      <c r="BG1355" s="117"/>
    </row>
    <row r="1356" spans="1:59">
      <c r="A1356" s="117"/>
      <c r="B1356" s="117"/>
      <c r="C1356" s="117"/>
      <c r="D1356" s="117"/>
      <c r="E1356" s="117"/>
      <c r="F1356" s="117"/>
      <c r="G1356" s="117"/>
      <c r="H1356" s="117"/>
      <c r="I1356" s="117"/>
      <c r="J1356" s="118"/>
      <c r="K1356" s="118"/>
      <c r="L1356" s="118"/>
      <c r="M1356" s="118"/>
      <c r="N1356" s="117"/>
      <c r="O1356" s="117"/>
      <c r="P1356" s="117"/>
      <c r="Q1356" s="117"/>
      <c r="R1356" s="117"/>
      <c r="S1356" s="117"/>
      <c r="T1356" s="117"/>
      <c r="U1356" s="117"/>
      <c r="V1356" s="117"/>
      <c r="W1356" s="117"/>
      <c r="X1356" s="117"/>
      <c r="Y1356" s="117"/>
      <c r="Z1356" s="117"/>
      <c r="AA1356" s="117"/>
      <c r="AB1356" s="117"/>
      <c r="AC1356" s="117"/>
      <c r="AD1356" s="117"/>
      <c r="AE1356" s="117"/>
      <c r="AF1356" s="117"/>
      <c r="AG1356" s="117"/>
      <c r="AH1356" s="117"/>
      <c r="AI1356" s="117"/>
      <c r="AJ1356" s="117"/>
      <c r="AK1356" s="117"/>
      <c r="AL1356" s="117"/>
      <c r="AM1356" s="117"/>
      <c r="AN1356" s="117"/>
      <c r="AO1356" s="117"/>
      <c r="AP1356" s="117"/>
      <c r="AQ1356" s="117"/>
      <c r="AR1356" s="117"/>
      <c r="AS1356" s="117"/>
      <c r="AT1356" s="117"/>
      <c r="AU1356" s="117"/>
      <c r="AV1356" s="117"/>
      <c r="AW1356" s="117"/>
      <c r="AX1356" s="117"/>
      <c r="AY1356" s="117"/>
      <c r="AZ1356" s="117"/>
      <c r="BA1356" s="117"/>
      <c r="BB1356" s="117"/>
      <c r="BC1356" s="117"/>
      <c r="BD1356" s="117"/>
      <c r="BE1356" s="117"/>
      <c r="BF1356" s="117"/>
      <c r="BG1356" s="117"/>
    </row>
    <row r="1357" spans="1:59">
      <c r="A1357" s="117"/>
      <c r="B1357" s="117"/>
      <c r="C1357" s="117"/>
      <c r="D1357" s="117"/>
      <c r="E1357" s="117"/>
      <c r="F1357" s="117"/>
      <c r="G1357" s="117"/>
      <c r="H1357" s="117"/>
      <c r="I1357" s="117"/>
      <c r="J1357" s="118"/>
      <c r="K1357" s="118"/>
      <c r="L1357" s="118"/>
      <c r="M1357" s="118"/>
      <c r="N1357" s="117"/>
      <c r="O1357" s="117"/>
      <c r="P1357" s="117"/>
      <c r="Q1357" s="117"/>
      <c r="R1357" s="117"/>
      <c r="S1357" s="117"/>
      <c r="T1357" s="117"/>
      <c r="U1357" s="117"/>
      <c r="V1357" s="117"/>
      <c r="W1357" s="117"/>
      <c r="X1357" s="117"/>
      <c r="Y1357" s="117"/>
      <c r="Z1357" s="117"/>
      <c r="AA1357" s="117"/>
      <c r="AB1357" s="117"/>
      <c r="AC1357" s="117"/>
      <c r="AD1357" s="117"/>
      <c r="AE1357" s="117"/>
      <c r="AF1357" s="117"/>
      <c r="AG1357" s="117"/>
      <c r="AH1357" s="117"/>
      <c r="AI1357" s="117"/>
      <c r="AJ1357" s="117"/>
      <c r="AK1357" s="117"/>
      <c r="AL1357" s="117"/>
      <c r="AM1357" s="117"/>
      <c r="AN1357" s="117"/>
      <c r="AO1357" s="117"/>
      <c r="AP1357" s="117"/>
      <c r="AQ1357" s="117"/>
      <c r="AR1357" s="117"/>
      <c r="AS1357" s="117"/>
      <c r="AT1357" s="117"/>
      <c r="AU1357" s="117"/>
      <c r="AV1357" s="117"/>
      <c r="AW1357" s="117"/>
      <c r="AX1357" s="117"/>
      <c r="AY1357" s="117"/>
      <c r="AZ1357" s="117"/>
      <c r="BA1357" s="117"/>
      <c r="BB1357" s="117"/>
      <c r="BC1357" s="117"/>
      <c r="BD1357" s="117"/>
      <c r="BE1357" s="117"/>
      <c r="BF1357" s="117"/>
      <c r="BG1357" s="117"/>
    </row>
    <row r="1358" spans="1:59">
      <c r="A1358" s="117"/>
      <c r="B1358" s="117"/>
      <c r="C1358" s="117"/>
      <c r="D1358" s="117"/>
      <c r="E1358" s="117"/>
      <c r="F1358" s="117"/>
      <c r="G1358" s="117"/>
      <c r="H1358" s="117"/>
      <c r="I1358" s="117"/>
      <c r="J1358" s="118"/>
      <c r="K1358" s="118"/>
      <c r="L1358" s="118"/>
      <c r="M1358" s="118"/>
      <c r="N1358" s="117"/>
      <c r="O1358" s="117"/>
      <c r="P1358" s="117"/>
      <c r="Q1358" s="117"/>
      <c r="R1358" s="117"/>
      <c r="S1358" s="117"/>
      <c r="T1358" s="117"/>
      <c r="U1358" s="117"/>
      <c r="V1358" s="117"/>
      <c r="W1358" s="117"/>
      <c r="X1358" s="117"/>
      <c r="Y1358" s="117"/>
      <c r="Z1358" s="117"/>
      <c r="AA1358" s="117"/>
      <c r="AB1358" s="117"/>
      <c r="AC1358" s="117"/>
      <c r="AD1358" s="117"/>
      <c r="AE1358" s="117"/>
      <c r="AF1358" s="117"/>
      <c r="AG1358" s="117"/>
      <c r="AH1358" s="117"/>
      <c r="AI1358" s="117"/>
      <c r="AJ1358" s="117"/>
      <c r="AK1358" s="117"/>
      <c r="AL1358" s="117"/>
      <c r="AM1358" s="117"/>
      <c r="AN1358" s="117"/>
      <c r="AO1358" s="117"/>
      <c r="AP1358" s="117"/>
      <c r="AQ1358" s="117"/>
      <c r="AR1358" s="117"/>
      <c r="AS1358" s="117"/>
      <c r="AT1358" s="117"/>
      <c r="AU1358" s="117"/>
      <c r="AV1358" s="117"/>
      <c r="AW1358" s="117"/>
      <c r="AX1358" s="117"/>
      <c r="AY1358" s="117"/>
      <c r="AZ1358" s="117"/>
      <c r="BA1358" s="117"/>
      <c r="BB1358" s="117"/>
      <c r="BC1358" s="117"/>
      <c r="BD1358" s="117"/>
      <c r="BE1358" s="117"/>
      <c r="BF1358" s="117"/>
      <c r="BG1358" s="117"/>
    </row>
    <row r="1359" spans="1:59">
      <c r="A1359" s="117"/>
      <c r="B1359" s="117"/>
      <c r="C1359" s="117"/>
      <c r="D1359" s="117"/>
      <c r="E1359" s="117"/>
      <c r="F1359" s="117"/>
      <c r="G1359" s="117"/>
      <c r="H1359" s="117"/>
      <c r="I1359" s="117"/>
      <c r="J1359" s="118"/>
      <c r="K1359" s="118"/>
      <c r="L1359" s="118"/>
      <c r="M1359" s="118"/>
      <c r="N1359" s="117"/>
      <c r="O1359" s="117"/>
      <c r="P1359" s="117"/>
      <c r="Q1359" s="117"/>
      <c r="R1359" s="117"/>
      <c r="S1359" s="117"/>
      <c r="T1359" s="117"/>
      <c r="U1359" s="117"/>
      <c r="V1359" s="117"/>
      <c r="W1359" s="117"/>
      <c r="X1359" s="117"/>
      <c r="Y1359" s="117"/>
      <c r="Z1359" s="117"/>
      <c r="AA1359" s="117"/>
      <c r="AB1359" s="117"/>
      <c r="AC1359" s="117"/>
      <c r="AD1359" s="117"/>
      <c r="AE1359" s="117"/>
      <c r="AF1359" s="117"/>
      <c r="AG1359" s="117"/>
      <c r="AH1359" s="117"/>
      <c r="AI1359" s="117"/>
      <c r="AJ1359" s="117"/>
      <c r="AK1359" s="117"/>
      <c r="AL1359" s="117"/>
      <c r="AM1359" s="117"/>
      <c r="AN1359" s="117"/>
      <c r="AO1359" s="117"/>
      <c r="AP1359" s="117"/>
      <c r="AQ1359" s="117"/>
      <c r="AR1359" s="117"/>
      <c r="AS1359" s="117"/>
      <c r="AT1359" s="117"/>
      <c r="AU1359" s="117"/>
      <c r="AV1359" s="117"/>
      <c r="AW1359" s="117"/>
      <c r="AX1359" s="117"/>
      <c r="AY1359" s="117"/>
      <c r="AZ1359" s="117"/>
      <c r="BA1359" s="117"/>
      <c r="BB1359" s="117"/>
      <c r="BC1359" s="117"/>
      <c r="BD1359" s="117"/>
      <c r="BE1359" s="117"/>
      <c r="BF1359" s="117"/>
      <c r="BG1359" s="117"/>
    </row>
    <row r="1360" spans="1:59">
      <c r="A1360" s="117"/>
      <c r="B1360" s="117"/>
      <c r="C1360" s="117"/>
      <c r="D1360" s="117"/>
      <c r="E1360" s="117"/>
      <c r="F1360" s="117"/>
      <c r="G1360" s="117"/>
      <c r="H1360" s="117"/>
      <c r="I1360" s="117"/>
      <c r="J1360" s="118"/>
      <c r="K1360" s="118"/>
      <c r="L1360" s="118"/>
      <c r="M1360" s="118"/>
      <c r="N1360" s="117"/>
      <c r="O1360" s="117"/>
      <c r="P1360" s="117"/>
      <c r="Q1360" s="117"/>
      <c r="R1360" s="117"/>
      <c r="S1360" s="117"/>
      <c r="T1360" s="117"/>
      <c r="U1360" s="117"/>
      <c r="V1360" s="117"/>
      <c r="W1360" s="117"/>
      <c r="X1360" s="117"/>
      <c r="Y1360" s="117"/>
      <c r="Z1360" s="117"/>
      <c r="AA1360" s="117"/>
      <c r="AB1360" s="117"/>
      <c r="AC1360" s="117"/>
      <c r="AD1360" s="117"/>
      <c r="AE1360" s="117"/>
      <c r="AF1360" s="117"/>
      <c r="AG1360" s="117"/>
      <c r="AH1360" s="117"/>
      <c r="AI1360" s="117"/>
      <c r="AJ1360" s="117"/>
      <c r="AK1360" s="117"/>
      <c r="AL1360" s="117"/>
      <c r="AM1360" s="117"/>
      <c r="AN1360" s="117"/>
      <c r="AO1360" s="117"/>
      <c r="AP1360" s="117"/>
      <c r="AQ1360" s="117"/>
      <c r="AR1360" s="117"/>
      <c r="AS1360" s="117"/>
      <c r="AT1360" s="117"/>
      <c r="AU1360" s="117"/>
      <c r="AV1360" s="117"/>
      <c r="AW1360" s="117"/>
      <c r="AX1360" s="117"/>
      <c r="AY1360" s="117"/>
      <c r="AZ1360" s="117"/>
      <c r="BA1360" s="117"/>
      <c r="BB1360" s="117"/>
      <c r="BC1360" s="117"/>
      <c r="BD1360" s="117"/>
      <c r="BE1360" s="117"/>
      <c r="BF1360" s="117"/>
      <c r="BG1360" s="117"/>
    </row>
    <row r="1361" spans="1:59">
      <c r="A1361" s="117"/>
      <c r="B1361" s="117"/>
      <c r="C1361" s="117"/>
      <c r="D1361" s="117"/>
      <c r="E1361" s="117"/>
      <c r="F1361" s="117"/>
      <c r="G1361" s="117"/>
      <c r="H1361" s="117"/>
      <c r="I1361" s="117"/>
      <c r="J1361" s="118"/>
      <c r="K1361" s="118"/>
      <c r="L1361" s="118"/>
      <c r="M1361" s="118"/>
      <c r="N1361" s="117"/>
      <c r="O1361" s="117"/>
      <c r="P1361" s="117"/>
      <c r="Q1361" s="117"/>
      <c r="R1361" s="117"/>
      <c r="S1361" s="117"/>
      <c r="T1361" s="117"/>
      <c r="U1361" s="117"/>
      <c r="V1361" s="117"/>
      <c r="W1361" s="117"/>
      <c r="X1361" s="117"/>
      <c r="Y1361" s="117"/>
      <c r="Z1361" s="117"/>
      <c r="AA1361" s="117"/>
      <c r="AB1361" s="117"/>
      <c r="AC1361" s="117"/>
      <c r="AD1361" s="117"/>
      <c r="AE1361" s="117"/>
      <c r="AF1361" s="117"/>
      <c r="AG1361" s="117"/>
      <c r="AH1361" s="117"/>
      <c r="AI1361" s="117"/>
      <c r="AJ1361" s="117"/>
      <c r="AK1361" s="117"/>
      <c r="AL1361" s="117"/>
      <c r="AM1361" s="117"/>
      <c r="AN1361" s="117"/>
      <c r="AO1361" s="117"/>
      <c r="AP1361" s="117"/>
      <c r="AQ1361" s="117"/>
      <c r="AR1361" s="117"/>
      <c r="AS1361" s="117"/>
      <c r="AT1361" s="117"/>
      <c r="AU1361" s="117"/>
      <c r="AV1361" s="117"/>
      <c r="AW1361" s="117"/>
      <c r="AX1361" s="117"/>
      <c r="AY1361" s="117"/>
      <c r="AZ1361" s="117"/>
      <c r="BA1361" s="117"/>
      <c r="BB1361" s="117"/>
      <c r="BC1361" s="117"/>
      <c r="BD1361" s="117"/>
      <c r="BE1361" s="117"/>
      <c r="BF1361" s="117"/>
      <c r="BG1361" s="117"/>
    </row>
    <row r="1362" spans="1:59">
      <c r="A1362" s="117"/>
      <c r="B1362" s="117"/>
      <c r="C1362" s="117"/>
      <c r="D1362" s="117"/>
      <c r="E1362" s="117"/>
      <c r="F1362" s="117"/>
      <c r="G1362" s="117"/>
      <c r="H1362" s="117"/>
      <c r="I1362" s="117"/>
      <c r="J1362" s="118"/>
      <c r="K1362" s="118"/>
      <c r="L1362" s="118"/>
      <c r="M1362" s="118"/>
      <c r="N1362" s="117"/>
      <c r="O1362" s="117"/>
      <c r="P1362" s="117"/>
      <c r="Q1362" s="117"/>
      <c r="R1362" s="117"/>
      <c r="S1362" s="117"/>
      <c r="T1362" s="117"/>
      <c r="U1362" s="117"/>
      <c r="V1362" s="117"/>
      <c r="W1362" s="117"/>
      <c r="X1362" s="117"/>
      <c r="Y1362" s="117"/>
      <c r="Z1362" s="117"/>
      <c r="AA1362" s="117"/>
      <c r="AB1362" s="117"/>
      <c r="AC1362" s="117"/>
      <c r="AD1362" s="117"/>
      <c r="AE1362" s="117"/>
      <c r="AF1362" s="117"/>
      <c r="AG1362" s="117"/>
      <c r="AH1362" s="117"/>
      <c r="AI1362" s="117"/>
      <c r="AJ1362" s="117"/>
      <c r="AK1362" s="117"/>
      <c r="AL1362" s="117"/>
      <c r="AM1362" s="117"/>
      <c r="AN1362" s="117"/>
      <c r="AO1362" s="117"/>
      <c r="AP1362" s="117"/>
      <c r="AQ1362" s="117"/>
      <c r="AR1362" s="117"/>
      <c r="AS1362" s="117"/>
      <c r="AT1362" s="117"/>
      <c r="AU1362" s="117"/>
      <c r="AV1362" s="117"/>
      <c r="AW1362" s="117"/>
      <c r="AX1362" s="117"/>
      <c r="AY1362" s="117"/>
      <c r="AZ1362" s="117"/>
      <c r="BA1362" s="117"/>
      <c r="BB1362" s="117"/>
      <c r="BC1362" s="117"/>
      <c r="BD1362" s="117"/>
      <c r="BE1362" s="117"/>
      <c r="BF1362" s="117"/>
      <c r="BG1362" s="117"/>
    </row>
    <row r="1363" spans="1:59">
      <c r="A1363" s="117"/>
      <c r="B1363" s="117"/>
      <c r="C1363" s="117"/>
      <c r="D1363" s="117"/>
      <c r="E1363" s="117"/>
      <c r="F1363" s="117"/>
      <c r="G1363" s="117"/>
      <c r="H1363" s="117"/>
      <c r="I1363" s="117"/>
      <c r="J1363" s="118"/>
      <c r="K1363" s="118"/>
      <c r="L1363" s="118"/>
      <c r="M1363" s="118"/>
      <c r="N1363" s="117"/>
      <c r="O1363" s="117"/>
      <c r="P1363" s="117"/>
      <c r="Q1363" s="117"/>
      <c r="R1363" s="117"/>
      <c r="S1363" s="117"/>
      <c r="T1363" s="117"/>
      <c r="U1363" s="117"/>
      <c r="V1363" s="117"/>
      <c r="W1363" s="117"/>
      <c r="X1363" s="117"/>
      <c r="Y1363" s="117"/>
      <c r="Z1363" s="117"/>
      <c r="AA1363" s="117"/>
      <c r="AB1363" s="117"/>
      <c r="AC1363" s="117"/>
      <c r="AD1363" s="117"/>
      <c r="AE1363" s="117"/>
      <c r="AF1363" s="117"/>
      <c r="AG1363" s="117"/>
      <c r="AH1363" s="117"/>
      <c r="AI1363" s="117"/>
      <c r="AJ1363" s="117"/>
      <c r="AK1363" s="117"/>
      <c r="AL1363" s="117"/>
      <c r="AM1363" s="117"/>
      <c r="AN1363" s="117"/>
      <c r="AO1363" s="117"/>
      <c r="AP1363" s="117"/>
      <c r="AQ1363" s="117"/>
      <c r="AR1363" s="117"/>
      <c r="AS1363" s="117"/>
      <c r="AT1363" s="117"/>
      <c r="AU1363" s="117"/>
      <c r="AV1363" s="117"/>
      <c r="AW1363" s="117"/>
      <c r="AX1363" s="117"/>
      <c r="AY1363" s="117"/>
      <c r="AZ1363" s="117"/>
      <c r="BA1363" s="117"/>
      <c r="BB1363" s="117"/>
      <c r="BC1363" s="117"/>
      <c r="BD1363" s="117"/>
      <c r="BE1363" s="117"/>
      <c r="BF1363" s="117"/>
      <c r="BG1363" s="117"/>
    </row>
    <row r="1364" spans="1:59">
      <c r="A1364" s="117"/>
      <c r="B1364" s="117"/>
      <c r="C1364" s="117"/>
      <c r="D1364" s="117"/>
      <c r="E1364" s="117"/>
      <c r="F1364" s="117"/>
      <c r="G1364" s="117"/>
      <c r="H1364" s="117"/>
      <c r="I1364" s="117"/>
      <c r="J1364" s="118"/>
      <c r="K1364" s="118"/>
      <c r="L1364" s="118"/>
      <c r="M1364" s="118"/>
      <c r="N1364" s="117"/>
      <c r="O1364" s="117"/>
      <c r="P1364" s="117"/>
      <c r="Q1364" s="117"/>
      <c r="R1364" s="117"/>
      <c r="S1364" s="117"/>
      <c r="T1364" s="117"/>
      <c r="U1364" s="117"/>
      <c r="V1364" s="117"/>
      <c r="W1364" s="117"/>
      <c r="X1364" s="117"/>
      <c r="Y1364" s="117"/>
      <c r="Z1364" s="117"/>
      <c r="AA1364" s="117"/>
      <c r="AB1364" s="117"/>
      <c r="AC1364" s="117"/>
      <c r="AD1364" s="117"/>
      <c r="AE1364" s="117"/>
      <c r="AF1364" s="117"/>
      <c r="AG1364" s="117"/>
      <c r="AH1364" s="117"/>
      <c r="AI1364" s="117"/>
      <c r="AJ1364" s="117"/>
      <c r="AK1364" s="117"/>
      <c r="AL1364" s="117"/>
      <c r="AM1364" s="117"/>
      <c r="AN1364" s="117"/>
      <c r="AO1364" s="117"/>
      <c r="AP1364" s="117"/>
      <c r="AQ1364" s="117"/>
      <c r="AR1364" s="117"/>
      <c r="AS1364" s="117"/>
      <c r="AT1364" s="117"/>
      <c r="AU1364" s="117"/>
      <c r="AV1364" s="117"/>
      <c r="AW1364" s="117"/>
      <c r="AX1364" s="117"/>
      <c r="AY1364" s="117"/>
      <c r="AZ1364" s="117"/>
      <c r="BA1364" s="117"/>
      <c r="BB1364" s="117"/>
      <c r="BC1364" s="117"/>
      <c r="BD1364" s="117"/>
      <c r="BE1364" s="117"/>
      <c r="BF1364" s="117"/>
      <c r="BG1364" s="117"/>
    </row>
    <row r="1365" spans="1:59">
      <c r="A1365" s="117"/>
      <c r="B1365" s="117"/>
      <c r="C1365" s="117"/>
      <c r="D1365" s="117"/>
      <c r="E1365" s="117"/>
      <c r="F1365" s="117"/>
      <c r="G1365" s="117"/>
      <c r="H1365" s="117"/>
      <c r="I1365" s="117"/>
      <c r="J1365" s="118"/>
      <c r="K1365" s="118"/>
      <c r="L1365" s="118"/>
      <c r="M1365" s="118"/>
      <c r="N1365" s="117"/>
      <c r="O1365" s="117"/>
      <c r="P1365" s="117"/>
      <c r="Q1365" s="117"/>
      <c r="R1365" s="117"/>
      <c r="S1365" s="117"/>
      <c r="T1365" s="117"/>
      <c r="U1365" s="117"/>
      <c r="V1365" s="117"/>
      <c r="W1365" s="117"/>
      <c r="X1365" s="117"/>
      <c r="Y1365" s="117"/>
      <c r="Z1365" s="117"/>
      <c r="AA1365" s="117"/>
      <c r="AB1365" s="117"/>
      <c r="AC1365" s="117"/>
      <c r="AD1365" s="117"/>
      <c r="AE1365" s="117"/>
      <c r="AF1365" s="117"/>
      <c r="AG1365" s="117"/>
      <c r="AH1365" s="117"/>
      <c r="AI1365" s="117"/>
      <c r="AJ1365" s="117"/>
      <c r="AK1365" s="117"/>
      <c r="AL1365" s="117"/>
      <c r="AM1365" s="117"/>
      <c r="AN1365" s="117"/>
      <c r="AO1365" s="117"/>
      <c r="AP1365" s="117"/>
      <c r="AQ1365" s="117"/>
      <c r="AR1365" s="117"/>
      <c r="AS1365" s="117"/>
      <c r="AT1365" s="117"/>
      <c r="AU1365" s="117"/>
      <c r="AV1365" s="117"/>
      <c r="AW1365" s="117"/>
      <c r="AX1365" s="117"/>
      <c r="AY1365" s="117"/>
      <c r="AZ1365" s="117"/>
      <c r="BA1365" s="117"/>
      <c r="BB1365" s="117"/>
      <c r="BC1365" s="117"/>
      <c r="BD1365" s="117"/>
      <c r="BE1365" s="117"/>
      <c r="BF1365" s="117"/>
      <c r="BG1365" s="117"/>
    </row>
    <row r="1366" spans="1:59">
      <c r="A1366" s="117"/>
      <c r="B1366" s="117"/>
      <c r="C1366" s="117"/>
      <c r="D1366" s="117"/>
      <c r="E1366" s="117"/>
      <c r="F1366" s="117"/>
      <c r="G1366" s="117"/>
      <c r="H1366" s="117"/>
      <c r="I1366" s="117"/>
      <c r="J1366" s="118"/>
      <c r="K1366" s="118"/>
      <c r="L1366" s="118"/>
      <c r="M1366" s="118"/>
      <c r="N1366" s="117"/>
      <c r="O1366" s="117"/>
      <c r="P1366" s="117"/>
      <c r="Q1366" s="117"/>
      <c r="R1366" s="117"/>
      <c r="S1366" s="117"/>
      <c r="T1366" s="117"/>
      <c r="U1366" s="117"/>
      <c r="V1366" s="117"/>
      <c r="W1366" s="117"/>
      <c r="X1366" s="117"/>
      <c r="Y1366" s="117"/>
      <c r="Z1366" s="117"/>
      <c r="AA1366" s="117"/>
      <c r="AB1366" s="117"/>
      <c r="AC1366" s="117"/>
      <c r="AD1366" s="117"/>
      <c r="AE1366" s="117"/>
      <c r="AF1366" s="117"/>
      <c r="AG1366" s="117"/>
      <c r="AH1366" s="117"/>
      <c r="AI1366" s="117"/>
      <c r="AJ1366" s="117"/>
      <c r="AK1366" s="117"/>
      <c r="AL1366" s="117"/>
      <c r="AM1366" s="117"/>
      <c r="AN1366" s="117"/>
      <c r="AO1366" s="117"/>
      <c r="AP1366" s="117"/>
      <c r="AQ1366" s="117"/>
      <c r="AR1366" s="117"/>
      <c r="AS1366" s="117"/>
      <c r="AT1366" s="117"/>
      <c r="AU1366" s="117"/>
      <c r="AV1366" s="117"/>
      <c r="AW1366" s="117"/>
      <c r="AX1366" s="117"/>
      <c r="AY1366" s="117"/>
      <c r="AZ1366" s="117"/>
      <c r="BA1366" s="117"/>
      <c r="BB1366" s="117"/>
      <c r="BC1366" s="117"/>
      <c r="BD1366" s="117"/>
      <c r="BE1366" s="117"/>
      <c r="BF1366" s="117"/>
      <c r="BG1366" s="117"/>
    </row>
    <row r="1367" spans="1:59">
      <c r="A1367" s="117"/>
      <c r="B1367" s="117"/>
      <c r="C1367" s="117"/>
      <c r="D1367" s="117"/>
      <c r="E1367" s="117"/>
      <c r="F1367" s="117"/>
      <c r="G1367" s="117"/>
      <c r="H1367" s="117"/>
      <c r="I1367" s="117"/>
      <c r="J1367" s="118"/>
      <c r="K1367" s="118"/>
      <c r="L1367" s="118"/>
      <c r="M1367" s="118"/>
      <c r="N1367" s="117"/>
      <c r="O1367" s="117"/>
      <c r="P1367" s="117"/>
      <c r="Q1367" s="117"/>
      <c r="R1367" s="117"/>
      <c r="S1367" s="117"/>
      <c r="T1367" s="117"/>
      <c r="U1367" s="117"/>
      <c r="V1367" s="117"/>
      <c r="W1367" s="117"/>
      <c r="X1367" s="117"/>
      <c r="Y1367" s="117"/>
      <c r="Z1367" s="117"/>
      <c r="AA1367" s="117"/>
      <c r="AB1367" s="117"/>
      <c r="AC1367" s="117"/>
      <c r="AD1367" s="117"/>
      <c r="AE1367" s="117"/>
      <c r="AF1367" s="117"/>
      <c r="AG1367" s="117"/>
      <c r="AH1367" s="117"/>
      <c r="AI1367" s="117"/>
      <c r="AJ1367" s="117"/>
      <c r="AK1367" s="117"/>
      <c r="AL1367" s="117"/>
      <c r="AM1367" s="117"/>
      <c r="AN1367" s="117"/>
      <c r="AO1367" s="117"/>
      <c r="AP1367" s="117"/>
      <c r="AQ1367" s="117"/>
      <c r="AR1367" s="117"/>
      <c r="AS1367" s="117"/>
      <c r="AT1367" s="117"/>
      <c r="AU1367" s="117"/>
      <c r="AV1367" s="117"/>
      <c r="AW1367" s="117"/>
      <c r="AX1367" s="117"/>
      <c r="AY1367" s="117"/>
      <c r="AZ1367" s="117"/>
      <c r="BA1367" s="117"/>
      <c r="BB1367" s="117"/>
      <c r="BC1367" s="117"/>
      <c r="BD1367" s="117"/>
      <c r="BE1367" s="117"/>
      <c r="BF1367" s="117"/>
      <c r="BG1367" s="117"/>
    </row>
    <row r="1368" spans="1:59">
      <c r="A1368" s="117"/>
      <c r="B1368" s="117"/>
      <c r="C1368" s="117"/>
      <c r="D1368" s="117"/>
      <c r="E1368" s="117"/>
      <c r="F1368" s="117"/>
      <c r="G1368" s="117"/>
      <c r="H1368" s="117"/>
      <c r="I1368" s="117"/>
      <c r="J1368" s="118"/>
      <c r="K1368" s="118"/>
      <c r="L1368" s="118"/>
      <c r="M1368" s="118"/>
      <c r="N1368" s="117"/>
      <c r="O1368" s="117"/>
      <c r="P1368" s="117"/>
      <c r="Q1368" s="117"/>
      <c r="R1368" s="117"/>
      <c r="S1368" s="117"/>
      <c r="T1368" s="117"/>
      <c r="U1368" s="117"/>
      <c r="V1368" s="117"/>
      <c r="W1368" s="117"/>
      <c r="X1368" s="117"/>
      <c r="Y1368" s="117"/>
      <c r="Z1368" s="117"/>
      <c r="AA1368" s="117"/>
      <c r="AB1368" s="117"/>
      <c r="AC1368" s="117"/>
      <c r="AD1368" s="117"/>
      <c r="AE1368" s="117"/>
      <c r="AF1368" s="117"/>
      <c r="AG1368" s="117"/>
      <c r="AH1368" s="117"/>
      <c r="AI1368" s="117"/>
      <c r="AJ1368" s="117"/>
      <c r="AK1368" s="117"/>
      <c r="AL1368" s="117"/>
      <c r="AM1368" s="117"/>
      <c r="AN1368" s="117"/>
      <c r="AO1368" s="117"/>
      <c r="AP1368" s="117"/>
      <c r="AQ1368" s="117"/>
      <c r="AR1368" s="117"/>
      <c r="AS1368" s="117"/>
      <c r="AT1368" s="117"/>
      <c r="AU1368" s="117"/>
      <c r="AV1368" s="117"/>
      <c r="AW1368" s="117"/>
      <c r="AX1368" s="117"/>
      <c r="AY1368" s="117"/>
      <c r="AZ1368" s="117"/>
      <c r="BA1368" s="117"/>
      <c r="BB1368" s="117"/>
      <c r="BC1368" s="117"/>
      <c r="BD1368" s="117"/>
      <c r="BE1368" s="117"/>
      <c r="BF1368" s="117"/>
      <c r="BG1368" s="117"/>
    </row>
    <row r="1369" spans="1:59">
      <c r="A1369" s="117"/>
      <c r="B1369" s="117"/>
      <c r="C1369" s="117"/>
      <c r="D1369" s="117"/>
      <c r="E1369" s="117"/>
      <c r="F1369" s="117"/>
      <c r="G1369" s="117"/>
      <c r="H1369" s="117"/>
      <c r="I1369" s="117"/>
      <c r="J1369" s="118"/>
      <c r="K1369" s="118"/>
      <c r="L1369" s="118"/>
      <c r="M1369" s="118"/>
      <c r="N1369" s="117"/>
      <c r="O1369" s="117"/>
      <c r="P1369" s="117"/>
      <c r="Q1369" s="117"/>
      <c r="R1369" s="117"/>
      <c r="S1369" s="117"/>
      <c r="T1369" s="117"/>
      <c r="U1369" s="117"/>
      <c r="V1369" s="117"/>
      <c r="W1369" s="117"/>
      <c r="X1369" s="117"/>
      <c r="Y1369" s="117"/>
      <c r="Z1369" s="117"/>
      <c r="AA1369" s="117"/>
      <c r="AB1369" s="117"/>
      <c r="AC1369" s="117"/>
      <c r="AD1369" s="117"/>
      <c r="AE1369" s="117"/>
      <c r="AF1369" s="117"/>
      <c r="AG1369" s="117"/>
      <c r="AH1369" s="117"/>
      <c r="AI1369" s="117"/>
      <c r="AJ1369" s="117"/>
      <c r="AK1369" s="117"/>
      <c r="AL1369" s="117"/>
      <c r="AM1369" s="117"/>
      <c r="AN1369" s="117"/>
      <c r="AO1369" s="117"/>
      <c r="AP1369" s="117"/>
      <c r="AQ1369" s="117"/>
      <c r="AR1369" s="117"/>
      <c r="AS1369" s="117"/>
      <c r="AT1369" s="117"/>
      <c r="AU1369" s="117"/>
      <c r="AV1369" s="117"/>
      <c r="AW1369" s="117"/>
      <c r="AX1369" s="117"/>
      <c r="AY1369" s="117"/>
      <c r="AZ1369" s="117"/>
      <c r="BA1369" s="117"/>
      <c r="BB1369" s="117"/>
      <c r="BC1369" s="117"/>
      <c r="BD1369" s="117"/>
      <c r="BE1369" s="117"/>
      <c r="BF1369" s="117"/>
      <c r="BG1369" s="117"/>
    </row>
    <row r="1370" spans="1:59">
      <c r="A1370" s="117"/>
      <c r="B1370" s="117"/>
      <c r="C1370" s="117"/>
      <c r="D1370" s="117"/>
      <c r="E1370" s="117"/>
      <c r="F1370" s="117"/>
      <c r="G1370" s="117"/>
      <c r="H1370" s="117"/>
      <c r="I1370" s="117"/>
      <c r="J1370" s="118"/>
      <c r="K1370" s="118"/>
      <c r="L1370" s="118"/>
      <c r="M1370" s="118"/>
      <c r="N1370" s="117"/>
      <c r="O1370" s="117"/>
      <c r="P1370" s="117"/>
      <c r="Q1370" s="117"/>
      <c r="R1370" s="117"/>
      <c r="S1370" s="117"/>
      <c r="T1370" s="117"/>
      <c r="U1370" s="117"/>
      <c r="V1370" s="117"/>
      <c r="W1370" s="117"/>
      <c r="X1370" s="117"/>
      <c r="Y1370" s="117"/>
      <c r="Z1370" s="117"/>
      <c r="AA1370" s="117"/>
      <c r="AB1370" s="117"/>
      <c r="AC1370" s="117"/>
      <c r="AD1370" s="117"/>
      <c r="AE1370" s="117"/>
      <c r="AF1370" s="117"/>
      <c r="AG1370" s="117"/>
      <c r="AH1370" s="117"/>
      <c r="AI1370" s="117"/>
      <c r="AJ1370" s="117"/>
      <c r="AK1370" s="117"/>
      <c r="AL1370" s="117"/>
      <c r="AM1370" s="117"/>
      <c r="AN1370" s="117"/>
      <c r="AO1370" s="117"/>
      <c r="AP1370" s="117"/>
      <c r="AQ1370" s="117"/>
      <c r="AR1370" s="117"/>
      <c r="AS1370" s="117"/>
      <c r="AT1370" s="117"/>
      <c r="AU1370" s="117"/>
      <c r="AV1370" s="117"/>
      <c r="AW1370" s="117"/>
      <c r="AX1370" s="117"/>
      <c r="AY1370" s="117"/>
      <c r="AZ1370" s="117"/>
      <c r="BA1370" s="117"/>
      <c r="BB1370" s="117"/>
      <c r="BC1370" s="117"/>
      <c r="BD1370" s="117"/>
      <c r="BE1370" s="117"/>
      <c r="BF1370" s="117"/>
      <c r="BG1370" s="117"/>
    </row>
    <row r="1371" spans="1:59">
      <c r="A1371" s="117"/>
      <c r="B1371" s="117"/>
      <c r="C1371" s="117"/>
      <c r="D1371" s="117"/>
      <c r="E1371" s="117"/>
      <c r="F1371" s="117"/>
      <c r="G1371" s="117"/>
      <c r="H1371" s="117"/>
      <c r="I1371" s="117"/>
      <c r="J1371" s="118"/>
      <c r="K1371" s="118"/>
      <c r="L1371" s="118"/>
      <c r="M1371" s="118"/>
      <c r="N1371" s="117"/>
      <c r="O1371" s="117"/>
      <c r="P1371" s="117"/>
      <c r="Q1371" s="117"/>
      <c r="R1371" s="117"/>
      <c r="S1371" s="117"/>
      <c r="T1371" s="117"/>
      <c r="U1371" s="117"/>
      <c r="V1371" s="117"/>
      <c r="W1371" s="117"/>
      <c r="X1371" s="117"/>
      <c r="Y1371" s="117"/>
      <c r="Z1371" s="117"/>
      <c r="AA1371" s="117"/>
      <c r="AB1371" s="117"/>
      <c r="AC1371" s="117"/>
      <c r="AD1371" s="117"/>
      <c r="AE1371" s="117"/>
      <c r="AF1371" s="117"/>
      <c r="AG1371" s="117"/>
      <c r="AH1371" s="117"/>
      <c r="AI1371" s="117"/>
      <c r="AJ1371" s="117"/>
      <c r="AK1371" s="117"/>
      <c r="AL1371" s="117"/>
      <c r="AM1371" s="117"/>
      <c r="AN1371" s="117"/>
      <c r="AO1371" s="117"/>
      <c r="AP1371" s="117"/>
      <c r="AQ1371" s="117"/>
      <c r="AR1371" s="117"/>
      <c r="AS1371" s="117"/>
      <c r="AT1371" s="117"/>
      <c r="AU1371" s="117"/>
      <c r="AV1371" s="117"/>
      <c r="AW1371" s="117"/>
      <c r="AX1371" s="117"/>
      <c r="AY1371" s="117"/>
      <c r="AZ1371" s="117"/>
      <c r="BA1371" s="117"/>
      <c r="BB1371" s="117"/>
      <c r="BC1371" s="117"/>
      <c r="BD1371" s="117"/>
      <c r="BE1371" s="117"/>
      <c r="BF1371" s="117"/>
      <c r="BG1371" s="117"/>
    </row>
    <row r="1372" spans="1:59">
      <c r="A1372" s="117"/>
      <c r="B1372" s="117"/>
      <c r="C1372" s="117"/>
      <c r="D1372" s="117"/>
      <c r="E1372" s="117"/>
      <c r="F1372" s="117"/>
      <c r="G1372" s="117"/>
      <c r="H1372" s="117"/>
      <c r="I1372" s="117"/>
      <c r="J1372" s="118"/>
      <c r="K1372" s="118"/>
      <c r="L1372" s="118"/>
      <c r="M1372" s="118"/>
      <c r="N1372" s="117"/>
      <c r="O1372" s="117"/>
      <c r="P1372" s="117"/>
      <c r="Q1372" s="117"/>
      <c r="R1372" s="117"/>
      <c r="S1372" s="117"/>
      <c r="T1372" s="117"/>
      <c r="U1372" s="117"/>
      <c r="V1372" s="117"/>
      <c r="W1372" s="117"/>
      <c r="X1372" s="117"/>
      <c r="Y1372" s="117"/>
      <c r="Z1372" s="117"/>
      <c r="AA1372" s="117"/>
      <c r="AB1372" s="117"/>
      <c r="AC1372" s="117"/>
      <c r="AD1372" s="117"/>
      <c r="AE1372" s="117"/>
      <c r="AF1372" s="117"/>
      <c r="AG1372" s="117"/>
      <c r="AH1372" s="117"/>
      <c r="AI1372" s="117"/>
      <c r="AJ1372" s="117"/>
      <c r="AK1372" s="117"/>
      <c r="AL1372" s="117"/>
      <c r="AM1372" s="117"/>
      <c r="AN1372" s="117"/>
      <c r="AO1372" s="117"/>
      <c r="AP1372" s="117"/>
      <c r="AQ1372" s="117"/>
      <c r="AR1372" s="117"/>
      <c r="AS1372" s="117"/>
      <c r="AT1372" s="117"/>
      <c r="AU1372" s="117"/>
      <c r="AV1372" s="117"/>
      <c r="AW1372" s="117"/>
      <c r="AX1372" s="117"/>
      <c r="AY1372" s="117"/>
      <c r="AZ1372" s="117"/>
      <c r="BA1372" s="117"/>
      <c r="BB1372" s="117"/>
      <c r="BC1372" s="117"/>
      <c r="BD1372" s="117"/>
      <c r="BE1372" s="117"/>
      <c r="BF1372" s="117"/>
      <c r="BG1372" s="117"/>
    </row>
    <row r="1373" spans="1:59">
      <c r="A1373" s="117"/>
      <c r="B1373" s="117"/>
      <c r="C1373" s="117"/>
      <c r="D1373" s="117"/>
      <c r="E1373" s="117"/>
      <c r="F1373" s="117"/>
      <c r="G1373" s="117"/>
      <c r="H1373" s="117"/>
      <c r="I1373" s="117"/>
      <c r="J1373" s="118"/>
      <c r="K1373" s="118"/>
      <c r="L1373" s="118"/>
      <c r="M1373" s="118"/>
      <c r="N1373" s="117"/>
      <c r="O1373" s="117"/>
      <c r="P1373" s="117"/>
      <c r="Q1373" s="117"/>
      <c r="R1373" s="117"/>
      <c r="S1373" s="117"/>
      <c r="T1373" s="117"/>
      <c r="U1373" s="117"/>
      <c r="V1373" s="117"/>
      <c r="W1373" s="117"/>
      <c r="X1373" s="117"/>
      <c r="Y1373" s="117"/>
      <c r="Z1373" s="117"/>
      <c r="AA1373" s="117"/>
      <c r="AB1373" s="117"/>
      <c r="AC1373" s="117"/>
      <c r="AD1373" s="117"/>
      <c r="AE1373" s="117"/>
      <c r="AF1373" s="117"/>
      <c r="AG1373" s="117"/>
      <c r="AH1373" s="117"/>
      <c r="AI1373" s="117"/>
      <c r="AJ1373" s="117"/>
      <c r="AK1373" s="117"/>
      <c r="AL1373" s="117"/>
      <c r="AM1373" s="117"/>
      <c r="AN1373" s="117"/>
      <c r="AO1373" s="117"/>
      <c r="AP1373" s="117"/>
      <c r="AQ1373" s="117"/>
      <c r="AR1373" s="117"/>
      <c r="AS1373" s="117"/>
      <c r="AT1373" s="117"/>
      <c r="AU1373" s="117"/>
      <c r="AV1373" s="117"/>
      <c r="AW1373" s="117"/>
      <c r="AX1373" s="117"/>
      <c r="AY1373" s="117"/>
      <c r="AZ1373" s="117"/>
      <c r="BA1373" s="117"/>
      <c r="BB1373" s="117"/>
      <c r="BC1373" s="117"/>
      <c r="BD1373" s="117"/>
      <c r="BE1373" s="117"/>
      <c r="BF1373" s="117"/>
      <c r="BG1373" s="117"/>
    </row>
    <row r="1374" spans="1:59">
      <c r="A1374" s="117"/>
      <c r="B1374" s="117"/>
      <c r="C1374" s="117"/>
      <c r="D1374" s="117"/>
      <c r="E1374" s="117"/>
      <c r="F1374" s="117"/>
      <c r="G1374" s="117"/>
      <c r="H1374" s="117"/>
      <c r="I1374" s="117"/>
      <c r="J1374" s="118"/>
      <c r="K1374" s="118"/>
      <c r="L1374" s="118"/>
      <c r="M1374" s="118"/>
      <c r="N1374" s="117"/>
      <c r="O1374" s="117"/>
      <c r="P1374" s="117"/>
      <c r="Q1374" s="117"/>
      <c r="R1374" s="117"/>
      <c r="S1374" s="117"/>
      <c r="T1374" s="117"/>
      <c r="U1374" s="117"/>
      <c r="V1374" s="117"/>
      <c r="W1374" s="117"/>
      <c r="X1374" s="117"/>
      <c r="Y1374" s="117"/>
      <c r="Z1374" s="117"/>
      <c r="AA1374" s="117"/>
      <c r="AB1374" s="117"/>
      <c r="AC1374" s="117"/>
      <c r="AD1374" s="117"/>
      <c r="AE1374" s="117"/>
      <c r="AF1374" s="117"/>
      <c r="AG1374" s="117"/>
      <c r="AH1374" s="117"/>
      <c r="AI1374" s="117"/>
      <c r="AJ1374" s="117"/>
      <c r="AK1374" s="117"/>
      <c r="AL1374" s="117"/>
      <c r="AM1374" s="117"/>
      <c r="AN1374" s="117"/>
      <c r="AO1374" s="117"/>
      <c r="AP1374" s="117"/>
      <c r="AQ1374" s="117"/>
      <c r="AR1374" s="117"/>
      <c r="AS1374" s="117"/>
      <c r="AT1374" s="117"/>
      <c r="AU1374" s="117"/>
      <c r="AV1374" s="117"/>
      <c r="AW1374" s="117"/>
      <c r="AX1374" s="117"/>
      <c r="AY1374" s="117"/>
      <c r="AZ1374" s="117"/>
      <c r="BA1374" s="117"/>
      <c r="BB1374" s="117"/>
      <c r="BC1374" s="117"/>
      <c r="BD1374" s="117"/>
      <c r="BE1374" s="117"/>
      <c r="BF1374" s="117"/>
      <c r="BG1374" s="117"/>
    </row>
    <row r="1375" spans="1:59">
      <c r="A1375" s="117"/>
      <c r="B1375" s="117"/>
      <c r="C1375" s="117"/>
      <c r="D1375" s="117"/>
      <c r="E1375" s="117"/>
      <c r="F1375" s="117"/>
      <c r="G1375" s="117"/>
      <c r="H1375" s="117"/>
      <c r="I1375" s="117"/>
      <c r="J1375" s="118"/>
      <c r="K1375" s="118"/>
      <c r="L1375" s="118"/>
      <c r="M1375" s="118"/>
      <c r="N1375" s="117"/>
      <c r="O1375" s="117"/>
      <c r="P1375" s="117"/>
      <c r="Q1375" s="117"/>
      <c r="R1375" s="117"/>
      <c r="S1375" s="117"/>
      <c r="T1375" s="117"/>
      <c r="U1375" s="117"/>
      <c r="V1375" s="117"/>
      <c r="W1375" s="117"/>
      <c r="X1375" s="117"/>
      <c r="Y1375" s="117"/>
      <c r="Z1375" s="117"/>
      <c r="AA1375" s="117"/>
      <c r="AB1375" s="117"/>
      <c r="AC1375" s="117"/>
      <c r="AD1375" s="117"/>
      <c r="AE1375" s="117"/>
      <c r="AF1375" s="117"/>
      <c r="AG1375" s="117"/>
      <c r="AH1375" s="117"/>
      <c r="AI1375" s="117"/>
      <c r="AJ1375" s="117"/>
      <c r="AK1375" s="117"/>
      <c r="AL1375" s="117"/>
      <c r="AM1375" s="117"/>
      <c r="AN1375" s="117"/>
      <c r="AO1375" s="117"/>
      <c r="AP1375" s="117"/>
      <c r="AQ1375" s="117"/>
      <c r="AR1375" s="117"/>
      <c r="AS1375" s="117"/>
      <c r="AT1375" s="117"/>
      <c r="AU1375" s="117"/>
      <c r="AV1375" s="117"/>
      <c r="AW1375" s="117"/>
      <c r="AX1375" s="117"/>
      <c r="AY1375" s="117"/>
      <c r="AZ1375" s="117"/>
      <c r="BA1375" s="117"/>
      <c r="BB1375" s="117"/>
      <c r="BC1375" s="117"/>
      <c r="BD1375" s="117"/>
      <c r="BE1375" s="117"/>
      <c r="BF1375" s="117"/>
      <c r="BG1375" s="117"/>
    </row>
    <row r="1376" spans="1:59">
      <c r="A1376" s="117"/>
      <c r="B1376" s="117"/>
      <c r="C1376" s="117"/>
      <c r="D1376" s="117"/>
      <c r="E1376" s="117"/>
      <c r="F1376" s="117"/>
      <c r="G1376" s="117"/>
      <c r="H1376" s="117"/>
      <c r="I1376" s="117"/>
      <c r="J1376" s="118"/>
      <c r="K1376" s="118"/>
      <c r="L1376" s="118"/>
      <c r="M1376" s="118"/>
      <c r="N1376" s="117"/>
      <c r="O1376" s="117"/>
      <c r="P1376" s="117"/>
      <c r="Q1376" s="117"/>
      <c r="R1376" s="117"/>
      <c r="S1376" s="117"/>
      <c r="T1376" s="117"/>
      <c r="U1376" s="117"/>
      <c r="V1376" s="117"/>
      <c r="W1376" s="117"/>
      <c r="X1376" s="117"/>
      <c r="Y1376" s="117"/>
      <c r="Z1376" s="117"/>
      <c r="AA1376" s="117"/>
      <c r="AB1376" s="117"/>
      <c r="AC1376" s="117"/>
      <c r="AD1376" s="117"/>
      <c r="AE1376" s="117"/>
      <c r="AF1376" s="117"/>
      <c r="AG1376" s="117"/>
      <c r="AH1376" s="117"/>
      <c r="AI1376" s="117"/>
      <c r="AJ1376" s="117"/>
      <c r="AK1376" s="117"/>
      <c r="AL1376" s="117"/>
      <c r="AM1376" s="117"/>
      <c r="AN1376" s="117"/>
      <c r="AO1376" s="117"/>
      <c r="AP1376" s="117"/>
      <c r="AQ1376" s="117"/>
      <c r="AR1376" s="117"/>
      <c r="AS1376" s="117"/>
      <c r="AT1376" s="117"/>
      <c r="AU1376" s="117"/>
      <c r="AV1376" s="117"/>
      <c r="AW1376" s="117"/>
      <c r="AX1376" s="117"/>
      <c r="AY1376" s="117"/>
      <c r="AZ1376" s="117"/>
      <c r="BA1376" s="117"/>
      <c r="BB1376" s="117"/>
      <c r="BC1376" s="117"/>
      <c r="BD1376" s="117"/>
      <c r="BE1376" s="117"/>
      <c r="BF1376" s="117"/>
      <c r="BG1376" s="117"/>
    </row>
    <row r="1377" spans="1:59">
      <c r="A1377" s="117"/>
      <c r="B1377" s="117"/>
      <c r="C1377" s="117"/>
      <c r="D1377" s="117"/>
      <c r="E1377" s="117"/>
      <c r="F1377" s="117"/>
      <c r="G1377" s="117"/>
      <c r="H1377" s="117"/>
      <c r="I1377" s="117"/>
      <c r="J1377" s="118"/>
      <c r="K1377" s="118"/>
      <c r="L1377" s="118"/>
      <c r="M1377" s="118"/>
      <c r="N1377" s="117"/>
      <c r="O1377" s="117"/>
      <c r="P1377" s="117"/>
      <c r="Q1377" s="117"/>
      <c r="R1377" s="117"/>
      <c r="S1377" s="117"/>
      <c r="T1377" s="117"/>
      <c r="U1377" s="117"/>
      <c r="V1377" s="117"/>
      <c r="W1377" s="117"/>
      <c r="X1377" s="117"/>
      <c r="Y1377" s="117"/>
      <c r="Z1377" s="117"/>
      <c r="AA1377" s="117"/>
      <c r="AB1377" s="117"/>
      <c r="AC1377" s="117"/>
      <c r="AD1377" s="117"/>
      <c r="AE1377" s="117"/>
      <c r="AF1377" s="117"/>
      <c r="AG1377" s="117"/>
      <c r="AH1377" s="117"/>
      <c r="AI1377" s="117"/>
      <c r="AJ1377" s="117"/>
      <c r="AK1377" s="117"/>
      <c r="AL1377" s="117"/>
      <c r="AM1377" s="117"/>
      <c r="AN1377" s="117"/>
      <c r="AO1377" s="117"/>
      <c r="AP1377" s="117"/>
      <c r="AQ1377" s="117"/>
      <c r="AR1377" s="117"/>
      <c r="AS1377" s="117"/>
      <c r="AT1377" s="117"/>
      <c r="AU1377" s="117"/>
      <c r="AV1377" s="117"/>
      <c r="AW1377" s="117"/>
      <c r="AX1377" s="117"/>
      <c r="AY1377" s="117"/>
      <c r="AZ1377" s="117"/>
      <c r="BA1377" s="117"/>
      <c r="BB1377" s="117"/>
      <c r="BC1377" s="117"/>
      <c r="BD1377" s="117"/>
      <c r="BE1377" s="117"/>
      <c r="BF1377" s="117"/>
      <c r="BG1377" s="117"/>
    </row>
    <row r="1378" spans="1:59">
      <c r="A1378" s="117"/>
      <c r="B1378" s="117"/>
      <c r="C1378" s="117"/>
      <c r="D1378" s="117"/>
      <c r="E1378" s="117"/>
      <c r="F1378" s="117"/>
      <c r="G1378" s="117"/>
      <c r="H1378" s="117"/>
      <c r="I1378" s="117"/>
      <c r="J1378" s="118"/>
      <c r="K1378" s="118"/>
      <c r="L1378" s="118"/>
      <c r="M1378" s="118"/>
      <c r="N1378" s="117"/>
      <c r="O1378" s="117"/>
      <c r="P1378" s="117"/>
      <c r="Q1378" s="117"/>
      <c r="R1378" s="117"/>
      <c r="S1378" s="117"/>
      <c r="T1378" s="117"/>
      <c r="U1378" s="117"/>
      <c r="V1378" s="117"/>
      <c r="W1378" s="117"/>
      <c r="X1378" s="117"/>
      <c r="Y1378" s="117"/>
      <c r="Z1378" s="117"/>
      <c r="AA1378" s="117"/>
      <c r="AB1378" s="117"/>
      <c r="AC1378" s="117"/>
      <c r="AD1378" s="117"/>
      <c r="AE1378" s="117"/>
      <c r="AF1378" s="117"/>
      <c r="AG1378" s="117"/>
      <c r="AH1378" s="117"/>
      <c r="AI1378" s="117"/>
      <c r="AJ1378" s="117"/>
      <c r="AK1378" s="117"/>
      <c r="AL1378" s="117"/>
      <c r="AM1378" s="117"/>
      <c r="AN1378" s="117"/>
      <c r="AO1378" s="117"/>
      <c r="AP1378" s="117"/>
      <c r="AQ1378" s="117"/>
      <c r="AR1378" s="117"/>
      <c r="AS1378" s="117"/>
      <c r="AT1378" s="117"/>
      <c r="AU1378" s="117"/>
      <c r="AV1378" s="117"/>
      <c r="AW1378" s="117"/>
      <c r="AX1378" s="117"/>
      <c r="AY1378" s="117"/>
      <c r="AZ1378" s="117"/>
      <c r="BA1378" s="117"/>
      <c r="BB1378" s="117"/>
      <c r="BC1378" s="117"/>
      <c r="BD1378" s="117"/>
      <c r="BE1378" s="117"/>
      <c r="BF1378" s="117"/>
      <c r="BG1378" s="117"/>
    </row>
    <row r="1379" spans="1:59">
      <c r="A1379" s="117"/>
      <c r="B1379" s="117"/>
      <c r="C1379" s="117"/>
      <c r="D1379" s="117"/>
      <c r="E1379" s="117"/>
      <c r="F1379" s="117"/>
      <c r="G1379" s="117"/>
      <c r="H1379" s="117"/>
      <c r="I1379" s="117"/>
      <c r="J1379" s="118"/>
      <c r="K1379" s="118"/>
      <c r="L1379" s="118"/>
      <c r="M1379" s="118"/>
      <c r="N1379" s="117"/>
      <c r="O1379" s="117"/>
      <c r="P1379" s="117"/>
      <c r="Q1379" s="117"/>
      <c r="R1379" s="117"/>
      <c r="S1379" s="117"/>
      <c r="T1379" s="117"/>
      <c r="U1379" s="117"/>
      <c r="V1379" s="117"/>
      <c r="W1379" s="117"/>
      <c r="X1379" s="117"/>
      <c r="Y1379" s="117"/>
      <c r="Z1379" s="117"/>
      <c r="AA1379" s="117"/>
      <c r="AB1379" s="117"/>
      <c r="AC1379" s="117"/>
      <c r="AD1379" s="117"/>
      <c r="AE1379" s="117"/>
      <c r="AF1379" s="117"/>
      <c r="AG1379" s="117"/>
      <c r="AH1379" s="117"/>
      <c r="AI1379" s="117"/>
      <c r="AJ1379" s="117"/>
      <c r="AK1379" s="117"/>
      <c r="AL1379" s="117"/>
      <c r="AM1379" s="117"/>
      <c r="AN1379" s="117"/>
      <c r="AO1379" s="117"/>
      <c r="AP1379" s="117"/>
      <c r="AQ1379" s="117"/>
      <c r="AR1379" s="117"/>
      <c r="AS1379" s="117"/>
      <c r="AT1379" s="117"/>
      <c r="AU1379" s="117"/>
      <c r="AV1379" s="117"/>
      <c r="AW1379" s="117"/>
      <c r="AX1379" s="117"/>
      <c r="AY1379" s="117"/>
      <c r="AZ1379" s="117"/>
      <c r="BA1379" s="117"/>
      <c r="BB1379" s="117"/>
      <c r="BC1379" s="117"/>
      <c r="BD1379" s="117"/>
      <c r="BE1379" s="117"/>
      <c r="BF1379" s="117"/>
      <c r="BG1379" s="117"/>
    </row>
    <row r="1380" spans="1:59">
      <c r="A1380" s="117"/>
      <c r="B1380" s="117"/>
      <c r="C1380" s="117"/>
      <c r="D1380" s="117"/>
      <c r="E1380" s="117"/>
      <c r="F1380" s="117"/>
      <c r="G1380" s="117"/>
      <c r="H1380" s="117"/>
      <c r="I1380" s="117"/>
      <c r="J1380" s="118"/>
      <c r="K1380" s="118"/>
      <c r="L1380" s="118"/>
      <c r="M1380" s="118"/>
      <c r="N1380" s="117"/>
      <c r="O1380" s="117"/>
      <c r="P1380" s="117"/>
      <c r="Q1380" s="117"/>
      <c r="R1380" s="117"/>
      <c r="S1380" s="117"/>
      <c r="T1380" s="117"/>
      <c r="U1380" s="117"/>
      <c r="V1380" s="117"/>
      <c r="W1380" s="117"/>
      <c r="X1380" s="117"/>
      <c r="Y1380" s="117"/>
      <c r="Z1380" s="117"/>
      <c r="AA1380" s="117"/>
      <c r="AB1380" s="117"/>
      <c r="AC1380" s="117"/>
      <c r="AD1380" s="117"/>
      <c r="AE1380" s="117"/>
      <c r="AF1380" s="117"/>
      <c r="AG1380" s="117"/>
      <c r="AH1380" s="117"/>
      <c r="AI1380" s="117"/>
      <c r="AJ1380" s="117"/>
      <c r="AK1380" s="117"/>
      <c r="AL1380" s="117"/>
      <c r="AM1380" s="117"/>
      <c r="AN1380" s="117"/>
      <c r="AO1380" s="117"/>
      <c r="AP1380" s="117"/>
      <c r="AQ1380" s="117"/>
      <c r="AR1380" s="117"/>
      <c r="AS1380" s="117"/>
      <c r="AT1380" s="117"/>
      <c r="AU1380" s="117"/>
      <c r="AV1380" s="117"/>
      <c r="AW1380" s="117"/>
      <c r="AX1380" s="117"/>
      <c r="AY1380" s="117"/>
      <c r="AZ1380" s="117"/>
      <c r="BA1380" s="117"/>
      <c r="BB1380" s="117"/>
      <c r="BC1380" s="117"/>
      <c r="BD1380" s="117"/>
      <c r="BE1380" s="117"/>
      <c r="BF1380" s="117"/>
      <c r="BG1380" s="117"/>
    </row>
    <row r="1381" spans="1:59">
      <c r="A1381" s="117"/>
      <c r="B1381" s="117"/>
      <c r="C1381" s="117"/>
      <c r="D1381" s="117"/>
      <c r="E1381" s="117"/>
      <c r="F1381" s="117"/>
      <c r="G1381" s="117"/>
      <c r="H1381" s="117"/>
      <c r="I1381" s="117"/>
      <c r="J1381" s="118"/>
      <c r="K1381" s="118"/>
      <c r="L1381" s="118"/>
      <c r="M1381" s="118"/>
      <c r="N1381" s="117"/>
      <c r="O1381" s="117"/>
      <c r="P1381" s="117"/>
      <c r="Q1381" s="117"/>
      <c r="R1381" s="117"/>
      <c r="S1381" s="117"/>
      <c r="T1381" s="117"/>
      <c r="U1381" s="117"/>
      <c r="V1381" s="117"/>
      <c r="W1381" s="117"/>
      <c r="X1381" s="117"/>
      <c r="Y1381" s="117"/>
      <c r="Z1381" s="117"/>
      <c r="AA1381" s="117"/>
      <c r="AB1381" s="117"/>
      <c r="AC1381" s="117"/>
      <c r="AD1381" s="117"/>
      <c r="AE1381" s="117"/>
      <c r="AF1381" s="117"/>
      <c r="AG1381" s="117"/>
      <c r="AH1381" s="117"/>
      <c r="AI1381" s="117"/>
      <c r="AJ1381" s="117"/>
      <c r="AK1381" s="117"/>
      <c r="AL1381" s="117"/>
      <c r="AM1381" s="117"/>
      <c r="AN1381" s="117"/>
      <c r="AO1381" s="117"/>
      <c r="AP1381" s="117"/>
      <c r="AQ1381" s="117"/>
      <c r="AR1381" s="117"/>
      <c r="AS1381" s="117"/>
      <c r="AT1381" s="117"/>
      <c r="AU1381" s="117"/>
      <c r="AV1381" s="117"/>
      <c r="AW1381" s="117"/>
      <c r="AX1381" s="117"/>
      <c r="AY1381" s="117"/>
      <c r="AZ1381" s="117"/>
      <c r="BA1381" s="117"/>
      <c r="BB1381" s="117"/>
      <c r="BC1381" s="117"/>
      <c r="BD1381" s="117"/>
      <c r="BE1381" s="117"/>
      <c r="BF1381" s="117"/>
      <c r="BG1381" s="117"/>
    </row>
    <row r="1382" spans="1:59">
      <c r="A1382" s="117"/>
      <c r="B1382" s="117"/>
      <c r="C1382" s="117"/>
      <c r="D1382" s="117"/>
      <c r="E1382" s="117"/>
      <c r="F1382" s="117"/>
      <c r="G1382" s="117"/>
      <c r="H1382" s="117"/>
      <c r="I1382" s="117"/>
      <c r="J1382" s="118"/>
      <c r="K1382" s="118"/>
      <c r="L1382" s="118"/>
      <c r="M1382" s="118"/>
      <c r="N1382" s="117"/>
      <c r="O1382" s="117"/>
      <c r="P1382" s="117"/>
      <c r="Q1382" s="117"/>
      <c r="R1382" s="117"/>
      <c r="S1382" s="117"/>
      <c r="T1382" s="117"/>
      <c r="U1382" s="117"/>
      <c r="V1382" s="117"/>
      <c r="W1382" s="117"/>
      <c r="X1382" s="117"/>
      <c r="Y1382" s="117"/>
      <c r="Z1382" s="117"/>
      <c r="AA1382" s="117"/>
      <c r="AB1382" s="117"/>
      <c r="AC1382" s="117"/>
      <c r="AD1382" s="117"/>
      <c r="AE1382" s="117"/>
      <c r="AF1382" s="117"/>
      <c r="AG1382" s="117"/>
      <c r="AH1382" s="117"/>
      <c r="AI1382" s="117"/>
      <c r="AJ1382" s="117"/>
      <c r="AK1382" s="117"/>
      <c r="AL1382" s="117"/>
      <c r="AM1382" s="117"/>
      <c r="AN1382" s="117"/>
      <c r="AO1382" s="117"/>
      <c r="AP1382" s="117"/>
      <c r="AQ1382" s="117"/>
      <c r="AR1382" s="117"/>
      <c r="AS1382" s="117"/>
      <c r="AT1382" s="117"/>
      <c r="AU1382" s="117"/>
      <c r="AV1382" s="117"/>
      <c r="AW1382" s="117"/>
      <c r="AX1382" s="117"/>
      <c r="AY1382" s="117"/>
      <c r="AZ1382" s="117"/>
      <c r="BA1382" s="117"/>
      <c r="BB1382" s="117"/>
      <c r="BC1382" s="117"/>
      <c r="BD1382" s="117"/>
      <c r="BE1382" s="117"/>
      <c r="BF1382" s="117"/>
      <c r="BG1382" s="117"/>
    </row>
    <row r="1383" spans="1:59">
      <c r="A1383" s="117"/>
      <c r="B1383" s="117"/>
      <c r="C1383" s="117"/>
      <c r="D1383" s="117"/>
      <c r="E1383" s="117"/>
      <c r="F1383" s="117"/>
      <c r="G1383" s="117"/>
      <c r="H1383" s="117"/>
      <c r="I1383" s="117"/>
      <c r="J1383" s="118"/>
      <c r="K1383" s="118"/>
      <c r="L1383" s="118"/>
      <c r="M1383" s="118"/>
      <c r="N1383" s="117"/>
      <c r="O1383" s="117"/>
      <c r="P1383" s="117"/>
      <c r="Q1383" s="117"/>
      <c r="R1383" s="117"/>
      <c r="S1383" s="117"/>
      <c r="T1383" s="117"/>
      <c r="U1383" s="117"/>
      <c r="V1383" s="117"/>
      <c r="W1383" s="117"/>
      <c r="X1383" s="117"/>
      <c r="Y1383" s="117"/>
      <c r="Z1383" s="117"/>
      <c r="AA1383" s="117"/>
      <c r="AB1383" s="117"/>
      <c r="AC1383" s="117"/>
      <c r="AD1383" s="117"/>
      <c r="AE1383" s="117"/>
      <c r="AF1383" s="117"/>
      <c r="AG1383" s="117"/>
      <c r="AH1383" s="117"/>
      <c r="AI1383" s="117"/>
      <c r="AJ1383" s="117"/>
      <c r="AK1383" s="117"/>
      <c r="AL1383" s="117"/>
      <c r="AM1383" s="117"/>
      <c r="AN1383" s="117"/>
      <c r="AO1383" s="117"/>
      <c r="AP1383" s="117"/>
      <c r="AQ1383" s="117"/>
      <c r="AR1383" s="117"/>
      <c r="AS1383" s="117"/>
      <c r="AT1383" s="117"/>
      <c r="AU1383" s="117"/>
      <c r="AV1383" s="117"/>
      <c r="AW1383" s="117"/>
      <c r="AX1383" s="117"/>
      <c r="AY1383" s="117"/>
      <c r="AZ1383" s="117"/>
      <c r="BA1383" s="117"/>
      <c r="BB1383" s="117"/>
      <c r="BC1383" s="117"/>
      <c r="BD1383" s="117"/>
      <c r="BE1383" s="117"/>
      <c r="BF1383" s="117"/>
      <c r="BG1383" s="117"/>
    </row>
    <row r="1384" spans="1:59">
      <c r="A1384" s="117"/>
      <c r="B1384" s="117"/>
      <c r="C1384" s="117"/>
      <c r="D1384" s="117"/>
      <c r="E1384" s="117"/>
      <c r="F1384" s="117"/>
      <c r="G1384" s="117"/>
      <c r="H1384" s="117"/>
      <c r="I1384" s="117"/>
      <c r="J1384" s="118"/>
      <c r="K1384" s="118"/>
      <c r="L1384" s="118"/>
      <c r="M1384" s="118"/>
      <c r="N1384" s="117"/>
      <c r="O1384" s="117"/>
      <c r="P1384" s="117"/>
      <c r="Q1384" s="117"/>
      <c r="R1384" s="117"/>
      <c r="S1384" s="117"/>
      <c r="T1384" s="117"/>
      <c r="U1384" s="117"/>
      <c r="V1384" s="117"/>
      <c r="W1384" s="117"/>
      <c r="X1384" s="117"/>
      <c r="Y1384" s="117"/>
      <c r="Z1384" s="117"/>
      <c r="AA1384" s="117"/>
      <c r="AB1384" s="117"/>
      <c r="AC1384" s="117"/>
      <c r="AD1384" s="117"/>
      <c r="AE1384" s="117"/>
      <c r="AF1384" s="117"/>
      <c r="AG1384" s="117"/>
      <c r="AH1384" s="117"/>
      <c r="AI1384" s="117"/>
      <c r="AJ1384" s="117"/>
      <c r="AK1384" s="117"/>
      <c r="AL1384" s="117"/>
      <c r="AM1384" s="117"/>
      <c r="AN1384" s="117"/>
      <c r="AO1384" s="117"/>
      <c r="AP1384" s="117"/>
      <c r="AQ1384" s="117"/>
      <c r="AR1384" s="117"/>
      <c r="AS1384" s="117"/>
      <c r="AT1384" s="117"/>
      <c r="AU1384" s="117"/>
      <c r="AV1384" s="117"/>
      <c r="AW1384" s="117"/>
      <c r="AX1384" s="117"/>
      <c r="AY1384" s="117"/>
      <c r="AZ1384" s="117"/>
      <c r="BA1384" s="117"/>
      <c r="BB1384" s="117"/>
      <c r="BC1384" s="117"/>
      <c r="BD1384" s="117"/>
      <c r="BE1384" s="117"/>
      <c r="BF1384" s="117"/>
      <c r="BG1384" s="117"/>
    </row>
    <row r="1385" spans="1:59">
      <c r="A1385" s="117"/>
      <c r="B1385" s="117"/>
      <c r="C1385" s="117"/>
      <c r="D1385" s="117"/>
      <c r="E1385" s="117"/>
      <c r="F1385" s="117"/>
      <c r="G1385" s="117"/>
      <c r="H1385" s="117"/>
      <c r="I1385" s="117"/>
      <c r="J1385" s="118"/>
      <c r="K1385" s="118"/>
      <c r="L1385" s="118"/>
      <c r="M1385" s="118"/>
      <c r="N1385" s="117"/>
      <c r="O1385" s="117"/>
      <c r="P1385" s="117"/>
      <c r="Q1385" s="117"/>
      <c r="R1385" s="117"/>
      <c r="S1385" s="117"/>
      <c r="T1385" s="117"/>
      <c r="U1385" s="117"/>
      <c r="V1385" s="117"/>
      <c r="W1385" s="117"/>
      <c r="X1385" s="117"/>
      <c r="Y1385" s="117"/>
      <c r="Z1385" s="117"/>
      <c r="AA1385" s="117"/>
      <c r="AB1385" s="117"/>
      <c r="AC1385" s="117"/>
      <c r="AD1385" s="117"/>
      <c r="AE1385" s="117"/>
      <c r="AF1385" s="117"/>
      <c r="AG1385" s="117"/>
      <c r="AH1385" s="117"/>
      <c r="AI1385" s="117"/>
      <c r="AJ1385" s="117"/>
      <c r="AK1385" s="117"/>
      <c r="AL1385" s="117"/>
      <c r="AM1385" s="117"/>
      <c r="AN1385" s="117"/>
      <c r="AO1385" s="117"/>
      <c r="AP1385" s="117"/>
      <c r="AQ1385" s="117"/>
      <c r="AR1385" s="117"/>
      <c r="AS1385" s="117"/>
      <c r="AT1385" s="117"/>
      <c r="AU1385" s="117"/>
      <c r="AV1385" s="117"/>
      <c r="AW1385" s="117"/>
      <c r="AX1385" s="117"/>
      <c r="AY1385" s="117"/>
      <c r="AZ1385" s="117"/>
      <c r="BA1385" s="117"/>
      <c r="BB1385" s="117"/>
      <c r="BC1385" s="117"/>
      <c r="BD1385" s="117"/>
      <c r="BE1385" s="117"/>
      <c r="BF1385" s="117"/>
      <c r="BG1385" s="117"/>
    </row>
    <row r="1386" spans="1:59">
      <c r="A1386" s="117"/>
      <c r="B1386" s="117"/>
      <c r="C1386" s="117"/>
      <c r="D1386" s="117"/>
      <c r="E1386" s="117"/>
      <c r="F1386" s="117"/>
      <c r="G1386" s="117"/>
      <c r="H1386" s="117"/>
      <c r="I1386" s="117"/>
      <c r="J1386" s="118"/>
      <c r="K1386" s="118"/>
      <c r="L1386" s="118"/>
      <c r="M1386" s="118"/>
      <c r="N1386" s="117"/>
      <c r="O1386" s="117"/>
      <c r="P1386" s="117"/>
      <c r="Q1386" s="117"/>
      <c r="R1386" s="117"/>
      <c r="S1386" s="117"/>
      <c r="T1386" s="117"/>
      <c r="U1386" s="117"/>
      <c r="V1386" s="117"/>
      <c r="W1386" s="117"/>
      <c r="X1386" s="117"/>
      <c r="Y1386" s="117"/>
      <c r="Z1386" s="117"/>
      <c r="AA1386" s="117"/>
      <c r="AB1386" s="117"/>
      <c r="AC1386" s="117"/>
      <c r="AD1386" s="117"/>
      <c r="AE1386" s="117"/>
      <c r="AF1386" s="117"/>
      <c r="AG1386" s="117"/>
      <c r="AH1386" s="117"/>
      <c r="AI1386" s="117"/>
      <c r="AJ1386" s="117"/>
      <c r="AK1386" s="117"/>
      <c r="AL1386" s="117"/>
      <c r="AM1386" s="117"/>
      <c r="AN1386" s="117"/>
      <c r="AO1386" s="117"/>
      <c r="AP1386" s="117"/>
      <c r="AQ1386" s="117"/>
      <c r="AR1386" s="117"/>
      <c r="AS1386" s="117"/>
      <c r="AT1386" s="117"/>
      <c r="AU1386" s="117"/>
      <c r="AV1386" s="117"/>
      <c r="AW1386" s="117"/>
      <c r="AX1386" s="117"/>
      <c r="AY1386" s="117"/>
      <c r="AZ1386" s="117"/>
      <c r="BA1386" s="117"/>
      <c r="BB1386" s="117"/>
      <c r="BC1386" s="117"/>
      <c r="BD1386" s="117"/>
      <c r="BE1386" s="117"/>
      <c r="BF1386" s="117"/>
      <c r="BG1386" s="117"/>
    </row>
    <row r="1387" spans="1:59">
      <c r="A1387" s="117"/>
      <c r="B1387" s="117"/>
      <c r="C1387" s="117"/>
      <c r="D1387" s="117"/>
      <c r="E1387" s="117"/>
      <c r="F1387" s="117"/>
      <c r="G1387" s="117"/>
      <c r="H1387" s="117"/>
      <c r="I1387" s="117"/>
      <c r="J1387" s="118"/>
      <c r="K1387" s="118"/>
      <c r="L1387" s="118"/>
      <c r="M1387" s="118"/>
      <c r="N1387" s="117"/>
      <c r="O1387" s="117"/>
      <c r="P1387" s="117"/>
      <c r="Q1387" s="117"/>
      <c r="R1387" s="117"/>
      <c r="S1387" s="117"/>
      <c r="T1387" s="117"/>
      <c r="U1387" s="117"/>
      <c r="V1387" s="117"/>
      <c r="W1387" s="117"/>
      <c r="X1387" s="117"/>
      <c r="Y1387" s="117"/>
      <c r="Z1387" s="117"/>
      <c r="AA1387" s="117"/>
      <c r="AB1387" s="117"/>
      <c r="AC1387" s="117"/>
      <c r="AD1387" s="117"/>
      <c r="AE1387" s="117"/>
      <c r="AF1387" s="117"/>
      <c r="AG1387" s="117"/>
      <c r="AH1387" s="117"/>
      <c r="AI1387" s="117"/>
      <c r="AJ1387" s="117"/>
      <c r="AK1387" s="117"/>
      <c r="AL1387" s="117"/>
      <c r="AM1387" s="117"/>
      <c r="AN1387" s="117"/>
      <c r="AO1387" s="117"/>
      <c r="AP1387" s="117"/>
      <c r="AQ1387" s="117"/>
      <c r="AR1387" s="117"/>
      <c r="AS1387" s="117"/>
      <c r="AT1387" s="117"/>
      <c r="AU1387" s="117"/>
      <c r="AV1387" s="117"/>
      <c r="AW1387" s="117"/>
      <c r="AX1387" s="117"/>
      <c r="AY1387" s="117"/>
      <c r="AZ1387" s="117"/>
      <c r="BA1387" s="117"/>
      <c r="BB1387" s="117"/>
      <c r="BC1387" s="117"/>
      <c r="BD1387" s="117"/>
      <c r="BE1387" s="117"/>
      <c r="BF1387" s="117"/>
      <c r="BG1387" s="117"/>
    </row>
    <row r="1388" spans="1:59">
      <c r="A1388" s="117"/>
      <c r="B1388" s="117"/>
      <c r="C1388" s="117"/>
      <c r="D1388" s="117"/>
      <c r="E1388" s="117"/>
      <c r="F1388" s="117"/>
      <c r="G1388" s="117"/>
      <c r="H1388" s="117"/>
      <c r="I1388" s="117"/>
      <c r="J1388" s="118"/>
      <c r="K1388" s="118"/>
      <c r="L1388" s="118"/>
      <c r="M1388" s="118"/>
      <c r="N1388" s="117"/>
      <c r="O1388" s="117"/>
      <c r="P1388" s="117"/>
      <c r="Q1388" s="117"/>
      <c r="R1388" s="117"/>
      <c r="S1388" s="117"/>
      <c r="T1388" s="117"/>
      <c r="U1388" s="117"/>
      <c r="V1388" s="117"/>
      <c r="W1388" s="117"/>
      <c r="X1388" s="117"/>
      <c r="Y1388" s="117"/>
      <c r="Z1388" s="117"/>
      <c r="AA1388" s="117"/>
      <c r="AB1388" s="117"/>
      <c r="AC1388" s="117"/>
      <c r="AD1388" s="117"/>
      <c r="AE1388" s="117"/>
      <c r="AF1388" s="117"/>
      <c r="AG1388" s="117"/>
      <c r="AH1388" s="117"/>
      <c r="AI1388" s="117"/>
      <c r="AJ1388" s="117"/>
      <c r="AK1388" s="117"/>
      <c r="AL1388" s="117"/>
      <c r="AM1388" s="117"/>
      <c r="AN1388" s="117"/>
      <c r="AO1388" s="117"/>
      <c r="AP1388" s="117"/>
      <c r="AQ1388" s="117"/>
      <c r="AR1388" s="117"/>
      <c r="AS1388" s="117"/>
      <c r="AT1388" s="117"/>
      <c r="AU1388" s="117"/>
      <c r="AV1388" s="117"/>
      <c r="AW1388" s="117"/>
      <c r="AX1388" s="117"/>
      <c r="AY1388" s="117"/>
      <c r="AZ1388" s="117"/>
      <c r="BA1388" s="117"/>
      <c r="BB1388" s="117"/>
      <c r="BC1388" s="117"/>
      <c r="BD1388" s="117"/>
      <c r="BE1388" s="117"/>
      <c r="BF1388" s="117"/>
      <c r="BG1388" s="117"/>
    </row>
    <row r="1389" spans="1:59">
      <c r="A1389" s="117"/>
      <c r="B1389" s="117"/>
      <c r="C1389" s="117"/>
      <c r="D1389" s="117"/>
      <c r="E1389" s="117"/>
      <c r="F1389" s="117"/>
      <c r="G1389" s="117"/>
      <c r="H1389" s="117"/>
      <c r="I1389" s="117"/>
      <c r="J1389" s="118"/>
      <c r="K1389" s="118"/>
      <c r="L1389" s="118"/>
      <c r="M1389" s="118"/>
      <c r="N1389" s="117"/>
      <c r="O1389" s="117"/>
      <c r="P1389" s="117"/>
      <c r="Q1389" s="117"/>
      <c r="R1389" s="117"/>
      <c r="S1389" s="117"/>
      <c r="T1389" s="117"/>
      <c r="U1389" s="117"/>
      <c r="V1389" s="117"/>
      <c r="W1389" s="117"/>
      <c r="X1389" s="117"/>
      <c r="Y1389" s="117"/>
      <c r="Z1389" s="117"/>
      <c r="AA1389" s="117"/>
      <c r="AB1389" s="117"/>
      <c r="AC1389" s="117"/>
      <c r="AD1389" s="117"/>
      <c r="AE1389" s="117"/>
      <c r="AF1389" s="117"/>
      <c r="AG1389" s="117"/>
      <c r="AH1389" s="117"/>
      <c r="AI1389" s="117"/>
      <c r="AJ1389" s="117"/>
      <c r="AK1389" s="117"/>
      <c r="AL1389" s="117"/>
      <c r="AM1389" s="117"/>
      <c r="AN1389" s="117"/>
      <c r="AO1389" s="117"/>
      <c r="AP1389" s="117"/>
      <c r="AQ1389" s="117"/>
      <c r="AR1389" s="117"/>
      <c r="AS1389" s="117"/>
      <c r="AT1389" s="117"/>
      <c r="AU1389" s="117"/>
      <c r="AV1389" s="117"/>
      <c r="AW1389" s="117"/>
      <c r="AX1389" s="117"/>
      <c r="AY1389" s="117"/>
      <c r="AZ1389" s="117"/>
      <c r="BA1389" s="117"/>
      <c r="BB1389" s="117"/>
      <c r="BC1389" s="117"/>
      <c r="BD1389" s="117"/>
      <c r="BE1389" s="117"/>
      <c r="BF1389" s="117"/>
      <c r="BG1389" s="117"/>
    </row>
    <row r="1390" spans="1:59">
      <c r="A1390" s="117"/>
      <c r="B1390" s="117"/>
      <c r="C1390" s="117"/>
      <c r="D1390" s="117"/>
      <c r="E1390" s="117"/>
      <c r="F1390" s="117"/>
      <c r="G1390" s="117"/>
      <c r="H1390" s="117"/>
      <c r="I1390" s="117"/>
      <c r="J1390" s="118"/>
      <c r="K1390" s="118"/>
      <c r="L1390" s="118"/>
      <c r="M1390" s="118"/>
      <c r="N1390" s="117"/>
      <c r="O1390" s="117"/>
      <c r="P1390" s="117"/>
      <c r="Q1390" s="117"/>
      <c r="R1390" s="117"/>
      <c r="S1390" s="117"/>
      <c r="T1390" s="117"/>
      <c r="U1390" s="117"/>
      <c r="V1390" s="117"/>
      <c r="W1390" s="117"/>
      <c r="X1390" s="117"/>
      <c r="Y1390" s="117"/>
      <c r="Z1390" s="117"/>
      <c r="AA1390" s="117"/>
      <c r="AB1390" s="117"/>
      <c r="AC1390" s="117"/>
      <c r="AD1390" s="117"/>
      <c r="AE1390" s="117"/>
      <c r="AF1390" s="117"/>
      <c r="AG1390" s="117"/>
      <c r="AH1390" s="117"/>
      <c r="AI1390" s="117"/>
      <c r="AJ1390" s="117"/>
      <c r="AK1390" s="117"/>
      <c r="AL1390" s="117"/>
      <c r="AM1390" s="117"/>
      <c r="AN1390" s="117"/>
      <c r="AO1390" s="117"/>
      <c r="AP1390" s="117"/>
      <c r="AQ1390" s="117"/>
      <c r="AR1390" s="117"/>
      <c r="AS1390" s="117"/>
      <c r="AT1390" s="117"/>
      <c r="AU1390" s="117"/>
      <c r="AV1390" s="117"/>
      <c r="AW1390" s="117"/>
      <c r="AX1390" s="117"/>
      <c r="AY1390" s="117"/>
      <c r="AZ1390" s="117"/>
      <c r="BA1390" s="117"/>
      <c r="BB1390" s="117"/>
      <c r="BC1390" s="117"/>
      <c r="BD1390" s="117"/>
      <c r="BE1390" s="117"/>
      <c r="BF1390" s="117"/>
      <c r="BG1390" s="117"/>
    </row>
    <row r="1391" spans="1:59">
      <c r="A1391" s="117"/>
      <c r="B1391" s="117"/>
      <c r="C1391" s="117"/>
      <c r="D1391" s="117"/>
      <c r="E1391" s="117"/>
      <c r="F1391" s="117"/>
      <c r="G1391" s="117"/>
      <c r="H1391" s="117"/>
      <c r="I1391" s="117"/>
      <c r="J1391" s="118"/>
      <c r="K1391" s="118"/>
      <c r="L1391" s="118"/>
      <c r="M1391" s="118"/>
      <c r="N1391" s="117"/>
      <c r="O1391" s="117"/>
      <c r="P1391" s="117"/>
      <c r="Q1391" s="117"/>
      <c r="R1391" s="117"/>
      <c r="S1391" s="117"/>
      <c r="T1391" s="117"/>
      <c r="U1391" s="117"/>
      <c r="V1391" s="117"/>
      <c r="W1391" s="117"/>
      <c r="X1391" s="117"/>
      <c r="Y1391" s="117"/>
      <c r="Z1391" s="117"/>
      <c r="AA1391" s="117"/>
      <c r="AB1391" s="117"/>
      <c r="AC1391" s="117"/>
      <c r="AD1391" s="117"/>
      <c r="AE1391" s="117"/>
      <c r="AF1391" s="117"/>
      <c r="AG1391" s="117"/>
      <c r="AH1391" s="117"/>
      <c r="AI1391" s="117"/>
      <c r="AJ1391" s="117"/>
      <c r="AK1391" s="117"/>
      <c r="AL1391" s="117"/>
      <c r="AM1391" s="117"/>
      <c r="AN1391" s="117"/>
      <c r="AO1391" s="117"/>
      <c r="AP1391" s="117"/>
      <c r="AQ1391" s="117"/>
      <c r="AR1391" s="117"/>
      <c r="AS1391" s="117"/>
      <c r="AT1391" s="117"/>
      <c r="AU1391" s="117"/>
      <c r="AV1391" s="117"/>
      <c r="AW1391" s="117"/>
      <c r="AX1391" s="117"/>
      <c r="AY1391" s="117"/>
      <c r="AZ1391" s="117"/>
      <c r="BA1391" s="117"/>
      <c r="BB1391" s="117"/>
      <c r="BC1391" s="117"/>
      <c r="BD1391" s="117"/>
      <c r="BE1391" s="117"/>
      <c r="BF1391" s="117"/>
      <c r="BG1391" s="117"/>
    </row>
    <row r="1392" spans="1:59">
      <c r="A1392" s="117"/>
      <c r="B1392" s="117"/>
      <c r="C1392" s="117"/>
      <c r="D1392" s="117"/>
      <c r="E1392" s="117"/>
      <c r="F1392" s="117"/>
      <c r="G1392" s="117"/>
      <c r="H1392" s="117"/>
      <c r="I1392" s="117"/>
      <c r="J1392" s="118"/>
      <c r="K1392" s="118"/>
      <c r="L1392" s="118"/>
      <c r="M1392" s="118"/>
      <c r="N1392" s="117"/>
      <c r="O1392" s="117"/>
      <c r="P1392" s="117"/>
      <c r="Q1392" s="117"/>
      <c r="R1392" s="117"/>
      <c r="S1392" s="117"/>
      <c r="T1392" s="117"/>
      <c r="U1392" s="117"/>
      <c r="V1392" s="117"/>
      <c r="W1392" s="117"/>
      <c r="X1392" s="117"/>
      <c r="Y1392" s="117"/>
      <c r="Z1392" s="117"/>
      <c r="AA1392" s="117"/>
      <c r="AB1392" s="117"/>
      <c r="AC1392" s="117"/>
      <c r="AD1392" s="117"/>
      <c r="AE1392" s="117"/>
      <c r="AF1392" s="117"/>
      <c r="AG1392" s="117"/>
      <c r="AH1392" s="117"/>
      <c r="AI1392" s="117"/>
      <c r="AJ1392" s="117"/>
      <c r="AK1392" s="117"/>
      <c r="AL1392" s="117"/>
      <c r="AM1392" s="117"/>
      <c r="AN1392" s="117"/>
      <c r="AO1392" s="117"/>
      <c r="AP1392" s="117"/>
      <c r="AQ1392" s="117"/>
      <c r="AR1392" s="117"/>
      <c r="AS1392" s="117"/>
      <c r="AT1392" s="117"/>
      <c r="AU1392" s="117"/>
      <c r="AV1392" s="117"/>
      <c r="AW1392" s="117"/>
      <c r="AX1392" s="117"/>
      <c r="AY1392" s="117"/>
      <c r="AZ1392" s="117"/>
      <c r="BA1392" s="117"/>
      <c r="BB1392" s="117"/>
      <c r="BC1392" s="117"/>
      <c r="BD1392" s="117"/>
      <c r="BE1392" s="117"/>
      <c r="BF1392" s="117"/>
      <c r="BG1392" s="117"/>
    </row>
    <row r="1393" spans="1:59">
      <c r="A1393" s="117"/>
      <c r="B1393" s="117"/>
      <c r="C1393" s="117"/>
      <c r="D1393" s="117"/>
      <c r="E1393" s="117"/>
      <c r="F1393" s="117"/>
      <c r="G1393" s="117"/>
      <c r="H1393" s="117"/>
      <c r="I1393" s="117"/>
      <c r="J1393" s="118"/>
      <c r="K1393" s="118"/>
      <c r="L1393" s="118"/>
      <c r="M1393" s="118"/>
      <c r="N1393" s="117"/>
      <c r="O1393" s="117"/>
      <c r="P1393" s="117"/>
      <c r="Q1393" s="117"/>
      <c r="R1393" s="117"/>
      <c r="S1393" s="117"/>
      <c r="T1393" s="117"/>
      <c r="U1393" s="117"/>
      <c r="V1393" s="117"/>
      <c r="W1393" s="117"/>
      <c r="X1393" s="117"/>
      <c r="Y1393" s="117"/>
      <c r="Z1393" s="117"/>
      <c r="AA1393" s="117"/>
      <c r="AB1393" s="117"/>
      <c r="AC1393" s="117"/>
      <c r="AD1393" s="117"/>
      <c r="AE1393" s="117"/>
      <c r="AF1393" s="117"/>
      <c r="AG1393" s="117"/>
      <c r="AH1393" s="117"/>
      <c r="AI1393" s="117"/>
      <c r="AJ1393" s="117"/>
      <c r="AK1393" s="117"/>
      <c r="AL1393" s="117"/>
      <c r="AM1393" s="117"/>
      <c r="AN1393" s="117"/>
      <c r="AO1393" s="117"/>
      <c r="AP1393" s="117"/>
      <c r="AQ1393" s="117"/>
      <c r="AR1393" s="117"/>
      <c r="AS1393" s="117"/>
      <c r="AT1393" s="117"/>
      <c r="AU1393" s="117"/>
      <c r="AV1393" s="117"/>
      <c r="AW1393" s="117"/>
      <c r="AX1393" s="117"/>
      <c r="AY1393" s="117"/>
      <c r="AZ1393" s="117"/>
      <c r="BA1393" s="117"/>
      <c r="BB1393" s="117"/>
      <c r="BC1393" s="117"/>
      <c r="BD1393" s="117"/>
      <c r="BE1393" s="117"/>
      <c r="BF1393" s="117"/>
      <c r="BG1393" s="117"/>
    </row>
    <row r="1394" spans="1:59">
      <c r="A1394" s="117"/>
      <c r="B1394" s="117"/>
      <c r="C1394" s="117"/>
      <c r="D1394" s="117"/>
      <c r="E1394" s="117"/>
      <c r="F1394" s="117"/>
      <c r="G1394" s="117"/>
      <c r="H1394" s="117"/>
      <c r="I1394" s="117"/>
      <c r="J1394" s="118"/>
      <c r="K1394" s="118"/>
      <c r="L1394" s="118"/>
      <c r="M1394" s="118"/>
      <c r="N1394" s="117"/>
      <c r="O1394" s="117"/>
      <c r="P1394" s="117"/>
      <c r="Q1394" s="117"/>
      <c r="R1394" s="117"/>
      <c r="S1394" s="117"/>
      <c r="T1394" s="117"/>
      <c r="U1394" s="117"/>
      <c r="V1394" s="117"/>
      <c r="W1394" s="117"/>
      <c r="X1394" s="117"/>
      <c r="Y1394" s="117"/>
      <c r="Z1394" s="117"/>
      <c r="AA1394" s="117"/>
      <c r="AB1394" s="117"/>
      <c r="AC1394" s="117"/>
      <c r="AD1394" s="117"/>
      <c r="AE1394" s="117"/>
      <c r="AF1394" s="117"/>
      <c r="AG1394" s="117"/>
      <c r="AH1394" s="117"/>
      <c r="AI1394" s="117"/>
      <c r="AJ1394" s="117"/>
      <c r="AK1394" s="117"/>
      <c r="AL1394" s="117"/>
      <c r="AM1394" s="117"/>
      <c r="AN1394" s="117"/>
      <c r="AO1394" s="117"/>
      <c r="AP1394" s="117"/>
      <c r="AQ1394" s="117"/>
      <c r="AR1394" s="117"/>
      <c r="AS1394" s="117"/>
      <c r="AT1394" s="117"/>
      <c r="AU1394" s="117"/>
      <c r="AV1394" s="117"/>
      <c r="AW1394" s="117"/>
      <c r="AX1394" s="117"/>
      <c r="AY1394" s="117"/>
      <c r="AZ1394" s="117"/>
      <c r="BA1394" s="117"/>
      <c r="BB1394" s="117"/>
      <c r="BC1394" s="117"/>
      <c r="BD1394" s="117"/>
      <c r="BE1394" s="117"/>
      <c r="BF1394" s="117"/>
      <c r="BG1394" s="117"/>
    </row>
    <row r="1395" spans="1:59">
      <c r="A1395" s="117"/>
      <c r="B1395" s="117"/>
      <c r="C1395" s="117"/>
      <c r="D1395" s="117"/>
      <c r="E1395" s="117"/>
      <c r="F1395" s="117"/>
      <c r="G1395" s="117"/>
      <c r="H1395" s="117"/>
      <c r="I1395" s="117"/>
      <c r="J1395" s="118"/>
      <c r="K1395" s="118"/>
      <c r="L1395" s="118"/>
      <c r="M1395" s="118"/>
      <c r="N1395" s="117"/>
      <c r="O1395" s="117"/>
      <c r="P1395" s="117"/>
      <c r="Q1395" s="117"/>
      <c r="R1395" s="117"/>
      <c r="S1395" s="117"/>
      <c r="T1395" s="117"/>
      <c r="U1395" s="117"/>
      <c r="V1395" s="117"/>
      <c r="W1395" s="117"/>
      <c r="X1395" s="117"/>
      <c r="Y1395" s="117"/>
      <c r="Z1395" s="117"/>
      <c r="AA1395" s="117"/>
      <c r="AB1395" s="117"/>
      <c r="AC1395" s="117"/>
      <c r="AD1395" s="117"/>
      <c r="AE1395" s="117"/>
      <c r="AF1395" s="117"/>
      <c r="AG1395" s="117"/>
      <c r="AH1395" s="117"/>
      <c r="AI1395" s="117"/>
      <c r="AJ1395" s="117"/>
      <c r="AK1395" s="117"/>
      <c r="AL1395" s="117"/>
      <c r="AM1395" s="117"/>
      <c r="AN1395" s="117"/>
      <c r="AO1395" s="117"/>
      <c r="AP1395" s="117"/>
      <c r="AQ1395" s="117"/>
      <c r="AR1395" s="117"/>
      <c r="AS1395" s="117"/>
      <c r="AT1395" s="117"/>
      <c r="AU1395" s="117"/>
      <c r="AV1395" s="117"/>
      <c r="AW1395" s="117"/>
      <c r="AX1395" s="117"/>
      <c r="AY1395" s="117"/>
      <c r="AZ1395" s="117"/>
      <c r="BA1395" s="117"/>
      <c r="BB1395" s="117"/>
      <c r="BC1395" s="117"/>
      <c r="BD1395" s="117"/>
      <c r="BE1395" s="117"/>
      <c r="BF1395" s="117"/>
      <c r="BG1395" s="117"/>
    </row>
    <row r="1396" spans="1:59">
      <c r="A1396" s="117"/>
      <c r="B1396" s="117"/>
      <c r="C1396" s="117"/>
      <c r="D1396" s="117"/>
      <c r="E1396" s="117"/>
      <c r="F1396" s="117"/>
      <c r="G1396" s="117"/>
      <c r="H1396" s="117"/>
      <c r="I1396" s="117"/>
      <c r="J1396" s="118"/>
      <c r="K1396" s="118"/>
      <c r="L1396" s="118"/>
      <c r="M1396" s="118"/>
      <c r="N1396" s="117"/>
      <c r="O1396" s="117"/>
      <c r="P1396" s="117"/>
      <c r="Q1396" s="117"/>
      <c r="R1396" s="117"/>
      <c r="S1396" s="117"/>
      <c r="T1396" s="117"/>
      <c r="U1396" s="117"/>
      <c r="V1396" s="117"/>
      <c r="W1396" s="117"/>
      <c r="X1396" s="117"/>
      <c r="Y1396" s="117"/>
      <c r="Z1396" s="117"/>
      <c r="AA1396" s="117"/>
      <c r="AB1396" s="117"/>
      <c r="AC1396" s="117"/>
      <c r="AD1396" s="117"/>
      <c r="AE1396" s="117"/>
      <c r="AF1396" s="117"/>
      <c r="AG1396" s="117"/>
      <c r="AH1396" s="117"/>
      <c r="AI1396" s="117"/>
      <c r="AJ1396" s="117"/>
      <c r="AK1396" s="117"/>
      <c r="AL1396" s="117"/>
      <c r="AM1396" s="117"/>
      <c r="AN1396" s="117"/>
      <c r="AO1396" s="117"/>
      <c r="AP1396" s="117"/>
      <c r="AQ1396" s="117"/>
      <c r="AR1396" s="117"/>
      <c r="AS1396" s="117"/>
      <c r="AT1396" s="117"/>
      <c r="AU1396" s="117"/>
      <c r="AV1396" s="117"/>
      <c r="AW1396" s="117"/>
      <c r="AX1396" s="117"/>
      <c r="AY1396" s="117"/>
      <c r="AZ1396" s="117"/>
      <c r="BA1396" s="117"/>
      <c r="BB1396" s="117"/>
      <c r="BC1396" s="117"/>
      <c r="BD1396" s="117"/>
      <c r="BE1396" s="117"/>
      <c r="BF1396" s="117"/>
      <c r="BG1396" s="117"/>
    </row>
    <row r="1397" spans="1:59">
      <c r="A1397" s="117"/>
      <c r="B1397" s="117"/>
      <c r="C1397" s="117"/>
      <c r="D1397" s="117"/>
      <c r="E1397" s="117"/>
      <c r="F1397" s="117"/>
      <c r="G1397" s="117"/>
      <c r="H1397" s="117"/>
      <c r="I1397" s="117"/>
      <c r="J1397" s="118"/>
      <c r="K1397" s="118"/>
      <c r="L1397" s="118"/>
      <c r="M1397" s="118"/>
      <c r="N1397" s="117"/>
      <c r="O1397" s="117"/>
      <c r="P1397" s="117"/>
      <c r="Q1397" s="117"/>
      <c r="R1397" s="117"/>
      <c r="S1397" s="117"/>
      <c r="T1397" s="117"/>
      <c r="U1397" s="117"/>
      <c r="V1397" s="117"/>
      <c r="W1397" s="117"/>
      <c r="X1397" s="117"/>
      <c r="Y1397" s="117"/>
      <c r="Z1397" s="117"/>
      <c r="AA1397" s="117"/>
      <c r="AB1397" s="117"/>
      <c r="AC1397" s="117"/>
      <c r="AD1397" s="117"/>
      <c r="AE1397" s="117"/>
      <c r="AF1397" s="117"/>
      <c r="AG1397" s="117"/>
      <c r="AH1397" s="117"/>
      <c r="AI1397" s="117"/>
      <c r="AJ1397" s="117"/>
      <c r="AK1397" s="117"/>
      <c r="AL1397" s="117"/>
      <c r="AM1397" s="117"/>
      <c r="AN1397" s="117"/>
      <c r="AO1397" s="117"/>
      <c r="AP1397" s="117"/>
      <c r="AQ1397" s="117"/>
      <c r="AR1397" s="117"/>
      <c r="AS1397" s="117"/>
      <c r="AT1397" s="117"/>
      <c r="AU1397" s="117"/>
      <c r="AV1397" s="117"/>
      <c r="AW1397" s="117"/>
      <c r="AX1397" s="117"/>
      <c r="AY1397" s="117"/>
      <c r="AZ1397" s="117"/>
      <c r="BA1397" s="117"/>
      <c r="BB1397" s="117"/>
      <c r="BC1397" s="117"/>
      <c r="BD1397" s="117"/>
      <c r="BE1397" s="117"/>
      <c r="BF1397" s="117"/>
      <c r="BG1397" s="117"/>
    </row>
    <row r="1398" spans="1:59">
      <c r="A1398" s="117"/>
      <c r="B1398" s="117"/>
      <c r="C1398" s="117"/>
      <c r="D1398" s="117"/>
      <c r="E1398" s="117"/>
      <c r="F1398" s="117"/>
      <c r="G1398" s="117"/>
      <c r="H1398" s="117"/>
      <c r="I1398" s="117"/>
      <c r="J1398" s="118"/>
      <c r="K1398" s="118"/>
      <c r="L1398" s="118"/>
      <c r="M1398" s="118"/>
      <c r="N1398" s="117"/>
      <c r="O1398" s="117"/>
      <c r="P1398" s="117"/>
      <c r="Q1398" s="117"/>
      <c r="R1398" s="117"/>
      <c r="S1398" s="117"/>
      <c r="T1398" s="117"/>
      <c r="U1398" s="117"/>
      <c r="V1398" s="117"/>
      <c r="W1398" s="117"/>
      <c r="X1398" s="117"/>
      <c r="Y1398" s="117"/>
      <c r="Z1398" s="117"/>
      <c r="AA1398" s="117"/>
      <c r="AB1398" s="117"/>
      <c r="AC1398" s="117"/>
      <c r="AD1398" s="117"/>
      <c r="AE1398" s="117"/>
      <c r="AF1398" s="117"/>
      <c r="AG1398" s="117"/>
      <c r="AH1398" s="117"/>
      <c r="AI1398" s="117"/>
      <c r="AJ1398" s="117"/>
      <c r="AK1398" s="117"/>
      <c r="AL1398" s="117"/>
      <c r="AM1398" s="117"/>
      <c r="AN1398" s="117"/>
      <c r="AO1398" s="117"/>
      <c r="AP1398" s="117"/>
      <c r="AQ1398" s="117"/>
      <c r="AR1398" s="117"/>
      <c r="AS1398" s="117"/>
      <c r="AT1398" s="117"/>
      <c r="AU1398" s="117"/>
      <c r="AV1398" s="117"/>
      <c r="AW1398" s="117"/>
      <c r="AX1398" s="117"/>
      <c r="AY1398" s="117"/>
      <c r="AZ1398" s="117"/>
      <c r="BA1398" s="117"/>
      <c r="BB1398" s="117"/>
      <c r="BC1398" s="117"/>
      <c r="BD1398" s="117"/>
      <c r="BE1398" s="117"/>
      <c r="BF1398" s="117"/>
      <c r="BG1398" s="117"/>
    </row>
    <row r="1399" spans="1:59">
      <c r="A1399" s="117"/>
      <c r="B1399" s="117"/>
      <c r="C1399" s="117"/>
      <c r="D1399" s="117"/>
      <c r="E1399" s="117"/>
      <c r="F1399" s="117"/>
      <c r="G1399" s="117"/>
      <c r="H1399" s="117"/>
      <c r="I1399" s="117"/>
      <c r="J1399" s="118"/>
      <c r="K1399" s="118"/>
      <c r="L1399" s="118"/>
      <c r="M1399" s="118"/>
      <c r="N1399" s="117"/>
      <c r="O1399" s="117"/>
      <c r="P1399" s="117"/>
      <c r="Q1399" s="117"/>
      <c r="R1399" s="117"/>
      <c r="S1399" s="117"/>
      <c r="T1399" s="117"/>
      <c r="U1399" s="117"/>
      <c r="V1399" s="117"/>
      <c r="W1399" s="117"/>
      <c r="X1399" s="117"/>
      <c r="Y1399" s="117"/>
      <c r="Z1399" s="117"/>
      <c r="AA1399" s="117"/>
      <c r="AB1399" s="117"/>
      <c r="AC1399" s="117"/>
      <c r="AD1399" s="117"/>
      <c r="AE1399" s="117"/>
      <c r="AF1399" s="117"/>
      <c r="AG1399" s="117"/>
      <c r="AH1399" s="117"/>
      <c r="AI1399" s="117"/>
      <c r="AJ1399" s="117"/>
      <c r="AK1399" s="117"/>
      <c r="AL1399" s="117"/>
      <c r="AM1399" s="117"/>
      <c r="AN1399" s="117"/>
      <c r="AO1399" s="117"/>
      <c r="AP1399" s="117"/>
      <c r="AQ1399" s="117"/>
      <c r="AR1399" s="117"/>
      <c r="AS1399" s="117"/>
      <c r="AT1399" s="117"/>
      <c r="AU1399" s="117"/>
      <c r="AV1399" s="117"/>
      <c r="AW1399" s="117"/>
      <c r="AX1399" s="117"/>
      <c r="AY1399" s="117"/>
      <c r="AZ1399" s="117"/>
      <c r="BA1399" s="117"/>
      <c r="BB1399" s="117"/>
      <c r="BC1399" s="117"/>
      <c r="BD1399" s="117"/>
      <c r="BE1399" s="117"/>
      <c r="BF1399" s="117"/>
      <c r="BG1399" s="117"/>
    </row>
    <row r="1400" spans="1:59">
      <c r="A1400" s="117"/>
      <c r="B1400" s="117"/>
      <c r="C1400" s="117"/>
      <c r="D1400" s="117"/>
      <c r="E1400" s="117"/>
      <c r="F1400" s="117"/>
      <c r="G1400" s="117"/>
      <c r="H1400" s="117"/>
      <c r="I1400" s="117"/>
      <c r="J1400" s="118"/>
      <c r="K1400" s="118"/>
      <c r="L1400" s="118"/>
      <c r="M1400" s="118"/>
      <c r="N1400" s="117"/>
      <c r="O1400" s="117"/>
      <c r="P1400" s="117"/>
      <c r="Q1400" s="117"/>
      <c r="R1400" s="117"/>
      <c r="S1400" s="117"/>
      <c r="T1400" s="117"/>
      <c r="U1400" s="117"/>
      <c r="V1400" s="117"/>
      <c r="W1400" s="117"/>
      <c r="X1400" s="117"/>
      <c r="Y1400" s="117"/>
      <c r="Z1400" s="117"/>
      <c r="AA1400" s="117"/>
      <c r="AB1400" s="117"/>
      <c r="AC1400" s="117"/>
      <c r="AD1400" s="117"/>
      <c r="AE1400" s="117"/>
      <c r="AF1400" s="117"/>
      <c r="AG1400" s="117"/>
      <c r="AH1400" s="117"/>
      <c r="AI1400" s="117"/>
      <c r="AJ1400" s="117"/>
      <c r="AK1400" s="117"/>
      <c r="AL1400" s="117"/>
      <c r="AM1400" s="117"/>
      <c r="AN1400" s="117"/>
      <c r="AO1400" s="117"/>
      <c r="AP1400" s="117"/>
      <c r="AQ1400" s="117"/>
      <c r="AR1400" s="117"/>
      <c r="AS1400" s="117"/>
      <c r="AT1400" s="117"/>
      <c r="AU1400" s="117"/>
      <c r="AV1400" s="117"/>
      <c r="AW1400" s="117"/>
      <c r="AX1400" s="117"/>
      <c r="AY1400" s="117"/>
      <c r="AZ1400" s="117"/>
      <c r="BA1400" s="117"/>
      <c r="BB1400" s="117"/>
      <c r="BC1400" s="117"/>
      <c r="BD1400" s="117"/>
      <c r="BE1400" s="117"/>
      <c r="BF1400" s="117"/>
      <c r="BG1400" s="117"/>
    </row>
    <row r="1401" spans="1:59">
      <c r="A1401" s="117"/>
      <c r="B1401" s="117"/>
      <c r="C1401" s="117"/>
      <c r="D1401" s="117"/>
      <c r="E1401" s="117"/>
      <c r="F1401" s="117"/>
      <c r="G1401" s="117"/>
      <c r="H1401" s="117"/>
      <c r="I1401" s="117"/>
      <c r="J1401" s="118"/>
      <c r="K1401" s="118"/>
      <c r="L1401" s="118"/>
      <c r="M1401" s="118"/>
      <c r="N1401" s="117"/>
      <c r="O1401" s="117"/>
      <c r="P1401" s="117"/>
      <c r="Q1401" s="117"/>
      <c r="R1401" s="117"/>
      <c r="S1401" s="117"/>
      <c r="T1401" s="117"/>
      <c r="U1401" s="117"/>
      <c r="V1401" s="117"/>
      <c r="W1401" s="117"/>
      <c r="X1401" s="117"/>
      <c r="Y1401" s="117"/>
      <c r="Z1401" s="117"/>
      <c r="AA1401" s="117"/>
      <c r="AB1401" s="117"/>
      <c r="AC1401" s="117"/>
      <c r="AD1401" s="117"/>
      <c r="AE1401" s="117"/>
      <c r="AF1401" s="117"/>
      <c r="AG1401" s="117"/>
      <c r="AH1401" s="117"/>
      <c r="AI1401" s="117"/>
      <c r="AJ1401" s="117"/>
      <c r="AK1401" s="117"/>
      <c r="AL1401" s="117"/>
      <c r="AM1401" s="117"/>
      <c r="AN1401" s="117"/>
      <c r="AO1401" s="117"/>
      <c r="AP1401" s="117"/>
      <c r="AQ1401" s="117"/>
      <c r="AR1401" s="117"/>
      <c r="AS1401" s="117"/>
      <c r="AT1401" s="117"/>
      <c r="AU1401" s="117"/>
      <c r="AV1401" s="117"/>
      <c r="AW1401" s="117"/>
      <c r="AX1401" s="117"/>
      <c r="AY1401" s="117"/>
      <c r="AZ1401" s="117"/>
      <c r="BA1401" s="117"/>
      <c r="BB1401" s="117"/>
      <c r="BC1401" s="117"/>
      <c r="BD1401" s="117"/>
      <c r="BE1401" s="117"/>
      <c r="BF1401" s="117"/>
      <c r="BG1401" s="117"/>
    </row>
    <row r="1402" spans="1:59">
      <c r="A1402" s="117"/>
      <c r="B1402" s="117"/>
      <c r="C1402" s="117"/>
      <c r="D1402" s="117"/>
      <c r="E1402" s="117"/>
      <c r="F1402" s="117"/>
      <c r="G1402" s="117"/>
      <c r="H1402" s="117"/>
      <c r="I1402" s="117"/>
      <c r="J1402" s="118"/>
      <c r="K1402" s="118"/>
      <c r="L1402" s="118"/>
      <c r="M1402" s="118"/>
      <c r="N1402" s="117"/>
      <c r="O1402" s="117"/>
      <c r="P1402" s="117"/>
      <c r="Q1402" s="117"/>
      <c r="R1402" s="117"/>
      <c r="S1402" s="117"/>
      <c r="T1402" s="117"/>
      <c r="U1402" s="117"/>
      <c r="V1402" s="117"/>
      <c r="W1402" s="117"/>
      <c r="X1402" s="117"/>
      <c r="Y1402" s="117"/>
      <c r="Z1402" s="117"/>
      <c r="AA1402" s="117"/>
      <c r="AB1402" s="117"/>
      <c r="AC1402" s="117"/>
      <c r="AD1402" s="117"/>
      <c r="AE1402" s="117"/>
      <c r="AF1402" s="117"/>
      <c r="AG1402" s="117"/>
      <c r="AH1402" s="117"/>
      <c r="AI1402" s="117"/>
      <c r="AJ1402" s="117"/>
      <c r="AK1402" s="117"/>
      <c r="AL1402" s="117"/>
      <c r="AM1402" s="117"/>
      <c r="AN1402" s="117"/>
      <c r="AO1402" s="117"/>
      <c r="AP1402" s="117"/>
      <c r="AQ1402" s="117"/>
      <c r="AR1402" s="117"/>
      <c r="AS1402" s="117"/>
      <c r="AT1402" s="117"/>
      <c r="AU1402" s="117"/>
      <c r="AV1402" s="117"/>
      <c r="AW1402" s="117"/>
      <c r="AX1402" s="117"/>
      <c r="AY1402" s="117"/>
      <c r="AZ1402" s="117"/>
      <c r="BA1402" s="117"/>
      <c r="BB1402" s="117"/>
      <c r="BC1402" s="117"/>
      <c r="BD1402" s="117"/>
      <c r="BE1402" s="117"/>
      <c r="BF1402" s="117"/>
      <c r="BG1402" s="117"/>
    </row>
    <row r="1403" spans="1:59">
      <c r="A1403" s="117"/>
      <c r="B1403" s="117"/>
      <c r="C1403" s="117"/>
      <c r="D1403" s="117"/>
      <c r="E1403" s="117"/>
      <c r="F1403" s="117"/>
      <c r="G1403" s="117"/>
      <c r="H1403" s="117"/>
      <c r="I1403" s="117"/>
      <c r="J1403" s="118"/>
      <c r="K1403" s="118"/>
      <c r="L1403" s="118"/>
      <c r="M1403" s="118"/>
      <c r="N1403" s="117"/>
      <c r="O1403" s="117"/>
      <c r="P1403" s="117"/>
      <c r="Q1403" s="117"/>
      <c r="R1403" s="117"/>
      <c r="S1403" s="117"/>
      <c r="T1403" s="117"/>
      <c r="U1403" s="117"/>
      <c r="V1403" s="117"/>
      <c r="W1403" s="117"/>
      <c r="X1403" s="117"/>
      <c r="Y1403" s="117"/>
      <c r="Z1403" s="117"/>
      <c r="AA1403" s="117"/>
      <c r="AB1403" s="117"/>
      <c r="AC1403" s="117"/>
      <c r="AD1403" s="117"/>
      <c r="AE1403" s="117"/>
      <c r="AF1403" s="117"/>
      <c r="AG1403" s="117"/>
      <c r="AH1403" s="117"/>
      <c r="AI1403" s="117"/>
      <c r="AJ1403" s="117"/>
      <c r="AK1403" s="117"/>
      <c r="AL1403" s="117"/>
      <c r="AM1403" s="117"/>
      <c r="AN1403" s="117"/>
      <c r="AO1403" s="117"/>
      <c r="AP1403" s="117"/>
      <c r="AQ1403" s="117"/>
      <c r="AR1403" s="117"/>
      <c r="AS1403" s="117"/>
      <c r="AT1403" s="117"/>
      <c r="AU1403" s="117"/>
      <c r="AV1403" s="117"/>
      <c r="AW1403" s="117"/>
      <c r="AX1403" s="117"/>
      <c r="AY1403" s="117"/>
      <c r="AZ1403" s="117"/>
      <c r="BA1403" s="117"/>
      <c r="BB1403" s="117"/>
      <c r="BC1403" s="117"/>
      <c r="BD1403" s="117"/>
      <c r="BE1403" s="117"/>
      <c r="BF1403" s="117"/>
      <c r="BG1403" s="117"/>
    </row>
    <row r="1404" spans="1:59">
      <c r="A1404" s="117"/>
      <c r="B1404" s="117"/>
      <c r="C1404" s="117"/>
      <c r="D1404" s="117"/>
      <c r="E1404" s="117"/>
      <c r="F1404" s="117"/>
      <c r="G1404" s="117"/>
      <c r="H1404" s="117"/>
      <c r="I1404" s="117"/>
      <c r="J1404" s="118"/>
      <c r="K1404" s="118"/>
      <c r="L1404" s="118"/>
      <c r="M1404" s="118"/>
      <c r="N1404" s="117"/>
      <c r="O1404" s="117"/>
      <c r="P1404" s="117"/>
      <c r="Q1404" s="117"/>
      <c r="R1404" s="117"/>
      <c r="S1404" s="117"/>
      <c r="T1404" s="117"/>
      <c r="U1404" s="117"/>
      <c r="V1404" s="117"/>
      <c r="W1404" s="117"/>
      <c r="X1404" s="117"/>
      <c r="Y1404" s="117"/>
      <c r="Z1404" s="117"/>
      <c r="AA1404" s="117"/>
      <c r="AB1404" s="117"/>
      <c r="AC1404" s="117"/>
      <c r="AD1404" s="117"/>
      <c r="AE1404" s="117"/>
      <c r="AF1404" s="117"/>
      <c r="AG1404" s="117"/>
      <c r="AH1404" s="117"/>
      <c r="AI1404" s="117"/>
      <c r="AJ1404" s="117"/>
      <c r="AK1404" s="117"/>
      <c r="AL1404" s="117"/>
      <c r="AM1404" s="117"/>
      <c r="AN1404" s="117"/>
      <c r="AO1404" s="117"/>
      <c r="AP1404" s="117"/>
      <c r="AQ1404" s="117"/>
      <c r="AR1404" s="117"/>
      <c r="AS1404" s="117"/>
      <c r="AT1404" s="117"/>
      <c r="AU1404" s="117"/>
      <c r="AV1404" s="117"/>
      <c r="AW1404" s="117"/>
      <c r="AX1404" s="117"/>
      <c r="AY1404" s="117"/>
      <c r="AZ1404" s="117"/>
      <c r="BA1404" s="117"/>
      <c r="BB1404" s="117"/>
      <c r="BC1404" s="117"/>
      <c r="BD1404" s="117"/>
      <c r="BE1404" s="117"/>
      <c r="BF1404" s="117"/>
      <c r="BG1404" s="117"/>
    </row>
    <row r="1405" spans="1:59">
      <c r="A1405" s="117"/>
      <c r="B1405" s="117"/>
      <c r="C1405" s="117"/>
      <c r="D1405" s="117"/>
      <c r="E1405" s="117"/>
      <c r="F1405" s="117"/>
      <c r="G1405" s="117"/>
      <c r="H1405" s="117"/>
      <c r="I1405" s="117"/>
      <c r="J1405" s="118"/>
      <c r="K1405" s="118"/>
      <c r="L1405" s="118"/>
      <c r="M1405" s="118"/>
      <c r="N1405" s="117"/>
      <c r="O1405" s="117"/>
      <c r="P1405" s="117"/>
      <c r="Q1405" s="117"/>
      <c r="R1405" s="117"/>
      <c r="S1405" s="117"/>
      <c r="T1405" s="117"/>
      <c r="U1405" s="117"/>
      <c r="V1405" s="117"/>
      <c r="W1405" s="117"/>
      <c r="X1405" s="117"/>
      <c r="Y1405" s="117"/>
      <c r="Z1405" s="117"/>
      <c r="AA1405" s="117"/>
      <c r="AB1405" s="117"/>
      <c r="AC1405" s="117"/>
      <c r="AD1405" s="117"/>
      <c r="AE1405" s="117"/>
      <c r="AF1405" s="117"/>
      <c r="AG1405" s="117"/>
      <c r="AH1405" s="117"/>
      <c r="AI1405" s="117"/>
      <c r="AJ1405" s="117"/>
      <c r="AK1405" s="117"/>
      <c r="AL1405" s="117"/>
      <c r="AM1405" s="117"/>
      <c r="AN1405" s="117"/>
      <c r="AO1405" s="117"/>
      <c r="AP1405" s="117"/>
      <c r="AQ1405" s="117"/>
      <c r="AR1405" s="117"/>
      <c r="AS1405" s="117"/>
      <c r="AT1405" s="117"/>
      <c r="AU1405" s="117"/>
      <c r="AV1405" s="117"/>
      <c r="AW1405" s="117"/>
      <c r="AX1405" s="117"/>
      <c r="AY1405" s="117"/>
      <c r="AZ1405" s="117"/>
      <c r="BA1405" s="117"/>
      <c r="BB1405" s="117"/>
      <c r="BC1405" s="117"/>
      <c r="BD1405" s="117"/>
      <c r="BE1405" s="117"/>
      <c r="BF1405" s="117"/>
      <c r="BG1405" s="117"/>
    </row>
    <row r="1406" spans="1:59">
      <c r="A1406" s="117"/>
      <c r="B1406" s="117"/>
      <c r="C1406" s="117"/>
      <c r="D1406" s="117"/>
      <c r="E1406" s="117"/>
      <c r="F1406" s="117"/>
      <c r="G1406" s="117"/>
      <c r="H1406" s="117"/>
      <c r="I1406" s="117"/>
      <c r="J1406" s="118"/>
      <c r="K1406" s="118"/>
      <c r="L1406" s="118"/>
      <c r="M1406" s="118"/>
      <c r="N1406" s="117"/>
      <c r="O1406" s="117"/>
      <c r="P1406" s="117"/>
      <c r="Q1406" s="117"/>
      <c r="R1406" s="117"/>
      <c r="S1406" s="117"/>
      <c r="T1406" s="117"/>
      <c r="U1406" s="117"/>
      <c r="V1406" s="117"/>
      <c r="W1406" s="117"/>
      <c r="X1406" s="117"/>
      <c r="Y1406" s="117"/>
      <c r="Z1406" s="117"/>
      <c r="AA1406" s="117"/>
      <c r="AB1406" s="117"/>
      <c r="AC1406" s="117"/>
      <c r="AD1406" s="117"/>
      <c r="AE1406" s="117"/>
      <c r="AF1406" s="117"/>
      <c r="AG1406" s="117"/>
      <c r="AH1406" s="117"/>
      <c r="AI1406" s="117"/>
      <c r="AJ1406" s="117"/>
      <c r="AK1406" s="117"/>
      <c r="AL1406" s="117"/>
      <c r="AM1406" s="117"/>
      <c r="AN1406" s="117"/>
      <c r="AO1406" s="117"/>
      <c r="AP1406" s="117"/>
      <c r="AQ1406" s="117"/>
      <c r="AR1406" s="117"/>
      <c r="AS1406" s="117"/>
      <c r="AT1406" s="117"/>
      <c r="AU1406" s="117"/>
      <c r="AV1406" s="117"/>
      <c r="AW1406" s="117"/>
      <c r="AX1406" s="117"/>
      <c r="AY1406" s="117"/>
      <c r="AZ1406" s="117"/>
      <c r="BA1406" s="117"/>
      <c r="BB1406" s="117"/>
      <c r="BC1406" s="117"/>
      <c r="BD1406" s="117"/>
      <c r="BE1406" s="117"/>
      <c r="BF1406" s="117"/>
      <c r="BG1406" s="117"/>
    </row>
    <row r="1407" spans="1:59">
      <c r="A1407" s="117"/>
      <c r="B1407" s="117"/>
      <c r="C1407" s="117"/>
      <c r="D1407" s="117"/>
      <c r="E1407" s="117"/>
      <c r="F1407" s="117"/>
      <c r="G1407" s="117"/>
      <c r="H1407" s="117"/>
      <c r="I1407" s="117"/>
      <c r="J1407" s="118"/>
      <c r="K1407" s="118"/>
      <c r="L1407" s="118"/>
      <c r="M1407" s="118"/>
      <c r="N1407" s="117"/>
      <c r="O1407" s="117"/>
      <c r="P1407" s="117"/>
      <c r="Q1407" s="117"/>
      <c r="R1407" s="117"/>
      <c r="S1407" s="117"/>
      <c r="T1407" s="117"/>
      <c r="U1407" s="117"/>
      <c r="V1407" s="117"/>
      <c r="W1407" s="117"/>
      <c r="X1407" s="117"/>
      <c r="Y1407" s="117"/>
      <c r="Z1407" s="117"/>
      <c r="AA1407" s="117"/>
      <c r="AB1407" s="117"/>
      <c r="AC1407" s="117"/>
      <c r="AD1407" s="117"/>
      <c r="AE1407" s="117"/>
      <c r="AF1407" s="117"/>
      <c r="AG1407" s="117"/>
      <c r="AH1407" s="117"/>
      <c r="AI1407" s="117"/>
      <c r="AJ1407" s="117"/>
      <c r="AK1407" s="117"/>
      <c r="AL1407" s="117"/>
      <c r="AM1407" s="117"/>
      <c r="AN1407" s="117"/>
      <c r="AO1407" s="117"/>
      <c r="AP1407" s="117"/>
      <c r="AQ1407" s="117"/>
      <c r="AR1407" s="117"/>
      <c r="AS1407" s="117"/>
      <c r="AT1407" s="117"/>
      <c r="AU1407" s="117"/>
      <c r="AV1407" s="117"/>
      <c r="AW1407" s="117"/>
      <c r="AX1407" s="117"/>
      <c r="AY1407" s="117"/>
      <c r="AZ1407" s="117"/>
      <c r="BA1407" s="117"/>
      <c r="BB1407" s="117"/>
      <c r="BC1407" s="117"/>
      <c r="BD1407" s="117"/>
      <c r="BE1407" s="117"/>
      <c r="BF1407" s="117"/>
      <c r="BG1407" s="117"/>
    </row>
    <row r="1408" spans="1:59">
      <c r="A1408" s="117"/>
      <c r="B1408" s="117"/>
      <c r="C1408" s="117"/>
      <c r="D1408" s="117"/>
      <c r="E1408" s="117"/>
      <c r="F1408" s="117"/>
      <c r="G1408" s="117"/>
      <c r="H1408" s="117"/>
      <c r="I1408" s="117"/>
      <c r="J1408" s="118"/>
      <c r="K1408" s="118"/>
      <c r="L1408" s="118"/>
      <c r="M1408" s="118"/>
      <c r="N1408" s="117"/>
      <c r="O1408" s="117"/>
      <c r="P1408" s="117"/>
      <c r="Q1408" s="117"/>
      <c r="R1408" s="117"/>
      <c r="S1408" s="117"/>
      <c r="T1408" s="117"/>
      <c r="U1408" s="117"/>
      <c r="V1408" s="117"/>
      <c r="W1408" s="117"/>
      <c r="X1408" s="117"/>
      <c r="Y1408" s="117"/>
      <c r="Z1408" s="117"/>
      <c r="AA1408" s="117"/>
      <c r="AB1408" s="117"/>
      <c r="AC1408" s="117"/>
      <c r="AD1408" s="117"/>
      <c r="AE1408" s="117"/>
      <c r="AF1408" s="117"/>
      <c r="AG1408" s="117"/>
      <c r="AH1408" s="117"/>
      <c r="AI1408" s="117"/>
      <c r="AJ1408" s="117"/>
      <c r="AK1408" s="117"/>
      <c r="AL1408" s="117"/>
      <c r="AM1408" s="117"/>
      <c r="AN1408" s="117"/>
      <c r="AO1408" s="117"/>
      <c r="AP1408" s="117"/>
      <c r="AQ1408" s="117"/>
      <c r="AR1408" s="117"/>
      <c r="AS1408" s="117"/>
      <c r="AT1408" s="117"/>
      <c r="AU1408" s="117"/>
      <c r="AV1408" s="117"/>
      <c r="AW1408" s="117"/>
      <c r="AX1408" s="117"/>
      <c r="AY1408" s="117"/>
      <c r="AZ1408" s="117"/>
      <c r="BA1408" s="117"/>
      <c r="BB1408" s="117"/>
      <c r="BC1408" s="117"/>
      <c r="BD1408" s="117"/>
      <c r="BE1408" s="117"/>
      <c r="BF1408" s="117"/>
      <c r="BG1408" s="117"/>
    </row>
    <row r="1409" spans="1:59">
      <c r="A1409" s="117"/>
      <c r="B1409" s="117"/>
      <c r="C1409" s="117"/>
      <c r="D1409" s="117"/>
      <c r="E1409" s="117"/>
      <c r="F1409" s="117"/>
      <c r="G1409" s="117"/>
      <c r="H1409" s="117"/>
      <c r="I1409" s="117"/>
      <c r="J1409" s="118"/>
      <c r="K1409" s="118"/>
      <c r="L1409" s="118"/>
      <c r="M1409" s="118"/>
      <c r="N1409" s="117"/>
      <c r="O1409" s="117"/>
      <c r="P1409" s="117"/>
      <c r="Q1409" s="117"/>
      <c r="R1409" s="117"/>
      <c r="S1409" s="117"/>
      <c r="T1409" s="117"/>
      <c r="U1409" s="117"/>
      <c r="V1409" s="117"/>
      <c r="W1409" s="117"/>
      <c r="X1409" s="117"/>
      <c r="Y1409" s="117"/>
      <c r="Z1409" s="117"/>
      <c r="AA1409" s="117"/>
      <c r="AB1409" s="117"/>
      <c r="AC1409" s="117"/>
      <c r="AD1409" s="117"/>
      <c r="AE1409" s="117"/>
      <c r="AF1409" s="117"/>
      <c r="AG1409" s="117"/>
      <c r="AH1409" s="117"/>
      <c r="AI1409" s="117"/>
      <c r="AJ1409" s="117"/>
      <c r="AK1409" s="117"/>
      <c r="AL1409" s="117"/>
      <c r="AM1409" s="117"/>
      <c r="AN1409" s="117"/>
      <c r="AO1409" s="117"/>
      <c r="AP1409" s="117"/>
      <c r="AQ1409" s="117"/>
      <c r="AR1409" s="117"/>
      <c r="AS1409" s="117"/>
      <c r="AT1409" s="117"/>
      <c r="AU1409" s="117"/>
      <c r="AV1409" s="117"/>
      <c r="AW1409" s="117"/>
      <c r="AX1409" s="117"/>
      <c r="AY1409" s="117"/>
      <c r="AZ1409" s="117"/>
      <c r="BA1409" s="117"/>
      <c r="BB1409" s="117"/>
      <c r="BC1409" s="117"/>
      <c r="BD1409" s="117"/>
      <c r="BE1409" s="117"/>
      <c r="BF1409" s="117"/>
      <c r="BG1409" s="117"/>
    </row>
    <row r="1410" spans="1:59">
      <c r="A1410" s="117"/>
      <c r="B1410" s="117"/>
      <c r="C1410" s="117"/>
      <c r="D1410" s="117"/>
      <c r="E1410" s="117"/>
      <c r="F1410" s="117"/>
      <c r="G1410" s="117"/>
      <c r="H1410" s="117"/>
      <c r="I1410" s="117"/>
      <c r="J1410" s="118"/>
      <c r="K1410" s="118"/>
      <c r="L1410" s="118"/>
      <c r="M1410" s="118"/>
      <c r="N1410" s="117"/>
      <c r="O1410" s="117"/>
      <c r="P1410" s="117"/>
      <c r="Q1410" s="117"/>
      <c r="R1410" s="117"/>
      <c r="S1410" s="117"/>
      <c r="T1410" s="117"/>
      <c r="U1410" s="117"/>
      <c r="V1410" s="117"/>
      <c r="W1410" s="117"/>
      <c r="X1410" s="117"/>
      <c r="Y1410" s="117"/>
      <c r="Z1410" s="117"/>
      <c r="AA1410" s="117"/>
      <c r="AB1410" s="117"/>
      <c r="AC1410" s="117"/>
      <c r="AD1410" s="117"/>
      <c r="AE1410" s="117"/>
      <c r="AF1410" s="117"/>
      <c r="AG1410" s="117"/>
      <c r="AH1410" s="117"/>
      <c r="AI1410" s="117"/>
      <c r="AJ1410" s="117"/>
      <c r="AK1410" s="117"/>
      <c r="AL1410" s="117"/>
      <c r="AM1410" s="117"/>
      <c r="AN1410" s="117"/>
      <c r="AO1410" s="117"/>
      <c r="AP1410" s="117"/>
      <c r="AQ1410" s="117"/>
      <c r="AR1410" s="117"/>
      <c r="AS1410" s="117"/>
      <c r="AT1410" s="117"/>
      <c r="AU1410" s="117"/>
      <c r="AV1410" s="117"/>
      <c r="AW1410" s="117"/>
      <c r="AX1410" s="117"/>
      <c r="AY1410" s="117"/>
      <c r="AZ1410" s="117"/>
      <c r="BA1410" s="117"/>
      <c r="BB1410" s="117"/>
      <c r="BC1410" s="117"/>
      <c r="BD1410" s="117"/>
      <c r="BE1410" s="117"/>
      <c r="BF1410" s="117"/>
      <c r="BG1410" s="117"/>
    </row>
    <row r="1411" spans="1:59">
      <c r="A1411" s="117"/>
      <c r="B1411" s="117"/>
      <c r="C1411" s="117"/>
      <c r="D1411" s="117"/>
      <c r="E1411" s="117"/>
      <c r="F1411" s="117"/>
      <c r="G1411" s="117"/>
      <c r="H1411" s="117"/>
      <c r="I1411" s="117"/>
      <c r="J1411" s="118"/>
      <c r="K1411" s="118"/>
      <c r="L1411" s="118"/>
      <c r="M1411" s="118"/>
      <c r="N1411" s="117"/>
      <c r="O1411" s="117"/>
      <c r="P1411" s="117"/>
      <c r="Q1411" s="117"/>
      <c r="R1411" s="117"/>
      <c r="S1411" s="117"/>
      <c r="T1411" s="117"/>
      <c r="U1411" s="117"/>
      <c r="V1411" s="117"/>
      <c r="W1411" s="117"/>
      <c r="X1411" s="117"/>
      <c r="Y1411" s="117"/>
      <c r="Z1411" s="117"/>
      <c r="AA1411" s="117"/>
      <c r="AB1411" s="117"/>
      <c r="AC1411" s="117"/>
      <c r="AD1411" s="117"/>
      <c r="AE1411" s="117"/>
      <c r="AF1411" s="117"/>
      <c r="AG1411" s="117"/>
      <c r="AH1411" s="117"/>
      <c r="AI1411" s="117"/>
      <c r="AJ1411" s="117"/>
      <c r="AK1411" s="117"/>
      <c r="AL1411" s="117"/>
      <c r="AM1411" s="117"/>
      <c r="AN1411" s="117"/>
      <c r="AO1411" s="117"/>
      <c r="AP1411" s="117"/>
      <c r="AQ1411" s="117"/>
      <c r="AR1411" s="117"/>
      <c r="AS1411" s="117"/>
      <c r="AT1411" s="117"/>
      <c r="AU1411" s="117"/>
      <c r="AV1411" s="117"/>
      <c r="AW1411" s="117"/>
      <c r="AX1411" s="117"/>
      <c r="AY1411" s="117"/>
      <c r="AZ1411" s="117"/>
      <c r="BA1411" s="117"/>
      <c r="BB1411" s="117"/>
      <c r="BC1411" s="117"/>
      <c r="BD1411" s="117"/>
      <c r="BE1411" s="117"/>
      <c r="BF1411" s="117"/>
      <c r="BG1411" s="117"/>
    </row>
    <row r="1412" spans="1:59">
      <c r="A1412" s="117"/>
      <c r="B1412" s="117"/>
      <c r="C1412" s="117"/>
      <c r="D1412" s="117"/>
      <c r="E1412" s="117"/>
      <c r="F1412" s="117"/>
      <c r="G1412" s="117"/>
      <c r="H1412" s="117"/>
      <c r="I1412" s="117"/>
      <c r="J1412" s="118"/>
      <c r="K1412" s="118"/>
      <c r="L1412" s="118"/>
      <c r="M1412" s="118"/>
      <c r="N1412" s="117"/>
      <c r="O1412" s="117"/>
      <c r="P1412" s="117"/>
      <c r="Q1412" s="117"/>
      <c r="R1412" s="117"/>
      <c r="S1412" s="117"/>
      <c r="T1412" s="117"/>
      <c r="U1412" s="117"/>
      <c r="V1412" s="117"/>
      <c r="W1412" s="117"/>
      <c r="X1412" s="117"/>
      <c r="Y1412" s="117"/>
      <c r="Z1412" s="117"/>
      <c r="AA1412" s="117"/>
      <c r="AB1412" s="117"/>
      <c r="AC1412" s="117"/>
      <c r="AD1412" s="117"/>
      <c r="AE1412" s="117"/>
      <c r="AF1412" s="117"/>
      <c r="AG1412" s="117"/>
      <c r="AH1412" s="117"/>
      <c r="AI1412" s="117"/>
      <c r="AJ1412" s="117"/>
      <c r="AK1412" s="117"/>
      <c r="AL1412" s="117"/>
      <c r="AM1412" s="117"/>
      <c r="AN1412" s="117"/>
      <c r="AO1412" s="117"/>
      <c r="AP1412" s="117"/>
      <c r="AQ1412" s="117"/>
      <c r="AR1412" s="117"/>
      <c r="AS1412" s="117"/>
      <c r="AT1412" s="117"/>
      <c r="AU1412" s="117"/>
      <c r="AV1412" s="117"/>
      <c r="AW1412" s="117"/>
      <c r="AX1412" s="117"/>
      <c r="AY1412" s="117"/>
      <c r="AZ1412" s="117"/>
      <c r="BA1412" s="117"/>
      <c r="BB1412" s="117"/>
      <c r="BC1412" s="117"/>
      <c r="BD1412" s="117"/>
      <c r="BE1412" s="117"/>
      <c r="BF1412" s="117"/>
      <c r="BG1412" s="117"/>
    </row>
    <row r="1413" spans="1:59">
      <c r="A1413" s="117"/>
      <c r="B1413" s="117"/>
      <c r="C1413" s="117"/>
      <c r="D1413" s="117"/>
      <c r="E1413" s="117"/>
      <c r="F1413" s="117"/>
      <c r="G1413" s="117"/>
      <c r="H1413" s="117"/>
      <c r="I1413" s="117"/>
      <c r="J1413" s="118"/>
      <c r="K1413" s="118"/>
      <c r="L1413" s="118"/>
      <c r="M1413" s="118"/>
      <c r="N1413" s="117"/>
      <c r="O1413" s="117"/>
      <c r="P1413" s="117"/>
      <c r="Q1413" s="117"/>
      <c r="R1413" s="117"/>
      <c r="S1413" s="117"/>
      <c r="T1413" s="117"/>
      <c r="U1413" s="117"/>
      <c r="V1413" s="117"/>
      <c r="W1413" s="117"/>
      <c r="X1413" s="117"/>
      <c r="Y1413" s="117"/>
      <c r="Z1413" s="117"/>
      <c r="AA1413" s="117"/>
      <c r="AB1413" s="117"/>
      <c r="AC1413" s="117"/>
      <c r="AD1413" s="117"/>
      <c r="AE1413" s="117"/>
      <c r="AF1413" s="117"/>
      <c r="AG1413" s="117"/>
      <c r="AH1413" s="117"/>
      <c r="AI1413" s="117"/>
      <c r="AJ1413" s="117"/>
      <c r="AK1413" s="117"/>
      <c r="AL1413" s="117"/>
      <c r="AM1413" s="117"/>
      <c r="AN1413" s="117"/>
      <c r="AO1413" s="117"/>
      <c r="AP1413" s="117"/>
      <c r="AQ1413" s="117"/>
      <c r="AR1413" s="117"/>
      <c r="AS1413" s="117"/>
      <c r="AT1413" s="117"/>
      <c r="AU1413" s="117"/>
      <c r="AV1413" s="117"/>
      <c r="AW1413" s="117"/>
      <c r="AX1413" s="117"/>
      <c r="AY1413" s="117"/>
      <c r="AZ1413" s="117"/>
      <c r="BA1413" s="117"/>
      <c r="BB1413" s="117"/>
      <c r="BC1413" s="117"/>
      <c r="BD1413" s="117"/>
      <c r="BE1413" s="117"/>
      <c r="BF1413" s="117"/>
      <c r="BG1413" s="117"/>
    </row>
    <row r="1414" spans="1:59">
      <c r="A1414" s="117"/>
      <c r="B1414" s="117"/>
      <c r="C1414" s="117"/>
      <c r="D1414" s="117"/>
      <c r="E1414" s="117"/>
      <c r="F1414" s="117"/>
      <c r="G1414" s="117"/>
      <c r="H1414" s="117"/>
      <c r="I1414" s="117"/>
      <c r="J1414" s="118"/>
      <c r="K1414" s="118"/>
      <c r="L1414" s="118"/>
      <c r="M1414" s="118"/>
      <c r="N1414" s="117"/>
      <c r="O1414" s="117"/>
      <c r="P1414" s="117"/>
      <c r="Q1414" s="117"/>
      <c r="R1414" s="117"/>
      <c r="S1414" s="117"/>
      <c r="T1414" s="117"/>
      <c r="U1414" s="117"/>
      <c r="V1414" s="117"/>
      <c r="W1414" s="117"/>
      <c r="X1414" s="117"/>
      <c r="Y1414" s="117"/>
      <c r="Z1414" s="117"/>
      <c r="AA1414" s="117"/>
      <c r="AB1414" s="117"/>
      <c r="AC1414" s="117"/>
      <c r="AD1414" s="117"/>
      <c r="AE1414" s="117"/>
      <c r="AF1414" s="117"/>
      <c r="AG1414" s="117"/>
      <c r="AH1414" s="117"/>
      <c r="AI1414" s="117"/>
      <c r="AJ1414" s="117"/>
      <c r="AK1414" s="117"/>
      <c r="AL1414" s="117"/>
      <c r="AM1414" s="117"/>
      <c r="AN1414" s="117"/>
      <c r="AO1414" s="117"/>
      <c r="AP1414" s="117"/>
      <c r="AQ1414" s="117"/>
      <c r="AR1414" s="117"/>
      <c r="AS1414" s="117"/>
      <c r="AT1414" s="117"/>
      <c r="AU1414" s="117"/>
      <c r="AV1414" s="117"/>
      <c r="AW1414" s="117"/>
      <c r="AX1414" s="117"/>
      <c r="AY1414" s="117"/>
      <c r="AZ1414" s="117"/>
      <c r="BA1414" s="117"/>
      <c r="BB1414" s="117"/>
      <c r="BC1414" s="117"/>
      <c r="BD1414" s="117"/>
      <c r="BE1414" s="117"/>
      <c r="BF1414" s="117"/>
      <c r="BG1414" s="117"/>
    </row>
    <row r="1415" spans="1:59">
      <c r="A1415" s="117"/>
      <c r="B1415" s="117"/>
      <c r="C1415" s="117"/>
      <c r="D1415" s="117"/>
      <c r="E1415" s="117"/>
      <c r="F1415" s="117"/>
      <c r="G1415" s="117"/>
      <c r="H1415" s="117"/>
      <c r="I1415" s="117"/>
      <c r="J1415" s="118"/>
      <c r="K1415" s="118"/>
      <c r="L1415" s="118"/>
      <c r="M1415" s="118"/>
      <c r="N1415" s="117"/>
      <c r="O1415" s="117"/>
      <c r="P1415" s="117"/>
      <c r="Q1415" s="117"/>
      <c r="R1415" s="117"/>
      <c r="S1415" s="117"/>
      <c r="T1415" s="117"/>
      <c r="U1415" s="117"/>
      <c r="V1415" s="117"/>
      <c r="W1415" s="117"/>
      <c r="X1415" s="117"/>
      <c r="Y1415" s="117"/>
      <c r="Z1415" s="117"/>
      <c r="AA1415" s="117"/>
      <c r="AB1415" s="117"/>
      <c r="AC1415" s="117"/>
      <c r="AD1415" s="117"/>
      <c r="AE1415" s="117"/>
      <c r="AF1415" s="117"/>
      <c r="AG1415" s="117"/>
      <c r="AH1415" s="117"/>
      <c r="AI1415" s="117"/>
      <c r="AJ1415" s="117"/>
      <c r="AK1415" s="117"/>
      <c r="AL1415" s="117"/>
      <c r="AM1415" s="117"/>
      <c r="AN1415" s="117"/>
      <c r="AO1415" s="117"/>
      <c r="AP1415" s="117"/>
      <c r="AQ1415" s="117"/>
      <c r="AR1415" s="117"/>
      <c r="AS1415" s="117"/>
      <c r="AT1415" s="117"/>
      <c r="AU1415" s="117"/>
      <c r="AV1415" s="117"/>
      <c r="AW1415" s="117"/>
      <c r="AX1415" s="117"/>
      <c r="AY1415" s="117"/>
      <c r="AZ1415" s="117"/>
      <c r="BA1415" s="117"/>
      <c r="BB1415" s="117"/>
      <c r="BC1415" s="117"/>
      <c r="BD1415" s="117"/>
      <c r="BE1415" s="117"/>
      <c r="BF1415" s="117"/>
      <c r="BG1415" s="117"/>
    </row>
    <row r="1416" spans="1:59">
      <c r="A1416" s="117"/>
      <c r="B1416" s="117"/>
      <c r="C1416" s="117"/>
      <c r="D1416" s="117"/>
      <c r="E1416" s="117"/>
      <c r="F1416" s="117"/>
      <c r="G1416" s="117"/>
      <c r="H1416" s="117"/>
      <c r="I1416" s="117"/>
      <c r="J1416" s="118"/>
      <c r="K1416" s="118"/>
      <c r="L1416" s="118"/>
      <c r="M1416" s="118"/>
      <c r="N1416" s="117"/>
      <c r="O1416" s="117"/>
      <c r="P1416" s="117"/>
      <c r="Q1416" s="117"/>
      <c r="R1416" s="117"/>
      <c r="S1416" s="117"/>
      <c r="T1416" s="117"/>
      <c r="U1416" s="117"/>
      <c r="V1416" s="117"/>
      <c r="W1416" s="117"/>
      <c r="X1416" s="117"/>
      <c r="Y1416" s="117"/>
      <c r="Z1416" s="117"/>
      <c r="AA1416" s="117"/>
      <c r="AB1416" s="117"/>
      <c r="AC1416" s="117"/>
      <c r="AD1416" s="117"/>
      <c r="AE1416" s="117"/>
      <c r="AF1416" s="117"/>
      <c r="AG1416" s="117"/>
      <c r="AH1416" s="117"/>
      <c r="AI1416" s="117"/>
      <c r="AJ1416" s="117"/>
      <c r="AK1416" s="117"/>
      <c r="AL1416" s="117"/>
      <c r="AM1416" s="117"/>
      <c r="AN1416" s="117"/>
      <c r="AO1416" s="117"/>
      <c r="AP1416" s="117"/>
      <c r="AQ1416" s="117"/>
      <c r="AR1416" s="117"/>
      <c r="AS1416" s="117"/>
      <c r="AT1416" s="117"/>
      <c r="AU1416" s="117"/>
      <c r="AV1416" s="117"/>
      <c r="AW1416" s="117"/>
      <c r="AX1416" s="117"/>
      <c r="AY1416" s="117"/>
      <c r="AZ1416" s="117"/>
      <c r="BA1416" s="117"/>
      <c r="BB1416" s="117"/>
      <c r="BC1416" s="117"/>
      <c r="BD1416" s="117"/>
      <c r="BE1416" s="117"/>
      <c r="BF1416" s="117"/>
      <c r="BG1416" s="117"/>
    </row>
    <row r="1417" spans="1:59">
      <c r="A1417" s="117"/>
      <c r="B1417" s="117"/>
      <c r="C1417" s="117"/>
      <c r="D1417" s="117"/>
      <c r="E1417" s="117"/>
      <c r="F1417" s="117"/>
      <c r="G1417" s="117"/>
      <c r="H1417" s="117"/>
      <c r="I1417" s="117"/>
      <c r="J1417" s="118"/>
      <c r="K1417" s="118"/>
      <c r="L1417" s="118"/>
      <c r="M1417" s="118"/>
      <c r="N1417" s="117"/>
      <c r="O1417" s="117"/>
      <c r="P1417" s="117"/>
      <c r="Q1417" s="117"/>
      <c r="R1417" s="117"/>
      <c r="S1417" s="117"/>
      <c r="T1417" s="117"/>
      <c r="U1417" s="117"/>
      <c r="V1417" s="117"/>
      <c r="W1417" s="117"/>
      <c r="X1417" s="117"/>
      <c r="Y1417" s="117"/>
      <c r="Z1417" s="117"/>
      <c r="AA1417" s="117"/>
      <c r="AB1417" s="117"/>
      <c r="AC1417" s="117"/>
      <c r="AD1417" s="117"/>
      <c r="AE1417" s="117"/>
      <c r="AF1417" s="117"/>
      <c r="AG1417" s="117"/>
      <c r="AH1417" s="117"/>
      <c r="AI1417" s="117"/>
      <c r="AJ1417" s="117"/>
      <c r="AK1417" s="117"/>
      <c r="AL1417" s="117"/>
      <c r="AM1417" s="117"/>
      <c r="AN1417" s="117"/>
      <c r="AO1417" s="117"/>
      <c r="AP1417" s="117"/>
      <c r="AQ1417" s="117"/>
      <c r="AR1417" s="117"/>
      <c r="AS1417" s="117"/>
      <c r="AT1417" s="117"/>
      <c r="AU1417" s="117"/>
      <c r="AV1417" s="117"/>
      <c r="AW1417" s="117"/>
      <c r="AX1417" s="117"/>
      <c r="AY1417" s="117"/>
      <c r="AZ1417" s="117"/>
      <c r="BA1417" s="117"/>
      <c r="BB1417" s="117"/>
      <c r="BC1417" s="117"/>
      <c r="BD1417" s="117"/>
      <c r="BE1417" s="117"/>
      <c r="BF1417" s="117"/>
      <c r="BG1417" s="117"/>
    </row>
    <row r="1418" spans="1:59">
      <c r="A1418" s="117"/>
      <c r="B1418" s="117"/>
      <c r="C1418" s="117"/>
      <c r="D1418" s="117"/>
      <c r="E1418" s="117"/>
      <c r="F1418" s="117"/>
      <c r="G1418" s="117"/>
      <c r="H1418" s="117"/>
      <c r="I1418" s="117"/>
      <c r="J1418" s="118"/>
      <c r="K1418" s="118"/>
      <c r="L1418" s="118"/>
      <c r="M1418" s="118"/>
      <c r="N1418" s="117"/>
      <c r="O1418" s="117"/>
      <c r="P1418" s="117"/>
      <c r="Q1418" s="117"/>
      <c r="R1418" s="117"/>
      <c r="S1418" s="117"/>
      <c r="T1418" s="117"/>
      <c r="U1418" s="117"/>
      <c r="V1418" s="117"/>
      <c r="W1418" s="117"/>
      <c r="X1418" s="117"/>
      <c r="Y1418" s="117"/>
      <c r="Z1418" s="117"/>
      <c r="AA1418" s="117"/>
      <c r="AB1418" s="117"/>
      <c r="AC1418" s="117"/>
      <c r="AD1418" s="117"/>
      <c r="AE1418" s="117"/>
      <c r="AF1418" s="117"/>
      <c r="AG1418" s="117"/>
      <c r="AH1418" s="117"/>
      <c r="AI1418" s="117"/>
      <c r="AJ1418" s="117"/>
      <c r="AK1418" s="117"/>
      <c r="AL1418" s="117"/>
      <c r="AM1418" s="117"/>
      <c r="AN1418" s="117"/>
      <c r="AO1418" s="117"/>
      <c r="AP1418" s="117"/>
      <c r="AQ1418" s="117"/>
      <c r="AR1418" s="117"/>
      <c r="AS1418" s="117"/>
      <c r="AT1418" s="117"/>
      <c r="AU1418" s="117"/>
      <c r="AV1418" s="117"/>
      <c r="AW1418" s="117"/>
      <c r="AX1418" s="117"/>
      <c r="AY1418" s="117"/>
      <c r="AZ1418" s="117"/>
      <c r="BA1418" s="117"/>
      <c r="BB1418" s="117"/>
      <c r="BC1418" s="117"/>
      <c r="BD1418" s="117"/>
      <c r="BE1418" s="117"/>
      <c r="BF1418" s="117"/>
      <c r="BG1418" s="117"/>
    </row>
    <row r="1419" spans="1:59">
      <c r="A1419" s="117"/>
      <c r="B1419" s="117"/>
      <c r="C1419" s="117"/>
      <c r="D1419" s="117"/>
      <c r="E1419" s="117"/>
      <c r="F1419" s="117"/>
      <c r="G1419" s="117"/>
      <c r="H1419" s="117"/>
      <c r="I1419" s="117"/>
      <c r="J1419" s="118"/>
      <c r="K1419" s="118"/>
      <c r="L1419" s="118"/>
      <c r="M1419" s="118"/>
      <c r="N1419" s="117"/>
      <c r="O1419" s="117"/>
      <c r="P1419" s="117"/>
      <c r="Q1419" s="117"/>
      <c r="R1419" s="117"/>
      <c r="S1419" s="117"/>
      <c r="T1419" s="117"/>
      <c r="U1419" s="117"/>
      <c r="V1419" s="117"/>
      <c r="W1419" s="117"/>
      <c r="X1419" s="117"/>
      <c r="Y1419" s="117"/>
      <c r="Z1419" s="117"/>
      <c r="AA1419" s="117"/>
      <c r="AB1419" s="117"/>
      <c r="AC1419" s="117"/>
      <c r="AD1419" s="117"/>
      <c r="AE1419" s="117"/>
      <c r="AF1419" s="117"/>
      <c r="AG1419" s="117"/>
      <c r="AH1419" s="117"/>
      <c r="AI1419" s="117"/>
      <c r="AJ1419" s="117"/>
      <c r="AK1419" s="117"/>
      <c r="AL1419" s="117"/>
      <c r="AM1419" s="117"/>
      <c r="AN1419" s="117"/>
      <c r="AO1419" s="117"/>
      <c r="AP1419" s="117"/>
      <c r="AQ1419" s="117"/>
      <c r="AR1419" s="117"/>
      <c r="AS1419" s="117"/>
      <c r="AT1419" s="117"/>
      <c r="AU1419" s="117"/>
      <c r="AV1419" s="117"/>
      <c r="AW1419" s="117"/>
      <c r="AX1419" s="117"/>
      <c r="AY1419" s="117"/>
      <c r="AZ1419" s="117"/>
      <c r="BA1419" s="117"/>
      <c r="BB1419" s="117"/>
      <c r="BC1419" s="117"/>
      <c r="BD1419" s="117"/>
      <c r="BE1419" s="117"/>
      <c r="BF1419" s="117"/>
      <c r="BG1419" s="117"/>
    </row>
    <row r="1420" spans="1:59">
      <c r="A1420" s="117"/>
      <c r="B1420" s="117"/>
      <c r="C1420" s="117"/>
      <c r="D1420" s="117"/>
      <c r="E1420" s="117"/>
      <c r="F1420" s="117"/>
      <c r="G1420" s="117"/>
      <c r="H1420" s="117"/>
      <c r="I1420" s="117"/>
      <c r="J1420" s="118"/>
      <c r="K1420" s="118"/>
      <c r="L1420" s="118"/>
      <c r="M1420" s="118"/>
      <c r="N1420" s="117"/>
      <c r="O1420" s="117"/>
      <c r="P1420" s="117"/>
      <c r="Q1420" s="117"/>
      <c r="R1420" s="117"/>
      <c r="S1420" s="117"/>
      <c r="T1420" s="117"/>
      <c r="U1420" s="117"/>
      <c r="V1420" s="117"/>
      <c r="W1420" s="117"/>
      <c r="X1420" s="117"/>
      <c r="Y1420" s="117"/>
      <c r="Z1420" s="117"/>
      <c r="AA1420" s="117"/>
      <c r="AB1420" s="117"/>
      <c r="AC1420" s="117"/>
      <c r="AD1420" s="117"/>
      <c r="AE1420" s="117"/>
      <c r="AF1420" s="117"/>
      <c r="AG1420" s="117"/>
      <c r="AH1420" s="117"/>
      <c r="AI1420" s="117"/>
      <c r="AJ1420" s="117"/>
      <c r="AK1420" s="117"/>
      <c r="AL1420" s="117"/>
      <c r="AM1420" s="117"/>
      <c r="AN1420" s="117"/>
      <c r="AO1420" s="117"/>
      <c r="AP1420" s="117"/>
      <c r="AQ1420" s="117"/>
      <c r="AR1420" s="117"/>
      <c r="AS1420" s="117"/>
      <c r="AT1420" s="117"/>
      <c r="AU1420" s="117"/>
      <c r="AV1420" s="117"/>
      <c r="AW1420" s="117"/>
      <c r="AX1420" s="117"/>
      <c r="AY1420" s="117"/>
      <c r="AZ1420" s="117"/>
      <c r="BA1420" s="117"/>
      <c r="BB1420" s="117"/>
      <c r="BC1420" s="117"/>
      <c r="BD1420" s="117"/>
      <c r="BE1420" s="117"/>
      <c r="BF1420" s="117"/>
      <c r="BG1420" s="117"/>
    </row>
    <row r="1421" spans="1:59">
      <c r="A1421" s="117"/>
      <c r="B1421" s="117"/>
      <c r="C1421" s="117"/>
      <c r="D1421" s="117"/>
      <c r="E1421" s="117"/>
      <c r="F1421" s="117"/>
      <c r="G1421" s="117"/>
      <c r="H1421" s="117"/>
      <c r="I1421" s="117"/>
      <c r="J1421" s="118"/>
      <c r="K1421" s="118"/>
      <c r="L1421" s="118"/>
      <c r="M1421" s="118"/>
      <c r="N1421" s="117"/>
      <c r="O1421" s="117"/>
      <c r="P1421" s="117"/>
      <c r="Q1421" s="117"/>
      <c r="R1421" s="117"/>
      <c r="S1421" s="117"/>
      <c r="T1421" s="117"/>
      <c r="U1421" s="117"/>
      <c r="V1421" s="117"/>
      <c r="W1421" s="117"/>
      <c r="X1421" s="117"/>
      <c r="Y1421" s="117"/>
      <c r="Z1421" s="117"/>
      <c r="AA1421" s="117"/>
      <c r="AB1421" s="117"/>
      <c r="AC1421" s="117"/>
      <c r="AD1421" s="117"/>
      <c r="AE1421" s="117"/>
      <c r="AF1421" s="117"/>
      <c r="AG1421" s="117"/>
      <c r="AH1421" s="117"/>
      <c r="AI1421" s="117"/>
      <c r="AJ1421" s="117"/>
      <c r="AK1421" s="117"/>
      <c r="AL1421" s="117"/>
      <c r="AM1421" s="117"/>
      <c r="AN1421" s="117"/>
      <c r="AO1421" s="117"/>
      <c r="AP1421" s="117"/>
      <c r="AQ1421" s="117"/>
      <c r="AR1421" s="117"/>
      <c r="AS1421" s="117"/>
      <c r="AT1421" s="117"/>
      <c r="AU1421" s="117"/>
      <c r="AV1421" s="117"/>
      <c r="AW1421" s="117"/>
      <c r="AX1421" s="117"/>
      <c r="AY1421" s="117"/>
      <c r="AZ1421" s="117"/>
      <c r="BA1421" s="117"/>
      <c r="BB1421" s="117"/>
      <c r="BC1421" s="117"/>
      <c r="BD1421" s="117"/>
      <c r="BE1421" s="117"/>
      <c r="BF1421" s="117"/>
      <c r="BG1421" s="117"/>
    </row>
    <row r="1422" spans="1:59">
      <c r="A1422" s="117"/>
      <c r="B1422" s="117"/>
      <c r="C1422" s="117"/>
      <c r="D1422" s="117"/>
      <c r="E1422" s="117"/>
      <c r="F1422" s="117"/>
      <c r="G1422" s="117"/>
      <c r="H1422" s="117"/>
      <c r="I1422" s="117"/>
      <c r="J1422" s="118"/>
      <c r="K1422" s="118"/>
      <c r="L1422" s="118"/>
      <c r="M1422" s="118"/>
      <c r="N1422" s="117"/>
      <c r="O1422" s="117"/>
      <c r="P1422" s="117"/>
      <c r="Q1422" s="117"/>
      <c r="R1422" s="117"/>
      <c r="S1422" s="117"/>
      <c r="T1422" s="117"/>
      <c r="U1422" s="117"/>
      <c r="V1422" s="117"/>
      <c r="W1422" s="117"/>
      <c r="X1422" s="117"/>
      <c r="Y1422" s="117"/>
      <c r="Z1422" s="117"/>
      <c r="AA1422" s="117"/>
      <c r="AB1422" s="117"/>
      <c r="AC1422" s="117"/>
      <c r="AD1422" s="117"/>
      <c r="AE1422" s="117"/>
      <c r="AF1422" s="117"/>
      <c r="AG1422" s="117"/>
      <c r="AH1422" s="117"/>
      <c r="AI1422" s="117"/>
      <c r="AJ1422" s="117"/>
      <c r="AK1422" s="117"/>
      <c r="AL1422" s="117"/>
      <c r="AM1422" s="117"/>
      <c r="AN1422" s="117"/>
      <c r="AO1422" s="117"/>
      <c r="AP1422" s="117"/>
      <c r="AQ1422" s="117"/>
      <c r="AR1422" s="117"/>
      <c r="AS1422" s="117"/>
      <c r="AT1422" s="117"/>
      <c r="AU1422" s="117"/>
      <c r="AV1422" s="117"/>
      <c r="AW1422" s="117"/>
      <c r="AX1422" s="117"/>
      <c r="AY1422" s="117"/>
      <c r="AZ1422" s="117"/>
      <c r="BA1422" s="117"/>
      <c r="BB1422" s="117"/>
      <c r="BC1422" s="117"/>
      <c r="BD1422" s="117"/>
      <c r="BE1422" s="117"/>
      <c r="BF1422" s="117"/>
      <c r="BG1422" s="117"/>
    </row>
    <row r="1423" spans="1:59">
      <c r="A1423" s="117"/>
      <c r="B1423" s="117"/>
      <c r="C1423" s="117"/>
      <c r="D1423" s="117"/>
      <c r="E1423" s="117"/>
      <c r="F1423" s="117"/>
      <c r="G1423" s="117"/>
      <c r="H1423" s="117"/>
      <c r="I1423" s="117"/>
      <c r="J1423" s="118"/>
      <c r="K1423" s="118"/>
      <c r="L1423" s="118"/>
      <c r="M1423" s="118"/>
      <c r="N1423" s="117"/>
      <c r="O1423" s="117"/>
      <c r="P1423" s="117"/>
      <c r="Q1423" s="117"/>
      <c r="R1423" s="117"/>
      <c r="S1423" s="117"/>
      <c r="T1423" s="117"/>
      <c r="U1423" s="117"/>
      <c r="V1423" s="117"/>
      <c r="W1423" s="117"/>
      <c r="X1423" s="117"/>
      <c r="Y1423" s="117"/>
      <c r="Z1423" s="117"/>
      <c r="AA1423" s="117"/>
      <c r="AB1423" s="117"/>
      <c r="AC1423" s="117"/>
      <c r="AD1423" s="117"/>
      <c r="AE1423" s="117"/>
      <c r="AF1423" s="117"/>
      <c r="AG1423" s="117"/>
      <c r="AH1423" s="117"/>
      <c r="AI1423" s="117"/>
      <c r="AJ1423" s="117"/>
      <c r="AK1423" s="117"/>
      <c r="AL1423" s="117"/>
      <c r="AM1423" s="117"/>
      <c r="AN1423" s="117"/>
      <c r="AO1423" s="117"/>
      <c r="AP1423" s="117"/>
      <c r="AQ1423" s="117"/>
      <c r="AR1423" s="117"/>
      <c r="AS1423" s="117"/>
      <c r="AT1423" s="117"/>
      <c r="AU1423" s="117"/>
      <c r="AV1423" s="117"/>
      <c r="AW1423" s="117"/>
      <c r="AX1423" s="117"/>
      <c r="AY1423" s="117"/>
      <c r="AZ1423" s="117"/>
      <c r="BA1423" s="117"/>
      <c r="BB1423" s="117"/>
      <c r="BC1423" s="117"/>
      <c r="BD1423" s="117"/>
      <c r="BE1423" s="117"/>
      <c r="BF1423" s="117"/>
      <c r="BG1423" s="117"/>
    </row>
    <row r="1424" spans="1:59">
      <c r="A1424" s="117"/>
      <c r="B1424" s="117"/>
      <c r="C1424" s="117"/>
      <c r="D1424" s="117"/>
      <c r="E1424" s="117"/>
      <c r="F1424" s="117"/>
      <c r="G1424" s="117"/>
      <c r="H1424" s="117"/>
      <c r="I1424" s="117"/>
      <c r="J1424" s="118"/>
      <c r="K1424" s="118"/>
      <c r="L1424" s="118"/>
      <c r="M1424" s="118"/>
      <c r="N1424" s="117"/>
      <c r="O1424" s="117"/>
      <c r="P1424" s="117"/>
      <c r="Q1424" s="117"/>
      <c r="R1424" s="117"/>
      <c r="S1424" s="117"/>
      <c r="T1424" s="117"/>
      <c r="U1424" s="117"/>
      <c r="V1424" s="117"/>
      <c r="W1424" s="117"/>
      <c r="X1424" s="117"/>
      <c r="Y1424" s="117"/>
      <c r="Z1424" s="117"/>
      <c r="AA1424" s="117"/>
      <c r="AB1424" s="117"/>
      <c r="AC1424" s="117"/>
      <c r="AD1424" s="117"/>
      <c r="AE1424" s="117"/>
      <c r="AF1424" s="117"/>
      <c r="AG1424" s="117"/>
      <c r="AH1424" s="117"/>
      <c r="AI1424" s="117"/>
      <c r="AJ1424" s="117"/>
      <c r="AK1424" s="117"/>
      <c r="AL1424" s="117"/>
      <c r="AM1424" s="117"/>
      <c r="AN1424" s="117"/>
      <c r="AO1424" s="117"/>
      <c r="AP1424" s="117"/>
      <c r="AQ1424" s="117"/>
      <c r="AR1424" s="117"/>
      <c r="AS1424" s="117"/>
      <c r="AT1424" s="117"/>
      <c r="AU1424" s="117"/>
      <c r="AV1424" s="117"/>
      <c r="AW1424" s="117"/>
      <c r="AX1424" s="117"/>
      <c r="AY1424" s="117"/>
      <c r="AZ1424" s="117"/>
      <c r="BA1424" s="117"/>
      <c r="BB1424" s="117"/>
      <c r="BC1424" s="117"/>
      <c r="BD1424" s="117"/>
      <c r="BE1424" s="117"/>
      <c r="BF1424" s="117"/>
      <c r="BG1424" s="117"/>
    </row>
    <row r="1425" spans="1:59">
      <c r="A1425" s="117"/>
      <c r="B1425" s="117"/>
      <c r="C1425" s="117"/>
      <c r="D1425" s="117"/>
      <c r="E1425" s="117"/>
      <c r="F1425" s="117"/>
      <c r="G1425" s="117"/>
      <c r="H1425" s="117"/>
      <c r="I1425" s="117"/>
      <c r="J1425" s="118"/>
      <c r="K1425" s="118"/>
      <c r="L1425" s="118"/>
      <c r="M1425" s="118"/>
      <c r="N1425" s="117"/>
      <c r="O1425" s="117"/>
      <c r="P1425" s="117"/>
      <c r="Q1425" s="117"/>
      <c r="R1425" s="117"/>
      <c r="S1425" s="117"/>
      <c r="T1425" s="117"/>
      <c r="U1425" s="117"/>
      <c r="V1425" s="117"/>
      <c r="W1425" s="117"/>
      <c r="X1425" s="117"/>
      <c r="Y1425" s="117"/>
      <c r="Z1425" s="117"/>
      <c r="AA1425" s="117"/>
      <c r="AB1425" s="117"/>
      <c r="AC1425" s="117"/>
      <c r="AD1425" s="117"/>
      <c r="AE1425" s="117"/>
      <c r="AF1425" s="117"/>
      <c r="AG1425" s="117"/>
      <c r="AH1425" s="117"/>
      <c r="AI1425" s="117"/>
      <c r="AJ1425" s="117"/>
      <c r="AK1425" s="117"/>
      <c r="AL1425" s="117"/>
      <c r="AM1425" s="117"/>
      <c r="AN1425" s="117"/>
      <c r="AO1425" s="117"/>
      <c r="AP1425" s="117"/>
      <c r="AQ1425" s="117"/>
      <c r="AR1425" s="117"/>
      <c r="AS1425" s="117"/>
      <c r="AT1425" s="117"/>
      <c r="AU1425" s="117"/>
      <c r="AV1425" s="117"/>
      <c r="AW1425" s="117"/>
      <c r="AX1425" s="117"/>
      <c r="AY1425" s="117"/>
      <c r="AZ1425" s="117"/>
      <c r="BA1425" s="117"/>
      <c r="BB1425" s="117"/>
      <c r="BC1425" s="117"/>
      <c r="BD1425" s="117"/>
      <c r="BE1425" s="117"/>
      <c r="BF1425" s="117"/>
      <c r="BG1425" s="117"/>
    </row>
    <row r="1426" spans="1:59">
      <c r="A1426" s="117"/>
      <c r="B1426" s="117"/>
      <c r="C1426" s="117"/>
      <c r="D1426" s="117"/>
      <c r="E1426" s="117"/>
      <c r="F1426" s="117"/>
      <c r="G1426" s="117"/>
      <c r="H1426" s="117"/>
      <c r="I1426" s="117"/>
      <c r="J1426" s="118"/>
      <c r="K1426" s="118"/>
      <c r="L1426" s="118"/>
      <c r="M1426" s="118"/>
      <c r="N1426" s="117"/>
      <c r="O1426" s="117"/>
      <c r="P1426" s="117"/>
      <c r="Q1426" s="117"/>
      <c r="R1426" s="117"/>
      <c r="S1426" s="117"/>
      <c r="T1426" s="117"/>
      <c r="U1426" s="117"/>
      <c r="V1426" s="117"/>
      <c r="W1426" s="117"/>
      <c r="X1426" s="117"/>
      <c r="Y1426" s="117"/>
      <c r="Z1426" s="117"/>
      <c r="AA1426" s="117"/>
      <c r="AB1426" s="117"/>
      <c r="AC1426" s="117"/>
      <c r="AD1426" s="117"/>
      <c r="AE1426" s="117"/>
      <c r="AF1426" s="117"/>
      <c r="AG1426" s="117"/>
      <c r="AH1426" s="117"/>
      <c r="AI1426" s="117"/>
      <c r="AJ1426" s="117"/>
      <c r="AK1426" s="117"/>
      <c r="AL1426" s="117"/>
      <c r="AM1426" s="117"/>
      <c r="AN1426" s="117"/>
      <c r="AO1426" s="117"/>
      <c r="AP1426" s="117"/>
      <c r="AQ1426" s="117"/>
      <c r="AR1426" s="117"/>
      <c r="AS1426" s="117"/>
      <c r="AT1426" s="117"/>
      <c r="AU1426" s="117"/>
      <c r="AV1426" s="117"/>
      <c r="AW1426" s="117"/>
      <c r="AX1426" s="117"/>
      <c r="AY1426" s="117"/>
      <c r="AZ1426" s="117"/>
      <c r="BA1426" s="117"/>
      <c r="BB1426" s="117"/>
      <c r="BC1426" s="117"/>
      <c r="BD1426" s="117"/>
      <c r="BE1426" s="117"/>
      <c r="BF1426" s="117"/>
      <c r="BG1426" s="117"/>
    </row>
    <row r="1427" spans="1:59">
      <c r="A1427" s="117"/>
      <c r="B1427" s="117"/>
      <c r="C1427" s="117"/>
      <c r="D1427" s="117"/>
      <c r="E1427" s="117"/>
      <c r="F1427" s="117"/>
      <c r="G1427" s="117"/>
      <c r="H1427" s="117"/>
      <c r="I1427" s="117"/>
      <c r="J1427" s="118"/>
      <c r="K1427" s="118"/>
      <c r="L1427" s="118"/>
      <c r="M1427" s="118"/>
      <c r="N1427" s="117"/>
      <c r="O1427" s="117"/>
      <c r="P1427" s="117"/>
      <c r="Q1427" s="117"/>
      <c r="R1427" s="117"/>
      <c r="S1427" s="117"/>
      <c r="T1427" s="117"/>
      <c r="U1427" s="117"/>
      <c r="V1427" s="117"/>
      <c r="W1427" s="117"/>
      <c r="X1427" s="117"/>
      <c r="Y1427" s="117"/>
      <c r="Z1427" s="117"/>
      <c r="AA1427" s="117"/>
      <c r="AB1427" s="117"/>
      <c r="AC1427" s="117"/>
      <c r="AD1427" s="117"/>
      <c r="AE1427" s="117"/>
      <c r="AF1427" s="117"/>
      <c r="AG1427" s="117"/>
      <c r="AH1427" s="117"/>
      <c r="AI1427" s="117"/>
      <c r="AJ1427" s="117"/>
      <c r="AK1427" s="117"/>
      <c r="AL1427" s="117"/>
      <c r="AM1427" s="117"/>
      <c r="AN1427" s="117"/>
      <c r="AO1427" s="117"/>
      <c r="AP1427" s="117"/>
      <c r="AQ1427" s="117"/>
      <c r="AR1427" s="117"/>
      <c r="AS1427" s="117"/>
      <c r="AT1427" s="117"/>
      <c r="AU1427" s="117"/>
      <c r="AV1427" s="117"/>
      <c r="AW1427" s="117"/>
      <c r="AX1427" s="117"/>
      <c r="AY1427" s="117"/>
      <c r="AZ1427" s="117"/>
      <c r="BA1427" s="117"/>
      <c r="BB1427" s="117"/>
      <c r="BC1427" s="117"/>
      <c r="BD1427" s="117"/>
      <c r="BE1427" s="117"/>
      <c r="BF1427" s="117"/>
      <c r="BG1427" s="117"/>
    </row>
    <row r="1428" spans="1:59">
      <c r="A1428" s="117"/>
      <c r="B1428" s="117"/>
      <c r="C1428" s="117"/>
      <c r="D1428" s="117"/>
      <c r="E1428" s="117"/>
      <c r="F1428" s="117"/>
      <c r="G1428" s="117"/>
      <c r="H1428" s="117"/>
      <c r="I1428" s="117"/>
      <c r="J1428" s="118"/>
      <c r="K1428" s="118"/>
      <c r="L1428" s="118"/>
      <c r="M1428" s="118"/>
      <c r="N1428" s="117"/>
      <c r="O1428" s="117"/>
      <c r="P1428" s="117"/>
      <c r="Q1428" s="117"/>
      <c r="R1428" s="117"/>
      <c r="S1428" s="117"/>
      <c r="T1428" s="117"/>
      <c r="U1428" s="117"/>
      <c r="V1428" s="117"/>
      <c r="W1428" s="117"/>
      <c r="X1428" s="117"/>
      <c r="Y1428" s="117"/>
      <c r="Z1428" s="117"/>
      <c r="AA1428" s="117"/>
      <c r="AB1428" s="117"/>
      <c r="AC1428" s="117"/>
      <c r="AD1428" s="117"/>
      <c r="AE1428" s="117"/>
      <c r="AF1428" s="117"/>
      <c r="AG1428" s="117"/>
      <c r="AH1428" s="117"/>
      <c r="AI1428" s="117"/>
      <c r="AJ1428" s="117"/>
      <c r="AK1428" s="117"/>
      <c r="AL1428" s="117"/>
      <c r="AM1428" s="117"/>
      <c r="AN1428" s="117"/>
      <c r="AO1428" s="117"/>
      <c r="AP1428" s="117"/>
      <c r="AQ1428" s="117"/>
      <c r="AR1428" s="117"/>
      <c r="AS1428" s="117"/>
      <c r="AT1428" s="117"/>
      <c r="AU1428" s="117"/>
      <c r="AV1428" s="117"/>
      <c r="AW1428" s="117"/>
      <c r="AX1428" s="117"/>
      <c r="AY1428" s="117"/>
      <c r="AZ1428" s="117"/>
      <c r="BA1428" s="117"/>
      <c r="BB1428" s="117"/>
      <c r="BC1428" s="117"/>
      <c r="BD1428" s="117"/>
      <c r="BE1428" s="117"/>
      <c r="BF1428" s="117"/>
      <c r="BG1428" s="117"/>
    </row>
    <row r="1429" spans="1:59">
      <c r="A1429" s="117"/>
      <c r="B1429" s="117"/>
      <c r="C1429" s="117"/>
      <c r="D1429" s="117"/>
      <c r="E1429" s="117"/>
      <c r="F1429" s="117"/>
      <c r="G1429" s="117"/>
      <c r="H1429" s="117"/>
      <c r="I1429" s="117"/>
      <c r="J1429" s="118"/>
      <c r="K1429" s="118"/>
      <c r="L1429" s="118"/>
      <c r="M1429" s="118"/>
      <c r="N1429" s="117"/>
      <c r="O1429" s="117"/>
      <c r="P1429" s="117"/>
      <c r="Q1429" s="117"/>
      <c r="R1429" s="117"/>
      <c r="S1429" s="117"/>
      <c r="T1429" s="117"/>
      <c r="U1429" s="117"/>
      <c r="V1429" s="117"/>
      <c r="W1429" s="117"/>
      <c r="X1429" s="117"/>
      <c r="Y1429" s="117"/>
      <c r="Z1429" s="117"/>
      <c r="AA1429" s="117"/>
      <c r="AB1429" s="117"/>
      <c r="AC1429" s="117"/>
      <c r="AD1429" s="117"/>
      <c r="AE1429" s="117"/>
      <c r="AF1429" s="117"/>
      <c r="AG1429" s="117"/>
      <c r="AH1429" s="117"/>
      <c r="AI1429" s="117"/>
      <c r="AJ1429" s="117"/>
      <c r="AK1429" s="117"/>
      <c r="AL1429" s="117"/>
      <c r="AM1429" s="117"/>
      <c r="AN1429" s="117"/>
      <c r="AO1429" s="117"/>
      <c r="AP1429" s="117"/>
      <c r="AQ1429" s="117"/>
      <c r="AR1429" s="117"/>
      <c r="AS1429" s="117"/>
      <c r="AT1429" s="117"/>
      <c r="AU1429" s="117"/>
      <c r="AV1429" s="117"/>
      <c r="AW1429" s="117"/>
      <c r="AX1429" s="117"/>
      <c r="AY1429" s="117"/>
      <c r="AZ1429" s="117"/>
      <c r="BA1429" s="117"/>
      <c r="BB1429" s="117"/>
      <c r="BC1429" s="117"/>
      <c r="BD1429" s="117"/>
      <c r="BE1429" s="117"/>
      <c r="BF1429" s="117"/>
      <c r="BG1429" s="117"/>
    </row>
    <row r="1430" spans="1:59">
      <c r="A1430" s="117"/>
      <c r="B1430" s="117"/>
      <c r="C1430" s="117"/>
      <c r="D1430" s="117"/>
      <c r="E1430" s="117"/>
      <c r="F1430" s="117"/>
      <c r="G1430" s="117"/>
      <c r="H1430" s="117"/>
      <c r="I1430" s="117"/>
      <c r="J1430" s="118"/>
      <c r="K1430" s="118"/>
      <c r="L1430" s="118"/>
      <c r="M1430" s="118"/>
      <c r="N1430" s="117"/>
      <c r="O1430" s="117"/>
      <c r="P1430" s="117"/>
      <c r="Q1430" s="117"/>
      <c r="R1430" s="117"/>
      <c r="S1430" s="117"/>
      <c r="T1430" s="117"/>
      <c r="U1430" s="117"/>
      <c r="V1430" s="117"/>
      <c r="W1430" s="117"/>
      <c r="X1430" s="117"/>
      <c r="Y1430" s="117"/>
      <c r="Z1430" s="117"/>
      <c r="AA1430" s="117"/>
      <c r="AB1430" s="117"/>
      <c r="AC1430" s="117"/>
      <c r="AD1430" s="117"/>
      <c r="AE1430" s="117"/>
      <c r="AF1430" s="117"/>
      <c r="AG1430" s="117"/>
      <c r="AH1430" s="117"/>
      <c r="AI1430" s="117"/>
      <c r="AJ1430" s="117"/>
      <c r="AK1430" s="117"/>
      <c r="AL1430" s="117"/>
      <c r="AM1430" s="117"/>
      <c r="AN1430" s="117"/>
      <c r="AO1430" s="117"/>
      <c r="AP1430" s="117"/>
      <c r="AQ1430" s="117"/>
      <c r="AR1430" s="117"/>
      <c r="AS1430" s="117"/>
      <c r="AT1430" s="117"/>
      <c r="AU1430" s="117"/>
      <c r="AV1430" s="117"/>
      <c r="AW1430" s="117"/>
      <c r="AX1430" s="117"/>
      <c r="AY1430" s="117"/>
      <c r="AZ1430" s="117"/>
      <c r="BA1430" s="117"/>
      <c r="BB1430" s="117"/>
      <c r="BC1430" s="117"/>
      <c r="BD1430" s="117"/>
      <c r="BE1430" s="117"/>
      <c r="BF1430" s="117"/>
      <c r="BG1430" s="117"/>
    </row>
    <row r="1431" spans="1:59">
      <c r="A1431" s="117"/>
      <c r="B1431" s="117"/>
      <c r="C1431" s="117"/>
      <c r="D1431" s="117"/>
      <c r="E1431" s="117"/>
      <c r="F1431" s="117"/>
      <c r="G1431" s="117"/>
      <c r="H1431" s="117"/>
      <c r="I1431" s="117"/>
      <c r="J1431" s="118"/>
      <c r="K1431" s="118"/>
      <c r="L1431" s="118"/>
      <c r="M1431" s="118"/>
      <c r="N1431" s="117"/>
      <c r="O1431" s="117"/>
      <c r="P1431" s="117"/>
      <c r="Q1431" s="117"/>
      <c r="R1431" s="117"/>
      <c r="S1431" s="117"/>
      <c r="T1431" s="117"/>
      <c r="U1431" s="117"/>
      <c r="V1431" s="117"/>
      <c r="W1431" s="117"/>
      <c r="X1431" s="117"/>
      <c r="Y1431" s="117"/>
      <c r="Z1431" s="117"/>
      <c r="AA1431" s="117"/>
      <c r="AB1431" s="117"/>
      <c r="AC1431" s="117"/>
      <c r="AD1431" s="117"/>
      <c r="AE1431" s="117"/>
      <c r="AF1431" s="117"/>
      <c r="AG1431" s="117"/>
      <c r="AH1431" s="117"/>
      <c r="AI1431" s="117"/>
      <c r="AJ1431" s="117"/>
      <c r="AK1431" s="117"/>
      <c r="AL1431" s="117"/>
      <c r="AM1431" s="117"/>
      <c r="AN1431" s="117"/>
      <c r="AO1431" s="117"/>
      <c r="AP1431" s="117"/>
      <c r="AQ1431" s="117"/>
      <c r="AR1431" s="117"/>
      <c r="AS1431" s="117"/>
      <c r="AT1431" s="117"/>
      <c r="AU1431" s="117"/>
      <c r="AV1431" s="117"/>
      <c r="AW1431" s="117"/>
      <c r="AX1431" s="117"/>
      <c r="AY1431" s="117"/>
      <c r="AZ1431" s="117"/>
      <c r="BA1431" s="117"/>
      <c r="BB1431" s="117"/>
      <c r="BC1431" s="117"/>
      <c r="BD1431" s="117"/>
      <c r="BE1431" s="117"/>
      <c r="BF1431" s="117"/>
      <c r="BG1431" s="117"/>
    </row>
    <row r="1432" spans="1:59">
      <c r="A1432" s="117"/>
      <c r="B1432" s="117"/>
      <c r="C1432" s="117"/>
      <c r="D1432" s="117"/>
      <c r="E1432" s="117"/>
      <c r="F1432" s="117"/>
      <c r="G1432" s="117"/>
      <c r="H1432" s="117"/>
      <c r="I1432" s="117"/>
      <c r="J1432" s="118"/>
      <c r="K1432" s="118"/>
      <c r="L1432" s="118"/>
      <c r="M1432" s="118"/>
      <c r="N1432" s="117"/>
      <c r="O1432" s="117"/>
      <c r="P1432" s="117"/>
      <c r="Q1432" s="117"/>
      <c r="R1432" s="117"/>
      <c r="S1432" s="117"/>
      <c r="T1432" s="117"/>
      <c r="U1432" s="117"/>
      <c r="V1432" s="117"/>
      <c r="W1432" s="117"/>
      <c r="X1432" s="117"/>
      <c r="Y1432" s="117"/>
      <c r="Z1432" s="117"/>
      <c r="AA1432" s="117"/>
      <c r="AB1432" s="117"/>
      <c r="AC1432" s="117"/>
      <c r="AD1432" s="117"/>
      <c r="AE1432" s="117"/>
      <c r="AF1432" s="117"/>
      <c r="AG1432" s="117"/>
      <c r="AH1432" s="117"/>
      <c r="AI1432" s="117"/>
      <c r="AJ1432" s="117"/>
      <c r="AK1432" s="117"/>
      <c r="AL1432" s="117"/>
      <c r="AM1432" s="117"/>
      <c r="AN1432" s="117"/>
      <c r="AO1432" s="117"/>
      <c r="AP1432" s="117"/>
      <c r="AQ1432" s="117"/>
      <c r="AR1432" s="117"/>
      <c r="AS1432" s="117"/>
      <c r="AT1432" s="117"/>
      <c r="AU1432" s="117"/>
      <c r="AV1432" s="117"/>
      <c r="AW1432" s="117"/>
      <c r="AX1432" s="117"/>
      <c r="AY1432" s="117"/>
      <c r="AZ1432" s="117"/>
      <c r="BA1432" s="117"/>
      <c r="BB1432" s="117"/>
      <c r="BC1432" s="117"/>
      <c r="BD1432" s="117"/>
      <c r="BE1432" s="117"/>
      <c r="BF1432" s="117"/>
      <c r="BG1432" s="117"/>
    </row>
    <row r="1433" spans="1:59">
      <c r="A1433" s="117"/>
      <c r="B1433" s="117"/>
      <c r="C1433" s="117"/>
      <c r="D1433" s="117"/>
      <c r="E1433" s="117"/>
      <c r="F1433" s="117"/>
      <c r="G1433" s="117"/>
      <c r="H1433" s="117"/>
      <c r="I1433" s="117"/>
      <c r="J1433" s="118"/>
      <c r="K1433" s="118"/>
      <c r="L1433" s="118"/>
      <c r="M1433" s="118"/>
      <c r="N1433" s="117"/>
      <c r="O1433" s="117"/>
      <c r="P1433" s="117"/>
      <c r="Q1433" s="117"/>
      <c r="R1433" s="117"/>
      <c r="S1433" s="117"/>
      <c r="T1433" s="117"/>
      <c r="U1433" s="117"/>
      <c r="V1433" s="117"/>
      <c r="W1433" s="117"/>
      <c r="X1433" s="117"/>
      <c r="Y1433" s="117"/>
      <c r="Z1433" s="117"/>
      <c r="AA1433" s="117"/>
      <c r="AB1433" s="117"/>
      <c r="AC1433" s="117"/>
      <c r="AD1433" s="117"/>
      <c r="AE1433" s="117"/>
      <c r="AF1433" s="117"/>
      <c r="AG1433" s="117"/>
      <c r="AH1433" s="117"/>
      <c r="AI1433" s="117"/>
      <c r="AJ1433" s="117"/>
      <c r="AK1433" s="117"/>
      <c r="AL1433" s="117"/>
      <c r="AM1433" s="117"/>
      <c r="AN1433" s="117"/>
      <c r="AO1433" s="117"/>
      <c r="AP1433" s="117"/>
      <c r="AQ1433" s="117"/>
      <c r="AR1433" s="117"/>
      <c r="AS1433" s="117"/>
      <c r="AT1433" s="117"/>
      <c r="AU1433" s="117"/>
      <c r="AV1433" s="117"/>
      <c r="AW1433" s="117"/>
      <c r="AX1433" s="117"/>
      <c r="AY1433" s="117"/>
      <c r="AZ1433" s="117"/>
      <c r="BA1433" s="117"/>
      <c r="BB1433" s="117"/>
      <c r="BC1433" s="117"/>
      <c r="BD1433" s="117"/>
      <c r="BE1433" s="117"/>
      <c r="BF1433" s="117"/>
      <c r="BG1433" s="117"/>
    </row>
    <row r="1434" spans="1:59">
      <c r="A1434" s="117"/>
      <c r="B1434" s="117"/>
      <c r="C1434" s="117"/>
      <c r="D1434" s="117"/>
      <c r="E1434" s="117"/>
      <c r="F1434" s="117"/>
      <c r="G1434" s="117"/>
      <c r="H1434" s="117"/>
      <c r="I1434" s="117"/>
      <c r="J1434" s="118"/>
      <c r="K1434" s="118"/>
      <c r="L1434" s="118"/>
      <c r="M1434" s="118"/>
      <c r="N1434" s="117"/>
      <c r="O1434" s="117"/>
      <c r="P1434" s="117"/>
      <c r="Q1434" s="117"/>
      <c r="R1434" s="117"/>
      <c r="S1434" s="117"/>
      <c r="T1434" s="117"/>
      <c r="U1434" s="117"/>
      <c r="V1434" s="117"/>
      <c r="W1434" s="117"/>
      <c r="X1434" s="117"/>
      <c r="Y1434" s="117"/>
      <c r="Z1434" s="117"/>
      <c r="AA1434" s="117"/>
      <c r="AB1434" s="117"/>
      <c r="AC1434" s="117"/>
      <c r="AD1434" s="117"/>
      <c r="AE1434" s="117"/>
      <c r="AF1434" s="117"/>
      <c r="AG1434" s="117"/>
      <c r="AH1434" s="117"/>
      <c r="AI1434" s="117"/>
      <c r="AJ1434" s="117"/>
      <c r="AK1434" s="117"/>
      <c r="AL1434" s="117"/>
      <c r="AM1434" s="117"/>
      <c r="AN1434" s="117"/>
      <c r="AO1434" s="117"/>
      <c r="AP1434" s="117"/>
      <c r="AQ1434" s="117"/>
      <c r="AR1434" s="117"/>
      <c r="AS1434" s="117"/>
      <c r="AT1434" s="117"/>
      <c r="AU1434" s="117"/>
      <c r="AV1434" s="117"/>
      <c r="AW1434" s="117"/>
      <c r="AX1434" s="117"/>
      <c r="AY1434" s="117"/>
      <c r="AZ1434" s="117"/>
      <c r="BA1434" s="117"/>
      <c r="BB1434" s="117"/>
      <c r="BC1434" s="117"/>
      <c r="BD1434" s="117"/>
      <c r="BE1434" s="117"/>
      <c r="BF1434" s="117"/>
      <c r="BG1434" s="117"/>
    </row>
    <row r="1435" spans="1:59">
      <c r="A1435" s="117"/>
      <c r="B1435" s="117"/>
      <c r="C1435" s="117"/>
      <c r="D1435" s="117"/>
      <c r="E1435" s="117"/>
      <c r="F1435" s="117"/>
      <c r="G1435" s="117"/>
      <c r="H1435" s="117"/>
      <c r="I1435" s="117"/>
      <c r="J1435" s="118"/>
      <c r="K1435" s="118"/>
      <c r="L1435" s="118"/>
      <c r="M1435" s="118"/>
      <c r="N1435" s="117"/>
      <c r="O1435" s="117"/>
      <c r="P1435" s="117"/>
      <c r="Q1435" s="117"/>
      <c r="R1435" s="117"/>
      <c r="S1435" s="117"/>
      <c r="T1435" s="117"/>
      <c r="U1435" s="117"/>
      <c r="V1435" s="117"/>
      <c r="W1435" s="117"/>
      <c r="X1435" s="117"/>
      <c r="Y1435" s="117"/>
      <c r="Z1435" s="117"/>
      <c r="AA1435" s="117"/>
      <c r="AB1435" s="117"/>
      <c r="AC1435" s="117"/>
      <c r="AD1435" s="117"/>
      <c r="AE1435" s="117"/>
      <c r="AF1435" s="117"/>
      <c r="AG1435" s="117"/>
      <c r="AH1435" s="117"/>
      <c r="AI1435" s="117"/>
      <c r="AJ1435" s="117"/>
      <c r="AK1435" s="117"/>
      <c r="AL1435" s="117"/>
      <c r="AM1435" s="117"/>
      <c r="AN1435" s="117"/>
      <c r="AO1435" s="117"/>
      <c r="AP1435" s="117"/>
      <c r="AQ1435" s="117"/>
      <c r="AR1435" s="117"/>
      <c r="AS1435" s="117"/>
      <c r="AT1435" s="117"/>
      <c r="AU1435" s="117"/>
      <c r="AV1435" s="117"/>
      <c r="AW1435" s="117"/>
      <c r="AX1435" s="117"/>
      <c r="AY1435" s="117"/>
      <c r="AZ1435" s="117"/>
      <c r="BA1435" s="117"/>
      <c r="BB1435" s="117"/>
      <c r="BC1435" s="117"/>
      <c r="BD1435" s="117"/>
      <c r="BE1435" s="117"/>
      <c r="BF1435" s="117"/>
      <c r="BG1435" s="117"/>
    </row>
    <row r="1436" spans="1:59">
      <c r="A1436" s="117"/>
      <c r="B1436" s="117"/>
      <c r="C1436" s="117"/>
      <c r="D1436" s="117"/>
      <c r="E1436" s="117"/>
      <c r="F1436" s="117"/>
      <c r="G1436" s="117"/>
      <c r="H1436" s="117"/>
      <c r="I1436" s="117"/>
      <c r="J1436" s="118"/>
      <c r="K1436" s="118"/>
      <c r="L1436" s="118"/>
      <c r="M1436" s="118"/>
      <c r="N1436" s="117"/>
      <c r="O1436" s="117"/>
      <c r="P1436" s="117"/>
      <c r="Q1436" s="117"/>
      <c r="R1436" s="117"/>
      <c r="S1436" s="117"/>
      <c r="T1436" s="117"/>
      <c r="U1436" s="117"/>
      <c r="V1436" s="117"/>
      <c r="W1436" s="117"/>
      <c r="X1436" s="117"/>
      <c r="Y1436" s="117"/>
      <c r="Z1436" s="117"/>
      <c r="AA1436" s="117"/>
      <c r="AB1436" s="117"/>
      <c r="AC1436" s="117"/>
      <c r="AD1436" s="117"/>
      <c r="AE1436" s="117"/>
      <c r="AF1436" s="117"/>
      <c r="AG1436" s="117"/>
      <c r="AH1436" s="117"/>
      <c r="AI1436" s="117"/>
      <c r="AJ1436" s="117"/>
      <c r="AK1436" s="117"/>
      <c r="AL1436" s="117"/>
      <c r="AM1436" s="117"/>
      <c r="AN1436" s="117"/>
      <c r="AO1436" s="117"/>
      <c r="AP1436" s="117"/>
      <c r="AQ1436" s="117"/>
      <c r="AR1436" s="117"/>
      <c r="AS1436" s="117"/>
      <c r="AT1436" s="117"/>
      <c r="AU1436" s="117"/>
      <c r="AV1436" s="117"/>
      <c r="AW1436" s="117"/>
      <c r="AX1436" s="117"/>
      <c r="AY1436" s="117"/>
      <c r="AZ1436" s="117"/>
      <c r="BA1436" s="117"/>
      <c r="BB1436" s="117"/>
      <c r="BC1436" s="117"/>
      <c r="BD1436" s="117"/>
      <c r="BE1436" s="117"/>
      <c r="BF1436" s="117"/>
      <c r="BG1436" s="117"/>
    </row>
    <row r="1437" spans="1:59">
      <c r="A1437" s="117"/>
      <c r="B1437" s="117"/>
      <c r="C1437" s="117"/>
      <c r="D1437" s="117"/>
      <c r="E1437" s="117"/>
      <c r="F1437" s="117"/>
      <c r="G1437" s="117"/>
      <c r="H1437" s="117"/>
      <c r="I1437" s="117"/>
      <c r="J1437" s="118"/>
      <c r="K1437" s="118"/>
      <c r="L1437" s="118"/>
      <c r="M1437" s="118"/>
      <c r="N1437" s="117"/>
      <c r="O1437" s="117"/>
      <c r="P1437" s="117"/>
      <c r="Q1437" s="117"/>
      <c r="R1437" s="117"/>
      <c r="S1437" s="117"/>
      <c r="T1437" s="117"/>
      <c r="U1437" s="117"/>
      <c r="V1437" s="117"/>
      <c r="W1437" s="117"/>
      <c r="X1437" s="117"/>
      <c r="Y1437" s="117"/>
      <c r="Z1437" s="117"/>
      <c r="AA1437" s="117"/>
      <c r="AB1437" s="117"/>
      <c r="AC1437" s="117"/>
      <c r="AD1437" s="117"/>
      <c r="AE1437" s="117"/>
      <c r="AF1437" s="117"/>
      <c r="AG1437" s="117"/>
      <c r="AH1437" s="117"/>
      <c r="AI1437" s="117"/>
      <c r="AJ1437" s="117"/>
      <c r="AK1437" s="117"/>
      <c r="AL1437" s="117"/>
      <c r="AM1437" s="117"/>
      <c r="AN1437" s="117"/>
      <c r="AO1437" s="117"/>
      <c r="AP1437" s="117"/>
      <c r="AQ1437" s="117"/>
      <c r="AR1437" s="117"/>
      <c r="AS1437" s="117"/>
      <c r="AT1437" s="117"/>
      <c r="AU1437" s="117"/>
      <c r="AV1437" s="117"/>
      <c r="AW1437" s="117"/>
      <c r="AX1437" s="117"/>
      <c r="AY1437" s="117"/>
      <c r="AZ1437" s="117"/>
      <c r="BA1437" s="117"/>
      <c r="BB1437" s="117"/>
      <c r="BC1437" s="117"/>
      <c r="BD1437" s="117"/>
      <c r="BE1437" s="117"/>
      <c r="BF1437" s="117"/>
      <c r="BG1437" s="117"/>
    </row>
    <row r="1438" spans="1:59">
      <c r="A1438" s="117"/>
      <c r="B1438" s="117"/>
      <c r="C1438" s="117"/>
      <c r="D1438" s="117"/>
      <c r="E1438" s="117"/>
      <c r="F1438" s="117"/>
      <c r="G1438" s="117"/>
      <c r="H1438" s="117"/>
      <c r="I1438" s="117"/>
      <c r="J1438" s="118"/>
      <c r="K1438" s="118"/>
      <c r="L1438" s="118"/>
      <c r="M1438" s="118"/>
      <c r="N1438" s="117"/>
      <c r="O1438" s="117"/>
      <c r="P1438" s="117"/>
      <c r="Q1438" s="117"/>
      <c r="R1438" s="117"/>
      <c r="S1438" s="117"/>
      <c r="T1438" s="117"/>
      <c r="U1438" s="117"/>
      <c r="V1438" s="117"/>
      <c r="W1438" s="117"/>
      <c r="X1438" s="117"/>
      <c r="Y1438" s="117"/>
      <c r="Z1438" s="117"/>
      <c r="AA1438" s="117"/>
      <c r="AB1438" s="117"/>
      <c r="AC1438" s="117"/>
      <c r="AD1438" s="117"/>
      <c r="AE1438" s="117"/>
      <c r="AF1438" s="117"/>
      <c r="AG1438" s="117"/>
      <c r="AH1438" s="117"/>
      <c r="AI1438" s="117"/>
      <c r="AJ1438" s="117"/>
      <c r="AK1438" s="117"/>
      <c r="AL1438" s="117"/>
      <c r="AM1438" s="117"/>
      <c r="AN1438" s="117"/>
      <c r="AO1438" s="117"/>
      <c r="AP1438" s="117"/>
      <c r="AQ1438" s="117"/>
      <c r="AR1438" s="117"/>
      <c r="AS1438" s="117"/>
      <c r="AT1438" s="117"/>
      <c r="AU1438" s="117"/>
      <c r="AV1438" s="117"/>
      <c r="AW1438" s="117"/>
      <c r="AX1438" s="117"/>
      <c r="AY1438" s="117"/>
      <c r="AZ1438" s="117"/>
      <c r="BA1438" s="117"/>
      <c r="BB1438" s="117"/>
      <c r="BC1438" s="117"/>
      <c r="BD1438" s="117"/>
      <c r="BE1438" s="117"/>
      <c r="BF1438" s="117"/>
      <c r="BG1438" s="117"/>
    </row>
    <row r="1439" spans="1:59">
      <c r="A1439" s="117"/>
      <c r="B1439" s="117"/>
      <c r="C1439" s="117"/>
      <c r="D1439" s="117"/>
      <c r="E1439" s="117"/>
      <c r="F1439" s="117"/>
      <c r="G1439" s="117"/>
      <c r="H1439" s="117"/>
      <c r="I1439" s="117"/>
      <c r="J1439" s="118"/>
      <c r="K1439" s="118"/>
      <c r="L1439" s="118"/>
      <c r="M1439" s="118"/>
      <c r="N1439" s="117"/>
      <c r="O1439" s="117"/>
      <c r="P1439" s="117"/>
      <c r="Q1439" s="117"/>
      <c r="R1439" s="117"/>
      <c r="S1439" s="117"/>
      <c r="T1439" s="117"/>
      <c r="U1439" s="117"/>
      <c r="V1439" s="117"/>
      <c r="W1439" s="117"/>
      <c r="X1439" s="117"/>
      <c r="Y1439" s="117"/>
      <c r="Z1439" s="117"/>
      <c r="AA1439" s="117"/>
      <c r="AB1439" s="117"/>
      <c r="AC1439" s="117"/>
      <c r="AD1439" s="117"/>
      <c r="AE1439" s="117"/>
      <c r="AF1439" s="117"/>
      <c r="AG1439" s="117"/>
      <c r="AH1439" s="117"/>
      <c r="AI1439" s="117"/>
      <c r="AJ1439" s="117"/>
      <c r="AK1439" s="117"/>
      <c r="AL1439" s="117"/>
      <c r="AM1439" s="117"/>
      <c r="AN1439" s="117"/>
      <c r="AO1439" s="117"/>
      <c r="AP1439" s="117"/>
      <c r="AQ1439" s="117"/>
      <c r="AR1439" s="117"/>
      <c r="AS1439" s="117"/>
      <c r="AT1439" s="117"/>
      <c r="AU1439" s="117"/>
      <c r="AV1439" s="117"/>
      <c r="AW1439" s="117"/>
      <c r="AX1439" s="117"/>
      <c r="AY1439" s="117"/>
      <c r="AZ1439" s="117"/>
      <c r="BA1439" s="117"/>
      <c r="BB1439" s="117"/>
      <c r="BC1439" s="117"/>
      <c r="BD1439" s="117"/>
      <c r="BE1439" s="117"/>
      <c r="BF1439" s="117"/>
      <c r="BG1439" s="117"/>
    </row>
    <row r="1440" spans="1:59">
      <c r="A1440" s="117"/>
      <c r="B1440" s="117"/>
      <c r="C1440" s="117"/>
      <c r="D1440" s="117"/>
      <c r="E1440" s="117"/>
      <c r="F1440" s="117"/>
      <c r="G1440" s="117"/>
      <c r="H1440" s="117"/>
      <c r="I1440" s="117"/>
      <c r="J1440" s="118"/>
      <c r="K1440" s="118"/>
      <c r="L1440" s="118"/>
      <c r="M1440" s="118"/>
      <c r="N1440" s="117"/>
      <c r="O1440" s="117"/>
      <c r="P1440" s="117"/>
      <c r="Q1440" s="117"/>
      <c r="R1440" s="117"/>
      <c r="S1440" s="117"/>
      <c r="T1440" s="117"/>
      <c r="U1440" s="117"/>
      <c r="V1440" s="117"/>
      <c r="W1440" s="117"/>
      <c r="X1440" s="117"/>
      <c r="Y1440" s="117"/>
      <c r="Z1440" s="117"/>
      <c r="AA1440" s="117"/>
      <c r="AB1440" s="117"/>
      <c r="AC1440" s="117"/>
      <c r="AD1440" s="117"/>
      <c r="AE1440" s="117"/>
      <c r="AF1440" s="117"/>
      <c r="AG1440" s="117"/>
      <c r="AH1440" s="117"/>
      <c r="AI1440" s="117"/>
      <c r="AJ1440" s="117"/>
      <c r="AK1440" s="117"/>
      <c r="AL1440" s="117"/>
      <c r="AM1440" s="117"/>
      <c r="AN1440" s="117"/>
      <c r="AO1440" s="117"/>
      <c r="AP1440" s="117"/>
      <c r="AQ1440" s="117"/>
      <c r="AR1440" s="117"/>
      <c r="AS1440" s="117"/>
      <c r="AT1440" s="117"/>
      <c r="AU1440" s="117"/>
      <c r="AV1440" s="117"/>
      <c r="AW1440" s="117"/>
      <c r="AX1440" s="117"/>
      <c r="AY1440" s="117"/>
      <c r="AZ1440" s="117"/>
      <c r="BA1440" s="117"/>
      <c r="BB1440" s="117"/>
      <c r="BC1440" s="117"/>
      <c r="BD1440" s="117"/>
      <c r="BE1440" s="117"/>
      <c r="BF1440" s="117"/>
      <c r="BG1440" s="117"/>
    </row>
    <row r="1441" spans="1:59">
      <c r="A1441" s="117"/>
      <c r="B1441" s="117"/>
      <c r="C1441" s="117"/>
      <c r="D1441" s="117"/>
      <c r="E1441" s="117"/>
      <c r="F1441" s="117"/>
      <c r="G1441" s="117"/>
      <c r="H1441" s="117"/>
      <c r="I1441" s="117"/>
      <c r="J1441" s="118"/>
      <c r="K1441" s="118"/>
      <c r="L1441" s="118"/>
      <c r="M1441" s="118"/>
      <c r="N1441" s="117"/>
      <c r="O1441" s="117"/>
      <c r="P1441" s="117"/>
      <c r="Q1441" s="117"/>
      <c r="R1441" s="117"/>
      <c r="S1441" s="117"/>
      <c r="T1441" s="117"/>
      <c r="U1441" s="117"/>
      <c r="V1441" s="117"/>
      <c r="W1441" s="117"/>
      <c r="X1441" s="117"/>
      <c r="Y1441" s="117"/>
      <c r="Z1441" s="117"/>
      <c r="AA1441" s="117"/>
      <c r="AB1441" s="117"/>
      <c r="AC1441" s="117"/>
      <c r="AD1441" s="117"/>
      <c r="AE1441" s="117"/>
      <c r="AF1441" s="117"/>
      <c r="AG1441" s="117"/>
      <c r="AH1441" s="117"/>
      <c r="AI1441" s="117"/>
      <c r="AJ1441" s="117"/>
      <c r="AK1441" s="117"/>
      <c r="AL1441" s="117"/>
      <c r="AM1441" s="117"/>
      <c r="AN1441" s="117"/>
      <c r="AO1441" s="117"/>
      <c r="AP1441" s="117"/>
      <c r="AQ1441" s="117"/>
      <c r="AR1441" s="117"/>
      <c r="AS1441" s="117"/>
      <c r="AT1441" s="117"/>
      <c r="AU1441" s="117"/>
      <c r="AV1441" s="117"/>
      <c r="AW1441" s="117"/>
      <c r="AX1441" s="117"/>
      <c r="AY1441" s="117"/>
      <c r="AZ1441" s="117"/>
      <c r="BA1441" s="117"/>
      <c r="BB1441" s="117"/>
      <c r="BC1441" s="117"/>
      <c r="BD1441" s="117"/>
      <c r="BE1441" s="117"/>
      <c r="BF1441" s="117"/>
      <c r="BG1441" s="117"/>
    </row>
    <row r="1442" spans="1:59">
      <c r="A1442" s="117"/>
      <c r="B1442" s="117"/>
      <c r="C1442" s="117"/>
      <c r="D1442" s="117"/>
      <c r="E1442" s="117"/>
      <c r="F1442" s="117"/>
      <c r="G1442" s="117"/>
      <c r="H1442" s="117"/>
      <c r="I1442" s="117"/>
      <c r="J1442" s="118"/>
      <c r="K1442" s="118"/>
      <c r="L1442" s="118"/>
      <c r="M1442" s="118"/>
      <c r="N1442" s="117"/>
      <c r="O1442" s="117"/>
      <c r="P1442" s="117"/>
      <c r="Q1442" s="117"/>
      <c r="R1442" s="117"/>
      <c r="S1442" s="117"/>
      <c r="T1442" s="117"/>
      <c r="U1442" s="117"/>
      <c r="V1442" s="117"/>
      <c r="W1442" s="117"/>
      <c r="X1442" s="117"/>
      <c r="Y1442" s="117"/>
      <c r="Z1442" s="117"/>
      <c r="AA1442" s="117"/>
      <c r="AB1442" s="117"/>
      <c r="AC1442" s="117"/>
      <c r="AD1442" s="117"/>
      <c r="AE1442" s="117"/>
      <c r="AF1442" s="117"/>
      <c r="AG1442" s="117"/>
      <c r="AH1442" s="117"/>
      <c r="AI1442" s="117"/>
      <c r="AJ1442" s="117"/>
      <c r="AK1442" s="117"/>
      <c r="AL1442" s="117"/>
      <c r="AM1442" s="117"/>
      <c r="AN1442" s="117"/>
      <c r="AO1442" s="117"/>
      <c r="AP1442" s="117"/>
      <c r="AQ1442" s="117"/>
      <c r="AR1442" s="117"/>
      <c r="AS1442" s="117"/>
      <c r="AT1442" s="117"/>
      <c r="AU1442" s="117"/>
      <c r="AV1442" s="117"/>
      <c r="AW1442" s="117"/>
      <c r="AX1442" s="117"/>
      <c r="AY1442" s="117"/>
      <c r="AZ1442" s="117"/>
      <c r="BA1442" s="117"/>
      <c r="BB1442" s="117"/>
      <c r="BC1442" s="117"/>
      <c r="BD1442" s="117"/>
      <c r="BE1442" s="117"/>
      <c r="BF1442" s="117"/>
      <c r="BG1442" s="117"/>
    </row>
    <row r="1443" spans="1:59">
      <c r="A1443" s="117"/>
      <c r="B1443" s="117"/>
      <c r="C1443" s="117"/>
      <c r="D1443" s="117"/>
      <c r="E1443" s="117"/>
      <c r="F1443" s="117"/>
      <c r="G1443" s="117"/>
      <c r="H1443" s="117"/>
      <c r="I1443" s="117"/>
      <c r="J1443" s="118"/>
      <c r="K1443" s="118"/>
      <c r="L1443" s="118"/>
      <c r="M1443" s="118"/>
      <c r="N1443" s="117"/>
      <c r="O1443" s="117"/>
      <c r="P1443" s="117"/>
      <c r="Q1443" s="117"/>
      <c r="R1443" s="117"/>
      <c r="S1443" s="117"/>
      <c r="T1443" s="117"/>
      <c r="U1443" s="117"/>
      <c r="V1443" s="117"/>
      <c r="W1443" s="117"/>
      <c r="X1443" s="117"/>
      <c r="Y1443" s="117"/>
      <c r="Z1443" s="117"/>
      <c r="AA1443" s="117"/>
      <c r="AB1443" s="117"/>
      <c r="AC1443" s="117"/>
      <c r="AD1443" s="117"/>
      <c r="AE1443" s="117"/>
      <c r="AF1443" s="117"/>
      <c r="AG1443" s="117"/>
      <c r="AH1443" s="117"/>
      <c r="AI1443" s="117"/>
      <c r="AJ1443" s="117"/>
      <c r="AK1443" s="117"/>
      <c r="AL1443" s="117"/>
      <c r="AM1443" s="117"/>
      <c r="AN1443" s="117"/>
      <c r="AO1443" s="117"/>
      <c r="AP1443" s="117"/>
      <c r="AQ1443" s="117"/>
      <c r="AR1443" s="117"/>
      <c r="AS1443" s="117"/>
      <c r="AT1443" s="117"/>
      <c r="AU1443" s="117"/>
      <c r="AV1443" s="117"/>
      <c r="AW1443" s="117"/>
      <c r="AX1443" s="117"/>
      <c r="AY1443" s="117"/>
      <c r="AZ1443" s="117"/>
      <c r="BA1443" s="117"/>
      <c r="BB1443" s="117"/>
      <c r="BC1443" s="117"/>
      <c r="BD1443" s="117"/>
      <c r="BE1443" s="117"/>
      <c r="BF1443" s="117"/>
      <c r="BG1443" s="117"/>
    </row>
    <row r="1444" spans="1:59">
      <c r="A1444" s="117"/>
      <c r="B1444" s="117"/>
      <c r="C1444" s="117"/>
      <c r="D1444" s="117"/>
      <c r="E1444" s="117"/>
      <c r="F1444" s="117"/>
      <c r="G1444" s="117"/>
      <c r="H1444" s="117"/>
      <c r="I1444" s="117"/>
      <c r="J1444" s="118"/>
      <c r="K1444" s="118"/>
      <c r="L1444" s="118"/>
      <c r="M1444" s="118"/>
      <c r="N1444" s="117"/>
      <c r="O1444" s="117"/>
      <c r="P1444" s="117"/>
      <c r="Q1444" s="117"/>
      <c r="R1444" s="117"/>
      <c r="S1444" s="117"/>
      <c r="T1444" s="117"/>
      <c r="U1444" s="117"/>
      <c r="V1444" s="117"/>
      <c r="W1444" s="117"/>
      <c r="X1444" s="117"/>
      <c r="Y1444" s="117"/>
      <c r="Z1444" s="117"/>
      <c r="AA1444" s="117"/>
      <c r="AB1444" s="117"/>
      <c r="AC1444" s="117"/>
      <c r="AD1444" s="117"/>
      <c r="AE1444" s="117"/>
      <c r="AF1444" s="117"/>
      <c r="AG1444" s="117"/>
      <c r="AH1444" s="117"/>
      <c r="AI1444" s="117"/>
      <c r="AJ1444" s="117"/>
      <c r="AK1444" s="117"/>
      <c r="AL1444" s="117"/>
      <c r="AM1444" s="117"/>
      <c r="AN1444" s="117"/>
      <c r="AO1444" s="117"/>
      <c r="AP1444" s="117"/>
      <c r="AQ1444" s="117"/>
      <c r="AR1444" s="117"/>
      <c r="AS1444" s="117"/>
      <c r="AT1444" s="117"/>
      <c r="AU1444" s="117"/>
      <c r="AV1444" s="117"/>
      <c r="AW1444" s="117"/>
      <c r="AX1444" s="117"/>
      <c r="AY1444" s="117"/>
      <c r="AZ1444" s="117"/>
      <c r="BA1444" s="117"/>
      <c r="BB1444" s="117"/>
      <c r="BC1444" s="117"/>
      <c r="BD1444" s="117"/>
      <c r="BE1444" s="117"/>
      <c r="BF1444" s="117"/>
      <c r="BG1444" s="117"/>
    </row>
    <row r="1445" spans="1:59">
      <c r="A1445" s="117"/>
      <c r="B1445" s="117"/>
      <c r="C1445" s="117"/>
      <c r="D1445" s="117"/>
      <c r="E1445" s="117"/>
      <c r="F1445" s="117"/>
      <c r="G1445" s="117"/>
      <c r="H1445" s="117"/>
      <c r="I1445" s="117"/>
      <c r="J1445" s="118"/>
      <c r="K1445" s="118"/>
      <c r="L1445" s="118"/>
      <c r="M1445" s="118"/>
      <c r="N1445" s="117"/>
      <c r="O1445" s="117"/>
      <c r="P1445" s="117"/>
      <c r="Q1445" s="117"/>
      <c r="R1445" s="117"/>
      <c r="S1445" s="117"/>
      <c r="T1445" s="117"/>
      <c r="U1445" s="117"/>
      <c r="V1445" s="117"/>
      <c r="W1445" s="117"/>
      <c r="X1445" s="117"/>
      <c r="Y1445" s="117"/>
      <c r="Z1445" s="117"/>
      <c r="AA1445" s="117"/>
      <c r="AB1445" s="117"/>
      <c r="AC1445" s="117"/>
      <c r="AD1445" s="117"/>
      <c r="AE1445" s="117"/>
      <c r="AF1445" s="117"/>
      <c r="AG1445" s="117"/>
      <c r="AH1445" s="117"/>
      <c r="AI1445" s="117"/>
      <c r="AJ1445" s="117"/>
      <c r="AK1445" s="117"/>
      <c r="AL1445" s="117"/>
      <c r="AM1445" s="117"/>
      <c r="AN1445" s="117"/>
      <c r="AO1445" s="117"/>
      <c r="AP1445" s="117"/>
      <c r="AQ1445" s="117"/>
      <c r="AR1445" s="117"/>
      <c r="AS1445" s="117"/>
      <c r="AT1445" s="117"/>
      <c r="AU1445" s="117"/>
      <c r="AV1445" s="117"/>
      <c r="AW1445" s="117"/>
      <c r="AX1445" s="117"/>
      <c r="AY1445" s="117"/>
      <c r="AZ1445" s="117"/>
      <c r="BA1445" s="117"/>
      <c r="BB1445" s="117"/>
      <c r="BC1445" s="117"/>
      <c r="BD1445" s="117"/>
      <c r="BE1445" s="117"/>
      <c r="BF1445" s="117"/>
      <c r="BG1445" s="117"/>
    </row>
    <row r="1446" spans="1:59">
      <c r="A1446" s="117"/>
      <c r="B1446" s="117"/>
      <c r="C1446" s="117"/>
      <c r="D1446" s="117"/>
      <c r="E1446" s="117"/>
      <c r="F1446" s="117"/>
      <c r="G1446" s="117"/>
      <c r="H1446" s="117"/>
      <c r="I1446" s="117"/>
      <c r="J1446" s="118"/>
      <c r="K1446" s="118"/>
      <c r="L1446" s="118"/>
      <c r="M1446" s="118"/>
      <c r="N1446" s="117"/>
      <c r="O1446" s="117"/>
      <c r="P1446" s="117"/>
      <c r="Q1446" s="117"/>
      <c r="R1446" s="117"/>
      <c r="S1446" s="117"/>
      <c r="T1446" s="117"/>
      <c r="U1446" s="117"/>
      <c r="V1446" s="117"/>
      <c r="W1446" s="117"/>
      <c r="X1446" s="117"/>
      <c r="Y1446" s="117"/>
      <c r="Z1446" s="117"/>
      <c r="AA1446" s="117"/>
      <c r="AB1446" s="117"/>
      <c r="AC1446" s="117"/>
      <c r="AD1446" s="117"/>
      <c r="AE1446" s="117"/>
      <c r="AF1446" s="117"/>
      <c r="AG1446" s="117"/>
      <c r="AH1446" s="117"/>
      <c r="AI1446" s="117"/>
      <c r="AJ1446" s="117"/>
      <c r="AK1446" s="117"/>
      <c r="AL1446" s="117"/>
      <c r="AM1446" s="117"/>
      <c r="AN1446" s="117"/>
      <c r="AO1446" s="117"/>
      <c r="AP1446" s="117"/>
      <c r="AQ1446" s="117"/>
      <c r="AR1446" s="117"/>
      <c r="AS1446" s="117"/>
      <c r="AT1446" s="117"/>
      <c r="AU1446" s="117"/>
      <c r="AV1446" s="117"/>
      <c r="AW1446" s="117"/>
      <c r="AX1446" s="117"/>
      <c r="AY1446" s="117"/>
      <c r="AZ1446" s="117"/>
      <c r="BA1446" s="117"/>
      <c r="BB1446" s="117"/>
      <c r="BC1446" s="117"/>
      <c r="BD1446" s="117"/>
      <c r="BE1446" s="117"/>
      <c r="BF1446" s="117"/>
      <c r="BG1446" s="117"/>
    </row>
    <row r="1447" spans="1:59">
      <c r="A1447" s="117"/>
      <c r="B1447" s="117"/>
      <c r="C1447" s="117"/>
      <c r="D1447" s="117"/>
      <c r="E1447" s="117"/>
      <c r="F1447" s="117"/>
      <c r="G1447" s="117"/>
      <c r="H1447" s="117"/>
      <c r="I1447" s="117"/>
      <c r="J1447" s="118"/>
      <c r="K1447" s="118"/>
      <c r="L1447" s="118"/>
      <c r="M1447" s="118"/>
      <c r="N1447" s="117"/>
      <c r="O1447" s="117"/>
      <c r="P1447" s="117"/>
      <c r="Q1447" s="117"/>
      <c r="R1447" s="117"/>
      <c r="S1447" s="117"/>
      <c r="T1447" s="117"/>
      <c r="U1447" s="117"/>
      <c r="V1447" s="117"/>
      <c r="W1447" s="117"/>
      <c r="X1447" s="117"/>
      <c r="Y1447" s="117"/>
      <c r="Z1447" s="117"/>
      <c r="AA1447" s="117"/>
      <c r="AB1447" s="117"/>
      <c r="AC1447" s="117"/>
      <c r="AD1447" s="117"/>
      <c r="AE1447" s="117"/>
      <c r="AF1447" s="117"/>
      <c r="AG1447" s="117"/>
      <c r="AH1447" s="117"/>
      <c r="AI1447" s="117"/>
      <c r="AJ1447" s="117"/>
      <c r="AK1447" s="117"/>
      <c r="AL1447" s="117"/>
      <c r="AM1447" s="117"/>
      <c r="AN1447" s="117"/>
      <c r="AO1447" s="117"/>
      <c r="AP1447" s="117"/>
      <c r="AQ1447" s="117"/>
      <c r="AR1447" s="117"/>
      <c r="AS1447" s="117"/>
      <c r="AT1447" s="117"/>
      <c r="AU1447" s="117"/>
      <c r="AV1447" s="117"/>
      <c r="AW1447" s="117"/>
      <c r="AX1447" s="117"/>
      <c r="AY1447" s="117"/>
      <c r="AZ1447" s="117"/>
      <c r="BA1447" s="117"/>
      <c r="BB1447" s="117"/>
      <c r="BC1447" s="117"/>
      <c r="BD1447" s="117"/>
      <c r="BE1447" s="117"/>
      <c r="BF1447" s="117"/>
      <c r="BG1447" s="117"/>
    </row>
    <row r="1448" spans="1:59">
      <c r="A1448" s="117"/>
      <c r="B1448" s="117"/>
      <c r="C1448" s="117"/>
      <c r="D1448" s="117"/>
      <c r="E1448" s="117"/>
      <c r="F1448" s="117"/>
      <c r="G1448" s="117"/>
      <c r="H1448" s="117"/>
      <c r="I1448" s="117"/>
      <c r="J1448" s="118"/>
      <c r="K1448" s="118"/>
      <c r="L1448" s="118"/>
      <c r="M1448" s="118"/>
      <c r="N1448" s="117"/>
      <c r="O1448" s="117"/>
      <c r="P1448" s="117"/>
      <c r="Q1448" s="117"/>
      <c r="R1448" s="117"/>
      <c r="S1448" s="117"/>
      <c r="T1448" s="117"/>
      <c r="U1448" s="117"/>
      <c r="V1448" s="117"/>
      <c r="W1448" s="117"/>
      <c r="X1448" s="117"/>
      <c r="Y1448" s="117"/>
      <c r="Z1448" s="117"/>
      <c r="AA1448" s="117"/>
      <c r="AB1448" s="117"/>
      <c r="AC1448" s="117"/>
      <c r="AD1448" s="117"/>
      <c r="AE1448" s="117"/>
      <c r="AF1448" s="117"/>
      <c r="AG1448" s="117"/>
      <c r="AH1448" s="117"/>
      <c r="AI1448" s="117"/>
      <c r="AJ1448" s="117"/>
      <c r="AK1448" s="117"/>
      <c r="AL1448" s="117"/>
      <c r="AM1448" s="117"/>
      <c r="AN1448" s="117"/>
      <c r="AO1448" s="117"/>
      <c r="AP1448" s="117"/>
      <c r="AQ1448" s="117"/>
      <c r="AR1448" s="117"/>
      <c r="AS1448" s="117"/>
      <c r="AT1448" s="117"/>
      <c r="AU1448" s="117"/>
      <c r="AV1448" s="117"/>
      <c r="AW1448" s="117"/>
      <c r="AX1448" s="117"/>
      <c r="AY1448" s="117"/>
      <c r="AZ1448" s="117"/>
      <c r="BA1448" s="117"/>
      <c r="BB1448" s="117"/>
      <c r="BC1448" s="117"/>
      <c r="BD1448" s="117"/>
      <c r="BE1448" s="117"/>
      <c r="BF1448" s="117"/>
      <c r="BG1448" s="117"/>
    </row>
    <row r="1449" spans="1:59">
      <c r="A1449" s="117"/>
      <c r="B1449" s="117"/>
      <c r="C1449" s="117"/>
      <c r="D1449" s="117"/>
      <c r="E1449" s="117"/>
      <c r="F1449" s="117"/>
      <c r="G1449" s="117"/>
      <c r="H1449" s="117"/>
      <c r="I1449" s="117"/>
      <c r="J1449" s="118"/>
      <c r="K1449" s="118"/>
      <c r="L1449" s="118"/>
      <c r="M1449" s="118"/>
      <c r="N1449" s="117"/>
      <c r="O1449" s="117"/>
      <c r="P1449" s="117"/>
      <c r="Q1449" s="117"/>
      <c r="R1449" s="117"/>
      <c r="S1449" s="117"/>
      <c r="T1449" s="117"/>
      <c r="U1449" s="117"/>
      <c r="V1449" s="117"/>
      <c r="W1449" s="117"/>
      <c r="X1449" s="117"/>
      <c r="Y1449" s="117"/>
      <c r="Z1449" s="117"/>
      <c r="AA1449" s="117"/>
      <c r="AB1449" s="117"/>
      <c r="AC1449" s="117"/>
      <c r="AD1449" s="117"/>
      <c r="AE1449" s="117"/>
      <c r="AF1449" s="117"/>
      <c r="AG1449" s="117"/>
      <c r="AH1449" s="117"/>
      <c r="AI1449" s="117"/>
      <c r="AJ1449" s="117"/>
      <c r="AK1449" s="117"/>
      <c r="AL1449" s="117"/>
      <c r="AM1449" s="117"/>
      <c r="AN1449" s="117"/>
      <c r="AO1449" s="117"/>
      <c r="AP1449" s="117"/>
      <c r="AQ1449" s="117"/>
      <c r="AR1449" s="117"/>
      <c r="AS1449" s="117"/>
      <c r="AT1449" s="117"/>
      <c r="AU1449" s="117"/>
      <c r="AV1449" s="117"/>
      <c r="AW1449" s="117"/>
      <c r="AX1449" s="117"/>
      <c r="AY1449" s="117"/>
      <c r="AZ1449" s="117"/>
      <c r="BA1449" s="117"/>
      <c r="BB1449" s="117"/>
      <c r="BC1449" s="117"/>
      <c r="BD1449" s="117"/>
      <c r="BE1449" s="117"/>
      <c r="BF1449" s="117"/>
      <c r="BG1449" s="117"/>
    </row>
    <row r="1450" spans="1:59">
      <c r="A1450" s="117"/>
      <c r="B1450" s="117"/>
      <c r="C1450" s="117"/>
      <c r="D1450" s="117"/>
      <c r="E1450" s="117"/>
      <c r="F1450" s="117"/>
      <c r="G1450" s="117"/>
      <c r="H1450" s="117"/>
      <c r="I1450" s="117"/>
      <c r="J1450" s="118"/>
      <c r="K1450" s="118"/>
      <c r="L1450" s="118"/>
      <c r="M1450" s="118"/>
      <c r="N1450" s="117"/>
      <c r="O1450" s="117"/>
      <c r="P1450" s="117"/>
      <c r="Q1450" s="117"/>
      <c r="R1450" s="117"/>
      <c r="S1450" s="117"/>
      <c r="T1450" s="117"/>
      <c r="U1450" s="117"/>
      <c r="V1450" s="117"/>
      <c r="W1450" s="117"/>
      <c r="X1450" s="117"/>
      <c r="Y1450" s="117"/>
      <c r="Z1450" s="117"/>
      <c r="AA1450" s="117"/>
      <c r="AB1450" s="117"/>
      <c r="AC1450" s="117"/>
      <c r="AD1450" s="117"/>
      <c r="AE1450" s="117"/>
      <c r="AF1450" s="117"/>
      <c r="AG1450" s="117"/>
      <c r="AH1450" s="117"/>
      <c r="AI1450" s="117"/>
      <c r="AJ1450" s="117"/>
      <c r="AK1450" s="117"/>
      <c r="AL1450" s="117"/>
      <c r="AM1450" s="117"/>
      <c r="AN1450" s="117"/>
      <c r="AO1450" s="117"/>
      <c r="AP1450" s="117"/>
      <c r="AQ1450" s="117"/>
      <c r="AR1450" s="117"/>
      <c r="AS1450" s="117"/>
      <c r="AT1450" s="117"/>
      <c r="AU1450" s="117"/>
      <c r="AV1450" s="117"/>
      <c r="AW1450" s="117"/>
      <c r="AX1450" s="117"/>
      <c r="AY1450" s="117"/>
      <c r="AZ1450" s="117"/>
      <c r="BA1450" s="117"/>
      <c r="BB1450" s="117"/>
      <c r="BC1450" s="117"/>
      <c r="BD1450" s="117"/>
      <c r="BE1450" s="117"/>
      <c r="BF1450" s="117"/>
      <c r="BG1450" s="117"/>
    </row>
    <row r="1451" spans="1:59">
      <c r="A1451" s="117"/>
      <c r="B1451" s="117"/>
      <c r="C1451" s="117"/>
      <c r="D1451" s="117"/>
      <c r="E1451" s="117"/>
      <c r="F1451" s="117"/>
      <c r="G1451" s="117"/>
      <c r="H1451" s="117"/>
      <c r="I1451" s="117"/>
      <c r="J1451" s="118"/>
      <c r="K1451" s="118"/>
      <c r="L1451" s="118"/>
      <c r="M1451" s="118"/>
      <c r="N1451" s="117"/>
      <c r="O1451" s="117"/>
      <c r="P1451" s="117"/>
      <c r="Q1451" s="117"/>
      <c r="R1451" s="117"/>
      <c r="S1451" s="117"/>
      <c r="T1451" s="117"/>
      <c r="U1451" s="117"/>
      <c r="V1451" s="117"/>
      <c r="W1451" s="117"/>
      <c r="X1451" s="117"/>
      <c r="Y1451" s="117"/>
      <c r="Z1451" s="117"/>
      <c r="AA1451" s="117"/>
      <c r="AB1451" s="117"/>
      <c r="AC1451" s="117"/>
      <c r="AD1451" s="117"/>
      <c r="AE1451" s="117"/>
      <c r="AF1451" s="117"/>
      <c r="AG1451" s="117"/>
      <c r="AH1451" s="117"/>
      <c r="AI1451" s="117"/>
      <c r="AJ1451" s="117"/>
      <c r="AK1451" s="117"/>
      <c r="AL1451" s="117"/>
      <c r="AM1451" s="117"/>
      <c r="AN1451" s="117"/>
      <c r="AO1451" s="117"/>
      <c r="AP1451" s="117"/>
      <c r="AQ1451" s="117"/>
      <c r="AR1451" s="117"/>
      <c r="AS1451" s="117"/>
      <c r="AT1451" s="117"/>
      <c r="AU1451" s="117"/>
      <c r="AV1451" s="117"/>
      <c r="AW1451" s="117"/>
      <c r="AX1451" s="117"/>
      <c r="AY1451" s="117"/>
      <c r="AZ1451" s="117"/>
      <c r="BA1451" s="117"/>
      <c r="BB1451" s="117"/>
      <c r="BC1451" s="117"/>
      <c r="BD1451" s="117"/>
      <c r="BE1451" s="117"/>
      <c r="BF1451" s="117"/>
      <c r="BG1451" s="117"/>
    </row>
    <row r="1452" spans="1:59">
      <c r="A1452" s="117"/>
      <c r="B1452" s="117"/>
      <c r="C1452" s="117"/>
      <c r="D1452" s="117"/>
      <c r="E1452" s="117"/>
      <c r="F1452" s="117"/>
      <c r="G1452" s="117"/>
      <c r="H1452" s="117"/>
      <c r="I1452" s="117"/>
      <c r="J1452" s="118"/>
      <c r="K1452" s="118"/>
      <c r="L1452" s="118"/>
      <c r="M1452" s="118"/>
      <c r="N1452" s="117"/>
      <c r="O1452" s="117"/>
      <c r="P1452" s="117"/>
      <c r="Q1452" s="117"/>
      <c r="R1452" s="117"/>
      <c r="S1452" s="117"/>
      <c r="T1452" s="117"/>
      <c r="U1452" s="117"/>
      <c r="V1452" s="117"/>
      <c r="W1452" s="117"/>
      <c r="X1452" s="117"/>
      <c r="Y1452" s="117"/>
      <c r="Z1452" s="117"/>
      <c r="AA1452" s="117"/>
      <c r="AB1452" s="117"/>
      <c r="AC1452" s="117"/>
      <c r="AD1452" s="117"/>
      <c r="AE1452" s="117"/>
      <c r="AF1452" s="117"/>
      <c r="AG1452" s="117"/>
      <c r="AH1452" s="117"/>
      <c r="AI1452" s="117"/>
      <c r="AJ1452" s="117"/>
      <c r="AK1452" s="117"/>
      <c r="AL1452" s="117"/>
      <c r="AM1452" s="117"/>
      <c r="AN1452" s="117"/>
      <c r="AO1452" s="117"/>
      <c r="AP1452" s="117"/>
      <c r="AQ1452" s="117"/>
      <c r="AR1452" s="117"/>
      <c r="AS1452" s="117"/>
      <c r="AT1452" s="117"/>
      <c r="AU1452" s="117"/>
      <c r="AV1452" s="117"/>
      <c r="AW1452" s="117"/>
      <c r="AX1452" s="117"/>
      <c r="AY1452" s="117"/>
      <c r="AZ1452" s="117"/>
      <c r="BA1452" s="117"/>
      <c r="BB1452" s="117"/>
      <c r="BC1452" s="117"/>
      <c r="BD1452" s="117"/>
      <c r="BE1452" s="117"/>
      <c r="BF1452" s="117"/>
      <c r="BG1452" s="117"/>
    </row>
    <row r="1453" spans="1:59">
      <c r="A1453" s="117"/>
      <c r="B1453" s="117"/>
      <c r="C1453" s="117"/>
      <c r="D1453" s="117"/>
      <c r="E1453" s="117"/>
      <c r="F1453" s="117"/>
      <c r="G1453" s="117"/>
      <c r="H1453" s="117"/>
      <c r="I1453" s="117"/>
      <c r="J1453" s="118"/>
      <c r="K1453" s="118"/>
      <c r="L1453" s="118"/>
      <c r="M1453" s="118"/>
      <c r="N1453" s="117"/>
      <c r="O1453" s="117"/>
      <c r="P1453" s="117"/>
      <c r="Q1453" s="117"/>
      <c r="R1453" s="117"/>
      <c r="S1453" s="117"/>
      <c r="T1453" s="117"/>
      <c r="U1453" s="117"/>
      <c r="V1453" s="117"/>
      <c r="W1453" s="117"/>
      <c r="X1453" s="117"/>
      <c r="Y1453" s="117"/>
      <c r="Z1453" s="117"/>
      <c r="AA1453" s="117"/>
      <c r="AB1453" s="117"/>
      <c r="AC1453" s="117"/>
      <c r="AD1453" s="117"/>
      <c r="AE1453" s="117"/>
      <c r="AF1453" s="117"/>
      <c r="AG1453" s="117"/>
      <c r="AH1453" s="117"/>
      <c r="AI1453" s="117"/>
      <c r="AJ1453" s="117"/>
      <c r="AK1453" s="117"/>
      <c r="AL1453" s="117"/>
      <c r="AM1453" s="117"/>
      <c r="AN1453" s="117"/>
      <c r="AO1453" s="117"/>
      <c r="AP1453" s="117"/>
      <c r="AQ1453" s="117"/>
      <c r="AR1453" s="117"/>
      <c r="AS1453" s="117"/>
      <c r="AT1453" s="117"/>
      <c r="AU1453" s="117"/>
      <c r="AV1453" s="117"/>
      <c r="AW1453" s="117"/>
      <c r="AX1453" s="117"/>
      <c r="AY1453" s="117"/>
      <c r="AZ1453" s="117"/>
      <c r="BA1453" s="117"/>
      <c r="BB1453" s="117"/>
      <c r="BC1453" s="117"/>
      <c r="BD1453" s="117"/>
      <c r="BE1453" s="117"/>
      <c r="BF1453" s="117"/>
      <c r="BG1453" s="117"/>
    </row>
    <row r="1454" spans="1:59">
      <c r="A1454" s="117"/>
      <c r="B1454" s="117"/>
      <c r="C1454" s="117"/>
      <c r="D1454" s="117"/>
      <c r="E1454" s="117"/>
      <c r="F1454" s="117"/>
      <c r="G1454" s="117"/>
      <c r="H1454" s="117"/>
      <c r="I1454" s="117"/>
      <c r="J1454" s="118"/>
      <c r="K1454" s="118"/>
      <c r="L1454" s="118"/>
      <c r="M1454" s="118"/>
      <c r="N1454" s="117"/>
      <c r="O1454" s="117"/>
      <c r="P1454" s="117"/>
      <c r="Q1454" s="117"/>
      <c r="R1454" s="117"/>
      <c r="S1454" s="117"/>
      <c r="T1454" s="117"/>
      <c r="U1454" s="117"/>
      <c r="V1454" s="117"/>
      <c r="W1454" s="117"/>
      <c r="X1454" s="117"/>
      <c r="Y1454" s="117"/>
      <c r="Z1454" s="117"/>
      <c r="AA1454" s="117"/>
      <c r="AB1454" s="117"/>
      <c r="AC1454" s="117"/>
      <c r="AD1454" s="117"/>
      <c r="AE1454" s="117"/>
      <c r="AF1454" s="117"/>
      <c r="AG1454" s="117"/>
      <c r="AH1454" s="117"/>
      <c r="AI1454" s="117"/>
      <c r="AJ1454" s="117"/>
      <c r="AK1454" s="117"/>
      <c r="AL1454" s="117"/>
      <c r="AM1454" s="117"/>
      <c r="AN1454" s="117"/>
      <c r="AO1454" s="117"/>
      <c r="AP1454" s="117"/>
      <c r="AQ1454" s="117"/>
      <c r="AR1454" s="117"/>
      <c r="AS1454" s="117"/>
      <c r="AT1454" s="117"/>
      <c r="AU1454" s="117"/>
      <c r="AV1454" s="117"/>
      <c r="AW1454" s="117"/>
      <c r="AX1454" s="117"/>
      <c r="AY1454" s="117"/>
      <c r="AZ1454" s="117"/>
      <c r="BA1454" s="117"/>
      <c r="BB1454" s="117"/>
      <c r="BC1454" s="117"/>
      <c r="BD1454" s="117"/>
      <c r="BE1454" s="117"/>
      <c r="BF1454" s="117"/>
      <c r="BG1454" s="117"/>
    </row>
    <row r="1455" spans="1:59">
      <c r="A1455" s="117"/>
      <c r="B1455" s="117"/>
      <c r="C1455" s="117"/>
      <c r="D1455" s="117"/>
      <c r="E1455" s="117"/>
      <c r="F1455" s="117"/>
      <c r="G1455" s="117"/>
      <c r="H1455" s="117"/>
      <c r="I1455" s="117"/>
      <c r="J1455" s="118"/>
      <c r="K1455" s="118"/>
      <c r="L1455" s="118"/>
      <c r="M1455" s="118"/>
      <c r="N1455" s="117"/>
      <c r="O1455" s="117"/>
      <c r="P1455" s="117"/>
      <c r="Q1455" s="117"/>
      <c r="R1455" s="117"/>
      <c r="S1455" s="117"/>
      <c r="T1455" s="117"/>
      <c r="U1455" s="117"/>
      <c r="V1455" s="117"/>
      <c r="W1455" s="117"/>
      <c r="X1455" s="117"/>
      <c r="Y1455" s="117"/>
      <c r="Z1455" s="117"/>
      <c r="AA1455" s="117"/>
      <c r="AB1455" s="117"/>
      <c r="AC1455" s="117"/>
      <c r="AD1455" s="117"/>
      <c r="AE1455" s="117"/>
      <c r="AF1455" s="117"/>
      <c r="AG1455" s="117"/>
      <c r="AH1455" s="117"/>
      <c r="AI1455" s="117"/>
      <c r="AJ1455" s="117"/>
      <c r="AK1455" s="117"/>
      <c r="AL1455" s="117"/>
      <c r="AM1455" s="117"/>
      <c r="AN1455" s="117"/>
      <c r="AO1455" s="117"/>
      <c r="AP1455" s="117"/>
      <c r="AQ1455" s="117"/>
      <c r="AR1455" s="117"/>
      <c r="AS1455" s="117"/>
      <c r="AT1455" s="117"/>
      <c r="AU1455" s="117"/>
      <c r="AV1455" s="117"/>
      <c r="AW1455" s="117"/>
      <c r="AX1455" s="117"/>
      <c r="AY1455" s="117"/>
      <c r="AZ1455" s="117"/>
      <c r="BA1455" s="117"/>
      <c r="BB1455" s="117"/>
      <c r="BC1455" s="117"/>
      <c r="BD1455" s="117"/>
      <c r="BE1455" s="117"/>
      <c r="BF1455" s="117"/>
      <c r="BG1455" s="117"/>
    </row>
    <row r="1456" spans="1:59">
      <c r="A1456" s="117"/>
      <c r="B1456" s="117"/>
      <c r="C1456" s="117"/>
      <c r="D1456" s="117"/>
      <c r="E1456" s="117"/>
      <c r="F1456" s="117"/>
      <c r="G1456" s="117"/>
      <c r="H1456" s="117"/>
      <c r="I1456" s="117"/>
      <c r="J1456" s="118"/>
      <c r="K1456" s="118"/>
      <c r="L1456" s="118"/>
      <c r="M1456" s="118"/>
      <c r="N1456" s="117"/>
      <c r="O1456" s="117"/>
      <c r="P1456" s="117"/>
      <c r="Q1456" s="117"/>
      <c r="R1456" s="117"/>
      <c r="S1456" s="117"/>
      <c r="T1456" s="117"/>
      <c r="U1456" s="117"/>
      <c r="V1456" s="117"/>
      <c r="W1456" s="117"/>
      <c r="X1456" s="117"/>
      <c r="Y1456" s="117"/>
      <c r="Z1456" s="117"/>
      <c r="AA1456" s="117"/>
      <c r="AB1456" s="117"/>
      <c r="AC1456" s="117"/>
      <c r="AD1456" s="117"/>
      <c r="AE1456" s="117"/>
      <c r="AF1456" s="117"/>
      <c r="AG1456" s="117"/>
      <c r="AH1456" s="117"/>
      <c r="AI1456" s="117"/>
      <c r="AJ1456" s="117"/>
      <c r="AK1456" s="117"/>
      <c r="AL1456" s="117"/>
      <c r="AM1456" s="117"/>
      <c r="AN1456" s="117"/>
      <c r="AO1456" s="117"/>
      <c r="AP1456" s="117"/>
      <c r="AQ1456" s="117"/>
      <c r="AR1456" s="117"/>
      <c r="AS1456" s="117"/>
      <c r="AT1456" s="117"/>
      <c r="AU1456" s="117"/>
      <c r="AV1456" s="117"/>
      <c r="AW1456" s="117"/>
      <c r="AX1456" s="117"/>
      <c r="AY1456" s="117"/>
      <c r="AZ1456" s="117"/>
      <c r="BA1456" s="117"/>
      <c r="BB1456" s="117"/>
      <c r="BC1456" s="117"/>
      <c r="BD1456" s="117"/>
      <c r="BE1456" s="117"/>
      <c r="BF1456" s="117"/>
      <c r="BG1456" s="117"/>
    </row>
    <row r="1457" spans="1:59">
      <c r="A1457" s="117"/>
      <c r="B1457" s="117"/>
      <c r="C1457" s="117"/>
      <c r="D1457" s="117"/>
      <c r="E1457" s="117"/>
      <c r="F1457" s="117"/>
      <c r="G1457" s="117"/>
      <c r="H1457" s="117"/>
      <c r="I1457" s="117"/>
      <c r="J1457" s="118"/>
      <c r="K1457" s="118"/>
      <c r="L1457" s="118"/>
      <c r="M1457" s="118"/>
      <c r="N1457" s="117"/>
      <c r="O1457" s="117"/>
      <c r="P1457" s="117"/>
      <c r="Q1457" s="117"/>
      <c r="R1457" s="117"/>
      <c r="S1457" s="117"/>
      <c r="T1457" s="117"/>
      <c r="U1457" s="117"/>
      <c r="V1457" s="117"/>
      <c r="W1457" s="117"/>
      <c r="X1457" s="117"/>
      <c r="Y1457" s="117"/>
      <c r="Z1457" s="117"/>
      <c r="AA1457" s="117"/>
      <c r="AB1457" s="117"/>
      <c r="AC1457" s="117"/>
      <c r="AD1457" s="117"/>
      <c r="AE1457" s="117"/>
      <c r="AF1457" s="117"/>
      <c r="AG1457" s="117"/>
      <c r="AH1457" s="117"/>
      <c r="AI1457" s="117"/>
      <c r="AJ1457" s="117"/>
      <c r="AK1457" s="117"/>
      <c r="AL1457" s="117"/>
      <c r="AM1457" s="117"/>
      <c r="AN1457" s="117"/>
      <c r="AO1457" s="117"/>
      <c r="AP1457" s="117"/>
      <c r="AQ1457" s="117"/>
      <c r="AR1457" s="117"/>
      <c r="AS1457" s="117"/>
      <c r="AT1457" s="117"/>
      <c r="AU1457" s="117"/>
      <c r="AV1457" s="117"/>
      <c r="AW1457" s="117"/>
      <c r="AX1457" s="117"/>
      <c r="AY1457" s="117"/>
      <c r="AZ1457" s="117"/>
      <c r="BA1457" s="117"/>
      <c r="BB1457" s="117"/>
      <c r="BC1457" s="117"/>
      <c r="BD1457" s="117"/>
      <c r="BE1457" s="117"/>
      <c r="BF1457" s="117"/>
      <c r="BG1457" s="117"/>
    </row>
    <row r="1458" spans="1:59">
      <c r="A1458" s="117"/>
      <c r="B1458" s="117"/>
      <c r="C1458" s="117"/>
      <c r="D1458" s="117"/>
      <c r="E1458" s="117"/>
      <c r="F1458" s="117"/>
      <c r="G1458" s="117"/>
      <c r="H1458" s="117"/>
      <c r="I1458" s="117"/>
      <c r="J1458" s="118"/>
      <c r="K1458" s="118"/>
      <c r="L1458" s="118"/>
      <c r="M1458" s="118"/>
      <c r="N1458" s="117"/>
      <c r="O1458" s="117"/>
      <c r="P1458" s="117"/>
      <c r="Q1458" s="117"/>
      <c r="R1458" s="117"/>
      <c r="S1458" s="117"/>
      <c r="T1458" s="117"/>
      <c r="U1458" s="117"/>
      <c r="V1458" s="117"/>
      <c r="W1458" s="117"/>
      <c r="X1458" s="117"/>
      <c r="Y1458" s="117"/>
      <c r="Z1458" s="117"/>
      <c r="AA1458" s="117"/>
      <c r="AB1458" s="117"/>
      <c r="AC1458" s="117"/>
      <c r="AD1458" s="117"/>
      <c r="AE1458" s="117"/>
      <c r="AF1458" s="117"/>
      <c r="AG1458" s="117"/>
      <c r="AH1458" s="117"/>
      <c r="AI1458" s="117"/>
      <c r="AJ1458" s="117"/>
      <c r="AK1458" s="117"/>
      <c r="AL1458" s="117"/>
      <c r="AM1458" s="117"/>
      <c r="AN1458" s="117"/>
      <c r="AO1458" s="117"/>
      <c r="AP1458" s="117"/>
      <c r="AQ1458" s="117"/>
      <c r="AR1458" s="117"/>
      <c r="AS1458" s="117"/>
      <c r="AT1458" s="117"/>
      <c r="AU1458" s="117"/>
      <c r="AV1458" s="117"/>
      <c r="AW1458" s="117"/>
      <c r="AX1458" s="117"/>
      <c r="AY1458" s="117"/>
      <c r="AZ1458" s="117"/>
      <c r="BA1458" s="117"/>
      <c r="BB1458" s="117"/>
      <c r="BC1458" s="117"/>
      <c r="BD1458" s="117"/>
      <c r="BE1458" s="117"/>
      <c r="BF1458" s="117"/>
      <c r="BG1458" s="117"/>
    </row>
    <row r="1459" spans="1:59">
      <c r="A1459" s="117"/>
      <c r="B1459" s="117"/>
      <c r="C1459" s="117"/>
      <c r="D1459" s="117"/>
      <c r="E1459" s="117"/>
      <c r="F1459" s="117"/>
      <c r="G1459" s="117"/>
      <c r="H1459" s="117"/>
      <c r="I1459" s="117"/>
      <c r="J1459" s="118"/>
      <c r="K1459" s="118"/>
      <c r="L1459" s="118"/>
      <c r="M1459" s="118"/>
      <c r="N1459" s="117"/>
      <c r="O1459" s="117"/>
      <c r="P1459" s="117"/>
      <c r="Q1459" s="117"/>
      <c r="R1459" s="117"/>
      <c r="S1459" s="117"/>
      <c r="T1459" s="117"/>
      <c r="U1459" s="117"/>
      <c r="V1459" s="117"/>
      <c r="W1459" s="117"/>
      <c r="X1459" s="117"/>
      <c r="Y1459" s="117"/>
      <c r="Z1459" s="117"/>
      <c r="AA1459" s="117"/>
      <c r="AB1459" s="117"/>
      <c r="AC1459" s="117"/>
      <c r="AD1459" s="117"/>
      <c r="AE1459" s="117"/>
      <c r="AF1459" s="117"/>
      <c r="AG1459" s="117"/>
      <c r="AH1459" s="117"/>
      <c r="AI1459" s="117"/>
      <c r="AJ1459" s="117"/>
      <c r="AK1459" s="117"/>
      <c r="AL1459" s="117"/>
      <c r="AM1459" s="117"/>
      <c r="AN1459" s="117"/>
      <c r="AO1459" s="117"/>
      <c r="AP1459" s="117"/>
      <c r="AQ1459" s="117"/>
      <c r="AR1459" s="117"/>
      <c r="AS1459" s="117"/>
      <c r="AT1459" s="117"/>
      <c r="AU1459" s="117"/>
      <c r="AV1459" s="117"/>
      <c r="AW1459" s="117"/>
      <c r="AX1459" s="117"/>
      <c r="AY1459" s="117"/>
      <c r="AZ1459" s="117"/>
      <c r="BA1459" s="117"/>
      <c r="BB1459" s="117"/>
      <c r="BC1459" s="117"/>
      <c r="BD1459" s="117"/>
      <c r="BE1459" s="117"/>
      <c r="BF1459" s="117"/>
      <c r="BG1459" s="117"/>
    </row>
    <row r="1460" spans="1:59">
      <c r="A1460" s="117"/>
      <c r="B1460" s="117"/>
      <c r="C1460" s="117"/>
      <c r="D1460" s="117"/>
      <c r="E1460" s="117"/>
      <c r="F1460" s="117"/>
      <c r="G1460" s="117"/>
      <c r="H1460" s="117"/>
      <c r="I1460" s="117"/>
      <c r="J1460" s="118"/>
      <c r="K1460" s="118"/>
      <c r="L1460" s="118"/>
      <c r="M1460" s="118"/>
      <c r="N1460" s="117"/>
      <c r="O1460" s="117"/>
      <c r="P1460" s="117"/>
      <c r="Q1460" s="117"/>
      <c r="R1460" s="117"/>
      <c r="S1460" s="117"/>
      <c r="T1460" s="117"/>
      <c r="U1460" s="117"/>
      <c r="V1460" s="117"/>
      <c r="W1460" s="117"/>
      <c r="X1460" s="117"/>
      <c r="Y1460" s="117"/>
      <c r="Z1460" s="117"/>
      <c r="AA1460" s="117"/>
      <c r="AB1460" s="117"/>
      <c r="AC1460" s="117"/>
      <c r="AD1460" s="117"/>
      <c r="AE1460" s="117"/>
      <c r="AF1460" s="117"/>
      <c r="AG1460" s="117"/>
      <c r="AH1460" s="117"/>
      <c r="AI1460" s="117"/>
      <c r="AJ1460" s="117"/>
      <c r="AK1460" s="117"/>
      <c r="AL1460" s="117"/>
      <c r="AM1460" s="117"/>
      <c r="AN1460" s="117"/>
      <c r="AO1460" s="117"/>
      <c r="AP1460" s="117"/>
      <c r="AQ1460" s="117"/>
      <c r="AR1460" s="117"/>
      <c r="AS1460" s="117"/>
      <c r="AT1460" s="117"/>
      <c r="AU1460" s="117"/>
      <c r="AV1460" s="117"/>
      <c r="AW1460" s="117"/>
      <c r="AX1460" s="117"/>
      <c r="AY1460" s="117"/>
      <c r="AZ1460" s="117"/>
      <c r="BA1460" s="117"/>
      <c r="BB1460" s="117"/>
      <c r="BC1460" s="117"/>
      <c r="BD1460" s="117"/>
      <c r="BE1460" s="117"/>
      <c r="BF1460" s="117"/>
      <c r="BG1460" s="117"/>
    </row>
    <row r="1461" spans="1:59">
      <c r="A1461" s="117"/>
      <c r="B1461" s="117"/>
      <c r="C1461" s="117"/>
      <c r="D1461" s="117"/>
      <c r="E1461" s="117"/>
      <c r="F1461" s="117"/>
      <c r="G1461" s="117"/>
      <c r="H1461" s="117"/>
      <c r="I1461" s="117"/>
      <c r="J1461" s="118"/>
      <c r="K1461" s="118"/>
      <c r="L1461" s="118"/>
      <c r="M1461" s="118"/>
      <c r="N1461" s="117"/>
      <c r="O1461" s="117"/>
      <c r="P1461" s="117"/>
      <c r="Q1461" s="117"/>
      <c r="R1461" s="117"/>
      <c r="S1461" s="117"/>
      <c r="T1461" s="117"/>
      <c r="U1461" s="117"/>
      <c r="V1461" s="117"/>
      <c r="W1461" s="117"/>
      <c r="X1461" s="117"/>
      <c r="Y1461" s="117"/>
      <c r="Z1461" s="117"/>
      <c r="AA1461" s="117"/>
      <c r="AB1461" s="117"/>
      <c r="AC1461" s="117"/>
      <c r="AD1461" s="117"/>
      <c r="AE1461" s="117"/>
      <c r="AF1461" s="117"/>
      <c r="AG1461" s="117"/>
      <c r="AH1461" s="117"/>
      <c r="AI1461" s="117"/>
      <c r="AJ1461" s="117"/>
      <c r="AK1461" s="117"/>
      <c r="AL1461" s="117"/>
      <c r="AM1461" s="117"/>
      <c r="AN1461" s="117"/>
      <c r="AO1461" s="117"/>
      <c r="AP1461" s="117"/>
      <c r="AQ1461" s="117"/>
      <c r="AR1461" s="117"/>
      <c r="AS1461" s="117"/>
      <c r="AT1461" s="117"/>
      <c r="AU1461" s="117"/>
      <c r="AV1461" s="117"/>
      <c r="AW1461" s="117"/>
      <c r="AX1461" s="117"/>
      <c r="AY1461" s="117"/>
      <c r="AZ1461" s="117"/>
      <c r="BA1461" s="117"/>
      <c r="BB1461" s="117"/>
      <c r="BC1461" s="117"/>
      <c r="BD1461" s="117"/>
      <c r="BE1461" s="117"/>
      <c r="BF1461" s="117"/>
      <c r="BG1461" s="117"/>
    </row>
    <row r="1462" spans="1:59">
      <c r="A1462" s="117"/>
      <c r="B1462" s="117"/>
      <c r="C1462" s="117"/>
      <c r="D1462" s="117"/>
      <c r="E1462" s="117"/>
      <c r="F1462" s="117"/>
      <c r="G1462" s="117"/>
      <c r="H1462" s="117"/>
      <c r="I1462" s="117"/>
      <c r="J1462" s="118"/>
      <c r="K1462" s="118"/>
      <c r="L1462" s="118"/>
      <c r="M1462" s="118"/>
      <c r="N1462" s="117"/>
      <c r="O1462" s="117"/>
      <c r="P1462" s="117"/>
      <c r="Q1462" s="117"/>
      <c r="R1462" s="117"/>
      <c r="S1462" s="117"/>
      <c r="T1462" s="117"/>
      <c r="U1462" s="117"/>
      <c r="V1462" s="117"/>
      <c r="W1462" s="117"/>
      <c r="X1462" s="117"/>
      <c r="Y1462" s="117"/>
      <c r="Z1462" s="117"/>
      <c r="AA1462" s="117"/>
      <c r="AB1462" s="117"/>
      <c r="AC1462" s="117"/>
      <c r="AD1462" s="117"/>
      <c r="AE1462" s="117"/>
      <c r="AF1462" s="117"/>
      <c r="AG1462" s="117"/>
      <c r="AH1462" s="117"/>
      <c r="AI1462" s="117"/>
      <c r="AJ1462" s="117"/>
      <c r="AK1462" s="117"/>
      <c r="AL1462" s="117"/>
      <c r="AM1462" s="117"/>
      <c r="AN1462" s="117"/>
      <c r="AO1462" s="117"/>
      <c r="AP1462" s="117"/>
      <c r="AQ1462" s="117"/>
      <c r="AR1462" s="117"/>
      <c r="AS1462" s="117"/>
      <c r="AT1462" s="117"/>
      <c r="AU1462" s="117"/>
      <c r="AV1462" s="117"/>
      <c r="AW1462" s="117"/>
      <c r="AX1462" s="117"/>
      <c r="AY1462" s="117"/>
      <c r="AZ1462" s="117"/>
      <c r="BA1462" s="117"/>
      <c r="BB1462" s="117"/>
      <c r="BC1462" s="117"/>
      <c r="BD1462" s="117"/>
      <c r="BE1462" s="117"/>
      <c r="BF1462" s="117"/>
      <c r="BG1462" s="117"/>
    </row>
    <row r="1463" spans="1:59">
      <c r="A1463" s="117"/>
      <c r="B1463" s="117"/>
      <c r="C1463" s="117"/>
      <c r="D1463" s="117"/>
      <c r="E1463" s="117"/>
      <c r="F1463" s="117"/>
      <c r="G1463" s="117"/>
      <c r="H1463" s="117"/>
      <c r="I1463" s="117"/>
      <c r="J1463" s="118"/>
      <c r="K1463" s="118"/>
      <c r="L1463" s="118"/>
      <c r="M1463" s="118"/>
      <c r="N1463" s="117"/>
      <c r="O1463" s="117"/>
      <c r="P1463" s="117"/>
      <c r="Q1463" s="117"/>
      <c r="R1463" s="117"/>
      <c r="S1463" s="117"/>
      <c r="T1463" s="117"/>
      <c r="U1463" s="117"/>
      <c r="V1463" s="117"/>
      <c r="W1463" s="117"/>
      <c r="X1463" s="117"/>
      <c r="Y1463" s="117"/>
      <c r="Z1463" s="117"/>
      <c r="AA1463" s="117"/>
      <c r="AB1463" s="117"/>
      <c r="AC1463" s="117"/>
      <c r="AD1463" s="117"/>
      <c r="AE1463" s="117"/>
      <c r="AF1463" s="117"/>
      <c r="AG1463" s="117"/>
      <c r="AH1463" s="117"/>
      <c r="AI1463" s="117"/>
      <c r="AJ1463" s="117"/>
      <c r="AK1463" s="117"/>
      <c r="AL1463" s="117"/>
      <c r="AM1463" s="117"/>
      <c r="AN1463" s="117"/>
      <c r="AO1463" s="117"/>
      <c r="AP1463" s="117"/>
      <c r="AQ1463" s="117"/>
      <c r="AR1463" s="117"/>
      <c r="AS1463" s="117"/>
      <c r="AT1463" s="117"/>
      <c r="AU1463" s="117"/>
      <c r="AV1463" s="117"/>
      <c r="AW1463" s="117"/>
      <c r="AX1463" s="117"/>
      <c r="AY1463" s="117"/>
      <c r="AZ1463" s="117"/>
      <c r="BA1463" s="117"/>
      <c r="BB1463" s="117"/>
      <c r="BC1463" s="117"/>
      <c r="BD1463" s="117"/>
      <c r="BE1463" s="117"/>
      <c r="BF1463" s="117"/>
      <c r="BG1463" s="117"/>
    </row>
    <row r="1464" spans="1:59">
      <c r="A1464" s="117"/>
      <c r="B1464" s="117"/>
      <c r="C1464" s="117"/>
      <c r="D1464" s="117"/>
      <c r="E1464" s="117"/>
      <c r="F1464" s="117"/>
      <c r="G1464" s="117"/>
      <c r="H1464" s="117"/>
      <c r="I1464" s="117"/>
      <c r="J1464" s="118"/>
      <c r="K1464" s="118"/>
      <c r="L1464" s="118"/>
      <c r="M1464" s="118"/>
      <c r="N1464" s="117"/>
      <c r="O1464" s="117"/>
      <c r="P1464" s="117"/>
      <c r="Q1464" s="117"/>
      <c r="R1464" s="117"/>
      <c r="S1464" s="117"/>
      <c r="T1464" s="117"/>
      <c r="U1464" s="117"/>
      <c r="V1464" s="117"/>
      <c r="W1464" s="117"/>
      <c r="X1464" s="117"/>
      <c r="Y1464" s="117"/>
      <c r="Z1464" s="117"/>
      <c r="AA1464" s="117"/>
      <c r="AB1464" s="117"/>
      <c r="AC1464" s="117"/>
      <c r="AD1464" s="117"/>
      <c r="AE1464" s="117"/>
      <c r="AF1464" s="117"/>
      <c r="AG1464" s="117"/>
      <c r="AH1464" s="117"/>
      <c r="AI1464" s="117"/>
      <c r="AJ1464" s="117"/>
      <c r="AK1464" s="117"/>
      <c r="AL1464" s="117"/>
      <c r="AM1464" s="117"/>
      <c r="AN1464" s="117"/>
      <c r="AO1464" s="117"/>
      <c r="AP1464" s="117"/>
      <c r="AQ1464" s="117"/>
      <c r="AR1464" s="117"/>
      <c r="AS1464" s="117"/>
      <c r="AT1464" s="117"/>
      <c r="AU1464" s="117"/>
      <c r="AV1464" s="117"/>
      <c r="AW1464" s="117"/>
      <c r="AX1464" s="117"/>
      <c r="AY1464" s="117"/>
      <c r="AZ1464" s="117"/>
      <c r="BA1464" s="117"/>
      <c r="BB1464" s="117"/>
      <c r="BC1464" s="117"/>
      <c r="BD1464" s="117"/>
      <c r="BE1464" s="117"/>
      <c r="BF1464" s="117"/>
      <c r="BG1464" s="117"/>
    </row>
    <row r="1465" spans="1:59">
      <c r="A1465" s="117"/>
      <c r="B1465" s="117"/>
      <c r="C1465" s="117"/>
      <c r="D1465" s="117"/>
      <c r="E1465" s="117"/>
      <c r="F1465" s="117"/>
      <c r="G1465" s="117"/>
      <c r="H1465" s="117"/>
      <c r="I1465" s="117"/>
      <c r="J1465" s="118"/>
      <c r="K1465" s="118"/>
      <c r="L1465" s="118"/>
      <c r="M1465" s="118"/>
      <c r="N1465" s="117"/>
      <c r="O1465" s="117"/>
      <c r="P1465" s="117"/>
      <c r="Q1465" s="117"/>
      <c r="R1465" s="117"/>
      <c r="S1465" s="117"/>
      <c r="T1465" s="117"/>
      <c r="U1465" s="117"/>
      <c r="V1465" s="117"/>
      <c r="W1465" s="117"/>
      <c r="X1465" s="117"/>
      <c r="Y1465" s="117"/>
      <c r="Z1465" s="117"/>
      <c r="AA1465" s="117"/>
      <c r="AB1465" s="117"/>
      <c r="AC1465" s="117"/>
      <c r="AD1465" s="117"/>
      <c r="AE1465" s="117"/>
      <c r="AF1465" s="117"/>
      <c r="AG1465" s="117"/>
      <c r="AH1465" s="117"/>
      <c r="AI1465" s="117"/>
      <c r="AJ1465" s="117"/>
      <c r="AK1465" s="117"/>
      <c r="AL1465" s="117"/>
      <c r="AM1465" s="117"/>
      <c r="AN1465" s="117"/>
      <c r="AO1465" s="117"/>
      <c r="AP1465" s="117"/>
      <c r="AQ1465" s="117"/>
      <c r="AR1465" s="117"/>
      <c r="AS1465" s="117"/>
      <c r="AT1465" s="117"/>
      <c r="AU1465" s="117"/>
      <c r="AV1465" s="117"/>
      <c r="AW1465" s="117"/>
      <c r="AX1465" s="117"/>
      <c r="AY1465" s="117"/>
      <c r="AZ1465" s="117"/>
      <c r="BA1465" s="117"/>
      <c r="BB1465" s="117"/>
      <c r="BC1465" s="117"/>
      <c r="BD1465" s="117"/>
      <c r="BE1465" s="117"/>
      <c r="BF1465" s="117"/>
      <c r="BG1465" s="117"/>
    </row>
    <row r="1466" spans="1:59">
      <c r="A1466" s="117"/>
      <c r="B1466" s="117"/>
      <c r="C1466" s="117"/>
      <c r="D1466" s="117"/>
      <c r="E1466" s="117"/>
      <c r="F1466" s="117"/>
      <c r="G1466" s="117"/>
      <c r="H1466" s="117"/>
      <c r="I1466" s="117"/>
      <c r="J1466" s="118"/>
      <c r="K1466" s="118"/>
      <c r="L1466" s="118"/>
      <c r="M1466" s="118"/>
      <c r="N1466" s="117"/>
      <c r="O1466" s="117"/>
      <c r="P1466" s="117"/>
      <c r="Q1466" s="117"/>
      <c r="R1466" s="117"/>
      <c r="S1466" s="117"/>
      <c r="T1466" s="117"/>
      <c r="U1466" s="117"/>
      <c r="V1466" s="117"/>
      <c r="W1466" s="117"/>
      <c r="X1466" s="117"/>
      <c r="Y1466" s="117"/>
      <c r="Z1466" s="117"/>
      <c r="AA1466" s="117"/>
      <c r="AB1466" s="117"/>
      <c r="AC1466" s="117"/>
      <c r="AD1466" s="117"/>
      <c r="AE1466" s="117"/>
      <c r="AF1466" s="117"/>
      <c r="AG1466" s="117"/>
      <c r="AH1466" s="117"/>
      <c r="AI1466" s="117"/>
      <c r="AJ1466" s="117"/>
      <c r="AK1466" s="117"/>
      <c r="AL1466" s="117"/>
      <c r="AM1466" s="117"/>
      <c r="AN1466" s="117"/>
      <c r="AO1466" s="117"/>
      <c r="AP1466" s="117"/>
      <c r="AQ1466" s="117"/>
      <c r="AR1466" s="117"/>
      <c r="AS1466" s="117"/>
      <c r="AT1466" s="117"/>
      <c r="AU1466" s="117"/>
      <c r="AV1466" s="117"/>
      <c r="AW1466" s="117"/>
      <c r="AX1466" s="117"/>
      <c r="AY1466" s="117"/>
      <c r="AZ1466" s="117"/>
      <c r="BA1466" s="117"/>
      <c r="BB1466" s="117"/>
      <c r="BC1466" s="117"/>
      <c r="BD1466" s="117"/>
      <c r="BE1466" s="117"/>
      <c r="BF1466" s="117"/>
      <c r="BG1466" s="117"/>
    </row>
    <row r="1467" spans="1:59">
      <c r="A1467" s="117"/>
      <c r="B1467" s="117"/>
      <c r="C1467" s="117"/>
      <c r="D1467" s="117"/>
      <c r="E1467" s="117"/>
      <c r="F1467" s="117"/>
      <c r="G1467" s="117"/>
      <c r="H1467" s="117"/>
      <c r="I1467" s="117"/>
      <c r="J1467" s="118"/>
      <c r="K1467" s="118"/>
      <c r="L1467" s="118"/>
      <c r="M1467" s="118"/>
      <c r="N1467" s="117"/>
      <c r="O1467" s="117"/>
      <c r="P1467" s="117"/>
      <c r="Q1467" s="117"/>
      <c r="R1467" s="117"/>
      <c r="S1467" s="117"/>
      <c r="T1467" s="117"/>
      <c r="U1467" s="117"/>
      <c r="V1467" s="117"/>
      <c r="W1467" s="117"/>
      <c r="X1467" s="117"/>
      <c r="Y1467" s="117"/>
      <c r="Z1467" s="117"/>
      <c r="AA1467" s="117"/>
      <c r="AB1467" s="117"/>
      <c r="AC1467" s="117"/>
      <c r="AD1467" s="117"/>
      <c r="AE1467" s="117"/>
      <c r="AF1467" s="117"/>
      <c r="AG1467" s="117"/>
      <c r="AH1467" s="117"/>
      <c r="AI1467" s="117"/>
      <c r="AJ1467" s="117"/>
      <c r="AK1467" s="117"/>
      <c r="AL1467" s="117"/>
      <c r="AM1467" s="117"/>
      <c r="AN1467" s="117"/>
      <c r="AO1467" s="117"/>
      <c r="AP1467" s="117"/>
      <c r="AQ1467" s="117"/>
      <c r="AR1467" s="117"/>
      <c r="AS1467" s="117"/>
      <c r="AT1467" s="117"/>
      <c r="AU1467" s="117"/>
      <c r="AV1467" s="117"/>
      <c r="AW1467" s="117"/>
      <c r="AX1467" s="117"/>
      <c r="AY1467" s="117"/>
      <c r="AZ1467" s="117"/>
      <c r="BA1467" s="117"/>
      <c r="BB1467" s="117"/>
      <c r="BC1467" s="117"/>
      <c r="BD1467" s="117"/>
      <c r="BE1467" s="117"/>
      <c r="BF1467" s="117"/>
      <c r="BG1467" s="117"/>
    </row>
    <row r="1468" spans="1:59">
      <c r="A1468" s="117"/>
      <c r="B1468" s="117"/>
      <c r="C1468" s="117"/>
      <c r="D1468" s="117"/>
      <c r="E1468" s="117"/>
      <c r="F1468" s="117"/>
      <c r="G1468" s="117"/>
      <c r="H1468" s="117"/>
      <c r="I1468" s="117"/>
      <c r="J1468" s="118"/>
      <c r="K1468" s="118"/>
      <c r="L1468" s="118"/>
      <c r="M1468" s="118"/>
      <c r="N1468" s="117"/>
      <c r="O1468" s="117"/>
      <c r="P1468" s="117"/>
      <c r="Q1468" s="117"/>
      <c r="R1468" s="117"/>
      <c r="S1468" s="117"/>
      <c r="T1468" s="117"/>
      <c r="U1468" s="117"/>
      <c r="V1468" s="117"/>
      <c r="W1468" s="117"/>
      <c r="X1468" s="117"/>
      <c r="Y1468" s="117"/>
      <c r="Z1468" s="117"/>
      <c r="AA1468" s="117"/>
      <c r="AB1468" s="117"/>
      <c r="AC1468" s="117"/>
      <c r="AD1468" s="117"/>
      <c r="AE1468" s="117"/>
      <c r="AF1468" s="117"/>
      <c r="AG1468" s="117"/>
      <c r="AH1468" s="117"/>
      <c r="AI1468" s="117"/>
      <c r="AJ1468" s="117"/>
      <c r="AK1468" s="117"/>
      <c r="AL1468" s="117"/>
      <c r="AM1468" s="117"/>
      <c r="AN1468" s="117"/>
      <c r="AO1468" s="117"/>
      <c r="AP1468" s="117"/>
      <c r="AQ1468" s="117"/>
      <c r="AR1468" s="117"/>
      <c r="AS1468" s="117"/>
      <c r="AT1468" s="117"/>
      <c r="AU1468" s="117"/>
      <c r="AV1468" s="117"/>
      <c r="AW1468" s="117"/>
      <c r="AX1468" s="117"/>
      <c r="AY1468" s="117"/>
      <c r="AZ1468" s="117"/>
      <c r="BA1468" s="117"/>
      <c r="BB1468" s="117"/>
      <c r="BC1468" s="117"/>
      <c r="BD1468" s="117"/>
      <c r="BE1468" s="117"/>
      <c r="BF1468" s="117"/>
      <c r="BG1468" s="117"/>
    </row>
    <row r="1469" spans="1:59">
      <c r="A1469" s="117"/>
      <c r="B1469" s="117"/>
      <c r="C1469" s="117"/>
      <c r="D1469" s="117"/>
      <c r="E1469" s="117"/>
      <c r="F1469" s="117"/>
      <c r="G1469" s="117"/>
      <c r="H1469" s="117"/>
      <c r="I1469" s="117"/>
      <c r="J1469" s="118"/>
      <c r="K1469" s="118"/>
      <c r="L1469" s="118"/>
      <c r="M1469" s="118"/>
      <c r="N1469" s="117"/>
      <c r="O1469" s="117"/>
      <c r="P1469" s="117"/>
      <c r="Q1469" s="117"/>
      <c r="R1469" s="117"/>
      <c r="S1469" s="117"/>
      <c r="T1469" s="117"/>
      <c r="U1469" s="117"/>
      <c r="V1469" s="117"/>
      <c r="W1469" s="117"/>
      <c r="X1469" s="117"/>
      <c r="Y1469" s="117"/>
      <c r="Z1469" s="117"/>
      <c r="AA1469" s="117"/>
      <c r="AB1469" s="117"/>
      <c r="AC1469" s="117"/>
      <c r="AD1469" s="117"/>
      <c r="AE1469" s="117"/>
      <c r="AF1469" s="117"/>
      <c r="AG1469" s="117"/>
      <c r="AH1469" s="117"/>
      <c r="AI1469" s="117"/>
      <c r="AJ1469" s="117"/>
      <c r="AK1469" s="117"/>
      <c r="AL1469" s="117"/>
      <c r="AM1469" s="117"/>
      <c r="AN1469" s="117"/>
      <c r="AO1469" s="117"/>
      <c r="AP1469" s="117"/>
      <c r="AQ1469" s="117"/>
      <c r="AR1469" s="117"/>
      <c r="AS1469" s="117"/>
      <c r="AT1469" s="117"/>
      <c r="AU1469" s="117"/>
      <c r="AV1469" s="117"/>
      <c r="AW1469" s="117"/>
      <c r="AX1469" s="117"/>
      <c r="AY1469" s="117"/>
      <c r="AZ1469" s="117"/>
      <c r="BA1469" s="117"/>
      <c r="BB1469" s="117"/>
      <c r="BC1469" s="117"/>
      <c r="BD1469" s="117"/>
      <c r="BE1469" s="117"/>
      <c r="BF1469" s="117"/>
      <c r="BG1469" s="117"/>
    </row>
    <row r="1470" spans="1:59">
      <c r="A1470" s="117"/>
      <c r="B1470" s="117"/>
      <c r="C1470" s="117"/>
      <c r="D1470" s="117"/>
      <c r="E1470" s="117"/>
      <c r="F1470" s="117"/>
      <c r="G1470" s="117"/>
      <c r="H1470" s="117"/>
      <c r="I1470" s="117"/>
      <c r="J1470" s="118"/>
      <c r="K1470" s="118"/>
      <c r="L1470" s="118"/>
      <c r="M1470" s="118"/>
      <c r="N1470" s="117"/>
      <c r="O1470" s="117"/>
      <c r="P1470" s="117"/>
      <c r="Q1470" s="117"/>
      <c r="R1470" s="117"/>
      <c r="S1470" s="117"/>
      <c r="T1470" s="117"/>
      <c r="U1470" s="117"/>
      <c r="V1470" s="117"/>
      <c r="W1470" s="117"/>
      <c r="X1470" s="117"/>
      <c r="Y1470" s="117"/>
      <c r="Z1470" s="117"/>
      <c r="AA1470" s="117"/>
      <c r="AB1470" s="117"/>
      <c r="AC1470" s="117"/>
      <c r="AD1470" s="117"/>
      <c r="AE1470" s="117"/>
      <c r="AF1470" s="117"/>
      <c r="AG1470" s="117"/>
      <c r="AH1470" s="117"/>
      <c r="AI1470" s="117"/>
      <c r="AJ1470" s="117"/>
      <c r="AK1470" s="117"/>
      <c r="AL1470" s="117"/>
      <c r="AM1470" s="117"/>
      <c r="AN1470" s="117"/>
      <c r="AO1470" s="117"/>
      <c r="AP1470" s="117"/>
      <c r="AQ1470" s="117"/>
      <c r="AR1470" s="117"/>
      <c r="AS1470" s="117"/>
      <c r="AT1470" s="117"/>
      <c r="AU1470" s="117"/>
      <c r="AV1470" s="117"/>
      <c r="AW1470" s="117"/>
      <c r="AX1470" s="117"/>
      <c r="AY1470" s="117"/>
      <c r="AZ1470" s="117"/>
      <c r="BA1470" s="117"/>
      <c r="BB1470" s="117"/>
      <c r="BC1470" s="117"/>
      <c r="BD1470" s="117"/>
      <c r="BE1470" s="117"/>
      <c r="BF1470" s="117"/>
      <c r="BG1470" s="117"/>
    </row>
    <row r="1471" spans="1:59">
      <c r="A1471" s="117"/>
      <c r="B1471" s="117"/>
      <c r="C1471" s="117"/>
      <c r="D1471" s="117"/>
      <c r="E1471" s="117"/>
      <c r="F1471" s="117"/>
      <c r="G1471" s="117"/>
      <c r="H1471" s="117"/>
      <c r="I1471" s="117"/>
      <c r="J1471" s="118"/>
      <c r="K1471" s="118"/>
      <c r="L1471" s="118"/>
      <c r="M1471" s="118"/>
      <c r="N1471" s="117"/>
      <c r="O1471" s="117"/>
      <c r="P1471" s="117"/>
      <c r="Q1471" s="117"/>
      <c r="R1471" s="117"/>
      <c r="S1471" s="117"/>
      <c r="T1471" s="117"/>
      <c r="U1471" s="117"/>
      <c r="V1471" s="117"/>
      <c r="W1471" s="117"/>
      <c r="X1471" s="117"/>
      <c r="Y1471" s="117"/>
      <c r="Z1471" s="117"/>
      <c r="AA1471" s="117"/>
      <c r="AB1471" s="117"/>
      <c r="AC1471" s="117"/>
      <c r="AD1471" s="117"/>
      <c r="AE1471" s="117"/>
      <c r="AF1471" s="117"/>
      <c r="AG1471" s="117"/>
      <c r="AH1471" s="117"/>
      <c r="AI1471" s="117"/>
      <c r="AJ1471" s="117"/>
      <c r="AK1471" s="117"/>
      <c r="AL1471" s="117"/>
      <c r="AM1471" s="117"/>
      <c r="AN1471" s="117"/>
      <c r="AO1471" s="117"/>
      <c r="AP1471" s="117"/>
      <c r="AQ1471" s="117"/>
      <c r="AR1471" s="117"/>
      <c r="AS1471" s="117"/>
      <c r="AT1471" s="117"/>
      <c r="AU1471" s="117"/>
      <c r="AV1471" s="117"/>
      <c r="AW1471" s="117"/>
      <c r="AX1471" s="117"/>
      <c r="AY1471" s="117"/>
      <c r="AZ1471" s="117"/>
      <c r="BA1471" s="117"/>
      <c r="BB1471" s="117"/>
      <c r="BC1471" s="117"/>
      <c r="BD1471" s="117"/>
      <c r="BE1471" s="117"/>
      <c r="BF1471" s="117"/>
      <c r="BG1471" s="117"/>
    </row>
    <row r="1472" spans="1:59">
      <c r="A1472" s="117"/>
      <c r="B1472" s="117"/>
      <c r="C1472" s="117"/>
      <c r="D1472" s="117"/>
      <c r="E1472" s="117"/>
      <c r="F1472" s="117"/>
      <c r="G1472" s="117"/>
      <c r="H1472" s="117"/>
      <c r="I1472" s="117"/>
      <c r="J1472" s="118"/>
      <c r="K1472" s="118"/>
      <c r="L1472" s="118"/>
      <c r="M1472" s="118"/>
      <c r="N1472" s="117"/>
      <c r="O1472" s="117"/>
      <c r="P1472" s="117"/>
      <c r="Q1472" s="117"/>
      <c r="R1472" s="117"/>
      <c r="S1472" s="117"/>
      <c r="T1472" s="117"/>
      <c r="U1472" s="117"/>
      <c r="V1472" s="117"/>
      <c r="W1472" s="117"/>
      <c r="X1472" s="117"/>
      <c r="Y1472" s="117"/>
      <c r="Z1472" s="117"/>
      <c r="AA1472" s="117"/>
      <c r="AB1472" s="117"/>
      <c r="AC1472" s="117"/>
      <c r="AD1472" s="117"/>
      <c r="AE1472" s="117"/>
      <c r="AF1472" s="117"/>
      <c r="AG1472" s="117"/>
      <c r="AH1472" s="117"/>
      <c r="AI1472" s="117"/>
      <c r="AJ1472" s="117"/>
      <c r="AK1472" s="117"/>
      <c r="AL1472" s="117"/>
      <c r="AM1472" s="117"/>
      <c r="AN1472" s="117"/>
      <c r="AO1472" s="117"/>
      <c r="AP1472" s="117"/>
      <c r="AQ1472" s="117"/>
      <c r="AR1472" s="117"/>
      <c r="AS1472" s="117"/>
      <c r="AT1472" s="117"/>
      <c r="AU1472" s="117"/>
      <c r="AV1472" s="117"/>
      <c r="AW1472" s="117"/>
      <c r="AX1472" s="117"/>
      <c r="AY1472" s="117"/>
      <c r="AZ1472" s="117"/>
      <c r="BA1472" s="117"/>
      <c r="BB1472" s="117"/>
      <c r="BC1472" s="117"/>
      <c r="BD1472" s="117"/>
      <c r="BE1472" s="117"/>
      <c r="BF1472" s="117"/>
      <c r="BG1472" s="117"/>
    </row>
    <row r="1473" spans="1:59">
      <c r="A1473" s="117"/>
      <c r="B1473" s="117"/>
      <c r="C1473" s="117"/>
      <c r="D1473" s="117"/>
      <c r="E1473" s="117"/>
      <c r="F1473" s="117"/>
      <c r="G1473" s="117"/>
      <c r="H1473" s="117"/>
      <c r="I1473" s="117"/>
      <c r="J1473" s="118"/>
      <c r="K1473" s="118"/>
      <c r="L1473" s="118"/>
      <c r="M1473" s="118"/>
      <c r="N1473" s="117"/>
      <c r="O1473" s="117"/>
      <c r="P1473" s="117"/>
      <c r="Q1473" s="117"/>
      <c r="R1473" s="117"/>
      <c r="S1473" s="117"/>
      <c r="T1473" s="117"/>
      <c r="U1473" s="117"/>
      <c r="V1473" s="117"/>
      <c r="W1473" s="117"/>
      <c r="X1473" s="117"/>
      <c r="Y1473" s="117"/>
      <c r="Z1473" s="117"/>
      <c r="AA1473" s="117"/>
      <c r="AB1473" s="117"/>
      <c r="AC1473" s="117"/>
      <c r="AD1473" s="117"/>
      <c r="AE1473" s="117"/>
      <c r="AF1473" s="117"/>
      <c r="AG1473" s="117"/>
      <c r="AH1473" s="117"/>
      <c r="AI1473" s="117"/>
      <c r="AJ1473" s="117"/>
      <c r="AK1473" s="117"/>
      <c r="AL1473" s="117"/>
      <c r="AM1473" s="117"/>
      <c r="AN1473" s="117"/>
      <c r="AO1473" s="117"/>
      <c r="AP1473" s="117"/>
      <c r="AQ1473" s="117"/>
      <c r="AR1473" s="117"/>
      <c r="AS1473" s="117"/>
      <c r="AT1473" s="117"/>
      <c r="AU1473" s="117"/>
      <c r="AV1473" s="117"/>
      <c r="AW1473" s="117"/>
      <c r="AX1473" s="117"/>
      <c r="AY1473" s="117"/>
      <c r="AZ1473" s="117"/>
      <c r="BA1473" s="117"/>
      <c r="BB1473" s="117"/>
      <c r="BC1473" s="117"/>
      <c r="BD1473" s="117"/>
      <c r="BE1473" s="117"/>
      <c r="BF1473" s="117"/>
      <c r="BG1473" s="117"/>
    </row>
    <row r="1474" spans="1:59">
      <c r="A1474" s="117"/>
      <c r="B1474" s="117"/>
      <c r="C1474" s="117"/>
      <c r="D1474" s="117"/>
      <c r="E1474" s="117"/>
      <c r="F1474" s="117"/>
      <c r="G1474" s="117"/>
      <c r="H1474" s="117"/>
      <c r="I1474" s="117"/>
      <c r="J1474" s="118"/>
      <c r="K1474" s="118"/>
      <c r="L1474" s="118"/>
      <c r="M1474" s="118"/>
      <c r="N1474" s="117"/>
      <c r="O1474" s="117"/>
      <c r="P1474" s="117"/>
      <c r="Q1474" s="117"/>
      <c r="R1474" s="117"/>
      <c r="S1474" s="117"/>
      <c r="T1474" s="117"/>
      <c r="U1474" s="117"/>
      <c r="V1474" s="117"/>
      <c r="W1474" s="117"/>
      <c r="X1474" s="117"/>
      <c r="Y1474" s="117"/>
      <c r="Z1474" s="117"/>
      <c r="AA1474" s="117"/>
      <c r="AB1474" s="117"/>
      <c r="AC1474" s="117"/>
      <c r="AD1474" s="117"/>
      <c r="AE1474" s="117"/>
      <c r="AF1474" s="117"/>
      <c r="AG1474" s="117"/>
      <c r="AH1474" s="117"/>
      <c r="AI1474" s="117"/>
      <c r="AJ1474" s="117"/>
      <c r="AK1474" s="117"/>
      <c r="AL1474" s="117"/>
      <c r="AM1474" s="117"/>
      <c r="AN1474" s="117"/>
      <c r="AO1474" s="117"/>
      <c r="AP1474" s="117"/>
      <c r="AQ1474" s="117"/>
      <c r="AR1474" s="117"/>
      <c r="AS1474" s="117"/>
      <c r="AT1474" s="117"/>
      <c r="AU1474" s="117"/>
      <c r="AV1474" s="117"/>
      <c r="AW1474" s="117"/>
      <c r="AX1474" s="117"/>
      <c r="AY1474" s="117"/>
      <c r="AZ1474" s="117"/>
      <c r="BA1474" s="117"/>
      <c r="BB1474" s="117"/>
      <c r="BC1474" s="117"/>
      <c r="BD1474" s="117"/>
      <c r="BE1474" s="117"/>
      <c r="BF1474" s="117"/>
      <c r="BG1474" s="117"/>
    </row>
    <row r="1475" spans="1:59">
      <c r="A1475" s="117"/>
      <c r="B1475" s="117"/>
      <c r="C1475" s="117"/>
      <c r="D1475" s="117"/>
      <c r="E1475" s="117"/>
      <c r="F1475" s="117"/>
      <c r="G1475" s="117"/>
      <c r="H1475" s="117"/>
      <c r="I1475" s="117"/>
      <c r="J1475" s="118"/>
      <c r="K1475" s="118"/>
      <c r="L1475" s="118"/>
      <c r="M1475" s="118"/>
      <c r="N1475" s="117"/>
      <c r="O1475" s="117"/>
      <c r="P1475" s="117"/>
      <c r="Q1475" s="117"/>
      <c r="R1475" s="117"/>
      <c r="S1475" s="117"/>
      <c r="T1475" s="117"/>
      <c r="U1475" s="117"/>
      <c r="V1475" s="117"/>
      <c r="W1475" s="117"/>
      <c r="X1475" s="117"/>
      <c r="Y1475" s="117"/>
      <c r="Z1475" s="117"/>
      <c r="AA1475" s="117"/>
      <c r="AB1475" s="117"/>
      <c r="AC1475" s="117"/>
      <c r="AD1475" s="117"/>
      <c r="AE1475" s="117"/>
      <c r="AF1475" s="117"/>
      <c r="AG1475" s="117"/>
      <c r="AH1475" s="117"/>
      <c r="AI1475" s="117"/>
      <c r="AJ1475" s="117"/>
      <c r="AK1475" s="117"/>
      <c r="AL1475" s="117"/>
      <c r="AM1475" s="117"/>
      <c r="AN1475" s="117"/>
      <c r="AO1475" s="117"/>
      <c r="AP1475" s="117"/>
      <c r="AQ1475" s="117"/>
      <c r="AR1475" s="117"/>
      <c r="AS1475" s="117"/>
      <c r="AT1475" s="117"/>
      <c r="AU1475" s="117"/>
      <c r="AV1475" s="117"/>
      <c r="AW1475" s="117"/>
      <c r="AX1475" s="117"/>
      <c r="AY1475" s="117"/>
      <c r="AZ1475" s="117"/>
      <c r="BA1475" s="117"/>
      <c r="BB1475" s="117"/>
      <c r="BC1475" s="117"/>
      <c r="BD1475" s="117"/>
      <c r="BE1475" s="117"/>
      <c r="BF1475" s="117"/>
      <c r="BG1475" s="117"/>
    </row>
    <row r="1476" spans="1:59">
      <c r="A1476" s="117"/>
      <c r="B1476" s="117"/>
      <c r="C1476" s="117"/>
      <c r="D1476" s="117"/>
      <c r="E1476" s="117"/>
      <c r="F1476" s="117"/>
      <c r="G1476" s="117"/>
      <c r="H1476" s="117"/>
      <c r="I1476" s="117"/>
      <c r="J1476" s="118"/>
      <c r="K1476" s="118"/>
      <c r="L1476" s="118"/>
      <c r="M1476" s="118"/>
      <c r="N1476" s="117"/>
      <c r="O1476" s="117"/>
      <c r="P1476" s="117"/>
      <c r="Q1476" s="117"/>
      <c r="R1476" s="117"/>
      <c r="S1476" s="117"/>
      <c r="T1476" s="117"/>
      <c r="U1476" s="117"/>
      <c r="V1476" s="117"/>
      <c r="W1476" s="117"/>
      <c r="X1476" s="117"/>
      <c r="Y1476" s="117"/>
      <c r="Z1476" s="117"/>
      <c r="AA1476" s="117"/>
      <c r="AB1476" s="117"/>
      <c r="AC1476" s="117"/>
      <c r="AD1476" s="117"/>
      <c r="AE1476" s="117"/>
      <c r="AF1476" s="117"/>
      <c r="AG1476" s="117"/>
      <c r="AH1476" s="117"/>
      <c r="AI1476" s="117"/>
      <c r="AJ1476" s="117"/>
      <c r="AK1476" s="117"/>
      <c r="AL1476" s="117"/>
      <c r="AM1476" s="117"/>
      <c r="AN1476" s="117"/>
      <c r="AO1476" s="117"/>
      <c r="AP1476" s="117"/>
      <c r="AQ1476" s="117"/>
      <c r="AR1476" s="117"/>
      <c r="AS1476" s="117"/>
      <c r="AT1476" s="117"/>
      <c r="AU1476" s="117"/>
      <c r="AV1476" s="117"/>
      <c r="AW1476" s="117"/>
      <c r="AX1476" s="117"/>
      <c r="AY1476" s="117"/>
      <c r="AZ1476" s="117"/>
      <c r="BA1476" s="117"/>
      <c r="BB1476" s="117"/>
      <c r="BC1476" s="117"/>
      <c r="BD1476" s="117"/>
      <c r="BE1476" s="117"/>
      <c r="BF1476" s="117"/>
      <c r="BG1476" s="117"/>
    </row>
    <row r="1477" spans="1:59">
      <c r="A1477" s="117"/>
      <c r="B1477" s="117"/>
      <c r="C1477" s="117"/>
      <c r="D1477" s="117"/>
      <c r="E1477" s="117"/>
      <c r="F1477" s="117"/>
      <c r="G1477" s="117"/>
      <c r="H1477" s="117"/>
      <c r="I1477" s="117"/>
      <c r="J1477" s="118"/>
      <c r="K1477" s="118"/>
      <c r="L1477" s="118"/>
      <c r="M1477" s="118"/>
      <c r="N1477" s="117"/>
      <c r="O1477" s="117"/>
      <c r="P1477" s="117"/>
      <c r="Q1477" s="117"/>
      <c r="R1477" s="117"/>
      <c r="S1477" s="117"/>
      <c r="T1477" s="117"/>
      <c r="U1477" s="117"/>
      <c r="V1477" s="117"/>
      <c r="W1477" s="117"/>
      <c r="X1477" s="117"/>
      <c r="Y1477" s="117"/>
      <c r="Z1477" s="117"/>
      <c r="AA1477" s="117"/>
      <c r="AB1477" s="117"/>
      <c r="AC1477" s="117"/>
      <c r="AD1477" s="117"/>
      <c r="AE1477" s="117"/>
      <c r="AF1477" s="117"/>
      <c r="AG1477" s="117"/>
      <c r="AH1477" s="117"/>
      <c r="AI1477" s="117"/>
      <c r="AJ1477" s="117"/>
      <c r="AK1477" s="117"/>
      <c r="AL1477" s="117"/>
      <c r="AM1477" s="117"/>
      <c r="AN1477" s="117"/>
      <c r="AO1477" s="117"/>
      <c r="AP1477" s="117"/>
      <c r="AQ1477" s="117"/>
      <c r="AR1477" s="117"/>
      <c r="AS1477" s="117"/>
      <c r="AT1477" s="117"/>
      <c r="AU1477" s="117"/>
      <c r="AV1477" s="117"/>
      <c r="AW1477" s="117"/>
      <c r="AX1477" s="117"/>
      <c r="AY1477" s="117"/>
      <c r="AZ1477" s="117"/>
      <c r="BA1477" s="117"/>
      <c r="BB1477" s="117"/>
      <c r="BC1477" s="117"/>
      <c r="BD1477" s="117"/>
      <c r="BE1477" s="117"/>
      <c r="BF1477" s="117"/>
      <c r="BG1477" s="117"/>
    </row>
    <row r="1478" spans="1:59">
      <c r="A1478" s="117"/>
      <c r="B1478" s="117"/>
      <c r="C1478" s="117"/>
      <c r="D1478" s="117"/>
      <c r="E1478" s="117"/>
      <c r="F1478" s="117"/>
      <c r="G1478" s="117"/>
      <c r="H1478" s="117"/>
      <c r="I1478" s="117"/>
      <c r="J1478" s="118"/>
      <c r="K1478" s="118"/>
      <c r="L1478" s="118"/>
      <c r="M1478" s="118"/>
      <c r="N1478" s="117"/>
      <c r="O1478" s="117"/>
      <c r="P1478" s="117"/>
      <c r="Q1478" s="117"/>
      <c r="R1478" s="117"/>
      <c r="S1478" s="117"/>
      <c r="T1478" s="117"/>
      <c r="U1478" s="117"/>
      <c r="V1478" s="117"/>
      <c r="W1478" s="117"/>
      <c r="X1478" s="117"/>
      <c r="Y1478" s="117"/>
      <c r="Z1478" s="117"/>
      <c r="AA1478" s="117"/>
      <c r="AB1478" s="117"/>
      <c r="AC1478" s="117"/>
      <c r="AD1478" s="117"/>
      <c r="AE1478" s="117"/>
      <c r="AF1478" s="117"/>
      <c r="AG1478" s="117"/>
      <c r="AH1478" s="117"/>
      <c r="AI1478" s="117"/>
      <c r="AJ1478" s="117"/>
      <c r="AK1478" s="117"/>
      <c r="AL1478" s="117"/>
      <c r="AM1478" s="117"/>
      <c r="AN1478" s="117"/>
      <c r="AO1478" s="117"/>
      <c r="AP1478" s="117"/>
      <c r="AQ1478" s="117"/>
      <c r="AR1478" s="117"/>
      <c r="AS1478" s="117"/>
      <c r="AT1478" s="117"/>
      <c r="AU1478" s="117"/>
      <c r="AV1478" s="117"/>
      <c r="AW1478" s="117"/>
      <c r="AX1478" s="117"/>
      <c r="AY1478" s="117"/>
      <c r="AZ1478" s="117"/>
      <c r="BA1478" s="117"/>
      <c r="BB1478" s="117"/>
      <c r="BC1478" s="117"/>
      <c r="BD1478" s="117"/>
      <c r="BE1478" s="117"/>
      <c r="BF1478" s="117"/>
      <c r="BG1478" s="117"/>
    </row>
    <row r="1479" spans="1:59">
      <c r="A1479" s="117"/>
      <c r="B1479" s="117"/>
      <c r="C1479" s="117"/>
      <c r="D1479" s="117"/>
      <c r="E1479" s="117"/>
      <c r="F1479" s="117"/>
      <c r="G1479" s="117"/>
      <c r="H1479" s="117"/>
      <c r="I1479" s="117"/>
      <c r="J1479" s="118"/>
      <c r="K1479" s="118"/>
      <c r="L1479" s="118"/>
      <c r="M1479" s="118"/>
      <c r="N1479" s="117"/>
      <c r="O1479" s="117"/>
      <c r="P1479" s="117"/>
      <c r="Q1479" s="117"/>
      <c r="R1479" s="117"/>
      <c r="S1479" s="117"/>
      <c r="T1479" s="117"/>
      <c r="U1479" s="117"/>
      <c r="V1479" s="117"/>
      <c r="W1479" s="117"/>
      <c r="X1479" s="117"/>
      <c r="Y1479" s="117"/>
      <c r="Z1479" s="117"/>
      <c r="AA1479" s="117"/>
      <c r="AB1479" s="117"/>
      <c r="AC1479" s="117"/>
      <c r="AD1479" s="117"/>
      <c r="AE1479" s="117"/>
      <c r="AF1479" s="117"/>
      <c r="AG1479" s="117"/>
      <c r="AH1479" s="117"/>
      <c r="AI1479" s="117"/>
      <c r="AJ1479" s="117"/>
      <c r="AK1479" s="117"/>
      <c r="AL1479" s="117"/>
      <c r="AM1479" s="117"/>
      <c r="AN1479" s="117"/>
      <c r="AO1479" s="117"/>
      <c r="AP1479" s="117"/>
      <c r="AQ1479" s="117"/>
      <c r="AR1479" s="117"/>
      <c r="AS1479" s="117"/>
      <c r="AT1479" s="117"/>
      <c r="AU1479" s="117"/>
      <c r="AV1479" s="117"/>
      <c r="AW1479" s="117"/>
      <c r="AX1479" s="117"/>
      <c r="AY1479" s="117"/>
      <c r="AZ1479" s="117"/>
      <c r="BA1479" s="117"/>
      <c r="BB1479" s="117"/>
      <c r="BC1479" s="117"/>
      <c r="BD1479" s="117"/>
      <c r="BE1479" s="117"/>
      <c r="BF1479" s="117"/>
      <c r="BG1479" s="117"/>
    </row>
    <row r="1480" spans="1:59">
      <c r="A1480" s="117"/>
      <c r="B1480" s="117"/>
      <c r="C1480" s="117"/>
      <c r="D1480" s="117"/>
      <c r="E1480" s="117"/>
      <c r="F1480" s="117"/>
      <c r="G1480" s="117"/>
      <c r="H1480" s="117"/>
      <c r="I1480" s="117"/>
      <c r="J1480" s="118"/>
      <c r="K1480" s="118"/>
      <c r="L1480" s="118"/>
      <c r="M1480" s="118"/>
      <c r="N1480" s="117"/>
      <c r="O1480" s="117"/>
      <c r="P1480" s="117"/>
      <c r="Q1480" s="117"/>
      <c r="R1480" s="117"/>
      <c r="S1480" s="117"/>
      <c r="T1480" s="117"/>
      <c r="U1480" s="117"/>
      <c r="V1480" s="117"/>
      <c r="W1480" s="117"/>
      <c r="X1480" s="117"/>
      <c r="Y1480" s="117"/>
      <c r="Z1480" s="117"/>
      <c r="AA1480" s="117"/>
      <c r="AB1480" s="117"/>
      <c r="AC1480" s="117"/>
      <c r="AD1480" s="117"/>
      <c r="AE1480" s="117"/>
      <c r="AF1480" s="117"/>
      <c r="AG1480" s="117"/>
      <c r="AH1480" s="117"/>
      <c r="AI1480" s="117"/>
      <c r="AJ1480" s="117"/>
      <c r="AK1480" s="117"/>
      <c r="AL1480" s="117"/>
      <c r="AM1480" s="117"/>
      <c r="AN1480" s="117"/>
      <c r="AO1480" s="117"/>
      <c r="AP1480" s="117"/>
      <c r="AQ1480" s="117"/>
      <c r="AR1480" s="117"/>
      <c r="AS1480" s="117"/>
      <c r="AT1480" s="117"/>
      <c r="AU1480" s="117"/>
      <c r="AV1480" s="117"/>
      <c r="AW1480" s="117"/>
      <c r="AX1480" s="117"/>
      <c r="AY1480" s="117"/>
      <c r="AZ1480" s="117"/>
      <c r="BA1480" s="117"/>
      <c r="BB1480" s="117"/>
      <c r="BC1480" s="117"/>
      <c r="BD1480" s="117"/>
      <c r="BE1480" s="117"/>
      <c r="BF1480" s="117"/>
      <c r="BG1480" s="117"/>
    </row>
    <row r="1481" spans="1:59">
      <c r="A1481" s="117"/>
      <c r="B1481" s="117"/>
      <c r="C1481" s="117"/>
      <c r="D1481" s="117"/>
      <c r="E1481" s="117"/>
      <c r="F1481" s="117"/>
      <c r="G1481" s="117"/>
      <c r="H1481" s="117"/>
      <c r="I1481" s="117"/>
      <c r="J1481" s="118"/>
      <c r="K1481" s="118"/>
      <c r="L1481" s="118"/>
      <c r="M1481" s="118"/>
      <c r="N1481" s="117"/>
      <c r="O1481" s="117"/>
      <c r="P1481" s="117"/>
      <c r="Q1481" s="117"/>
      <c r="R1481" s="117"/>
      <c r="S1481" s="117"/>
      <c r="T1481" s="117"/>
      <c r="U1481" s="117"/>
      <c r="V1481" s="117"/>
      <c r="W1481" s="117"/>
      <c r="X1481" s="117"/>
      <c r="Y1481" s="117"/>
      <c r="Z1481" s="117"/>
      <c r="AA1481" s="117"/>
      <c r="AB1481" s="117"/>
      <c r="AC1481" s="117"/>
      <c r="AD1481" s="117"/>
      <c r="AE1481" s="117"/>
      <c r="AF1481" s="117"/>
      <c r="AG1481" s="117"/>
      <c r="AH1481" s="117"/>
      <c r="AI1481" s="117"/>
      <c r="AJ1481" s="117"/>
      <c r="AK1481" s="117"/>
      <c r="AL1481" s="117"/>
      <c r="AM1481" s="117"/>
      <c r="AN1481" s="117"/>
      <c r="AO1481" s="117"/>
      <c r="AP1481" s="117"/>
      <c r="AQ1481" s="117"/>
      <c r="AR1481" s="117"/>
      <c r="AS1481" s="117"/>
      <c r="AT1481" s="117"/>
      <c r="AU1481" s="117"/>
      <c r="AV1481" s="117"/>
      <c r="AW1481" s="117"/>
      <c r="AX1481" s="117"/>
      <c r="AY1481" s="117"/>
      <c r="AZ1481" s="117"/>
      <c r="BA1481" s="117"/>
      <c r="BB1481" s="117"/>
      <c r="BC1481" s="117"/>
      <c r="BD1481" s="117"/>
      <c r="BE1481" s="117"/>
      <c r="BF1481" s="117"/>
      <c r="BG1481" s="117"/>
    </row>
    <row r="1482" spans="1:59">
      <c r="A1482" s="117"/>
      <c r="B1482" s="117"/>
      <c r="C1482" s="117"/>
      <c r="D1482" s="117"/>
      <c r="E1482" s="117"/>
      <c r="F1482" s="117"/>
      <c r="G1482" s="117"/>
      <c r="H1482" s="117"/>
      <c r="I1482" s="117"/>
      <c r="J1482" s="118"/>
      <c r="K1482" s="118"/>
      <c r="L1482" s="118"/>
      <c r="M1482" s="118"/>
      <c r="N1482" s="117"/>
      <c r="O1482" s="117"/>
      <c r="P1482" s="117"/>
      <c r="Q1482" s="117"/>
      <c r="R1482" s="117"/>
      <c r="S1482" s="117"/>
      <c r="T1482" s="117"/>
      <c r="U1482" s="117"/>
      <c r="V1482" s="117"/>
      <c r="W1482" s="117"/>
      <c r="X1482" s="117"/>
      <c r="Y1482" s="117"/>
      <c r="Z1482" s="117"/>
      <c r="AA1482" s="117"/>
      <c r="AB1482" s="117"/>
      <c r="AC1482" s="117"/>
      <c r="AD1482" s="117"/>
      <c r="AE1482" s="117"/>
      <c r="AF1482" s="117"/>
      <c r="AG1482" s="117"/>
      <c r="AH1482" s="117"/>
      <c r="AI1482" s="117"/>
      <c r="AJ1482" s="117"/>
      <c r="AK1482" s="117"/>
      <c r="AL1482" s="117"/>
      <c r="AM1482" s="117"/>
      <c r="AN1482" s="117"/>
      <c r="AO1482" s="117"/>
      <c r="AP1482" s="117"/>
      <c r="AQ1482" s="117"/>
      <c r="AR1482" s="117"/>
      <c r="AS1482" s="117"/>
      <c r="AT1482" s="117"/>
      <c r="AU1482" s="117"/>
      <c r="AV1482" s="117"/>
      <c r="AW1482" s="117"/>
      <c r="AX1482" s="117"/>
      <c r="AY1482" s="117"/>
      <c r="AZ1482" s="117"/>
      <c r="BA1482" s="117"/>
      <c r="BB1482" s="117"/>
      <c r="BC1482" s="117"/>
      <c r="BD1482" s="117"/>
      <c r="BE1482" s="117"/>
      <c r="BF1482" s="117"/>
      <c r="BG1482" s="117"/>
    </row>
    <row r="1483" spans="1:59">
      <c r="A1483" s="117"/>
      <c r="B1483" s="117"/>
      <c r="C1483" s="117"/>
      <c r="D1483" s="117"/>
      <c r="E1483" s="117"/>
      <c r="F1483" s="117"/>
      <c r="G1483" s="117"/>
      <c r="H1483" s="117"/>
      <c r="I1483" s="117"/>
      <c r="J1483" s="118"/>
      <c r="K1483" s="118"/>
      <c r="L1483" s="118"/>
      <c r="M1483" s="118"/>
      <c r="N1483" s="117"/>
      <c r="O1483" s="117"/>
      <c r="P1483" s="117"/>
      <c r="Q1483" s="117"/>
      <c r="R1483" s="117"/>
      <c r="S1483" s="117"/>
      <c r="T1483" s="117"/>
      <c r="U1483" s="117"/>
      <c r="V1483" s="117"/>
      <c r="W1483" s="117"/>
      <c r="X1483" s="117"/>
      <c r="Y1483" s="117"/>
      <c r="Z1483" s="117"/>
      <c r="AA1483" s="117"/>
      <c r="AB1483" s="117"/>
      <c r="AC1483" s="117"/>
      <c r="AD1483" s="117"/>
      <c r="AE1483" s="117"/>
      <c r="AF1483" s="117"/>
      <c r="AG1483" s="117"/>
      <c r="AH1483" s="117"/>
      <c r="AI1483" s="117"/>
      <c r="AJ1483" s="117"/>
      <c r="AK1483" s="117"/>
      <c r="AL1483" s="117"/>
      <c r="AM1483" s="117"/>
      <c r="AN1483" s="117"/>
      <c r="AO1483" s="117"/>
      <c r="AP1483" s="117"/>
      <c r="AQ1483" s="117"/>
      <c r="AR1483" s="117"/>
      <c r="AS1483" s="117"/>
      <c r="AT1483" s="117"/>
      <c r="AU1483" s="117"/>
      <c r="AV1483" s="117"/>
      <c r="AW1483" s="117"/>
      <c r="AX1483" s="117"/>
      <c r="AY1483" s="117"/>
      <c r="AZ1483" s="117"/>
      <c r="BA1483" s="117"/>
      <c r="BB1483" s="117"/>
      <c r="BC1483" s="117"/>
      <c r="BD1483" s="117"/>
      <c r="BE1483" s="117"/>
      <c r="BF1483" s="117"/>
      <c r="BG1483" s="117"/>
    </row>
    <row r="1484" spans="1:59">
      <c r="A1484" s="117"/>
      <c r="B1484" s="117"/>
      <c r="C1484" s="117"/>
      <c r="D1484" s="117"/>
      <c r="E1484" s="117"/>
      <c r="F1484" s="117"/>
      <c r="G1484" s="117"/>
      <c r="H1484" s="117"/>
      <c r="I1484" s="117"/>
      <c r="J1484" s="118"/>
      <c r="K1484" s="118"/>
      <c r="L1484" s="118"/>
      <c r="M1484" s="118"/>
      <c r="N1484" s="117"/>
      <c r="O1484" s="117"/>
      <c r="P1484" s="117"/>
      <c r="Q1484" s="117"/>
      <c r="R1484" s="117"/>
      <c r="S1484" s="117"/>
      <c r="T1484" s="117"/>
      <c r="U1484" s="117"/>
      <c r="V1484" s="117"/>
      <c r="W1484" s="117"/>
      <c r="X1484" s="117"/>
      <c r="Y1484" s="117"/>
      <c r="Z1484" s="117"/>
      <c r="AA1484" s="117"/>
      <c r="AB1484" s="117"/>
      <c r="AC1484" s="117"/>
      <c r="AD1484" s="117"/>
      <c r="AE1484" s="117"/>
      <c r="AF1484" s="117"/>
      <c r="AG1484" s="117"/>
      <c r="AH1484" s="117"/>
      <c r="AI1484" s="117"/>
      <c r="AJ1484" s="117"/>
      <c r="AK1484" s="117"/>
      <c r="AL1484" s="117"/>
      <c r="AM1484" s="117"/>
      <c r="AN1484" s="117"/>
      <c r="AO1484" s="117"/>
      <c r="AP1484" s="117"/>
      <c r="AQ1484" s="117"/>
      <c r="AR1484" s="117"/>
      <c r="AS1484" s="117"/>
      <c r="AT1484" s="117"/>
      <c r="AU1484" s="117"/>
      <c r="AV1484" s="117"/>
      <c r="AW1484" s="117"/>
      <c r="AX1484" s="117"/>
      <c r="AY1484" s="117"/>
      <c r="AZ1484" s="117"/>
      <c r="BA1484" s="117"/>
      <c r="BB1484" s="117"/>
      <c r="BC1484" s="117"/>
      <c r="BD1484" s="117"/>
      <c r="BE1484" s="117"/>
      <c r="BF1484" s="117"/>
      <c r="BG1484" s="117"/>
    </row>
    <row r="1485" spans="1:59">
      <c r="A1485" s="117"/>
      <c r="B1485" s="117"/>
      <c r="C1485" s="117"/>
      <c r="D1485" s="117"/>
      <c r="E1485" s="117"/>
      <c r="F1485" s="117"/>
      <c r="G1485" s="117"/>
      <c r="H1485" s="117"/>
      <c r="I1485" s="117"/>
      <c r="J1485" s="118"/>
      <c r="K1485" s="118"/>
      <c r="L1485" s="118"/>
      <c r="M1485" s="118"/>
      <c r="N1485" s="117"/>
      <c r="O1485" s="117"/>
      <c r="P1485" s="117"/>
      <c r="Q1485" s="117"/>
      <c r="R1485" s="117"/>
      <c r="S1485" s="117"/>
      <c r="T1485" s="117"/>
      <c r="U1485" s="117"/>
      <c r="V1485" s="117"/>
      <c r="W1485" s="117"/>
      <c r="X1485" s="117"/>
      <c r="Y1485" s="117"/>
      <c r="Z1485" s="117"/>
      <c r="AA1485" s="117"/>
      <c r="AB1485" s="117"/>
      <c r="AC1485" s="117"/>
      <c r="AD1485" s="117"/>
      <c r="AE1485" s="117"/>
      <c r="AF1485" s="117"/>
      <c r="AG1485" s="117"/>
      <c r="AH1485" s="117"/>
      <c r="AI1485" s="117"/>
      <c r="AJ1485" s="117"/>
      <c r="AK1485" s="117"/>
      <c r="AL1485" s="117"/>
      <c r="AM1485" s="117"/>
      <c r="AN1485" s="117"/>
      <c r="AO1485" s="117"/>
      <c r="AP1485" s="117"/>
      <c r="AQ1485" s="117"/>
      <c r="AR1485" s="117"/>
      <c r="AS1485" s="117"/>
      <c r="AT1485" s="117"/>
      <c r="AU1485" s="117"/>
      <c r="AV1485" s="117"/>
      <c r="AW1485" s="117"/>
      <c r="AX1485" s="117"/>
      <c r="AY1485" s="117"/>
      <c r="AZ1485" s="117"/>
      <c r="BA1485" s="117"/>
      <c r="BB1485" s="117"/>
      <c r="BC1485" s="117"/>
      <c r="BD1485" s="117"/>
      <c r="BE1485" s="117"/>
      <c r="BF1485" s="117"/>
      <c r="BG1485" s="117"/>
    </row>
    <row r="1486" spans="1:59">
      <c r="A1486" s="117"/>
      <c r="B1486" s="117"/>
      <c r="C1486" s="117"/>
      <c r="D1486" s="117"/>
      <c r="E1486" s="117"/>
      <c r="F1486" s="117"/>
      <c r="G1486" s="117"/>
      <c r="H1486" s="117"/>
      <c r="I1486" s="117"/>
      <c r="J1486" s="118"/>
      <c r="K1486" s="118"/>
      <c r="L1486" s="118"/>
      <c r="M1486" s="118"/>
      <c r="N1486" s="117"/>
      <c r="O1486" s="117"/>
      <c r="P1486" s="117"/>
      <c r="Q1486" s="117"/>
      <c r="R1486" s="117"/>
      <c r="S1486" s="117"/>
      <c r="T1486" s="117"/>
      <c r="U1486" s="117"/>
      <c r="V1486" s="117"/>
      <c r="W1486" s="117"/>
      <c r="X1486" s="117"/>
      <c r="Y1486" s="117"/>
      <c r="Z1486" s="117"/>
      <c r="AA1486" s="117"/>
      <c r="AB1486" s="117"/>
      <c r="AC1486" s="117"/>
      <c r="AD1486" s="117"/>
      <c r="AE1486" s="117"/>
      <c r="AF1486" s="117"/>
      <c r="AG1486" s="117"/>
      <c r="AH1486" s="117"/>
      <c r="AI1486" s="117"/>
      <c r="AJ1486" s="117"/>
      <c r="AK1486" s="117"/>
      <c r="AL1486" s="117"/>
      <c r="AM1486" s="117"/>
      <c r="AN1486" s="117"/>
      <c r="AO1486" s="117"/>
      <c r="AP1486" s="117"/>
      <c r="AQ1486" s="117"/>
      <c r="AR1486" s="117"/>
      <c r="AS1486" s="117"/>
      <c r="AT1486" s="117"/>
      <c r="AU1486" s="117"/>
      <c r="AV1486" s="117"/>
      <c r="AW1486" s="117"/>
      <c r="AX1486" s="117"/>
      <c r="AY1486" s="117"/>
      <c r="AZ1486" s="117"/>
      <c r="BA1486" s="117"/>
      <c r="BB1486" s="117"/>
      <c r="BC1486" s="117"/>
      <c r="BD1486" s="117"/>
      <c r="BE1486" s="117"/>
      <c r="BF1486" s="117"/>
      <c r="BG1486" s="117"/>
    </row>
    <row r="1487" spans="1:59">
      <c r="A1487" s="117"/>
      <c r="B1487" s="117"/>
      <c r="C1487" s="117"/>
      <c r="D1487" s="117"/>
      <c r="E1487" s="117"/>
      <c r="F1487" s="117"/>
      <c r="G1487" s="117"/>
      <c r="H1487" s="117"/>
      <c r="I1487" s="117"/>
      <c r="J1487" s="118"/>
      <c r="K1487" s="118"/>
      <c r="L1487" s="118"/>
      <c r="M1487" s="118"/>
      <c r="N1487" s="117"/>
      <c r="O1487" s="117"/>
      <c r="P1487" s="117"/>
      <c r="Q1487" s="117"/>
      <c r="R1487" s="117"/>
      <c r="S1487" s="117"/>
      <c r="T1487" s="117"/>
      <c r="U1487" s="117"/>
      <c r="V1487" s="117"/>
      <c r="W1487" s="117"/>
      <c r="X1487" s="117"/>
      <c r="Y1487" s="117"/>
      <c r="Z1487" s="117"/>
      <c r="AA1487" s="117"/>
      <c r="AB1487" s="117"/>
      <c r="AC1487" s="117"/>
      <c r="AD1487" s="117"/>
      <c r="AE1487" s="117"/>
      <c r="AF1487" s="117"/>
      <c r="AG1487" s="117"/>
      <c r="AH1487" s="117"/>
      <c r="AI1487" s="117"/>
      <c r="AJ1487" s="117"/>
      <c r="AK1487" s="117"/>
      <c r="AL1487" s="117"/>
      <c r="AM1487" s="117"/>
      <c r="AN1487" s="117"/>
      <c r="AO1487" s="117"/>
      <c r="AP1487" s="117"/>
      <c r="AQ1487" s="117"/>
      <c r="AR1487" s="117"/>
      <c r="AS1487" s="117"/>
      <c r="AT1487" s="117"/>
      <c r="AU1487" s="117"/>
      <c r="AV1487" s="117"/>
      <c r="AW1487" s="117"/>
      <c r="AX1487" s="117"/>
      <c r="AY1487" s="117"/>
      <c r="AZ1487" s="117"/>
      <c r="BA1487" s="117"/>
      <c r="BB1487" s="117"/>
      <c r="BC1487" s="117"/>
      <c r="BD1487" s="117"/>
      <c r="BE1487" s="117"/>
      <c r="BF1487" s="117"/>
      <c r="BG1487" s="117"/>
    </row>
    <row r="1488" spans="1:59">
      <c r="A1488" s="117"/>
      <c r="B1488" s="117"/>
      <c r="C1488" s="117"/>
      <c r="D1488" s="117"/>
      <c r="E1488" s="117"/>
      <c r="F1488" s="117"/>
      <c r="G1488" s="117"/>
      <c r="H1488" s="117"/>
      <c r="I1488" s="117"/>
      <c r="J1488" s="118"/>
      <c r="K1488" s="118"/>
      <c r="L1488" s="118"/>
      <c r="M1488" s="118"/>
      <c r="N1488" s="117"/>
      <c r="O1488" s="117"/>
      <c r="P1488" s="117"/>
      <c r="Q1488" s="117"/>
      <c r="R1488" s="117"/>
      <c r="S1488" s="117"/>
      <c r="T1488" s="117"/>
      <c r="U1488" s="117"/>
      <c r="V1488" s="117"/>
      <c r="W1488" s="117"/>
      <c r="X1488" s="117"/>
      <c r="Y1488" s="117"/>
      <c r="Z1488" s="117"/>
      <c r="AA1488" s="117"/>
      <c r="AB1488" s="117"/>
      <c r="AC1488" s="117"/>
      <c r="AD1488" s="117"/>
      <c r="AE1488" s="117"/>
      <c r="AF1488" s="117"/>
      <c r="AG1488" s="117"/>
      <c r="AH1488" s="117"/>
      <c r="AI1488" s="117"/>
      <c r="AJ1488" s="117"/>
      <c r="AK1488" s="117"/>
      <c r="AL1488" s="117"/>
      <c r="AM1488" s="117"/>
      <c r="AN1488" s="117"/>
      <c r="AO1488" s="117"/>
      <c r="AP1488" s="117"/>
      <c r="AQ1488" s="117"/>
      <c r="AR1488" s="117"/>
      <c r="AS1488" s="117"/>
      <c r="AT1488" s="117"/>
      <c r="AU1488" s="117"/>
      <c r="AV1488" s="117"/>
      <c r="AW1488" s="117"/>
      <c r="AX1488" s="117"/>
      <c r="AY1488" s="117"/>
      <c r="AZ1488" s="117"/>
      <c r="BA1488" s="117"/>
      <c r="BB1488" s="117"/>
      <c r="BC1488" s="117"/>
      <c r="BD1488" s="117"/>
      <c r="BE1488" s="117"/>
      <c r="BF1488" s="117"/>
      <c r="BG1488" s="117"/>
    </row>
    <row r="1489" spans="1:59">
      <c r="A1489" s="117"/>
      <c r="B1489" s="117"/>
      <c r="C1489" s="117"/>
      <c r="D1489" s="117"/>
      <c r="E1489" s="117"/>
      <c r="F1489" s="117"/>
      <c r="G1489" s="117"/>
      <c r="H1489" s="117"/>
      <c r="I1489" s="117"/>
      <c r="J1489" s="118"/>
      <c r="K1489" s="118"/>
      <c r="L1489" s="118"/>
      <c r="M1489" s="118"/>
      <c r="N1489" s="117"/>
      <c r="O1489" s="117"/>
      <c r="P1489" s="117"/>
      <c r="Q1489" s="117"/>
      <c r="R1489" s="117"/>
      <c r="S1489" s="117"/>
      <c r="T1489" s="117"/>
      <c r="U1489" s="117"/>
      <c r="V1489" s="117"/>
      <c r="W1489" s="117"/>
      <c r="X1489" s="117"/>
      <c r="Y1489" s="117"/>
      <c r="Z1489" s="117"/>
      <c r="AA1489" s="117"/>
      <c r="AB1489" s="117"/>
      <c r="AC1489" s="117"/>
      <c r="AD1489" s="117"/>
      <c r="AE1489" s="117"/>
      <c r="AF1489" s="117"/>
      <c r="AG1489" s="117"/>
      <c r="AH1489" s="117"/>
      <c r="AI1489" s="117"/>
      <c r="AJ1489" s="117"/>
      <c r="AK1489" s="117"/>
      <c r="AL1489" s="117"/>
      <c r="AM1489" s="117"/>
      <c r="AN1489" s="117"/>
      <c r="AO1489" s="117"/>
      <c r="AP1489" s="117"/>
      <c r="AQ1489" s="117"/>
      <c r="AR1489" s="117"/>
      <c r="AS1489" s="117"/>
      <c r="AT1489" s="117"/>
      <c r="AU1489" s="117"/>
      <c r="AV1489" s="117"/>
      <c r="AW1489" s="117"/>
      <c r="AX1489" s="117"/>
      <c r="AY1489" s="117"/>
      <c r="AZ1489" s="117"/>
      <c r="BA1489" s="117"/>
      <c r="BB1489" s="117"/>
      <c r="BC1489" s="117"/>
      <c r="BD1489" s="117"/>
      <c r="BE1489" s="117"/>
      <c r="BF1489" s="117"/>
      <c r="BG1489" s="117"/>
    </row>
    <row r="1490" spans="1:59">
      <c r="A1490" s="117"/>
      <c r="B1490" s="117"/>
      <c r="C1490" s="117"/>
      <c r="D1490" s="117"/>
      <c r="E1490" s="117"/>
      <c r="F1490" s="117"/>
      <c r="G1490" s="117"/>
      <c r="H1490" s="117"/>
      <c r="I1490" s="117"/>
      <c r="J1490" s="118"/>
      <c r="K1490" s="118"/>
      <c r="L1490" s="118"/>
      <c r="M1490" s="118"/>
      <c r="N1490" s="117"/>
      <c r="O1490" s="117"/>
      <c r="P1490" s="117"/>
      <c r="Q1490" s="117"/>
      <c r="R1490" s="117"/>
      <c r="S1490" s="117"/>
      <c r="T1490" s="117"/>
      <c r="U1490" s="117"/>
      <c r="V1490" s="117"/>
      <c r="W1490" s="117"/>
      <c r="X1490" s="117"/>
      <c r="Y1490" s="117"/>
      <c r="Z1490" s="117"/>
      <c r="AA1490" s="117"/>
      <c r="AB1490" s="117"/>
      <c r="AC1490" s="117"/>
      <c r="AD1490" s="117"/>
      <c r="AE1490" s="117"/>
      <c r="AF1490" s="117"/>
      <c r="AG1490" s="117"/>
      <c r="AH1490" s="117"/>
      <c r="AI1490" s="117"/>
      <c r="AJ1490" s="117"/>
      <c r="AK1490" s="117"/>
      <c r="AL1490" s="117"/>
      <c r="AM1490" s="117"/>
      <c r="AN1490" s="117"/>
      <c r="AO1490" s="117"/>
      <c r="AP1490" s="117"/>
      <c r="AQ1490" s="117"/>
      <c r="AR1490" s="117"/>
      <c r="AS1490" s="117"/>
      <c r="AT1490" s="117"/>
      <c r="AU1490" s="117"/>
      <c r="AV1490" s="117"/>
      <c r="AW1490" s="117"/>
      <c r="AX1490" s="117"/>
      <c r="AY1490" s="117"/>
      <c r="AZ1490" s="117"/>
      <c r="BA1490" s="117"/>
      <c r="BB1490" s="117"/>
      <c r="BC1490" s="117"/>
      <c r="BD1490" s="117"/>
      <c r="BE1490" s="117"/>
      <c r="BF1490" s="117"/>
      <c r="BG1490" s="117"/>
    </row>
    <row r="1491" spans="1:59">
      <c r="A1491" s="117"/>
      <c r="B1491" s="117"/>
      <c r="C1491" s="117"/>
      <c r="D1491" s="117"/>
      <c r="E1491" s="117"/>
      <c r="F1491" s="117"/>
      <c r="G1491" s="117"/>
      <c r="H1491" s="117"/>
      <c r="I1491" s="117"/>
      <c r="J1491" s="118"/>
      <c r="K1491" s="118"/>
      <c r="L1491" s="118"/>
      <c r="M1491" s="118"/>
      <c r="N1491" s="117"/>
      <c r="O1491" s="117"/>
      <c r="P1491" s="117"/>
      <c r="Q1491" s="117"/>
      <c r="R1491" s="117"/>
      <c r="S1491" s="117"/>
      <c r="T1491" s="117"/>
      <c r="U1491" s="117"/>
      <c r="V1491" s="117"/>
      <c r="W1491" s="117"/>
      <c r="X1491" s="117"/>
      <c r="Y1491" s="117"/>
      <c r="Z1491" s="117"/>
      <c r="AA1491" s="117"/>
      <c r="AB1491" s="117"/>
      <c r="AC1491" s="117"/>
      <c r="AD1491" s="117"/>
      <c r="AE1491" s="117"/>
      <c r="AF1491" s="117"/>
      <c r="AG1491" s="117"/>
      <c r="AH1491" s="117"/>
      <c r="AI1491" s="117"/>
      <c r="AJ1491" s="117"/>
      <c r="AK1491" s="117"/>
      <c r="AL1491" s="117"/>
      <c r="AM1491" s="117"/>
      <c r="AN1491" s="117"/>
      <c r="AO1491" s="117"/>
      <c r="AP1491" s="117"/>
      <c r="AQ1491" s="117"/>
      <c r="AR1491" s="117"/>
      <c r="AS1491" s="117"/>
      <c r="AT1491" s="117"/>
      <c r="AU1491" s="117"/>
      <c r="AV1491" s="117"/>
      <c r="AW1491" s="117"/>
      <c r="AX1491" s="117"/>
      <c r="AY1491" s="117"/>
      <c r="AZ1491" s="117"/>
      <c r="BA1491" s="117"/>
      <c r="BB1491" s="117"/>
      <c r="BC1491" s="117"/>
      <c r="BD1491" s="117"/>
      <c r="BE1491" s="117"/>
      <c r="BF1491" s="117"/>
      <c r="BG1491" s="117"/>
    </row>
    <row r="1492" spans="1:59">
      <c r="A1492" s="117"/>
      <c r="B1492" s="117"/>
      <c r="C1492" s="117"/>
      <c r="D1492" s="117"/>
      <c r="E1492" s="117"/>
      <c r="F1492" s="117"/>
      <c r="G1492" s="117"/>
      <c r="H1492" s="117"/>
      <c r="I1492" s="117"/>
      <c r="J1492" s="118"/>
      <c r="K1492" s="118"/>
      <c r="L1492" s="118"/>
      <c r="M1492" s="118"/>
      <c r="N1492" s="117"/>
      <c r="O1492" s="117"/>
      <c r="P1492" s="117"/>
      <c r="Q1492" s="117"/>
      <c r="R1492" s="117"/>
      <c r="S1492" s="117"/>
      <c r="T1492" s="117"/>
      <c r="U1492" s="117"/>
      <c r="V1492" s="117"/>
      <c r="W1492" s="117"/>
      <c r="X1492" s="117"/>
      <c r="Y1492" s="117"/>
      <c r="Z1492" s="117"/>
      <c r="AA1492" s="117"/>
      <c r="AB1492" s="117"/>
      <c r="AC1492" s="117"/>
      <c r="AD1492" s="117"/>
      <c r="AE1492" s="117"/>
      <c r="AF1492" s="117"/>
      <c r="AG1492" s="117"/>
      <c r="AH1492" s="117"/>
      <c r="AI1492" s="117"/>
      <c r="AJ1492" s="117"/>
      <c r="AK1492" s="117"/>
      <c r="AL1492" s="117"/>
      <c r="AM1492" s="117"/>
      <c r="AN1492" s="117"/>
      <c r="AO1492" s="117"/>
      <c r="AP1492" s="117"/>
      <c r="AQ1492" s="117"/>
      <c r="AR1492" s="117"/>
      <c r="AS1492" s="117"/>
      <c r="AT1492" s="117"/>
      <c r="AU1492" s="117"/>
      <c r="AV1492" s="117"/>
      <c r="AW1492" s="117"/>
      <c r="AX1492" s="117"/>
      <c r="AY1492" s="117"/>
      <c r="AZ1492" s="117"/>
      <c r="BA1492" s="117"/>
      <c r="BB1492" s="117"/>
      <c r="BC1492" s="117"/>
      <c r="BD1492" s="117"/>
      <c r="BE1492" s="117"/>
      <c r="BF1492" s="117"/>
      <c r="BG1492" s="117"/>
    </row>
    <row r="1493" spans="1:59">
      <c r="A1493" s="117"/>
      <c r="B1493" s="117"/>
      <c r="C1493" s="117"/>
      <c r="D1493" s="117"/>
      <c r="E1493" s="117"/>
      <c r="F1493" s="117"/>
      <c r="G1493" s="117"/>
      <c r="H1493" s="117"/>
      <c r="I1493" s="117"/>
      <c r="J1493" s="118"/>
      <c r="K1493" s="118"/>
      <c r="L1493" s="118"/>
      <c r="M1493" s="118"/>
      <c r="N1493" s="117"/>
      <c r="O1493" s="117"/>
      <c r="P1493" s="117"/>
      <c r="Q1493" s="117"/>
      <c r="R1493" s="117"/>
      <c r="S1493" s="117"/>
      <c r="T1493" s="117"/>
      <c r="U1493" s="117"/>
      <c r="V1493" s="117"/>
      <c r="W1493" s="117"/>
      <c r="X1493" s="117"/>
      <c r="Y1493" s="117"/>
      <c r="Z1493" s="117"/>
      <c r="AA1493" s="117"/>
      <c r="AB1493" s="117"/>
      <c r="AC1493" s="117"/>
      <c r="AD1493" s="117"/>
      <c r="AE1493" s="117"/>
      <c r="AF1493" s="117"/>
      <c r="AG1493" s="117"/>
      <c r="AH1493" s="117"/>
      <c r="AI1493" s="117"/>
      <c r="AJ1493" s="117"/>
      <c r="AK1493" s="117"/>
      <c r="AL1493" s="117"/>
      <c r="AM1493" s="117"/>
      <c r="AN1493" s="117"/>
      <c r="AO1493" s="117"/>
      <c r="AP1493" s="117"/>
      <c r="AQ1493" s="117"/>
      <c r="AR1493" s="117"/>
      <c r="AS1493" s="117"/>
      <c r="AT1493" s="117"/>
      <c r="AU1493" s="117"/>
      <c r="AV1493" s="117"/>
      <c r="AW1493" s="117"/>
      <c r="AX1493" s="117"/>
      <c r="AY1493" s="117"/>
      <c r="AZ1493" s="117"/>
      <c r="BA1493" s="117"/>
      <c r="BB1493" s="117"/>
      <c r="BC1493" s="117"/>
      <c r="BD1493" s="117"/>
      <c r="BE1493" s="117"/>
      <c r="BF1493" s="117"/>
      <c r="BG1493" s="117"/>
    </row>
    <row r="1494" spans="1:59">
      <c r="A1494" s="117"/>
      <c r="B1494" s="117"/>
      <c r="C1494" s="117"/>
      <c r="D1494" s="117"/>
      <c r="E1494" s="117"/>
      <c r="F1494" s="117"/>
      <c r="G1494" s="117"/>
      <c r="H1494" s="117"/>
      <c r="I1494" s="117"/>
      <c r="J1494" s="118"/>
      <c r="K1494" s="118"/>
      <c r="L1494" s="118"/>
      <c r="M1494" s="118"/>
      <c r="N1494" s="117"/>
      <c r="O1494" s="117"/>
      <c r="P1494" s="117"/>
      <c r="Q1494" s="117"/>
      <c r="R1494" s="117"/>
      <c r="S1494" s="117"/>
      <c r="T1494" s="117"/>
      <c r="U1494" s="117"/>
      <c r="V1494" s="117"/>
      <c r="W1494" s="117"/>
      <c r="X1494" s="117"/>
      <c r="Y1494" s="117"/>
      <c r="Z1494" s="117"/>
      <c r="AA1494" s="117"/>
      <c r="AB1494" s="117"/>
      <c r="AC1494" s="117"/>
      <c r="AD1494" s="117"/>
      <c r="AE1494" s="117"/>
      <c r="AF1494" s="117"/>
      <c r="AG1494" s="117"/>
      <c r="AH1494" s="117"/>
      <c r="AI1494" s="117"/>
      <c r="AJ1494" s="117"/>
      <c r="AK1494" s="117"/>
      <c r="AL1494" s="117"/>
      <c r="AM1494" s="117"/>
      <c r="AN1494" s="117"/>
      <c r="AO1494" s="117"/>
      <c r="AP1494" s="117"/>
      <c r="AQ1494" s="117"/>
      <c r="AR1494" s="117"/>
      <c r="AS1494" s="117"/>
      <c r="AT1494" s="117"/>
      <c r="AU1494" s="117"/>
      <c r="AV1494" s="117"/>
      <c r="AW1494" s="117"/>
      <c r="AX1494" s="117"/>
      <c r="AY1494" s="117"/>
      <c r="AZ1494" s="117"/>
      <c r="BA1494" s="117"/>
      <c r="BB1494" s="117"/>
      <c r="BC1494" s="117"/>
      <c r="BD1494" s="117"/>
      <c r="BE1494" s="117"/>
      <c r="BF1494" s="117"/>
      <c r="BG1494" s="117"/>
    </row>
    <row r="1495" spans="1:59">
      <c r="A1495" s="117"/>
      <c r="B1495" s="117"/>
      <c r="C1495" s="117"/>
      <c r="D1495" s="117"/>
      <c r="E1495" s="117"/>
      <c r="F1495" s="117"/>
      <c r="G1495" s="117"/>
      <c r="H1495" s="117"/>
      <c r="I1495" s="117"/>
      <c r="J1495" s="118"/>
      <c r="K1495" s="118"/>
      <c r="L1495" s="118"/>
      <c r="M1495" s="118"/>
      <c r="N1495" s="117"/>
      <c r="O1495" s="117"/>
      <c r="P1495" s="117"/>
      <c r="Q1495" s="117"/>
      <c r="R1495" s="117"/>
      <c r="S1495" s="117"/>
      <c r="T1495" s="117"/>
      <c r="U1495" s="117"/>
      <c r="V1495" s="117"/>
      <c r="W1495" s="117"/>
      <c r="X1495" s="117"/>
      <c r="Y1495" s="117"/>
      <c r="Z1495" s="117"/>
      <c r="AA1495" s="117"/>
      <c r="AB1495" s="117"/>
      <c r="AC1495" s="117"/>
      <c r="AD1495" s="117"/>
      <c r="AE1495" s="117"/>
      <c r="AF1495" s="117"/>
      <c r="AG1495" s="117"/>
      <c r="AH1495" s="117"/>
      <c r="AI1495" s="117"/>
      <c r="AJ1495" s="117"/>
      <c r="AK1495" s="117"/>
      <c r="AL1495" s="117"/>
      <c r="AM1495" s="117"/>
      <c r="AN1495" s="117"/>
      <c r="AO1495" s="117"/>
      <c r="AP1495" s="117"/>
      <c r="AQ1495" s="117"/>
      <c r="AR1495" s="117"/>
      <c r="AS1495" s="117"/>
      <c r="AT1495" s="117"/>
      <c r="AU1495" s="117"/>
      <c r="AV1495" s="117"/>
      <c r="AW1495" s="117"/>
      <c r="AX1495" s="117"/>
      <c r="AY1495" s="117"/>
      <c r="AZ1495" s="117"/>
      <c r="BA1495" s="117"/>
      <c r="BB1495" s="117"/>
      <c r="BC1495" s="117"/>
      <c r="BD1495" s="117"/>
      <c r="BE1495" s="117"/>
      <c r="BF1495" s="117"/>
      <c r="BG1495" s="117"/>
    </row>
    <row r="1496" spans="1:59">
      <c r="A1496" s="117"/>
      <c r="B1496" s="117"/>
      <c r="C1496" s="117"/>
      <c r="D1496" s="117"/>
      <c r="E1496" s="117"/>
      <c r="F1496" s="117"/>
      <c r="G1496" s="117"/>
      <c r="H1496" s="117"/>
      <c r="I1496" s="117"/>
      <c r="J1496" s="118"/>
      <c r="K1496" s="118"/>
      <c r="L1496" s="118"/>
      <c r="M1496" s="118"/>
      <c r="N1496" s="117"/>
      <c r="O1496" s="117"/>
      <c r="P1496" s="117"/>
      <c r="Q1496" s="117"/>
      <c r="R1496" s="117"/>
      <c r="S1496" s="117"/>
      <c r="T1496" s="117"/>
      <c r="U1496" s="117"/>
      <c r="V1496" s="117"/>
      <c r="W1496" s="117"/>
      <c r="X1496" s="117"/>
      <c r="Y1496" s="117"/>
      <c r="Z1496" s="117"/>
      <c r="AA1496" s="117"/>
      <c r="AB1496" s="117"/>
      <c r="AC1496" s="117"/>
      <c r="AD1496" s="117"/>
      <c r="AE1496" s="117"/>
      <c r="AF1496" s="117"/>
      <c r="AG1496" s="117"/>
      <c r="AH1496" s="117"/>
      <c r="AI1496" s="117"/>
      <c r="AJ1496" s="117"/>
      <c r="AK1496" s="117"/>
      <c r="AL1496" s="117"/>
      <c r="AM1496" s="117"/>
      <c r="AN1496" s="117"/>
      <c r="AO1496" s="117"/>
      <c r="AP1496" s="117"/>
      <c r="AQ1496" s="117"/>
      <c r="AR1496" s="117"/>
      <c r="AS1496" s="117"/>
      <c r="AT1496" s="117"/>
      <c r="AU1496" s="117"/>
      <c r="AV1496" s="117"/>
      <c r="AW1496" s="117"/>
      <c r="AX1496" s="117"/>
      <c r="AY1496" s="117"/>
      <c r="AZ1496" s="117"/>
      <c r="BA1496" s="117"/>
      <c r="BB1496" s="117"/>
      <c r="BC1496" s="117"/>
      <c r="BD1496" s="117"/>
      <c r="BE1496" s="117"/>
      <c r="BF1496" s="117"/>
      <c r="BG1496" s="117"/>
    </row>
    <row r="1497" spans="1:59">
      <c r="A1497" s="117"/>
      <c r="B1497" s="117"/>
      <c r="C1497" s="117"/>
      <c r="D1497" s="117"/>
      <c r="E1497" s="117"/>
      <c r="F1497" s="117"/>
      <c r="G1497" s="117"/>
      <c r="H1497" s="117"/>
      <c r="I1497" s="117"/>
      <c r="J1497" s="118"/>
      <c r="K1497" s="118"/>
      <c r="L1497" s="118"/>
      <c r="M1497" s="118"/>
      <c r="N1497" s="117"/>
      <c r="O1497" s="117"/>
      <c r="P1497" s="117"/>
      <c r="Q1497" s="117"/>
      <c r="R1497" s="117"/>
      <c r="S1497" s="117"/>
      <c r="T1497" s="117"/>
      <c r="U1497" s="117"/>
      <c r="V1497" s="117"/>
      <c r="W1497" s="117"/>
      <c r="X1497" s="117"/>
      <c r="Y1497" s="117"/>
      <c r="Z1497" s="117"/>
      <c r="AA1497" s="117"/>
      <c r="AB1497" s="117"/>
      <c r="AC1497" s="117"/>
      <c r="AD1497" s="117"/>
      <c r="AE1497" s="117"/>
      <c r="AF1497" s="117"/>
      <c r="AG1497" s="117"/>
      <c r="AH1497" s="117"/>
      <c r="AI1497" s="117"/>
      <c r="AJ1497" s="117"/>
      <c r="AK1497" s="117"/>
      <c r="AL1497" s="117"/>
      <c r="AM1497" s="117"/>
      <c r="AN1497" s="117"/>
      <c r="AO1497" s="117"/>
      <c r="AP1497" s="117"/>
      <c r="AQ1497" s="117"/>
      <c r="AR1497" s="117"/>
      <c r="AS1497" s="117"/>
      <c r="AT1497" s="117"/>
      <c r="AU1497" s="117"/>
      <c r="AV1497" s="117"/>
      <c r="AW1497" s="117"/>
      <c r="AX1497" s="117"/>
      <c r="AY1497" s="117"/>
      <c r="AZ1497" s="117"/>
      <c r="BA1497" s="117"/>
      <c r="BB1497" s="117"/>
      <c r="BC1497" s="117"/>
      <c r="BD1497" s="117"/>
      <c r="BE1497" s="117"/>
      <c r="BF1497" s="117"/>
      <c r="BG1497" s="117"/>
    </row>
    <row r="1498" spans="1:59">
      <c r="A1498" s="117"/>
      <c r="B1498" s="117"/>
      <c r="C1498" s="117"/>
      <c r="D1498" s="117"/>
      <c r="E1498" s="117"/>
      <c r="F1498" s="117"/>
      <c r="G1498" s="117"/>
      <c r="H1498" s="117"/>
      <c r="I1498" s="117"/>
      <c r="J1498" s="118"/>
      <c r="K1498" s="118"/>
      <c r="L1498" s="118"/>
      <c r="M1498" s="118"/>
      <c r="N1498" s="117"/>
      <c r="O1498" s="117"/>
      <c r="P1498" s="117"/>
      <c r="Q1498" s="117"/>
      <c r="R1498" s="117"/>
      <c r="S1498" s="117"/>
      <c r="T1498" s="117"/>
      <c r="U1498" s="117"/>
      <c r="V1498" s="117"/>
      <c r="W1498" s="117"/>
      <c r="X1498" s="117"/>
      <c r="Y1498" s="117"/>
      <c r="Z1498" s="117"/>
      <c r="AA1498" s="117"/>
      <c r="AB1498" s="117"/>
      <c r="AC1498" s="117"/>
      <c r="AD1498" s="117"/>
      <c r="AE1498" s="117"/>
      <c r="AF1498" s="117"/>
      <c r="AG1498" s="117"/>
      <c r="AH1498" s="117"/>
      <c r="AI1498" s="117"/>
      <c r="AJ1498" s="117"/>
      <c r="AK1498" s="117"/>
      <c r="AL1498" s="117"/>
      <c r="AM1498" s="117"/>
      <c r="AN1498" s="117"/>
      <c r="AO1498" s="117"/>
      <c r="AP1498" s="117"/>
      <c r="AQ1498" s="117"/>
      <c r="AR1498" s="117"/>
      <c r="AS1498" s="117"/>
      <c r="AT1498" s="117"/>
      <c r="AU1498" s="117"/>
      <c r="AV1498" s="117"/>
      <c r="AW1498" s="117"/>
      <c r="AX1498" s="117"/>
      <c r="AY1498" s="117"/>
      <c r="AZ1498" s="117"/>
      <c r="BA1498" s="117"/>
      <c r="BB1498" s="117"/>
      <c r="BC1498" s="117"/>
      <c r="BD1498" s="117"/>
      <c r="BE1498" s="117"/>
      <c r="BF1498" s="117"/>
      <c r="BG1498" s="117"/>
    </row>
    <row r="1499" spans="1:59">
      <c r="A1499" s="117"/>
      <c r="B1499" s="117"/>
      <c r="C1499" s="117"/>
      <c r="D1499" s="117"/>
      <c r="E1499" s="117"/>
      <c r="F1499" s="117"/>
      <c r="G1499" s="117"/>
      <c r="H1499" s="117"/>
      <c r="I1499" s="117"/>
      <c r="J1499" s="118"/>
      <c r="K1499" s="118"/>
      <c r="L1499" s="118"/>
      <c r="M1499" s="118"/>
      <c r="N1499" s="117"/>
      <c r="O1499" s="117"/>
      <c r="P1499" s="117"/>
      <c r="Q1499" s="117"/>
      <c r="R1499" s="117"/>
      <c r="S1499" s="117"/>
      <c r="T1499" s="117"/>
      <c r="U1499" s="117"/>
      <c r="V1499" s="117"/>
      <c r="W1499" s="117"/>
      <c r="X1499" s="117"/>
      <c r="Y1499" s="117"/>
      <c r="Z1499" s="117"/>
      <c r="AA1499" s="117"/>
      <c r="AB1499" s="117"/>
      <c r="AC1499" s="117"/>
      <c r="AD1499" s="117"/>
      <c r="AE1499" s="117"/>
      <c r="AF1499" s="117"/>
      <c r="AG1499" s="117"/>
      <c r="AH1499" s="117"/>
      <c r="AI1499" s="117"/>
      <c r="AJ1499" s="117"/>
      <c r="AK1499" s="117"/>
      <c r="AL1499" s="117"/>
      <c r="AM1499" s="117"/>
      <c r="AN1499" s="117"/>
      <c r="AO1499" s="117"/>
      <c r="AP1499" s="117"/>
      <c r="AQ1499" s="117"/>
      <c r="AR1499" s="117"/>
      <c r="AS1499" s="117"/>
      <c r="AT1499" s="117"/>
      <c r="AU1499" s="117"/>
      <c r="AV1499" s="117"/>
      <c r="AW1499" s="117"/>
      <c r="AX1499" s="117"/>
      <c r="AY1499" s="117"/>
      <c r="AZ1499" s="117"/>
      <c r="BA1499" s="117"/>
      <c r="BB1499" s="117"/>
      <c r="BC1499" s="117"/>
      <c r="BD1499" s="117"/>
      <c r="BE1499" s="117"/>
      <c r="BF1499" s="117"/>
      <c r="BG1499" s="117"/>
    </row>
    <row r="1500" spans="1:59">
      <c r="A1500" s="117"/>
      <c r="B1500" s="117"/>
      <c r="C1500" s="117"/>
      <c r="D1500" s="117"/>
      <c r="E1500" s="117"/>
      <c r="F1500" s="117"/>
      <c r="G1500" s="117"/>
      <c r="H1500" s="117"/>
      <c r="I1500" s="117"/>
      <c r="J1500" s="118"/>
      <c r="K1500" s="118"/>
      <c r="L1500" s="118"/>
      <c r="M1500" s="118"/>
      <c r="N1500" s="117"/>
      <c r="O1500" s="117"/>
      <c r="P1500" s="117"/>
      <c r="Q1500" s="117"/>
      <c r="R1500" s="117"/>
      <c r="S1500" s="117"/>
      <c r="T1500" s="117"/>
      <c r="U1500" s="117"/>
      <c r="V1500" s="117"/>
      <c r="W1500" s="117"/>
      <c r="X1500" s="117"/>
      <c r="Y1500" s="117"/>
      <c r="Z1500" s="117"/>
      <c r="AA1500" s="117"/>
      <c r="AB1500" s="117"/>
      <c r="AC1500" s="117"/>
      <c r="AD1500" s="117"/>
      <c r="AE1500" s="117"/>
      <c r="AF1500" s="117"/>
      <c r="AG1500" s="117"/>
      <c r="AH1500" s="117"/>
      <c r="AI1500" s="117"/>
      <c r="AJ1500" s="117"/>
      <c r="AK1500" s="117"/>
      <c r="AL1500" s="117"/>
      <c r="AM1500" s="117"/>
      <c r="AN1500" s="117"/>
      <c r="AO1500" s="117"/>
      <c r="AP1500" s="117"/>
      <c r="AQ1500" s="117"/>
      <c r="AR1500" s="117"/>
      <c r="AS1500" s="117"/>
      <c r="AT1500" s="117"/>
      <c r="AU1500" s="117"/>
      <c r="AV1500" s="117"/>
      <c r="AW1500" s="117"/>
      <c r="AX1500" s="117"/>
      <c r="AY1500" s="117"/>
      <c r="AZ1500" s="117"/>
      <c r="BA1500" s="117"/>
      <c r="BB1500" s="117"/>
      <c r="BC1500" s="117"/>
      <c r="BD1500" s="117"/>
      <c r="BE1500" s="117"/>
      <c r="BF1500" s="117"/>
      <c r="BG1500" s="117"/>
    </row>
    <row r="1501" spans="1:59">
      <c r="A1501" s="117"/>
      <c r="B1501" s="117"/>
      <c r="C1501" s="117"/>
      <c r="D1501" s="117"/>
      <c r="E1501" s="117"/>
      <c r="F1501" s="117"/>
      <c r="G1501" s="117"/>
      <c r="H1501" s="117"/>
      <c r="I1501" s="117"/>
      <c r="J1501" s="118"/>
      <c r="K1501" s="118"/>
      <c r="L1501" s="118"/>
      <c r="M1501" s="118"/>
      <c r="N1501" s="117"/>
      <c r="O1501" s="117"/>
      <c r="P1501" s="117"/>
      <c r="Q1501" s="117"/>
      <c r="R1501" s="117"/>
      <c r="S1501" s="117"/>
      <c r="T1501" s="117"/>
      <c r="U1501" s="117"/>
      <c r="V1501" s="117"/>
      <c r="W1501" s="117"/>
      <c r="X1501" s="117"/>
      <c r="Y1501" s="117"/>
      <c r="Z1501" s="117"/>
      <c r="AA1501" s="117"/>
      <c r="AB1501" s="117"/>
      <c r="AC1501" s="117"/>
      <c r="AD1501" s="117"/>
      <c r="AE1501" s="117"/>
      <c r="AF1501" s="117"/>
      <c r="AG1501" s="117"/>
      <c r="AH1501" s="117"/>
      <c r="AI1501" s="117"/>
      <c r="AJ1501" s="117"/>
      <c r="AK1501" s="117"/>
      <c r="AL1501" s="117"/>
      <c r="AM1501" s="117"/>
      <c r="AN1501" s="117"/>
      <c r="AO1501" s="117"/>
      <c r="AP1501" s="117"/>
      <c r="AQ1501" s="117"/>
      <c r="AR1501" s="117"/>
      <c r="AS1501" s="117"/>
      <c r="AT1501" s="117"/>
      <c r="AU1501" s="117"/>
      <c r="AV1501" s="117"/>
      <c r="AW1501" s="117"/>
      <c r="AX1501" s="117"/>
      <c r="AY1501" s="117"/>
      <c r="AZ1501" s="117"/>
      <c r="BA1501" s="117"/>
      <c r="BB1501" s="117"/>
      <c r="BC1501" s="117"/>
      <c r="BD1501" s="117"/>
      <c r="BE1501" s="117"/>
      <c r="BF1501" s="117"/>
      <c r="BG1501" s="117"/>
    </row>
    <row r="1502" spans="1:59">
      <c r="A1502" s="117"/>
      <c r="B1502" s="117"/>
      <c r="C1502" s="117"/>
      <c r="D1502" s="117"/>
      <c r="E1502" s="117"/>
      <c r="F1502" s="117"/>
      <c r="G1502" s="117"/>
      <c r="H1502" s="117"/>
      <c r="I1502" s="117"/>
      <c r="J1502" s="118"/>
      <c r="K1502" s="118"/>
      <c r="L1502" s="118"/>
      <c r="M1502" s="118"/>
      <c r="N1502" s="117"/>
      <c r="O1502" s="117"/>
      <c r="P1502" s="117"/>
      <c r="Q1502" s="117"/>
      <c r="R1502" s="117"/>
      <c r="S1502" s="117"/>
      <c r="T1502" s="117"/>
      <c r="U1502" s="117"/>
      <c r="V1502" s="117"/>
      <c r="W1502" s="117"/>
      <c r="X1502" s="117"/>
      <c r="Y1502" s="117"/>
      <c r="Z1502" s="117"/>
      <c r="AA1502" s="117"/>
      <c r="AB1502" s="117"/>
      <c r="AC1502" s="117"/>
      <c r="AD1502" s="117"/>
      <c r="AE1502" s="117"/>
      <c r="AF1502" s="117"/>
      <c r="AG1502" s="117"/>
      <c r="AH1502" s="117"/>
      <c r="AI1502" s="117"/>
      <c r="AJ1502" s="117"/>
      <c r="AK1502" s="117"/>
      <c r="AL1502" s="117"/>
      <c r="AM1502" s="117"/>
      <c r="AN1502" s="117"/>
      <c r="AO1502" s="117"/>
      <c r="AP1502" s="117"/>
      <c r="AQ1502" s="117"/>
      <c r="AR1502" s="117"/>
      <c r="AS1502" s="117"/>
      <c r="AT1502" s="117"/>
      <c r="AU1502" s="117"/>
      <c r="AV1502" s="117"/>
      <c r="AW1502" s="117"/>
      <c r="AX1502" s="117"/>
      <c r="AY1502" s="117"/>
      <c r="AZ1502" s="117"/>
      <c r="BA1502" s="117"/>
      <c r="BB1502" s="117"/>
      <c r="BC1502" s="117"/>
      <c r="BD1502" s="117"/>
      <c r="BE1502" s="117"/>
      <c r="BF1502" s="117"/>
      <c r="BG1502" s="117"/>
    </row>
    <row r="1503" spans="1:59">
      <c r="A1503" s="117"/>
      <c r="B1503" s="117"/>
      <c r="C1503" s="117"/>
      <c r="D1503" s="117"/>
      <c r="E1503" s="117"/>
      <c r="F1503" s="117"/>
      <c r="G1503" s="117"/>
      <c r="H1503" s="117"/>
      <c r="I1503" s="117"/>
      <c r="J1503" s="118"/>
      <c r="K1503" s="118"/>
      <c r="L1503" s="118"/>
      <c r="M1503" s="118"/>
      <c r="N1503" s="117"/>
      <c r="O1503" s="117"/>
      <c r="P1503" s="117"/>
      <c r="Q1503" s="117"/>
      <c r="R1503" s="117"/>
      <c r="S1503" s="117"/>
      <c r="T1503" s="117"/>
      <c r="U1503" s="117"/>
      <c r="V1503" s="117"/>
      <c r="W1503" s="117"/>
      <c r="X1503" s="117"/>
      <c r="Y1503" s="117"/>
      <c r="Z1503" s="117"/>
      <c r="AA1503" s="117"/>
      <c r="AB1503" s="117"/>
      <c r="AC1503" s="117"/>
      <c r="AD1503" s="117"/>
      <c r="AE1503" s="117"/>
      <c r="AF1503" s="117"/>
      <c r="AG1503" s="117"/>
      <c r="AH1503" s="117"/>
      <c r="AI1503" s="117"/>
      <c r="AJ1503" s="117"/>
      <c r="AK1503" s="117"/>
      <c r="AL1503" s="117"/>
      <c r="AM1503" s="117"/>
      <c r="AN1503" s="117"/>
      <c r="AO1503" s="117"/>
      <c r="AP1503" s="117"/>
      <c r="AQ1503" s="117"/>
      <c r="AR1503" s="117"/>
      <c r="AS1503" s="117"/>
      <c r="AT1503" s="117"/>
      <c r="AU1503" s="117"/>
      <c r="AV1503" s="117"/>
      <c r="AW1503" s="117"/>
      <c r="AX1503" s="117"/>
      <c r="AY1503" s="117"/>
      <c r="AZ1503" s="117"/>
      <c r="BA1503" s="117"/>
      <c r="BB1503" s="117"/>
      <c r="BC1503" s="117"/>
      <c r="BD1503" s="117"/>
      <c r="BE1503" s="117"/>
      <c r="BF1503" s="117"/>
      <c r="BG1503" s="117"/>
    </row>
    <row r="1504" spans="1:59">
      <c r="A1504" s="117"/>
      <c r="B1504" s="117"/>
      <c r="C1504" s="117"/>
      <c r="D1504" s="117"/>
      <c r="E1504" s="117"/>
      <c r="F1504" s="117"/>
      <c r="G1504" s="117"/>
      <c r="H1504" s="117"/>
      <c r="I1504" s="117"/>
      <c r="J1504" s="118"/>
      <c r="K1504" s="118"/>
      <c r="L1504" s="118"/>
      <c r="M1504" s="118"/>
      <c r="N1504" s="117"/>
      <c r="O1504" s="117"/>
      <c r="P1504" s="117"/>
      <c r="Q1504" s="117"/>
      <c r="R1504" s="117"/>
      <c r="S1504" s="117"/>
      <c r="T1504" s="117"/>
      <c r="U1504" s="117"/>
      <c r="V1504" s="117"/>
      <c r="W1504" s="117"/>
      <c r="X1504" s="117"/>
      <c r="Y1504" s="117"/>
      <c r="Z1504" s="117"/>
      <c r="AA1504" s="117"/>
      <c r="AB1504" s="117"/>
      <c r="AC1504" s="117"/>
      <c r="AD1504" s="117"/>
      <c r="AE1504" s="117"/>
      <c r="AF1504" s="117"/>
      <c r="AG1504" s="117"/>
      <c r="AH1504" s="117"/>
      <c r="AI1504" s="117"/>
      <c r="AJ1504" s="117"/>
      <c r="AK1504" s="117"/>
      <c r="AL1504" s="117"/>
      <c r="AM1504" s="117"/>
      <c r="AN1504" s="117"/>
      <c r="AO1504" s="117"/>
      <c r="AP1504" s="117"/>
      <c r="AQ1504" s="117"/>
      <c r="AR1504" s="117"/>
      <c r="AS1504" s="117"/>
      <c r="AT1504" s="117"/>
      <c r="AU1504" s="117"/>
      <c r="AV1504" s="117"/>
      <c r="AW1504" s="117"/>
      <c r="AX1504" s="117"/>
      <c r="AY1504" s="117"/>
      <c r="AZ1504" s="117"/>
      <c r="BA1504" s="117"/>
      <c r="BB1504" s="117"/>
      <c r="BC1504" s="117"/>
      <c r="BD1504" s="117"/>
      <c r="BE1504" s="117"/>
      <c r="BF1504" s="117"/>
      <c r="BG1504" s="117"/>
    </row>
    <row r="1505" spans="1:59">
      <c r="A1505" s="117"/>
      <c r="B1505" s="117"/>
      <c r="C1505" s="117"/>
      <c r="D1505" s="117"/>
      <c r="E1505" s="117"/>
      <c r="F1505" s="117"/>
      <c r="G1505" s="117"/>
      <c r="H1505" s="117"/>
      <c r="I1505" s="117"/>
      <c r="J1505" s="118"/>
      <c r="K1505" s="118"/>
      <c r="L1505" s="118"/>
      <c r="M1505" s="118"/>
      <c r="N1505" s="117"/>
      <c r="O1505" s="117"/>
      <c r="P1505" s="117"/>
      <c r="Q1505" s="117"/>
      <c r="R1505" s="117"/>
      <c r="S1505" s="117"/>
      <c r="T1505" s="117"/>
      <c r="U1505" s="117"/>
      <c r="V1505" s="117"/>
      <c r="W1505" s="117"/>
      <c r="X1505" s="117"/>
      <c r="Y1505" s="117"/>
      <c r="Z1505" s="117"/>
      <c r="AA1505" s="117"/>
      <c r="AB1505" s="117"/>
      <c r="AC1505" s="117"/>
      <c r="AD1505" s="117"/>
      <c r="AE1505" s="117"/>
      <c r="AF1505" s="117"/>
      <c r="AG1505" s="117"/>
      <c r="AH1505" s="117"/>
      <c r="AI1505" s="117"/>
      <c r="AJ1505" s="117"/>
      <c r="AK1505" s="117"/>
      <c r="AL1505" s="117"/>
      <c r="AM1505" s="117"/>
      <c r="AN1505" s="117"/>
      <c r="AO1505" s="117"/>
      <c r="AP1505" s="117"/>
      <c r="AQ1505" s="117"/>
      <c r="AR1505" s="117"/>
      <c r="AS1505" s="117"/>
      <c r="AT1505" s="117"/>
      <c r="AU1505" s="117"/>
      <c r="AV1505" s="117"/>
      <c r="AW1505" s="117"/>
      <c r="AX1505" s="117"/>
      <c r="AY1505" s="117"/>
      <c r="AZ1505" s="117"/>
      <c r="BA1505" s="117"/>
      <c r="BB1505" s="117"/>
      <c r="BC1505" s="117"/>
      <c r="BD1505" s="117"/>
      <c r="BE1505" s="117"/>
      <c r="BF1505" s="117"/>
      <c r="BG1505" s="117"/>
    </row>
    <row r="1506" spans="1:59">
      <c r="A1506" s="117"/>
      <c r="B1506" s="117"/>
      <c r="C1506" s="117"/>
      <c r="D1506" s="117"/>
      <c r="E1506" s="117"/>
      <c r="F1506" s="117"/>
      <c r="G1506" s="117"/>
      <c r="H1506" s="117"/>
      <c r="I1506" s="117"/>
      <c r="J1506" s="118"/>
      <c r="K1506" s="118"/>
      <c r="L1506" s="118"/>
      <c r="M1506" s="118"/>
      <c r="N1506" s="117"/>
      <c r="O1506" s="117"/>
      <c r="P1506" s="117"/>
      <c r="Q1506" s="117"/>
      <c r="R1506" s="117"/>
      <c r="S1506" s="117"/>
      <c r="T1506" s="117"/>
      <c r="U1506" s="117"/>
      <c r="V1506" s="117"/>
      <c r="W1506" s="117"/>
      <c r="X1506" s="117"/>
      <c r="Y1506" s="117"/>
      <c r="Z1506" s="117"/>
      <c r="AA1506" s="117"/>
      <c r="AB1506" s="117"/>
      <c r="AC1506" s="117"/>
      <c r="AD1506" s="117"/>
      <c r="AE1506" s="117"/>
      <c r="AF1506" s="117"/>
      <c r="AG1506" s="117"/>
      <c r="AH1506" s="117"/>
      <c r="AI1506" s="117"/>
      <c r="AJ1506" s="117"/>
      <c r="AK1506" s="117"/>
      <c r="AL1506" s="117"/>
      <c r="AM1506" s="117"/>
      <c r="AN1506" s="117"/>
      <c r="AO1506" s="117"/>
      <c r="AP1506" s="117"/>
      <c r="AQ1506" s="117"/>
      <c r="AR1506" s="117"/>
      <c r="AS1506" s="117"/>
      <c r="AT1506" s="117"/>
      <c r="AU1506" s="117"/>
      <c r="AV1506" s="117"/>
      <c r="AW1506" s="117"/>
      <c r="AX1506" s="117"/>
      <c r="AY1506" s="117"/>
      <c r="AZ1506" s="117"/>
      <c r="BA1506" s="117"/>
      <c r="BB1506" s="117"/>
      <c r="BC1506" s="117"/>
      <c r="BD1506" s="117"/>
      <c r="BE1506" s="117"/>
      <c r="BF1506" s="117"/>
      <c r="BG1506" s="117"/>
    </row>
    <row r="1507" spans="1:59">
      <c r="A1507" s="117"/>
      <c r="B1507" s="117"/>
      <c r="C1507" s="117"/>
      <c r="D1507" s="117"/>
      <c r="E1507" s="117"/>
      <c r="F1507" s="117"/>
      <c r="G1507" s="117"/>
      <c r="H1507" s="117"/>
      <c r="I1507" s="117"/>
      <c r="J1507" s="118"/>
      <c r="K1507" s="118"/>
      <c r="L1507" s="118"/>
      <c r="M1507" s="118"/>
      <c r="N1507" s="117"/>
      <c r="O1507" s="117"/>
      <c r="P1507" s="117"/>
      <c r="Q1507" s="117"/>
      <c r="R1507" s="117"/>
      <c r="S1507" s="117"/>
      <c r="T1507" s="117"/>
      <c r="U1507" s="117"/>
      <c r="V1507" s="117"/>
      <c r="W1507" s="117"/>
      <c r="X1507" s="117"/>
      <c r="Y1507" s="117"/>
      <c r="Z1507" s="117"/>
      <c r="AA1507" s="117"/>
      <c r="AB1507" s="117"/>
      <c r="AC1507" s="117"/>
      <c r="AD1507" s="117"/>
      <c r="AE1507" s="117"/>
      <c r="AF1507" s="117"/>
      <c r="AG1507" s="117"/>
      <c r="AH1507" s="117"/>
      <c r="AI1507" s="117"/>
      <c r="AJ1507" s="117"/>
      <c r="AK1507" s="117"/>
      <c r="AL1507" s="117"/>
      <c r="AM1507" s="117"/>
      <c r="AN1507" s="117"/>
      <c r="AO1507" s="117"/>
      <c r="AP1507" s="117"/>
      <c r="AQ1507" s="117"/>
      <c r="AR1507" s="117"/>
      <c r="AS1507" s="117"/>
      <c r="AT1507" s="117"/>
      <c r="AU1507" s="117"/>
      <c r="AV1507" s="117"/>
      <c r="AW1507" s="117"/>
      <c r="AX1507" s="117"/>
      <c r="AY1507" s="117"/>
      <c r="AZ1507" s="117"/>
      <c r="BA1507" s="117"/>
      <c r="BB1507" s="117"/>
      <c r="BC1507" s="117"/>
      <c r="BD1507" s="117"/>
      <c r="BE1507" s="117"/>
      <c r="BF1507" s="117"/>
      <c r="BG1507" s="117"/>
    </row>
    <row r="1508" spans="1:59">
      <c r="A1508" s="117"/>
      <c r="B1508" s="117"/>
      <c r="C1508" s="117"/>
      <c r="D1508" s="117"/>
      <c r="E1508" s="117"/>
      <c r="F1508" s="117"/>
      <c r="G1508" s="117"/>
      <c r="H1508" s="117"/>
      <c r="I1508" s="117"/>
      <c r="J1508" s="118"/>
      <c r="K1508" s="118"/>
      <c r="L1508" s="118"/>
      <c r="M1508" s="118"/>
      <c r="N1508" s="117"/>
      <c r="O1508" s="117"/>
      <c r="P1508" s="117"/>
      <c r="Q1508" s="117"/>
      <c r="R1508" s="117"/>
      <c r="S1508" s="117"/>
      <c r="T1508" s="117"/>
      <c r="U1508" s="117"/>
      <c r="V1508" s="117"/>
      <c r="W1508" s="117"/>
      <c r="X1508" s="117"/>
      <c r="Y1508" s="117"/>
      <c r="Z1508" s="117"/>
      <c r="AA1508" s="117"/>
      <c r="AB1508" s="117"/>
      <c r="AC1508" s="117"/>
      <c r="AD1508" s="117"/>
      <c r="AE1508" s="117"/>
      <c r="AF1508" s="117"/>
      <c r="AG1508" s="117"/>
      <c r="AH1508" s="117"/>
      <c r="AI1508" s="117"/>
      <c r="AJ1508" s="117"/>
      <c r="AK1508" s="117"/>
      <c r="AL1508" s="117"/>
      <c r="AM1508" s="117"/>
      <c r="AN1508" s="117"/>
      <c r="AO1508" s="117"/>
      <c r="AP1508" s="117"/>
      <c r="AQ1508" s="117"/>
      <c r="AR1508" s="117"/>
      <c r="AS1508" s="117"/>
      <c r="AT1508" s="117"/>
      <c r="AU1508" s="117"/>
      <c r="AV1508" s="117"/>
      <c r="AW1508" s="117"/>
      <c r="AX1508" s="117"/>
      <c r="AY1508" s="117"/>
      <c r="AZ1508" s="117"/>
      <c r="BA1508" s="117"/>
      <c r="BB1508" s="117"/>
      <c r="BC1508" s="117"/>
      <c r="BD1508" s="117"/>
      <c r="BE1508" s="117"/>
      <c r="BF1508" s="117"/>
      <c r="BG1508" s="117"/>
    </row>
    <row r="1509" spans="1:59">
      <c r="A1509" s="117"/>
      <c r="B1509" s="117"/>
      <c r="C1509" s="117"/>
      <c r="D1509" s="117"/>
      <c r="E1509" s="117"/>
      <c r="F1509" s="117"/>
      <c r="G1509" s="117"/>
      <c r="H1509" s="117"/>
      <c r="I1509" s="117"/>
      <c r="J1509" s="118"/>
      <c r="K1509" s="118"/>
      <c r="L1509" s="118"/>
      <c r="M1509" s="118"/>
      <c r="N1509" s="117"/>
      <c r="O1509" s="117"/>
      <c r="P1509" s="117"/>
      <c r="Q1509" s="117"/>
      <c r="R1509" s="117"/>
      <c r="S1509" s="117"/>
      <c r="T1509" s="117"/>
      <c r="U1509" s="117"/>
      <c r="V1509" s="117"/>
      <c r="W1509" s="117"/>
      <c r="X1509" s="117"/>
      <c r="Y1509" s="117"/>
      <c r="Z1509" s="117"/>
      <c r="AA1509" s="117"/>
      <c r="AB1509" s="117"/>
      <c r="AC1509" s="117"/>
      <c r="AD1509" s="117"/>
      <c r="AE1509" s="117"/>
      <c r="AF1509" s="117"/>
      <c r="AG1509" s="117"/>
      <c r="AH1509" s="117"/>
      <c r="AI1509" s="117"/>
      <c r="AJ1509" s="117"/>
      <c r="AK1509" s="117"/>
      <c r="AL1509" s="117"/>
      <c r="AM1509" s="117"/>
      <c r="AN1509" s="117"/>
      <c r="AO1509" s="117"/>
      <c r="AP1509" s="117"/>
      <c r="AQ1509" s="117"/>
      <c r="AR1509" s="117"/>
      <c r="AS1509" s="117"/>
      <c r="AT1509" s="117"/>
      <c r="AU1509" s="117"/>
      <c r="AV1509" s="117"/>
      <c r="AW1509" s="117"/>
      <c r="AX1509" s="117"/>
      <c r="AY1509" s="117"/>
      <c r="AZ1509" s="117"/>
      <c r="BA1509" s="117"/>
      <c r="BB1509" s="117"/>
      <c r="BC1509" s="117"/>
      <c r="BD1509" s="117"/>
      <c r="BE1509" s="117"/>
      <c r="BF1509" s="117"/>
      <c r="BG1509" s="117"/>
    </row>
    <row r="1510" spans="1:59">
      <c r="A1510" s="117"/>
      <c r="B1510" s="117"/>
      <c r="C1510" s="117"/>
      <c r="D1510" s="117"/>
      <c r="E1510" s="117"/>
      <c r="F1510" s="117"/>
      <c r="G1510" s="117"/>
      <c r="H1510" s="117"/>
      <c r="I1510" s="117"/>
      <c r="J1510" s="118"/>
      <c r="K1510" s="118"/>
      <c r="L1510" s="118"/>
      <c r="M1510" s="118"/>
      <c r="N1510" s="117"/>
      <c r="O1510" s="117"/>
      <c r="P1510" s="117"/>
      <c r="Q1510" s="117"/>
      <c r="R1510" s="117"/>
      <c r="S1510" s="117"/>
      <c r="T1510" s="117"/>
      <c r="U1510" s="117"/>
      <c r="V1510" s="117"/>
      <c r="W1510" s="117"/>
      <c r="X1510" s="117"/>
      <c r="Y1510" s="117"/>
      <c r="Z1510" s="117"/>
      <c r="AA1510" s="117"/>
      <c r="AB1510" s="117"/>
      <c r="AC1510" s="117"/>
      <c r="AD1510" s="117"/>
      <c r="AE1510" s="117"/>
      <c r="AF1510" s="117"/>
      <c r="AG1510" s="117"/>
      <c r="AH1510" s="117"/>
      <c r="AI1510" s="117"/>
      <c r="AJ1510" s="117"/>
      <c r="AK1510" s="117"/>
      <c r="AL1510" s="117"/>
      <c r="AM1510" s="117"/>
      <c r="AN1510" s="117"/>
      <c r="AO1510" s="117"/>
      <c r="AP1510" s="117"/>
      <c r="AQ1510" s="117"/>
      <c r="AR1510" s="117"/>
      <c r="AS1510" s="117"/>
      <c r="AT1510" s="117"/>
      <c r="AU1510" s="117"/>
      <c r="AV1510" s="117"/>
      <c r="AW1510" s="117"/>
      <c r="AX1510" s="117"/>
      <c r="AY1510" s="117"/>
      <c r="AZ1510" s="117"/>
      <c r="BA1510" s="117"/>
      <c r="BB1510" s="117"/>
      <c r="BC1510" s="117"/>
      <c r="BD1510" s="117"/>
      <c r="BE1510" s="117"/>
      <c r="BF1510" s="117"/>
      <c r="BG1510" s="117"/>
    </row>
    <row r="1511" spans="1:59">
      <c r="A1511" s="117"/>
      <c r="B1511" s="117"/>
      <c r="C1511" s="117"/>
      <c r="D1511" s="117"/>
      <c r="E1511" s="117"/>
      <c r="F1511" s="117"/>
      <c r="G1511" s="117"/>
      <c r="H1511" s="117"/>
      <c r="I1511" s="117"/>
      <c r="J1511" s="118"/>
      <c r="K1511" s="118"/>
      <c r="L1511" s="118"/>
      <c r="M1511" s="118"/>
      <c r="N1511" s="117"/>
      <c r="O1511" s="117"/>
      <c r="P1511" s="117"/>
      <c r="Q1511" s="117"/>
      <c r="R1511" s="117"/>
      <c r="S1511" s="117"/>
      <c r="T1511" s="117"/>
      <c r="U1511" s="117"/>
      <c r="V1511" s="117"/>
      <c r="W1511" s="117"/>
      <c r="X1511" s="117"/>
      <c r="Y1511" s="117"/>
      <c r="Z1511" s="117"/>
      <c r="AA1511" s="117"/>
      <c r="AB1511" s="117"/>
      <c r="AC1511" s="117"/>
      <c r="AD1511" s="117"/>
      <c r="AE1511" s="117"/>
      <c r="AF1511" s="117"/>
      <c r="AG1511" s="117"/>
      <c r="AH1511" s="117"/>
      <c r="AI1511" s="117"/>
      <c r="AJ1511" s="117"/>
      <c r="AK1511" s="117"/>
      <c r="AL1511" s="117"/>
      <c r="AM1511" s="117"/>
      <c r="AN1511" s="117"/>
      <c r="AO1511" s="117"/>
      <c r="AP1511" s="117"/>
      <c r="AQ1511" s="117"/>
      <c r="AR1511" s="117"/>
      <c r="AS1511" s="117"/>
      <c r="AT1511" s="117"/>
      <c r="AU1511" s="117"/>
      <c r="AV1511" s="117"/>
      <c r="AW1511" s="117"/>
      <c r="AX1511" s="117"/>
      <c r="AY1511" s="117"/>
      <c r="AZ1511" s="117"/>
      <c r="BA1511" s="117"/>
      <c r="BB1511" s="117"/>
      <c r="BC1511" s="117"/>
      <c r="BD1511" s="117"/>
      <c r="BE1511" s="117"/>
      <c r="BF1511" s="117"/>
      <c r="BG1511" s="117"/>
    </row>
    <row r="1512" spans="1:59">
      <c r="A1512" s="117"/>
      <c r="B1512" s="117"/>
      <c r="C1512" s="117"/>
      <c r="D1512" s="117"/>
      <c r="E1512" s="117"/>
      <c r="F1512" s="117"/>
      <c r="G1512" s="117"/>
      <c r="H1512" s="117"/>
      <c r="I1512" s="117"/>
      <c r="J1512" s="118"/>
      <c r="K1512" s="118"/>
      <c r="L1512" s="118"/>
      <c r="M1512" s="118"/>
      <c r="N1512" s="117"/>
      <c r="O1512" s="117"/>
      <c r="P1512" s="117"/>
      <c r="Q1512" s="117"/>
      <c r="R1512" s="117"/>
      <c r="S1512" s="117"/>
      <c r="T1512" s="117"/>
      <c r="U1512" s="117"/>
      <c r="V1512" s="117"/>
      <c r="W1512" s="117"/>
      <c r="X1512" s="117"/>
      <c r="Y1512" s="117"/>
      <c r="Z1512" s="117"/>
      <c r="AA1512" s="117"/>
      <c r="AB1512" s="117"/>
      <c r="AC1512" s="117"/>
      <c r="AD1512" s="117"/>
      <c r="AE1512" s="117"/>
      <c r="AF1512" s="117"/>
      <c r="AG1512" s="117"/>
      <c r="AH1512" s="117"/>
      <c r="AI1512" s="117"/>
      <c r="AJ1512" s="117"/>
      <c r="AK1512" s="117"/>
      <c r="AL1512" s="117"/>
      <c r="AM1512" s="117"/>
      <c r="AN1512" s="117"/>
      <c r="AO1512" s="117"/>
      <c r="AP1512" s="117"/>
      <c r="AQ1512" s="117"/>
      <c r="AR1512" s="117"/>
      <c r="AS1512" s="117"/>
      <c r="AT1512" s="117"/>
      <c r="AU1512" s="117"/>
      <c r="AV1512" s="117"/>
      <c r="AW1512" s="117"/>
      <c r="AX1512" s="117"/>
      <c r="AY1512" s="117"/>
      <c r="AZ1512" s="117"/>
      <c r="BA1512" s="117"/>
      <c r="BB1512" s="117"/>
      <c r="BC1512" s="117"/>
      <c r="BD1512" s="117"/>
      <c r="BE1512" s="117"/>
      <c r="BF1512" s="117"/>
      <c r="BG1512" s="117"/>
    </row>
    <row r="1513" spans="1:59">
      <c r="A1513" s="117"/>
      <c r="B1513" s="117"/>
      <c r="C1513" s="117"/>
      <c r="D1513" s="117"/>
      <c r="E1513" s="117"/>
      <c r="F1513" s="117"/>
      <c r="G1513" s="117"/>
      <c r="H1513" s="117"/>
      <c r="I1513" s="117"/>
      <c r="J1513" s="118"/>
      <c r="K1513" s="118"/>
      <c r="L1513" s="118"/>
      <c r="M1513" s="118"/>
      <c r="N1513" s="117"/>
      <c r="O1513" s="117"/>
      <c r="P1513" s="117"/>
      <c r="Q1513" s="117"/>
      <c r="R1513" s="117"/>
      <c r="S1513" s="117"/>
      <c r="T1513" s="117"/>
      <c r="U1513" s="117"/>
      <c r="V1513" s="117"/>
      <c r="W1513" s="117"/>
      <c r="X1513" s="117"/>
      <c r="Y1513" s="117"/>
      <c r="Z1513" s="117"/>
      <c r="AA1513" s="117"/>
      <c r="AB1513" s="117"/>
      <c r="AC1513" s="117"/>
      <c r="AD1513" s="117"/>
      <c r="AE1513" s="117"/>
      <c r="AF1513" s="117"/>
      <c r="AG1513" s="117"/>
      <c r="AH1513" s="117"/>
      <c r="AI1513" s="117"/>
      <c r="AJ1513" s="117"/>
      <c r="AK1513" s="117"/>
      <c r="AL1513" s="117"/>
      <c r="AM1513" s="117"/>
      <c r="AN1513" s="117"/>
      <c r="AO1513" s="117"/>
      <c r="AP1513" s="117"/>
      <c r="AQ1513" s="117"/>
      <c r="AR1513" s="117"/>
      <c r="AS1513" s="117"/>
      <c r="AT1513" s="117"/>
      <c r="AU1513" s="117"/>
      <c r="AV1513" s="117"/>
      <c r="AW1513" s="117"/>
      <c r="AX1513" s="117"/>
      <c r="AY1513" s="117"/>
      <c r="AZ1513" s="117"/>
      <c r="BA1513" s="117"/>
      <c r="BB1513" s="117"/>
      <c r="BC1513" s="117"/>
      <c r="BD1513" s="117"/>
      <c r="BE1513" s="117"/>
      <c r="BF1513" s="117"/>
      <c r="BG1513" s="117"/>
    </row>
    <row r="1514" spans="1:59">
      <c r="A1514" s="117"/>
      <c r="B1514" s="117"/>
      <c r="C1514" s="117"/>
      <c r="D1514" s="117"/>
      <c r="E1514" s="117"/>
      <c r="F1514" s="117"/>
      <c r="G1514" s="117"/>
      <c r="H1514" s="117"/>
      <c r="I1514" s="117"/>
      <c r="J1514" s="118"/>
      <c r="K1514" s="118"/>
      <c r="L1514" s="118"/>
      <c r="M1514" s="118"/>
      <c r="N1514" s="117"/>
      <c r="O1514" s="117"/>
      <c r="P1514" s="117"/>
      <c r="Q1514" s="117"/>
      <c r="R1514" s="117"/>
      <c r="S1514" s="117"/>
      <c r="T1514" s="117"/>
      <c r="U1514" s="117"/>
      <c r="V1514" s="117"/>
      <c r="W1514" s="117"/>
      <c r="X1514" s="117"/>
      <c r="Y1514" s="117"/>
      <c r="Z1514" s="117"/>
      <c r="AA1514" s="117"/>
      <c r="AB1514" s="117"/>
      <c r="AC1514" s="117"/>
      <c r="AD1514" s="117"/>
      <c r="AE1514" s="117"/>
      <c r="AF1514" s="117"/>
      <c r="AG1514" s="117"/>
      <c r="AH1514" s="117"/>
      <c r="AI1514" s="117"/>
      <c r="AJ1514" s="117"/>
      <c r="AK1514" s="117"/>
      <c r="AL1514" s="117"/>
      <c r="AM1514" s="117"/>
      <c r="AN1514" s="117"/>
      <c r="AO1514" s="117"/>
      <c r="AP1514" s="117"/>
      <c r="AQ1514" s="117"/>
      <c r="AR1514" s="117"/>
      <c r="AS1514" s="117"/>
      <c r="AT1514" s="117"/>
      <c r="AU1514" s="117"/>
      <c r="AV1514" s="117"/>
      <c r="AW1514" s="117"/>
      <c r="AX1514" s="117"/>
      <c r="AY1514" s="117"/>
      <c r="AZ1514" s="117"/>
      <c r="BA1514" s="117"/>
      <c r="BB1514" s="117"/>
      <c r="BC1514" s="117"/>
      <c r="BD1514" s="117"/>
      <c r="BE1514" s="117"/>
      <c r="BF1514" s="117"/>
      <c r="BG1514" s="117"/>
    </row>
    <row r="1515" spans="1:59">
      <c r="A1515" s="117"/>
      <c r="B1515" s="117"/>
      <c r="C1515" s="117"/>
      <c r="D1515" s="117"/>
      <c r="E1515" s="117"/>
      <c r="F1515" s="117"/>
      <c r="G1515" s="117"/>
      <c r="H1515" s="117"/>
      <c r="I1515" s="117"/>
      <c r="J1515" s="118"/>
      <c r="K1515" s="118"/>
      <c r="L1515" s="118"/>
      <c r="M1515" s="118"/>
      <c r="N1515" s="117"/>
      <c r="O1515" s="117"/>
      <c r="P1515" s="117"/>
      <c r="Q1515" s="117"/>
      <c r="R1515" s="117"/>
      <c r="S1515" s="117"/>
      <c r="T1515" s="117"/>
      <c r="U1515" s="117"/>
      <c r="V1515" s="117"/>
      <c r="W1515" s="117"/>
      <c r="X1515" s="117"/>
      <c r="Y1515" s="117"/>
      <c r="Z1515" s="117"/>
      <c r="AA1515" s="117"/>
      <c r="AB1515" s="117"/>
      <c r="AC1515" s="117"/>
      <c r="AD1515" s="117"/>
      <c r="AE1515" s="117"/>
      <c r="AF1515" s="117"/>
      <c r="AG1515" s="117"/>
      <c r="AH1515" s="117"/>
      <c r="AI1515" s="117"/>
      <c r="AJ1515" s="117"/>
      <c r="AK1515" s="117"/>
      <c r="AL1515" s="117"/>
      <c r="AM1515" s="117"/>
      <c r="AN1515" s="117"/>
      <c r="AO1515" s="117"/>
      <c r="AP1515" s="117"/>
      <c r="AQ1515" s="117"/>
      <c r="AR1515" s="117"/>
      <c r="AS1515" s="117"/>
      <c r="AT1515" s="117"/>
      <c r="AU1515" s="117"/>
      <c r="AV1515" s="117"/>
      <c r="AW1515" s="117"/>
      <c r="AX1515" s="117"/>
      <c r="AY1515" s="117"/>
      <c r="AZ1515" s="117"/>
      <c r="BA1515" s="117"/>
      <c r="BB1515" s="117"/>
      <c r="BC1515" s="117"/>
      <c r="BD1515" s="117"/>
      <c r="BE1515" s="117"/>
      <c r="BF1515" s="117"/>
      <c r="BG1515" s="117"/>
    </row>
    <row r="1516" spans="1:59">
      <c r="A1516" s="117"/>
      <c r="B1516" s="117"/>
      <c r="C1516" s="117"/>
      <c r="D1516" s="117"/>
      <c r="E1516" s="117"/>
      <c r="F1516" s="117"/>
      <c r="G1516" s="117"/>
      <c r="H1516" s="117"/>
      <c r="I1516" s="117"/>
      <c r="J1516" s="118"/>
      <c r="K1516" s="118"/>
      <c r="L1516" s="118"/>
      <c r="M1516" s="118"/>
      <c r="N1516" s="117"/>
      <c r="O1516" s="117"/>
      <c r="P1516" s="117"/>
      <c r="Q1516" s="117"/>
      <c r="R1516" s="117"/>
      <c r="S1516" s="117"/>
      <c r="T1516" s="117"/>
      <c r="U1516" s="117"/>
      <c r="V1516" s="117"/>
      <c r="W1516" s="117"/>
      <c r="X1516" s="117"/>
      <c r="Y1516" s="117"/>
      <c r="Z1516" s="117"/>
      <c r="AA1516" s="117"/>
      <c r="AB1516" s="117"/>
      <c r="AC1516" s="117"/>
      <c r="AD1516" s="117"/>
      <c r="AE1516" s="117"/>
      <c r="AF1516" s="117"/>
      <c r="AG1516" s="117"/>
      <c r="AH1516" s="117"/>
      <c r="AI1516" s="117"/>
      <c r="AJ1516" s="117"/>
      <c r="AK1516" s="117"/>
      <c r="AL1516" s="117"/>
      <c r="AM1516" s="117"/>
      <c r="AN1516" s="117"/>
      <c r="AO1516" s="117"/>
      <c r="AP1516" s="117"/>
      <c r="AQ1516" s="117"/>
      <c r="AR1516" s="117"/>
      <c r="AS1516" s="117"/>
      <c r="AT1516" s="117"/>
      <c r="AU1516" s="117"/>
      <c r="AV1516" s="117"/>
      <c r="AW1516" s="117"/>
      <c r="AX1516" s="117"/>
      <c r="AY1516" s="117"/>
      <c r="AZ1516" s="117"/>
      <c r="BA1516" s="117"/>
      <c r="BB1516" s="117"/>
      <c r="BC1516" s="117"/>
      <c r="BD1516" s="117"/>
      <c r="BE1516" s="117"/>
      <c r="BF1516" s="117"/>
      <c r="BG1516" s="117"/>
    </row>
    <row r="1517" spans="1:59">
      <c r="A1517" s="117"/>
      <c r="B1517" s="117"/>
      <c r="C1517" s="117"/>
      <c r="D1517" s="117"/>
      <c r="E1517" s="117"/>
      <c r="F1517" s="117"/>
      <c r="G1517" s="117"/>
      <c r="H1517" s="117"/>
      <c r="I1517" s="117"/>
      <c r="J1517" s="118"/>
      <c r="K1517" s="118"/>
      <c r="L1517" s="118"/>
      <c r="M1517" s="118"/>
      <c r="N1517" s="117"/>
      <c r="O1517" s="117"/>
      <c r="P1517" s="117"/>
      <c r="Q1517" s="117"/>
      <c r="R1517" s="117"/>
      <c r="S1517" s="117"/>
      <c r="T1517" s="117"/>
      <c r="U1517" s="117"/>
      <c r="V1517" s="117"/>
      <c r="W1517" s="117"/>
      <c r="X1517" s="117"/>
      <c r="Y1517" s="117"/>
      <c r="Z1517" s="117"/>
      <c r="AA1517" s="117"/>
      <c r="AB1517" s="117"/>
      <c r="AC1517" s="117"/>
      <c r="AD1517" s="117"/>
      <c r="AE1517" s="117"/>
      <c r="AF1517" s="117"/>
      <c r="AG1517" s="117"/>
      <c r="AH1517" s="117"/>
      <c r="AI1517" s="117"/>
      <c r="AJ1517" s="117"/>
      <c r="AK1517" s="117"/>
      <c r="AL1517" s="117"/>
      <c r="AM1517" s="117"/>
      <c r="AN1517" s="117"/>
      <c r="AO1517" s="117"/>
      <c r="AP1517" s="117"/>
      <c r="AQ1517" s="117"/>
      <c r="AR1517" s="117"/>
      <c r="AS1517" s="117"/>
      <c r="AT1517" s="117"/>
      <c r="AU1517" s="117"/>
      <c r="AV1517" s="117"/>
      <c r="AW1517" s="117"/>
      <c r="AX1517" s="117"/>
      <c r="AY1517" s="117"/>
      <c r="AZ1517" s="117"/>
      <c r="BA1517" s="117"/>
      <c r="BB1517" s="117"/>
      <c r="BC1517" s="117"/>
      <c r="BD1517" s="117"/>
      <c r="BE1517" s="117"/>
      <c r="BF1517" s="117"/>
      <c r="BG1517" s="117"/>
    </row>
    <row r="1518" spans="1:59">
      <c r="A1518" s="117"/>
      <c r="B1518" s="117"/>
      <c r="C1518" s="117"/>
      <c r="D1518" s="117"/>
      <c r="E1518" s="117"/>
      <c r="F1518" s="117"/>
      <c r="G1518" s="117"/>
      <c r="H1518" s="117"/>
      <c r="I1518" s="117"/>
      <c r="J1518" s="118"/>
      <c r="K1518" s="118"/>
      <c r="L1518" s="118"/>
      <c r="M1518" s="118"/>
      <c r="N1518" s="117"/>
      <c r="O1518" s="117"/>
      <c r="P1518" s="117"/>
      <c r="Q1518" s="117"/>
      <c r="R1518" s="117"/>
      <c r="S1518" s="117"/>
      <c r="T1518" s="117"/>
      <c r="U1518" s="117"/>
      <c r="V1518" s="117"/>
      <c r="W1518" s="117"/>
      <c r="X1518" s="117"/>
      <c r="Y1518" s="117"/>
      <c r="Z1518" s="117"/>
      <c r="AA1518" s="117"/>
      <c r="AB1518" s="117"/>
      <c r="AC1518" s="117"/>
      <c r="AD1518" s="117"/>
      <c r="AE1518" s="117"/>
      <c r="AF1518" s="117"/>
      <c r="AG1518" s="117"/>
      <c r="AH1518" s="117"/>
      <c r="AI1518" s="117"/>
      <c r="AJ1518" s="117"/>
      <c r="AK1518" s="117"/>
      <c r="AL1518" s="117"/>
      <c r="AM1518" s="117"/>
      <c r="AN1518" s="117"/>
      <c r="AO1518" s="117"/>
      <c r="AP1518" s="117"/>
      <c r="AQ1518" s="117"/>
      <c r="AR1518" s="117"/>
      <c r="AS1518" s="117"/>
      <c r="AT1518" s="117"/>
      <c r="AU1518" s="117"/>
      <c r="AV1518" s="117"/>
      <c r="AW1518" s="117"/>
      <c r="AX1518" s="117"/>
      <c r="AY1518" s="117"/>
      <c r="AZ1518" s="117"/>
      <c r="BA1518" s="117"/>
      <c r="BB1518" s="117"/>
      <c r="BC1518" s="117"/>
      <c r="BD1518" s="117"/>
      <c r="BE1518" s="117"/>
      <c r="BF1518" s="117"/>
      <c r="BG1518" s="117"/>
    </row>
    <row r="1519" spans="1:59">
      <c r="A1519" s="117"/>
      <c r="B1519" s="117"/>
      <c r="C1519" s="117"/>
      <c r="D1519" s="117"/>
      <c r="E1519" s="117"/>
      <c r="F1519" s="117"/>
      <c r="G1519" s="117"/>
      <c r="H1519" s="117"/>
      <c r="I1519" s="117"/>
      <c r="J1519" s="118"/>
      <c r="K1519" s="118"/>
      <c r="L1519" s="118"/>
      <c r="M1519" s="118"/>
      <c r="N1519" s="117"/>
      <c r="O1519" s="117"/>
      <c r="P1519" s="117"/>
      <c r="Q1519" s="117"/>
      <c r="R1519" s="117"/>
      <c r="S1519" s="117"/>
      <c r="T1519" s="117"/>
      <c r="U1519" s="117"/>
      <c r="V1519" s="117"/>
      <c r="W1519" s="117"/>
      <c r="X1519" s="117"/>
      <c r="Y1519" s="117"/>
      <c r="Z1519" s="117"/>
      <c r="AA1519" s="117"/>
      <c r="AB1519" s="117"/>
      <c r="AC1519" s="117"/>
      <c r="AD1519" s="117"/>
      <c r="AE1519" s="117"/>
      <c r="AF1519" s="117"/>
      <c r="AG1519" s="117"/>
      <c r="AH1519" s="117"/>
      <c r="AI1519" s="117"/>
      <c r="AJ1519" s="117"/>
      <c r="AK1519" s="117"/>
      <c r="AL1519" s="117"/>
      <c r="AM1519" s="117"/>
      <c r="AN1519" s="117"/>
      <c r="AO1519" s="117"/>
      <c r="AP1519" s="117"/>
      <c r="AQ1519" s="117"/>
      <c r="AR1519" s="117"/>
      <c r="AS1519" s="117"/>
      <c r="AT1519" s="117"/>
      <c r="AU1519" s="117"/>
      <c r="AV1519" s="117"/>
      <c r="AW1519" s="117"/>
      <c r="AX1519" s="117"/>
      <c r="AY1519" s="117"/>
      <c r="AZ1519" s="117"/>
      <c r="BA1519" s="117"/>
      <c r="BB1519" s="117"/>
      <c r="BC1519" s="117"/>
      <c r="BD1519" s="117"/>
      <c r="BE1519" s="117"/>
      <c r="BF1519" s="117"/>
      <c r="BG1519" s="117"/>
    </row>
    <row r="1520" spans="1:59">
      <c r="A1520" s="117"/>
      <c r="B1520" s="117"/>
      <c r="C1520" s="117"/>
      <c r="D1520" s="117"/>
      <c r="E1520" s="117"/>
      <c r="F1520" s="117"/>
      <c r="G1520" s="117"/>
      <c r="H1520" s="117"/>
      <c r="I1520" s="117"/>
      <c r="J1520" s="118"/>
      <c r="K1520" s="118"/>
      <c r="L1520" s="118"/>
      <c r="M1520" s="118"/>
      <c r="N1520" s="117"/>
      <c r="O1520" s="117"/>
      <c r="P1520" s="117"/>
      <c r="Q1520" s="117"/>
      <c r="R1520" s="117"/>
      <c r="S1520" s="117"/>
      <c r="T1520" s="117"/>
      <c r="U1520" s="117"/>
      <c r="V1520" s="117"/>
      <c r="W1520" s="117"/>
      <c r="X1520" s="117"/>
      <c r="Y1520" s="117"/>
      <c r="Z1520" s="117"/>
      <c r="AA1520" s="117"/>
      <c r="AB1520" s="117"/>
      <c r="AC1520" s="117"/>
      <c r="AD1520" s="117"/>
      <c r="AE1520" s="117"/>
      <c r="AF1520" s="117"/>
      <c r="AG1520" s="117"/>
      <c r="AH1520" s="117"/>
      <c r="AI1520" s="117"/>
      <c r="AJ1520" s="117"/>
      <c r="AK1520" s="117"/>
      <c r="AL1520" s="117"/>
      <c r="AM1520" s="117"/>
      <c r="AN1520" s="117"/>
      <c r="AO1520" s="117"/>
      <c r="AP1520" s="117"/>
      <c r="AQ1520" s="117"/>
      <c r="AR1520" s="117"/>
      <c r="AS1520" s="117"/>
      <c r="AT1520" s="117"/>
      <c r="AU1520" s="117"/>
      <c r="AV1520" s="117"/>
      <c r="AW1520" s="117"/>
      <c r="AX1520" s="117"/>
      <c r="AY1520" s="117"/>
      <c r="AZ1520" s="117"/>
      <c r="BA1520" s="117"/>
      <c r="BB1520" s="117"/>
      <c r="BC1520" s="117"/>
      <c r="BD1520" s="117"/>
      <c r="BE1520" s="117"/>
      <c r="BF1520" s="117"/>
      <c r="BG1520" s="117"/>
    </row>
    <row r="1521" spans="1:59">
      <c r="A1521" s="117"/>
      <c r="B1521" s="117"/>
      <c r="C1521" s="117"/>
      <c r="D1521" s="117"/>
      <c r="E1521" s="117"/>
      <c r="F1521" s="117"/>
      <c r="G1521" s="117"/>
      <c r="H1521" s="117"/>
      <c r="I1521" s="117"/>
      <c r="J1521" s="118"/>
      <c r="K1521" s="118"/>
      <c r="L1521" s="118"/>
      <c r="M1521" s="118"/>
      <c r="N1521" s="117"/>
      <c r="O1521" s="117"/>
      <c r="P1521" s="117"/>
      <c r="Q1521" s="117"/>
      <c r="R1521" s="117"/>
      <c r="S1521" s="117"/>
      <c r="T1521" s="117"/>
      <c r="U1521" s="117"/>
      <c r="V1521" s="117"/>
      <c r="W1521" s="117"/>
      <c r="X1521" s="117"/>
      <c r="Y1521" s="117"/>
      <c r="Z1521" s="117"/>
      <c r="AA1521" s="117"/>
      <c r="AB1521" s="117"/>
      <c r="AC1521" s="117"/>
      <c r="AD1521" s="117"/>
      <c r="AE1521" s="117"/>
      <c r="AF1521" s="117"/>
      <c r="AG1521" s="117"/>
      <c r="AH1521" s="117"/>
      <c r="AI1521" s="117"/>
      <c r="AJ1521" s="117"/>
      <c r="AK1521" s="117"/>
      <c r="AL1521" s="117"/>
      <c r="AM1521" s="117"/>
      <c r="AN1521" s="117"/>
      <c r="AO1521" s="117"/>
      <c r="AP1521" s="117"/>
      <c r="AQ1521" s="117"/>
      <c r="AR1521" s="117"/>
      <c r="AS1521" s="117"/>
      <c r="AT1521" s="117"/>
      <c r="AU1521" s="117"/>
      <c r="AV1521" s="117"/>
      <c r="AW1521" s="117"/>
      <c r="AX1521" s="117"/>
      <c r="AY1521" s="117"/>
      <c r="AZ1521" s="117"/>
      <c r="BA1521" s="117"/>
      <c r="BB1521" s="117"/>
      <c r="BC1521" s="117"/>
      <c r="BD1521" s="117"/>
      <c r="BE1521" s="117"/>
      <c r="BF1521" s="117"/>
      <c r="BG1521" s="117"/>
    </row>
    <row r="1522" spans="1:59">
      <c r="A1522" s="117"/>
      <c r="B1522" s="117"/>
      <c r="C1522" s="117"/>
      <c r="D1522" s="117"/>
      <c r="E1522" s="117"/>
      <c r="F1522" s="117"/>
      <c r="G1522" s="117"/>
      <c r="H1522" s="117"/>
      <c r="I1522" s="117"/>
      <c r="J1522" s="118"/>
      <c r="K1522" s="118"/>
      <c r="L1522" s="118"/>
      <c r="M1522" s="118"/>
      <c r="N1522" s="117"/>
      <c r="O1522" s="117"/>
      <c r="P1522" s="117"/>
      <c r="Q1522" s="117"/>
      <c r="R1522" s="117"/>
      <c r="S1522" s="117"/>
      <c r="T1522" s="117"/>
      <c r="U1522" s="117"/>
      <c r="V1522" s="117"/>
      <c r="W1522" s="117"/>
      <c r="X1522" s="117"/>
      <c r="Y1522" s="117"/>
      <c r="Z1522" s="117"/>
      <c r="AA1522" s="117"/>
      <c r="AB1522" s="117"/>
      <c r="AC1522" s="117"/>
      <c r="AD1522" s="117"/>
      <c r="AE1522" s="117"/>
      <c r="AF1522" s="117"/>
      <c r="AG1522" s="117"/>
      <c r="AH1522" s="117"/>
      <c r="AI1522" s="117"/>
      <c r="AJ1522" s="117"/>
      <c r="AK1522" s="117"/>
      <c r="AL1522" s="117"/>
      <c r="AM1522" s="117"/>
      <c r="AN1522" s="117"/>
      <c r="AO1522" s="117"/>
      <c r="AP1522" s="117"/>
      <c r="AQ1522" s="117"/>
      <c r="AR1522" s="117"/>
      <c r="AS1522" s="117"/>
      <c r="AT1522" s="117"/>
      <c r="AU1522" s="117"/>
      <c r="AV1522" s="117"/>
      <c r="AW1522" s="117"/>
      <c r="AX1522" s="117"/>
      <c r="AY1522" s="117"/>
      <c r="AZ1522" s="117"/>
      <c r="BA1522" s="117"/>
      <c r="BB1522" s="117"/>
      <c r="BC1522" s="117"/>
      <c r="BD1522" s="117"/>
      <c r="BE1522" s="117"/>
      <c r="BF1522" s="117"/>
      <c r="BG1522" s="117"/>
    </row>
    <row r="1523" spans="1:59">
      <c r="A1523" s="117"/>
      <c r="B1523" s="117"/>
      <c r="C1523" s="117"/>
      <c r="D1523" s="117"/>
      <c r="E1523" s="117"/>
      <c r="F1523" s="117"/>
      <c r="G1523" s="117"/>
      <c r="H1523" s="117"/>
      <c r="I1523" s="117"/>
      <c r="J1523" s="118"/>
      <c r="K1523" s="118"/>
      <c r="L1523" s="118"/>
      <c r="M1523" s="118"/>
      <c r="N1523" s="117"/>
      <c r="O1523" s="117"/>
      <c r="P1523" s="117"/>
      <c r="Q1523" s="117"/>
      <c r="R1523" s="117"/>
      <c r="S1523" s="117"/>
      <c r="T1523" s="117"/>
      <c r="U1523" s="117"/>
      <c r="V1523" s="117"/>
      <c r="W1523" s="117"/>
      <c r="X1523" s="117"/>
      <c r="Y1523" s="117"/>
      <c r="Z1523" s="117"/>
      <c r="AA1523" s="117"/>
      <c r="AB1523" s="117"/>
      <c r="AC1523" s="117"/>
      <c r="AD1523" s="117"/>
      <c r="AE1523" s="117"/>
      <c r="AF1523" s="117"/>
      <c r="AG1523" s="117"/>
      <c r="AH1523" s="117"/>
      <c r="AI1523" s="117"/>
      <c r="AJ1523" s="117"/>
      <c r="AK1523" s="117"/>
      <c r="AL1523" s="117"/>
      <c r="AM1523" s="117"/>
      <c r="AN1523" s="117"/>
      <c r="AO1523" s="117"/>
      <c r="AP1523" s="117"/>
      <c r="AQ1523" s="117"/>
      <c r="AR1523" s="117"/>
      <c r="AS1523" s="117"/>
      <c r="AT1523" s="117"/>
      <c r="AU1523" s="117"/>
      <c r="AV1523" s="117"/>
      <c r="AW1523" s="117"/>
      <c r="AX1523" s="117"/>
      <c r="AY1523" s="117"/>
      <c r="AZ1523" s="117"/>
      <c r="BA1523" s="117"/>
      <c r="BB1523" s="117"/>
      <c r="BC1523" s="117"/>
      <c r="BD1523" s="117"/>
      <c r="BE1523" s="117"/>
      <c r="BF1523" s="117"/>
      <c r="BG1523" s="117"/>
    </row>
    <row r="1524" spans="1:59">
      <c r="A1524" s="117"/>
      <c r="B1524" s="117"/>
      <c r="C1524" s="117"/>
      <c r="D1524" s="117"/>
      <c r="E1524" s="117"/>
      <c r="F1524" s="117"/>
      <c r="G1524" s="117"/>
      <c r="H1524" s="117"/>
      <c r="I1524" s="117"/>
      <c r="J1524" s="118"/>
      <c r="K1524" s="118"/>
      <c r="L1524" s="118"/>
      <c r="M1524" s="118"/>
      <c r="N1524" s="117"/>
      <c r="O1524" s="117"/>
      <c r="P1524" s="117"/>
      <c r="Q1524" s="117"/>
      <c r="R1524" s="117"/>
      <c r="S1524" s="117"/>
      <c r="T1524" s="117"/>
      <c r="U1524" s="117"/>
      <c r="V1524" s="117"/>
      <c r="W1524" s="117"/>
      <c r="X1524" s="117"/>
      <c r="Y1524" s="117"/>
      <c r="Z1524" s="117"/>
      <c r="AA1524" s="117"/>
      <c r="AB1524" s="117"/>
      <c r="AC1524" s="117"/>
      <c r="AD1524" s="117"/>
      <c r="AE1524" s="117"/>
      <c r="AF1524" s="117"/>
      <c r="AG1524" s="117"/>
      <c r="AH1524" s="117"/>
      <c r="AI1524" s="117"/>
      <c r="AJ1524" s="117"/>
      <c r="AK1524" s="117"/>
      <c r="AL1524" s="117"/>
      <c r="AM1524" s="117"/>
      <c r="AN1524" s="117"/>
      <c r="AO1524" s="117"/>
      <c r="AP1524" s="117"/>
      <c r="AQ1524" s="117"/>
      <c r="AR1524" s="117"/>
      <c r="AS1524" s="117"/>
      <c r="AT1524" s="117"/>
      <c r="AU1524" s="117"/>
      <c r="AV1524" s="117"/>
      <c r="AW1524" s="117"/>
      <c r="AX1524" s="117"/>
      <c r="AY1524" s="117"/>
      <c r="AZ1524" s="117"/>
      <c r="BA1524" s="117"/>
      <c r="BB1524" s="117"/>
      <c r="BC1524" s="117"/>
      <c r="BD1524" s="117"/>
      <c r="BE1524" s="117"/>
      <c r="BF1524" s="117"/>
      <c r="BG1524" s="117"/>
    </row>
    <row r="1525" spans="1:59">
      <c r="A1525" s="117"/>
      <c r="B1525" s="117"/>
      <c r="C1525" s="117"/>
      <c r="D1525" s="117"/>
      <c r="E1525" s="117"/>
      <c r="F1525" s="117"/>
      <c r="G1525" s="117"/>
      <c r="H1525" s="117"/>
      <c r="I1525" s="117"/>
      <c r="J1525" s="118"/>
      <c r="K1525" s="118"/>
      <c r="L1525" s="118"/>
      <c r="M1525" s="118"/>
      <c r="N1525" s="117"/>
      <c r="O1525" s="117"/>
      <c r="P1525" s="117"/>
      <c r="Q1525" s="117"/>
      <c r="R1525" s="117"/>
      <c r="S1525" s="117"/>
      <c r="T1525" s="117"/>
      <c r="U1525" s="117"/>
      <c r="V1525" s="117"/>
      <c r="W1525" s="117"/>
      <c r="X1525" s="117"/>
      <c r="Y1525" s="117"/>
      <c r="Z1525" s="117"/>
      <c r="AA1525" s="117"/>
      <c r="AB1525" s="117"/>
      <c r="AC1525" s="117"/>
      <c r="AD1525" s="117"/>
      <c r="AE1525" s="117"/>
      <c r="AF1525" s="117"/>
      <c r="AG1525" s="117"/>
      <c r="AH1525" s="117"/>
      <c r="AI1525" s="117"/>
      <c r="AJ1525" s="117"/>
      <c r="AK1525" s="117"/>
      <c r="AL1525" s="117"/>
      <c r="AM1525" s="117"/>
      <c r="AN1525" s="117"/>
      <c r="AO1525" s="117"/>
      <c r="AP1525" s="117"/>
      <c r="AQ1525" s="117"/>
      <c r="AR1525" s="117"/>
      <c r="AS1525" s="117"/>
      <c r="AT1525" s="117"/>
      <c r="AU1525" s="117"/>
      <c r="AV1525" s="117"/>
      <c r="AW1525" s="117"/>
      <c r="AX1525" s="117"/>
      <c r="AY1525" s="117"/>
      <c r="AZ1525" s="117"/>
      <c r="BA1525" s="117"/>
      <c r="BB1525" s="117"/>
      <c r="BC1525" s="117"/>
      <c r="BD1525" s="117"/>
      <c r="BE1525" s="117"/>
      <c r="BF1525" s="117"/>
      <c r="BG1525" s="117"/>
    </row>
    <row r="1526" spans="1:59">
      <c r="A1526" s="117"/>
      <c r="B1526" s="117"/>
      <c r="C1526" s="117"/>
      <c r="D1526" s="117"/>
      <c r="E1526" s="117"/>
      <c r="F1526" s="117"/>
      <c r="G1526" s="117"/>
      <c r="H1526" s="117"/>
      <c r="I1526" s="117"/>
      <c r="J1526" s="118"/>
      <c r="K1526" s="118"/>
      <c r="L1526" s="118"/>
      <c r="M1526" s="118"/>
      <c r="N1526" s="117"/>
      <c r="O1526" s="117"/>
      <c r="P1526" s="117"/>
      <c r="Q1526" s="117"/>
      <c r="R1526" s="117"/>
      <c r="S1526" s="117"/>
      <c r="T1526" s="117"/>
      <c r="U1526" s="117"/>
      <c r="V1526" s="117"/>
      <c r="W1526" s="117"/>
      <c r="X1526" s="117"/>
      <c r="Y1526" s="117"/>
      <c r="Z1526" s="117"/>
      <c r="AA1526" s="117"/>
      <c r="AB1526" s="117"/>
      <c r="AC1526" s="117"/>
      <c r="AD1526" s="117"/>
      <c r="AE1526" s="117"/>
      <c r="AF1526" s="117"/>
      <c r="AG1526" s="117"/>
      <c r="AH1526" s="117"/>
      <c r="AI1526" s="117"/>
      <c r="AJ1526" s="117"/>
      <c r="AK1526" s="117"/>
      <c r="AL1526" s="117"/>
      <c r="AM1526" s="117"/>
      <c r="AN1526" s="117"/>
      <c r="AO1526" s="117"/>
      <c r="AP1526" s="117"/>
      <c r="AQ1526" s="117"/>
      <c r="AR1526" s="117"/>
      <c r="AS1526" s="117"/>
      <c r="AT1526" s="117"/>
      <c r="AU1526" s="117"/>
      <c r="AV1526" s="117"/>
      <c r="AW1526" s="117"/>
      <c r="AX1526" s="117"/>
      <c r="AY1526" s="117"/>
      <c r="AZ1526" s="117"/>
      <c r="BA1526" s="117"/>
      <c r="BB1526" s="117"/>
      <c r="BC1526" s="117"/>
      <c r="BD1526" s="117"/>
      <c r="BE1526" s="117"/>
      <c r="BF1526" s="117"/>
      <c r="BG1526" s="117"/>
    </row>
    <row r="1527" spans="1:59">
      <c r="A1527" s="117"/>
      <c r="B1527" s="117"/>
      <c r="C1527" s="117"/>
      <c r="D1527" s="117"/>
      <c r="E1527" s="117"/>
      <c r="F1527" s="117"/>
      <c r="G1527" s="117"/>
      <c r="H1527" s="117"/>
      <c r="I1527" s="117"/>
      <c r="J1527" s="118"/>
      <c r="K1527" s="118"/>
      <c r="L1527" s="118"/>
      <c r="M1527" s="118"/>
      <c r="N1527" s="117"/>
      <c r="O1527" s="117"/>
      <c r="P1527" s="117"/>
      <c r="Q1527" s="117"/>
      <c r="R1527" s="117"/>
      <c r="S1527" s="117"/>
      <c r="T1527" s="117"/>
      <c r="U1527" s="117"/>
      <c r="V1527" s="117"/>
      <c r="W1527" s="117"/>
      <c r="X1527" s="117"/>
      <c r="Y1527" s="117"/>
      <c r="Z1527" s="117"/>
      <c r="AA1527" s="117"/>
      <c r="AB1527" s="117"/>
      <c r="AC1527" s="117"/>
      <c r="AD1527" s="117"/>
      <c r="AE1527" s="117"/>
      <c r="AF1527" s="117"/>
      <c r="AG1527" s="117"/>
      <c r="AH1527" s="117"/>
      <c r="AI1527" s="117"/>
      <c r="AJ1527" s="117"/>
      <c r="AK1527" s="117"/>
      <c r="AL1527" s="117"/>
      <c r="AM1527" s="117"/>
      <c r="AN1527" s="117"/>
      <c r="AO1527" s="117"/>
      <c r="AP1527" s="117"/>
      <c r="AQ1527" s="117"/>
      <c r="AR1527" s="117"/>
      <c r="AS1527" s="117"/>
      <c r="AT1527" s="117"/>
      <c r="AU1527" s="117"/>
      <c r="AV1527" s="117"/>
      <c r="AW1527" s="117"/>
      <c r="AX1527" s="117"/>
      <c r="AY1527" s="117"/>
      <c r="AZ1527" s="117"/>
      <c r="BA1527" s="117"/>
      <c r="BB1527" s="117"/>
      <c r="BC1527" s="117"/>
      <c r="BD1527" s="117"/>
      <c r="BE1527" s="117"/>
      <c r="BF1527" s="117"/>
      <c r="BG1527" s="117"/>
    </row>
    <row r="1528" spans="1:59">
      <c r="A1528" s="117"/>
      <c r="B1528" s="117"/>
      <c r="C1528" s="117"/>
      <c r="D1528" s="117"/>
      <c r="E1528" s="117"/>
      <c r="F1528" s="117"/>
      <c r="G1528" s="117"/>
      <c r="H1528" s="117"/>
      <c r="I1528" s="117"/>
      <c r="J1528" s="118"/>
      <c r="K1528" s="118"/>
      <c r="L1528" s="118"/>
      <c r="M1528" s="118"/>
      <c r="N1528" s="117"/>
      <c r="O1528" s="117"/>
      <c r="P1528" s="117"/>
      <c r="Q1528" s="117"/>
      <c r="R1528" s="117"/>
      <c r="S1528" s="117"/>
      <c r="T1528" s="117"/>
      <c r="U1528" s="117"/>
      <c r="V1528" s="117"/>
      <c r="W1528" s="117"/>
      <c r="X1528" s="117"/>
      <c r="Y1528" s="117"/>
      <c r="Z1528" s="117"/>
      <c r="AA1528" s="117"/>
      <c r="AB1528" s="117"/>
      <c r="AC1528" s="117"/>
      <c r="AD1528" s="117"/>
      <c r="AE1528" s="117"/>
      <c r="AF1528" s="117"/>
      <c r="AG1528" s="117"/>
      <c r="AH1528" s="117"/>
      <c r="AI1528" s="117"/>
      <c r="AJ1528" s="117"/>
      <c r="AK1528" s="117"/>
      <c r="AL1528" s="117"/>
      <c r="AM1528" s="117"/>
      <c r="AN1528" s="117"/>
      <c r="AO1528" s="117"/>
      <c r="AP1528" s="117"/>
      <c r="AQ1528" s="117"/>
      <c r="AR1528" s="117"/>
      <c r="AS1528" s="117"/>
      <c r="AT1528" s="117"/>
      <c r="AU1528" s="117"/>
      <c r="AV1528" s="117"/>
      <c r="AW1528" s="117"/>
      <c r="AX1528" s="117"/>
      <c r="AY1528" s="117"/>
      <c r="AZ1528" s="117"/>
      <c r="BA1528" s="117"/>
      <c r="BB1528" s="117"/>
      <c r="BC1528" s="117"/>
      <c r="BD1528" s="117"/>
      <c r="BE1528" s="117"/>
      <c r="BF1528" s="117"/>
      <c r="BG1528" s="117"/>
    </row>
    <row r="1529" spans="1:59">
      <c r="A1529" s="117"/>
      <c r="B1529" s="117"/>
      <c r="C1529" s="117"/>
      <c r="D1529" s="117"/>
      <c r="E1529" s="117"/>
      <c r="F1529" s="117"/>
      <c r="G1529" s="117"/>
      <c r="H1529" s="117"/>
      <c r="I1529" s="117"/>
      <c r="J1529" s="118"/>
      <c r="K1529" s="118"/>
      <c r="L1529" s="118"/>
      <c r="M1529" s="118"/>
      <c r="N1529" s="117"/>
      <c r="O1529" s="117"/>
      <c r="P1529" s="117"/>
      <c r="Q1529" s="117"/>
      <c r="R1529" s="117"/>
      <c r="S1529" s="117"/>
      <c r="T1529" s="117"/>
      <c r="U1529" s="117"/>
      <c r="V1529" s="117"/>
      <c r="W1529" s="117"/>
      <c r="X1529" s="117"/>
      <c r="Y1529" s="117"/>
      <c r="Z1529" s="117"/>
      <c r="AA1529" s="117"/>
      <c r="AB1529" s="117"/>
      <c r="AC1529" s="117"/>
      <c r="AD1529" s="117"/>
      <c r="AE1529" s="117"/>
      <c r="AF1529" s="117"/>
      <c r="AG1529" s="117"/>
      <c r="AH1529" s="117"/>
      <c r="AI1529" s="117"/>
      <c r="AJ1529" s="117"/>
      <c r="AK1529" s="117"/>
      <c r="AL1529" s="117"/>
      <c r="AM1529" s="117"/>
      <c r="AN1529" s="117"/>
      <c r="AO1529" s="117"/>
      <c r="AP1529" s="117"/>
      <c r="AQ1529" s="117"/>
      <c r="AR1529" s="117"/>
      <c r="AS1529" s="117"/>
      <c r="AT1529" s="117"/>
      <c r="AU1529" s="117"/>
      <c r="AV1529" s="117"/>
      <c r="AW1529" s="117"/>
      <c r="AX1529" s="117"/>
      <c r="AY1529" s="117"/>
      <c r="AZ1529" s="117"/>
      <c r="BA1529" s="117"/>
      <c r="BB1529" s="117"/>
      <c r="BC1529" s="117"/>
      <c r="BD1529" s="117"/>
      <c r="BE1529" s="117"/>
      <c r="BF1529" s="117"/>
      <c r="BG1529" s="117"/>
    </row>
    <row r="1530" spans="1:59">
      <c r="A1530" s="117"/>
      <c r="B1530" s="117"/>
      <c r="C1530" s="117"/>
      <c r="D1530" s="117"/>
      <c r="E1530" s="117"/>
      <c r="F1530" s="117"/>
      <c r="G1530" s="117"/>
      <c r="H1530" s="117"/>
      <c r="I1530" s="117"/>
      <c r="J1530" s="118"/>
      <c r="K1530" s="118"/>
      <c r="L1530" s="118"/>
      <c r="M1530" s="118"/>
      <c r="N1530" s="117"/>
      <c r="O1530" s="117"/>
      <c r="P1530" s="117"/>
      <c r="Q1530" s="117"/>
      <c r="R1530" s="117"/>
      <c r="S1530" s="117"/>
      <c r="T1530" s="117"/>
      <c r="U1530" s="117"/>
      <c r="V1530" s="117"/>
      <c r="W1530" s="117"/>
      <c r="X1530" s="117"/>
      <c r="Y1530" s="117"/>
      <c r="Z1530" s="117"/>
      <c r="AA1530" s="117"/>
      <c r="AB1530" s="117"/>
      <c r="AC1530" s="117"/>
      <c r="AD1530" s="117"/>
      <c r="AE1530" s="117"/>
      <c r="AF1530" s="117"/>
      <c r="AG1530" s="117"/>
      <c r="AH1530" s="117"/>
      <c r="AI1530" s="117"/>
      <c r="AJ1530" s="117"/>
      <c r="AK1530" s="117"/>
      <c r="AL1530" s="117"/>
      <c r="AM1530" s="117"/>
      <c r="AN1530" s="117"/>
      <c r="AO1530" s="117"/>
      <c r="AP1530" s="117"/>
      <c r="AQ1530" s="117"/>
      <c r="AR1530" s="117"/>
      <c r="AS1530" s="117"/>
      <c r="AT1530" s="117"/>
      <c r="AU1530" s="117"/>
      <c r="AV1530" s="117"/>
      <c r="AW1530" s="117"/>
      <c r="AX1530" s="117"/>
      <c r="AY1530" s="117"/>
      <c r="AZ1530" s="117"/>
      <c r="BA1530" s="117"/>
      <c r="BB1530" s="117"/>
      <c r="BC1530" s="117"/>
      <c r="BD1530" s="117"/>
      <c r="BE1530" s="117"/>
      <c r="BF1530" s="117"/>
      <c r="BG1530" s="117"/>
    </row>
    <row r="1531" spans="1:59">
      <c r="A1531" s="117"/>
      <c r="B1531" s="117"/>
      <c r="C1531" s="117"/>
      <c r="D1531" s="117"/>
      <c r="E1531" s="117"/>
      <c r="F1531" s="117"/>
      <c r="G1531" s="117"/>
      <c r="H1531" s="117"/>
      <c r="I1531" s="117"/>
      <c r="J1531" s="118"/>
      <c r="K1531" s="118"/>
      <c r="L1531" s="118"/>
      <c r="M1531" s="118"/>
      <c r="N1531" s="117"/>
      <c r="O1531" s="117"/>
      <c r="P1531" s="117"/>
      <c r="Q1531" s="117"/>
      <c r="R1531" s="117"/>
      <c r="S1531" s="117"/>
      <c r="T1531" s="117"/>
      <c r="U1531" s="117"/>
      <c r="V1531" s="117"/>
      <c r="W1531" s="117"/>
      <c r="X1531" s="117"/>
      <c r="Y1531" s="117"/>
      <c r="Z1531" s="117"/>
      <c r="AA1531" s="117"/>
      <c r="AB1531" s="117"/>
      <c r="AC1531" s="117"/>
      <c r="AD1531" s="117"/>
      <c r="AE1531" s="117"/>
      <c r="AF1531" s="117"/>
      <c r="AG1531" s="117"/>
      <c r="AH1531" s="117"/>
      <c r="AI1531" s="117"/>
      <c r="AJ1531" s="117"/>
      <c r="AK1531" s="117"/>
      <c r="AL1531" s="117"/>
      <c r="AM1531" s="117"/>
      <c r="AN1531" s="117"/>
      <c r="AO1531" s="117"/>
      <c r="AP1531" s="117"/>
      <c r="AQ1531" s="117"/>
      <c r="AR1531" s="117"/>
      <c r="AS1531" s="117"/>
      <c r="AT1531" s="117"/>
      <c r="AU1531" s="117"/>
      <c r="AV1531" s="117"/>
      <c r="AW1531" s="117"/>
      <c r="AX1531" s="117"/>
      <c r="AY1531" s="117"/>
      <c r="AZ1531" s="117"/>
      <c r="BA1531" s="117"/>
      <c r="BB1531" s="117"/>
      <c r="BC1531" s="117"/>
      <c r="BD1531" s="117"/>
      <c r="BE1531" s="117"/>
      <c r="BF1531" s="117"/>
      <c r="BG1531" s="117"/>
    </row>
    <row r="1532" spans="1:59">
      <c r="A1532" s="117"/>
      <c r="B1532" s="117"/>
      <c r="C1532" s="117"/>
      <c r="D1532" s="117"/>
      <c r="E1532" s="117"/>
      <c r="F1532" s="117"/>
      <c r="G1532" s="117"/>
      <c r="H1532" s="117"/>
      <c r="I1532" s="117"/>
      <c r="J1532" s="118"/>
      <c r="K1532" s="118"/>
      <c r="L1532" s="118"/>
      <c r="M1532" s="118"/>
      <c r="N1532" s="117"/>
      <c r="O1532" s="117"/>
      <c r="P1532" s="117"/>
      <c r="Q1532" s="117"/>
      <c r="R1532" s="117"/>
      <c r="S1532" s="117"/>
      <c r="T1532" s="117"/>
      <c r="U1532" s="117"/>
      <c r="V1532" s="117"/>
      <c r="W1532" s="117"/>
      <c r="X1532" s="117"/>
      <c r="Y1532" s="117"/>
      <c r="Z1532" s="117"/>
      <c r="AA1532" s="117"/>
      <c r="AB1532" s="117"/>
      <c r="AC1532" s="117"/>
      <c r="AD1532" s="117"/>
      <c r="AE1532" s="117"/>
      <c r="AF1532" s="117"/>
      <c r="AG1532" s="117"/>
      <c r="AH1532" s="117"/>
      <c r="AI1532" s="117"/>
      <c r="AJ1532" s="117"/>
      <c r="AK1532" s="117"/>
      <c r="AL1532" s="117"/>
      <c r="AM1532" s="117"/>
      <c r="AN1532" s="117"/>
      <c r="AO1532" s="117"/>
      <c r="AP1532" s="117"/>
      <c r="AQ1532" s="117"/>
      <c r="AR1532" s="117"/>
      <c r="AS1532" s="117"/>
      <c r="AT1532" s="117"/>
      <c r="AU1532" s="117"/>
      <c r="AV1532" s="117"/>
      <c r="AW1532" s="117"/>
      <c r="AX1532" s="117"/>
      <c r="AY1532" s="117"/>
      <c r="AZ1532" s="117"/>
      <c r="BA1532" s="117"/>
      <c r="BB1532" s="117"/>
      <c r="BC1532" s="117"/>
      <c r="BD1532" s="117"/>
      <c r="BE1532" s="117"/>
      <c r="BF1532" s="117"/>
      <c r="BG1532" s="117"/>
    </row>
    <row r="1533" spans="1:59">
      <c r="A1533" s="117"/>
      <c r="B1533" s="117"/>
      <c r="C1533" s="117"/>
      <c r="D1533" s="117"/>
      <c r="E1533" s="117"/>
      <c r="F1533" s="117"/>
      <c r="G1533" s="117"/>
      <c r="H1533" s="117"/>
      <c r="I1533" s="117"/>
      <c r="J1533" s="118"/>
      <c r="K1533" s="118"/>
      <c r="L1533" s="118"/>
      <c r="M1533" s="118"/>
      <c r="N1533" s="117"/>
      <c r="O1533" s="117"/>
      <c r="P1533" s="117"/>
      <c r="Q1533" s="117"/>
      <c r="R1533" s="117"/>
      <c r="S1533" s="117"/>
      <c r="T1533" s="117"/>
      <c r="U1533" s="117"/>
      <c r="V1533" s="117"/>
      <c r="W1533" s="117"/>
      <c r="X1533" s="117"/>
      <c r="Y1533" s="117"/>
      <c r="Z1533" s="117"/>
      <c r="AA1533" s="117"/>
      <c r="AB1533" s="117"/>
      <c r="AC1533" s="117"/>
      <c r="AD1533" s="117"/>
      <c r="AE1533" s="117"/>
      <c r="AF1533" s="117"/>
      <c r="AG1533" s="117"/>
      <c r="AH1533" s="117"/>
      <c r="AI1533" s="117"/>
      <c r="AJ1533" s="117"/>
      <c r="AK1533" s="117"/>
      <c r="AL1533" s="117"/>
      <c r="AM1533" s="117"/>
      <c r="AN1533" s="117"/>
      <c r="AO1533" s="117"/>
      <c r="AP1533" s="117"/>
      <c r="AQ1533" s="117"/>
      <c r="AR1533" s="117"/>
      <c r="AS1533" s="117"/>
      <c r="AT1533" s="117"/>
      <c r="AU1533" s="117"/>
      <c r="AV1533" s="117"/>
      <c r="AW1533" s="117"/>
      <c r="AX1533" s="117"/>
      <c r="AY1533" s="117"/>
      <c r="AZ1533" s="117"/>
      <c r="BA1533" s="117"/>
      <c r="BB1533" s="117"/>
      <c r="BC1533" s="117"/>
      <c r="BD1533" s="117"/>
      <c r="BE1533" s="117"/>
      <c r="BF1533" s="117"/>
      <c r="BG1533" s="117"/>
    </row>
    <row r="1534" spans="1:59">
      <c r="A1534" s="117"/>
      <c r="B1534" s="117"/>
      <c r="C1534" s="117"/>
      <c r="D1534" s="117"/>
      <c r="E1534" s="117"/>
      <c r="F1534" s="117"/>
      <c r="G1534" s="117"/>
      <c r="H1534" s="117"/>
      <c r="I1534" s="117"/>
      <c r="J1534" s="118"/>
      <c r="K1534" s="118"/>
      <c r="L1534" s="118"/>
      <c r="M1534" s="118"/>
      <c r="N1534" s="117"/>
      <c r="O1534" s="117"/>
      <c r="P1534" s="117"/>
      <c r="Q1534" s="117"/>
      <c r="R1534" s="117"/>
      <c r="S1534" s="117"/>
      <c r="T1534" s="117"/>
      <c r="U1534" s="117"/>
      <c r="V1534" s="117"/>
      <c r="W1534" s="117"/>
      <c r="X1534" s="117"/>
      <c r="Y1534" s="117"/>
      <c r="Z1534" s="117"/>
      <c r="AA1534" s="117"/>
      <c r="AB1534" s="117"/>
      <c r="AC1534" s="117"/>
      <c r="AD1534" s="117"/>
      <c r="AE1534" s="117"/>
      <c r="AF1534" s="117"/>
      <c r="AG1534" s="117"/>
      <c r="AH1534" s="117"/>
      <c r="AI1534" s="117"/>
      <c r="AJ1534" s="117"/>
      <c r="AK1534" s="117"/>
      <c r="AL1534" s="117"/>
      <c r="AM1534" s="117"/>
      <c r="AN1534" s="117"/>
      <c r="AO1534" s="117"/>
      <c r="AP1534" s="117"/>
      <c r="AQ1534" s="117"/>
      <c r="AR1534" s="117"/>
      <c r="AS1534" s="117"/>
      <c r="AT1534" s="117"/>
      <c r="AU1534" s="117"/>
      <c r="AV1534" s="117"/>
      <c r="AW1534" s="117"/>
      <c r="AX1534" s="117"/>
      <c r="AY1534" s="117"/>
      <c r="AZ1534" s="117"/>
      <c r="BA1534" s="117"/>
      <c r="BB1534" s="117"/>
      <c r="BC1534" s="117"/>
      <c r="BD1534" s="117"/>
      <c r="BE1534" s="117"/>
      <c r="BF1534" s="117"/>
      <c r="BG1534" s="117"/>
    </row>
    <row r="1535" spans="1:59">
      <c r="A1535" s="117"/>
      <c r="B1535" s="117"/>
      <c r="C1535" s="117"/>
      <c r="D1535" s="117"/>
      <c r="E1535" s="117"/>
      <c r="F1535" s="117"/>
      <c r="G1535" s="117"/>
      <c r="H1535" s="117"/>
      <c r="I1535" s="117"/>
      <c r="J1535" s="118"/>
      <c r="K1535" s="118"/>
      <c r="L1535" s="118"/>
      <c r="M1535" s="118"/>
      <c r="N1535" s="117"/>
      <c r="O1535" s="117"/>
      <c r="P1535" s="117"/>
      <c r="Q1535" s="117"/>
      <c r="R1535" s="117"/>
      <c r="S1535" s="117"/>
      <c r="T1535" s="117"/>
      <c r="U1535" s="117"/>
      <c r="V1535" s="117"/>
      <c r="W1535" s="117"/>
      <c r="X1535" s="117"/>
      <c r="Y1535" s="117"/>
      <c r="Z1535" s="117"/>
      <c r="AA1535" s="117"/>
      <c r="AB1535" s="117"/>
      <c r="AC1535" s="117"/>
      <c r="AD1535" s="117"/>
      <c r="AE1535" s="117"/>
      <c r="AF1535" s="117"/>
      <c r="AG1535" s="117"/>
      <c r="AH1535" s="117"/>
      <c r="AI1535" s="117"/>
      <c r="AJ1535" s="117"/>
      <c r="AK1535" s="117"/>
      <c r="AL1535" s="117"/>
      <c r="AM1535" s="117"/>
      <c r="AN1535" s="117"/>
      <c r="AO1535" s="117"/>
      <c r="AP1535" s="117"/>
      <c r="AQ1535" s="117"/>
      <c r="AR1535" s="117"/>
      <c r="AS1535" s="117"/>
      <c r="AT1535" s="117"/>
      <c r="AU1535" s="117"/>
      <c r="AV1535" s="117"/>
      <c r="AW1535" s="117"/>
      <c r="AX1535" s="117"/>
      <c r="AY1535" s="117"/>
      <c r="AZ1535" s="117"/>
      <c r="BA1535" s="117"/>
      <c r="BB1535" s="117"/>
      <c r="BC1535" s="117"/>
      <c r="BD1535" s="117"/>
      <c r="BE1535" s="117"/>
      <c r="BF1535" s="117"/>
      <c r="BG1535" s="117"/>
    </row>
    <row r="1536" spans="1:59">
      <c r="A1536" s="117"/>
      <c r="B1536" s="117"/>
      <c r="C1536" s="117"/>
      <c r="D1536" s="117"/>
      <c r="E1536" s="117"/>
      <c r="F1536" s="117"/>
      <c r="G1536" s="117"/>
      <c r="H1536" s="117"/>
      <c r="I1536" s="117"/>
      <c r="J1536" s="118"/>
      <c r="K1536" s="118"/>
      <c r="L1536" s="118"/>
      <c r="M1536" s="118"/>
      <c r="N1536" s="117"/>
      <c r="O1536" s="117"/>
      <c r="P1536" s="117"/>
      <c r="Q1536" s="117"/>
      <c r="R1536" s="117"/>
      <c r="S1536" s="117"/>
      <c r="T1536" s="117"/>
      <c r="U1536" s="117"/>
      <c r="V1536" s="117"/>
      <c r="W1536" s="117"/>
      <c r="X1536" s="117"/>
      <c r="Y1536" s="117"/>
      <c r="Z1536" s="117"/>
      <c r="AA1536" s="117"/>
      <c r="AB1536" s="117"/>
      <c r="AC1536" s="117"/>
      <c r="AD1536" s="117"/>
      <c r="AE1536" s="117"/>
      <c r="AF1536" s="117"/>
      <c r="AG1536" s="117"/>
      <c r="AH1536" s="117"/>
      <c r="AI1536" s="117"/>
      <c r="AJ1536" s="117"/>
      <c r="AK1536" s="117"/>
      <c r="AL1536" s="117"/>
      <c r="AM1536" s="117"/>
      <c r="AN1536" s="117"/>
      <c r="AO1536" s="117"/>
      <c r="AP1536" s="117"/>
      <c r="AQ1536" s="117"/>
      <c r="AR1536" s="117"/>
      <c r="AS1536" s="117"/>
      <c r="AT1536" s="117"/>
      <c r="AU1536" s="117"/>
      <c r="AV1536" s="117"/>
      <c r="AW1536" s="117"/>
      <c r="AX1536" s="117"/>
      <c r="AY1536" s="117"/>
      <c r="AZ1536" s="117"/>
      <c r="BA1536" s="117"/>
      <c r="BB1536" s="117"/>
      <c r="BC1536" s="117"/>
      <c r="BD1536" s="117"/>
      <c r="BE1536" s="117"/>
      <c r="BF1536" s="117"/>
      <c r="BG1536" s="117"/>
    </row>
    <row r="1537" spans="1:59">
      <c r="A1537" s="117"/>
      <c r="B1537" s="117"/>
      <c r="C1537" s="117"/>
      <c r="D1537" s="117"/>
      <c r="E1537" s="117"/>
      <c r="F1537" s="117"/>
      <c r="G1537" s="117"/>
      <c r="H1537" s="117"/>
      <c r="I1537" s="117"/>
      <c r="J1537" s="118"/>
      <c r="K1537" s="118"/>
      <c r="L1537" s="118"/>
      <c r="M1537" s="118"/>
      <c r="N1537" s="117"/>
      <c r="O1537" s="117"/>
      <c r="P1537" s="117"/>
      <c r="Q1537" s="117"/>
      <c r="R1537" s="117"/>
      <c r="S1537" s="117"/>
      <c r="T1537" s="117"/>
      <c r="U1537" s="117"/>
      <c r="V1537" s="117"/>
      <c r="W1537" s="117"/>
      <c r="X1537" s="117"/>
      <c r="Y1537" s="117"/>
      <c r="Z1537" s="117"/>
      <c r="AA1537" s="117"/>
      <c r="AB1537" s="117"/>
      <c r="AC1537" s="117"/>
      <c r="AD1537" s="117"/>
      <c r="AE1537" s="117"/>
      <c r="AF1537" s="117"/>
      <c r="AG1537" s="117"/>
      <c r="AH1537" s="117"/>
      <c r="AI1537" s="117"/>
      <c r="AJ1537" s="117"/>
      <c r="AK1537" s="117"/>
      <c r="AL1537" s="117"/>
      <c r="AM1537" s="117"/>
      <c r="AN1537" s="117"/>
      <c r="AO1537" s="117"/>
      <c r="AP1537" s="117"/>
      <c r="AQ1537" s="117"/>
      <c r="AR1537" s="117"/>
      <c r="AS1537" s="117"/>
      <c r="AT1537" s="117"/>
      <c r="AU1537" s="117"/>
      <c r="AV1537" s="117"/>
      <c r="AW1537" s="117"/>
      <c r="AX1537" s="117"/>
      <c r="AY1537" s="117"/>
      <c r="AZ1537" s="117"/>
      <c r="BA1537" s="117"/>
      <c r="BB1537" s="117"/>
      <c r="BC1537" s="117"/>
      <c r="BD1537" s="117"/>
      <c r="BE1537" s="117"/>
      <c r="BF1537" s="117"/>
      <c r="BG1537" s="117"/>
    </row>
    <row r="1538" spans="1:59">
      <c r="A1538" s="117"/>
      <c r="B1538" s="117"/>
      <c r="C1538" s="117"/>
      <c r="D1538" s="117"/>
      <c r="E1538" s="117"/>
      <c r="F1538" s="117"/>
      <c r="G1538" s="117"/>
      <c r="H1538" s="117"/>
      <c r="I1538" s="117"/>
      <c r="J1538" s="118"/>
      <c r="K1538" s="118"/>
      <c r="L1538" s="118"/>
      <c r="M1538" s="118"/>
      <c r="N1538" s="117"/>
      <c r="O1538" s="117"/>
      <c r="P1538" s="117"/>
      <c r="Q1538" s="117"/>
      <c r="R1538" s="117"/>
      <c r="S1538" s="117"/>
      <c r="T1538" s="117"/>
      <c r="U1538" s="117"/>
      <c r="V1538" s="117"/>
      <c r="W1538" s="117"/>
      <c r="X1538" s="117"/>
      <c r="Y1538" s="117"/>
      <c r="Z1538" s="117"/>
      <c r="AA1538" s="117"/>
      <c r="AB1538" s="117"/>
      <c r="AC1538" s="117"/>
      <c r="AD1538" s="117"/>
      <c r="AE1538" s="117"/>
      <c r="AF1538" s="117"/>
      <c r="AG1538" s="117"/>
      <c r="AH1538" s="117"/>
      <c r="AI1538" s="117"/>
      <c r="AJ1538" s="117"/>
      <c r="AK1538" s="117"/>
      <c r="AL1538" s="117"/>
      <c r="AM1538" s="117"/>
      <c r="AN1538" s="117"/>
      <c r="AO1538" s="117"/>
      <c r="AP1538" s="117"/>
      <c r="AQ1538" s="117"/>
      <c r="AR1538" s="117"/>
      <c r="AS1538" s="117"/>
      <c r="AT1538" s="117"/>
      <c r="AU1538" s="117"/>
      <c r="AV1538" s="117"/>
      <c r="AW1538" s="117"/>
      <c r="AX1538" s="117"/>
      <c r="AY1538" s="117"/>
      <c r="AZ1538" s="117"/>
      <c r="BA1538" s="117"/>
      <c r="BB1538" s="117"/>
      <c r="BC1538" s="117"/>
      <c r="BD1538" s="117"/>
      <c r="BE1538" s="117"/>
      <c r="BF1538" s="117"/>
      <c r="BG1538" s="117"/>
    </row>
    <row r="1539" spans="1:59">
      <c r="A1539" s="117"/>
      <c r="B1539" s="117"/>
      <c r="C1539" s="117"/>
      <c r="D1539" s="117"/>
      <c r="E1539" s="117"/>
      <c r="F1539" s="117"/>
      <c r="G1539" s="117"/>
      <c r="H1539" s="117"/>
      <c r="I1539" s="117"/>
      <c r="J1539" s="118"/>
      <c r="K1539" s="118"/>
      <c r="L1539" s="118"/>
      <c r="M1539" s="118"/>
      <c r="N1539" s="117"/>
      <c r="O1539" s="117"/>
      <c r="P1539" s="117"/>
      <c r="Q1539" s="117"/>
      <c r="R1539" s="117"/>
      <c r="S1539" s="117"/>
      <c r="T1539" s="117"/>
      <c r="U1539" s="117"/>
      <c r="V1539" s="117"/>
      <c r="W1539" s="117"/>
      <c r="X1539" s="117"/>
      <c r="Y1539" s="117"/>
      <c r="Z1539" s="117"/>
      <c r="AA1539" s="117"/>
      <c r="AB1539" s="117"/>
      <c r="AC1539" s="117"/>
      <c r="AD1539" s="117"/>
      <c r="AE1539" s="117"/>
      <c r="AF1539" s="117"/>
      <c r="AG1539" s="117"/>
      <c r="AH1539" s="117"/>
      <c r="AI1539" s="117"/>
      <c r="AJ1539" s="117"/>
      <c r="AK1539" s="117"/>
      <c r="AL1539" s="117"/>
      <c r="AM1539" s="117"/>
      <c r="AN1539" s="117"/>
      <c r="AO1539" s="117"/>
      <c r="AP1539" s="117"/>
      <c r="AQ1539" s="117"/>
      <c r="AR1539" s="117"/>
      <c r="AS1539" s="117"/>
      <c r="AT1539" s="117"/>
      <c r="AU1539" s="117"/>
      <c r="AV1539" s="117"/>
      <c r="AW1539" s="117"/>
      <c r="AX1539" s="117"/>
      <c r="AY1539" s="117"/>
      <c r="AZ1539" s="117"/>
      <c r="BA1539" s="117"/>
      <c r="BB1539" s="117"/>
      <c r="BC1539" s="117"/>
      <c r="BD1539" s="117"/>
      <c r="BE1539" s="117"/>
      <c r="BF1539" s="117"/>
      <c r="BG1539" s="117"/>
    </row>
    <row r="1540" spans="1:59">
      <c r="A1540" s="117"/>
      <c r="B1540" s="117"/>
      <c r="C1540" s="117"/>
      <c r="D1540" s="117"/>
      <c r="E1540" s="117"/>
      <c r="F1540" s="117"/>
      <c r="G1540" s="117"/>
      <c r="H1540" s="117"/>
      <c r="I1540" s="117"/>
      <c r="J1540" s="118"/>
      <c r="K1540" s="118"/>
      <c r="L1540" s="118"/>
      <c r="M1540" s="118"/>
      <c r="N1540" s="117"/>
      <c r="O1540" s="117"/>
      <c r="P1540" s="117"/>
      <c r="Q1540" s="117"/>
      <c r="R1540" s="117"/>
      <c r="S1540" s="117"/>
      <c r="T1540" s="117"/>
      <c r="U1540" s="117"/>
      <c r="V1540" s="117"/>
      <c r="W1540" s="117"/>
      <c r="X1540" s="117"/>
      <c r="Y1540" s="117"/>
      <c r="Z1540" s="117"/>
      <c r="AA1540" s="117"/>
      <c r="AB1540" s="117"/>
      <c r="AC1540" s="117"/>
      <c r="AD1540" s="117"/>
      <c r="AE1540" s="117"/>
      <c r="AF1540" s="117"/>
      <c r="AG1540" s="117"/>
      <c r="AH1540" s="117"/>
      <c r="AI1540" s="117"/>
      <c r="AJ1540" s="117"/>
      <c r="AK1540" s="117"/>
      <c r="AL1540" s="117"/>
      <c r="AM1540" s="117"/>
      <c r="AN1540" s="117"/>
      <c r="AO1540" s="117"/>
      <c r="AP1540" s="117"/>
      <c r="AQ1540" s="117"/>
      <c r="AR1540" s="117"/>
      <c r="AS1540" s="117"/>
      <c r="AT1540" s="117"/>
      <c r="AU1540" s="117"/>
      <c r="AV1540" s="117"/>
      <c r="AW1540" s="117"/>
      <c r="AX1540" s="117"/>
      <c r="AY1540" s="117"/>
      <c r="AZ1540" s="117"/>
      <c r="BA1540" s="117"/>
      <c r="BB1540" s="117"/>
      <c r="BC1540" s="117"/>
      <c r="BD1540" s="117"/>
      <c r="BE1540" s="117"/>
      <c r="BF1540" s="117"/>
      <c r="BG1540" s="117"/>
    </row>
    <row r="1541" spans="1:59">
      <c r="A1541" s="117"/>
      <c r="B1541" s="117"/>
      <c r="C1541" s="117"/>
      <c r="D1541" s="117"/>
      <c r="E1541" s="117"/>
      <c r="F1541" s="117"/>
      <c r="G1541" s="117"/>
      <c r="H1541" s="117"/>
      <c r="I1541" s="117"/>
      <c r="J1541" s="118"/>
      <c r="K1541" s="118"/>
      <c r="L1541" s="118"/>
      <c r="M1541" s="118"/>
      <c r="N1541" s="117"/>
      <c r="O1541" s="117"/>
      <c r="P1541" s="117"/>
      <c r="Q1541" s="117"/>
      <c r="R1541" s="117"/>
      <c r="S1541" s="117"/>
      <c r="T1541" s="117"/>
      <c r="U1541" s="117"/>
      <c r="V1541" s="117"/>
      <c r="W1541" s="117"/>
      <c r="X1541" s="117"/>
      <c r="Y1541" s="117"/>
      <c r="Z1541" s="117"/>
      <c r="AA1541" s="117"/>
      <c r="AB1541" s="117"/>
      <c r="AC1541" s="117"/>
      <c r="AD1541" s="117"/>
      <c r="AE1541" s="117"/>
      <c r="AF1541" s="117"/>
      <c r="AG1541" s="117"/>
      <c r="AH1541" s="117"/>
      <c r="AI1541" s="117"/>
      <c r="AJ1541" s="117"/>
      <c r="AK1541" s="117"/>
      <c r="AL1541" s="117"/>
      <c r="AM1541" s="117"/>
      <c r="AN1541" s="117"/>
      <c r="AO1541" s="117"/>
      <c r="AP1541" s="117"/>
      <c r="AQ1541" s="117"/>
      <c r="AR1541" s="117"/>
      <c r="AS1541" s="117"/>
      <c r="AT1541" s="117"/>
      <c r="AU1541" s="117"/>
      <c r="AV1541" s="117"/>
      <c r="AW1541" s="117"/>
      <c r="AX1541" s="117"/>
      <c r="AY1541" s="117"/>
      <c r="AZ1541" s="117"/>
      <c r="BA1541" s="117"/>
      <c r="BB1541" s="117"/>
      <c r="BC1541" s="117"/>
      <c r="BD1541" s="117"/>
      <c r="BE1541" s="117"/>
      <c r="BF1541" s="117"/>
      <c r="BG1541" s="117"/>
    </row>
    <row r="1542" spans="1:59">
      <c r="A1542" s="117"/>
      <c r="B1542" s="117"/>
      <c r="C1542" s="117"/>
      <c r="D1542" s="117"/>
      <c r="E1542" s="117"/>
      <c r="F1542" s="117"/>
      <c r="G1542" s="117"/>
      <c r="H1542" s="117"/>
      <c r="I1542" s="117"/>
      <c r="J1542" s="118"/>
      <c r="K1542" s="118"/>
      <c r="L1542" s="118"/>
      <c r="M1542" s="118"/>
      <c r="N1542" s="117"/>
      <c r="O1542" s="117"/>
      <c r="P1542" s="117"/>
      <c r="Q1542" s="117"/>
      <c r="R1542" s="117"/>
      <c r="S1542" s="117"/>
      <c r="T1542" s="117"/>
      <c r="U1542" s="117"/>
      <c r="V1542" s="117"/>
      <c r="W1542" s="117"/>
      <c r="X1542" s="117"/>
      <c r="Y1542" s="117"/>
      <c r="Z1542" s="117"/>
      <c r="AA1542" s="117"/>
      <c r="AB1542" s="117"/>
      <c r="AC1542" s="117"/>
      <c r="AD1542" s="117"/>
      <c r="AE1542" s="117"/>
      <c r="AF1542" s="117"/>
      <c r="AG1542" s="117"/>
      <c r="AH1542" s="117"/>
      <c r="AI1542" s="117"/>
      <c r="AJ1542" s="117"/>
      <c r="AK1542" s="117"/>
      <c r="AL1542" s="117"/>
      <c r="AM1542" s="117"/>
      <c r="AN1542" s="117"/>
      <c r="AO1542" s="117"/>
      <c r="AP1542" s="117"/>
      <c r="AQ1542" s="117"/>
      <c r="AR1542" s="117"/>
      <c r="AS1542" s="117"/>
      <c r="AT1542" s="117"/>
      <c r="AU1542" s="117"/>
      <c r="AV1542" s="117"/>
      <c r="AW1542" s="117"/>
      <c r="AX1542" s="117"/>
      <c r="AY1542" s="117"/>
      <c r="AZ1542" s="117"/>
      <c r="BA1542" s="117"/>
      <c r="BB1542" s="117"/>
      <c r="BC1542" s="117"/>
      <c r="BD1542" s="117"/>
      <c r="BE1542" s="117"/>
      <c r="BF1542" s="117"/>
      <c r="BG1542" s="117"/>
    </row>
    <row r="1543" spans="1:59">
      <c r="A1543" s="117"/>
      <c r="B1543" s="117"/>
      <c r="C1543" s="117"/>
      <c r="D1543" s="117"/>
      <c r="E1543" s="117"/>
      <c r="F1543" s="117"/>
      <c r="G1543" s="117"/>
      <c r="H1543" s="117"/>
      <c r="I1543" s="117"/>
      <c r="J1543" s="118"/>
      <c r="K1543" s="118"/>
      <c r="L1543" s="118"/>
      <c r="M1543" s="118"/>
      <c r="N1543" s="117"/>
      <c r="O1543" s="117"/>
      <c r="P1543" s="117"/>
      <c r="Q1543" s="117"/>
      <c r="R1543" s="117"/>
      <c r="S1543" s="117"/>
      <c r="T1543" s="117"/>
      <c r="U1543" s="117"/>
      <c r="V1543" s="117"/>
      <c r="W1543" s="117"/>
      <c r="X1543" s="117"/>
      <c r="Y1543" s="117"/>
      <c r="Z1543" s="117"/>
      <c r="AA1543" s="117"/>
      <c r="AB1543" s="117"/>
      <c r="AC1543" s="117"/>
      <c r="AD1543" s="117"/>
      <c r="AE1543" s="117"/>
      <c r="AF1543" s="117"/>
      <c r="AG1543" s="117"/>
      <c r="AH1543" s="117"/>
      <c r="AI1543" s="117"/>
      <c r="AJ1543" s="117"/>
      <c r="AK1543" s="117"/>
      <c r="AL1543" s="117"/>
      <c r="AM1543" s="117"/>
      <c r="AN1543" s="117"/>
      <c r="AO1543" s="117"/>
      <c r="AP1543" s="117"/>
      <c r="AQ1543" s="117"/>
      <c r="AR1543" s="117"/>
      <c r="AS1543" s="117"/>
      <c r="AT1543" s="117"/>
      <c r="AU1543" s="117"/>
      <c r="AV1543" s="117"/>
      <c r="AW1543" s="117"/>
      <c r="AX1543" s="117"/>
      <c r="AY1543" s="117"/>
      <c r="AZ1543" s="117"/>
      <c r="BA1543" s="117"/>
      <c r="BB1543" s="117"/>
      <c r="BC1543" s="117"/>
      <c r="BD1543" s="117"/>
      <c r="BE1543" s="117"/>
      <c r="BF1543" s="117"/>
      <c r="BG1543" s="117"/>
    </row>
    <row r="1544" spans="1:59">
      <c r="A1544" s="117"/>
      <c r="B1544" s="117"/>
      <c r="C1544" s="117"/>
      <c r="D1544" s="117"/>
      <c r="E1544" s="117"/>
      <c r="F1544" s="117"/>
      <c r="G1544" s="117"/>
      <c r="H1544" s="117"/>
      <c r="I1544" s="117"/>
      <c r="J1544" s="118"/>
      <c r="K1544" s="118"/>
      <c r="L1544" s="118"/>
      <c r="M1544" s="118"/>
      <c r="N1544" s="117"/>
      <c r="O1544" s="117"/>
      <c r="P1544" s="117"/>
      <c r="Q1544" s="117"/>
      <c r="R1544" s="117"/>
      <c r="S1544" s="117"/>
      <c r="T1544" s="117"/>
      <c r="U1544" s="117"/>
      <c r="V1544" s="117"/>
      <c r="W1544" s="117"/>
      <c r="X1544" s="117"/>
      <c r="Y1544" s="117"/>
      <c r="Z1544" s="117"/>
      <c r="AA1544" s="117"/>
      <c r="AB1544" s="117"/>
      <c r="AC1544" s="117"/>
      <c r="AD1544" s="117"/>
      <c r="AE1544" s="117"/>
      <c r="AF1544" s="117"/>
      <c r="AG1544" s="117"/>
      <c r="AH1544" s="117"/>
      <c r="AI1544" s="117"/>
      <c r="AJ1544" s="117"/>
      <c r="AK1544" s="117"/>
      <c r="AL1544" s="117"/>
      <c r="AM1544" s="117"/>
      <c r="AN1544" s="117"/>
      <c r="AO1544" s="117"/>
      <c r="AP1544" s="117"/>
      <c r="AQ1544" s="117"/>
      <c r="AR1544" s="117"/>
      <c r="AS1544" s="117"/>
      <c r="AT1544" s="117"/>
      <c r="AU1544" s="117"/>
      <c r="AV1544" s="117"/>
      <c r="AW1544" s="117"/>
      <c r="AX1544" s="117"/>
      <c r="AY1544" s="117"/>
      <c r="AZ1544" s="117"/>
      <c r="BA1544" s="117"/>
      <c r="BB1544" s="117"/>
      <c r="BC1544" s="117"/>
      <c r="BD1544" s="117"/>
      <c r="BE1544" s="117"/>
      <c r="BF1544" s="117"/>
      <c r="BG1544" s="117"/>
    </row>
    <row r="1545" spans="1:59">
      <c r="A1545" s="117"/>
      <c r="B1545" s="117"/>
      <c r="C1545" s="117"/>
      <c r="D1545" s="117"/>
      <c r="E1545" s="117"/>
      <c r="F1545" s="117"/>
      <c r="G1545" s="117"/>
      <c r="H1545" s="117"/>
      <c r="I1545" s="117"/>
      <c r="J1545" s="118"/>
      <c r="K1545" s="118"/>
      <c r="L1545" s="118"/>
      <c r="M1545" s="118"/>
      <c r="N1545" s="117"/>
      <c r="O1545" s="117"/>
      <c r="P1545" s="117"/>
      <c r="Q1545" s="117"/>
      <c r="R1545" s="117"/>
      <c r="S1545" s="117"/>
      <c r="T1545" s="117"/>
      <c r="U1545" s="117"/>
      <c r="V1545" s="117"/>
      <c r="W1545" s="117"/>
      <c r="X1545" s="117"/>
      <c r="Y1545" s="117"/>
      <c r="Z1545" s="117"/>
      <c r="AA1545" s="117"/>
      <c r="AB1545" s="117"/>
      <c r="AC1545" s="117"/>
      <c r="AD1545" s="117"/>
      <c r="AE1545" s="117"/>
      <c r="AF1545" s="117"/>
      <c r="AG1545" s="117"/>
      <c r="AH1545" s="117"/>
      <c r="AI1545" s="117"/>
      <c r="AJ1545" s="117"/>
      <c r="AK1545" s="117"/>
      <c r="AL1545" s="117"/>
      <c r="AM1545" s="117"/>
      <c r="AN1545" s="117"/>
      <c r="AO1545" s="117"/>
      <c r="AP1545" s="117"/>
      <c r="AQ1545" s="117"/>
      <c r="AR1545" s="117"/>
      <c r="AS1545" s="117"/>
      <c r="AT1545" s="117"/>
      <c r="AU1545" s="117"/>
      <c r="AV1545" s="117"/>
      <c r="AW1545" s="117"/>
      <c r="AX1545" s="117"/>
      <c r="AY1545" s="117"/>
      <c r="AZ1545" s="117"/>
      <c r="BA1545" s="117"/>
      <c r="BB1545" s="117"/>
      <c r="BC1545" s="117"/>
      <c r="BD1545" s="117"/>
      <c r="BE1545" s="117"/>
      <c r="BF1545" s="117"/>
      <c r="BG1545" s="117"/>
    </row>
    <row r="1546" spans="1:59">
      <c r="A1546" s="117"/>
      <c r="B1546" s="117"/>
      <c r="C1546" s="117"/>
      <c r="D1546" s="117"/>
      <c r="E1546" s="117"/>
      <c r="F1546" s="117"/>
      <c r="G1546" s="117"/>
      <c r="H1546" s="117"/>
      <c r="I1546" s="117"/>
      <c r="J1546" s="118"/>
      <c r="K1546" s="118"/>
      <c r="L1546" s="118"/>
      <c r="M1546" s="118"/>
      <c r="N1546" s="117"/>
      <c r="O1546" s="117"/>
      <c r="P1546" s="117"/>
      <c r="Q1546" s="117"/>
      <c r="R1546" s="117"/>
      <c r="S1546" s="117"/>
      <c r="T1546" s="117"/>
      <c r="U1546" s="117"/>
      <c r="V1546" s="117"/>
      <c r="W1546" s="117"/>
      <c r="X1546" s="117"/>
      <c r="Y1546" s="117"/>
      <c r="Z1546" s="117"/>
      <c r="AA1546" s="117"/>
      <c r="AB1546" s="117"/>
      <c r="AC1546" s="117"/>
      <c r="AD1546" s="117"/>
      <c r="AE1546" s="117"/>
      <c r="AF1546" s="117"/>
      <c r="AG1546" s="117"/>
      <c r="AH1546" s="117"/>
      <c r="AI1546" s="117"/>
      <c r="AJ1546" s="117"/>
      <c r="AK1546" s="117"/>
      <c r="AL1546" s="117"/>
      <c r="AM1546" s="117"/>
      <c r="AN1546" s="117"/>
      <c r="AO1546" s="117"/>
      <c r="AP1546" s="117"/>
      <c r="AQ1546" s="117"/>
      <c r="AR1546" s="117"/>
      <c r="AS1546" s="117"/>
      <c r="AT1546" s="117"/>
      <c r="AU1546" s="117"/>
      <c r="AV1546" s="117"/>
      <c r="AW1546" s="117"/>
      <c r="AX1546" s="117"/>
      <c r="AY1546" s="117"/>
      <c r="AZ1546" s="117"/>
      <c r="BA1546" s="117"/>
      <c r="BB1546" s="117"/>
      <c r="BC1546" s="117"/>
      <c r="BD1546" s="117"/>
      <c r="BE1546" s="117"/>
      <c r="BF1546" s="117"/>
      <c r="BG1546" s="117"/>
    </row>
    <row r="1547" spans="1:59">
      <c r="A1547" s="117"/>
      <c r="B1547" s="117"/>
      <c r="C1547" s="117"/>
      <c r="D1547" s="117"/>
      <c r="E1547" s="117"/>
      <c r="F1547" s="117"/>
      <c r="G1547" s="117"/>
      <c r="H1547" s="117"/>
      <c r="I1547" s="117"/>
      <c r="J1547" s="118"/>
      <c r="K1547" s="118"/>
      <c r="L1547" s="118"/>
      <c r="M1547" s="118"/>
      <c r="N1547" s="117"/>
      <c r="O1547" s="117"/>
      <c r="P1547" s="117"/>
      <c r="Q1547" s="117"/>
      <c r="R1547" s="117"/>
      <c r="S1547" s="117"/>
      <c r="T1547" s="117"/>
      <c r="U1547" s="117"/>
      <c r="V1547" s="117"/>
      <c r="W1547" s="117"/>
      <c r="X1547" s="117"/>
      <c r="Y1547" s="117"/>
      <c r="Z1547" s="117"/>
      <c r="AA1547" s="117"/>
      <c r="AB1547" s="117"/>
      <c r="AC1547" s="117"/>
      <c r="AD1547" s="117"/>
      <c r="AE1547" s="117"/>
      <c r="AF1547" s="117"/>
      <c r="AG1547" s="117"/>
      <c r="AH1547" s="117"/>
      <c r="AI1547" s="117"/>
      <c r="AJ1547" s="117"/>
      <c r="AK1547" s="117"/>
      <c r="AL1547" s="117"/>
      <c r="AM1547" s="117"/>
      <c r="AN1547" s="117"/>
      <c r="AO1547" s="117"/>
      <c r="AP1547" s="117"/>
      <c r="AQ1547" s="117"/>
      <c r="AR1547" s="117"/>
      <c r="AS1547" s="117"/>
      <c r="AT1547" s="117"/>
      <c r="AU1547" s="117"/>
      <c r="AV1547" s="117"/>
      <c r="AW1547" s="117"/>
      <c r="AX1547" s="117"/>
      <c r="AY1547" s="117"/>
      <c r="AZ1547" s="117"/>
      <c r="BA1547" s="117"/>
      <c r="BB1547" s="117"/>
      <c r="BC1547" s="117"/>
      <c r="BD1547" s="117"/>
      <c r="BE1547" s="117"/>
      <c r="BF1547" s="117"/>
      <c r="BG1547" s="117"/>
    </row>
    <row r="1548" spans="1:59">
      <c r="A1548" s="117"/>
      <c r="B1548" s="117"/>
      <c r="C1548" s="117"/>
      <c r="D1548" s="117"/>
      <c r="E1548" s="117"/>
      <c r="F1548" s="117"/>
      <c r="G1548" s="117"/>
      <c r="H1548" s="117"/>
      <c r="I1548" s="117"/>
      <c r="J1548" s="118"/>
      <c r="K1548" s="118"/>
      <c r="L1548" s="118"/>
      <c r="M1548" s="118"/>
      <c r="N1548" s="117"/>
      <c r="O1548" s="117"/>
      <c r="P1548" s="117"/>
      <c r="Q1548" s="117"/>
      <c r="R1548" s="117"/>
      <c r="S1548" s="117"/>
      <c r="T1548" s="117"/>
      <c r="U1548" s="117"/>
      <c r="V1548" s="117"/>
      <c r="W1548" s="117"/>
      <c r="X1548" s="117"/>
      <c r="Y1548" s="117"/>
      <c r="Z1548" s="117"/>
      <c r="AA1548" s="117"/>
      <c r="AB1548" s="117"/>
      <c r="AC1548" s="117"/>
      <c r="AD1548" s="117"/>
      <c r="AE1548" s="117"/>
      <c r="AF1548" s="117"/>
      <c r="AG1548" s="117"/>
      <c r="AH1548" s="117"/>
      <c r="AI1548" s="117"/>
      <c r="AJ1548" s="117"/>
      <c r="AK1548" s="117"/>
      <c r="AL1548" s="117"/>
      <c r="AM1548" s="117"/>
      <c r="AN1548" s="117"/>
      <c r="AO1548" s="117"/>
      <c r="AP1548" s="117"/>
      <c r="AQ1548" s="117"/>
      <c r="AR1548" s="117"/>
      <c r="AS1548" s="117"/>
      <c r="AT1548" s="117"/>
      <c r="AU1548" s="117"/>
      <c r="AV1548" s="117"/>
      <c r="AW1548" s="117"/>
      <c r="AX1548" s="117"/>
      <c r="AY1548" s="117"/>
      <c r="AZ1548" s="117"/>
      <c r="BA1548" s="117"/>
      <c r="BB1548" s="117"/>
      <c r="BC1548" s="117"/>
      <c r="BD1548" s="117"/>
      <c r="BE1548" s="117"/>
      <c r="BF1548" s="117"/>
      <c r="BG1548" s="117"/>
    </row>
    <row r="1549" spans="1:59">
      <c r="A1549" s="117"/>
      <c r="B1549" s="117"/>
      <c r="C1549" s="117"/>
      <c r="D1549" s="117"/>
      <c r="E1549" s="117"/>
      <c r="F1549" s="117"/>
      <c r="G1549" s="117"/>
      <c r="H1549" s="117"/>
      <c r="I1549" s="117"/>
      <c r="J1549" s="118"/>
      <c r="K1549" s="118"/>
      <c r="L1549" s="118"/>
      <c r="M1549" s="118"/>
      <c r="N1549" s="117"/>
      <c r="O1549" s="117"/>
      <c r="P1549" s="117"/>
      <c r="Q1549" s="117"/>
      <c r="R1549" s="117"/>
      <c r="S1549" s="117"/>
      <c r="T1549" s="117"/>
      <c r="U1549" s="117"/>
      <c r="V1549" s="117"/>
      <c r="W1549" s="117"/>
      <c r="X1549" s="117"/>
      <c r="Y1549" s="117"/>
      <c r="Z1549" s="117"/>
      <c r="AA1549" s="117"/>
      <c r="AB1549" s="117"/>
      <c r="AC1549" s="117"/>
      <c r="AD1549" s="117"/>
      <c r="AE1549" s="117"/>
      <c r="AF1549" s="117"/>
      <c r="AG1549" s="117"/>
      <c r="AH1549" s="117"/>
      <c r="AI1549" s="117"/>
      <c r="AJ1549" s="117"/>
      <c r="AK1549" s="117"/>
      <c r="AL1549" s="117"/>
      <c r="AM1549" s="117"/>
      <c r="AN1549" s="117"/>
      <c r="AO1549" s="117"/>
      <c r="AP1549" s="117"/>
      <c r="AQ1549" s="117"/>
      <c r="AR1549" s="117"/>
      <c r="AS1549" s="117"/>
      <c r="AT1549" s="117"/>
      <c r="AU1549" s="117"/>
      <c r="AV1549" s="117"/>
      <c r="AW1549" s="117"/>
      <c r="AX1549" s="117"/>
      <c r="AY1549" s="117"/>
      <c r="AZ1549" s="117"/>
      <c r="BA1549" s="117"/>
      <c r="BB1549" s="117"/>
      <c r="BC1549" s="117"/>
      <c r="BD1549" s="117"/>
      <c r="BE1549" s="117"/>
      <c r="BF1549" s="117"/>
      <c r="BG1549" s="117"/>
    </row>
    <row r="1550" spans="1:59">
      <c r="A1550" s="117"/>
      <c r="B1550" s="117"/>
      <c r="C1550" s="117"/>
      <c r="D1550" s="117"/>
      <c r="E1550" s="117"/>
      <c r="F1550" s="117"/>
      <c r="G1550" s="117"/>
      <c r="H1550" s="117"/>
      <c r="I1550" s="117"/>
      <c r="J1550" s="118"/>
      <c r="K1550" s="118"/>
      <c r="L1550" s="118"/>
      <c r="M1550" s="118"/>
      <c r="N1550" s="117"/>
      <c r="O1550" s="117"/>
      <c r="P1550" s="117"/>
      <c r="Q1550" s="117"/>
      <c r="R1550" s="117"/>
      <c r="S1550" s="117"/>
      <c r="T1550" s="117"/>
      <c r="U1550" s="117"/>
      <c r="V1550" s="117"/>
      <c r="W1550" s="117"/>
      <c r="X1550" s="117"/>
      <c r="Y1550" s="117"/>
      <c r="Z1550" s="117"/>
      <c r="AA1550" s="117"/>
      <c r="AB1550" s="117"/>
      <c r="AC1550" s="117"/>
      <c r="AD1550" s="117"/>
      <c r="AE1550" s="117"/>
      <c r="AF1550" s="117"/>
      <c r="AG1550" s="117"/>
      <c r="AH1550" s="117"/>
      <c r="AI1550" s="117"/>
      <c r="AJ1550" s="117"/>
      <c r="AK1550" s="117"/>
      <c r="AL1550" s="117"/>
      <c r="AM1550" s="117"/>
      <c r="AN1550" s="117"/>
      <c r="AO1550" s="117"/>
      <c r="AP1550" s="117"/>
      <c r="AQ1550" s="117"/>
      <c r="AR1550" s="117"/>
      <c r="AS1550" s="117"/>
      <c r="AT1550" s="117"/>
      <c r="AU1550" s="117"/>
      <c r="AV1550" s="117"/>
      <c r="AW1550" s="117"/>
      <c r="AX1550" s="117"/>
      <c r="AY1550" s="117"/>
      <c r="AZ1550" s="117"/>
      <c r="BA1550" s="117"/>
      <c r="BB1550" s="117"/>
      <c r="BC1550" s="117"/>
      <c r="BD1550" s="117"/>
      <c r="BE1550" s="117"/>
      <c r="BF1550" s="117"/>
      <c r="BG1550" s="117"/>
    </row>
    <row r="1551" spans="1:59">
      <c r="A1551" s="117"/>
      <c r="B1551" s="117"/>
      <c r="C1551" s="117"/>
      <c r="D1551" s="117"/>
      <c r="E1551" s="117"/>
      <c r="F1551" s="117"/>
      <c r="G1551" s="117"/>
      <c r="H1551" s="117"/>
      <c r="I1551" s="117"/>
      <c r="J1551" s="118"/>
      <c r="K1551" s="118"/>
      <c r="L1551" s="118"/>
      <c r="M1551" s="118"/>
      <c r="N1551" s="117"/>
      <c r="O1551" s="117"/>
      <c r="P1551" s="117"/>
      <c r="Q1551" s="117"/>
      <c r="R1551" s="117"/>
      <c r="S1551" s="117"/>
      <c r="T1551" s="117"/>
      <c r="U1551" s="117"/>
      <c r="V1551" s="117"/>
      <c r="W1551" s="117"/>
      <c r="X1551" s="117"/>
      <c r="Y1551" s="117"/>
      <c r="Z1551" s="117"/>
      <c r="AA1551" s="117"/>
      <c r="AB1551" s="117"/>
      <c r="AC1551" s="117"/>
      <c r="AD1551" s="117"/>
      <c r="AE1551" s="117"/>
      <c r="AF1551" s="117"/>
      <c r="AG1551" s="117"/>
      <c r="AH1551" s="117"/>
      <c r="AI1551" s="117"/>
      <c r="AJ1551" s="117"/>
      <c r="AK1551" s="117"/>
      <c r="AL1551" s="117"/>
      <c r="AM1551" s="117"/>
      <c r="AN1551" s="117"/>
      <c r="AO1551" s="117"/>
      <c r="AP1551" s="117"/>
      <c r="AQ1551" s="117"/>
      <c r="AR1551" s="117"/>
      <c r="AS1551" s="117"/>
      <c r="AT1551" s="117"/>
      <c r="AU1551" s="117"/>
      <c r="AV1551" s="117"/>
      <c r="AW1551" s="117"/>
      <c r="AX1551" s="117"/>
      <c r="AY1551" s="117"/>
      <c r="AZ1551" s="117"/>
      <c r="BA1551" s="117"/>
      <c r="BB1551" s="117"/>
      <c r="BC1551" s="117"/>
      <c r="BD1551" s="117"/>
      <c r="BE1551" s="117"/>
      <c r="BF1551" s="117"/>
      <c r="BG1551" s="117"/>
    </row>
    <row r="1552" spans="1:59">
      <c r="A1552" s="117"/>
      <c r="B1552" s="117"/>
      <c r="C1552" s="117"/>
      <c r="D1552" s="117"/>
      <c r="E1552" s="117"/>
      <c r="F1552" s="117"/>
      <c r="G1552" s="117"/>
      <c r="H1552" s="117"/>
      <c r="I1552" s="117"/>
      <c r="J1552" s="118"/>
      <c r="K1552" s="118"/>
      <c r="L1552" s="118"/>
      <c r="M1552" s="118"/>
      <c r="N1552" s="117"/>
      <c r="O1552" s="117"/>
      <c r="P1552" s="117"/>
      <c r="Q1552" s="117"/>
      <c r="R1552" s="117"/>
      <c r="S1552" s="117"/>
      <c r="T1552" s="117"/>
      <c r="U1552" s="117"/>
      <c r="V1552" s="117"/>
      <c r="W1552" s="117"/>
      <c r="X1552" s="117"/>
      <c r="Y1552" s="117"/>
      <c r="Z1552" s="117"/>
      <c r="AA1552" s="117"/>
      <c r="AB1552" s="117"/>
      <c r="AC1552" s="117"/>
      <c r="AD1552" s="117"/>
      <c r="AE1552" s="117"/>
      <c r="AF1552" s="117"/>
      <c r="AG1552" s="117"/>
      <c r="AH1552" s="117"/>
      <c r="AI1552" s="117"/>
      <c r="AJ1552" s="117"/>
      <c r="AK1552" s="117"/>
      <c r="AL1552" s="117"/>
      <c r="AM1552" s="117"/>
      <c r="AN1552" s="117"/>
      <c r="AO1552" s="117"/>
      <c r="AP1552" s="117"/>
      <c r="AQ1552" s="117"/>
      <c r="AR1552" s="117"/>
      <c r="AS1552" s="117"/>
      <c r="AT1552" s="117"/>
      <c r="AU1552" s="117"/>
      <c r="AV1552" s="117"/>
      <c r="AW1552" s="117"/>
      <c r="AX1552" s="117"/>
      <c r="AY1552" s="117"/>
      <c r="AZ1552" s="117"/>
      <c r="BA1552" s="117"/>
      <c r="BB1552" s="117"/>
      <c r="BC1552" s="117"/>
      <c r="BD1552" s="117"/>
      <c r="BE1552" s="117"/>
      <c r="BF1552" s="117"/>
      <c r="BG1552" s="117"/>
    </row>
    <row r="1553" spans="1:59">
      <c r="A1553" s="117"/>
      <c r="B1553" s="117"/>
      <c r="C1553" s="117"/>
      <c r="D1553" s="117"/>
      <c r="E1553" s="117"/>
      <c r="F1553" s="117"/>
      <c r="G1553" s="117"/>
      <c r="H1553" s="117"/>
      <c r="I1553" s="117"/>
      <c r="J1553" s="118"/>
      <c r="K1553" s="118"/>
      <c r="L1553" s="118"/>
      <c r="M1553" s="118"/>
      <c r="N1553" s="117"/>
      <c r="O1553" s="117"/>
      <c r="P1553" s="117"/>
      <c r="Q1553" s="117"/>
      <c r="R1553" s="117"/>
      <c r="S1553" s="117"/>
      <c r="T1553" s="117"/>
      <c r="U1553" s="117"/>
      <c r="V1553" s="117"/>
      <c r="W1553" s="117"/>
      <c r="X1553" s="117"/>
      <c r="Y1553" s="117"/>
      <c r="Z1553" s="117"/>
      <c r="AA1553" s="117"/>
      <c r="AB1553" s="117"/>
      <c r="AC1553" s="117"/>
      <c r="AD1553" s="117"/>
      <c r="AE1553" s="117"/>
      <c r="AF1553" s="117"/>
      <c r="AG1553" s="117"/>
      <c r="AH1553" s="117"/>
      <c r="AI1553" s="117"/>
      <c r="AJ1553" s="117"/>
      <c r="AK1553" s="117"/>
      <c r="AL1553" s="117"/>
      <c r="AM1553" s="117"/>
      <c r="AN1553" s="117"/>
      <c r="AO1553" s="117"/>
      <c r="AP1553" s="117"/>
      <c r="AQ1553" s="117"/>
      <c r="AR1553" s="117"/>
      <c r="AS1553" s="117"/>
      <c r="AT1553" s="117"/>
      <c r="AU1553" s="117"/>
      <c r="AV1553" s="117"/>
      <c r="AW1553" s="117"/>
      <c r="AX1553" s="117"/>
      <c r="AY1553" s="117"/>
      <c r="AZ1553" s="117"/>
      <c r="BA1553" s="117"/>
      <c r="BB1553" s="117"/>
      <c r="BC1553" s="117"/>
      <c r="BD1553" s="117"/>
      <c r="BE1553" s="117"/>
      <c r="BF1553" s="117"/>
      <c r="BG1553" s="117"/>
    </row>
    <row r="1554" spans="1:59">
      <c r="A1554" s="117"/>
      <c r="B1554" s="117"/>
      <c r="C1554" s="117"/>
      <c r="D1554" s="117"/>
      <c r="E1554" s="117"/>
      <c r="F1554" s="117"/>
      <c r="G1554" s="117"/>
      <c r="H1554" s="117"/>
      <c r="I1554" s="117"/>
      <c r="J1554" s="118"/>
      <c r="K1554" s="118"/>
      <c r="L1554" s="118"/>
      <c r="M1554" s="118"/>
      <c r="N1554" s="117"/>
      <c r="O1554" s="117"/>
      <c r="P1554" s="117"/>
      <c r="Q1554" s="117"/>
      <c r="R1554" s="117"/>
      <c r="S1554" s="117"/>
      <c r="T1554" s="117"/>
      <c r="U1554" s="117"/>
      <c r="V1554" s="117"/>
      <c r="W1554" s="117"/>
      <c r="X1554" s="117"/>
      <c r="Y1554" s="117"/>
      <c r="Z1554" s="117"/>
      <c r="AA1554" s="117"/>
      <c r="AB1554" s="117"/>
      <c r="AC1554" s="117"/>
      <c r="AD1554" s="117"/>
      <c r="AE1554" s="117"/>
      <c r="AF1554" s="117"/>
      <c r="AG1554" s="117"/>
      <c r="AH1554" s="117"/>
      <c r="AI1554" s="117"/>
      <c r="AJ1554" s="117"/>
      <c r="AK1554" s="117"/>
      <c r="AL1554" s="117"/>
      <c r="AM1554" s="117"/>
      <c r="AN1554" s="117"/>
      <c r="AO1554" s="117"/>
      <c r="AP1554" s="117"/>
      <c r="AQ1554" s="117"/>
      <c r="AR1554" s="117"/>
      <c r="AS1554" s="117"/>
      <c r="AT1554" s="117"/>
      <c r="AU1554" s="117"/>
      <c r="AV1554" s="117"/>
      <c r="AW1554" s="117"/>
      <c r="AX1554" s="117"/>
      <c r="AY1554" s="117"/>
      <c r="AZ1554" s="117"/>
      <c r="BA1554" s="117"/>
      <c r="BB1554" s="117"/>
      <c r="BC1554" s="117"/>
      <c r="BD1554" s="117"/>
      <c r="BE1554" s="117"/>
      <c r="BF1554" s="117"/>
      <c r="BG1554" s="117"/>
    </row>
    <row r="1555" spans="1:59">
      <c r="A1555" s="117"/>
      <c r="B1555" s="117"/>
      <c r="C1555" s="117"/>
      <c r="D1555" s="117"/>
      <c r="E1555" s="117"/>
      <c r="F1555" s="117"/>
      <c r="G1555" s="117"/>
      <c r="H1555" s="117"/>
      <c r="I1555" s="117"/>
      <c r="J1555" s="118"/>
      <c r="K1555" s="118"/>
      <c r="L1555" s="118"/>
      <c r="M1555" s="118"/>
      <c r="N1555" s="117"/>
      <c r="O1555" s="117"/>
      <c r="P1555" s="117"/>
      <c r="Q1555" s="117"/>
      <c r="R1555" s="117"/>
      <c r="S1555" s="117"/>
      <c r="T1555" s="117"/>
      <c r="U1555" s="117"/>
      <c r="V1555" s="117"/>
      <c r="W1555" s="117"/>
      <c r="X1555" s="117"/>
      <c r="Y1555" s="117"/>
      <c r="Z1555" s="117"/>
      <c r="AA1555" s="117"/>
      <c r="AB1555" s="117"/>
      <c r="AC1555" s="117"/>
      <c r="AD1555" s="117"/>
      <c r="AE1555" s="117"/>
      <c r="AF1555" s="117"/>
      <c r="AG1555" s="117"/>
      <c r="AH1555" s="117"/>
      <c r="AI1555" s="117"/>
      <c r="AJ1555" s="117"/>
      <c r="AK1555" s="117"/>
      <c r="AL1555" s="117"/>
      <c r="AM1555" s="117"/>
      <c r="AN1555" s="117"/>
      <c r="AO1555" s="117"/>
      <c r="AP1555" s="117"/>
      <c r="AQ1555" s="117"/>
      <c r="AR1555" s="117"/>
      <c r="AS1555" s="117"/>
      <c r="AT1555" s="117"/>
      <c r="AU1555" s="117"/>
      <c r="AV1555" s="117"/>
      <c r="AW1555" s="117"/>
      <c r="AX1555" s="117"/>
      <c r="AY1555" s="117"/>
      <c r="AZ1555" s="117"/>
      <c r="BA1555" s="117"/>
      <c r="BB1555" s="117"/>
      <c r="BC1555" s="117"/>
      <c r="BD1555" s="117"/>
      <c r="BE1555" s="117"/>
      <c r="BF1555" s="117"/>
      <c r="BG1555" s="117"/>
    </row>
    <row r="1556" spans="1:59">
      <c r="A1556" s="117"/>
      <c r="B1556" s="117"/>
      <c r="C1556" s="117"/>
      <c r="D1556" s="117"/>
      <c r="E1556" s="117"/>
      <c r="F1556" s="117"/>
      <c r="G1556" s="117"/>
      <c r="H1556" s="117"/>
      <c r="I1556" s="117"/>
      <c r="J1556" s="118"/>
      <c r="K1556" s="118"/>
      <c r="L1556" s="118"/>
      <c r="M1556" s="118"/>
      <c r="N1556" s="117"/>
      <c r="O1556" s="117"/>
      <c r="P1556" s="117"/>
      <c r="Q1556" s="117"/>
      <c r="R1556" s="117"/>
      <c r="S1556" s="117"/>
      <c r="T1556" s="117"/>
      <c r="U1556" s="117"/>
      <c r="V1556" s="117"/>
      <c r="W1556" s="117"/>
      <c r="X1556" s="117"/>
      <c r="Y1556" s="117"/>
      <c r="Z1556" s="117"/>
      <c r="AA1556" s="117"/>
      <c r="AB1556" s="117"/>
      <c r="AC1556" s="117"/>
      <c r="AD1556" s="117"/>
      <c r="AE1556" s="117"/>
      <c r="AF1556" s="117"/>
      <c r="AG1556" s="117"/>
      <c r="AH1556" s="117"/>
      <c r="AI1556" s="117"/>
      <c r="AJ1556" s="117"/>
      <c r="AK1556" s="117"/>
      <c r="AL1556" s="117"/>
      <c r="AM1556" s="117"/>
      <c r="AN1556" s="117"/>
      <c r="AO1556" s="117"/>
      <c r="AP1556" s="117"/>
      <c r="AQ1556" s="117"/>
      <c r="AR1556" s="117"/>
      <c r="AS1556" s="117"/>
      <c r="AT1556" s="117"/>
      <c r="AU1556" s="117"/>
      <c r="AV1556" s="117"/>
      <c r="AW1556" s="117"/>
      <c r="AX1556" s="117"/>
      <c r="AY1556" s="117"/>
      <c r="AZ1556" s="117"/>
      <c r="BA1556" s="117"/>
      <c r="BB1556" s="117"/>
      <c r="BC1556" s="117"/>
      <c r="BD1556" s="117"/>
      <c r="BE1556" s="117"/>
      <c r="BF1556" s="117"/>
      <c r="BG1556" s="117"/>
    </row>
    <row r="1557" spans="1:59">
      <c r="A1557" s="117"/>
      <c r="B1557" s="117"/>
      <c r="C1557" s="117"/>
      <c r="D1557" s="117"/>
      <c r="E1557" s="117"/>
      <c r="F1557" s="117"/>
      <c r="G1557" s="117"/>
      <c r="H1557" s="117"/>
      <c r="I1557" s="117"/>
      <c r="J1557" s="118"/>
      <c r="K1557" s="118"/>
      <c r="L1557" s="118"/>
      <c r="M1557" s="118"/>
      <c r="N1557" s="117"/>
      <c r="O1557" s="117"/>
      <c r="P1557" s="117"/>
      <c r="Q1557" s="117"/>
      <c r="R1557" s="117"/>
      <c r="S1557" s="117"/>
      <c r="T1557" s="117"/>
      <c r="U1557" s="117"/>
      <c r="V1557" s="117"/>
      <c r="W1557" s="117"/>
      <c r="X1557" s="117"/>
      <c r="Y1557" s="117"/>
      <c r="Z1557" s="117"/>
      <c r="AA1557" s="117"/>
      <c r="AB1557" s="117"/>
      <c r="AC1557" s="117"/>
      <c r="AD1557" s="117"/>
      <c r="AE1557" s="117"/>
      <c r="AF1557" s="117"/>
      <c r="AG1557" s="117"/>
      <c r="AH1557" s="117"/>
      <c r="AI1557" s="117"/>
      <c r="AJ1557" s="117"/>
      <c r="AK1557" s="117"/>
      <c r="AL1557" s="117"/>
      <c r="AM1557" s="117"/>
      <c r="AN1557" s="117"/>
      <c r="AO1557" s="117"/>
      <c r="AP1557" s="117"/>
      <c r="AQ1557" s="117"/>
      <c r="AR1557" s="117"/>
      <c r="AS1557" s="117"/>
      <c r="AT1557" s="117"/>
      <c r="AU1557" s="117"/>
      <c r="AV1557" s="117"/>
      <c r="AW1557" s="117"/>
      <c r="AX1557" s="117"/>
      <c r="AY1557" s="117"/>
      <c r="AZ1557" s="117"/>
      <c r="BA1557" s="117"/>
      <c r="BB1557" s="117"/>
      <c r="BC1557" s="117"/>
      <c r="BD1557" s="117"/>
      <c r="BE1557" s="117"/>
      <c r="BF1557" s="117"/>
      <c r="BG1557" s="117"/>
    </row>
    <row r="1558" spans="1:59">
      <c r="A1558" s="117"/>
      <c r="B1558" s="117"/>
      <c r="C1558" s="117"/>
      <c r="D1558" s="117"/>
      <c r="E1558" s="117"/>
      <c r="F1558" s="117"/>
      <c r="G1558" s="117"/>
      <c r="H1558" s="117"/>
      <c r="I1558" s="117"/>
      <c r="J1558" s="118"/>
      <c r="K1558" s="118"/>
      <c r="L1558" s="118"/>
      <c r="M1558" s="118"/>
      <c r="N1558" s="117"/>
      <c r="O1558" s="117"/>
      <c r="P1558" s="117"/>
      <c r="Q1558" s="117"/>
      <c r="R1558" s="117"/>
      <c r="S1558" s="117"/>
      <c r="T1558" s="117"/>
      <c r="U1558" s="117"/>
      <c r="V1558" s="117"/>
      <c r="W1558" s="117"/>
      <c r="X1558" s="117"/>
      <c r="Y1558" s="117"/>
      <c r="Z1558" s="117"/>
      <c r="AA1558" s="117"/>
      <c r="AB1558" s="117"/>
      <c r="AC1558" s="117"/>
      <c r="AD1558" s="117"/>
      <c r="AE1558" s="117"/>
      <c r="AF1558" s="117"/>
      <c r="AG1558" s="117"/>
      <c r="AH1558" s="117"/>
      <c r="AI1558" s="117"/>
      <c r="AJ1558" s="117"/>
      <c r="AK1558" s="117"/>
      <c r="AL1558" s="117"/>
      <c r="AM1558" s="117"/>
      <c r="AN1558" s="117"/>
      <c r="AO1558" s="117"/>
      <c r="AP1558" s="117"/>
      <c r="AQ1558" s="117"/>
      <c r="AR1558" s="117"/>
      <c r="AS1558" s="117"/>
      <c r="AT1558" s="117"/>
      <c r="AU1558" s="117"/>
      <c r="AV1558" s="117"/>
      <c r="AW1558" s="117"/>
      <c r="AX1558" s="117"/>
      <c r="AY1558" s="117"/>
      <c r="AZ1558" s="117"/>
      <c r="BA1558" s="117"/>
      <c r="BB1558" s="117"/>
      <c r="BC1558" s="117"/>
      <c r="BD1558" s="117"/>
      <c r="BE1558" s="117"/>
      <c r="BF1558" s="117"/>
      <c r="BG1558" s="117"/>
    </row>
    <row r="1559" spans="1:59">
      <c r="A1559" s="117"/>
      <c r="B1559" s="117"/>
      <c r="C1559" s="117"/>
      <c r="D1559" s="117"/>
      <c r="E1559" s="117"/>
      <c r="F1559" s="117"/>
      <c r="G1559" s="117"/>
      <c r="H1559" s="117"/>
      <c r="I1559" s="117"/>
      <c r="J1559" s="118"/>
      <c r="K1559" s="118"/>
      <c r="L1559" s="118"/>
      <c r="M1559" s="118"/>
      <c r="N1559" s="117"/>
      <c r="O1559" s="117"/>
      <c r="P1559" s="117"/>
      <c r="Q1559" s="117"/>
      <c r="R1559" s="117"/>
      <c r="S1559" s="117"/>
      <c r="T1559" s="117"/>
      <c r="U1559" s="117"/>
      <c r="V1559" s="117"/>
      <c r="W1559" s="117"/>
      <c r="X1559" s="117"/>
      <c r="Y1559" s="117"/>
      <c r="Z1559" s="117"/>
      <c r="AA1559" s="117"/>
      <c r="AB1559" s="117"/>
      <c r="AC1559" s="117"/>
      <c r="AD1559" s="117"/>
      <c r="AE1559" s="117"/>
      <c r="AF1559" s="117"/>
      <c r="AG1559" s="117"/>
      <c r="AH1559" s="117"/>
      <c r="AI1559" s="117"/>
      <c r="AJ1559" s="117"/>
      <c r="AK1559" s="117"/>
      <c r="AL1559" s="117"/>
      <c r="AM1559" s="117"/>
      <c r="AN1559" s="117"/>
      <c r="AO1559" s="117"/>
      <c r="AP1559" s="117"/>
      <c r="AQ1559" s="117"/>
      <c r="AR1559" s="117"/>
      <c r="AS1559" s="117"/>
      <c r="AT1559" s="117"/>
      <c r="AU1559" s="117"/>
      <c r="AV1559" s="117"/>
      <c r="AW1559" s="117"/>
      <c r="AX1559" s="117"/>
      <c r="AY1559" s="117"/>
      <c r="AZ1559" s="117"/>
      <c r="BA1559" s="117"/>
      <c r="BB1559" s="117"/>
      <c r="BC1559" s="117"/>
      <c r="BD1559" s="117"/>
      <c r="BE1559" s="117"/>
      <c r="BF1559" s="117"/>
      <c r="BG1559" s="117"/>
    </row>
    <row r="1560" spans="1:59">
      <c r="A1560" s="117"/>
      <c r="B1560" s="117"/>
      <c r="C1560" s="117"/>
      <c r="D1560" s="117"/>
      <c r="E1560" s="117"/>
      <c r="F1560" s="117"/>
      <c r="G1560" s="117"/>
      <c r="H1560" s="117"/>
      <c r="I1560" s="117"/>
      <c r="J1560" s="118"/>
      <c r="K1560" s="118"/>
      <c r="L1560" s="118"/>
      <c r="M1560" s="118"/>
      <c r="N1560" s="117"/>
      <c r="O1560" s="117"/>
      <c r="P1560" s="117"/>
      <c r="Q1560" s="117"/>
      <c r="R1560" s="117"/>
      <c r="S1560" s="117"/>
      <c r="T1560" s="117"/>
      <c r="U1560" s="117"/>
      <c r="V1560" s="117"/>
      <c r="W1560" s="117"/>
      <c r="X1560" s="117"/>
      <c r="Y1560" s="117"/>
      <c r="Z1560" s="117"/>
      <c r="AA1560" s="117"/>
      <c r="AB1560" s="117"/>
      <c r="AC1560" s="117"/>
      <c r="AD1560" s="117"/>
      <c r="AE1560" s="117"/>
      <c r="AF1560" s="117"/>
      <c r="AG1560" s="117"/>
      <c r="AH1560" s="117"/>
      <c r="AI1560" s="117"/>
      <c r="AJ1560" s="117"/>
      <c r="AK1560" s="117"/>
      <c r="AL1560" s="117"/>
      <c r="AM1560" s="117"/>
      <c r="AN1560" s="117"/>
      <c r="AO1560" s="117"/>
      <c r="AP1560" s="117"/>
      <c r="AQ1560" s="117"/>
      <c r="AR1560" s="117"/>
      <c r="AS1560" s="117"/>
      <c r="AT1560" s="117"/>
      <c r="AU1560" s="117"/>
      <c r="AV1560" s="117"/>
      <c r="AW1560" s="117"/>
      <c r="AX1560" s="117"/>
      <c r="AY1560" s="117"/>
      <c r="AZ1560" s="117"/>
      <c r="BA1560" s="117"/>
      <c r="BB1560" s="117"/>
      <c r="BC1560" s="117"/>
      <c r="BD1560" s="117"/>
      <c r="BE1560" s="117"/>
      <c r="BF1560" s="117"/>
      <c r="BG1560" s="117"/>
    </row>
    <row r="1561" spans="1:59">
      <c r="A1561" s="117"/>
      <c r="B1561" s="117"/>
      <c r="C1561" s="117"/>
      <c r="D1561" s="117"/>
      <c r="E1561" s="117"/>
      <c r="F1561" s="117"/>
      <c r="G1561" s="117"/>
      <c r="H1561" s="117"/>
      <c r="I1561" s="117"/>
      <c r="J1561" s="118"/>
      <c r="K1561" s="118"/>
      <c r="L1561" s="118"/>
      <c r="M1561" s="118"/>
      <c r="N1561" s="117"/>
      <c r="O1561" s="117"/>
      <c r="P1561" s="117"/>
      <c r="Q1561" s="117"/>
      <c r="R1561" s="117"/>
      <c r="S1561" s="117"/>
      <c r="T1561" s="117"/>
      <c r="U1561" s="117"/>
      <c r="V1561" s="117"/>
      <c r="W1561" s="117"/>
      <c r="X1561" s="117"/>
      <c r="Y1561" s="117"/>
      <c r="Z1561" s="117"/>
      <c r="AA1561" s="117"/>
      <c r="AB1561" s="117"/>
      <c r="AC1561" s="117"/>
      <c r="AD1561" s="117"/>
      <c r="AE1561" s="117"/>
      <c r="AF1561" s="117"/>
      <c r="AG1561" s="117"/>
      <c r="AH1561" s="117"/>
      <c r="AI1561" s="117"/>
      <c r="AJ1561" s="117"/>
      <c r="AK1561" s="117"/>
      <c r="AL1561" s="117"/>
      <c r="AM1561" s="117"/>
      <c r="AN1561" s="117"/>
      <c r="AO1561" s="117"/>
      <c r="AP1561" s="117"/>
      <c r="AQ1561" s="117"/>
      <c r="AR1561" s="117"/>
      <c r="AS1561" s="117"/>
      <c r="AT1561" s="117"/>
      <c r="AU1561" s="117"/>
      <c r="AV1561" s="117"/>
      <c r="AW1561" s="117"/>
      <c r="AX1561" s="117"/>
      <c r="AY1561" s="117"/>
      <c r="AZ1561" s="117"/>
      <c r="BA1561" s="117"/>
      <c r="BB1561" s="117"/>
      <c r="BC1561" s="117"/>
      <c r="BD1561" s="117"/>
      <c r="BE1561" s="117"/>
      <c r="BF1561" s="117"/>
      <c r="BG1561" s="117"/>
    </row>
    <row r="1562" spans="1:59">
      <c r="A1562" s="117"/>
      <c r="B1562" s="117"/>
      <c r="C1562" s="117"/>
      <c r="D1562" s="117"/>
      <c r="E1562" s="117"/>
      <c r="F1562" s="117"/>
      <c r="G1562" s="117"/>
      <c r="H1562" s="117"/>
      <c r="I1562" s="117"/>
      <c r="J1562" s="118"/>
      <c r="K1562" s="118"/>
      <c r="L1562" s="118"/>
      <c r="M1562" s="118"/>
      <c r="N1562" s="117"/>
      <c r="O1562" s="117"/>
      <c r="P1562" s="117"/>
      <c r="Q1562" s="117"/>
      <c r="R1562" s="117"/>
      <c r="S1562" s="117"/>
      <c r="T1562" s="117"/>
      <c r="U1562" s="117"/>
      <c r="V1562" s="117"/>
      <c r="W1562" s="117"/>
      <c r="X1562" s="117"/>
      <c r="Y1562" s="117"/>
      <c r="Z1562" s="117"/>
      <c r="AA1562" s="117"/>
      <c r="AB1562" s="117"/>
      <c r="AC1562" s="117"/>
      <c r="AD1562" s="117"/>
      <c r="AE1562" s="117"/>
      <c r="AF1562" s="117"/>
      <c r="AG1562" s="117"/>
      <c r="AH1562" s="117"/>
      <c r="AI1562" s="117"/>
      <c r="AJ1562" s="117"/>
      <c r="AK1562" s="117"/>
      <c r="AL1562" s="117"/>
      <c r="AM1562" s="117"/>
      <c r="AN1562" s="117"/>
      <c r="AO1562" s="117"/>
      <c r="AP1562" s="117"/>
      <c r="AQ1562" s="117"/>
      <c r="AR1562" s="117"/>
      <c r="AS1562" s="117"/>
      <c r="AT1562" s="117"/>
      <c r="AU1562" s="117"/>
      <c r="AV1562" s="117"/>
      <c r="AW1562" s="117"/>
      <c r="AX1562" s="117"/>
      <c r="AY1562" s="117"/>
      <c r="AZ1562" s="117"/>
      <c r="BA1562" s="117"/>
      <c r="BB1562" s="117"/>
      <c r="BC1562" s="117"/>
      <c r="BD1562" s="117"/>
      <c r="BE1562" s="117"/>
      <c r="BF1562" s="117"/>
      <c r="BG1562" s="117"/>
    </row>
    <row r="1563" spans="1:59">
      <c r="A1563" s="117"/>
      <c r="B1563" s="117"/>
      <c r="C1563" s="117"/>
      <c r="D1563" s="117"/>
      <c r="E1563" s="117"/>
      <c r="F1563" s="117"/>
      <c r="G1563" s="117"/>
      <c r="H1563" s="117"/>
      <c r="I1563" s="117"/>
      <c r="J1563" s="118"/>
      <c r="K1563" s="118"/>
      <c r="L1563" s="118"/>
      <c r="M1563" s="118"/>
      <c r="N1563" s="117"/>
      <c r="O1563" s="117"/>
      <c r="P1563" s="117"/>
      <c r="Q1563" s="117"/>
      <c r="R1563" s="117"/>
      <c r="S1563" s="117"/>
      <c r="T1563" s="117"/>
      <c r="U1563" s="117"/>
      <c r="V1563" s="117"/>
      <c r="W1563" s="117"/>
      <c r="X1563" s="117"/>
      <c r="Y1563" s="117"/>
      <c r="Z1563" s="117"/>
      <c r="AA1563" s="117"/>
      <c r="AB1563" s="117"/>
      <c r="AC1563" s="117"/>
      <c r="AD1563" s="117"/>
      <c r="AE1563" s="117"/>
      <c r="AF1563" s="117"/>
      <c r="AG1563" s="117"/>
      <c r="AH1563" s="117"/>
      <c r="AI1563" s="117"/>
      <c r="AJ1563" s="117"/>
      <c r="AK1563" s="117"/>
      <c r="AL1563" s="117"/>
      <c r="AM1563" s="117"/>
      <c r="AN1563" s="117"/>
      <c r="AO1563" s="117"/>
      <c r="AP1563" s="117"/>
      <c r="AQ1563" s="117"/>
      <c r="AR1563" s="117"/>
      <c r="AS1563" s="117"/>
      <c r="AT1563" s="117"/>
      <c r="AU1563" s="117"/>
      <c r="AV1563" s="117"/>
      <c r="AW1563" s="117"/>
      <c r="AX1563" s="117"/>
      <c r="AY1563" s="117"/>
      <c r="AZ1563" s="117"/>
      <c r="BA1563" s="117"/>
      <c r="BB1563" s="117"/>
      <c r="BC1563" s="117"/>
      <c r="BD1563" s="117"/>
      <c r="BE1563" s="117"/>
      <c r="BF1563" s="117"/>
      <c r="BG1563" s="117"/>
    </row>
    <row r="1564" spans="1:59">
      <c r="A1564" s="117"/>
      <c r="B1564" s="117"/>
      <c r="C1564" s="117"/>
      <c r="D1564" s="117"/>
      <c r="E1564" s="117"/>
      <c r="F1564" s="117"/>
      <c r="G1564" s="117"/>
      <c r="H1564" s="117"/>
      <c r="I1564" s="117"/>
      <c r="J1564" s="118"/>
      <c r="K1564" s="118"/>
      <c r="L1564" s="118"/>
      <c r="M1564" s="118"/>
      <c r="N1564" s="117"/>
      <c r="O1564" s="117"/>
      <c r="P1564" s="117"/>
      <c r="Q1564" s="117"/>
      <c r="R1564" s="117"/>
      <c r="S1564" s="117"/>
      <c r="T1564" s="117"/>
      <c r="U1564" s="117"/>
      <c r="V1564" s="117"/>
      <c r="W1564" s="117"/>
      <c r="X1564" s="117"/>
      <c r="Y1564" s="117"/>
      <c r="Z1564" s="117"/>
      <c r="AA1564" s="117"/>
      <c r="AB1564" s="117"/>
      <c r="AC1564" s="117"/>
      <c r="AD1564" s="117"/>
      <c r="AE1564" s="117"/>
      <c r="AF1564" s="117"/>
      <c r="AG1564" s="117"/>
      <c r="AH1564" s="117"/>
      <c r="AI1564" s="117"/>
      <c r="AJ1564" s="117"/>
      <c r="AK1564" s="117"/>
      <c r="AL1564" s="117"/>
      <c r="AM1564" s="117"/>
      <c r="AN1564" s="117"/>
      <c r="AO1564" s="117"/>
      <c r="AP1564" s="117"/>
      <c r="AQ1564" s="117"/>
      <c r="AR1564" s="117"/>
      <c r="AS1564" s="117"/>
      <c r="AT1564" s="117"/>
      <c r="AU1564" s="117"/>
      <c r="AV1564" s="117"/>
      <c r="AW1564" s="117"/>
      <c r="AX1564" s="117"/>
      <c r="AY1564" s="117"/>
      <c r="AZ1564" s="117"/>
      <c r="BA1564" s="117"/>
      <c r="BB1564" s="117"/>
      <c r="BC1564" s="117"/>
      <c r="BD1564" s="117"/>
      <c r="BE1564" s="117"/>
      <c r="BF1564" s="117"/>
      <c r="BG1564" s="117"/>
    </row>
    <row r="1565" spans="1:59">
      <c r="A1565" s="117"/>
      <c r="B1565" s="117"/>
      <c r="C1565" s="117"/>
      <c r="D1565" s="117"/>
      <c r="E1565" s="117"/>
      <c r="F1565" s="117"/>
      <c r="G1565" s="117"/>
      <c r="H1565" s="117"/>
      <c r="I1565" s="117"/>
      <c r="J1565" s="118"/>
      <c r="K1565" s="118"/>
      <c r="L1565" s="118"/>
      <c r="M1565" s="118"/>
      <c r="N1565" s="117"/>
      <c r="O1565" s="117"/>
      <c r="P1565" s="117"/>
      <c r="Q1565" s="117"/>
      <c r="R1565" s="117"/>
      <c r="S1565" s="117"/>
      <c r="T1565" s="117"/>
      <c r="U1565" s="117"/>
      <c r="V1565" s="117"/>
      <c r="W1565" s="117"/>
      <c r="X1565" s="117"/>
      <c r="Y1565" s="117"/>
      <c r="Z1565" s="117"/>
      <c r="AA1565" s="117"/>
      <c r="AB1565" s="117"/>
      <c r="AC1565" s="117"/>
      <c r="AD1565" s="117"/>
      <c r="AE1565" s="117"/>
      <c r="AF1565" s="117"/>
      <c r="AG1565" s="117"/>
      <c r="AH1565" s="117"/>
      <c r="AI1565" s="117"/>
      <c r="AJ1565" s="117"/>
      <c r="AK1565" s="117"/>
      <c r="AL1565" s="117"/>
      <c r="AM1565" s="117"/>
      <c r="AN1565" s="117"/>
      <c r="AO1565" s="117"/>
      <c r="AP1565" s="117"/>
      <c r="AQ1565" s="117"/>
      <c r="AR1565" s="117"/>
      <c r="AS1565" s="117"/>
      <c r="AT1565" s="117"/>
      <c r="AU1565" s="117"/>
      <c r="AV1565" s="117"/>
      <c r="AW1565" s="117"/>
      <c r="AX1565" s="117"/>
      <c r="AY1565" s="117"/>
      <c r="AZ1565" s="117"/>
      <c r="BA1565" s="117"/>
      <c r="BB1565" s="117"/>
      <c r="BC1565" s="117"/>
      <c r="BD1565" s="117"/>
      <c r="BE1565" s="117"/>
      <c r="BF1565" s="117"/>
      <c r="BG1565" s="117"/>
    </row>
    <row r="1566" spans="1:59">
      <c r="A1566" s="117"/>
      <c r="B1566" s="117"/>
      <c r="C1566" s="117"/>
      <c r="D1566" s="117"/>
      <c r="E1566" s="117"/>
      <c r="F1566" s="117"/>
      <c r="G1566" s="117"/>
      <c r="H1566" s="117"/>
      <c r="I1566" s="117"/>
      <c r="J1566" s="118"/>
      <c r="K1566" s="118"/>
      <c r="L1566" s="118"/>
      <c r="M1566" s="118"/>
      <c r="N1566" s="117"/>
      <c r="O1566" s="117"/>
      <c r="P1566" s="117"/>
      <c r="Q1566" s="117"/>
      <c r="R1566" s="117"/>
      <c r="S1566" s="117"/>
      <c r="T1566" s="117"/>
      <c r="U1566" s="117"/>
      <c r="V1566" s="117"/>
      <c r="W1566" s="117"/>
      <c r="X1566" s="117"/>
      <c r="Y1566" s="117"/>
      <c r="Z1566" s="117"/>
      <c r="AA1566" s="117"/>
      <c r="AB1566" s="117"/>
      <c r="AC1566" s="117"/>
      <c r="AD1566" s="117"/>
      <c r="AE1566" s="117"/>
      <c r="AF1566" s="117"/>
      <c r="AG1566" s="117"/>
      <c r="AH1566" s="117"/>
      <c r="AI1566" s="117"/>
      <c r="AJ1566" s="117"/>
      <c r="AK1566" s="117"/>
      <c r="AL1566" s="117"/>
      <c r="AM1566" s="117"/>
      <c r="AN1566" s="117"/>
      <c r="AO1566" s="117"/>
      <c r="AP1566" s="117"/>
      <c r="AQ1566" s="117"/>
      <c r="AR1566" s="117"/>
      <c r="AS1566" s="117"/>
      <c r="AT1566" s="117"/>
      <c r="AU1566" s="117"/>
      <c r="AV1566" s="117"/>
      <c r="AW1566" s="117"/>
      <c r="AX1566" s="117"/>
      <c r="AY1566" s="117"/>
      <c r="AZ1566" s="117"/>
      <c r="BA1566" s="117"/>
      <c r="BB1566" s="117"/>
      <c r="BC1566" s="117"/>
      <c r="BD1566" s="117"/>
      <c r="BE1566" s="117"/>
      <c r="BF1566" s="117"/>
      <c r="BG1566" s="117"/>
    </row>
    <row r="1567" spans="1:59">
      <c r="A1567" s="117"/>
      <c r="B1567" s="117"/>
      <c r="C1567" s="117"/>
      <c r="D1567" s="117"/>
      <c r="E1567" s="117"/>
      <c r="F1567" s="117"/>
      <c r="G1567" s="117"/>
      <c r="H1567" s="117"/>
      <c r="I1567" s="117"/>
      <c r="J1567" s="118"/>
      <c r="K1567" s="118"/>
      <c r="L1567" s="118"/>
      <c r="M1567" s="118"/>
      <c r="N1567" s="117"/>
      <c r="O1567" s="117"/>
      <c r="P1567" s="117"/>
      <c r="Q1567" s="117"/>
      <c r="R1567" s="117"/>
      <c r="S1567" s="117"/>
      <c r="T1567" s="117"/>
      <c r="U1567" s="117"/>
      <c r="V1567" s="117"/>
      <c r="W1567" s="117"/>
      <c r="X1567" s="117"/>
      <c r="Y1567" s="117"/>
      <c r="Z1567" s="117"/>
      <c r="AA1567" s="117"/>
      <c r="AB1567" s="117"/>
      <c r="AC1567" s="117"/>
      <c r="AD1567" s="117"/>
      <c r="AE1567" s="117"/>
      <c r="AF1567" s="117"/>
      <c r="AG1567" s="117"/>
      <c r="AH1567" s="117"/>
      <c r="AI1567" s="117"/>
      <c r="AJ1567" s="117"/>
      <c r="AK1567" s="117"/>
      <c r="AL1567" s="117"/>
      <c r="AM1567" s="117"/>
      <c r="AN1567" s="117"/>
      <c r="AO1567" s="117"/>
      <c r="AP1567" s="117"/>
      <c r="AQ1567" s="117"/>
      <c r="AR1567" s="117"/>
      <c r="AS1567" s="117"/>
      <c r="AT1567" s="117"/>
      <c r="AU1567" s="117"/>
      <c r="AV1567" s="117"/>
      <c r="AW1567" s="117"/>
      <c r="AX1567" s="117"/>
      <c r="AY1567" s="117"/>
      <c r="AZ1567" s="117"/>
      <c r="BA1567" s="117"/>
      <c r="BB1567" s="117"/>
      <c r="BC1567" s="117"/>
      <c r="BD1567" s="117"/>
      <c r="BE1567" s="117"/>
      <c r="BF1567" s="117"/>
      <c r="BG1567" s="117"/>
    </row>
    <row r="1568" spans="1:59">
      <c r="A1568" s="117"/>
      <c r="B1568" s="117"/>
      <c r="C1568" s="117"/>
      <c r="D1568" s="117"/>
      <c r="E1568" s="117"/>
      <c r="F1568" s="117"/>
      <c r="G1568" s="117"/>
      <c r="H1568" s="117"/>
      <c r="I1568" s="117"/>
      <c r="J1568" s="118"/>
      <c r="K1568" s="118"/>
      <c r="L1568" s="118"/>
      <c r="M1568" s="118"/>
      <c r="N1568" s="117"/>
      <c r="O1568" s="117"/>
      <c r="P1568" s="117"/>
      <c r="Q1568" s="117"/>
      <c r="R1568" s="117"/>
      <c r="S1568" s="117"/>
      <c r="T1568" s="117"/>
      <c r="U1568" s="117"/>
      <c r="V1568" s="117"/>
      <c r="W1568" s="117"/>
      <c r="X1568" s="117"/>
      <c r="Y1568" s="117"/>
      <c r="Z1568" s="117"/>
      <c r="AA1568" s="117"/>
      <c r="AB1568" s="117"/>
      <c r="AC1568" s="117"/>
      <c r="AD1568" s="117"/>
      <c r="AE1568" s="117"/>
      <c r="AF1568" s="117"/>
      <c r="AG1568" s="117"/>
      <c r="AH1568" s="117"/>
      <c r="AI1568" s="117"/>
      <c r="AJ1568" s="117"/>
      <c r="AK1568" s="117"/>
      <c r="AL1568" s="117"/>
      <c r="AM1568" s="117"/>
      <c r="AN1568" s="117"/>
      <c r="AO1568" s="117"/>
      <c r="AP1568" s="117"/>
      <c r="AQ1568" s="117"/>
      <c r="AR1568" s="117"/>
      <c r="AS1568" s="117"/>
      <c r="AT1568" s="117"/>
      <c r="AU1568" s="117"/>
      <c r="AV1568" s="117"/>
      <c r="AW1568" s="117"/>
      <c r="AX1568" s="117"/>
      <c r="AY1568" s="117"/>
      <c r="AZ1568" s="117"/>
      <c r="BA1568" s="117"/>
      <c r="BB1568" s="117"/>
      <c r="BC1568" s="117"/>
      <c r="BD1568" s="117"/>
      <c r="BE1568" s="117"/>
      <c r="BF1568" s="117"/>
      <c r="BG1568" s="117"/>
    </row>
    <row r="1569" spans="1:59">
      <c r="A1569" s="117"/>
      <c r="B1569" s="117"/>
      <c r="C1569" s="117"/>
      <c r="D1569" s="117"/>
      <c r="E1569" s="117"/>
      <c r="F1569" s="117"/>
      <c r="G1569" s="117"/>
      <c r="H1569" s="117"/>
      <c r="I1569" s="117"/>
      <c r="J1569" s="118"/>
      <c r="K1569" s="118"/>
      <c r="L1569" s="118"/>
      <c r="M1569" s="118"/>
      <c r="N1569" s="117"/>
      <c r="O1569" s="117"/>
      <c r="P1569" s="117"/>
      <c r="Q1569" s="117"/>
      <c r="R1569" s="117"/>
      <c r="S1569" s="117"/>
      <c r="T1569" s="117"/>
      <c r="U1569" s="117"/>
      <c r="V1569" s="117"/>
      <c r="W1569" s="117"/>
      <c r="X1569" s="117"/>
      <c r="Y1569" s="117"/>
      <c r="Z1569" s="117"/>
      <c r="AA1569" s="117"/>
      <c r="AB1569" s="117"/>
      <c r="AC1569" s="117"/>
      <c r="AD1569" s="117"/>
      <c r="AE1569" s="117"/>
      <c r="AF1569" s="117"/>
      <c r="AG1569" s="117"/>
      <c r="AH1569" s="117"/>
      <c r="AI1569" s="117"/>
      <c r="AJ1569" s="117"/>
      <c r="AK1569" s="117"/>
      <c r="AL1569" s="117"/>
      <c r="AM1569" s="117"/>
      <c r="AN1569" s="117"/>
      <c r="AO1569" s="117"/>
      <c r="AP1569" s="117"/>
      <c r="AQ1569" s="117"/>
      <c r="AR1569" s="117"/>
      <c r="AS1569" s="117"/>
      <c r="AT1569" s="117"/>
      <c r="AU1569" s="117"/>
      <c r="AV1569" s="117"/>
      <c r="AW1569" s="117"/>
      <c r="AX1569" s="117"/>
      <c r="AY1569" s="117"/>
      <c r="AZ1569" s="117"/>
      <c r="BA1569" s="117"/>
      <c r="BB1569" s="117"/>
      <c r="BC1569" s="117"/>
      <c r="BD1569" s="117"/>
      <c r="BE1569" s="117"/>
      <c r="BF1569" s="117"/>
      <c r="BG1569" s="117"/>
    </row>
    <row r="1570" spans="1:59">
      <c r="A1570" s="117"/>
      <c r="B1570" s="117"/>
      <c r="C1570" s="117"/>
      <c r="D1570" s="117"/>
      <c r="E1570" s="117"/>
      <c r="F1570" s="117"/>
      <c r="G1570" s="117"/>
      <c r="H1570" s="117"/>
      <c r="I1570" s="117"/>
      <c r="J1570" s="118"/>
      <c r="K1570" s="118"/>
      <c r="L1570" s="118"/>
      <c r="M1570" s="118"/>
      <c r="N1570" s="117"/>
      <c r="O1570" s="117"/>
      <c r="P1570" s="117"/>
      <c r="Q1570" s="117"/>
      <c r="R1570" s="117"/>
      <c r="S1570" s="117"/>
      <c r="T1570" s="117"/>
      <c r="U1570" s="117"/>
      <c r="V1570" s="117"/>
      <c r="W1570" s="117"/>
      <c r="X1570" s="117"/>
      <c r="Y1570" s="117"/>
      <c r="Z1570" s="117"/>
      <c r="AA1570" s="117"/>
      <c r="AB1570" s="117"/>
      <c r="AC1570" s="117"/>
      <c r="AD1570" s="117"/>
      <c r="AE1570" s="117"/>
      <c r="AF1570" s="117"/>
      <c r="AG1570" s="117"/>
      <c r="AH1570" s="117"/>
      <c r="AI1570" s="117"/>
      <c r="AJ1570" s="117"/>
      <c r="AK1570" s="117"/>
      <c r="AL1570" s="117"/>
      <c r="AM1570" s="117"/>
      <c r="AN1570" s="117"/>
      <c r="AO1570" s="117"/>
      <c r="AP1570" s="117"/>
      <c r="AQ1570" s="117"/>
      <c r="AR1570" s="117"/>
      <c r="AS1570" s="117"/>
      <c r="AT1570" s="117"/>
      <c r="AU1570" s="117"/>
      <c r="AV1570" s="117"/>
      <c r="AW1570" s="117"/>
      <c r="AX1570" s="117"/>
      <c r="AY1570" s="117"/>
      <c r="AZ1570" s="117"/>
      <c r="BA1570" s="117"/>
      <c r="BB1570" s="117"/>
      <c r="BC1570" s="117"/>
      <c r="BD1570" s="117"/>
      <c r="BE1570" s="117"/>
      <c r="BF1570" s="117"/>
      <c r="BG1570" s="117"/>
    </row>
    <row r="1571" spans="1:59">
      <c r="A1571" s="117"/>
      <c r="B1571" s="117"/>
      <c r="C1571" s="117"/>
      <c r="D1571" s="117"/>
      <c r="E1571" s="117"/>
      <c r="F1571" s="117"/>
      <c r="G1571" s="117"/>
      <c r="H1571" s="117"/>
      <c r="I1571" s="117"/>
      <c r="J1571" s="118"/>
      <c r="K1571" s="118"/>
      <c r="L1571" s="118"/>
      <c r="M1571" s="118"/>
      <c r="N1571" s="117"/>
      <c r="O1571" s="117"/>
      <c r="P1571" s="117"/>
      <c r="Q1571" s="117"/>
      <c r="R1571" s="117"/>
      <c r="S1571" s="117"/>
      <c r="T1571" s="117"/>
      <c r="U1571" s="117"/>
      <c r="V1571" s="117"/>
      <c r="W1571" s="117"/>
      <c r="X1571" s="117"/>
      <c r="Y1571" s="117"/>
      <c r="Z1571" s="117"/>
      <c r="AA1571" s="117"/>
      <c r="AB1571" s="117"/>
      <c r="AC1571" s="117"/>
      <c r="AD1571" s="117"/>
      <c r="AE1571" s="117"/>
      <c r="AF1571" s="117"/>
      <c r="AG1571" s="117"/>
      <c r="AH1571" s="117"/>
      <c r="AI1571" s="117"/>
      <c r="AJ1571" s="117"/>
      <c r="AK1571" s="117"/>
      <c r="AL1571" s="117"/>
      <c r="AM1571" s="117"/>
      <c r="AN1571" s="117"/>
      <c r="AO1571" s="117"/>
      <c r="AP1571" s="117"/>
      <c r="AQ1571" s="117"/>
      <c r="AR1571" s="117"/>
      <c r="AS1571" s="117"/>
      <c r="AT1571" s="117"/>
      <c r="AU1571" s="117"/>
      <c r="AV1571" s="117"/>
      <c r="AW1571" s="117"/>
      <c r="AX1571" s="117"/>
      <c r="AY1571" s="117"/>
      <c r="AZ1571" s="117"/>
      <c r="BA1571" s="117"/>
      <c r="BB1571" s="117"/>
      <c r="BC1571" s="117"/>
      <c r="BD1571" s="117"/>
      <c r="BE1571" s="117"/>
      <c r="BF1571" s="117"/>
      <c r="BG1571" s="117"/>
    </row>
    <row r="1572" spans="1:59">
      <c r="A1572" s="117"/>
      <c r="B1572" s="117"/>
      <c r="C1572" s="117"/>
      <c r="D1572" s="117"/>
      <c r="E1572" s="117"/>
      <c r="F1572" s="117"/>
      <c r="G1572" s="117"/>
      <c r="H1572" s="117"/>
      <c r="I1572" s="117"/>
      <c r="J1572" s="118"/>
      <c r="K1572" s="118"/>
      <c r="L1572" s="118"/>
      <c r="M1572" s="118"/>
      <c r="N1572" s="117"/>
      <c r="O1572" s="117"/>
      <c r="P1572" s="117"/>
      <c r="Q1572" s="117"/>
      <c r="R1572" s="117"/>
      <c r="S1572" s="117"/>
      <c r="T1572" s="117"/>
      <c r="U1572" s="117"/>
      <c r="V1572" s="117"/>
      <c r="W1572" s="117"/>
      <c r="X1572" s="117"/>
      <c r="Y1572" s="117"/>
      <c r="Z1572" s="117"/>
      <c r="AA1572" s="117"/>
      <c r="AB1572" s="117"/>
      <c r="AC1572" s="117"/>
      <c r="AD1572" s="117"/>
      <c r="AE1572" s="117"/>
      <c r="AF1572" s="117"/>
      <c r="AG1572" s="117"/>
      <c r="AH1572" s="117"/>
      <c r="AI1572" s="117"/>
      <c r="AJ1572" s="117"/>
      <c r="AK1572" s="117"/>
      <c r="AL1572" s="117"/>
      <c r="AM1572" s="117"/>
      <c r="AN1572" s="117"/>
      <c r="AO1572" s="117"/>
      <c r="AP1572" s="117"/>
      <c r="AQ1572" s="117"/>
      <c r="AR1572" s="117"/>
      <c r="AS1572" s="117"/>
      <c r="AT1572" s="117"/>
      <c r="AU1572" s="117"/>
      <c r="AV1572" s="117"/>
      <c r="AW1572" s="117"/>
      <c r="AX1572" s="117"/>
      <c r="AY1572" s="117"/>
      <c r="AZ1572" s="117"/>
      <c r="BA1572" s="117"/>
      <c r="BB1572" s="117"/>
      <c r="BC1572" s="117"/>
      <c r="BD1572" s="117"/>
      <c r="BE1572" s="117"/>
      <c r="BF1572" s="117"/>
      <c r="BG1572" s="117"/>
    </row>
    <row r="1573" spans="1:59">
      <c r="A1573" s="117"/>
      <c r="B1573" s="117"/>
      <c r="C1573" s="117"/>
      <c r="D1573" s="117"/>
      <c r="E1573" s="117"/>
      <c r="F1573" s="117"/>
      <c r="G1573" s="117"/>
      <c r="H1573" s="117"/>
      <c r="I1573" s="117"/>
      <c r="J1573" s="118"/>
      <c r="K1573" s="118"/>
      <c r="L1573" s="118"/>
      <c r="M1573" s="118"/>
      <c r="N1573" s="117"/>
      <c r="O1573" s="117"/>
      <c r="P1573" s="117"/>
      <c r="Q1573" s="117"/>
      <c r="R1573" s="117"/>
      <c r="S1573" s="117"/>
      <c r="T1573" s="117"/>
      <c r="U1573" s="117"/>
      <c r="V1573" s="117"/>
      <c r="W1573" s="117"/>
      <c r="X1573" s="117"/>
      <c r="Y1573" s="117"/>
      <c r="Z1573" s="117"/>
      <c r="AA1573" s="117"/>
      <c r="AB1573" s="117"/>
      <c r="AC1573" s="117"/>
      <c r="AD1573" s="117"/>
      <c r="AE1573" s="117"/>
      <c r="AF1573" s="117"/>
      <c r="AG1573" s="117"/>
      <c r="AH1573" s="117"/>
      <c r="AI1573" s="117"/>
      <c r="AJ1573" s="117"/>
      <c r="AK1573" s="117"/>
      <c r="AL1573" s="117"/>
      <c r="AM1573" s="117"/>
      <c r="AN1573" s="117"/>
      <c r="AO1573" s="117"/>
      <c r="AP1573" s="117"/>
      <c r="AQ1573" s="117"/>
      <c r="AR1573" s="117"/>
      <c r="AS1573" s="117"/>
      <c r="AT1573" s="117"/>
      <c r="AU1573" s="117"/>
      <c r="AV1573" s="117"/>
      <c r="AW1573" s="117"/>
      <c r="AX1573" s="117"/>
      <c r="AY1573" s="117"/>
      <c r="AZ1573" s="117"/>
      <c r="BA1573" s="117"/>
      <c r="BB1573" s="117"/>
      <c r="BC1573" s="117"/>
      <c r="BD1573" s="117"/>
      <c r="BE1573" s="117"/>
      <c r="BF1573" s="117"/>
      <c r="BG1573" s="117"/>
    </row>
    <row r="1574" spans="1:59">
      <c r="A1574" s="117"/>
      <c r="B1574" s="117"/>
      <c r="C1574" s="117"/>
      <c r="D1574" s="117"/>
      <c r="E1574" s="117"/>
      <c r="F1574" s="117"/>
      <c r="G1574" s="117"/>
      <c r="H1574" s="117"/>
      <c r="I1574" s="117"/>
      <c r="J1574" s="118"/>
      <c r="K1574" s="118"/>
      <c r="L1574" s="118"/>
      <c r="M1574" s="118"/>
      <c r="N1574" s="117"/>
      <c r="O1574" s="117"/>
      <c r="P1574" s="117"/>
      <c r="Q1574" s="117"/>
      <c r="R1574" s="117"/>
      <c r="S1574" s="117"/>
      <c r="T1574" s="117"/>
      <c r="U1574" s="117"/>
      <c r="V1574" s="117"/>
      <c r="W1574" s="117"/>
      <c r="X1574" s="117"/>
      <c r="Y1574" s="117"/>
      <c r="Z1574" s="117"/>
      <c r="AA1574" s="117"/>
      <c r="AB1574" s="117"/>
      <c r="AC1574" s="117"/>
      <c r="AD1574" s="117"/>
      <c r="AE1574" s="117"/>
      <c r="AF1574" s="117"/>
      <c r="AG1574" s="117"/>
      <c r="AH1574" s="117"/>
      <c r="AI1574" s="117"/>
      <c r="AJ1574" s="117"/>
      <c r="AK1574" s="117"/>
      <c r="AL1574" s="117"/>
      <c r="AM1574" s="117"/>
      <c r="AN1574" s="117"/>
      <c r="AO1574" s="117"/>
      <c r="AP1574" s="117"/>
      <c r="AQ1574" s="117"/>
      <c r="AR1574" s="117"/>
      <c r="AS1574" s="117"/>
      <c r="AT1574" s="117"/>
      <c r="AU1574" s="117"/>
      <c r="AV1574" s="117"/>
      <c r="AW1574" s="117"/>
      <c r="AX1574" s="117"/>
      <c r="AY1574" s="117"/>
      <c r="AZ1574" s="117"/>
      <c r="BA1574" s="117"/>
      <c r="BB1574" s="117"/>
      <c r="BC1574" s="117"/>
      <c r="BD1574" s="117"/>
      <c r="BE1574" s="117"/>
      <c r="BF1574" s="117"/>
      <c r="BG1574" s="117"/>
    </row>
    <row r="1575" spans="1:59">
      <c r="A1575" s="117"/>
      <c r="B1575" s="117"/>
      <c r="C1575" s="117"/>
      <c r="D1575" s="117"/>
      <c r="E1575" s="117"/>
      <c r="F1575" s="117"/>
      <c r="G1575" s="117"/>
      <c r="H1575" s="117"/>
      <c r="I1575" s="117"/>
      <c r="J1575" s="118"/>
      <c r="K1575" s="118"/>
      <c r="L1575" s="118"/>
      <c r="M1575" s="118"/>
      <c r="N1575" s="117"/>
      <c r="O1575" s="117"/>
      <c r="P1575" s="117"/>
      <c r="Q1575" s="117"/>
      <c r="R1575" s="117"/>
      <c r="S1575" s="117"/>
      <c r="T1575" s="117"/>
      <c r="U1575" s="117"/>
      <c r="V1575" s="117"/>
      <c r="W1575" s="117"/>
      <c r="X1575" s="117"/>
      <c r="Y1575" s="117"/>
      <c r="Z1575" s="117"/>
      <c r="AA1575" s="117"/>
      <c r="AB1575" s="117"/>
      <c r="AC1575" s="117"/>
      <c r="AD1575" s="117"/>
      <c r="AE1575" s="117"/>
      <c r="AF1575" s="117"/>
      <c r="AG1575" s="117"/>
      <c r="AH1575" s="117"/>
      <c r="AI1575" s="117"/>
      <c r="AJ1575" s="117"/>
      <c r="AK1575" s="117"/>
      <c r="AL1575" s="117"/>
      <c r="AM1575" s="117"/>
      <c r="AN1575" s="117"/>
      <c r="AO1575" s="117"/>
      <c r="AP1575" s="117"/>
      <c r="AQ1575" s="117"/>
      <c r="AR1575" s="117"/>
      <c r="AS1575" s="117"/>
      <c r="AT1575" s="117"/>
      <c r="AU1575" s="117"/>
      <c r="AV1575" s="117"/>
      <c r="AW1575" s="117"/>
      <c r="AX1575" s="117"/>
      <c r="AY1575" s="117"/>
      <c r="AZ1575" s="117"/>
      <c r="BA1575" s="117"/>
      <c r="BB1575" s="117"/>
      <c r="BC1575" s="117"/>
      <c r="BD1575" s="117"/>
      <c r="BE1575" s="117"/>
      <c r="BF1575" s="117"/>
      <c r="BG1575" s="117"/>
    </row>
    <row r="1576" spans="1:59">
      <c r="A1576" s="117"/>
      <c r="B1576" s="117"/>
      <c r="C1576" s="117"/>
      <c r="D1576" s="117"/>
      <c r="E1576" s="117"/>
      <c r="F1576" s="117"/>
      <c r="G1576" s="117"/>
      <c r="H1576" s="117"/>
      <c r="I1576" s="117"/>
      <c r="J1576" s="118"/>
      <c r="K1576" s="118"/>
      <c r="L1576" s="118"/>
      <c r="M1576" s="118"/>
      <c r="N1576" s="117"/>
      <c r="O1576" s="117"/>
      <c r="P1576" s="117"/>
      <c r="Q1576" s="117"/>
      <c r="R1576" s="117"/>
      <c r="S1576" s="117"/>
      <c r="T1576" s="117"/>
      <c r="U1576" s="117"/>
      <c r="V1576" s="117"/>
      <c r="W1576" s="117"/>
      <c r="X1576" s="117"/>
      <c r="Y1576" s="117"/>
      <c r="Z1576" s="117"/>
      <c r="AA1576" s="117"/>
      <c r="AB1576" s="117"/>
      <c r="AC1576" s="117"/>
      <c r="AD1576" s="117"/>
      <c r="AE1576" s="117"/>
      <c r="AF1576" s="117"/>
      <c r="AG1576" s="117"/>
      <c r="AH1576" s="117"/>
      <c r="AI1576" s="117"/>
      <c r="AJ1576" s="117"/>
      <c r="AK1576" s="117"/>
      <c r="AL1576" s="117"/>
      <c r="AM1576" s="117"/>
      <c r="AN1576" s="117"/>
      <c r="AO1576" s="117"/>
      <c r="AP1576" s="117"/>
      <c r="AQ1576" s="117"/>
      <c r="AR1576" s="117"/>
      <c r="AS1576" s="117"/>
      <c r="AT1576" s="117"/>
      <c r="AU1576" s="117"/>
      <c r="AV1576" s="117"/>
      <c r="AW1576" s="117"/>
      <c r="AX1576" s="117"/>
      <c r="AY1576" s="117"/>
      <c r="AZ1576" s="117"/>
      <c r="BA1576" s="117"/>
      <c r="BB1576" s="117"/>
      <c r="BC1576" s="117"/>
      <c r="BD1576" s="117"/>
      <c r="BE1576" s="117"/>
      <c r="BF1576" s="117"/>
      <c r="BG1576" s="117"/>
    </row>
    <row r="1577" spans="1:59">
      <c r="A1577" s="117"/>
      <c r="B1577" s="117"/>
      <c r="C1577" s="117"/>
      <c r="D1577" s="117"/>
      <c r="E1577" s="117"/>
      <c r="F1577" s="117"/>
      <c r="G1577" s="117"/>
      <c r="H1577" s="117"/>
      <c r="I1577" s="117"/>
      <c r="J1577" s="118"/>
      <c r="K1577" s="118"/>
      <c r="L1577" s="118"/>
      <c r="M1577" s="118"/>
      <c r="N1577" s="117"/>
      <c r="O1577" s="117"/>
      <c r="P1577" s="117"/>
      <c r="Q1577" s="117"/>
      <c r="R1577" s="117"/>
      <c r="S1577" s="117"/>
      <c r="T1577" s="117"/>
      <c r="U1577" s="117"/>
      <c r="V1577" s="117"/>
      <c r="W1577" s="117"/>
      <c r="X1577" s="117"/>
      <c r="Y1577" s="117"/>
      <c r="Z1577" s="117"/>
      <c r="AA1577" s="117"/>
      <c r="AB1577" s="117"/>
      <c r="AC1577" s="117"/>
      <c r="AD1577" s="117"/>
      <c r="AE1577" s="117"/>
      <c r="AF1577" s="117"/>
      <c r="AG1577" s="117"/>
      <c r="AH1577" s="117"/>
      <c r="AI1577" s="117"/>
      <c r="AJ1577" s="117"/>
      <c r="AK1577" s="117"/>
      <c r="AL1577" s="117"/>
      <c r="AM1577" s="117"/>
      <c r="AN1577" s="117"/>
      <c r="AO1577" s="117"/>
      <c r="AP1577" s="117"/>
      <c r="AQ1577" s="117"/>
      <c r="AR1577" s="117"/>
      <c r="AS1577" s="117"/>
      <c r="AT1577" s="117"/>
      <c r="AU1577" s="117"/>
      <c r="AV1577" s="117"/>
      <c r="AW1577" s="117"/>
      <c r="AX1577" s="117"/>
      <c r="AY1577" s="117"/>
      <c r="AZ1577" s="117"/>
      <c r="BA1577" s="117"/>
      <c r="BB1577" s="117"/>
      <c r="BC1577" s="117"/>
      <c r="BD1577" s="117"/>
      <c r="BE1577" s="117"/>
      <c r="BF1577" s="117"/>
      <c r="BG1577" s="117"/>
    </row>
    <row r="1578" spans="1:59">
      <c r="A1578" s="117"/>
      <c r="B1578" s="117"/>
      <c r="C1578" s="117"/>
      <c r="D1578" s="117"/>
      <c r="E1578" s="117"/>
      <c r="F1578" s="117"/>
      <c r="G1578" s="117"/>
      <c r="H1578" s="117"/>
      <c r="I1578" s="117"/>
      <c r="J1578" s="118"/>
      <c r="K1578" s="118"/>
      <c r="L1578" s="118"/>
      <c r="M1578" s="118"/>
      <c r="N1578" s="117"/>
      <c r="O1578" s="117"/>
      <c r="P1578" s="117"/>
      <c r="Q1578" s="117"/>
      <c r="R1578" s="117"/>
      <c r="S1578" s="117"/>
      <c r="T1578" s="117"/>
      <c r="U1578" s="117"/>
      <c r="V1578" s="117"/>
      <c r="W1578" s="117"/>
      <c r="X1578" s="117"/>
      <c r="Y1578" s="117"/>
      <c r="Z1578" s="117"/>
      <c r="AA1578" s="117"/>
      <c r="AB1578" s="117"/>
      <c r="AC1578" s="117"/>
      <c r="AD1578" s="117"/>
      <c r="AE1578" s="117"/>
      <c r="AF1578" s="117"/>
      <c r="AG1578" s="117"/>
      <c r="AH1578" s="117"/>
      <c r="AI1578" s="117"/>
      <c r="AJ1578" s="117"/>
      <c r="AK1578" s="117"/>
      <c r="AL1578" s="117"/>
      <c r="AM1578" s="117"/>
      <c r="AN1578" s="117"/>
      <c r="AO1578" s="117"/>
      <c r="AP1578" s="117"/>
      <c r="AQ1578" s="117"/>
      <c r="AR1578" s="117"/>
      <c r="AS1578" s="117"/>
      <c r="AT1578" s="117"/>
      <c r="AU1578" s="117"/>
      <c r="AV1578" s="117"/>
      <c r="AW1578" s="117"/>
      <c r="AX1578" s="117"/>
      <c r="AY1578" s="117"/>
      <c r="AZ1578" s="117"/>
      <c r="BA1578" s="117"/>
      <c r="BB1578" s="117"/>
      <c r="BC1578" s="117"/>
      <c r="BD1578" s="117"/>
      <c r="BE1578" s="117"/>
      <c r="BF1578" s="117"/>
      <c r="BG1578" s="117"/>
    </row>
    <row r="1579" spans="1:59">
      <c r="A1579" s="117"/>
      <c r="B1579" s="117"/>
      <c r="C1579" s="117"/>
      <c r="D1579" s="117"/>
      <c r="E1579" s="117"/>
      <c r="F1579" s="117"/>
      <c r="G1579" s="117"/>
      <c r="H1579" s="117"/>
      <c r="I1579" s="117"/>
      <c r="J1579" s="118"/>
      <c r="K1579" s="118"/>
      <c r="L1579" s="118"/>
      <c r="M1579" s="118"/>
      <c r="N1579" s="117"/>
      <c r="O1579" s="117"/>
      <c r="P1579" s="117"/>
      <c r="Q1579" s="117"/>
      <c r="R1579" s="117"/>
      <c r="S1579" s="117"/>
      <c r="T1579" s="117"/>
      <c r="U1579" s="117"/>
      <c r="V1579" s="117"/>
      <c r="W1579" s="117"/>
      <c r="X1579" s="117"/>
      <c r="Y1579" s="117"/>
      <c r="Z1579" s="117"/>
      <c r="AA1579" s="117"/>
      <c r="AB1579" s="117"/>
      <c r="AC1579" s="117"/>
      <c r="AD1579" s="117"/>
      <c r="AE1579" s="117"/>
      <c r="AF1579" s="117"/>
      <c r="AG1579" s="117"/>
      <c r="AH1579" s="117"/>
      <c r="AI1579" s="117"/>
      <c r="AJ1579" s="117"/>
      <c r="AK1579" s="117"/>
      <c r="AL1579" s="117"/>
      <c r="AM1579" s="117"/>
      <c r="AN1579" s="117"/>
      <c r="AO1579" s="117"/>
      <c r="AP1579" s="117"/>
      <c r="AQ1579" s="117"/>
      <c r="AR1579" s="117"/>
      <c r="AS1579" s="117"/>
      <c r="AT1579" s="117"/>
      <c r="AU1579" s="117"/>
      <c r="AV1579" s="117"/>
      <c r="AW1579" s="117"/>
      <c r="AX1579" s="117"/>
      <c r="AY1579" s="117"/>
      <c r="AZ1579" s="117"/>
      <c r="BA1579" s="117"/>
      <c r="BB1579" s="117"/>
      <c r="BC1579" s="117"/>
      <c r="BD1579" s="117"/>
      <c r="BE1579" s="117"/>
      <c r="BF1579" s="117"/>
      <c r="BG1579" s="117"/>
    </row>
    <row r="1580" spans="1:59">
      <c r="A1580" s="117"/>
      <c r="B1580" s="117"/>
      <c r="C1580" s="117"/>
      <c r="D1580" s="117"/>
      <c r="E1580" s="117"/>
      <c r="F1580" s="117"/>
      <c r="G1580" s="117"/>
      <c r="H1580" s="117"/>
      <c r="I1580" s="117"/>
      <c r="J1580" s="118"/>
      <c r="K1580" s="118"/>
      <c r="L1580" s="118"/>
      <c r="M1580" s="118"/>
      <c r="N1580" s="117"/>
      <c r="O1580" s="117"/>
      <c r="P1580" s="117"/>
      <c r="Q1580" s="117"/>
      <c r="R1580" s="117"/>
      <c r="S1580" s="117"/>
      <c r="T1580" s="117"/>
      <c r="U1580" s="117"/>
      <c r="V1580" s="117"/>
      <c r="W1580" s="117"/>
      <c r="X1580" s="117"/>
      <c r="Y1580" s="117"/>
      <c r="Z1580" s="117"/>
      <c r="AA1580" s="117"/>
      <c r="AB1580" s="117"/>
      <c r="AC1580" s="117"/>
      <c r="AD1580" s="117"/>
      <c r="AE1580" s="117"/>
      <c r="AF1580" s="117"/>
      <c r="AG1580" s="117"/>
      <c r="AH1580" s="117"/>
      <c r="AI1580" s="117"/>
      <c r="AJ1580" s="117"/>
      <c r="AK1580" s="117"/>
      <c r="AL1580" s="117"/>
      <c r="AM1580" s="117"/>
      <c r="AN1580" s="117"/>
      <c r="AO1580" s="117"/>
      <c r="AP1580" s="117"/>
      <c r="AQ1580" s="117"/>
      <c r="AR1580" s="117"/>
      <c r="AS1580" s="117"/>
      <c r="AT1580" s="117"/>
      <c r="AU1580" s="117"/>
      <c r="AV1580" s="117"/>
      <c r="AW1580" s="117"/>
      <c r="AX1580" s="117"/>
      <c r="AY1580" s="117"/>
      <c r="AZ1580" s="117"/>
      <c r="BA1580" s="117"/>
      <c r="BB1580" s="117"/>
      <c r="BC1580" s="117"/>
      <c r="BD1580" s="117"/>
      <c r="BE1580" s="117"/>
      <c r="BF1580" s="117"/>
      <c r="BG1580" s="117"/>
    </row>
    <row r="1581" spans="1:59">
      <c r="A1581" s="117"/>
      <c r="B1581" s="117"/>
      <c r="C1581" s="117"/>
      <c r="D1581" s="117"/>
      <c r="E1581" s="117"/>
      <c r="F1581" s="117"/>
      <c r="G1581" s="117"/>
      <c r="H1581" s="117"/>
      <c r="I1581" s="117"/>
      <c r="J1581" s="118"/>
      <c r="K1581" s="118"/>
      <c r="L1581" s="118"/>
      <c r="M1581" s="118"/>
      <c r="N1581" s="117"/>
      <c r="O1581" s="117"/>
      <c r="P1581" s="117"/>
      <c r="Q1581" s="117"/>
      <c r="R1581" s="117"/>
      <c r="S1581" s="117"/>
      <c r="T1581" s="117"/>
      <c r="U1581" s="117"/>
      <c r="V1581" s="117"/>
      <c r="W1581" s="117"/>
      <c r="X1581" s="117"/>
      <c r="Y1581" s="117"/>
      <c r="Z1581" s="117"/>
      <c r="AA1581" s="117"/>
      <c r="AB1581" s="117"/>
      <c r="AC1581" s="117"/>
      <c r="AD1581" s="117"/>
      <c r="AE1581" s="117"/>
      <c r="AF1581" s="117"/>
      <c r="AG1581" s="117"/>
      <c r="AH1581" s="117"/>
      <c r="AI1581" s="117"/>
      <c r="AJ1581" s="117"/>
      <c r="AK1581" s="117"/>
      <c r="AL1581" s="117"/>
      <c r="AM1581" s="117"/>
      <c r="AN1581" s="117"/>
      <c r="AO1581" s="117"/>
      <c r="AP1581" s="117"/>
      <c r="AQ1581" s="117"/>
      <c r="AR1581" s="117"/>
      <c r="AS1581" s="117"/>
      <c r="AT1581" s="117"/>
      <c r="AU1581" s="117"/>
      <c r="AV1581" s="117"/>
      <c r="AW1581" s="117"/>
      <c r="AX1581" s="117"/>
      <c r="AY1581" s="117"/>
      <c r="AZ1581" s="117"/>
      <c r="BA1581" s="117"/>
      <c r="BB1581" s="117"/>
      <c r="BC1581" s="117"/>
      <c r="BD1581" s="117"/>
      <c r="BE1581" s="117"/>
      <c r="BF1581" s="117"/>
      <c r="BG1581" s="117"/>
    </row>
    <row r="1582" spans="1:59">
      <c r="A1582" s="117"/>
      <c r="B1582" s="117"/>
      <c r="C1582" s="117"/>
      <c r="D1582" s="117"/>
      <c r="E1582" s="117"/>
      <c r="F1582" s="117"/>
      <c r="G1582" s="117"/>
      <c r="H1582" s="117"/>
      <c r="I1582" s="117"/>
      <c r="J1582" s="118"/>
      <c r="K1582" s="118"/>
      <c r="L1582" s="118"/>
      <c r="M1582" s="118"/>
      <c r="N1582" s="117"/>
      <c r="O1582" s="117"/>
      <c r="P1582" s="117"/>
      <c r="Q1582" s="117"/>
      <c r="R1582" s="117"/>
      <c r="S1582" s="117"/>
      <c r="T1582" s="117"/>
      <c r="U1582" s="117"/>
      <c r="V1582" s="117"/>
      <c r="W1582" s="117"/>
      <c r="X1582" s="117"/>
      <c r="Y1582" s="117"/>
      <c r="Z1582" s="117"/>
      <c r="AA1582" s="117"/>
      <c r="AB1582" s="117"/>
      <c r="AC1582" s="117"/>
      <c r="AD1582" s="117"/>
      <c r="AE1582" s="117"/>
      <c r="AF1582" s="117"/>
      <c r="AG1582" s="117"/>
      <c r="AH1582" s="117"/>
      <c r="AI1582" s="117"/>
      <c r="AJ1582" s="117"/>
      <c r="AK1582" s="117"/>
      <c r="AL1582" s="117"/>
      <c r="AM1582" s="117"/>
      <c r="AN1582" s="117"/>
      <c r="AO1582" s="117"/>
      <c r="AP1582" s="117"/>
      <c r="AQ1582" s="117"/>
      <c r="AR1582" s="117"/>
      <c r="AS1582" s="117"/>
      <c r="AT1582" s="117"/>
      <c r="AU1582" s="117"/>
      <c r="AV1582" s="117"/>
      <c r="AW1582" s="117"/>
      <c r="AX1582" s="117"/>
      <c r="AY1582" s="117"/>
      <c r="AZ1582" s="117"/>
      <c r="BA1582" s="117"/>
      <c r="BB1582" s="117"/>
      <c r="BC1582" s="117"/>
      <c r="BD1582" s="117"/>
      <c r="BE1582" s="117"/>
      <c r="BF1582" s="117"/>
      <c r="BG1582" s="117"/>
    </row>
    <row r="1583" spans="1:59">
      <c r="A1583" s="117"/>
      <c r="B1583" s="117"/>
      <c r="C1583" s="117"/>
      <c r="D1583" s="117"/>
      <c r="E1583" s="117"/>
      <c r="F1583" s="117"/>
      <c r="G1583" s="117"/>
      <c r="H1583" s="117"/>
      <c r="I1583" s="117"/>
      <c r="J1583" s="118"/>
      <c r="K1583" s="118"/>
      <c r="L1583" s="118"/>
      <c r="M1583" s="118"/>
      <c r="N1583" s="117"/>
      <c r="O1583" s="117"/>
      <c r="P1583" s="117"/>
      <c r="Q1583" s="117"/>
      <c r="R1583" s="117"/>
      <c r="S1583" s="117"/>
      <c r="T1583" s="117"/>
      <c r="U1583" s="117"/>
      <c r="V1583" s="117"/>
      <c r="W1583" s="117"/>
      <c r="X1583" s="117"/>
      <c r="Y1583" s="117"/>
      <c r="Z1583" s="117"/>
      <c r="AA1583" s="117"/>
      <c r="AB1583" s="117"/>
      <c r="AC1583" s="117"/>
      <c r="AD1583" s="117"/>
      <c r="AE1583" s="117"/>
      <c r="AF1583" s="117"/>
      <c r="AG1583" s="117"/>
      <c r="AH1583" s="117"/>
      <c r="AI1583" s="117"/>
      <c r="AJ1583" s="117"/>
      <c r="AK1583" s="117"/>
      <c r="AL1583" s="117"/>
      <c r="AM1583" s="117"/>
      <c r="AN1583" s="117"/>
      <c r="AO1583" s="117"/>
      <c r="AP1583" s="117"/>
      <c r="AQ1583" s="117"/>
      <c r="AR1583" s="117"/>
      <c r="AS1583" s="117"/>
      <c r="AT1583" s="117"/>
      <c r="AU1583" s="117"/>
      <c r="AV1583" s="117"/>
      <c r="AW1583" s="117"/>
      <c r="AX1583" s="117"/>
      <c r="AY1583" s="117"/>
      <c r="AZ1583" s="117"/>
      <c r="BA1583" s="117"/>
      <c r="BB1583" s="117"/>
      <c r="BC1583" s="117"/>
      <c r="BD1583" s="117"/>
      <c r="BE1583" s="117"/>
      <c r="BF1583" s="117"/>
      <c r="BG1583" s="117"/>
    </row>
    <row r="1584" spans="1:59">
      <c r="A1584" s="117"/>
      <c r="B1584" s="117"/>
      <c r="C1584" s="117"/>
      <c r="D1584" s="117"/>
      <c r="E1584" s="117"/>
      <c r="F1584" s="117"/>
      <c r="G1584" s="117"/>
      <c r="H1584" s="117"/>
      <c r="I1584" s="117"/>
      <c r="J1584" s="118"/>
      <c r="K1584" s="118"/>
      <c r="L1584" s="118"/>
      <c r="M1584" s="118"/>
      <c r="N1584" s="117"/>
      <c r="O1584" s="117"/>
      <c r="P1584" s="117"/>
      <c r="Q1584" s="117"/>
      <c r="R1584" s="117"/>
      <c r="S1584" s="117"/>
      <c r="T1584" s="117"/>
      <c r="U1584" s="117"/>
      <c r="V1584" s="117"/>
      <c r="W1584" s="117"/>
      <c r="X1584" s="117"/>
      <c r="Y1584" s="117"/>
      <c r="Z1584" s="117"/>
      <c r="AA1584" s="117"/>
      <c r="AB1584" s="117"/>
      <c r="AC1584" s="117"/>
      <c r="AD1584" s="117"/>
      <c r="AE1584" s="117"/>
      <c r="AF1584" s="117"/>
      <c r="AG1584" s="117"/>
      <c r="AH1584" s="117"/>
      <c r="AI1584" s="117"/>
      <c r="AJ1584" s="117"/>
      <c r="AK1584" s="117"/>
      <c r="AL1584" s="117"/>
      <c r="AM1584" s="117"/>
      <c r="AN1584" s="117"/>
      <c r="AO1584" s="117"/>
      <c r="AP1584" s="117"/>
      <c r="AQ1584" s="117"/>
      <c r="AR1584" s="117"/>
      <c r="AS1584" s="117"/>
      <c r="AT1584" s="117"/>
      <c r="AU1584" s="117"/>
      <c r="AV1584" s="117"/>
      <c r="AW1584" s="117"/>
      <c r="AX1584" s="117"/>
      <c r="AY1584" s="117"/>
      <c r="AZ1584" s="117"/>
      <c r="BA1584" s="117"/>
      <c r="BB1584" s="117"/>
      <c r="BC1584" s="117"/>
      <c r="BD1584" s="117"/>
      <c r="BE1584" s="117"/>
      <c r="BF1584" s="117"/>
      <c r="BG1584" s="117"/>
    </row>
    <row r="1585" spans="1:59">
      <c r="A1585" s="117"/>
      <c r="B1585" s="117"/>
      <c r="C1585" s="117"/>
      <c r="D1585" s="117"/>
      <c r="E1585" s="117"/>
      <c r="F1585" s="117"/>
      <c r="G1585" s="117"/>
      <c r="H1585" s="117"/>
      <c r="I1585" s="117"/>
      <c r="J1585" s="118"/>
      <c r="K1585" s="118"/>
      <c r="L1585" s="118"/>
      <c r="M1585" s="118"/>
      <c r="N1585" s="117"/>
      <c r="O1585" s="117"/>
      <c r="P1585" s="117"/>
      <c r="Q1585" s="117"/>
      <c r="R1585" s="117"/>
      <c r="S1585" s="117"/>
      <c r="T1585" s="117"/>
      <c r="U1585" s="117"/>
      <c r="V1585" s="117"/>
      <c r="W1585" s="117"/>
      <c r="X1585" s="117"/>
      <c r="Y1585" s="117"/>
      <c r="Z1585" s="117"/>
      <c r="AA1585" s="117"/>
      <c r="AB1585" s="117"/>
      <c r="AC1585" s="117"/>
      <c r="AD1585" s="117"/>
      <c r="AE1585" s="117"/>
      <c r="AF1585" s="117"/>
      <c r="AG1585" s="117"/>
      <c r="AH1585" s="117"/>
      <c r="AI1585" s="117"/>
      <c r="AJ1585" s="117"/>
      <c r="AK1585" s="117"/>
      <c r="AL1585" s="117"/>
      <c r="AM1585" s="117"/>
      <c r="AN1585" s="117"/>
      <c r="AO1585" s="117"/>
      <c r="AP1585" s="117"/>
      <c r="AQ1585" s="117"/>
      <c r="AR1585" s="117"/>
      <c r="AS1585" s="117"/>
      <c r="AT1585" s="117"/>
      <c r="AU1585" s="117"/>
      <c r="AV1585" s="117"/>
      <c r="AW1585" s="117"/>
      <c r="AX1585" s="117"/>
      <c r="AY1585" s="117"/>
      <c r="AZ1585" s="117"/>
      <c r="BA1585" s="117"/>
      <c r="BB1585" s="117"/>
      <c r="BC1585" s="117"/>
      <c r="BD1585" s="117"/>
      <c r="BE1585" s="117"/>
      <c r="BF1585" s="117"/>
      <c r="BG1585" s="117"/>
    </row>
    <row r="1586" spans="1:59">
      <c r="A1586" s="117"/>
      <c r="B1586" s="117"/>
      <c r="C1586" s="117"/>
      <c r="D1586" s="117"/>
      <c r="E1586" s="117"/>
      <c r="F1586" s="117"/>
      <c r="G1586" s="117"/>
      <c r="H1586" s="117"/>
      <c r="I1586" s="117"/>
      <c r="J1586" s="118"/>
      <c r="K1586" s="118"/>
      <c r="L1586" s="118"/>
      <c r="M1586" s="118"/>
      <c r="N1586" s="117"/>
      <c r="O1586" s="117"/>
      <c r="P1586" s="117"/>
      <c r="Q1586" s="117"/>
      <c r="R1586" s="117"/>
      <c r="S1586" s="117"/>
      <c r="T1586" s="117"/>
      <c r="U1586" s="117"/>
      <c r="V1586" s="117"/>
      <c r="W1586" s="117"/>
      <c r="X1586" s="117"/>
      <c r="Y1586" s="117"/>
      <c r="Z1586" s="117"/>
      <c r="AA1586" s="117"/>
      <c r="AB1586" s="117"/>
      <c r="AC1586" s="117"/>
      <c r="AD1586" s="117"/>
      <c r="AE1586" s="117"/>
      <c r="AF1586" s="117"/>
      <c r="AG1586" s="117"/>
      <c r="AH1586" s="117"/>
      <c r="AI1586" s="117"/>
      <c r="AJ1586" s="117"/>
      <c r="AK1586" s="117"/>
      <c r="AL1586" s="117"/>
      <c r="AM1586" s="117"/>
      <c r="AN1586" s="117"/>
      <c r="AO1586" s="117"/>
      <c r="AP1586" s="117"/>
      <c r="AQ1586" s="117"/>
      <c r="AR1586" s="117"/>
      <c r="AS1586" s="117"/>
      <c r="AT1586" s="117"/>
      <c r="AU1586" s="117"/>
      <c r="AV1586" s="117"/>
      <c r="AW1586" s="117"/>
      <c r="AX1586" s="117"/>
      <c r="AY1586" s="117"/>
      <c r="AZ1586" s="117"/>
      <c r="BA1586" s="117"/>
      <c r="BB1586" s="117"/>
      <c r="BC1586" s="117"/>
      <c r="BD1586" s="117"/>
      <c r="BE1586" s="117"/>
      <c r="BF1586" s="117"/>
      <c r="BG1586" s="117"/>
    </row>
    <row r="1587" spans="1:59">
      <c r="A1587" s="117"/>
      <c r="B1587" s="117"/>
      <c r="C1587" s="117"/>
      <c r="D1587" s="117"/>
      <c r="E1587" s="117"/>
      <c r="F1587" s="117"/>
      <c r="G1587" s="117"/>
      <c r="H1587" s="117"/>
      <c r="I1587" s="117"/>
      <c r="J1587" s="118"/>
      <c r="K1587" s="118"/>
      <c r="L1587" s="118"/>
      <c r="M1587" s="118"/>
      <c r="N1587" s="117"/>
      <c r="O1587" s="117"/>
      <c r="P1587" s="117"/>
      <c r="Q1587" s="117"/>
      <c r="R1587" s="117"/>
      <c r="S1587" s="117"/>
      <c r="T1587" s="117"/>
      <c r="U1587" s="117"/>
      <c r="V1587" s="117"/>
      <c r="W1587" s="117"/>
      <c r="X1587" s="117"/>
      <c r="Y1587" s="117"/>
      <c r="Z1587" s="117"/>
      <c r="AA1587" s="117"/>
      <c r="AB1587" s="117"/>
      <c r="AC1587" s="117"/>
      <c r="AD1587" s="117"/>
      <c r="AE1587" s="117"/>
      <c r="AF1587" s="117"/>
      <c r="AG1587" s="117"/>
      <c r="AH1587" s="117"/>
      <c r="AI1587" s="117"/>
      <c r="AJ1587" s="117"/>
      <c r="AK1587" s="117"/>
      <c r="AL1587" s="117"/>
      <c r="AM1587" s="117"/>
      <c r="AN1587" s="117"/>
      <c r="AO1587" s="117"/>
      <c r="AP1587" s="117"/>
      <c r="AQ1587" s="117"/>
      <c r="AR1587" s="117"/>
      <c r="AS1587" s="117"/>
      <c r="AT1587" s="117"/>
      <c r="AU1587" s="117"/>
      <c r="AV1587" s="117"/>
      <c r="AW1587" s="117"/>
      <c r="AX1587" s="117"/>
      <c r="AY1587" s="117"/>
      <c r="AZ1587" s="117"/>
      <c r="BA1587" s="117"/>
      <c r="BB1587" s="117"/>
      <c r="BC1587" s="117"/>
      <c r="BD1587" s="117"/>
      <c r="BE1587" s="117"/>
      <c r="BF1587" s="117"/>
      <c r="BG1587" s="117"/>
    </row>
    <row r="1588" spans="1:59">
      <c r="A1588" s="117"/>
      <c r="B1588" s="117"/>
      <c r="C1588" s="117"/>
      <c r="D1588" s="117"/>
      <c r="E1588" s="117"/>
      <c r="F1588" s="117"/>
      <c r="G1588" s="117"/>
      <c r="H1588" s="117"/>
      <c r="I1588" s="117"/>
      <c r="J1588" s="118"/>
      <c r="K1588" s="118"/>
      <c r="L1588" s="118"/>
      <c r="M1588" s="118"/>
      <c r="N1588" s="117"/>
      <c r="O1588" s="117"/>
      <c r="P1588" s="117"/>
      <c r="Q1588" s="117"/>
      <c r="R1588" s="117"/>
      <c r="S1588" s="117"/>
      <c r="T1588" s="117"/>
      <c r="U1588" s="117"/>
      <c r="V1588" s="117"/>
      <c r="W1588" s="117"/>
      <c r="X1588" s="117"/>
      <c r="Y1588" s="117"/>
      <c r="Z1588" s="117"/>
      <c r="AA1588" s="117"/>
      <c r="AB1588" s="117"/>
      <c r="AC1588" s="117"/>
      <c r="AD1588" s="117"/>
      <c r="AE1588" s="117"/>
      <c r="AF1588" s="117"/>
      <c r="AG1588" s="117"/>
      <c r="AH1588" s="117"/>
      <c r="AI1588" s="117"/>
      <c r="AJ1588" s="117"/>
      <c r="AK1588" s="117"/>
      <c r="AL1588" s="117"/>
      <c r="AM1588" s="117"/>
      <c r="AN1588" s="117"/>
      <c r="AO1588" s="117"/>
      <c r="AP1588" s="117"/>
      <c r="AQ1588" s="117"/>
      <c r="AR1588" s="117"/>
      <c r="AS1588" s="117"/>
      <c r="AT1588" s="117"/>
      <c r="AU1588" s="117"/>
      <c r="AV1588" s="117"/>
      <c r="AW1588" s="117"/>
      <c r="AX1588" s="117"/>
      <c r="AY1588" s="117"/>
      <c r="AZ1588" s="117"/>
      <c r="BA1588" s="117"/>
      <c r="BB1588" s="117"/>
      <c r="BC1588" s="117"/>
      <c r="BD1588" s="117"/>
      <c r="BE1588" s="117"/>
      <c r="BF1588" s="117"/>
      <c r="BG1588" s="117"/>
    </row>
    <row r="1589" spans="1:59">
      <c r="A1589" s="117"/>
      <c r="B1589" s="117"/>
      <c r="C1589" s="117"/>
      <c r="D1589" s="117"/>
      <c r="E1589" s="117"/>
      <c r="F1589" s="117"/>
      <c r="G1589" s="117"/>
      <c r="H1589" s="117"/>
      <c r="I1589" s="117"/>
      <c r="J1589" s="118"/>
      <c r="K1589" s="118"/>
      <c r="L1589" s="118"/>
      <c r="M1589" s="118"/>
      <c r="N1589" s="117"/>
      <c r="O1589" s="117"/>
      <c r="P1589" s="117"/>
      <c r="Q1589" s="117"/>
      <c r="R1589" s="117"/>
      <c r="S1589" s="117"/>
      <c r="T1589" s="117"/>
      <c r="U1589" s="117"/>
      <c r="V1589" s="117"/>
      <c r="W1589" s="117"/>
      <c r="X1589" s="117"/>
      <c r="Y1589" s="117"/>
      <c r="Z1589" s="117"/>
      <c r="AA1589" s="117"/>
      <c r="AB1589" s="117"/>
      <c r="AC1589" s="117"/>
      <c r="AD1589" s="117"/>
      <c r="AE1589" s="117"/>
      <c r="AF1589" s="117"/>
      <c r="AG1589" s="117"/>
      <c r="AH1589" s="117"/>
      <c r="AI1589" s="117"/>
      <c r="AJ1589" s="117"/>
      <c r="AK1589" s="117"/>
      <c r="AL1589" s="117"/>
      <c r="AM1589" s="117"/>
      <c r="AN1589" s="117"/>
      <c r="AO1589" s="117"/>
      <c r="AP1589" s="117"/>
      <c r="AQ1589" s="117"/>
      <c r="AR1589" s="117"/>
      <c r="AS1589" s="117"/>
      <c r="AT1589" s="117"/>
      <c r="AU1589" s="117"/>
      <c r="AV1589" s="117"/>
      <c r="AW1589" s="117"/>
      <c r="AX1589" s="117"/>
      <c r="AY1589" s="117"/>
      <c r="AZ1589" s="117"/>
      <c r="BA1589" s="117"/>
      <c r="BB1589" s="117"/>
      <c r="BC1589" s="117"/>
      <c r="BD1589" s="117"/>
      <c r="BE1589" s="117"/>
      <c r="BF1589" s="117"/>
      <c r="BG1589" s="117"/>
    </row>
    <row r="1590" spans="1:59">
      <c r="A1590" s="117"/>
      <c r="B1590" s="117"/>
      <c r="C1590" s="117"/>
      <c r="D1590" s="117"/>
      <c r="E1590" s="117"/>
      <c r="F1590" s="117"/>
      <c r="G1590" s="117"/>
      <c r="H1590" s="117"/>
      <c r="I1590" s="117"/>
      <c r="J1590" s="118"/>
      <c r="K1590" s="118"/>
      <c r="L1590" s="118"/>
      <c r="M1590" s="118"/>
      <c r="N1590" s="117"/>
      <c r="O1590" s="117"/>
      <c r="P1590" s="117"/>
      <c r="Q1590" s="117"/>
      <c r="R1590" s="117"/>
      <c r="S1590" s="117"/>
      <c r="T1590" s="117"/>
      <c r="U1590" s="117"/>
      <c r="V1590" s="117"/>
      <c r="W1590" s="117"/>
      <c r="X1590" s="117"/>
      <c r="Y1590" s="117"/>
      <c r="Z1590" s="117"/>
      <c r="AA1590" s="117"/>
      <c r="AB1590" s="117"/>
      <c r="AC1590" s="117"/>
      <c r="AD1590" s="117"/>
      <c r="AE1590" s="117"/>
      <c r="AF1590" s="117"/>
      <c r="AG1590" s="117"/>
      <c r="AH1590" s="117"/>
      <c r="AI1590" s="117"/>
      <c r="AJ1590" s="117"/>
      <c r="AK1590" s="117"/>
      <c r="AL1590" s="117"/>
      <c r="AM1590" s="117"/>
      <c r="AN1590" s="117"/>
      <c r="AO1590" s="117"/>
      <c r="AP1590" s="117"/>
      <c r="AQ1590" s="117"/>
      <c r="AR1590" s="117"/>
      <c r="AS1590" s="117"/>
      <c r="AT1590" s="117"/>
      <c r="AU1590" s="117"/>
      <c r="AV1590" s="117"/>
      <c r="AW1590" s="117"/>
      <c r="AX1590" s="117"/>
      <c r="AY1590" s="117"/>
      <c r="AZ1590" s="117"/>
      <c r="BA1590" s="117"/>
      <c r="BB1590" s="117"/>
      <c r="BC1590" s="117"/>
      <c r="BD1590" s="117"/>
      <c r="BE1590" s="117"/>
      <c r="BF1590" s="117"/>
      <c r="BG1590" s="117"/>
    </row>
    <row r="1591" spans="1:59">
      <c r="A1591" s="117"/>
      <c r="B1591" s="117"/>
      <c r="C1591" s="117"/>
      <c r="D1591" s="117"/>
      <c r="E1591" s="117"/>
      <c r="F1591" s="117"/>
      <c r="G1591" s="117"/>
      <c r="H1591" s="117"/>
      <c r="I1591" s="117"/>
      <c r="J1591" s="118"/>
      <c r="K1591" s="118"/>
      <c r="L1591" s="118"/>
      <c r="M1591" s="118"/>
      <c r="N1591" s="117"/>
      <c r="O1591" s="117"/>
      <c r="P1591" s="117"/>
      <c r="Q1591" s="117"/>
      <c r="R1591" s="117"/>
      <c r="S1591" s="117"/>
      <c r="T1591" s="117"/>
      <c r="U1591" s="117"/>
      <c r="V1591" s="117"/>
      <c r="W1591" s="117"/>
      <c r="X1591" s="117"/>
      <c r="Y1591" s="117"/>
      <c r="Z1591" s="117"/>
      <c r="AA1591" s="117"/>
      <c r="AB1591" s="117"/>
      <c r="AC1591" s="117"/>
      <c r="AD1591" s="117"/>
      <c r="AE1591" s="117"/>
      <c r="AF1591" s="117"/>
      <c r="AG1591" s="117"/>
      <c r="AH1591" s="117"/>
      <c r="AI1591" s="117"/>
      <c r="AJ1591" s="117"/>
      <c r="AK1591" s="117"/>
      <c r="AL1591" s="117"/>
      <c r="AM1591" s="117"/>
      <c r="AN1591" s="117"/>
      <c r="AO1591" s="117"/>
      <c r="AP1591" s="117"/>
      <c r="AQ1591" s="117"/>
      <c r="AR1591" s="117"/>
      <c r="AS1591" s="117"/>
      <c r="AT1591" s="117"/>
      <c r="AU1591" s="117"/>
      <c r="AV1591" s="117"/>
      <c r="AW1591" s="117"/>
      <c r="AX1591" s="117"/>
      <c r="AY1591" s="117"/>
      <c r="AZ1591" s="117"/>
      <c r="BA1591" s="117"/>
      <c r="BB1591" s="117"/>
      <c r="BC1591" s="117"/>
      <c r="BD1591" s="117"/>
      <c r="BE1591" s="117"/>
      <c r="BF1591" s="117"/>
      <c r="BG1591" s="117"/>
    </row>
    <row r="1592" spans="1:59">
      <c r="A1592" s="117"/>
      <c r="B1592" s="117"/>
      <c r="C1592" s="117"/>
      <c r="D1592" s="117"/>
      <c r="E1592" s="117"/>
      <c r="F1592" s="117"/>
      <c r="G1592" s="117"/>
      <c r="H1592" s="117"/>
      <c r="I1592" s="117"/>
      <c r="J1592" s="118"/>
      <c r="K1592" s="118"/>
      <c r="L1592" s="118"/>
      <c r="M1592" s="118"/>
      <c r="N1592" s="117"/>
      <c r="O1592" s="117"/>
      <c r="P1592" s="117"/>
      <c r="Q1592" s="117"/>
      <c r="R1592" s="117"/>
      <c r="S1592" s="117"/>
      <c r="T1592" s="117"/>
      <c r="U1592" s="117"/>
      <c r="V1592" s="117"/>
      <c r="W1592" s="117"/>
      <c r="X1592" s="117"/>
      <c r="Y1592" s="117"/>
      <c r="Z1592" s="117"/>
      <c r="AA1592" s="117"/>
      <c r="AB1592" s="117"/>
      <c r="AC1592" s="117"/>
      <c r="AD1592" s="117"/>
      <c r="AE1592" s="117"/>
      <c r="AF1592" s="117"/>
      <c r="AG1592" s="117"/>
      <c r="AH1592" s="117"/>
      <c r="AI1592" s="117"/>
      <c r="AJ1592" s="117"/>
      <c r="AK1592" s="117"/>
      <c r="AL1592" s="117"/>
      <c r="AM1592" s="117"/>
      <c r="AN1592" s="117"/>
      <c r="AO1592" s="117"/>
      <c r="AP1592" s="117"/>
      <c r="AQ1592" s="117"/>
      <c r="AR1592" s="117"/>
      <c r="AS1592" s="117"/>
      <c r="AT1592" s="117"/>
      <c r="AU1592" s="117"/>
      <c r="AV1592" s="117"/>
      <c r="AW1592" s="117"/>
      <c r="AX1592" s="117"/>
      <c r="AY1592" s="117"/>
      <c r="AZ1592" s="117"/>
      <c r="BA1592" s="117"/>
      <c r="BB1592" s="117"/>
      <c r="BC1592" s="117"/>
      <c r="BD1592" s="117"/>
      <c r="BE1592" s="117"/>
      <c r="BF1592" s="117"/>
      <c r="BG1592" s="117"/>
    </row>
    <row r="1593" spans="1:59">
      <c r="A1593" s="117"/>
      <c r="B1593" s="117"/>
      <c r="C1593" s="117"/>
      <c r="D1593" s="117"/>
      <c r="E1593" s="117"/>
      <c r="F1593" s="117"/>
      <c r="G1593" s="117"/>
      <c r="H1593" s="117"/>
      <c r="I1593" s="117"/>
      <c r="J1593" s="118"/>
      <c r="K1593" s="118"/>
      <c r="L1593" s="118"/>
      <c r="M1593" s="118"/>
      <c r="N1593" s="117"/>
      <c r="O1593" s="117"/>
      <c r="P1593" s="117"/>
      <c r="Q1593" s="117"/>
      <c r="R1593" s="117"/>
      <c r="S1593" s="117"/>
      <c r="T1593" s="117"/>
      <c r="U1593" s="117"/>
      <c r="V1593" s="117"/>
      <c r="W1593" s="117"/>
      <c r="X1593" s="117"/>
      <c r="Y1593" s="117"/>
      <c r="Z1593" s="117"/>
      <c r="AA1593" s="117"/>
      <c r="AB1593" s="117"/>
      <c r="AC1593" s="117"/>
      <c r="AD1593" s="117"/>
      <c r="AE1593" s="117"/>
      <c r="AF1593" s="117"/>
      <c r="AG1593" s="117"/>
      <c r="AH1593" s="117"/>
      <c r="AI1593" s="117"/>
      <c r="AJ1593" s="117"/>
      <c r="AK1593" s="117"/>
      <c r="AL1593" s="117"/>
      <c r="AM1593" s="117"/>
      <c r="AN1593" s="117"/>
      <c r="AO1593" s="117"/>
      <c r="AP1593" s="117"/>
      <c r="AQ1593" s="117"/>
      <c r="AR1593" s="117"/>
      <c r="AS1593" s="117"/>
      <c r="AT1593" s="117"/>
      <c r="AU1593" s="117"/>
      <c r="AV1593" s="117"/>
      <c r="AW1593" s="117"/>
      <c r="AX1593" s="117"/>
      <c r="AY1593" s="117"/>
      <c r="AZ1593" s="117"/>
      <c r="BA1593" s="117"/>
      <c r="BB1593" s="117"/>
      <c r="BC1593" s="117"/>
      <c r="BD1593" s="117"/>
      <c r="BE1593" s="117"/>
      <c r="BF1593" s="117"/>
      <c r="BG1593" s="117"/>
    </row>
    <row r="1594" spans="1:59">
      <c r="A1594" s="117"/>
      <c r="B1594" s="117"/>
      <c r="C1594" s="117"/>
      <c r="D1594" s="117"/>
      <c r="E1594" s="117"/>
      <c r="F1594" s="117"/>
      <c r="G1594" s="117"/>
      <c r="H1594" s="117"/>
      <c r="I1594" s="117"/>
      <c r="J1594" s="118"/>
      <c r="K1594" s="118"/>
      <c r="L1594" s="118"/>
      <c r="M1594" s="118"/>
      <c r="N1594" s="117"/>
      <c r="O1594" s="117"/>
      <c r="P1594" s="117"/>
      <c r="Q1594" s="117"/>
      <c r="R1594" s="117"/>
      <c r="S1594" s="117"/>
      <c r="T1594" s="117"/>
      <c r="U1594" s="117"/>
      <c r="V1594" s="117"/>
      <c r="W1594" s="117"/>
      <c r="X1594" s="117"/>
      <c r="Y1594" s="117"/>
      <c r="Z1594" s="117"/>
      <c r="AA1594" s="117"/>
      <c r="AB1594" s="117"/>
      <c r="AC1594" s="117"/>
      <c r="AD1594" s="117"/>
      <c r="AE1594" s="117"/>
      <c r="AF1594" s="117"/>
      <c r="AG1594" s="117"/>
      <c r="AH1594" s="117"/>
      <c r="AI1594" s="117"/>
      <c r="AJ1594" s="117"/>
      <c r="AK1594" s="117"/>
      <c r="AL1594" s="117"/>
      <c r="AM1594" s="117"/>
      <c r="AN1594" s="117"/>
      <c r="AO1594" s="117"/>
      <c r="AP1594" s="117"/>
      <c r="AQ1594" s="117"/>
      <c r="AR1594" s="117"/>
      <c r="AS1594" s="117"/>
      <c r="AT1594" s="117"/>
      <c r="AU1594" s="117"/>
      <c r="AV1594" s="117"/>
      <c r="AW1594" s="117"/>
      <c r="AX1594" s="117"/>
      <c r="AY1594" s="117"/>
      <c r="AZ1594" s="117"/>
      <c r="BA1594" s="117"/>
      <c r="BB1594" s="117"/>
      <c r="BC1594" s="117"/>
      <c r="BD1594" s="117"/>
      <c r="BE1594" s="117"/>
      <c r="BF1594" s="117"/>
      <c r="BG1594" s="117"/>
    </row>
    <row r="1595" spans="1:59">
      <c r="A1595" s="117"/>
      <c r="B1595" s="117"/>
      <c r="C1595" s="117"/>
      <c r="D1595" s="117"/>
      <c r="E1595" s="117"/>
      <c r="F1595" s="117"/>
      <c r="G1595" s="117"/>
      <c r="H1595" s="117"/>
      <c r="I1595" s="117"/>
      <c r="J1595" s="118"/>
      <c r="K1595" s="118"/>
      <c r="L1595" s="118"/>
      <c r="M1595" s="118"/>
      <c r="N1595" s="117"/>
      <c r="O1595" s="117"/>
      <c r="P1595" s="117"/>
      <c r="Q1595" s="117"/>
      <c r="R1595" s="117"/>
      <c r="S1595" s="117"/>
      <c r="T1595" s="117"/>
      <c r="U1595" s="117"/>
      <c r="V1595" s="117"/>
      <c r="W1595" s="117"/>
      <c r="X1595" s="117"/>
      <c r="Y1595" s="117"/>
      <c r="Z1595" s="117"/>
      <c r="AA1595" s="117"/>
      <c r="AB1595" s="117"/>
      <c r="AC1595" s="117"/>
      <c r="AD1595" s="117"/>
      <c r="AE1595" s="117"/>
      <c r="AF1595" s="117"/>
      <c r="AG1595" s="117"/>
      <c r="AH1595" s="117"/>
      <c r="AI1595" s="117"/>
      <c r="AJ1595" s="117"/>
      <c r="AK1595" s="117"/>
      <c r="AL1595" s="117"/>
      <c r="AM1595" s="117"/>
      <c r="AN1595" s="117"/>
      <c r="AO1595" s="117"/>
      <c r="AP1595" s="117"/>
      <c r="AQ1595" s="117"/>
      <c r="AR1595" s="117"/>
      <c r="AS1595" s="117"/>
      <c r="AT1595" s="117"/>
      <c r="AU1595" s="117"/>
      <c r="AV1595" s="117"/>
      <c r="AW1595" s="117"/>
      <c r="AX1595" s="117"/>
      <c r="AY1595" s="117"/>
      <c r="AZ1595" s="117"/>
      <c r="BA1595" s="117"/>
      <c r="BB1595" s="117"/>
      <c r="BC1595" s="117"/>
      <c r="BD1595" s="117"/>
      <c r="BE1595" s="117"/>
      <c r="BF1595" s="117"/>
      <c r="BG1595" s="117"/>
    </row>
    <row r="1596" spans="1:59">
      <c r="A1596" s="117"/>
      <c r="B1596" s="117"/>
      <c r="C1596" s="117"/>
      <c r="D1596" s="117"/>
      <c r="E1596" s="117"/>
      <c r="F1596" s="117"/>
      <c r="G1596" s="117"/>
      <c r="H1596" s="117"/>
      <c r="I1596" s="117"/>
      <c r="J1596" s="118"/>
      <c r="K1596" s="118"/>
      <c r="L1596" s="118"/>
      <c r="M1596" s="118"/>
      <c r="N1596" s="117"/>
      <c r="O1596" s="117"/>
      <c r="P1596" s="117"/>
      <c r="Q1596" s="117"/>
      <c r="R1596" s="117"/>
      <c r="S1596" s="117"/>
      <c r="T1596" s="117"/>
      <c r="U1596" s="117"/>
      <c r="V1596" s="117"/>
      <c r="W1596" s="117"/>
      <c r="X1596" s="117"/>
      <c r="Y1596" s="117"/>
      <c r="Z1596" s="117"/>
      <c r="AA1596" s="117"/>
      <c r="AB1596" s="117"/>
      <c r="AC1596" s="117"/>
      <c r="AD1596" s="117"/>
      <c r="AE1596" s="117"/>
      <c r="AF1596" s="117"/>
      <c r="AG1596" s="117"/>
      <c r="AH1596" s="117"/>
      <c r="AI1596" s="117"/>
      <c r="AJ1596" s="117"/>
      <c r="AK1596" s="117"/>
      <c r="AL1596" s="117"/>
      <c r="AM1596" s="117"/>
      <c r="AN1596" s="117"/>
      <c r="AO1596" s="117"/>
      <c r="AP1596" s="117"/>
      <c r="AQ1596" s="117"/>
      <c r="AR1596" s="117"/>
      <c r="AS1596" s="117"/>
      <c r="AT1596" s="117"/>
      <c r="AU1596" s="117"/>
      <c r="AV1596" s="117"/>
      <c r="AW1596" s="117"/>
      <c r="AX1596" s="117"/>
      <c r="AY1596" s="117"/>
      <c r="AZ1596" s="117"/>
      <c r="BA1596" s="117"/>
      <c r="BB1596" s="117"/>
      <c r="BC1596" s="117"/>
      <c r="BD1596" s="117"/>
      <c r="BE1596" s="117"/>
      <c r="BF1596" s="117"/>
      <c r="BG1596" s="117"/>
    </row>
    <row r="1597" spans="1:59">
      <c r="A1597" s="117"/>
      <c r="B1597" s="117"/>
      <c r="C1597" s="117"/>
      <c r="D1597" s="117"/>
      <c r="E1597" s="117"/>
      <c r="F1597" s="117"/>
      <c r="G1597" s="117"/>
      <c r="H1597" s="117"/>
      <c r="I1597" s="117"/>
      <c r="J1597" s="118"/>
      <c r="K1597" s="118"/>
      <c r="L1597" s="118"/>
      <c r="M1597" s="118"/>
      <c r="N1597" s="117"/>
      <c r="O1597" s="117"/>
      <c r="P1597" s="117"/>
      <c r="Q1597" s="117"/>
      <c r="R1597" s="117"/>
      <c r="S1597" s="117"/>
      <c r="T1597" s="117"/>
      <c r="U1597" s="117"/>
      <c r="V1597" s="117"/>
      <c r="W1597" s="117"/>
      <c r="X1597" s="117"/>
      <c r="Y1597" s="117"/>
      <c r="Z1597" s="117"/>
      <c r="AA1597" s="117"/>
      <c r="AB1597" s="117"/>
      <c r="AC1597" s="117"/>
      <c r="AD1597" s="117"/>
      <c r="AE1597" s="117"/>
      <c r="AF1597" s="117"/>
      <c r="AG1597" s="117"/>
      <c r="AH1597" s="117"/>
      <c r="AI1597" s="117"/>
      <c r="AJ1597" s="117"/>
      <c r="AK1597" s="117"/>
      <c r="AL1597" s="117"/>
      <c r="AM1597" s="117"/>
      <c r="AN1597" s="117"/>
      <c r="AO1597" s="117"/>
      <c r="AP1597" s="117"/>
      <c r="AQ1597" s="117"/>
      <c r="AR1597" s="117"/>
      <c r="AS1597" s="117"/>
      <c r="AT1597" s="117"/>
      <c r="AU1597" s="117"/>
      <c r="AV1597" s="117"/>
      <c r="AW1597" s="117"/>
      <c r="AX1597" s="117"/>
      <c r="AY1597" s="117"/>
      <c r="AZ1597" s="117"/>
      <c r="BA1597" s="117"/>
      <c r="BB1597" s="117"/>
      <c r="BC1597" s="117"/>
      <c r="BD1597" s="117"/>
      <c r="BE1597" s="117"/>
      <c r="BF1597" s="117"/>
      <c r="BG1597" s="117"/>
    </row>
    <row r="1598" spans="1:59">
      <c r="A1598" s="117"/>
      <c r="B1598" s="117"/>
      <c r="C1598" s="117"/>
      <c r="D1598" s="117"/>
      <c r="E1598" s="117"/>
      <c r="F1598" s="117"/>
      <c r="G1598" s="117"/>
      <c r="H1598" s="117"/>
      <c r="I1598" s="117"/>
      <c r="J1598" s="118"/>
      <c r="K1598" s="118"/>
      <c r="L1598" s="118"/>
      <c r="M1598" s="118"/>
      <c r="N1598" s="117"/>
      <c r="O1598" s="117"/>
      <c r="P1598" s="117"/>
      <c r="Q1598" s="117"/>
      <c r="R1598" s="117"/>
      <c r="S1598" s="117"/>
      <c r="T1598" s="117"/>
      <c r="U1598" s="117"/>
      <c r="V1598" s="117"/>
      <c r="W1598" s="117"/>
      <c r="X1598" s="117"/>
      <c r="Y1598" s="117"/>
      <c r="Z1598" s="117"/>
      <c r="AA1598" s="117"/>
      <c r="AB1598" s="117"/>
      <c r="AC1598" s="117"/>
      <c r="AD1598" s="117"/>
      <c r="AE1598" s="117"/>
      <c r="AF1598" s="117"/>
      <c r="AG1598" s="117"/>
      <c r="AH1598" s="117"/>
      <c r="AI1598" s="117"/>
      <c r="AJ1598" s="117"/>
      <c r="AK1598" s="117"/>
      <c r="AL1598" s="117"/>
      <c r="AM1598" s="117"/>
      <c r="AN1598" s="117"/>
      <c r="AO1598" s="117"/>
      <c r="AP1598" s="117"/>
      <c r="AQ1598" s="117"/>
      <c r="AR1598" s="117"/>
      <c r="AS1598" s="117"/>
      <c r="AT1598" s="117"/>
      <c r="AU1598" s="117"/>
      <c r="AV1598" s="117"/>
      <c r="AW1598" s="117"/>
      <c r="AX1598" s="117"/>
      <c r="AY1598" s="117"/>
      <c r="AZ1598" s="117"/>
      <c r="BA1598" s="117"/>
      <c r="BB1598" s="117"/>
      <c r="BC1598" s="117"/>
      <c r="BD1598" s="117"/>
      <c r="BE1598" s="117"/>
      <c r="BF1598" s="117"/>
      <c r="BG1598" s="117"/>
    </row>
    <row r="1599" spans="1:59">
      <c r="A1599" s="117"/>
      <c r="B1599" s="117"/>
      <c r="C1599" s="117"/>
      <c r="D1599" s="117"/>
      <c r="E1599" s="117"/>
      <c r="F1599" s="117"/>
      <c r="G1599" s="117"/>
      <c r="H1599" s="117"/>
      <c r="I1599" s="117"/>
      <c r="J1599" s="118"/>
      <c r="K1599" s="118"/>
      <c r="L1599" s="118"/>
      <c r="M1599" s="118"/>
      <c r="N1599" s="117"/>
      <c r="O1599" s="117"/>
      <c r="P1599" s="117"/>
      <c r="Q1599" s="117"/>
      <c r="R1599" s="117"/>
      <c r="S1599" s="117"/>
      <c r="T1599" s="117"/>
      <c r="U1599" s="117"/>
      <c r="V1599" s="117"/>
      <c r="W1599" s="117"/>
      <c r="X1599" s="117"/>
      <c r="Y1599" s="117"/>
      <c r="Z1599" s="117"/>
      <c r="AA1599" s="117"/>
      <c r="AB1599" s="117"/>
      <c r="AC1599" s="117"/>
      <c r="AD1599" s="117"/>
      <c r="AE1599" s="117"/>
      <c r="AF1599" s="117"/>
      <c r="AG1599" s="117"/>
      <c r="AH1599" s="117"/>
      <c r="AI1599" s="117"/>
      <c r="AJ1599" s="117"/>
      <c r="AK1599" s="117"/>
      <c r="AL1599" s="117"/>
      <c r="AM1599" s="117"/>
      <c r="AN1599" s="117"/>
      <c r="AO1599" s="117"/>
      <c r="AP1599" s="117"/>
      <c r="AQ1599" s="117"/>
      <c r="AR1599" s="117"/>
      <c r="AS1599" s="117"/>
      <c r="AT1599" s="117"/>
      <c r="AU1599" s="117"/>
      <c r="AV1599" s="117"/>
      <c r="AW1599" s="117"/>
      <c r="AX1599" s="117"/>
      <c r="AY1599" s="117"/>
      <c r="AZ1599" s="117"/>
      <c r="BA1599" s="117"/>
      <c r="BB1599" s="117"/>
      <c r="BC1599" s="117"/>
      <c r="BD1599" s="117"/>
      <c r="BE1599" s="117"/>
      <c r="BF1599" s="117"/>
      <c r="BG1599" s="117"/>
    </row>
    <row r="1600" spans="1:59">
      <c r="A1600" s="117"/>
      <c r="B1600" s="117"/>
      <c r="C1600" s="117"/>
      <c r="D1600" s="117"/>
      <c r="E1600" s="117"/>
      <c r="F1600" s="117"/>
      <c r="G1600" s="117"/>
      <c r="H1600" s="117"/>
      <c r="I1600" s="117"/>
      <c r="J1600" s="118"/>
      <c r="K1600" s="118"/>
      <c r="L1600" s="118"/>
      <c r="M1600" s="118"/>
      <c r="N1600" s="117"/>
      <c r="O1600" s="117"/>
      <c r="P1600" s="117"/>
      <c r="Q1600" s="117"/>
      <c r="R1600" s="117"/>
      <c r="S1600" s="117"/>
      <c r="T1600" s="117"/>
      <c r="U1600" s="117"/>
      <c r="V1600" s="117"/>
      <c r="W1600" s="117"/>
      <c r="X1600" s="117"/>
      <c r="Y1600" s="117"/>
      <c r="Z1600" s="117"/>
      <c r="AA1600" s="117"/>
      <c r="AB1600" s="117"/>
      <c r="AC1600" s="117"/>
      <c r="AD1600" s="117"/>
      <c r="AE1600" s="117"/>
      <c r="AF1600" s="117"/>
      <c r="AG1600" s="117"/>
      <c r="AH1600" s="117"/>
      <c r="AI1600" s="117"/>
      <c r="AJ1600" s="117"/>
      <c r="AK1600" s="117"/>
      <c r="AL1600" s="117"/>
      <c r="AM1600" s="117"/>
      <c r="AN1600" s="117"/>
      <c r="AO1600" s="117"/>
      <c r="AP1600" s="117"/>
      <c r="AQ1600" s="117"/>
      <c r="AR1600" s="117"/>
      <c r="AS1600" s="117"/>
      <c r="AT1600" s="117"/>
      <c r="AU1600" s="117"/>
      <c r="AV1600" s="117"/>
      <c r="AW1600" s="117"/>
      <c r="AX1600" s="117"/>
      <c r="AY1600" s="117"/>
      <c r="AZ1600" s="117"/>
      <c r="BA1600" s="117"/>
      <c r="BB1600" s="117"/>
      <c r="BC1600" s="117"/>
      <c r="BD1600" s="117"/>
      <c r="BE1600" s="117"/>
      <c r="BF1600" s="117"/>
      <c r="BG1600" s="117"/>
    </row>
    <row r="1601" spans="1:59">
      <c r="A1601" s="117"/>
      <c r="B1601" s="117"/>
      <c r="C1601" s="117"/>
      <c r="D1601" s="117"/>
      <c r="E1601" s="117"/>
      <c r="F1601" s="117"/>
      <c r="G1601" s="117"/>
      <c r="H1601" s="117"/>
      <c r="I1601" s="117"/>
      <c r="J1601" s="118"/>
      <c r="K1601" s="118"/>
      <c r="L1601" s="118"/>
      <c r="M1601" s="118"/>
      <c r="N1601" s="117"/>
      <c r="O1601" s="117"/>
      <c r="P1601" s="117"/>
      <c r="Q1601" s="117"/>
      <c r="R1601" s="117"/>
      <c r="S1601" s="117"/>
      <c r="T1601" s="117"/>
      <c r="U1601" s="117"/>
      <c r="V1601" s="117"/>
      <c r="W1601" s="117"/>
      <c r="X1601" s="117"/>
      <c r="Y1601" s="117"/>
      <c r="Z1601" s="117"/>
      <c r="AA1601" s="117"/>
      <c r="AB1601" s="117"/>
      <c r="AC1601" s="117"/>
      <c r="AD1601" s="117"/>
      <c r="AE1601" s="117"/>
      <c r="AF1601" s="117"/>
      <c r="AG1601" s="117"/>
      <c r="AH1601" s="117"/>
      <c r="AI1601" s="117"/>
      <c r="AJ1601" s="117"/>
      <c r="AK1601" s="117"/>
      <c r="AL1601" s="117"/>
      <c r="AM1601" s="117"/>
      <c r="AN1601" s="117"/>
      <c r="AO1601" s="117"/>
      <c r="AP1601" s="117"/>
      <c r="AQ1601" s="117"/>
      <c r="AR1601" s="117"/>
      <c r="AS1601" s="117"/>
      <c r="AT1601" s="117"/>
      <c r="AU1601" s="117"/>
      <c r="AV1601" s="117"/>
      <c r="AW1601" s="117"/>
      <c r="AX1601" s="117"/>
      <c r="AY1601" s="117"/>
      <c r="AZ1601" s="117"/>
      <c r="BA1601" s="117"/>
      <c r="BB1601" s="117"/>
      <c r="BC1601" s="117"/>
      <c r="BD1601" s="117"/>
      <c r="BE1601" s="117"/>
      <c r="BF1601" s="117"/>
      <c r="BG1601" s="117"/>
    </row>
    <row r="1602" spans="1:59">
      <c r="A1602" s="117"/>
      <c r="B1602" s="117"/>
      <c r="C1602" s="117"/>
      <c r="D1602" s="117"/>
      <c r="E1602" s="117"/>
      <c r="F1602" s="117"/>
      <c r="G1602" s="117"/>
      <c r="H1602" s="117"/>
      <c r="I1602" s="117"/>
      <c r="J1602" s="118"/>
      <c r="K1602" s="118"/>
      <c r="L1602" s="118"/>
      <c r="M1602" s="118"/>
      <c r="N1602" s="117"/>
      <c r="O1602" s="117"/>
      <c r="P1602" s="117"/>
      <c r="Q1602" s="117"/>
      <c r="R1602" s="117"/>
      <c r="S1602" s="117"/>
      <c r="T1602" s="117"/>
      <c r="U1602" s="117"/>
      <c r="V1602" s="117"/>
      <c r="W1602" s="117"/>
      <c r="X1602" s="117"/>
      <c r="Y1602" s="117"/>
      <c r="Z1602" s="117"/>
      <c r="AA1602" s="117"/>
      <c r="AB1602" s="117"/>
      <c r="AC1602" s="117"/>
      <c r="AD1602" s="117"/>
      <c r="AE1602" s="117"/>
      <c r="AF1602" s="117"/>
      <c r="AG1602" s="117"/>
      <c r="AH1602" s="117"/>
      <c r="AI1602" s="117"/>
      <c r="AJ1602" s="117"/>
      <c r="AK1602" s="117"/>
      <c r="AL1602" s="117"/>
      <c r="AM1602" s="117"/>
      <c r="AN1602" s="117"/>
      <c r="AO1602" s="117"/>
      <c r="AP1602" s="117"/>
      <c r="AQ1602" s="117"/>
      <c r="AR1602" s="117"/>
      <c r="AS1602" s="117"/>
      <c r="AT1602" s="117"/>
      <c r="AU1602" s="117"/>
      <c r="AV1602" s="117"/>
      <c r="AW1602" s="117"/>
      <c r="AX1602" s="117"/>
      <c r="AY1602" s="117"/>
      <c r="AZ1602" s="117"/>
      <c r="BA1602" s="117"/>
      <c r="BB1602" s="117"/>
      <c r="BC1602" s="117"/>
      <c r="BD1602" s="117"/>
      <c r="BE1602" s="117"/>
      <c r="BF1602" s="117"/>
      <c r="BG1602" s="117"/>
    </row>
    <row r="1603" spans="1:59">
      <c r="A1603" s="117"/>
      <c r="B1603" s="117"/>
      <c r="C1603" s="117"/>
      <c r="D1603" s="117"/>
      <c r="E1603" s="117"/>
      <c r="F1603" s="117"/>
      <c r="G1603" s="117"/>
      <c r="H1603" s="117"/>
      <c r="I1603" s="117"/>
      <c r="J1603" s="118"/>
      <c r="K1603" s="118"/>
      <c r="L1603" s="118"/>
      <c r="M1603" s="118"/>
      <c r="N1603" s="117"/>
      <c r="O1603" s="117"/>
      <c r="P1603" s="117"/>
      <c r="Q1603" s="117"/>
      <c r="R1603" s="117"/>
      <c r="S1603" s="117"/>
      <c r="T1603" s="117"/>
      <c r="U1603" s="117"/>
      <c r="V1603" s="117"/>
      <c r="W1603" s="117"/>
      <c r="X1603" s="117"/>
      <c r="Y1603" s="117"/>
      <c r="Z1603" s="117"/>
      <c r="AA1603" s="117"/>
      <c r="AB1603" s="117"/>
      <c r="AC1603" s="117"/>
      <c r="AD1603" s="117"/>
      <c r="AE1603" s="117"/>
      <c r="AF1603" s="117"/>
      <c r="AG1603" s="117"/>
      <c r="AH1603" s="117"/>
      <c r="AI1603" s="117"/>
      <c r="AJ1603" s="117"/>
      <c r="AK1603" s="117"/>
      <c r="AL1603" s="117"/>
      <c r="AM1603" s="117"/>
      <c r="AN1603" s="117"/>
      <c r="AO1603" s="117"/>
      <c r="AP1603" s="117"/>
      <c r="AQ1603" s="117"/>
      <c r="AR1603" s="117"/>
      <c r="AS1603" s="117"/>
      <c r="AT1603" s="117"/>
      <c r="AU1603" s="117"/>
      <c r="AV1603" s="117"/>
      <c r="AW1603" s="117"/>
      <c r="AX1603" s="117"/>
      <c r="AY1603" s="117"/>
      <c r="AZ1603" s="117"/>
      <c r="BA1603" s="117"/>
      <c r="BB1603" s="117"/>
      <c r="BC1603" s="117"/>
      <c r="BD1603" s="117"/>
      <c r="BE1603" s="117"/>
      <c r="BF1603" s="117"/>
      <c r="BG1603" s="117"/>
    </row>
    <row r="1604" spans="1:59">
      <c r="A1604" s="117"/>
      <c r="B1604" s="117"/>
      <c r="C1604" s="117"/>
      <c r="D1604" s="117"/>
      <c r="E1604" s="117"/>
      <c r="F1604" s="117"/>
      <c r="G1604" s="117"/>
      <c r="H1604" s="117"/>
      <c r="I1604" s="117"/>
      <c r="J1604" s="118"/>
      <c r="K1604" s="118"/>
      <c r="L1604" s="118"/>
      <c r="M1604" s="118"/>
      <c r="N1604" s="117"/>
      <c r="O1604" s="117"/>
      <c r="P1604" s="117"/>
      <c r="Q1604" s="117"/>
      <c r="R1604" s="117"/>
      <c r="S1604" s="117"/>
      <c r="T1604" s="117"/>
      <c r="U1604" s="117"/>
      <c r="V1604" s="117"/>
      <c r="W1604" s="117"/>
      <c r="X1604" s="117"/>
      <c r="Y1604" s="117"/>
      <c r="Z1604" s="117"/>
      <c r="AA1604" s="117"/>
      <c r="AB1604" s="117"/>
      <c r="AC1604" s="117"/>
      <c r="AD1604" s="117"/>
      <c r="AE1604" s="117"/>
      <c r="AF1604" s="117"/>
      <c r="AG1604" s="117"/>
      <c r="AH1604" s="117"/>
      <c r="AI1604" s="117"/>
      <c r="AJ1604" s="117"/>
      <c r="AK1604" s="117"/>
      <c r="AL1604" s="117"/>
      <c r="AM1604" s="117"/>
      <c r="AN1604" s="117"/>
      <c r="AO1604" s="117"/>
      <c r="AP1604" s="117"/>
      <c r="AQ1604" s="117"/>
      <c r="AR1604" s="117"/>
      <c r="AS1604" s="117"/>
      <c r="AT1604" s="117"/>
      <c r="AU1604" s="117"/>
      <c r="AV1604" s="117"/>
      <c r="AW1604" s="117"/>
      <c r="AX1604" s="117"/>
      <c r="AY1604" s="117"/>
      <c r="AZ1604" s="117"/>
      <c r="BA1604" s="117"/>
      <c r="BB1604" s="117"/>
      <c r="BC1604" s="117"/>
      <c r="BD1604" s="117"/>
      <c r="BE1604" s="117"/>
      <c r="BF1604" s="117"/>
      <c r="BG1604" s="117"/>
    </row>
    <row r="1605" spans="1:59">
      <c r="A1605" s="117"/>
      <c r="B1605" s="117"/>
      <c r="C1605" s="117"/>
      <c r="D1605" s="117"/>
      <c r="E1605" s="117"/>
      <c r="F1605" s="117"/>
      <c r="G1605" s="117"/>
      <c r="H1605" s="117"/>
      <c r="I1605" s="117"/>
      <c r="J1605" s="118"/>
      <c r="K1605" s="118"/>
      <c r="L1605" s="118"/>
      <c r="M1605" s="118"/>
      <c r="N1605" s="117"/>
      <c r="O1605" s="117"/>
      <c r="P1605" s="117"/>
      <c r="Q1605" s="117"/>
      <c r="R1605" s="117"/>
      <c r="S1605" s="117"/>
      <c r="T1605" s="117"/>
      <c r="U1605" s="117"/>
      <c r="V1605" s="117"/>
      <c r="W1605" s="117"/>
      <c r="X1605" s="117"/>
      <c r="Y1605" s="117"/>
      <c r="Z1605" s="117"/>
      <c r="AA1605" s="117"/>
      <c r="AB1605" s="117"/>
      <c r="AC1605" s="117"/>
      <c r="AD1605" s="117"/>
      <c r="AE1605" s="117"/>
      <c r="AF1605" s="117"/>
      <c r="AG1605" s="117"/>
      <c r="AH1605" s="117"/>
      <c r="AI1605" s="117"/>
      <c r="AJ1605" s="117"/>
      <c r="AK1605" s="117"/>
      <c r="AL1605" s="117"/>
      <c r="AM1605" s="117"/>
      <c r="AN1605" s="117"/>
      <c r="AO1605" s="117"/>
      <c r="AP1605" s="117"/>
      <c r="AQ1605" s="117"/>
      <c r="AR1605" s="117"/>
      <c r="AS1605" s="117"/>
      <c r="AT1605" s="117"/>
      <c r="AU1605" s="117"/>
      <c r="AV1605" s="117"/>
      <c r="AW1605" s="117"/>
      <c r="AX1605" s="117"/>
      <c r="AY1605" s="117"/>
      <c r="AZ1605" s="117"/>
      <c r="BA1605" s="117"/>
      <c r="BB1605" s="117"/>
      <c r="BC1605" s="117"/>
      <c r="BD1605" s="117"/>
      <c r="BE1605" s="117"/>
      <c r="BF1605" s="117"/>
      <c r="BG1605" s="117"/>
    </row>
    <row r="1606" spans="1:59">
      <c r="A1606" s="117"/>
      <c r="B1606" s="117"/>
      <c r="C1606" s="117"/>
      <c r="D1606" s="117"/>
      <c r="E1606" s="117"/>
      <c r="F1606" s="117"/>
      <c r="G1606" s="117"/>
      <c r="H1606" s="117"/>
      <c r="I1606" s="117"/>
      <c r="J1606" s="118"/>
      <c r="K1606" s="118"/>
      <c r="L1606" s="118"/>
      <c r="M1606" s="118"/>
      <c r="N1606" s="117"/>
      <c r="O1606" s="117"/>
      <c r="P1606" s="117"/>
      <c r="Q1606" s="117"/>
      <c r="R1606" s="117"/>
      <c r="S1606" s="117"/>
      <c r="T1606" s="117"/>
      <c r="U1606" s="117"/>
      <c r="V1606" s="117"/>
      <c r="W1606" s="117"/>
      <c r="X1606" s="117"/>
      <c r="Y1606" s="117"/>
      <c r="Z1606" s="117"/>
      <c r="AA1606" s="117"/>
      <c r="AB1606" s="117"/>
      <c r="AC1606" s="117"/>
      <c r="AD1606" s="117"/>
      <c r="AE1606" s="117"/>
      <c r="AF1606" s="117"/>
      <c r="AG1606" s="117"/>
      <c r="AH1606" s="117"/>
      <c r="AI1606" s="117"/>
      <c r="AJ1606" s="117"/>
      <c r="AK1606" s="117"/>
      <c r="AL1606" s="117"/>
      <c r="AM1606" s="117"/>
      <c r="AN1606" s="117"/>
      <c r="AO1606" s="117"/>
      <c r="AP1606" s="117"/>
      <c r="AQ1606" s="117"/>
      <c r="AR1606" s="117"/>
      <c r="AS1606" s="117"/>
      <c r="AT1606" s="117"/>
      <c r="AU1606" s="117"/>
      <c r="AV1606" s="117"/>
      <c r="AW1606" s="117"/>
      <c r="AX1606" s="117"/>
      <c r="AY1606" s="117"/>
      <c r="AZ1606" s="117"/>
      <c r="BA1606" s="117"/>
      <c r="BB1606" s="117"/>
      <c r="BC1606" s="117"/>
      <c r="BD1606" s="117"/>
      <c r="BE1606" s="117"/>
      <c r="BF1606" s="117"/>
      <c r="BG1606" s="117"/>
    </row>
    <row r="1607" spans="1:59">
      <c r="A1607" s="117"/>
      <c r="B1607" s="117"/>
      <c r="C1607" s="117"/>
      <c r="D1607" s="117"/>
      <c r="E1607" s="117"/>
      <c r="F1607" s="117"/>
      <c r="G1607" s="117"/>
      <c r="H1607" s="117"/>
      <c r="I1607" s="117"/>
      <c r="J1607" s="118"/>
      <c r="K1607" s="118"/>
      <c r="L1607" s="118"/>
      <c r="M1607" s="118"/>
      <c r="N1607" s="117"/>
      <c r="O1607" s="117"/>
      <c r="P1607" s="117"/>
      <c r="Q1607" s="117"/>
      <c r="R1607" s="117"/>
      <c r="S1607" s="117"/>
      <c r="T1607" s="117"/>
      <c r="U1607" s="117"/>
      <c r="V1607" s="117"/>
      <c r="W1607" s="117"/>
      <c r="X1607" s="117"/>
      <c r="Y1607" s="117"/>
      <c r="Z1607" s="117"/>
      <c r="AA1607" s="117"/>
      <c r="AB1607" s="117"/>
      <c r="AC1607" s="117"/>
      <c r="AD1607" s="117"/>
      <c r="AE1607" s="117"/>
      <c r="AF1607" s="117"/>
      <c r="AG1607" s="117"/>
      <c r="AH1607" s="117"/>
      <c r="AI1607" s="117"/>
      <c r="AJ1607" s="117"/>
      <c r="AK1607" s="117"/>
      <c r="AL1607" s="117"/>
      <c r="AM1607" s="117"/>
      <c r="AN1607" s="117"/>
      <c r="AO1607" s="117"/>
      <c r="AP1607" s="117"/>
      <c r="AQ1607" s="117"/>
      <c r="AR1607" s="117"/>
      <c r="AS1607" s="117"/>
      <c r="AT1607" s="117"/>
      <c r="AU1607" s="117"/>
      <c r="AV1607" s="117"/>
      <c r="AW1607" s="117"/>
      <c r="AX1607" s="117"/>
      <c r="AY1607" s="117"/>
      <c r="AZ1607" s="117"/>
      <c r="BA1607" s="117"/>
      <c r="BB1607" s="117"/>
      <c r="BC1607" s="117"/>
      <c r="BD1607" s="117"/>
      <c r="BE1607" s="117"/>
      <c r="BF1607" s="117"/>
      <c r="BG1607" s="117"/>
    </row>
    <row r="1608" spans="1:59">
      <c r="A1608" s="117"/>
      <c r="B1608" s="117"/>
      <c r="C1608" s="117"/>
      <c r="D1608" s="117"/>
      <c r="E1608" s="117"/>
      <c r="F1608" s="117"/>
      <c r="G1608" s="117"/>
      <c r="H1608" s="117"/>
      <c r="I1608" s="117"/>
      <c r="J1608" s="118"/>
      <c r="K1608" s="118"/>
      <c r="L1608" s="118"/>
      <c r="M1608" s="118"/>
      <c r="N1608" s="117"/>
      <c r="O1608" s="117"/>
      <c r="P1608" s="117"/>
      <c r="Q1608" s="117"/>
      <c r="R1608" s="117"/>
      <c r="S1608" s="117"/>
      <c r="T1608" s="117"/>
      <c r="U1608" s="117"/>
      <c r="V1608" s="117"/>
      <c r="W1608" s="117"/>
      <c r="X1608" s="117"/>
      <c r="Y1608" s="117"/>
      <c r="Z1608" s="117"/>
      <c r="AA1608" s="117"/>
      <c r="AB1608" s="117"/>
      <c r="AC1608" s="117"/>
      <c r="AD1608" s="117"/>
      <c r="AE1608" s="117"/>
      <c r="AF1608" s="117"/>
      <c r="AG1608" s="117"/>
      <c r="AH1608" s="117"/>
      <c r="AI1608" s="117"/>
      <c r="AJ1608" s="117"/>
      <c r="AK1608" s="117"/>
      <c r="AL1608" s="117"/>
      <c r="AM1608" s="117"/>
      <c r="AN1608" s="117"/>
      <c r="AO1608" s="117"/>
      <c r="AP1608" s="117"/>
      <c r="AQ1608" s="117"/>
      <c r="AR1608" s="117"/>
      <c r="AS1608" s="117"/>
      <c r="AT1608" s="117"/>
      <c r="AU1608" s="117"/>
      <c r="AV1608" s="117"/>
      <c r="AW1608" s="117"/>
      <c r="AX1608" s="117"/>
      <c r="AY1608" s="117"/>
      <c r="AZ1608" s="117"/>
      <c r="BA1608" s="117"/>
      <c r="BB1608" s="117"/>
      <c r="BC1608" s="117"/>
      <c r="BD1608" s="117"/>
      <c r="BE1608" s="117"/>
      <c r="BF1608" s="117"/>
      <c r="BG1608" s="117"/>
    </row>
    <row r="1609" spans="1:59">
      <c r="A1609" s="117"/>
      <c r="B1609" s="117"/>
      <c r="C1609" s="117"/>
      <c r="D1609" s="117"/>
      <c r="E1609" s="117"/>
      <c r="F1609" s="117"/>
      <c r="G1609" s="117"/>
      <c r="H1609" s="117"/>
      <c r="I1609" s="117"/>
      <c r="J1609" s="118"/>
      <c r="K1609" s="118"/>
      <c r="L1609" s="118"/>
      <c r="M1609" s="118"/>
      <c r="N1609" s="117"/>
      <c r="O1609" s="117"/>
      <c r="P1609" s="117"/>
      <c r="Q1609" s="117"/>
      <c r="R1609" s="117"/>
      <c r="S1609" s="117"/>
      <c r="T1609" s="117"/>
      <c r="U1609" s="117"/>
      <c r="V1609" s="117"/>
      <c r="W1609" s="117"/>
      <c r="X1609" s="117"/>
      <c r="Y1609" s="117"/>
      <c r="Z1609" s="117"/>
      <c r="AA1609" s="117"/>
      <c r="AB1609" s="117"/>
      <c r="AC1609" s="117"/>
      <c r="AD1609" s="117"/>
      <c r="AE1609" s="117"/>
      <c r="AF1609" s="117"/>
      <c r="AG1609" s="117"/>
      <c r="AH1609" s="117"/>
      <c r="AI1609" s="117"/>
      <c r="AJ1609" s="117"/>
      <c r="AK1609" s="117"/>
      <c r="AL1609" s="117"/>
      <c r="AM1609" s="117"/>
      <c r="AN1609" s="117"/>
      <c r="AO1609" s="117"/>
      <c r="AP1609" s="117"/>
      <c r="AQ1609" s="117"/>
      <c r="AR1609" s="117"/>
      <c r="AS1609" s="117"/>
      <c r="AT1609" s="117"/>
      <c r="AU1609" s="117"/>
      <c r="AV1609" s="117"/>
      <c r="AW1609" s="117"/>
      <c r="AX1609" s="117"/>
      <c r="AY1609" s="117"/>
      <c r="AZ1609" s="117"/>
      <c r="BA1609" s="117"/>
      <c r="BB1609" s="117"/>
      <c r="BC1609" s="117"/>
      <c r="BD1609" s="117"/>
      <c r="BE1609" s="117"/>
      <c r="BF1609" s="117"/>
      <c r="BG1609" s="117"/>
    </row>
    <row r="1610" spans="1:59">
      <c r="A1610" s="117"/>
      <c r="B1610" s="117"/>
      <c r="C1610" s="117"/>
      <c r="D1610" s="117"/>
      <c r="E1610" s="117"/>
      <c r="F1610" s="117"/>
      <c r="G1610" s="117"/>
      <c r="H1610" s="117"/>
      <c r="I1610" s="117"/>
      <c r="J1610" s="118"/>
      <c r="K1610" s="118"/>
      <c r="L1610" s="118"/>
      <c r="M1610" s="118"/>
      <c r="N1610" s="117"/>
      <c r="O1610" s="117"/>
      <c r="P1610" s="117"/>
      <c r="Q1610" s="117"/>
      <c r="R1610" s="117"/>
      <c r="S1610" s="117"/>
      <c r="T1610" s="117"/>
      <c r="U1610" s="117"/>
      <c r="V1610" s="117"/>
      <c r="W1610" s="117"/>
      <c r="X1610" s="117"/>
      <c r="Y1610" s="117"/>
      <c r="Z1610" s="117"/>
      <c r="AA1610" s="117"/>
      <c r="AB1610" s="117"/>
      <c r="AC1610" s="117"/>
      <c r="AD1610" s="117"/>
      <c r="AE1610" s="117"/>
      <c r="AF1610" s="117"/>
      <c r="AG1610" s="117"/>
      <c r="AH1610" s="117"/>
      <c r="AI1610" s="117"/>
      <c r="AJ1610" s="117"/>
      <c r="AK1610" s="117"/>
      <c r="AL1610" s="117"/>
      <c r="AM1610" s="117"/>
      <c r="AN1610" s="117"/>
      <c r="AO1610" s="117"/>
      <c r="AP1610" s="117"/>
      <c r="AQ1610" s="117"/>
      <c r="AR1610" s="117"/>
      <c r="AS1610" s="117"/>
      <c r="AT1610" s="117"/>
      <c r="AU1610" s="117"/>
      <c r="AV1610" s="117"/>
      <c r="AW1610" s="117"/>
      <c r="AX1610" s="117"/>
      <c r="AY1610" s="117"/>
      <c r="AZ1610" s="117"/>
      <c r="BA1610" s="117"/>
      <c r="BB1610" s="117"/>
      <c r="BC1610" s="117"/>
      <c r="BD1610" s="117"/>
      <c r="BE1610" s="117"/>
      <c r="BF1610" s="117"/>
      <c r="BG1610" s="117"/>
    </row>
    <row r="1611" spans="1:59">
      <c r="A1611" s="117"/>
      <c r="B1611" s="117"/>
      <c r="C1611" s="117"/>
      <c r="D1611" s="117"/>
      <c r="E1611" s="117"/>
      <c r="F1611" s="117"/>
      <c r="G1611" s="117"/>
      <c r="H1611" s="117"/>
      <c r="I1611" s="117"/>
      <c r="J1611" s="118"/>
      <c r="K1611" s="118"/>
      <c r="L1611" s="118"/>
      <c r="M1611" s="118"/>
      <c r="N1611" s="117"/>
      <c r="O1611" s="117"/>
      <c r="P1611" s="117"/>
      <c r="Q1611" s="117"/>
      <c r="R1611" s="117"/>
      <c r="S1611" s="117"/>
      <c r="T1611" s="117"/>
      <c r="U1611" s="117"/>
      <c r="V1611" s="117"/>
      <c r="W1611" s="117"/>
      <c r="X1611" s="117"/>
      <c r="Y1611" s="117"/>
      <c r="Z1611" s="117"/>
      <c r="AA1611" s="117"/>
      <c r="AB1611" s="117"/>
      <c r="AC1611" s="117"/>
      <c r="AD1611" s="117"/>
      <c r="AE1611" s="117"/>
      <c r="AF1611" s="117"/>
      <c r="AG1611" s="117"/>
      <c r="AH1611" s="117"/>
      <c r="AI1611" s="117"/>
      <c r="AJ1611" s="117"/>
      <c r="AK1611" s="117"/>
      <c r="AL1611" s="117"/>
      <c r="AM1611" s="117"/>
      <c r="AN1611" s="117"/>
      <c r="AO1611" s="117"/>
      <c r="AP1611" s="117"/>
      <c r="AQ1611" s="117"/>
      <c r="AR1611" s="117"/>
      <c r="AS1611" s="117"/>
      <c r="AT1611" s="117"/>
      <c r="AU1611" s="117"/>
      <c r="AV1611" s="117"/>
      <c r="AW1611" s="117"/>
      <c r="AX1611" s="117"/>
      <c r="AY1611" s="117"/>
      <c r="AZ1611" s="117"/>
      <c r="BA1611" s="117"/>
      <c r="BB1611" s="117"/>
      <c r="BC1611" s="117"/>
      <c r="BD1611" s="117"/>
      <c r="BE1611" s="117"/>
      <c r="BF1611" s="117"/>
      <c r="BG1611" s="117"/>
    </row>
    <row r="1612" spans="1:59">
      <c r="A1612" s="117"/>
      <c r="B1612" s="117"/>
      <c r="C1612" s="117"/>
      <c r="D1612" s="117"/>
      <c r="E1612" s="117"/>
      <c r="F1612" s="117"/>
      <c r="G1612" s="117"/>
      <c r="H1612" s="117"/>
      <c r="I1612" s="117"/>
      <c r="J1612" s="118"/>
      <c r="K1612" s="118"/>
      <c r="L1612" s="118"/>
      <c r="M1612" s="118"/>
      <c r="N1612" s="117"/>
      <c r="O1612" s="117"/>
      <c r="P1612" s="117"/>
      <c r="Q1612" s="117"/>
      <c r="R1612" s="117"/>
      <c r="S1612" s="117"/>
      <c r="T1612" s="117"/>
      <c r="U1612" s="117"/>
      <c r="V1612" s="117"/>
      <c r="W1612" s="117"/>
      <c r="X1612" s="117"/>
      <c r="Y1612" s="117"/>
      <c r="Z1612" s="117"/>
      <c r="AA1612" s="117"/>
      <c r="AB1612" s="117"/>
      <c r="AC1612" s="117"/>
      <c r="AD1612" s="117"/>
      <c r="AE1612" s="117"/>
      <c r="AF1612" s="117"/>
      <c r="AG1612" s="117"/>
      <c r="AH1612" s="117"/>
      <c r="AI1612" s="117"/>
      <c r="AJ1612" s="117"/>
      <c r="AK1612" s="117"/>
      <c r="AL1612" s="117"/>
      <c r="AM1612" s="117"/>
      <c r="AN1612" s="117"/>
      <c r="AO1612" s="117"/>
      <c r="AP1612" s="117"/>
      <c r="AQ1612" s="117"/>
      <c r="AR1612" s="117"/>
      <c r="AS1612" s="117"/>
      <c r="AT1612" s="117"/>
      <c r="AU1612" s="117"/>
      <c r="AV1612" s="117"/>
      <c r="AW1612" s="117"/>
      <c r="AX1612" s="117"/>
      <c r="AY1612" s="117"/>
      <c r="AZ1612" s="117"/>
      <c r="BA1612" s="117"/>
      <c r="BB1612" s="117"/>
      <c r="BC1612" s="117"/>
      <c r="BD1612" s="117"/>
      <c r="BE1612" s="117"/>
      <c r="BF1612" s="117"/>
      <c r="BG1612" s="117"/>
    </row>
    <row r="1613" spans="1:59">
      <c r="A1613" s="117"/>
      <c r="B1613" s="117"/>
      <c r="C1613" s="117"/>
      <c r="D1613" s="117"/>
      <c r="E1613" s="117"/>
      <c r="F1613" s="117"/>
      <c r="G1613" s="117"/>
      <c r="H1613" s="117"/>
      <c r="I1613" s="117"/>
      <c r="J1613" s="118"/>
      <c r="K1613" s="118"/>
      <c r="L1613" s="118"/>
      <c r="M1613" s="118"/>
      <c r="N1613" s="117"/>
      <c r="O1613" s="117"/>
      <c r="P1613" s="117"/>
      <c r="Q1613" s="117"/>
      <c r="R1613" s="117"/>
      <c r="S1613" s="117"/>
      <c r="T1613" s="117"/>
      <c r="U1613" s="117"/>
      <c r="V1613" s="117"/>
      <c r="W1613" s="117"/>
      <c r="X1613" s="117"/>
      <c r="Y1613" s="117"/>
      <c r="Z1613" s="117"/>
      <c r="AA1613" s="117"/>
      <c r="AB1613" s="117"/>
      <c r="AC1613" s="117"/>
      <c r="AD1613" s="117"/>
      <c r="AE1613" s="117"/>
      <c r="AF1613" s="117"/>
      <c r="AG1613" s="117"/>
      <c r="AH1613" s="117"/>
      <c r="AI1613" s="117"/>
      <c r="AJ1613" s="117"/>
      <c r="AK1613" s="117"/>
      <c r="AL1613" s="117"/>
      <c r="AM1613" s="117"/>
      <c r="AN1613" s="117"/>
      <c r="AO1613" s="117"/>
      <c r="AP1613" s="117"/>
      <c r="AQ1613" s="117"/>
      <c r="AR1613" s="117"/>
      <c r="AS1613" s="117"/>
      <c r="AT1613" s="117"/>
      <c r="AU1613" s="117"/>
      <c r="AV1613" s="117"/>
      <c r="AW1613" s="117"/>
      <c r="AX1613" s="117"/>
      <c r="AY1613" s="117"/>
      <c r="AZ1613" s="117"/>
      <c r="BA1613" s="117"/>
      <c r="BB1613" s="117"/>
      <c r="BC1613" s="117"/>
      <c r="BD1613" s="117"/>
      <c r="BE1613" s="117"/>
      <c r="BF1613" s="117"/>
      <c r="BG1613" s="117"/>
    </row>
    <row r="1614" spans="1:59">
      <c r="A1614" s="117"/>
      <c r="B1614" s="117"/>
      <c r="C1614" s="117"/>
      <c r="D1614" s="117"/>
      <c r="E1614" s="117"/>
      <c r="F1614" s="117"/>
      <c r="G1614" s="117"/>
      <c r="H1614" s="117"/>
      <c r="I1614" s="117"/>
      <c r="J1614" s="118"/>
      <c r="K1614" s="118"/>
      <c r="L1614" s="118"/>
      <c r="M1614" s="118"/>
      <c r="N1614" s="117"/>
      <c r="O1614" s="117"/>
      <c r="P1614" s="117"/>
      <c r="Q1614" s="117"/>
      <c r="R1614" s="117"/>
      <c r="S1614" s="117"/>
      <c r="T1614" s="117"/>
      <c r="U1614" s="117"/>
      <c r="V1614" s="117"/>
      <c r="W1614" s="117"/>
      <c r="X1614" s="117"/>
      <c r="Y1614" s="117"/>
      <c r="Z1614" s="117"/>
      <c r="AA1614" s="117"/>
      <c r="AB1614" s="117"/>
      <c r="AC1614" s="117"/>
      <c r="AD1614" s="117"/>
      <c r="AE1614" s="117"/>
      <c r="AF1614" s="117"/>
      <c r="AG1614" s="117"/>
      <c r="AH1614" s="117"/>
      <c r="AI1614" s="117"/>
      <c r="AJ1614" s="117"/>
      <c r="AK1614" s="117"/>
      <c r="AL1614" s="117"/>
      <c r="AM1614" s="117"/>
      <c r="AN1614" s="117"/>
      <c r="AO1614" s="117"/>
      <c r="AP1614" s="117"/>
      <c r="AQ1614" s="117"/>
      <c r="AR1614" s="117"/>
      <c r="AS1614" s="117"/>
      <c r="AT1614" s="117"/>
      <c r="AU1614" s="117"/>
      <c r="AV1614" s="117"/>
      <c r="AW1614" s="117"/>
      <c r="AX1614" s="117"/>
      <c r="AY1614" s="117"/>
      <c r="AZ1614" s="117"/>
      <c r="BA1614" s="117"/>
      <c r="BB1614" s="117"/>
      <c r="BC1614" s="117"/>
      <c r="BD1614" s="117"/>
      <c r="BE1614" s="117"/>
      <c r="BF1614" s="117"/>
      <c r="BG1614" s="117"/>
    </row>
    <row r="1615" spans="1:59">
      <c r="A1615" s="117"/>
      <c r="B1615" s="117"/>
      <c r="C1615" s="117"/>
      <c r="D1615" s="117"/>
      <c r="E1615" s="117"/>
      <c r="F1615" s="117"/>
      <c r="G1615" s="117"/>
      <c r="H1615" s="117"/>
      <c r="I1615" s="117"/>
      <c r="J1615" s="118"/>
      <c r="K1615" s="118"/>
      <c r="L1615" s="118"/>
      <c r="M1615" s="118"/>
      <c r="N1615" s="117"/>
      <c r="O1615" s="117"/>
      <c r="P1615" s="117"/>
      <c r="Q1615" s="117"/>
      <c r="R1615" s="117"/>
      <c r="S1615" s="117"/>
      <c r="T1615" s="117"/>
      <c r="U1615" s="117"/>
      <c r="V1615" s="117"/>
      <c r="W1615" s="117"/>
      <c r="X1615" s="117"/>
      <c r="Y1615" s="117"/>
      <c r="Z1615" s="117"/>
      <c r="AA1615" s="117"/>
      <c r="AB1615" s="117"/>
      <c r="AC1615" s="117"/>
      <c r="AD1615" s="117"/>
      <c r="AE1615" s="117"/>
      <c r="AF1615" s="117"/>
      <c r="AG1615" s="117"/>
      <c r="AH1615" s="117"/>
      <c r="AI1615" s="117"/>
      <c r="AJ1615" s="117"/>
      <c r="AK1615" s="117"/>
      <c r="AL1615" s="117"/>
      <c r="AM1615" s="117"/>
      <c r="AN1615" s="117"/>
      <c r="AO1615" s="117"/>
      <c r="AP1615" s="117"/>
      <c r="AQ1615" s="117"/>
      <c r="AR1615" s="117"/>
      <c r="AS1615" s="117"/>
      <c r="AT1615" s="117"/>
      <c r="AU1615" s="117"/>
      <c r="AV1615" s="117"/>
      <c r="AW1615" s="117"/>
      <c r="AX1615" s="117"/>
      <c r="AY1615" s="117"/>
      <c r="AZ1615" s="117"/>
      <c r="BA1615" s="117"/>
      <c r="BB1615" s="117"/>
      <c r="BC1615" s="117"/>
      <c r="BD1615" s="117"/>
      <c r="BE1615" s="117"/>
      <c r="BF1615" s="117"/>
      <c r="BG1615" s="117"/>
    </row>
    <row r="1616" spans="1:59">
      <c r="A1616" s="117"/>
      <c r="B1616" s="117"/>
      <c r="C1616" s="117"/>
      <c r="D1616" s="117"/>
      <c r="E1616" s="117"/>
      <c r="F1616" s="117"/>
      <c r="G1616" s="117"/>
      <c r="H1616" s="117"/>
      <c r="I1616" s="117"/>
      <c r="J1616" s="118"/>
      <c r="K1616" s="118"/>
      <c r="L1616" s="118"/>
      <c r="M1616" s="118"/>
      <c r="N1616" s="117"/>
      <c r="O1616" s="117"/>
      <c r="P1616" s="117"/>
      <c r="Q1616" s="117"/>
      <c r="R1616" s="117"/>
      <c r="S1616" s="117"/>
      <c r="T1616" s="117"/>
      <c r="U1616" s="117"/>
      <c r="V1616" s="117"/>
      <c r="W1616" s="117"/>
      <c r="X1616" s="117"/>
      <c r="Y1616" s="117"/>
      <c r="Z1616" s="117"/>
      <c r="AA1616" s="117"/>
      <c r="AB1616" s="117"/>
      <c r="AC1616" s="117"/>
      <c r="AD1616" s="117"/>
      <c r="AE1616" s="117"/>
      <c r="AF1616" s="117"/>
      <c r="AG1616" s="117"/>
      <c r="AH1616" s="117"/>
      <c r="AI1616" s="117"/>
      <c r="AJ1616" s="117"/>
      <c r="AK1616" s="117"/>
      <c r="AL1616" s="117"/>
      <c r="AM1616" s="117"/>
      <c r="AN1616" s="117"/>
      <c r="AO1616" s="117"/>
      <c r="AP1616" s="117"/>
      <c r="AQ1616" s="117"/>
      <c r="AR1616" s="117"/>
      <c r="AS1616" s="117"/>
      <c r="AT1616" s="117"/>
      <c r="AU1616" s="117"/>
      <c r="AV1616" s="117"/>
      <c r="AW1616" s="117"/>
      <c r="AX1616" s="117"/>
      <c r="AY1616" s="117"/>
      <c r="AZ1616" s="117"/>
      <c r="BA1616" s="117"/>
      <c r="BB1616" s="117"/>
      <c r="BC1616" s="117"/>
      <c r="BD1616" s="117"/>
      <c r="BE1616" s="117"/>
      <c r="BF1616" s="117"/>
      <c r="BG1616" s="117"/>
    </row>
    <row r="1617" spans="1:59">
      <c r="A1617" s="117"/>
      <c r="B1617" s="117"/>
      <c r="C1617" s="117"/>
      <c r="D1617" s="117"/>
      <c r="E1617" s="117"/>
      <c r="F1617" s="117"/>
      <c r="G1617" s="117"/>
      <c r="H1617" s="117"/>
      <c r="I1617" s="117"/>
      <c r="J1617" s="118"/>
      <c r="K1617" s="118"/>
      <c r="L1617" s="118"/>
      <c r="M1617" s="118"/>
      <c r="N1617" s="117"/>
      <c r="O1617" s="117"/>
      <c r="P1617" s="117"/>
      <c r="Q1617" s="117"/>
      <c r="R1617" s="117"/>
      <c r="S1617" s="117"/>
      <c r="T1617" s="117"/>
      <c r="U1617" s="117"/>
      <c r="V1617" s="117"/>
      <c r="W1617" s="117"/>
      <c r="X1617" s="117"/>
      <c r="Y1617" s="117"/>
      <c r="Z1617" s="117"/>
      <c r="AA1617" s="117"/>
      <c r="AB1617" s="117"/>
      <c r="AC1617" s="117"/>
      <c r="AD1617" s="117"/>
      <c r="AE1617" s="117"/>
      <c r="AF1617" s="117"/>
      <c r="AG1617" s="117"/>
      <c r="AH1617" s="117"/>
      <c r="AI1617" s="117"/>
      <c r="AJ1617" s="117"/>
      <c r="AK1617" s="117"/>
      <c r="AL1617" s="117"/>
      <c r="AM1617" s="117"/>
      <c r="AN1617" s="117"/>
      <c r="AO1617" s="117"/>
      <c r="AP1617" s="117"/>
      <c r="AQ1617" s="117"/>
      <c r="AR1617" s="117"/>
      <c r="AS1617" s="117"/>
      <c r="AT1617" s="117"/>
      <c r="AU1617" s="117"/>
      <c r="AV1617" s="117"/>
      <c r="AW1617" s="117"/>
      <c r="AX1617" s="117"/>
      <c r="AY1617" s="117"/>
      <c r="AZ1617" s="117"/>
      <c r="BA1617" s="117"/>
      <c r="BB1617" s="117"/>
      <c r="BC1617" s="117"/>
      <c r="BD1617" s="117"/>
      <c r="BE1617" s="117"/>
      <c r="BF1617" s="117"/>
      <c r="BG1617" s="117"/>
    </row>
    <row r="1618" spans="1:59">
      <c r="A1618" s="117"/>
      <c r="B1618" s="117"/>
      <c r="C1618" s="117"/>
      <c r="D1618" s="117"/>
      <c r="E1618" s="117"/>
      <c r="F1618" s="117"/>
      <c r="G1618" s="117"/>
      <c r="H1618" s="117"/>
      <c r="I1618" s="117"/>
      <c r="J1618" s="118"/>
      <c r="K1618" s="118"/>
      <c r="L1618" s="118"/>
      <c r="M1618" s="118"/>
      <c r="N1618" s="117"/>
      <c r="O1618" s="117"/>
      <c r="P1618" s="117"/>
      <c r="Q1618" s="117"/>
      <c r="R1618" s="117"/>
      <c r="S1618" s="117"/>
      <c r="T1618" s="117"/>
      <c r="U1618" s="117"/>
      <c r="V1618" s="117"/>
      <c r="W1618" s="117"/>
      <c r="X1618" s="117"/>
      <c r="Y1618" s="117"/>
      <c r="Z1618" s="117"/>
      <c r="AA1618" s="117"/>
      <c r="AB1618" s="117"/>
      <c r="AC1618" s="117"/>
      <c r="AD1618" s="117"/>
      <c r="AE1618" s="117"/>
      <c r="AF1618" s="117"/>
      <c r="AG1618" s="117"/>
      <c r="AH1618" s="117"/>
      <c r="AI1618" s="117"/>
      <c r="AJ1618" s="117"/>
      <c r="AK1618" s="117"/>
      <c r="AL1618" s="117"/>
      <c r="AM1618" s="117"/>
      <c r="AN1618" s="117"/>
      <c r="AO1618" s="117"/>
      <c r="AP1618" s="117"/>
      <c r="AQ1618" s="117"/>
      <c r="AR1618" s="117"/>
      <c r="AS1618" s="117"/>
      <c r="AT1618" s="117"/>
      <c r="AU1618" s="117"/>
      <c r="AV1618" s="117"/>
      <c r="AW1618" s="117"/>
      <c r="AX1618" s="117"/>
      <c r="AY1618" s="117"/>
      <c r="AZ1618" s="117"/>
      <c r="BA1618" s="117"/>
      <c r="BB1618" s="117"/>
      <c r="BC1618" s="117"/>
      <c r="BD1618" s="117"/>
      <c r="BE1618" s="117"/>
      <c r="BF1618" s="117"/>
      <c r="BG1618" s="117"/>
    </row>
    <row r="1619" spans="1:59">
      <c r="A1619" s="117"/>
      <c r="B1619" s="117"/>
      <c r="C1619" s="117"/>
      <c r="D1619" s="117"/>
      <c r="E1619" s="117"/>
      <c r="F1619" s="117"/>
      <c r="G1619" s="117"/>
      <c r="H1619" s="117"/>
      <c r="I1619" s="117"/>
      <c r="J1619" s="118"/>
      <c r="K1619" s="118"/>
      <c r="L1619" s="118"/>
      <c r="M1619" s="118"/>
      <c r="N1619" s="117"/>
      <c r="O1619" s="117"/>
      <c r="P1619" s="117"/>
      <c r="Q1619" s="117"/>
      <c r="R1619" s="117"/>
      <c r="S1619" s="117"/>
      <c r="T1619" s="117"/>
      <c r="U1619" s="117"/>
      <c r="V1619" s="117"/>
      <c r="W1619" s="117"/>
      <c r="X1619" s="117"/>
      <c r="Y1619" s="117"/>
      <c r="Z1619" s="117"/>
      <c r="AA1619" s="117"/>
      <c r="AB1619" s="117"/>
      <c r="AC1619" s="117"/>
      <c r="AD1619" s="117"/>
      <c r="AE1619" s="117"/>
      <c r="AF1619" s="117"/>
      <c r="AG1619" s="117"/>
      <c r="AH1619" s="117"/>
      <c r="AI1619" s="117"/>
      <c r="AJ1619" s="117"/>
      <c r="AK1619" s="117"/>
      <c r="AL1619" s="117"/>
      <c r="AM1619" s="117"/>
      <c r="AN1619" s="117"/>
      <c r="AO1619" s="117"/>
      <c r="AP1619" s="117"/>
      <c r="AQ1619" s="117"/>
      <c r="AR1619" s="117"/>
      <c r="AS1619" s="117"/>
      <c r="AT1619" s="117"/>
      <c r="AU1619" s="117"/>
      <c r="AV1619" s="117"/>
      <c r="AW1619" s="117"/>
      <c r="AX1619" s="117"/>
      <c r="AY1619" s="117"/>
      <c r="AZ1619" s="117"/>
      <c r="BA1619" s="117"/>
      <c r="BB1619" s="117"/>
      <c r="BC1619" s="117"/>
      <c r="BD1619" s="117"/>
      <c r="BE1619" s="117"/>
      <c r="BF1619" s="117"/>
      <c r="BG1619" s="117"/>
    </row>
    <row r="1620" spans="1:59">
      <c r="A1620" s="117"/>
      <c r="B1620" s="117"/>
      <c r="C1620" s="117"/>
      <c r="D1620" s="117"/>
      <c r="E1620" s="117"/>
      <c r="F1620" s="117"/>
      <c r="G1620" s="117"/>
      <c r="H1620" s="117"/>
      <c r="I1620" s="117"/>
      <c r="J1620" s="118"/>
      <c r="K1620" s="118"/>
      <c r="L1620" s="118"/>
      <c r="M1620" s="118"/>
      <c r="N1620" s="117"/>
      <c r="O1620" s="117"/>
      <c r="P1620" s="117"/>
      <c r="Q1620" s="117"/>
      <c r="R1620" s="117"/>
      <c r="S1620" s="117"/>
      <c r="T1620" s="117"/>
      <c r="U1620" s="117"/>
      <c r="V1620" s="117"/>
      <c r="W1620" s="117"/>
      <c r="X1620" s="117"/>
      <c r="Y1620" s="117"/>
      <c r="Z1620" s="117"/>
      <c r="AA1620" s="117"/>
      <c r="AB1620" s="117"/>
      <c r="AC1620" s="117"/>
      <c r="AD1620" s="117"/>
      <c r="AE1620" s="117"/>
      <c r="AF1620" s="117"/>
      <c r="AG1620" s="117"/>
      <c r="AH1620" s="117"/>
      <c r="AI1620" s="117"/>
      <c r="AJ1620" s="117"/>
      <c r="AK1620" s="117"/>
      <c r="AL1620" s="117"/>
      <c r="AM1620" s="117"/>
      <c r="AN1620" s="117"/>
      <c r="AO1620" s="117"/>
      <c r="AP1620" s="117"/>
      <c r="AQ1620" s="117"/>
      <c r="AR1620" s="117"/>
      <c r="AS1620" s="117"/>
      <c r="AT1620" s="117"/>
      <c r="AU1620" s="117"/>
      <c r="AV1620" s="117"/>
      <c r="AW1620" s="117"/>
      <c r="AX1620" s="117"/>
      <c r="AY1620" s="117"/>
      <c r="AZ1620" s="117"/>
      <c r="BA1620" s="117"/>
      <c r="BB1620" s="117"/>
      <c r="BC1620" s="117"/>
      <c r="BD1620" s="117"/>
      <c r="BE1620" s="117"/>
      <c r="BF1620" s="117"/>
      <c r="BG1620" s="117"/>
    </row>
    <row r="1621" spans="1:59">
      <c r="A1621" s="117"/>
      <c r="B1621" s="117"/>
      <c r="C1621" s="117"/>
      <c r="D1621" s="117"/>
      <c r="E1621" s="117"/>
      <c r="F1621" s="117"/>
      <c r="G1621" s="117"/>
      <c r="H1621" s="117"/>
      <c r="I1621" s="117"/>
      <c r="J1621" s="118"/>
      <c r="K1621" s="118"/>
      <c r="L1621" s="118"/>
      <c r="M1621" s="118"/>
      <c r="N1621" s="117"/>
      <c r="O1621" s="117"/>
      <c r="P1621" s="117"/>
      <c r="Q1621" s="117"/>
      <c r="R1621" s="117"/>
      <c r="S1621" s="117"/>
      <c r="T1621" s="117"/>
      <c r="U1621" s="117"/>
      <c r="V1621" s="117"/>
      <c r="W1621" s="117"/>
      <c r="X1621" s="117"/>
      <c r="Y1621" s="117"/>
      <c r="Z1621" s="117"/>
      <c r="AA1621" s="117"/>
      <c r="AB1621" s="117"/>
      <c r="AC1621" s="117"/>
      <c r="AD1621" s="117"/>
      <c r="AE1621" s="117"/>
      <c r="AF1621" s="117"/>
      <c r="AG1621" s="117"/>
      <c r="AH1621" s="117"/>
      <c r="AI1621" s="117"/>
      <c r="AJ1621" s="117"/>
      <c r="AK1621" s="117"/>
      <c r="AL1621" s="117"/>
      <c r="AM1621" s="117"/>
      <c r="AN1621" s="117"/>
      <c r="AO1621" s="117"/>
      <c r="AP1621" s="117"/>
      <c r="AQ1621" s="117"/>
      <c r="AR1621" s="117"/>
      <c r="AS1621" s="117"/>
      <c r="AT1621" s="117"/>
      <c r="AU1621" s="117"/>
      <c r="AV1621" s="117"/>
      <c r="AW1621" s="117"/>
      <c r="AX1621" s="117"/>
      <c r="AY1621" s="117"/>
      <c r="AZ1621" s="117"/>
      <c r="BA1621" s="117"/>
      <c r="BB1621" s="117"/>
      <c r="BC1621" s="117"/>
      <c r="BD1621" s="117"/>
      <c r="BE1621" s="117"/>
      <c r="BF1621" s="117"/>
      <c r="BG1621" s="117"/>
    </row>
    <row r="1622" spans="1:59">
      <c r="A1622" s="117"/>
      <c r="B1622" s="117"/>
      <c r="C1622" s="117"/>
      <c r="D1622" s="117"/>
      <c r="E1622" s="117"/>
      <c r="F1622" s="117"/>
      <c r="G1622" s="117"/>
      <c r="H1622" s="117"/>
      <c r="I1622" s="117"/>
      <c r="J1622" s="118"/>
      <c r="K1622" s="118"/>
      <c r="L1622" s="118"/>
      <c r="M1622" s="118"/>
      <c r="N1622" s="117"/>
      <c r="O1622" s="117"/>
      <c r="P1622" s="117"/>
      <c r="Q1622" s="117"/>
      <c r="R1622" s="117"/>
      <c r="S1622" s="117"/>
      <c r="T1622" s="117"/>
      <c r="U1622" s="117"/>
      <c r="V1622" s="117"/>
      <c r="W1622" s="117"/>
      <c r="X1622" s="117"/>
      <c r="Y1622" s="117"/>
      <c r="Z1622" s="117"/>
      <c r="AA1622" s="117"/>
      <c r="AB1622" s="117"/>
      <c r="AC1622" s="117"/>
      <c r="AD1622" s="117"/>
      <c r="AE1622" s="117"/>
      <c r="AF1622" s="117"/>
      <c r="AG1622" s="117"/>
      <c r="AH1622" s="117"/>
      <c r="AI1622" s="117"/>
      <c r="AJ1622" s="117"/>
      <c r="AK1622" s="117"/>
      <c r="AL1622" s="117"/>
      <c r="AM1622" s="117"/>
      <c r="AN1622" s="117"/>
      <c r="AO1622" s="117"/>
      <c r="AP1622" s="117"/>
      <c r="AQ1622" s="117"/>
      <c r="AR1622" s="117"/>
      <c r="AS1622" s="117"/>
      <c r="AT1622" s="117"/>
      <c r="AU1622" s="117"/>
      <c r="AV1622" s="117"/>
      <c r="AW1622" s="117"/>
      <c r="AX1622" s="117"/>
      <c r="AY1622" s="117"/>
      <c r="AZ1622" s="117"/>
      <c r="BA1622" s="117"/>
      <c r="BB1622" s="117"/>
      <c r="BC1622" s="117"/>
      <c r="BD1622" s="117"/>
      <c r="BE1622" s="117"/>
      <c r="BF1622" s="117"/>
      <c r="BG1622" s="117"/>
    </row>
    <row r="1623" spans="1:59">
      <c r="A1623" s="117"/>
      <c r="B1623" s="117"/>
      <c r="C1623" s="117"/>
      <c r="D1623" s="117"/>
      <c r="E1623" s="117"/>
      <c r="F1623" s="117"/>
      <c r="G1623" s="117"/>
      <c r="H1623" s="117"/>
      <c r="I1623" s="117"/>
      <c r="J1623" s="118"/>
      <c r="K1623" s="118"/>
      <c r="L1623" s="118"/>
      <c r="M1623" s="118"/>
      <c r="N1623" s="117"/>
      <c r="O1623" s="117"/>
      <c r="P1623" s="117"/>
      <c r="Q1623" s="117"/>
      <c r="R1623" s="117"/>
      <c r="S1623" s="117"/>
      <c r="T1623" s="117"/>
      <c r="U1623" s="117"/>
      <c r="V1623" s="117"/>
      <c r="W1623" s="117"/>
      <c r="X1623" s="117"/>
      <c r="Y1623" s="117"/>
      <c r="Z1623" s="117"/>
      <c r="AA1623" s="117"/>
      <c r="AB1623" s="117"/>
      <c r="AC1623" s="117"/>
      <c r="AD1623" s="117"/>
      <c r="AE1623" s="117"/>
      <c r="AF1623" s="117"/>
      <c r="AG1623" s="117"/>
      <c r="AH1623" s="117"/>
      <c r="AI1623" s="117"/>
      <c r="AJ1623" s="117"/>
      <c r="AK1623" s="117"/>
      <c r="AL1623" s="117"/>
      <c r="AM1623" s="117"/>
      <c r="AN1623" s="117"/>
      <c r="AO1623" s="117"/>
      <c r="AP1623" s="117"/>
      <c r="AQ1623" s="117"/>
      <c r="AR1623" s="117"/>
      <c r="AS1623" s="117"/>
      <c r="AT1623" s="117"/>
      <c r="AU1623" s="117"/>
      <c r="AV1623" s="117"/>
      <c r="AW1623" s="117"/>
      <c r="AX1623" s="117"/>
      <c r="AY1623" s="117"/>
      <c r="AZ1623" s="117"/>
      <c r="BA1623" s="117"/>
      <c r="BB1623" s="117"/>
      <c r="BC1623" s="117"/>
      <c r="BD1623" s="117"/>
      <c r="BE1623" s="117"/>
      <c r="BF1623" s="117"/>
      <c r="BG1623" s="117"/>
    </row>
    <row r="1624" spans="1:59">
      <c r="A1624" s="117"/>
      <c r="B1624" s="117"/>
      <c r="C1624" s="117"/>
      <c r="D1624" s="117"/>
      <c r="E1624" s="117"/>
      <c r="F1624" s="117"/>
      <c r="G1624" s="117"/>
      <c r="H1624" s="117"/>
      <c r="I1624" s="117"/>
      <c r="J1624" s="118"/>
      <c r="K1624" s="118"/>
      <c r="L1624" s="118"/>
      <c r="M1624" s="118"/>
      <c r="N1624" s="117"/>
      <c r="O1624" s="117"/>
      <c r="P1624" s="117"/>
      <c r="Q1624" s="117"/>
      <c r="R1624" s="117"/>
      <c r="S1624" s="117"/>
      <c r="T1624" s="117"/>
      <c r="U1624" s="117"/>
      <c r="V1624" s="117"/>
      <c r="W1624" s="117"/>
      <c r="X1624" s="117"/>
      <c r="Y1624" s="117"/>
      <c r="Z1624" s="117"/>
      <c r="AA1624" s="117"/>
      <c r="AB1624" s="117"/>
      <c r="AC1624" s="117"/>
      <c r="AD1624" s="117"/>
      <c r="AE1624" s="117"/>
      <c r="AF1624" s="117"/>
      <c r="AG1624" s="117"/>
      <c r="AH1624" s="117"/>
      <c r="AI1624" s="117"/>
      <c r="AJ1624" s="117"/>
      <c r="AK1624" s="117"/>
      <c r="AL1624" s="117"/>
      <c r="AM1624" s="117"/>
      <c r="AN1624" s="117"/>
      <c r="AO1624" s="117"/>
      <c r="AP1624" s="117"/>
      <c r="AQ1624" s="117"/>
      <c r="AR1624" s="117"/>
      <c r="AS1624" s="117"/>
      <c r="AT1624" s="117"/>
      <c r="AU1624" s="117"/>
      <c r="AV1624" s="117"/>
      <c r="AW1624" s="117"/>
      <c r="AX1624" s="117"/>
      <c r="AY1624" s="117"/>
      <c r="AZ1624" s="117"/>
      <c r="BA1624" s="117"/>
      <c r="BB1624" s="117"/>
      <c r="BC1624" s="117"/>
      <c r="BD1624" s="117"/>
      <c r="BE1624" s="117"/>
      <c r="BF1624" s="117"/>
      <c r="BG1624" s="117"/>
    </row>
    <row r="1625" spans="1:59">
      <c r="A1625" s="117"/>
      <c r="B1625" s="117"/>
      <c r="C1625" s="117"/>
      <c r="D1625" s="117"/>
      <c r="E1625" s="117"/>
      <c r="F1625" s="117"/>
      <c r="G1625" s="117"/>
      <c r="H1625" s="117"/>
      <c r="I1625" s="117"/>
      <c r="J1625" s="118"/>
      <c r="K1625" s="118"/>
      <c r="L1625" s="118"/>
      <c r="M1625" s="118"/>
      <c r="N1625" s="117"/>
      <c r="O1625" s="117"/>
      <c r="P1625" s="117"/>
      <c r="Q1625" s="117"/>
      <c r="R1625" s="117"/>
      <c r="S1625" s="117"/>
      <c r="T1625" s="117"/>
      <c r="U1625" s="117"/>
      <c r="V1625" s="117"/>
      <c r="W1625" s="117"/>
      <c r="X1625" s="117"/>
      <c r="Y1625" s="117"/>
      <c r="Z1625" s="117"/>
      <c r="AA1625" s="117"/>
      <c r="AB1625" s="117"/>
      <c r="AC1625" s="117"/>
      <c r="AD1625" s="117"/>
      <c r="AE1625" s="117"/>
      <c r="AF1625" s="117"/>
      <c r="AG1625" s="117"/>
      <c r="AH1625" s="117"/>
      <c r="AI1625" s="117"/>
      <c r="AJ1625" s="117"/>
      <c r="AK1625" s="117"/>
      <c r="AL1625" s="117"/>
      <c r="AM1625" s="117"/>
      <c r="AN1625" s="117"/>
      <c r="AO1625" s="117"/>
      <c r="AP1625" s="117"/>
      <c r="AQ1625" s="117"/>
      <c r="AR1625" s="117"/>
      <c r="AS1625" s="117"/>
      <c r="AT1625" s="117"/>
      <c r="AU1625" s="117"/>
      <c r="AV1625" s="117"/>
      <c r="AW1625" s="117"/>
      <c r="AX1625" s="117"/>
      <c r="AY1625" s="117"/>
      <c r="AZ1625" s="117"/>
      <c r="BA1625" s="117"/>
      <c r="BB1625" s="117"/>
      <c r="BC1625" s="117"/>
      <c r="BD1625" s="117"/>
      <c r="BE1625" s="117"/>
      <c r="BF1625" s="117"/>
      <c r="BG1625" s="117"/>
    </row>
    <row r="1626" spans="1:59">
      <c r="A1626" s="117"/>
      <c r="B1626" s="117"/>
      <c r="C1626" s="117"/>
      <c r="D1626" s="117"/>
      <c r="E1626" s="117"/>
      <c r="F1626" s="117"/>
      <c r="G1626" s="117"/>
      <c r="H1626" s="117"/>
      <c r="I1626" s="117"/>
      <c r="J1626" s="118"/>
      <c r="K1626" s="118"/>
      <c r="L1626" s="118"/>
      <c r="M1626" s="118"/>
      <c r="N1626" s="117"/>
      <c r="O1626" s="117"/>
      <c r="P1626" s="117"/>
      <c r="Q1626" s="117"/>
      <c r="R1626" s="117"/>
      <c r="S1626" s="117"/>
      <c r="T1626" s="117"/>
      <c r="U1626" s="117"/>
      <c r="V1626" s="117"/>
      <c r="W1626" s="117"/>
      <c r="X1626" s="117"/>
      <c r="Y1626" s="117"/>
      <c r="Z1626" s="117"/>
      <c r="AA1626" s="117"/>
      <c r="AB1626" s="117"/>
      <c r="AC1626" s="117"/>
      <c r="AD1626" s="117"/>
      <c r="AE1626" s="117"/>
      <c r="AF1626" s="117"/>
      <c r="AG1626" s="117"/>
      <c r="AH1626" s="117"/>
      <c r="AI1626" s="117"/>
      <c r="AJ1626" s="117"/>
      <c r="AK1626" s="117"/>
      <c r="AL1626" s="117"/>
      <c r="AM1626" s="117"/>
      <c r="AN1626" s="117"/>
      <c r="AO1626" s="117"/>
      <c r="AP1626" s="117"/>
      <c r="AQ1626" s="117"/>
      <c r="AR1626" s="117"/>
      <c r="AS1626" s="117"/>
      <c r="AT1626" s="117"/>
      <c r="AU1626" s="117"/>
      <c r="AV1626" s="117"/>
      <c r="AW1626" s="117"/>
      <c r="AX1626" s="117"/>
      <c r="AY1626" s="117"/>
      <c r="AZ1626" s="117"/>
      <c r="BA1626" s="117"/>
      <c r="BB1626" s="117"/>
      <c r="BC1626" s="117"/>
      <c r="BD1626" s="117"/>
      <c r="BE1626" s="117"/>
      <c r="BF1626" s="117"/>
      <c r="BG1626" s="117"/>
    </row>
    <row r="1627" spans="1:59">
      <c r="A1627" s="117"/>
      <c r="B1627" s="117"/>
      <c r="C1627" s="117"/>
      <c r="D1627" s="117"/>
      <c r="E1627" s="117"/>
      <c r="F1627" s="117"/>
      <c r="G1627" s="117"/>
      <c r="H1627" s="117"/>
      <c r="I1627" s="117"/>
      <c r="J1627" s="118"/>
      <c r="K1627" s="118"/>
      <c r="L1627" s="118"/>
      <c r="M1627" s="118"/>
      <c r="N1627" s="117"/>
      <c r="O1627" s="117"/>
      <c r="P1627" s="117"/>
      <c r="Q1627" s="117"/>
      <c r="R1627" s="117"/>
      <c r="S1627" s="117"/>
      <c r="T1627" s="117"/>
      <c r="U1627" s="117"/>
      <c r="V1627" s="117"/>
      <c r="W1627" s="117"/>
      <c r="X1627" s="117"/>
      <c r="Y1627" s="117"/>
      <c r="Z1627" s="117"/>
      <c r="AA1627" s="117"/>
      <c r="AB1627" s="117"/>
      <c r="AC1627" s="117"/>
      <c r="AD1627" s="117"/>
      <c r="AE1627" s="117"/>
      <c r="AF1627" s="117"/>
      <c r="AG1627" s="117"/>
      <c r="AH1627" s="117"/>
      <c r="AI1627" s="117"/>
      <c r="AJ1627" s="117"/>
      <c r="AK1627" s="117"/>
      <c r="AL1627" s="117"/>
      <c r="AM1627" s="117"/>
      <c r="AN1627" s="117"/>
      <c r="AO1627" s="117"/>
      <c r="AP1627" s="117"/>
      <c r="AQ1627" s="117"/>
      <c r="AR1627" s="117"/>
      <c r="AS1627" s="117"/>
      <c r="AT1627" s="117"/>
      <c r="AU1627" s="117"/>
      <c r="AV1627" s="117"/>
      <c r="AW1627" s="117"/>
      <c r="AX1627" s="117"/>
      <c r="AY1627" s="117"/>
      <c r="AZ1627" s="117"/>
      <c r="BA1627" s="117"/>
      <c r="BB1627" s="117"/>
      <c r="BC1627" s="117"/>
      <c r="BD1627" s="117"/>
      <c r="BE1627" s="117"/>
      <c r="BF1627" s="117"/>
      <c r="BG1627" s="117"/>
    </row>
    <row r="1628" spans="1:59">
      <c r="A1628" s="117"/>
      <c r="B1628" s="117"/>
      <c r="C1628" s="117"/>
      <c r="D1628" s="117"/>
      <c r="E1628" s="117"/>
      <c r="F1628" s="117"/>
      <c r="G1628" s="117"/>
      <c r="H1628" s="117"/>
      <c r="I1628" s="117"/>
      <c r="J1628" s="118"/>
      <c r="K1628" s="118"/>
      <c r="L1628" s="118"/>
      <c r="M1628" s="118"/>
      <c r="N1628" s="117"/>
      <c r="O1628" s="117"/>
      <c r="P1628" s="117"/>
      <c r="Q1628" s="117"/>
      <c r="R1628" s="117"/>
      <c r="S1628" s="117"/>
      <c r="T1628" s="117"/>
      <c r="U1628" s="117"/>
      <c r="V1628" s="117"/>
      <c r="W1628" s="117"/>
      <c r="X1628" s="117"/>
      <c r="Y1628" s="117"/>
      <c r="Z1628" s="117"/>
      <c r="AA1628" s="117"/>
      <c r="AB1628" s="117"/>
      <c r="AC1628" s="117"/>
      <c r="AD1628" s="117"/>
      <c r="AE1628" s="117"/>
      <c r="AF1628" s="117"/>
      <c r="AG1628" s="117"/>
      <c r="AH1628" s="117"/>
      <c r="AI1628" s="117"/>
      <c r="AJ1628" s="117"/>
      <c r="AK1628" s="117"/>
      <c r="AL1628" s="117"/>
      <c r="AM1628" s="117"/>
      <c r="AN1628" s="117"/>
      <c r="AO1628" s="117"/>
      <c r="AP1628" s="117"/>
      <c r="AQ1628" s="117"/>
      <c r="AR1628" s="117"/>
      <c r="AS1628" s="117"/>
      <c r="AT1628" s="117"/>
      <c r="AU1628" s="117"/>
      <c r="AV1628" s="117"/>
      <c r="AW1628" s="117"/>
      <c r="AX1628" s="117"/>
      <c r="AY1628" s="117"/>
      <c r="AZ1628" s="117"/>
      <c r="BA1628" s="117"/>
      <c r="BB1628" s="117"/>
      <c r="BC1628" s="117"/>
      <c r="BD1628" s="117"/>
      <c r="BE1628" s="117"/>
      <c r="BF1628" s="117"/>
      <c r="BG1628" s="117"/>
    </row>
    <row r="1629" spans="1:59">
      <c r="A1629" s="117"/>
      <c r="B1629" s="117"/>
      <c r="C1629" s="117"/>
      <c r="D1629" s="117"/>
      <c r="E1629" s="117"/>
      <c r="F1629" s="117"/>
      <c r="G1629" s="117"/>
      <c r="H1629" s="117"/>
      <c r="I1629" s="117"/>
      <c r="J1629" s="118"/>
      <c r="K1629" s="118"/>
      <c r="L1629" s="118"/>
      <c r="M1629" s="118"/>
      <c r="N1629" s="117"/>
      <c r="O1629" s="117"/>
      <c r="P1629" s="117"/>
      <c r="Q1629" s="117"/>
      <c r="R1629" s="117"/>
      <c r="S1629" s="117"/>
      <c r="T1629" s="117"/>
      <c r="U1629" s="117"/>
      <c r="V1629" s="117"/>
      <c r="W1629" s="117"/>
      <c r="X1629" s="117"/>
      <c r="Y1629" s="117"/>
      <c r="Z1629" s="117"/>
      <c r="AA1629" s="117"/>
      <c r="AB1629" s="117"/>
      <c r="AC1629" s="117"/>
      <c r="AD1629" s="117"/>
      <c r="AE1629" s="117"/>
      <c r="AF1629" s="117"/>
      <c r="AG1629" s="117"/>
      <c r="AH1629" s="117"/>
      <c r="AI1629" s="117"/>
      <c r="AJ1629" s="117"/>
      <c r="AK1629" s="117"/>
      <c r="AL1629" s="117"/>
      <c r="AM1629" s="117"/>
      <c r="AN1629" s="117"/>
      <c r="AO1629" s="117"/>
      <c r="AP1629" s="117"/>
      <c r="AQ1629" s="117"/>
      <c r="AR1629" s="117"/>
      <c r="AS1629" s="117"/>
      <c r="AT1629" s="117"/>
      <c r="AU1629" s="117"/>
      <c r="AV1629" s="117"/>
      <c r="AW1629" s="117"/>
      <c r="AX1629" s="117"/>
      <c r="AY1629" s="117"/>
      <c r="AZ1629" s="117"/>
      <c r="BA1629" s="117"/>
      <c r="BB1629" s="117"/>
      <c r="BC1629" s="117"/>
      <c r="BD1629" s="117"/>
      <c r="BE1629" s="117"/>
      <c r="BF1629" s="117"/>
      <c r="BG1629" s="117"/>
    </row>
    <row r="1630" spans="1:59">
      <c r="A1630" s="117"/>
      <c r="B1630" s="117"/>
      <c r="C1630" s="117"/>
      <c r="D1630" s="117"/>
      <c r="E1630" s="117"/>
      <c r="F1630" s="117"/>
      <c r="G1630" s="117"/>
      <c r="H1630" s="117"/>
      <c r="I1630" s="117"/>
      <c r="J1630" s="118"/>
      <c r="K1630" s="118"/>
      <c r="L1630" s="118"/>
      <c r="M1630" s="118"/>
      <c r="N1630" s="117"/>
      <c r="O1630" s="117"/>
      <c r="P1630" s="117"/>
      <c r="Q1630" s="117"/>
      <c r="R1630" s="117"/>
      <c r="S1630" s="117"/>
      <c r="T1630" s="117"/>
      <c r="U1630" s="117"/>
      <c r="V1630" s="117"/>
      <c r="W1630" s="117"/>
      <c r="X1630" s="117"/>
      <c r="Y1630" s="117"/>
      <c r="Z1630" s="117"/>
      <c r="AA1630" s="117"/>
      <c r="AB1630" s="117"/>
      <c r="AC1630" s="117"/>
      <c r="AD1630" s="117"/>
      <c r="AE1630" s="117"/>
      <c r="AF1630" s="117"/>
      <c r="AG1630" s="117"/>
      <c r="AH1630" s="117"/>
      <c r="AI1630" s="117"/>
      <c r="AJ1630" s="117"/>
      <c r="AK1630" s="117"/>
      <c r="AL1630" s="117"/>
      <c r="AM1630" s="117"/>
      <c r="AN1630" s="117"/>
      <c r="AO1630" s="117"/>
      <c r="AP1630" s="117"/>
      <c r="AQ1630" s="117"/>
      <c r="AR1630" s="117"/>
      <c r="AS1630" s="117"/>
      <c r="AT1630" s="117"/>
      <c r="AU1630" s="117"/>
      <c r="AV1630" s="117"/>
      <c r="AW1630" s="117"/>
      <c r="AX1630" s="117"/>
      <c r="AY1630" s="117"/>
      <c r="AZ1630" s="117"/>
      <c r="BA1630" s="117"/>
      <c r="BB1630" s="117"/>
      <c r="BC1630" s="117"/>
      <c r="BD1630" s="117"/>
      <c r="BE1630" s="117"/>
      <c r="BF1630" s="117"/>
      <c r="BG1630" s="117"/>
    </row>
    <row r="1631" spans="1:59">
      <c r="A1631" s="117"/>
      <c r="B1631" s="117"/>
      <c r="C1631" s="117"/>
      <c r="D1631" s="117"/>
      <c r="E1631" s="117"/>
      <c r="F1631" s="117"/>
      <c r="G1631" s="117"/>
      <c r="H1631" s="117"/>
      <c r="I1631" s="117"/>
      <c r="J1631" s="118"/>
      <c r="K1631" s="118"/>
      <c r="L1631" s="118"/>
      <c r="M1631" s="118"/>
      <c r="N1631" s="117"/>
      <c r="O1631" s="117"/>
      <c r="P1631" s="117"/>
      <c r="Q1631" s="117"/>
      <c r="R1631" s="117"/>
      <c r="S1631" s="117"/>
      <c r="T1631" s="117"/>
      <c r="U1631" s="117"/>
      <c r="V1631" s="117"/>
      <c r="W1631" s="117"/>
      <c r="X1631" s="117"/>
      <c r="Y1631" s="117"/>
      <c r="Z1631" s="117"/>
      <c r="AA1631" s="117"/>
      <c r="AB1631" s="117"/>
      <c r="AC1631" s="117"/>
      <c r="AD1631" s="117"/>
      <c r="AE1631" s="117"/>
      <c r="AF1631" s="117"/>
      <c r="AG1631" s="117"/>
      <c r="AH1631" s="117"/>
      <c r="AI1631" s="117"/>
      <c r="AJ1631" s="117"/>
      <c r="AK1631" s="117"/>
      <c r="AL1631" s="117"/>
      <c r="AM1631" s="117"/>
      <c r="AN1631" s="117"/>
      <c r="AO1631" s="117"/>
      <c r="AP1631" s="117"/>
      <c r="AQ1631" s="117"/>
      <c r="AR1631" s="117"/>
      <c r="AS1631" s="117"/>
      <c r="AT1631" s="117"/>
      <c r="AU1631" s="117"/>
      <c r="AV1631" s="117"/>
      <c r="AW1631" s="117"/>
      <c r="AX1631" s="117"/>
      <c r="AY1631" s="117"/>
      <c r="AZ1631" s="117"/>
      <c r="BA1631" s="117"/>
      <c r="BB1631" s="117"/>
      <c r="BC1631" s="117"/>
      <c r="BD1631" s="117"/>
      <c r="BE1631" s="117"/>
      <c r="BF1631" s="117"/>
      <c r="BG1631" s="117"/>
    </row>
    <row r="1632" spans="1:59">
      <c r="A1632" s="117"/>
      <c r="B1632" s="117"/>
      <c r="C1632" s="117"/>
      <c r="D1632" s="117"/>
      <c r="E1632" s="117"/>
      <c r="F1632" s="117"/>
      <c r="G1632" s="117"/>
      <c r="H1632" s="117"/>
      <c r="I1632" s="117"/>
      <c r="J1632" s="118"/>
      <c r="K1632" s="118"/>
      <c r="L1632" s="118"/>
      <c r="M1632" s="118"/>
      <c r="N1632" s="117"/>
      <c r="O1632" s="117"/>
      <c r="P1632" s="117"/>
      <c r="Q1632" s="117"/>
      <c r="R1632" s="117"/>
      <c r="S1632" s="117"/>
      <c r="T1632" s="117"/>
      <c r="U1632" s="117"/>
      <c r="V1632" s="117"/>
      <c r="W1632" s="117"/>
      <c r="X1632" s="117"/>
      <c r="Y1632" s="117"/>
      <c r="Z1632" s="117"/>
      <c r="AA1632" s="117"/>
      <c r="AB1632" s="117"/>
      <c r="AC1632" s="117"/>
      <c r="AD1632" s="117"/>
      <c r="AE1632" s="117"/>
      <c r="AF1632" s="117"/>
      <c r="AG1632" s="117"/>
      <c r="AH1632" s="117"/>
      <c r="AI1632" s="117"/>
      <c r="AJ1632" s="117"/>
      <c r="AK1632" s="117"/>
      <c r="AL1632" s="117"/>
      <c r="AM1632" s="117"/>
      <c r="AN1632" s="117"/>
      <c r="AO1632" s="117"/>
      <c r="AP1632" s="117"/>
      <c r="AQ1632" s="117"/>
      <c r="AR1632" s="117"/>
      <c r="AS1632" s="117"/>
      <c r="AT1632" s="117"/>
      <c r="AU1632" s="117"/>
      <c r="AV1632" s="117"/>
      <c r="AW1632" s="117"/>
      <c r="AX1632" s="117"/>
      <c r="AY1632" s="117"/>
      <c r="AZ1632" s="117"/>
      <c r="BA1632" s="117"/>
      <c r="BB1632" s="117"/>
      <c r="BC1632" s="117"/>
      <c r="BD1632" s="117"/>
      <c r="BE1632" s="117"/>
      <c r="BF1632" s="117"/>
      <c r="BG1632" s="117"/>
    </row>
    <row r="1633" spans="1:59">
      <c r="A1633" s="117"/>
      <c r="B1633" s="117"/>
      <c r="C1633" s="117"/>
      <c r="D1633" s="117"/>
      <c r="E1633" s="117"/>
      <c r="F1633" s="117"/>
      <c r="G1633" s="117"/>
      <c r="H1633" s="117"/>
      <c r="I1633" s="117"/>
      <c r="J1633" s="118"/>
      <c r="K1633" s="118"/>
      <c r="L1633" s="118"/>
      <c r="M1633" s="118"/>
      <c r="N1633" s="117"/>
      <c r="O1633" s="117"/>
      <c r="P1633" s="117"/>
      <c r="Q1633" s="117"/>
      <c r="R1633" s="117"/>
      <c r="S1633" s="117"/>
      <c r="T1633" s="117"/>
      <c r="U1633" s="117"/>
      <c r="V1633" s="117"/>
      <c r="W1633" s="117"/>
      <c r="X1633" s="117"/>
      <c r="Y1633" s="117"/>
      <c r="Z1633" s="117"/>
      <c r="AA1633" s="117"/>
      <c r="AB1633" s="117"/>
      <c r="AC1633" s="117"/>
      <c r="AD1633" s="117"/>
      <c r="AE1633" s="117"/>
      <c r="AF1633" s="117"/>
      <c r="AG1633" s="117"/>
      <c r="AH1633" s="117"/>
      <c r="AI1633" s="117"/>
      <c r="AJ1633" s="117"/>
      <c r="AK1633" s="117"/>
      <c r="AL1633" s="117"/>
      <c r="AM1633" s="117"/>
      <c r="AN1633" s="117"/>
      <c r="AO1633" s="117"/>
      <c r="AP1633" s="117"/>
      <c r="AQ1633" s="117"/>
      <c r="AR1633" s="117"/>
      <c r="AS1633" s="117"/>
      <c r="AT1633" s="117"/>
      <c r="AU1633" s="117"/>
      <c r="AV1633" s="117"/>
      <c r="AW1633" s="117"/>
      <c r="AX1633" s="117"/>
      <c r="AY1633" s="117"/>
      <c r="AZ1633" s="117"/>
      <c r="BA1633" s="117"/>
      <c r="BB1633" s="117"/>
      <c r="BC1633" s="117"/>
      <c r="BD1633" s="117"/>
      <c r="BE1633" s="117"/>
      <c r="BF1633" s="117"/>
      <c r="BG1633" s="117"/>
    </row>
    <row r="1634" spans="1:59">
      <c r="A1634" s="117"/>
      <c r="B1634" s="117"/>
      <c r="C1634" s="117"/>
      <c r="D1634" s="117"/>
      <c r="E1634" s="117"/>
      <c r="F1634" s="117"/>
      <c r="G1634" s="117"/>
      <c r="H1634" s="117"/>
      <c r="I1634" s="117"/>
      <c r="J1634" s="118"/>
      <c r="K1634" s="118"/>
      <c r="L1634" s="118"/>
      <c r="M1634" s="118"/>
      <c r="N1634" s="117"/>
      <c r="O1634" s="117"/>
      <c r="P1634" s="117"/>
      <c r="Q1634" s="117"/>
      <c r="R1634" s="117"/>
      <c r="S1634" s="117"/>
      <c r="T1634" s="117"/>
      <c r="U1634" s="117"/>
      <c r="V1634" s="117"/>
      <c r="W1634" s="117"/>
      <c r="X1634" s="117"/>
      <c r="Y1634" s="117"/>
      <c r="Z1634" s="117"/>
      <c r="AA1634" s="117"/>
      <c r="AB1634" s="117"/>
      <c r="AC1634" s="117"/>
      <c r="AD1634" s="117"/>
      <c r="AE1634" s="117"/>
      <c r="AF1634" s="117"/>
      <c r="AG1634" s="117"/>
      <c r="AH1634" s="117"/>
      <c r="AI1634" s="117"/>
      <c r="AJ1634" s="117"/>
      <c r="AK1634" s="117"/>
      <c r="AL1634" s="117"/>
      <c r="AM1634" s="117"/>
      <c r="AN1634" s="117"/>
      <c r="AO1634" s="117"/>
      <c r="AP1634" s="117"/>
      <c r="AQ1634" s="117"/>
      <c r="AR1634" s="117"/>
      <c r="AS1634" s="117"/>
      <c r="AT1634" s="117"/>
      <c r="AU1634" s="117"/>
      <c r="AV1634" s="117"/>
      <c r="AW1634" s="117"/>
      <c r="AX1634" s="117"/>
      <c r="AY1634" s="117"/>
      <c r="AZ1634" s="117"/>
      <c r="BA1634" s="117"/>
      <c r="BB1634" s="117"/>
      <c r="BC1634" s="117"/>
      <c r="BD1634" s="117"/>
      <c r="BE1634" s="117"/>
      <c r="BF1634" s="117"/>
      <c r="BG1634" s="117"/>
    </row>
    <row r="1635" spans="1:59">
      <c r="A1635" s="117"/>
      <c r="B1635" s="117"/>
      <c r="C1635" s="117"/>
      <c r="D1635" s="117"/>
      <c r="E1635" s="117"/>
      <c r="F1635" s="117"/>
      <c r="G1635" s="117"/>
      <c r="H1635" s="117"/>
      <c r="I1635" s="117"/>
      <c r="J1635" s="118"/>
      <c r="K1635" s="118"/>
      <c r="L1635" s="118"/>
      <c r="M1635" s="118"/>
      <c r="N1635" s="117"/>
      <c r="O1635" s="117"/>
      <c r="P1635" s="117"/>
      <c r="Q1635" s="117"/>
      <c r="R1635" s="117"/>
      <c r="S1635" s="117"/>
      <c r="T1635" s="117"/>
      <c r="U1635" s="117"/>
      <c r="V1635" s="117"/>
      <c r="W1635" s="117"/>
      <c r="X1635" s="117"/>
      <c r="Y1635" s="117"/>
      <c r="Z1635" s="117"/>
      <c r="AA1635" s="117"/>
      <c r="AB1635" s="117"/>
      <c r="AC1635" s="117"/>
      <c r="AD1635" s="117"/>
      <c r="AE1635" s="117"/>
      <c r="AF1635" s="117"/>
      <c r="AG1635" s="117"/>
      <c r="AH1635" s="117"/>
      <c r="AI1635" s="117"/>
      <c r="AJ1635" s="117"/>
      <c r="AK1635" s="117"/>
      <c r="AL1635" s="117"/>
      <c r="AM1635" s="117"/>
      <c r="AN1635" s="117"/>
      <c r="AO1635" s="117"/>
      <c r="AP1635" s="117"/>
      <c r="AQ1635" s="117"/>
      <c r="AR1635" s="117"/>
      <c r="AS1635" s="117"/>
      <c r="AT1635" s="117"/>
      <c r="AU1635" s="117"/>
      <c r="AV1635" s="117"/>
      <c r="AW1635" s="117"/>
      <c r="AX1635" s="117"/>
      <c r="AY1635" s="117"/>
      <c r="AZ1635" s="117"/>
      <c r="BA1635" s="117"/>
      <c r="BB1635" s="117"/>
      <c r="BC1635" s="117"/>
      <c r="BD1635" s="117"/>
      <c r="BE1635" s="117"/>
      <c r="BF1635" s="117"/>
      <c r="BG1635" s="117"/>
    </row>
    <row r="1636" spans="1:59">
      <c r="A1636" s="117"/>
      <c r="B1636" s="117"/>
      <c r="C1636" s="117"/>
      <c r="D1636" s="117"/>
      <c r="E1636" s="117"/>
      <c r="F1636" s="117"/>
      <c r="G1636" s="117"/>
      <c r="H1636" s="117"/>
      <c r="I1636" s="117"/>
      <c r="J1636" s="118"/>
      <c r="K1636" s="118"/>
      <c r="L1636" s="118"/>
      <c r="M1636" s="118"/>
      <c r="N1636" s="117"/>
      <c r="O1636" s="117"/>
      <c r="P1636" s="117"/>
      <c r="Q1636" s="117"/>
      <c r="R1636" s="117"/>
      <c r="S1636" s="117"/>
      <c r="T1636" s="117"/>
      <c r="U1636" s="117"/>
      <c r="V1636" s="117"/>
      <c r="W1636" s="117"/>
      <c r="X1636" s="117"/>
      <c r="Y1636" s="117"/>
      <c r="Z1636" s="117"/>
      <c r="AA1636" s="117"/>
      <c r="AB1636" s="117"/>
      <c r="AC1636" s="117"/>
      <c r="AD1636" s="117"/>
      <c r="AE1636" s="117"/>
      <c r="AF1636" s="117"/>
      <c r="AG1636" s="117"/>
      <c r="AH1636" s="117"/>
      <c r="AI1636" s="117"/>
      <c r="AJ1636" s="117"/>
      <c r="AK1636" s="117"/>
      <c r="AL1636" s="117"/>
      <c r="AM1636" s="117"/>
      <c r="AN1636" s="117"/>
      <c r="AO1636" s="117"/>
      <c r="AP1636" s="117"/>
      <c r="AQ1636" s="117"/>
      <c r="AR1636" s="117"/>
      <c r="AS1636" s="117"/>
      <c r="AT1636" s="117"/>
      <c r="AU1636" s="117"/>
      <c r="AV1636" s="117"/>
      <c r="AW1636" s="117"/>
      <c r="AX1636" s="117"/>
      <c r="AY1636" s="117"/>
      <c r="AZ1636" s="117"/>
      <c r="BA1636" s="117"/>
      <c r="BB1636" s="117"/>
      <c r="BC1636" s="117"/>
      <c r="BD1636" s="117"/>
      <c r="BE1636" s="117"/>
      <c r="BF1636" s="117"/>
      <c r="BG1636" s="117"/>
    </row>
    <row r="1637" spans="1:59">
      <c r="A1637" s="117"/>
      <c r="B1637" s="117"/>
      <c r="C1637" s="117"/>
      <c r="D1637" s="117"/>
      <c r="E1637" s="117"/>
      <c r="F1637" s="117"/>
      <c r="G1637" s="117"/>
      <c r="H1637" s="117"/>
      <c r="I1637" s="117"/>
      <c r="J1637" s="118"/>
      <c r="K1637" s="118"/>
      <c r="L1637" s="118"/>
      <c r="M1637" s="118"/>
      <c r="N1637" s="117"/>
      <c r="O1637" s="117"/>
      <c r="P1637" s="117"/>
      <c r="Q1637" s="117"/>
      <c r="R1637" s="117"/>
      <c r="S1637" s="117"/>
      <c r="T1637" s="117"/>
      <c r="U1637" s="117"/>
      <c r="V1637" s="117"/>
      <c r="W1637" s="117"/>
      <c r="X1637" s="117"/>
      <c r="Y1637" s="117"/>
      <c r="Z1637" s="117"/>
      <c r="AA1637" s="117"/>
      <c r="AB1637" s="117"/>
      <c r="AC1637" s="117"/>
      <c r="AD1637" s="117"/>
      <c r="AE1637" s="117"/>
      <c r="AF1637" s="117"/>
      <c r="AG1637" s="117"/>
      <c r="AH1637" s="117"/>
      <c r="AI1637" s="117"/>
      <c r="AJ1637" s="117"/>
      <c r="AK1637" s="117"/>
      <c r="AL1637" s="117"/>
      <c r="AM1637" s="117"/>
      <c r="AN1637" s="117"/>
      <c r="AO1637" s="117"/>
      <c r="AP1637" s="117"/>
      <c r="AQ1637" s="117"/>
      <c r="AR1637" s="117"/>
      <c r="AS1637" s="117"/>
      <c r="AT1637" s="117"/>
      <c r="AU1637" s="117"/>
      <c r="AV1637" s="117"/>
      <c r="AW1637" s="117"/>
      <c r="AX1637" s="117"/>
      <c r="AY1637" s="117"/>
      <c r="AZ1637" s="117"/>
      <c r="BA1637" s="117"/>
      <c r="BB1637" s="117"/>
      <c r="BC1637" s="117"/>
      <c r="BD1637" s="117"/>
      <c r="BE1637" s="117"/>
      <c r="BF1637" s="117"/>
      <c r="BG1637" s="117"/>
    </row>
    <row r="1638" spans="1:59">
      <c r="A1638" s="117"/>
      <c r="B1638" s="117"/>
      <c r="C1638" s="117"/>
      <c r="D1638" s="117"/>
      <c r="E1638" s="117"/>
      <c r="F1638" s="117"/>
      <c r="G1638" s="117"/>
      <c r="H1638" s="117"/>
      <c r="I1638" s="117"/>
      <c r="J1638" s="118"/>
      <c r="K1638" s="118"/>
      <c r="L1638" s="118"/>
      <c r="M1638" s="118"/>
      <c r="N1638" s="117"/>
      <c r="O1638" s="117"/>
      <c r="P1638" s="117"/>
      <c r="Q1638" s="117"/>
      <c r="R1638" s="117"/>
      <c r="S1638" s="117"/>
      <c r="T1638" s="117"/>
      <c r="U1638" s="117"/>
      <c r="V1638" s="117"/>
      <c r="W1638" s="117"/>
      <c r="X1638" s="117"/>
      <c r="Y1638" s="117"/>
      <c r="Z1638" s="117"/>
      <c r="AA1638" s="117"/>
      <c r="AB1638" s="117"/>
      <c r="AC1638" s="117"/>
      <c r="AD1638" s="117"/>
      <c r="AE1638" s="117"/>
      <c r="AF1638" s="117"/>
      <c r="AG1638" s="117"/>
      <c r="AH1638" s="117"/>
      <c r="AI1638" s="117"/>
      <c r="AJ1638" s="117"/>
      <c r="AK1638" s="117"/>
      <c r="AL1638" s="117"/>
      <c r="AM1638" s="117"/>
      <c r="AN1638" s="117"/>
      <c r="AO1638" s="117"/>
      <c r="AP1638" s="117"/>
      <c r="AQ1638" s="117"/>
      <c r="AR1638" s="117"/>
      <c r="AS1638" s="117"/>
      <c r="AT1638" s="117"/>
      <c r="AU1638" s="117"/>
      <c r="AV1638" s="117"/>
      <c r="AW1638" s="117"/>
      <c r="AX1638" s="117"/>
      <c r="AY1638" s="117"/>
      <c r="AZ1638" s="117"/>
      <c r="BA1638" s="117"/>
      <c r="BB1638" s="117"/>
      <c r="BC1638" s="117"/>
      <c r="BD1638" s="117"/>
      <c r="BE1638" s="117"/>
      <c r="BF1638" s="117"/>
      <c r="BG1638" s="117"/>
    </row>
    <row r="1639" spans="1:59">
      <c r="A1639" s="117"/>
      <c r="B1639" s="117"/>
      <c r="C1639" s="117"/>
      <c r="D1639" s="117"/>
      <c r="E1639" s="117"/>
      <c r="F1639" s="117"/>
      <c r="G1639" s="117"/>
      <c r="H1639" s="117"/>
      <c r="I1639" s="117"/>
      <c r="J1639" s="118"/>
      <c r="K1639" s="118"/>
      <c r="L1639" s="118"/>
      <c r="M1639" s="118"/>
      <c r="N1639" s="117"/>
      <c r="O1639" s="117"/>
      <c r="P1639" s="117"/>
      <c r="Q1639" s="117"/>
      <c r="R1639" s="117"/>
      <c r="S1639" s="117"/>
      <c r="T1639" s="117"/>
      <c r="U1639" s="117"/>
      <c r="V1639" s="117"/>
      <c r="W1639" s="117"/>
      <c r="X1639" s="117"/>
      <c r="Y1639" s="117"/>
      <c r="Z1639" s="117"/>
      <c r="AA1639" s="117"/>
      <c r="AB1639" s="117"/>
      <c r="AC1639" s="117"/>
      <c r="AD1639" s="117"/>
      <c r="AE1639" s="117"/>
      <c r="AF1639" s="117"/>
      <c r="AG1639" s="117"/>
      <c r="AH1639" s="117"/>
      <c r="AI1639" s="117"/>
      <c r="AJ1639" s="117"/>
      <c r="AK1639" s="117"/>
      <c r="AL1639" s="117"/>
      <c r="AM1639" s="117"/>
      <c r="AN1639" s="117"/>
      <c r="AO1639" s="117"/>
      <c r="AP1639" s="117"/>
      <c r="AQ1639" s="117"/>
      <c r="AR1639" s="117"/>
      <c r="AS1639" s="117"/>
      <c r="AT1639" s="117"/>
      <c r="AU1639" s="117"/>
      <c r="AV1639" s="117"/>
      <c r="AW1639" s="117"/>
      <c r="AX1639" s="117"/>
      <c r="AY1639" s="117"/>
      <c r="AZ1639" s="117"/>
      <c r="BA1639" s="117"/>
      <c r="BB1639" s="117"/>
      <c r="BC1639" s="117"/>
      <c r="BD1639" s="117"/>
      <c r="BE1639" s="117"/>
      <c r="BF1639" s="117"/>
      <c r="BG1639" s="117"/>
    </row>
    <row r="1640" spans="1:59">
      <c r="A1640" s="117"/>
      <c r="B1640" s="117"/>
      <c r="C1640" s="117"/>
      <c r="D1640" s="117"/>
      <c r="E1640" s="117"/>
      <c r="F1640" s="117"/>
      <c r="G1640" s="117"/>
      <c r="H1640" s="117"/>
      <c r="I1640" s="117"/>
      <c r="J1640" s="118"/>
      <c r="K1640" s="118"/>
      <c r="L1640" s="118"/>
      <c r="M1640" s="118"/>
      <c r="N1640" s="117"/>
      <c r="O1640" s="117"/>
      <c r="P1640" s="117"/>
      <c r="Q1640" s="117"/>
      <c r="R1640" s="117"/>
      <c r="S1640" s="117"/>
      <c r="T1640" s="117"/>
      <c r="U1640" s="117"/>
      <c r="V1640" s="117"/>
      <c r="W1640" s="117"/>
      <c r="X1640" s="117"/>
      <c r="Y1640" s="117"/>
      <c r="Z1640" s="117"/>
      <c r="AA1640" s="117"/>
      <c r="AB1640" s="117"/>
      <c r="AC1640" s="117"/>
      <c r="AD1640" s="117"/>
      <c r="AE1640" s="117"/>
      <c r="AF1640" s="117"/>
      <c r="AG1640" s="117"/>
      <c r="AH1640" s="117"/>
      <c r="AI1640" s="117"/>
      <c r="AJ1640" s="117"/>
      <c r="AK1640" s="117"/>
      <c r="AL1640" s="117"/>
      <c r="AM1640" s="117"/>
      <c r="AN1640" s="117"/>
      <c r="AO1640" s="117"/>
      <c r="AP1640" s="117"/>
      <c r="AQ1640" s="117"/>
      <c r="AR1640" s="117"/>
      <c r="AS1640" s="117"/>
      <c r="AT1640" s="117"/>
      <c r="AU1640" s="117"/>
      <c r="AV1640" s="117"/>
      <c r="AW1640" s="117"/>
      <c r="AX1640" s="117"/>
      <c r="AY1640" s="117"/>
      <c r="AZ1640" s="117"/>
      <c r="BA1640" s="117"/>
      <c r="BB1640" s="117"/>
      <c r="BC1640" s="117"/>
      <c r="BD1640" s="117"/>
      <c r="BE1640" s="117"/>
      <c r="BF1640" s="117"/>
      <c r="BG1640" s="117"/>
    </row>
    <row r="1641" spans="1:59">
      <c r="A1641" s="117"/>
      <c r="B1641" s="117"/>
      <c r="C1641" s="117"/>
      <c r="D1641" s="117"/>
      <c r="E1641" s="117"/>
      <c r="F1641" s="117"/>
      <c r="G1641" s="117"/>
      <c r="H1641" s="117"/>
      <c r="I1641" s="117"/>
      <c r="J1641" s="118"/>
      <c r="K1641" s="118"/>
      <c r="L1641" s="118"/>
      <c r="M1641" s="118"/>
      <c r="N1641" s="117"/>
      <c r="O1641" s="117"/>
      <c r="P1641" s="117"/>
      <c r="Q1641" s="117"/>
      <c r="R1641" s="117"/>
      <c r="S1641" s="117"/>
      <c r="T1641" s="117"/>
      <c r="U1641" s="117"/>
      <c r="V1641" s="117"/>
      <c r="W1641" s="117"/>
      <c r="X1641" s="117"/>
      <c r="Y1641" s="117"/>
      <c r="Z1641" s="117"/>
      <c r="AA1641" s="117"/>
      <c r="AB1641" s="117"/>
      <c r="AC1641" s="117"/>
      <c r="AD1641" s="117"/>
      <c r="AE1641" s="117"/>
      <c r="AF1641" s="117"/>
      <c r="AG1641" s="117"/>
      <c r="AH1641" s="117"/>
      <c r="AI1641" s="117"/>
      <c r="AJ1641" s="117"/>
      <c r="AK1641" s="117"/>
      <c r="AL1641" s="117"/>
      <c r="AM1641" s="117"/>
      <c r="AN1641" s="117"/>
      <c r="AO1641" s="117"/>
      <c r="AP1641" s="117"/>
      <c r="AQ1641" s="117"/>
      <c r="AR1641" s="117"/>
      <c r="AS1641" s="117"/>
      <c r="AT1641" s="117"/>
      <c r="AU1641" s="117"/>
      <c r="AV1641" s="117"/>
      <c r="AW1641" s="117"/>
      <c r="AX1641" s="117"/>
      <c r="AY1641" s="117"/>
      <c r="AZ1641" s="117"/>
      <c r="BA1641" s="117"/>
      <c r="BB1641" s="117"/>
      <c r="BC1641" s="117"/>
      <c r="BD1641" s="117"/>
      <c r="BE1641" s="117"/>
      <c r="BF1641" s="117"/>
      <c r="BG1641" s="117"/>
    </row>
    <row r="1642" spans="1:59">
      <c r="A1642" s="117"/>
      <c r="B1642" s="117"/>
      <c r="C1642" s="117"/>
      <c r="D1642" s="117"/>
      <c r="E1642" s="117"/>
      <c r="F1642" s="117"/>
      <c r="G1642" s="117"/>
      <c r="H1642" s="117"/>
      <c r="I1642" s="117"/>
      <c r="J1642" s="118"/>
      <c r="K1642" s="118"/>
      <c r="L1642" s="118"/>
      <c r="M1642" s="118"/>
      <c r="N1642" s="117"/>
      <c r="O1642" s="117"/>
      <c r="P1642" s="117"/>
      <c r="Q1642" s="117"/>
      <c r="R1642" s="117"/>
      <c r="S1642" s="117"/>
      <c r="T1642" s="117"/>
      <c r="U1642" s="117"/>
      <c r="V1642" s="117"/>
      <c r="W1642" s="117"/>
      <c r="X1642" s="117"/>
      <c r="Y1642" s="117"/>
      <c r="Z1642" s="117"/>
      <c r="AA1642" s="117"/>
      <c r="AB1642" s="117"/>
      <c r="AC1642" s="117"/>
      <c r="AD1642" s="117"/>
      <c r="AE1642" s="117"/>
      <c r="AF1642" s="117"/>
      <c r="AG1642" s="117"/>
      <c r="AH1642" s="117"/>
      <c r="AI1642" s="117"/>
      <c r="AJ1642" s="117"/>
      <c r="AK1642" s="117"/>
      <c r="AL1642" s="117"/>
      <c r="AM1642" s="117"/>
      <c r="AN1642" s="117"/>
      <c r="AO1642" s="117"/>
      <c r="AP1642" s="117"/>
      <c r="AQ1642" s="117"/>
      <c r="AR1642" s="117"/>
      <c r="AS1642" s="117"/>
      <c r="AT1642" s="117"/>
      <c r="AU1642" s="117"/>
      <c r="AV1642" s="117"/>
      <c r="AW1642" s="117"/>
      <c r="AX1642" s="117"/>
      <c r="AY1642" s="117"/>
      <c r="AZ1642" s="117"/>
      <c r="BA1642" s="117"/>
      <c r="BB1642" s="117"/>
      <c r="BC1642" s="117"/>
      <c r="BD1642" s="117"/>
      <c r="BE1642" s="117"/>
      <c r="BF1642" s="117"/>
      <c r="BG1642" s="117"/>
    </row>
    <row r="1643" spans="1:59">
      <c r="A1643" s="117"/>
      <c r="B1643" s="117"/>
      <c r="C1643" s="117"/>
      <c r="D1643" s="117"/>
      <c r="E1643" s="117"/>
      <c r="F1643" s="117"/>
      <c r="G1643" s="117"/>
      <c r="H1643" s="117"/>
      <c r="I1643" s="117"/>
      <c r="J1643" s="118"/>
      <c r="K1643" s="118"/>
      <c r="L1643" s="118"/>
      <c r="M1643" s="118"/>
      <c r="N1643" s="117"/>
      <c r="O1643" s="117"/>
      <c r="P1643" s="117"/>
      <c r="Q1643" s="117"/>
      <c r="R1643" s="117"/>
      <c r="S1643" s="117"/>
      <c r="T1643" s="117"/>
      <c r="U1643" s="117"/>
      <c r="V1643" s="117"/>
      <c r="W1643" s="117"/>
      <c r="X1643" s="117"/>
      <c r="Y1643" s="117"/>
      <c r="Z1643" s="117"/>
      <c r="AA1643" s="117"/>
      <c r="AB1643" s="117"/>
      <c r="AC1643" s="117"/>
      <c r="AD1643" s="117"/>
      <c r="AE1643" s="117"/>
      <c r="AF1643" s="117"/>
      <c r="AG1643" s="117"/>
      <c r="AH1643" s="117"/>
      <c r="AI1643" s="117"/>
      <c r="AJ1643" s="117"/>
      <c r="AK1643" s="117"/>
      <c r="AL1643" s="117"/>
      <c r="AM1643" s="117"/>
      <c r="AN1643" s="117"/>
      <c r="AO1643" s="117"/>
      <c r="AP1643" s="117"/>
      <c r="AQ1643" s="117"/>
      <c r="AR1643" s="117"/>
      <c r="AS1643" s="117"/>
      <c r="AT1643" s="117"/>
      <c r="AU1643" s="117"/>
      <c r="AV1643" s="117"/>
      <c r="AW1643" s="117"/>
      <c r="AX1643" s="117"/>
      <c r="AY1643" s="117"/>
      <c r="AZ1643" s="117"/>
      <c r="BA1643" s="117"/>
      <c r="BB1643" s="117"/>
      <c r="BC1643" s="117"/>
      <c r="BD1643" s="117"/>
      <c r="BE1643" s="117"/>
      <c r="BF1643" s="117"/>
      <c r="BG1643" s="117"/>
    </row>
    <row r="1644" spans="1:59">
      <c r="A1644" s="117"/>
      <c r="B1644" s="117"/>
      <c r="C1644" s="117"/>
      <c r="D1644" s="117"/>
      <c r="E1644" s="117"/>
      <c r="F1644" s="117"/>
      <c r="G1644" s="117"/>
      <c r="H1644" s="117"/>
      <c r="I1644" s="117"/>
      <c r="J1644" s="118"/>
      <c r="K1644" s="118"/>
      <c r="L1644" s="118"/>
      <c r="M1644" s="118"/>
      <c r="N1644" s="117"/>
      <c r="O1644" s="117"/>
      <c r="P1644" s="117"/>
      <c r="Q1644" s="117"/>
      <c r="R1644" s="117"/>
      <c r="S1644" s="117"/>
      <c r="T1644" s="117"/>
      <c r="U1644" s="117"/>
      <c r="V1644" s="117"/>
      <c r="W1644" s="117"/>
      <c r="X1644" s="117"/>
      <c r="Y1644" s="117"/>
      <c r="Z1644" s="117"/>
      <c r="AA1644" s="117"/>
      <c r="AB1644" s="117"/>
      <c r="AC1644" s="117"/>
      <c r="AD1644" s="117"/>
      <c r="AE1644" s="117"/>
      <c r="AF1644" s="117"/>
      <c r="AG1644" s="117"/>
      <c r="AH1644" s="117"/>
      <c r="AI1644" s="117"/>
      <c r="AJ1644" s="117"/>
      <c r="AK1644" s="117"/>
      <c r="AL1644" s="117"/>
      <c r="AM1644" s="117"/>
      <c r="AN1644" s="117"/>
      <c r="AO1644" s="117"/>
      <c r="AP1644" s="117"/>
      <c r="AQ1644" s="117"/>
      <c r="AR1644" s="117"/>
      <c r="AS1644" s="117"/>
      <c r="AT1644" s="117"/>
      <c r="AU1644" s="117"/>
      <c r="AV1644" s="117"/>
      <c r="AW1644" s="117"/>
      <c r="AX1644" s="117"/>
      <c r="AY1644" s="117"/>
      <c r="AZ1644" s="117"/>
      <c r="BA1644" s="117"/>
      <c r="BB1644" s="117"/>
      <c r="BC1644" s="117"/>
      <c r="BD1644" s="117"/>
      <c r="BE1644" s="117"/>
      <c r="BF1644" s="117"/>
      <c r="BG1644" s="117"/>
    </row>
    <row r="1645" spans="1:59">
      <c r="A1645" s="117"/>
      <c r="B1645" s="117"/>
      <c r="C1645" s="117"/>
      <c r="D1645" s="117"/>
      <c r="E1645" s="117"/>
      <c r="F1645" s="117"/>
      <c r="G1645" s="117"/>
      <c r="H1645" s="117"/>
      <c r="I1645" s="117"/>
      <c r="J1645" s="118"/>
      <c r="K1645" s="118"/>
      <c r="L1645" s="118"/>
      <c r="M1645" s="118"/>
      <c r="N1645" s="117"/>
      <c r="O1645" s="117"/>
      <c r="P1645" s="117"/>
      <c r="Q1645" s="117"/>
      <c r="R1645" s="117"/>
      <c r="S1645" s="117"/>
      <c r="T1645" s="117"/>
      <c r="U1645" s="117"/>
      <c r="V1645" s="117"/>
      <c r="W1645" s="117"/>
      <c r="X1645" s="117"/>
      <c r="Y1645" s="117"/>
      <c r="Z1645" s="117"/>
      <c r="AA1645" s="117"/>
      <c r="AB1645" s="117"/>
      <c r="AC1645" s="117"/>
      <c r="AD1645" s="117"/>
      <c r="AE1645" s="117"/>
      <c r="AF1645" s="117"/>
      <c r="AG1645" s="117"/>
      <c r="AH1645" s="117"/>
      <c r="AI1645" s="117"/>
      <c r="AJ1645" s="117"/>
      <c r="AK1645" s="117"/>
      <c r="AL1645" s="117"/>
      <c r="AM1645" s="117"/>
      <c r="AN1645" s="117"/>
      <c r="AO1645" s="117"/>
      <c r="AP1645" s="117"/>
      <c r="AQ1645" s="117"/>
      <c r="AR1645" s="117"/>
      <c r="AS1645" s="117"/>
      <c r="AT1645" s="117"/>
      <c r="AU1645" s="117"/>
      <c r="AV1645" s="117"/>
      <c r="AW1645" s="117"/>
      <c r="AX1645" s="117"/>
      <c r="AY1645" s="117"/>
      <c r="AZ1645" s="117"/>
      <c r="BA1645" s="117"/>
      <c r="BB1645" s="117"/>
      <c r="BC1645" s="117"/>
      <c r="BD1645" s="117"/>
      <c r="BE1645" s="117"/>
      <c r="BF1645" s="117"/>
      <c r="BG1645" s="117"/>
    </row>
    <row r="1646" spans="1:59">
      <c r="A1646" s="117"/>
      <c r="B1646" s="117"/>
      <c r="C1646" s="117"/>
      <c r="D1646" s="117"/>
      <c r="E1646" s="117"/>
      <c r="F1646" s="117"/>
      <c r="G1646" s="117"/>
      <c r="H1646" s="117"/>
      <c r="I1646" s="117"/>
      <c r="J1646" s="118"/>
      <c r="K1646" s="118"/>
      <c r="L1646" s="118"/>
      <c r="M1646" s="118"/>
      <c r="N1646" s="117"/>
      <c r="O1646" s="117"/>
      <c r="P1646" s="117"/>
      <c r="Q1646" s="117"/>
      <c r="R1646" s="117"/>
      <c r="S1646" s="117"/>
      <c r="T1646" s="117"/>
      <c r="U1646" s="117"/>
      <c r="V1646" s="117"/>
      <c r="W1646" s="117"/>
      <c r="X1646" s="117"/>
      <c r="Y1646" s="117"/>
      <c r="Z1646" s="117"/>
      <c r="AA1646" s="117"/>
      <c r="AB1646" s="117"/>
      <c r="AC1646" s="117"/>
      <c r="AD1646" s="117"/>
      <c r="AE1646" s="117"/>
      <c r="AF1646" s="117"/>
      <c r="AG1646" s="117"/>
      <c r="AH1646" s="117"/>
      <c r="AI1646" s="117"/>
      <c r="AJ1646" s="117"/>
      <c r="AK1646" s="117"/>
      <c r="AL1646" s="117"/>
      <c r="AM1646" s="117"/>
      <c r="AN1646" s="117"/>
      <c r="AO1646" s="117"/>
      <c r="AP1646" s="117"/>
      <c r="AQ1646" s="117"/>
      <c r="AR1646" s="117"/>
      <c r="AS1646" s="117"/>
      <c r="AT1646" s="117"/>
      <c r="AU1646" s="117"/>
      <c r="AV1646" s="117"/>
      <c r="AW1646" s="117"/>
      <c r="AX1646" s="117"/>
      <c r="AY1646" s="117"/>
      <c r="AZ1646" s="117"/>
      <c r="BA1646" s="117"/>
      <c r="BB1646" s="117"/>
      <c r="BC1646" s="117"/>
      <c r="BD1646" s="117"/>
      <c r="BE1646" s="117"/>
      <c r="BF1646" s="117"/>
      <c r="BG1646" s="117"/>
    </row>
    <row r="1647" spans="1:59">
      <c r="A1647" s="117"/>
      <c r="B1647" s="117"/>
      <c r="C1647" s="117"/>
      <c r="D1647" s="117"/>
      <c r="E1647" s="117"/>
      <c r="F1647" s="117"/>
      <c r="G1647" s="117"/>
      <c r="H1647" s="117"/>
      <c r="I1647" s="117"/>
      <c r="J1647" s="118"/>
      <c r="K1647" s="118"/>
      <c r="L1647" s="118"/>
      <c r="M1647" s="118"/>
      <c r="N1647" s="117"/>
      <c r="O1647" s="117"/>
      <c r="P1647" s="117"/>
      <c r="Q1647" s="117"/>
      <c r="R1647" s="117"/>
      <c r="S1647" s="117"/>
      <c r="T1647" s="117"/>
      <c r="U1647" s="117"/>
      <c r="V1647" s="117"/>
      <c r="W1647" s="117"/>
      <c r="X1647" s="117"/>
      <c r="Y1647" s="117"/>
      <c r="Z1647" s="117"/>
      <c r="AA1647" s="117"/>
      <c r="AB1647" s="117"/>
      <c r="AC1647" s="117"/>
      <c r="AD1647" s="117"/>
      <c r="AE1647" s="117"/>
      <c r="AF1647" s="117"/>
      <c r="AG1647" s="117"/>
      <c r="AH1647" s="117"/>
      <c r="AI1647" s="117"/>
      <c r="AJ1647" s="117"/>
      <c r="AK1647" s="117"/>
      <c r="AL1647" s="117"/>
      <c r="AM1647" s="117"/>
      <c r="AN1647" s="117"/>
      <c r="AO1647" s="117"/>
      <c r="AP1647" s="117"/>
      <c r="AQ1647" s="117"/>
      <c r="AR1647" s="117"/>
      <c r="AS1647" s="117"/>
      <c r="AT1647" s="117"/>
      <c r="AU1647" s="117"/>
      <c r="AV1647" s="117"/>
      <c r="AW1647" s="117"/>
      <c r="AX1647" s="117"/>
      <c r="AY1647" s="117"/>
      <c r="AZ1647" s="117"/>
      <c r="BA1647" s="117"/>
      <c r="BB1647" s="117"/>
      <c r="BC1647" s="117"/>
      <c r="BD1647" s="117"/>
      <c r="BE1647" s="117"/>
      <c r="BF1647" s="117"/>
      <c r="BG1647" s="117"/>
    </row>
    <row r="1648" spans="1:59">
      <c r="A1648" s="117"/>
      <c r="B1648" s="117"/>
      <c r="C1648" s="117"/>
      <c r="D1648" s="117"/>
      <c r="E1648" s="117"/>
      <c r="F1648" s="117"/>
      <c r="G1648" s="117"/>
      <c r="H1648" s="117"/>
      <c r="I1648" s="117"/>
      <c r="J1648" s="118"/>
      <c r="K1648" s="118"/>
      <c r="L1648" s="118"/>
      <c r="M1648" s="118"/>
      <c r="N1648" s="117"/>
      <c r="O1648" s="117"/>
      <c r="P1648" s="117"/>
      <c r="Q1648" s="117"/>
      <c r="R1648" s="117"/>
      <c r="S1648" s="117"/>
      <c r="T1648" s="117"/>
      <c r="U1648" s="117"/>
      <c r="V1648" s="117"/>
      <c r="W1648" s="117"/>
      <c r="X1648" s="117"/>
      <c r="Y1648" s="117"/>
      <c r="Z1648" s="117"/>
      <c r="AA1648" s="117"/>
      <c r="AB1648" s="117"/>
      <c r="AC1648" s="117"/>
      <c r="AD1648" s="117"/>
      <c r="AE1648" s="117"/>
      <c r="AF1648" s="117"/>
      <c r="AG1648" s="117"/>
      <c r="AH1648" s="117"/>
      <c r="AI1648" s="117"/>
      <c r="AJ1648" s="117"/>
      <c r="AK1648" s="117"/>
      <c r="AL1648" s="117"/>
      <c r="AM1648" s="117"/>
      <c r="AN1648" s="117"/>
      <c r="AO1648" s="117"/>
      <c r="AP1648" s="117"/>
      <c r="AQ1648" s="117"/>
      <c r="AR1648" s="117"/>
      <c r="AS1648" s="117"/>
      <c r="AT1648" s="117"/>
      <c r="AU1648" s="117"/>
      <c r="AV1648" s="117"/>
      <c r="AW1648" s="117"/>
      <c r="AX1648" s="117"/>
      <c r="AY1648" s="117"/>
      <c r="AZ1648" s="117"/>
      <c r="BA1648" s="117"/>
      <c r="BB1648" s="117"/>
      <c r="BC1648" s="117"/>
      <c r="BD1648" s="117"/>
      <c r="BE1648" s="117"/>
      <c r="BF1648" s="117"/>
      <c r="BG1648" s="117"/>
    </row>
    <row r="1649" spans="1:59">
      <c r="A1649" s="117"/>
      <c r="B1649" s="117"/>
      <c r="C1649" s="117"/>
      <c r="D1649" s="117"/>
      <c r="E1649" s="117"/>
      <c r="F1649" s="117"/>
      <c r="G1649" s="117"/>
      <c r="H1649" s="117"/>
      <c r="I1649" s="117"/>
      <c r="J1649" s="118"/>
      <c r="K1649" s="118"/>
      <c r="L1649" s="118"/>
      <c r="M1649" s="118"/>
      <c r="N1649" s="117"/>
      <c r="O1649" s="117"/>
      <c r="P1649" s="117"/>
      <c r="Q1649" s="117"/>
      <c r="R1649" s="117"/>
      <c r="S1649" s="117"/>
      <c r="T1649" s="117"/>
      <c r="U1649" s="117"/>
      <c r="V1649" s="117"/>
      <c r="W1649" s="117"/>
      <c r="X1649" s="117"/>
      <c r="Y1649" s="117"/>
      <c r="Z1649" s="117"/>
      <c r="AA1649" s="117"/>
      <c r="AB1649" s="117"/>
      <c r="AC1649" s="117"/>
      <c r="AD1649" s="117"/>
      <c r="AE1649" s="117"/>
      <c r="AF1649" s="117"/>
      <c r="AG1649" s="117"/>
      <c r="AH1649" s="117"/>
      <c r="AI1649" s="117"/>
      <c r="AJ1649" s="117"/>
      <c r="AK1649" s="117"/>
      <c r="AL1649" s="117"/>
      <c r="AM1649" s="117"/>
      <c r="AN1649" s="117"/>
      <c r="AO1649" s="117"/>
      <c r="AP1649" s="117"/>
      <c r="AQ1649" s="117"/>
      <c r="AR1649" s="117"/>
      <c r="AS1649" s="117"/>
      <c r="AT1649" s="117"/>
      <c r="AU1649" s="117"/>
      <c r="AV1649" s="117"/>
      <c r="AW1649" s="117"/>
      <c r="AX1649" s="117"/>
      <c r="AY1649" s="117"/>
      <c r="AZ1649" s="117"/>
      <c r="BA1649" s="117"/>
      <c r="BB1649" s="117"/>
      <c r="BC1649" s="117"/>
      <c r="BD1649" s="117"/>
      <c r="BE1649" s="117"/>
      <c r="BF1649" s="117"/>
      <c r="BG1649" s="117"/>
    </row>
    <row r="1650" spans="1:59">
      <c r="A1650" s="117"/>
      <c r="B1650" s="117"/>
      <c r="C1650" s="117"/>
      <c r="D1650" s="117"/>
      <c r="E1650" s="117"/>
      <c r="F1650" s="117"/>
      <c r="G1650" s="117"/>
      <c r="H1650" s="117"/>
      <c r="I1650" s="117"/>
      <c r="J1650" s="118"/>
      <c r="K1650" s="118"/>
      <c r="L1650" s="118"/>
      <c r="M1650" s="118"/>
      <c r="N1650" s="117"/>
      <c r="O1650" s="117"/>
      <c r="P1650" s="117"/>
      <c r="Q1650" s="117"/>
      <c r="R1650" s="117"/>
      <c r="S1650" s="117"/>
      <c r="T1650" s="117"/>
      <c r="U1650" s="117"/>
      <c r="V1650" s="117"/>
      <c r="W1650" s="117"/>
      <c r="X1650" s="117"/>
      <c r="Y1650" s="117"/>
      <c r="Z1650" s="117"/>
      <c r="AA1650" s="117"/>
      <c r="AB1650" s="117"/>
      <c r="AC1650" s="117"/>
      <c r="AD1650" s="117"/>
      <c r="AE1650" s="117"/>
      <c r="AF1650" s="117"/>
      <c r="AG1650" s="117"/>
      <c r="AH1650" s="117"/>
      <c r="AI1650" s="117"/>
      <c r="AJ1650" s="117"/>
      <c r="AK1650" s="117"/>
      <c r="AL1650" s="117"/>
      <c r="AM1650" s="117"/>
      <c r="AN1650" s="117"/>
      <c r="AO1650" s="117"/>
      <c r="AP1650" s="117"/>
      <c r="AQ1650" s="117"/>
      <c r="AR1650" s="117"/>
      <c r="AS1650" s="117"/>
      <c r="AT1650" s="117"/>
      <c r="AU1650" s="117"/>
      <c r="AV1650" s="117"/>
      <c r="AW1650" s="117"/>
      <c r="AX1650" s="117"/>
      <c r="AY1650" s="117"/>
      <c r="AZ1650" s="117"/>
      <c r="BA1650" s="117"/>
      <c r="BB1650" s="117"/>
      <c r="BC1650" s="117"/>
      <c r="BD1650" s="117"/>
      <c r="BE1650" s="117"/>
      <c r="BF1650" s="117"/>
      <c r="BG1650" s="117"/>
    </row>
    <row r="1651" spans="1:59">
      <c r="A1651" s="117"/>
      <c r="B1651" s="117"/>
      <c r="C1651" s="117"/>
      <c r="D1651" s="117"/>
      <c r="E1651" s="117"/>
      <c r="F1651" s="117"/>
      <c r="G1651" s="117"/>
      <c r="H1651" s="117"/>
      <c r="I1651" s="117"/>
      <c r="J1651" s="118"/>
      <c r="K1651" s="118"/>
      <c r="L1651" s="118"/>
      <c r="M1651" s="118"/>
      <c r="N1651" s="117"/>
      <c r="O1651" s="117"/>
      <c r="P1651" s="117"/>
      <c r="Q1651" s="117"/>
      <c r="R1651" s="117"/>
      <c r="S1651" s="117"/>
      <c r="T1651" s="117"/>
      <c r="U1651" s="117"/>
      <c r="V1651" s="117"/>
      <c r="W1651" s="117"/>
      <c r="X1651" s="117"/>
      <c r="Y1651" s="117"/>
      <c r="Z1651" s="117"/>
      <c r="AA1651" s="117"/>
      <c r="AB1651" s="117"/>
      <c r="AC1651" s="117"/>
      <c r="AD1651" s="117"/>
      <c r="AE1651" s="117"/>
      <c r="AF1651" s="117"/>
      <c r="AG1651" s="117"/>
      <c r="AH1651" s="117"/>
      <c r="AI1651" s="117"/>
      <c r="AJ1651" s="117"/>
      <c r="AK1651" s="117"/>
      <c r="AL1651" s="117"/>
      <c r="AM1651" s="117"/>
      <c r="AN1651" s="117"/>
      <c r="AO1651" s="117"/>
      <c r="AP1651" s="117"/>
      <c r="AQ1651" s="117"/>
      <c r="AR1651" s="117"/>
      <c r="AS1651" s="117"/>
      <c r="AT1651" s="117"/>
      <c r="AU1651" s="117"/>
      <c r="AV1651" s="117"/>
      <c r="AW1651" s="117"/>
      <c r="AX1651" s="117"/>
      <c r="AY1651" s="117"/>
      <c r="AZ1651" s="117"/>
      <c r="BA1651" s="117"/>
      <c r="BB1651" s="117"/>
      <c r="BC1651" s="117"/>
      <c r="BD1651" s="117"/>
      <c r="BE1651" s="117"/>
      <c r="BF1651" s="117"/>
      <c r="BG1651" s="117"/>
    </row>
    <row r="1652" spans="1:59">
      <c r="A1652" s="117"/>
      <c r="B1652" s="117"/>
      <c r="C1652" s="117"/>
      <c r="D1652" s="117"/>
      <c r="E1652" s="117"/>
      <c r="F1652" s="117"/>
      <c r="G1652" s="117"/>
      <c r="H1652" s="117"/>
      <c r="I1652" s="117"/>
      <c r="J1652" s="118"/>
      <c r="K1652" s="118"/>
      <c r="L1652" s="118"/>
      <c r="M1652" s="118"/>
      <c r="N1652" s="117"/>
      <c r="O1652" s="117"/>
      <c r="P1652" s="117"/>
      <c r="Q1652" s="117"/>
      <c r="R1652" s="117"/>
      <c r="S1652" s="117"/>
      <c r="T1652" s="117"/>
      <c r="U1652" s="117"/>
      <c r="V1652" s="117"/>
      <c r="W1652" s="117"/>
      <c r="X1652" s="117"/>
      <c r="Y1652" s="117"/>
      <c r="Z1652" s="117"/>
      <c r="AA1652" s="117"/>
      <c r="AB1652" s="117"/>
      <c r="AC1652" s="117"/>
      <c r="AD1652" s="117"/>
      <c r="AE1652" s="117"/>
      <c r="AF1652" s="117"/>
      <c r="AG1652" s="117"/>
      <c r="AH1652" s="117"/>
      <c r="AI1652" s="117"/>
      <c r="AJ1652" s="117"/>
      <c r="AK1652" s="117"/>
      <c r="AL1652" s="117"/>
      <c r="AM1652" s="117"/>
      <c r="AN1652" s="117"/>
      <c r="AO1652" s="117"/>
      <c r="AP1652" s="117"/>
      <c r="AQ1652" s="117"/>
      <c r="AR1652" s="117"/>
      <c r="AS1652" s="117"/>
      <c r="AT1652" s="117"/>
      <c r="AU1652" s="117"/>
      <c r="AV1652" s="117"/>
      <c r="AW1652" s="117"/>
      <c r="AX1652" s="117"/>
      <c r="AY1652" s="117"/>
      <c r="AZ1652" s="117"/>
      <c r="BA1652" s="117"/>
      <c r="BB1652" s="117"/>
      <c r="BC1652" s="117"/>
      <c r="BD1652" s="117"/>
      <c r="BE1652" s="117"/>
      <c r="BF1652" s="117"/>
      <c r="BG1652" s="117"/>
    </row>
    <row r="1653" spans="1:59">
      <c r="A1653" s="117"/>
      <c r="B1653" s="117"/>
      <c r="C1653" s="117"/>
      <c r="D1653" s="117"/>
      <c r="E1653" s="117"/>
      <c r="F1653" s="117"/>
      <c r="G1653" s="117"/>
      <c r="H1653" s="117"/>
      <c r="I1653" s="117"/>
      <c r="J1653" s="118"/>
      <c r="K1653" s="118"/>
      <c r="L1653" s="118"/>
      <c r="M1653" s="118"/>
      <c r="N1653" s="117"/>
      <c r="O1653" s="117"/>
      <c r="P1653" s="117"/>
      <c r="Q1653" s="117"/>
      <c r="R1653" s="117"/>
      <c r="S1653" s="117"/>
      <c r="T1653" s="117"/>
      <c r="U1653" s="117"/>
      <c r="V1653" s="117"/>
      <c r="W1653" s="117"/>
      <c r="X1653" s="117"/>
      <c r="Y1653" s="117"/>
      <c r="Z1653" s="117"/>
      <c r="AA1653" s="117"/>
      <c r="AB1653" s="117"/>
      <c r="AC1653" s="117"/>
      <c r="AD1653" s="117"/>
      <c r="AE1653" s="117"/>
      <c r="AF1653" s="117"/>
      <c r="AG1653" s="117"/>
      <c r="AH1653" s="117"/>
      <c r="AI1653" s="117"/>
      <c r="AJ1653" s="117"/>
      <c r="AK1653" s="117"/>
      <c r="AL1653" s="117"/>
      <c r="AM1653" s="117"/>
      <c r="AN1653" s="117"/>
      <c r="AO1653" s="117"/>
      <c r="AP1653" s="117"/>
      <c r="AQ1653" s="117"/>
      <c r="AR1653" s="117"/>
      <c r="AS1653" s="117"/>
      <c r="AT1653" s="117"/>
      <c r="AU1653" s="117"/>
      <c r="AV1653" s="117"/>
      <c r="AW1653" s="117"/>
      <c r="AX1653" s="117"/>
      <c r="AY1653" s="117"/>
      <c r="AZ1653" s="117"/>
      <c r="BA1653" s="117"/>
      <c r="BB1653" s="117"/>
      <c r="BC1653" s="117"/>
      <c r="BD1653" s="117"/>
      <c r="BE1653" s="117"/>
      <c r="BF1653" s="117"/>
      <c r="BG1653" s="117"/>
    </row>
    <row r="1654" spans="1:59">
      <c r="A1654" s="117"/>
      <c r="B1654" s="117"/>
      <c r="C1654" s="117"/>
      <c r="D1654" s="117"/>
      <c r="E1654" s="117"/>
      <c r="F1654" s="117"/>
      <c r="G1654" s="117"/>
      <c r="H1654" s="117"/>
      <c r="I1654" s="117"/>
      <c r="J1654" s="118"/>
      <c r="K1654" s="118"/>
      <c r="L1654" s="118"/>
      <c r="M1654" s="118"/>
      <c r="N1654" s="117"/>
      <c r="O1654" s="117"/>
      <c r="P1654" s="117"/>
      <c r="Q1654" s="117"/>
      <c r="R1654" s="117"/>
      <c r="S1654" s="117"/>
      <c r="T1654" s="117"/>
      <c r="U1654" s="117"/>
      <c r="V1654" s="117"/>
      <c r="W1654" s="117"/>
      <c r="X1654" s="117"/>
      <c r="Y1654" s="117"/>
      <c r="Z1654" s="117"/>
      <c r="AA1654" s="117"/>
      <c r="AB1654" s="117"/>
      <c r="AC1654" s="117"/>
      <c r="AD1654" s="117"/>
      <c r="AE1654" s="117"/>
      <c r="AF1654" s="117"/>
      <c r="AG1654" s="117"/>
      <c r="AH1654" s="117"/>
      <c r="AI1654" s="117"/>
      <c r="AJ1654" s="117"/>
      <c r="AK1654" s="117"/>
      <c r="AL1654" s="117"/>
      <c r="AM1654" s="117"/>
      <c r="AN1654" s="117"/>
      <c r="AO1654" s="117"/>
      <c r="AP1654" s="117"/>
      <c r="AQ1654" s="117"/>
      <c r="AR1654" s="117"/>
      <c r="AS1654" s="117"/>
      <c r="AT1654" s="117"/>
      <c r="AU1654" s="117"/>
      <c r="AV1654" s="117"/>
      <c r="AW1654" s="117"/>
      <c r="AX1654" s="117"/>
      <c r="AY1654" s="117"/>
      <c r="AZ1654" s="117"/>
      <c r="BA1654" s="117"/>
      <c r="BB1654" s="117"/>
      <c r="BC1654" s="117"/>
      <c r="BD1654" s="117"/>
      <c r="BE1654" s="117"/>
      <c r="BF1654" s="117"/>
      <c r="BG1654" s="117"/>
    </row>
    <row r="1655" spans="1:59">
      <c r="A1655" s="117"/>
      <c r="B1655" s="117"/>
      <c r="C1655" s="117"/>
      <c r="D1655" s="117"/>
      <c r="E1655" s="117"/>
      <c r="F1655" s="117"/>
      <c r="G1655" s="117"/>
      <c r="H1655" s="117"/>
      <c r="I1655" s="117"/>
      <c r="J1655" s="118"/>
      <c r="K1655" s="118"/>
      <c r="L1655" s="118"/>
      <c r="M1655" s="118"/>
      <c r="N1655" s="117"/>
      <c r="O1655" s="117"/>
      <c r="P1655" s="117"/>
      <c r="Q1655" s="117"/>
      <c r="R1655" s="117"/>
      <c r="S1655" s="117"/>
      <c r="T1655" s="117"/>
      <c r="U1655" s="117"/>
      <c r="V1655" s="117"/>
      <c r="W1655" s="117"/>
      <c r="X1655" s="117"/>
      <c r="Y1655" s="117"/>
      <c r="Z1655" s="117"/>
      <c r="AA1655" s="117"/>
      <c r="AB1655" s="117"/>
      <c r="AC1655" s="117"/>
      <c r="AD1655" s="117"/>
      <c r="AE1655" s="117"/>
      <c r="AF1655" s="117"/>
      <c r="AG1655" s="117"/>
      <c r="AH1655" s="117"/>
      <c r="AI1655" s="117"/>
      <c r="AJ1655" s="117"/>
      <c r="AK1655" s="117"/>
      <c r="AL1655" s="117"/>
      <c r="AM1655" s="117"/>
      <c r="AN1655" s="117"/>
      <c r="AO1655" s="117"/>
      <c r="AP1655" s="117"/>
      <c r="AQ1655" s="117"/>
      <c r="AR1655" s="117"/>
      <c r="AS1655" s="117"/>
      <c r="AT1655" s="117"/>
      <c r="AU1655" s="117"/>
      <c r="AV1655" s="117"/>
      <c r="AW1655" s="117"/>
      <c r="AX1655" s="117"/>
      <c r="AY1655" s="117"/>
      <c r="AZ1655" s="117"/>
      <c r="BA1655" s="117"/>
      <c r="BB1655" s="117"/>
      <c r="BC1655" s="117"/>
      <c r="BD1655" s="117"/>
      <c r="BE1655" s="117"/>
      <c r="BF1655" s="117"/>
      <c r="BG1655" s="117"/>
    </row>
    <row r="1656" spans="1:59">
      <c r="A1656" s="117"/>
      <c r="B1656" s="117"/>
      <c r="C1656" s="117"/>
      <c r="D1656" s="117"/>
      <c r="E1656" s="117"/>
      <c r="F1656" s="117"/>
      <c r="G1656" s="117"/>
      <c r="H1656" s="117"/>
      <c r="I1656" s="117"/>
      <c r="J1656" s="118"/>
      <c r="K1656" s="118"/>
      <c r="L1656" s="118"/>
      <c r="M1656" s="118"/>
      <c r="N1656" s="117"/>
      <c r="O1656" s="117"/>
      <c r="P1656" s="117"/>
      <c r="Q1656" s="117"/>
      <c r="R1656" s="117"/>
      <c r="S1656" s="117"/>
      <c r="T1656" s="117"/>
      <c r="U1656" s="117"/>
      <c r="V1656" s="117"/>
      <c r="W1656" s="117"/>
      <c r="X1656" s="117"/>
      <c r="Y1656" s="117"/>
      <c r="Z1656" s="117"/>
      <c r="AA1656" s="117"/>
      <c r="AB1656" s="117"/>
      <c r="AC1656" s="117"/>
      <c r="AD1656" s="117"/>
      <c r="AE1656" s="117"/>
      <c r="AF1656" s="117"/>
      <c r="AG1656" s="117"/>
      <c r="AH1656" s="117"/>
      <c r="AI1656" s="117"/>
      <c r="AJ1656" s="117"/>
      <c r="AK1656" s="117"/>
      <c r="AL1656" s="117"/>
      <c r="AM1656" s="117"/>
      <c r="AN1656" s="117"/>
      <c r="AO1656" s="117"/>
      <c r="AP1656" s="117"/>
      <c r="AQ1656" s="117"/>
      <c r="AR1656" s="117"/>
      <c r="AS1656" s="117"/>
      <c r="AT1656" s="117"/>
      <c r="AU1656" s="117"/>
      <c r="AV1656" s="117"/>
      <c r="AW1656" s="117"/>
      <c r="AX1656" s="117"/>
      <c r="AY1656" s="117"/>
      <c r="AZ1656" s="117"/>
      <c r="BA1656" s="117"/>
      <c r="BB1656" s="117"/>
      <c r="BC1656" s="117"/>
      <c r="BD1656" s="117"/>
      <c r="BE1656" s="117"/>
      <c r="BF1656" s="117"/>
      <c r="BG1656" s="117"/>
    </row>
    <row r="1657" spans="1:59">
      <c r="A1657" s="117"/>
      <c r="B1657" s="117"/>
      <c r="C1657" s="117"/>
      <c r="D1657" s="117"/>
      <c r="E1657" s="117"/>
      <c r="F1657" s="117"/>
      <c r="G1657" s="117"/>
      <c r="H1657" s="117"/>
      <c r="I1657" s="117"/>
      <c r="J1657" s="118"/>
      <c r="K1657" s="118"/>
      <c r="L1657" s="118"/>
      <c r="M1657" s="118"/>
      <c r="N1657" s="117"/>
      <c r="O1657" s="117"/>
      <c r="P1657" s="117"/>
      <c r="Q1657" s="117"/>
      <c r="R1657" s="117"/>
      <c r="S1657" s="117"/>
      <c r="T1657" s="117"/>
      <c r="U1657" s="117"/>
      <c r="V1657" s="117"/>
      <c r="W1657" s="117"/>
      <c r="X1657" s="117"/>
      <c r="Y1657" s="117"/>
      <c r="Z1657" s="117"/>
      <c r="AA1657" s="117"/>
      <c r="AB1657" s="117"/>
      <c r="AC1657" s="117"/>
      <c r="AD1657" s="117"/>
      <c r="AE1657" s="117"/>
      <c r="AF1657" s="117"/>
      <c r="AG1657" s="117"/>
      <c r="AH1657" s="117"/>
      <c r="AI1657" s="117"/>
      <c r="AJ1657" s="117"/>
      <c r="AK1657" s="117"/>
      <c r="AL1657" s="117"/>
      <c r="AM1657" s="117"/>
      <c r="AN1657" s="117"/>
      <c r="AO1657" s="117"/>
      <c r="AP1657" s="117"/>
      <c r="AQ1657" s="117"/>
      <c r="AR1657" s="117"/>
      <c r="AS1657" s="117"/>
      <c r="AT1657" s="117"/>
      <c r="AU1657" s="117"/>
      <c r="AV1657" s="117"/>
      <c r="AW1657" s="117"/>
      <c r="AX1657" s="117"/>
      <c r="AY1657" s="117"/>
      <c r="AZ1657" s="117"/>
      <c r="BA1657" s="117"/>
      <c r="BB1657" s="117"/>
      <c r="BC1657" s="117"/>
      <c r="BD1657" s="117"/>
      <c r="BE1657" s="117"/>
      <c r="BF1657" s="117"/>
      <c r="BG1657" s="117"/>
    </row>
    <row r="1658" spans="1:59">
      <c r="A1658" s="117"/>
      <c r="B1658" s="117"/>
      <c r="C1658" s="117"/>
      <c r="D1658" s="117"/>
      <c r="E1658" s="117"/>
      <c r="F1658" s="117"/>
      <c r="G1658" s="117"/>
      <c r="H1658" s="117"/>
      <c r="I1658" s="117"/>
      <c r="J1658" s="118"/>
      <c r="K1658" s="118"/>
      <c r="L1658" s="118"/>
      <c r="M1658" s="118"/>
      <c r="N1658" s="117"/>
      <c r="O1658" s="117"/>
      <c r="P1658" s="117"/>
      <c r="Q1658" s="117"/>
      <c r="R1658" s="117"/>
      <c r="S1658" s="117"/>
      <c r="T1658" s="117"/>
      <c r="U1658" s="117"/>
      <c r="V1658" s="117"/>
      <c r="W1658" s="117"/>
      <c r="X1658" s="117"/>
      <c r="Y1658" s="117"/>
      <c r="Z1658" s="117"/>
      <c r="AA1658" s="117"/>
      <c r="AB1658" s="117"/>
      <c r="AC1658" s="117"/>
      <c r="AD1658" s="117"/>
      <c r="AE1658" s="117"/>
      <c r="AF1658" s="117"/>
      <c r="AG1658" s="117"/>
      <c r="AH1658" s="117"/>
      <c r="AI1658" s="117"/>
      <c r="AJ1658" s="117"/>
      <c r="AK1658" s="117"/>
      <c r="AL1658" s="117"/>
      <c r="AM1658" s="117"/>
      <c r="AN1658" s="117"/>
      <c r="AO1658" s="117"/>
      <c r="AP1658" s="117"/>
      <c r="AQ1658" s="117"/>
      <c r="AR1658" s="117"/>
      <c r="AS1658" s="117"/>
      <c r="AT1658" s="117"/>
      <c r="AU1658" s="117"/>
      <c r="AV1658" s="117"/>
      <c r="AW1658" s="117"/>
      <c r="AX1658" s="117"/>
      <c r="AY1658" s="117"/>
      <c r="AZ1658" s="117"/>
      <c r="BA1658" s="117"/>
      <c r="BB1658" s="117"/>
      <c r="BC1658" s="117"/>
      <c r="BD1658" s="117"/>
      <c r="BE1658" s="117"/>
      <c r="BF1658" s="117"/>
      <c r="BG1658" s="117"/>
    </row>
    <row r="1659" spans="1:59">
      <c r="A1659" s="117"/>
      <c r="B1659" s="117"/>
      <c r="C1659" s="117"/>
      <c r="D1659" s="117"/>
      <c r="E1659" s="117"/>
      <c r="F1659" s="117"/>
      <c r="G1659" s="117"/>
      <c r="H1659" s="117"/>
      <c r="I1659" s="117"/>
      <c r="J1659" s="118"/>
      <c r="K1659" s="118"/>
      <c r="L1659" s="118"/>
      <c r="M1659" s="118"/>
      <c r="N1659" s="117"/>
      <c r="O1659" s="117"/>
      <c r="P1659" s="117"/>
      <c r="Q1659" s="117"/>
      <c r="R1659" s="117"/>
      <c r="S1659" s="117"/>
      <c r="T1659" s="117"/>
      <c r="U1659" s="117"/>
      <c r="V1659" s="117"/>
      <c r="W1659" s="117"/>
      <c r="X1659" s="117"/>
      <c r="Y1659" s="117"/>
      <c r="Z1659" s="117"/>
      <c r="AA1659" s="117"/>
      <c r="AB1659" s="117"/>
      <c r="AC1659" s="117"/>
      <c r="AD1659" s="117"/>
      <c r="AE1659" s="117"/>
      <c r="AF1659" s="117"/>
      <c r="AG1659" s="117"/>
      <c r="AH1659" s="117"/>
      <c r="AI1659" s="117"/>
      <c r="AJ1659" s="117"/>
      <c r="AK1659" s="117"/>
      <c r="AL1659" s="117"/>
      <c r="AM1659" s="117"/>
      <c r="AN1659" s="117"/>
      <c r="AO1659" s="117"/>
      <c r="AP1659" s="117"/>
      <c r="AQ1659" s="117"/>
      <c r="AR1659" s="117"/>
      <c r="AS1659" s="117"/>
      <c r="AT1659" s="117"/>
      <c r="AU1659" s="117"/>
      <c r="AV1659" s="117"/>
      <c r="AW1659" s="117"/>
      <c r="AX1659" s="117"/>
      <c r="AY1659" s="117"/>
      <c r="AZ1659" s="117"/>
      <c r="BA1659" s="117"/>
      <c r="BB1659" s="117"/>
      <c r="BC1659" s="117"/>
      <c r="BD1659" s="117"/>
      <c r="BE1659" s="117"/>
      <c r="BF1659" s="117"/>
      <c r="BG1659" s="117"/>
    </row>
    <row r="1660" spans="1:59">
      <c r="A1660" s="117"/>
      <c r="B1660" s="117"/>
      <c r="C1660" s="117"/>
      <c r="D1660" s="117"/>
      <c r="E1660" s="117"/>
      <c r="F1660" s="117"/>
      <c r="G1660" s="117"/>
      <c r="H1660" s="117"/>
      <c r="I1660" s="117"/>
      <c r="J1660" s="118"/>
      <c r="K1660" s="118"/>
      <c r="L1660" s="118"/>
      <c r="M1660" s="118"/>
      <c r="N1660" s="117"/>
      <c r="O1660" s="117"/>
      <c r="P1660" s="117"/>
      <c r="Q1660" s="117"/>
      <c r="R1660" s="117"/>
      <c r="S1660" s="117"/>
      <c r="T1660" s="117"/>
      <c r="U1660" s="117"/>
      <c r="V1660" s="117"/>
      <c r="W1660" s="117"/>
      <c r="X1660" s="117"/>
      <c r="Y1660" s="117"/>
      <c r="Z1660" s="117"/>
      <c r="AA1660" s="117"/>
      <c r="AB1660" s="117"/>
      <c r="AC1660" s="117"/>
      <c r="AD1660" s="117"/>
      <c r="AE1660" s="117"/>
      <c r="AF1660" s="117"/>
      <c r="AG1660" s="117"/>
      <c r="AH1660" s="117"/>
      <c r="AI1660" s="117"/>
      <c r="AJ1660" s="117"/>
      <c r="AK1660" s="117"/>
      <c r="AL1660" s="117"/>
      <c r="AM1660" s="117"/>
      <c r="AN1660" s="117"/>
      <c r="AO1660" s="117"/>
      <c r="AP1660" s="117"/>
      <c r="AQ1660" s="117"/>
      <c r="AR1660" s="117"/>
      <c r="AS1660" s="117"/>
      <c r="AT1660" s="117"/>
      <c r="AU1660" s="117"/>
      <c r="AV1660" s="117"/>
      <c r="AW1660" s="117"/>
      <c r="AX1660" s="117"/>
      <c r="AY1660" s="117"/>
      <c r="AZ1660" s="117"/>
      <c r="BA1660" s="117"/>
      <c r="BB1660" s="117"/>
      <c r="BC1660" s="117"/>
      <c r="BD1660" s="117"/>
      <c r="BE1660" s="117"/>
      <c r="BF1660" s="117"/>
      <c r="BG1660" s="117"/>
    </row>
    <row r="1661" spans="1:59">
      <c r="A1661" s="117"/>
      <c r="B1661" s="117"/>
      <c r="C1661" s="117"/>
      <c r="D1661" s="117"/>
      <c r="E1661" s="117"/>
      <c r="F1661" s="117"/>
      <c r="G1661" s="117"/>
      <c r="H1661" s="117"/>
      <c r="I1661" s="117"/>
      <c r="J1661" s="118"/>
      <c r="K1661" s="118"/>
      <c r="L1661" s="118"/>
      <c r="M1661" s="118"/>
      <c r="N1661" s="117"/>
      <c r="O1661" s="117"/>
      <c r="P1661" s="117"/>
      <c r="Q1661" s="117"/>
      <c r="R1661" s="117"/>
      <c r="S1661" s="117"/>
      <c r="T1661" s="117"/>
      <c r="U1661" s="117"/>
      <c r="V1661" s="117"/>
      <c r="W1661" s="117"/>
      <c r="X1661" s="117"/>
      <c r="Y1661" s="117"/>
      <c r="Z1661" s="117"/>
      <c r="AA1661" s="117"/>
      <c r="AB1661" s="117"/>
      <c r="AC1661" s="117"/>
      <c r="AD1661" s="117"/>
      <c r="AE1661" s="117"/>
      <c r="AF1661" s="117"/>
      <c r="AG1661" s="117"/>
      <c r="AH1661" s="117"/>
      <c r="AI1661" s="117"/>
      <c r="AJ1661" s="117"/>
      <c r="AK1661" s="117"/>
      <c r="AL1661" s="117"/>
      <c r="AM1661" s="117"/>
      <c r="AN1661" s="117"/>
      <c r="AO1661" s="117"/>
      <c r="AP1661" s="117"/>
      <c r="AQ1661" s="117"/>
      <c r="AR1661" s="117"/>
      <c r="AS1661" s="117"/>
      <c r="AT1661" s="117"/>
      <c r="AU1661" s="117"/>
      <c r="AV1661" s="117"/>
      <c r="AW1661" s="117"/>
      <c r="AX1661" s="117"/>
      <c r="AY1661" s="117"/>
      <c r="AZ1661" s="117"/>
      <c r="BA1661" s="117"/>
      <c r="BB1661" s="117"/>
      <c r="BC1661" s="117"/>
      <c r="BD1661" s="117"/>
      <c r="BE1661" s="117"/>
      <c r="BF1661" s="117"/>
      <c r="BG1661" s="117"/>
    </row>
    <row r="1662" spans="1:59">
      <c r="A1662" s="117"/>
      <c r="B1662" s="117"/>
      <c r="C1662" s="117"/>
      <c r="D1662" s="117"/>
      <c r="E1662" s="117"/>
      <c r="F1662" s="117"/>
      <c r="G1662" s="117"/>
      <c r="H1662" s="117"/>
      <c r="I1662" s="117"/>
      <c r="J1662" s="118"/>
      <c r="K1662" s="118"/>
      <c r="L1662" s="118"/>
      <c r="M1662" s="118"/>
      <c r="N1662" s="117"/>
      <c r="O1662" s="117"/>
      <c r="P1662" s="117"/>
      <c r="Q1662" s="117"/>
      <c r="R1662" s="117"/>
      <c r="S1662" s="117"/>
      <c r="T1662" s="117"/>
      <c r="U1662" s="117"/>
      <c r="V1662" s="117"/>
      <c r="W1662" s="117"/>
      <c r="X1662" s="117"/>
      <c r="Y1662" s="117"/>
      <c r="Z1662" s="117"/>
      <c r="AA1662" s="117"/>
      <c r="AB1662" s="117"/>
      <c r="AC1662" s="117"/>
      <c r="AD1662" s="117"/>
      <c r="AE1662" s="117"/>
      <c r="AF1662" s="117"/>
      <c r="AG1662" s="117"/>
      <c r="AH1662" s="117"/>
      <c r="AI1662" s="117"/>
      <c r="AJ1662" s="117"/>
      <c r="AK1662" s="117"/>
      <c r="AL1662" s="117"/>
      <c r="AM1662" s="117"/>
      <c r="AN1662" s="117"/>
      <c r="AO1662" s="117"/>
      <c r="AP1662" s="117"/>
      <c r="AQ1662" s="117"/>
      <c r="AR1662" s="117"/>
      <c r="AS1662" s="117"/>
      <c r="AT1662" s="117"/>
      <c r="AU1662" s="117"/>
      <c r="AV1662" s="117"/>
      <c r="AW1662" s="117"/>
      <c r="AX1662" s="117"/>
      <c r="AY1662" s="117"/>
      <c r="AZ1662" s="117"/>
      <c r="BA1662" s="117"/>
      <c r="BB1662" s="117"/>
      <c r="BC1662" s="117"/>
      <c r="BD1662" s="117"/>
      <c r="BE1662" s="117"/>
      <c r="BF1662" s="117"/>
      <c r="BG1662" s="117"/>
    </row>
    <row r="1663" spans="1:59">
      <c r="A1663" s="117"/>
      <c r="B1663" s="117"/>
      <c r="C1663" s="117"/>
      <c r="D1663" s="117"/>
      <c r="E1663" s="117"/>
      <c r="F1663" s="117"/>
      <c r="G1663" s="117"/>
      <c r="H1663" s="117"/>
      <c r="I1663" s="117"/>
      <c r="J1663" s="118"/>
      <c r="K1663" s="118"/>
      <c r="L1663" s="118"/>
      <c r="M1663" s="118"/>
      <c r="N1663" s="117"/>
      <c r="O1663" s="117"/>
      <c r="P1663" s="117"/>
      <c r="Q1663" s="117"/>
      <c r="R1663" s="117"/>
      <c r="S1663" s="117"/>
      <c r="T1663" s="117"/>
      <c r="U1663" s="117"/>
      <c r="V1663" s="117"/>
      <c r="W1663" s="117"/>
      <c r="X1663" s="117"/>
      <c r="Y1663" s="117"/>
      <c r="Z1663" s="117"/>
      <c r="AA1663" s="117"/>
      <c r="AB1663" s="117"/>
      <c r="AC1663" s="117"/>
      <c r="AD1663" s="117"/>
      <c r="AE1663" s="117"/>
      <c r="AF1663" s="117"/>
      <c r="AG1663" s="117"/>
      <c r="AH1663" s="117"/>
      <c r="AI1663" s="117"/>
      <c r="AJ1663" s="117"/>
      <c r="AK1663" s="117"/>
      <c r="AL1663" s="117"/>
      <c r="AM1663" s="117"/>
      <c r="AN1663" s="117"/>
      <c r="AO1663" s="117"/>
      <c r="AP1663" s="117"/>
      <c r="AQ1663" s="117"/>
      <c r="AR1663" s="117"/>
      <c r="AS1663" s="117"/>
      <c r="AT1663" s="117"/>
      <c r="AU1663" s="117"/>
      <c r="AV1663" s="117"/>
      <c r="AW1663" s="117"/>
      <c r="AX1663" s="117"/>
      <c r="AY1663" s="117"/>
      <c r="AZ1663" s="117"/>
      <c r="BA1663" s="117"/>
      <c r="BB1663" s="117"/>
      <c r="BC1663" s="117"/>
      <c r="BD1663" s="117"/>
      <c r="BE1663" s="117"/>
      <c r="BF1663" s="117"/>
      <c r="BG1663" s="117"/>
    </row>
    <row r="1664" spans="1:59">
      <c r="A1664" s="117"/>
      <c r="B1664" s="117"/>
      <c r="C1664" s="117"/>
      <c r="D1664" s="117"/>
      <c r="E1664" s="117"/>
      <c r="F1664" s="117"/>
      <c r="G1664" s="117"/>
      <c r="H1664" s="117"/>
      <c r="I1664" s="117"/>
      <c r="J1664" s="118"/>
      <c r="K1664" s="118"/>
      <c r="L1664" s="118"/>
      <c r="M1664" s="118"/>
      <c r="N1664" s="117"/>
      <c r="O1664" s="117"/>
      <c r="P1664" s="117"/>
      <c r="Q1664" s="117"/>
      <c r="R1664" s="117"/>
      <c r="S1664" s="117"/>
      <c r="T1664" s="117"/>
      <c r="U1664" s="117"/>
      <c r="V1664" s="117"/>
      <c r="W1664" s="117"/>
      <c r="X1664" s="117"/>
      <c r="Y1664" s="117"/>
      <c r="Z1664" s="117"/>
      <c r="AA1664" s="117"/>
      <c r="AB1664" s="117"/>
      <c r="AC1664" s="117"/>
      <c r="AD1664" s="117"/>
      <c r="AE1664" s="117"/>
      <c r="AF1664" s="117"/>
      <c r="AG1664" s="117"/>
      <c r="AH1664" s="117"/>
      <c r="AI1664" s="117"/>
      <c r="AJ1664" s="117"/>
      <c r="AK1664" s="117"/>
      <c r="AL1664" s="117"/>
      <c r="AM1664" s="117"/>
      <c r="AN1664" s="117"/>
      <c r="AO1664" s="117"/>
      <c r="AP1664" s="117"/>
      <c r="AQ1664" s="117"/>
      <c r="AR1664" s="117"/>
      <c r="AS1664" s="117"/>
      <c r="AT1664" s="117"/>
      <c r="AU1664" s="117"/>
      <c r="AV1664" s="117"/>
      <c r="AW1664" s="117"/>
      <c r="AX1664" s="117"/>
      <c r="AY1664" s="117"/>
      <c r="AZ1664" s="117"/>
      <c r="BA1664" s="117"/>
      <c r="BB1664" s="117"/>
      <c r="BC1664" s="117"/>
      <c r="BD1664" s="117"/>
      <c r="BE1664" s="117"/>
      <c r="BF1664" s="117"/>
      <c r="BG1664" s="117"/>
    </row>
    <row r="1665" spans="1:59">
      <c r="A1665" s="117"/>
      <c r="B1665" s="117"/>
      <c r="C1665" s="117"/>
      <c r="D1665" s="117"/>
      <c r="E1665" s="117"/>
      <c r="F1665" s="117"/>
      <c r="G1665" s="117"/>
      <c r="H1665" s="117"/>
      <c r="I1665" s="117"/>
      <c r="J1665" s="118"/>
      <c r="K1665" s="118"/>
      <c r="L1665" s="118"/>
      <c r="M1665" s="118"/>
      <c r="N1665" s="117"/>
      <c r="O1665" s="117"/>
      <c r="P1665" s="117"/>
      <c r="Q1665" s="117"/>
      <c r="R1665" s="117"/>
      <c r="S1665" s="117"/>
      <c r="T1665" s="117"/>
      <c r="U1665" s="117"/>
      <c r="V1665" s="117"/>
      <c r="W1665" s="117"/>
      <c r="X1665" s="117"/>
      <c r="Y1665" s="117"/>
      <c r="Z1665" s="117"/>
      <c r="AA1665" s="117"/>
      <c r="AB1665" s="117"/>
      <c r="AC1665" s="117"/>
      <c r="AD1665" s="117"/>
      <c r="AE1665" s="117"/>
      <c r="AF1665" s="117"/>
      <c r="AG1665" s="117"/>
      <c r="AH1665" s="117"/>
      <c r="AI1665" s="117"/>
      <c r="AJ1665" s="117"/>
      <c r="AK1665" s="117"/>
      <c r="AL1665" s="117"/>
      <c r="AM1665" s="117"/>
      <c r="AN1665" s="117"/>
      <c r="AO1665" s="117"/>
      <c r="AP1665" s="117"/>
      <c r="AQ1665" s="117"/>
      <c r="AR1665" s="117"/>
      <c r="AS1665" s="117"/>
      <c r="AT1665" s="117"/>
      <c r="AU1665" s="117"/>
      <c r="AV1665" s="117"/>
      <c r="AW1665" s="117"/>
      <c r="AX1665" s="117"/>
      <c r="AY1665" s="117"/>
      <c r="AZ1665" s="117"/>
      <c r="BA1665" s="117"/>
      <c r="BB1665" s="117"/>
      <c r="BC1665" s="117"/>
      <c r="BD1665" s="117"/>
      <c r="BE1665" s="117"/>
      <c r="BF1665" s="117"/>
      <c r="BG1665" s="117"/>
    </row>
    <row r="1666" spans="1:59">
      <c r="A1666" s="117"/>
      <c r="B1666" s="117"/>
      <c r="C1666" s="117"/>
      <c r="D1666" s="117"/>
      <c r="E1666" s="117"/>
      <c r="F1666" s="117"/>
      <c r="G1666" s="117"/>
      <c r="H1666" s="117"/>
      <c r="I1666" s="117"/>
      <c r="J1666" s="118"/>
      <c r="K1666" s="118"/>
      <c r="L1666" s="118"/>
      <c r="M1666" s="118"/>
      <c r="N1666" s="117"/>
      <c r="O1666" s="117"/>
      <c r="P1666" s="117"/>
      <c r="Q1666" s="117"/>
      <c r="R1666" s="117"/>
      <c r="S1666" s="117"/>
      <c r="T1666" s="117"/>
      <c r="U1666" s="117"/>
      <c r="V1666" s="117"/>
      <c r="W1666" s="117"/>
      <c r="X1666" s="117"/>
      <c r="Y1666" s="117"/>
      <c r="Z1666" s="117"/>
      <c r="AA1666" s="117"/>
      <c r="AB1666" s="117"/>
      <c r="AC1666" s="117"/>
      <c r="AD1666" s="117"/>
      <c r="AE1666" s="117"/>
      <c r="AF1666" s="117"/>
      <c r="AG1666" s="117"/>
      <c r="AH1666" s="117"/>
      <c r="AI1666" s="117"/>
      <c r="AJ1666" s="117"/>
      <c r="AK1666" s="117"/>
      <c r="AL1666" s="117"/>
      <c r="AM1666" s="117"/>
      <c r="AN1666" s="117"/>
      <c r="AO1666" s="117"/>
      <c r="AP1666" s="117"/>
      <c r="AQ1666" s="117"/>
      <c r="AR1666" s="117"/>
      <c r="AS1666" s="117"/>
      <c r="AT1666" s="117"/>
      <c r="AU1666" s="117"/>
      <c r="AV1666" s="117"/>
      <c r="AW1666" s="117"/>
      <c r="AX1666" s="117"/>
      <c r="AY1666" s="117"/>
      <c r="AZ1666" s="117"/>
      <c r="BA1666" s="117"/>
      <c r="BB1666" s="117"/>
      <c r="BC1666" s="117"/>
      <c r="BD1666" s="117"/>
      <c r="BE1666" s="117"/>
      <c r="BF1666" s="117"/>
      <c r="BG1666" s="117"/>
    </row>
    <row r="1667" spans="1:59">
      <c r="A1667" s="117"/>
      <c r="B1667" s="117"/>
      <c r="C1667" s="117"/>
      <c r="D1667" s="117"/>
      <c r="E1667" s="117"/>
      <c r="F1667" s="117"/>
      <c r="G1667" s="117"/>
      <c r="H1667" s="117"/>
      <c r="I1667" s="117"/>
      <c r="J1667" s="118"/>
      <c r="K1667" s="118"/>
      <c r="L1667" s="118"/>
      <c r="M1667" s="118"/>
      <c r="N1667" s="117"/>
      <c r="O1667" s="117"/>
      <c r="P1667" s="117"/>
      <c r="Q1667" s="117"/>
      <c r="R1667" s="117"/>
      <c r="S1667" s="117"/>
      <c r="T1667" s="117"/>
      <c r="U1667" s="117"/>
      <c r="V1667" s="117"/>
      <c r="W1667" s="117"/>
      <c r="X1667" s="117"/>
      <c r="Y1667" s="117"/>
      <c r="Z1667" s="117"/>
      <c r="AA1667" s="117"/>
      <c r="AB1667" s="117"/>
      <c r="AC1667" s="117"/>
      <c r="AD1667" s="117"/>
      <c r="AE1667" s="117"/>
      <c r="AF1667" s="117"/>
      <c r="AG1667" s="117"/>
      <c r="AH1667" s="117"/>
      <c r="AI1667" s="117"/>
      <c r="AJ1667" s="117"/>
      <c r="AK1667" s="117"/>
      <c r="AL1667" s="117"/>
      <c r="AM1667" s="117"/>
      <c r="AN1667" s="117"/>
      <c r="AO1667" s="117"/>
      <c r="AP1667" s="117"/>
      <c r="AQ1667" s="117"/>
      <c r="AR1667" s="117"/>
      <c r="AS1667" s="117"/>
      <c r="AT1667" s="117"/>
      <c r="AU1667" s="117"/>
      <c r="AV1667" s="117"/>
      <c r="AW1667" s="117"/>
      <c r="AX1667" s="117"/>
      <c r="AY1667" s="117"/>
      <c r="AZ1667" s="117"/>
      <c r="BA1667" s="117"/>
      <c r="BB1667" s="117"/>
      <c r="BC1667" s="117"/>
      <c r="BD1667" s="117"/>
      <c r="BE1667" s="117"/>
      <c r="BF1667" s="117"/>
      <c r="BG1667" s="117"/>
    </row>
    <row r="1668" spans="1:59">
      <c r="A1668" s="117"/>
      <c r="B1668" s="117"/>
      <c r="C1668" s="117"/>
      <c r="D1668" s="117"/>
      <c r="E1668" s="117"/>
      <c r="F1668" s="117"/>
      <c r="G1668" s="117"/>
      <c r="H1668" s="117"/>
      <c r="I1668" s="117"/>
      <c r="J1668" s="118"/>
      <c r="K1668" s="118"/>
      <c r="L1668" s="118"/>
      <c r="M1668" s="118"/>
      <c r="N1668" s="117"/>
      <c r="O1668" s="117"/>
      <c r="P1668" s="117"/>
      <c r="Q1668" s="117"/>
      <c r="R1668" s="117"/>
      <c r="S1668" s="117"/>
      <c r="T1668" s="117"/>
      <c r="U1668" s="117"/>
      <c r="V1668" s="117"/>
      <c r="W1668" s="117"/>
      <c r="X1668" s="117"/>
      <c r="Y1668" s="117"/>
      <c r="Z1668" s="117"/>
      <c r="AA1668" s="117"/>
      <c r="AB1668" s="117"/>
      <c r="AC1668" s="117"/>
      <c r="AD1668" s="117"/>
      <c r="AE1668" s="117"/>
      <c r="AF1668" s="117"/>
      <c r="AG1668" s="117"/>
      <c r="AH1668" s="117"/>
      <c r="AI1668" s="117"/>
      <c r="AJ1668" s="117"/>
      <c r="AK1668" s="117"/>
      <c r="AL1668" s="117"/>
      <c r="AM1668" s="117"/>
      <c r="AN1668" s="117"/>
      <c r="AO1668" s="117"/>
      <c r="AP1668" s="117"/>
      <c r="AQ1668" s="117"/>
      <c r="AR1668" s="117"/>
      <c r="AS1668" s="117"/>
      <c r="AT1668" s="117"/>
      <c r="AU1668" s="117"/>
      <c r="AV1668" s="117"/>
      <c r="AW1668" s="117"/>
      <c r="AX1668" s="117"/>
      <c r="AY1668" s="117"/>
      <c r="AZ1668" s="117"/>
      <c r="BA1668" s="117"/>
      <c r="BB1668" s="117"/>
      <c r="BC1668" s="117"/>
      <c r="BD1668" s="117"/>
      <c r="BE1668" s="117"/>
      <c r="BF1668" s="117"/>
      <c r="BG1668" s="117"/>
    </row>
    <row r="1669" spans="1:59">
      <c r="A1669" s="117"/>
      <c r="B1669" s="117"/>
      <c r="C1669" s="117"/>
      <c r="D1669" s="117"/>
      <c r="E1669" s="117"/>
      <c r="F1669" s="117"/>
      <c r="G1669" s="117"/>
      <c r="H1669" s="117"/>
      <c r="I1669" s="117"/>
      <c r="J1669" s="118"/>
      <c r="K1669" s="118"/>
      <c r="L1669" s="118"/>
      <c r="M1669" s="118"/>
      <c r="N1669" s="117"/>
      <c r="O1669" s="117"/>
      <c r="P1669" s="117"/>
      <c r="Q1669" s="117"/>
      <c r="R1669" s="117"/>
      <c r="S1669" s="117"/>
      <c r="T1669" s="117"/>
      <c r="U1669" s="117"/>
      <c r="V1669" s="117"/>
      <c r="W1669" s="117"/>
      <c r="X1669" s="117"/>
      <c r="Y1669" s="117"/>
      <c r="Z1669" s="117"/>
      <c r="AA1669" s="117"/>
      <c r="AB1669" s="117"/>
      <c r="AC1669" s="117"/>
      <c r="AD1669" s="117"/>
      <c r="AE1669" s="117"/>
      <c r="AF1669" s="117"/>
      <c r="AG1669" s="117"/>
      <c r="AH1669" s="117"/>
      <c r="AI1669" s="117"/>
      <c r="AJ1669" s="117"/>
      <c r="AK1669" s="117"/>
      <c r="AL1669" s="117"/>
      <c r="AM1669" s="117"/>
      <c r="AN1669" s="117"/>
      <c r="AO1669" s="117"/>
      <c r="AP1669" s="117"/>
      <c r="AQ1669" s="117"/>
      <c r="AR1669" s="117"/>
      <c r="AS1669" s="117"/>
      <c r="AT1669" s="117"/>
      <c r="AU1669" s="117"/>
      <c r="AV1669" s="117"/>
      <c r="AW1669" s="117"/>
      <c r="AX1669" s="117"/>
      <c r="AY1669" s="117"/>
      <c r="AZ1669" s="117"/>
      <c r="BA1669" s="117"/>
      <c r="BB1669" s="117"/>
      <c r="BC1669" s="117"/>
      <c r="BD1669" s="117"/>
      <c r="BE1669" s="117"/>
      <c r="BF1669" s="117"/>
      <c r="BG1669" s="117"/>
    </row>
    <row r="1670" spans="1:59">
      <c r="A1670" s="117"/>
      <c r="B1670" s="117"/>
      <c r="C1670" s="117"/>
      <c r="D1670" s="117"/>
      <c r="E1670" s="117"/>
      <c r="F1670" s="117"/>
      <c r="G1670" s="117"/>
      <c r="H1670" s="117"/>
      <c r="I1670" s="117"/>
      <c r="J1670" s="118"/>
      <c r="K1670" s="118"/>
      <c r="L1670" s="118"/>
      <c r="M1670" s="118"/>
      <c r="N1670" s="117"/>
      <c r="O1670" s="117"/>
      <c r="P1670" s="117"/>
      <c r="Q1670" s="117"/>
      <c r="R1670" s="117"/>
      <c r="S1670" s="117"/>
      <c r="T1670" s="117"/>
      <c r="U1670" s="117"/>
      <c r="V1670" s="117"/>
      <c r="W1670" s="117"/>
      <c r="X1670" s="117"/>
      <c r="Y1670" s="117"/>
      <c r="Z1670" s="117"/>
      <c r="AA1670" s="117"/>
      <c r="AB1670" s="117"/>
      <c r="AC1670" s="117"/>
      <c r="AD1670" s="117"/>
      <c r="AE1670" s="117"/>
      <c r="AF1670" s="117"/>
      <c r="AG1670" s="117"/>
      <c r="AH1670" s="117"/>
      <c r="AI1670" s="117"/>
      <c r="AJ1670" s="117"/>
      <c r="AK1670" s="117"/>
      <c r="AL1670" s="117"/>
      <c r="AM1670" s="117"/>
      <c r="AN1670" s="117"/>
      <c r="AO1670" s="117"/>
      <c r="AP1670" s="117"/>
      <c r="AQ1670" s="117"/>
      <c r="AR1670" s="117"/>
      <c r="AS1670" s="117"/>
      <c r="AT1670" s="117"/>
      <c r="AU1670" s="117"/>
      <c r="AV1670" s="117"/>
      <c r="AW1670" s="117"/>
      <c r="AX1670" s="117"/>
      <c r="AY1670" s="117"/>
      <c r="AZ1670" s="117"/>
      <c r="BA1670" s="117"/>
      <c r="BB1670" s="117"/>
      <c r="BC1670" s="117"/>
      <c r="BD1670" s="117"/>
      <c r="BE1670" s="117"/>
      <c r="BF1670" s="117"/>
      <c r="BG1670" s="117"/>
    </row>
    <row r="1671" spans="1:59">
      <c r="A1671" s="117"/>
      <c r="B1671" s="117"/>
      <c r="C1671" s="117"/>
      <c r="D1671" s="117"/>
      <c r="E1671" s="117"/>
      <c r="F1671" s="117"/>
      <c r="G1671" s="117"/>
      <c r="H1671" s="117"/>
      <c r="I1671" s="117"/>
      <c r="J1671" s="118"/>
      <c r="K1671" s="118"/>
      <c r="L1671" s="118"/>
      <c r="M1671" s="118"/>
      <c r="N1671" s="117"/>
      <c r="O1671" s="117"/>
      <c r="P1671" s="117"/>
      <c r="Q1671" s="117"/>
      <c r="R1671" s="117"/>
      <c r="S1671" s="117"/>
      <c r="T1671" s="117"/>
      <c r="U1671" s="117"/>
      <c r="V1671" s="117"/>
      <c r="W1671" s="117"/>
      <c r="X1671" s="117"/>
      <c r="Y1671" s="117"/>
      <c r="Z1671" s="117"/>
      <c r="AA1671" s="117"/>
      <c r="AB1671" s="117"/>
      <c r="AC1671" s="117"/>
      <c r="AD1671" s="117"/>
      <c r="AE1671" s="117"/>
      <c r="AF1671" s="117"/>
      <c r="AG1671" s="117"/>
      <c r="AH1671" s="117"/>
      <c r="AI1671" s="117"/>
      <c r="AJ1671" s="117"/>
      <c r="AK1671" s="117"/>
      <c r="AL1671" s="117"/>
      <c r="AM1671" s="117"/>
      <c r="AN1671" s="117"/>
      <c r="AO1671" s="117"/>
      <c r="AP1671" s="117"/>
      <c r="AQ1671" s="117"/>
      <c r="AR1671" s="117"/>
      <c r="AS1671" s="117"/>
      <c r="AT1671" s="117"/>
      <c r="AU1671" s="117"/>
      <c r="AV1671" s="117"/>
      <c r="AW1671" s="117"/>
      <c r="AX1671" s="117"/>
      <c r="AY1671" s="117"/>
      <c r="AZ1671" s="117"/>
      <c r="BA1671" s="117"/>
      <c r="BB1671" s="117"/>
      <c r="BC1671" s="117"/>
      <c r="BD1671" s="117"/>
      <c r="BE1671" s="117"/>
      <c r="BF1671" s="117"/>
      <c r="BG1671" s="117"/>
    </row>
    <row r="1672" spans="1:59">
      <c r="A1672" s="117"/>
      <c r="B1672" s="117"/>
      <c r="C1672" s="117"/>
      <c r="D1672" s="117"/>
      <c r="E1672" s="117"/>
      <c r="F1672" s="117"/>
      <c r="G1672" s="117"/>
      <c r="H1672" s="117"/>
      <c r="I1672" s="117"/>
      <c r="J1672" s="118"/>
      <c r="K1672" s="118"/>
      <c r="L1672" s="118"/>
      <c r="M1672" s="118"/>
      <c r="N1672" s="117"/>
      <c r="O1672" s="117"/>
      <c r="P1672" s="117"/>
      <c r="Q1672" s="117"/>
      <c r="R1672" s="117"/>
      <c r="S1672" s="117"/>
      <c r="T1672" s="117"/>
      <c r="U1672" s="117"/>
      <c r="V1672" s="117"/>
      <c r="W1672" s="117"/>
      <c r="X1672" s="117"/>
      <c r="Y1672" s="117"/>
      <c r="Z1672" s="117"/>
      <c r="AA1672" s="117"/>
      <c r="AB1672" s="117"/>
      <c r="AC1672" s="117"/>
      <c r="AD1672" s="117"/>
      <c r="AE1672" s="117"/>
      <c r="AF1672" s="117"/>
      <c r="AG1672" s="117"/>
      <c r="AH1672" s="117"/>
      <c r="AI1672" s="117"/>
      <c r="AJ1672" s="117"/>
      <c r="AK1672" s="117"/>
      <c r="AL1672" s="117"/>
      <c r="AM1672" s="117"/>
      <c r="AN1672" s="117"/>
      <c r="AO1672" s="117"/>
      <c r="AP1672" s="117"/>
      <c r="AQ1672" s="117"/>
      <c r="AR1672" s="117"/>
      <c r="AS1672" s="117"/>
      <c r="AT1672" s="117"/>
      <c r="AU1672" s="117"/>
      <c r="AV1672" s="117"/>
      <c r="AW1672" s="117"/>
      <c r="AX1672" s="117"/>
      <c r="AY1672" s="117"/>
      <c r="AZ1672" s="117"/>
      <c r="BA1672" s="117"/>
      <c r="BB1672" s="117"/>
      <c r="BC1672" s="117"/>
      <c r="BD1672" s="117"/>
      <c r="BE1672" s="117"/>
      <c r="BF1672" s="117"/>
      <c r="BG1672" s="117"/>
    </row>
    <row r="1673" spans="1:59">
      <c r="A1673" s="117"/>
      <c r="B1673" s="117"/>
      <c r="C1673" s="117"/>
      <c r="D1673" s="117"/>
      <c r="E1673" s="117"/>
      <c r="F1673" s="117"/>
      <c r="G1673" s="117"/>
      <c r="H1673" s="117"/>
      <c r="I1673" s="117"/>
      <c r="J1673" s="118"/>
      <c r="K1673" s="118"/>
      <c r="L1673" s="118"/>
      <c r="M1673" s="118"/>
      <c r="N1673" s="117"/>
      <c r="O1673" s="117"/>
      <c r="P1673" s="117"/>
      <c r="Q1673" s="117"/>
      <c r="R1673" s="117"/>
      <c r="S1673" s="117"/>
      <c r="T1673" s="117"/>
      <c r="U1673" s="117"/>
      <c r="V1673" s="117"/>
      <c r="W1673" s="117"/>
      <c r="X1673" s="117"/>
      <c r="Y1673" s="117"/>
      <c r="Z1673" s="117"/>
      <c r="AA1673" s="117"/>
      <c r="AB1673" s="117"/>
      <c r="AC1673" s="117"/>
      <c r="AD1673" s="117"/>
      <c r="AE1673" s="117"/>
      <c r="AF1673" s="117"/>
      <c r="AG1673" s="117"/>
      <c r="AH1673" s="117"/>
      <c r="AI1673" s="117"/>
      <c r="AJ1673" s="117"/>
      <c r="AK1673" s="117"/>
      <c r="AL1673" s="117"/>
      <c r="AM1673" s="117"/>
      <c r="AN1673" s="117"/>
      <c r="AO1673" s="117"/>
      <c r="AP1673" s="117"/>
      <c r="AQ1673" s="117"/>
      <c r="AR1673" s="117"/>
      <c r="AS1673" s="117"/>
      <c r="AT1673" s="117"/>
      <c r="AU1673" s="117"/>
      <c r="AV1673" s="117"/>
      <c r="AW1673" s="117"/>
      <c r="AX1673" s="117"/>
      <c r="AY1673" s="117"/>
      <c r="AZ1673" s="117"/>
      <c r="BA1673" s="117"/>
      <c r="BB1673" s="117"/>
      <c r="BC1673" s="117"/>
      <c r="BD1673" s="117"/>
      <c r="BE1673" s="117"/>
      <c r="BF1673" s="117"/>
      <c r="BG1673" s="117"/>
    </row>
    <row r="1674" spans="1:59">
      <c r="A1674" s="117"/>
      <c r="B1674" s="117"/>
      <c r="C1674" s="117"/>
      <c r="D1674" s="117"/>
      <c r="E1674" s="117"/>
      <c r="F1674" s="117"/>
      <c r="G1674" s="117"/>
      <c r="H1674" s="117"/>
      <c r="I1674" s="117"/>
      <c r="J1674" s="118"/>
      <c r="K1674" s="118"/>
      <c r="L1674" s="118"/>
      <c r="M1674" s="118"/>
      <c r="N1674" s="117"/>
      <c r="O1674" s="117"/>
      <c r="P1674" s="117"/>
      <c r="Q1674" s="117"/>
      <c r="R1674" s="117"/>
      <c r="S1674" s="117"/>
      <c r="T1674" s="117"/>
      <c r="U1674" s="117"/>
      <c r="V1674" s="117"/>
      <c r="W1674" s="117"/>
      <c r="X1674" s="117"/>
      <c r="Y1674" s="117"/>
      <c r="Z1674" s="117"/>
      <c r="AA1674" s="117"/>
      <c r="AB1674" s="117"/>
      <c r="AC1674" s="117"/>
      <c r="AD1674" s="117"/>
      <c r="AE1674" s="117"/>
      <c r="AF1674" s="117"/>
      <c r="AG1674" s="117"/>
      <c r="AH1674" s="117"/>
      <c r="AI1674" s="117"/>
      <c r="AJ1674" s="117"/>
      <c r="AK1674" s="117"/>
      <c r="AL1674" s="117"/>
      <c r="AM1674" s="117"/>
      <c r="AN1674" s="117"/>
      <c r="AO1674" s="117"/>
      <c r="AP1674" s="117"/>
      <c r="AQ1674" s="117"/>
      <c r="AR1674" s="117"/>
      <c r="AS1674" s="117"/>
      <c r="AT1674" s="117"/>
      <c r="AU1674" s="117"/>
      <c r="AV1674" s="117"/>
      <c r="AW1674" s="117"/>
      <c r="AX1674" s="117"/>
      <c r="AY1674" s="117"/>
      <c r="AZ1674" s="117"/>
      <c r="BA1674" s="117"/>
      <c r="BB1674" s="117"/>
      <c r="BC1674" s="117"/>
      <c r="BD1674" s="117"/>
      <c r="BE1674" s="117"/>
      <c r="BF1674" s="117"/>
      <c r="BG1674" s="117"/>
    </row>
    <row r="1675" spans="1:59">
      <c r="A1675" s="117"/>
      <c r="B1675" s="117"/>
      <c r="C1675" s="117"/>
      <c r="D1675" s="117"/>
      <c r="E1675" s="117"/>
      <c r="F1675" s="117"/>
      <c r="G1675" s="117"/>
      <c r="H1675" s="117"/>
      <c r="I1675" s="117"/>
      <c r="J1675" s="118"/>
      <c r="K1675" s="118"/>
      <c r="L1675" s="118"/>
      <c r="M1675" s="118"/>
      <c r="N1675" s="117"/>
      <c r="O1675" s="117"/>
      <c r="P1675" s="117"/>
      <c r="Q1675" s="117"/>
      <c r="R1675" s="117"/>
      <c r="S1675" s="117"/>
      <c r="T1675" s="117"/>
      <c r="U1675" s="117"/>
      <c r="V1675" s="117"/>
      <c r="W1675" s="117"/>
      <c r="X1675" s="117"/>
      <c r="Y1675" s="117"/>
      <c r="Z1675" s="117"/>
      <c r="AA1675" s="117"/>
      <c r="AB1675" s="117"/>
      <c r="AC1675" s="117"/>
      <c r="AD1675" s="117"/>
      <c r="AE1675" s="117"/>
      <c r="AF1675" s="117"/>
      <c r="AG1675" s="117"/>
      <c r="AH1675" s="117"/>
      <c r="AI1675" s="117"/>
      <c r="AJ1675" s="117"/>
      <c r="AK1675" s="117"/>
      <c r="AL1675" s="117"/>
      <c r="AM1675" s="117"/>
      <c r="AN1675" s="117"/>
      <c r="AO1675" s="117"/>
      <c r="AP1675" s="117"/>
      <c r="AQ1675" s="117"/>
      <c r="AR1675" s="117"/>
      <c r="AS1675" s="117"/>
      <c r="AT1675" s="117"/>
      <c r="AU1675" s="117"/>
      <c r="AV1675" s="117"/>
      <c r="AW1675" s="117"/>
      <c r="AX1675" s="117"/>
      <c r="AY1675" s="117"/>
      <c r="AZ1675" s="117"/>
      <c r="BA1675" s="117"/>
      <c r="BB1675" s="117"/>
      <c r="BC1675" s="117"/>
      <c r="BD1675" s="117"/>
      <c r="BE1675" s="117"/>
      <c r="BF1675" s="117"/>
      <c r="BG1675" s="117"/>
    </row>
    <row r="1676" spans="1:59">
      <c r="A1676" s="117"/>
      <c r="B1676" s="117"/>
      <c r="C1676" s="117"/>
      <c r="D1676" s="117"/>
      <c r="E1676" s="117"/>
      <c r="F1676" s="117"/>
      <c r="G1676" s="117"/>
      <c r="H1676" s="117"/>
      <c r="I1676" s="117"/>
      <c r="J1676" s="118"/>
      <c r="K1676" s="118"/>
      <c r="L1676" s="118"/>
      <c r="M1676" s="118"/>
      <c r="N1676" s="117"/>
      <c r="O1676" s="117"/>
      <c r="P1676" s="117"/>
      <c r="Q1676" s="117"/>
      <c r="R1676" s="117"/>
      <c r="S1676" s="117"/>
      <c r="T1676" s="117"/>
      <c r="U1676" s="117"/>
      <c r="V1676" s="117"/>
      <c r="W1676" s="117"/>
      <c r="X1676" s="117"/>
      <c r="Y1676" s="117"/>
      <c r="Z1676" s="117"/>
      <c r="AA1676" s="117"/>
      <c r="AB1676" s="117"/>
      <c r="AC1676" s="117"/>
      <c r="AD1676" s="117"/>
      <c r="AE1676" s="117"/>
      <c r="AF1676" s="117"/>
      <c r="AG1676" s="117"/>
      <c r="AH1676" s="117"/>
      <c r="AI1676" s="117"/>
      <c r="AJ1676" s="117"/>
      <c r="AK1676" s="117"/>
      <c r="AL1676" s="117"/>
      <c r="AM1676" s="117"/>
      <c r="AN1676" s="117"/>
      <c r="AO1676" s="117"/>
      <c r="AP1676" s="117"/>
      <c r="AQ1676" s="117"/>
      <c r="AR1676" s="117"/>
      <c r="AS1676" s="117"/>
      <c r="AT1676" s="117"/>
      <c r="AU1676" s="117"/>
      <c r="AV1676" s="117"/>
      <c r="AW1676" s="117"/>
      <c r="AX1676" s="117"/>
      <c r="AY1676" s="117"/>
      <c r="AZ1676" s="117"/>
      <c r="BA1676" s="117"/>
      <c r="BB1676" s="117"/>
      <c r="BC1676" s="117"/>
      <c r="BD1676" s="117"/>
      <c r="BE1676" s="117"/>
      <c r="BF1676" s="117"/>
      <c r="BG1676" s="117"/>
    </row>
    <row r="1677" spans="1:59">
      <c r="A1677" s="117"/>
      <c r="B1677" s="117"/>
      <c r="C1677" s="117"/>
      <c r="D1677" s="117"/>
      <c r="E1677" s="117"/>
      <c r="F1677" s="117"/>
      <c r="G1677" s="117"/>
      <c r="H1677" s="117"/>
      <c r="I1677" s="117"/>
      <c r="J1677" s="118"/>
      <c r="K1677" s="118"/>
      <c r="L1677" s="118"/>
      <c r="M1677" s="118"/>
      <c r="N1677" s="117"/>
      <c r="O1677" s="117"/>
      <c r="P1677" s="117"/>
      <c r="Q1677" s="117"/>
      <c r="R1677" s="117"/>
      <c r="S1677" s="117"/>
      <c r="T1677" s="117"/>
      <c r="U1677" s="117"/>
      <c r="V1677" s="117"/>
      <c r="W1677" s="117"/>
      <c r="X1677" s="117"/>
      <c r="Y1677" s="117"/>
      <c r="Z1677" s="117"/>
      <c r="AA1677" s="117"/>
      <c r="AB1677" s="117"/>
      <c r="AC1677" s="117"/>
      <c r="AD1677" s="117"/>
      <c r="AE1677" s="117"/>
      <c r="AF1677" s="117"/>
      <c r="AG1677" s="117"/>
      <c r="AH1677" s="117"/>
      <c r="AI1677" s="117"/>
      <c r="AJ1677" s="117"/>
      <c r="AK1677" s="117"/>
      <c r="AL1677" s="117"/>
      <c r="AM1677" s="117"/>
      <c r="AN1677" s="117"/>
      <c r="AO1677" s="117"/>
      <c r="AP1677" s="117"/>
      <c r="AQ1677" s="117"/>
      <c r="AR1677" s="117"/>
      <c r="AS1677" s="117"/>
      <c r="AT1677" s="117"/>
      <c r="AU1677" s="117"/>
      <c r="AV1677" s="117"/>
      <c r="AW1677" s="117"/>
      <c r="AX1677" s="117"/>
      <c r="AY1677" s="117"/>
      <c r="AZ1677" s="117"/>
      <c r="BA1677" s="117"/>
      <c r="BB1677" s="117"/>
      <c r="BC1677" s="117"/>
      <c r="BD1677" s="117"/>
      <c r="BE1677" s="117"/>
      <c r="BF1677" s="117"/>
      <c r="BG1677" s="117"/>
    </row>
    <row r="1678" spans="1:59">
      <c r="A1678" s="117"/>
      <c r="B1678" s="117"/>
      <c r="C1678" s="117"/>
      <c r="D1678" s="117"/>
      <c r="E1678" s="117"/>
      <c r="F1678" s="117"/>
      <c r="G1678" s="117"/>
      <c r="H1678" s="117"/>
      <c r="I1678" s="117"/>
      <c r="J1678" s="118"/>
      <c r="K1678" s="118"/>
      <c r="L1678" s="118"/>
      <c r="M1678" s="118"/>
      <c r="N1678" s="117"/>
      <c r="O1678" s="117"/>
      <c r="P1678" s="117"/>
      <c r="Q1678" s="117"/>
      <c r="R1678" s="117"/>
      <c r="S1678" s="117"/>
      <c r="T1678" s="117"/>
      <c r="U1678" s="117"/>
      <c r="V1678" s="117"/>
      <c r="W1678" s="117"/>
      <c r="X1678" s="117"/>
      <c r="Y1678" s="117"/>
      <c r="Z1678" s="117"/>
      <c r="AA1678" s="117"/>
      <c r="AB1678" s="117"/>
      <c r="AC1678" s="117"/>
      <c r="AD1678" s="117"/>
      <c r="AE1678" s="117"/>
      <c r="AF1678" s="117"/>
      <c r="AG1678" s="117"/>
      <c r="AH1678" s="117"/>
      <c r="AI1678" s="117"/>
      <c r="AJ1678" s="117"/>
      <c r="AK1678" s="117"/>
      <c r="AL1678" s="117"/>
      <c r="AM1678" s="117"/>
      <c r="AN1678" s="117"/>
      <c r="AO1678" s="117"/>
      <c r="AP1678" s="117"/>
      <c r="AQ1678" s="117"/>
      <c r="AR1678" s="117"/>
      <c r="AS1678" s="117"/>
      <c r="AT1678" s="117"/>
      <c r="AU1678" s="117"/>
      <c r="AV1678" s="117"/>
      <c r="AW1678" s="117"/>
      <c r="AX1678" s="117"/>
      <c r="AY1678" s="117"/>
      <c r="AZ1678" s="117"/>
      <c r="BA1678" s="117"/>
      <c r="BB1678" s="117"/>
      <c r="BC1678" s="117"/>
      <c r="BD1678" s="117"/>
      <c r="BE1678" s="117"/>
      <c r="BF1678" s="117"/>
      <c r="BG1678" s="117"/>
    </row>
    <row r="1679" spans="1:59">
      <c r="A1679" s="117"/>
      <c r="B1679" s="117"/>
      <c r="C1679" s="117"/>
      <c r="D1679" s="117"/>
      <c r="E1679" s="117"/>
      <c r="F1679" s="117"/>
      <c r="G1679" s="117"/>
      <c r="H1679" s="117"/>
      <c r="I1679" s="117"/>
      <c r="J1679" s="118"/>
      <c r="K1679" s="118"/>
      <c r="L1679" s="118"/>
      <c r="M1679" s="118"/>
      <c r="N1679" s="117"/>
      <c r="O1679" s="117"/>
      <c r="P1679" s="117"/>
      <c r="Q1679" s="117"/>
      <c r="R1679" s="117"/>
      <c r="S1679" s="117"/>
      <c r="T1679" s="117"/>
      <c r="U1679" s="117"/>
      <c r="V1679" s="117"/>
      <c r="W1679" s="117"/>
      <c r="X1679" s="117"/>
      <c r="Y1679" s="117"/>
      <c r="Z1679" s="117"/>
      <c r="AA1679" s="117"/>
      <c r="AB1679" s="117"/>
      <c r="AC1679" s="117"/>
      <c r="AD1679" s="117"/>
      <c r="AE1679" s="117"/>
      <c r="AF1679" s="117"/>
      <c r="AG1679" s="117"/>
      <c r="AH1679" s="117"/>
      <c r="AI1679" s="117"/>
      <c r="AJ1679" s="117"/>
      <c r="AK1679" s="117"/>
      <c r="AL1679" s="117"/>
      <c r="AM1679" s="117"/>
      <c r="AN1679" s="117"/>
      <c r="AO1679" s="117"/>
      <c r="AP1679" s="117"/>
      <c r="AQ1679" s="117"/>
      <c r="AR1679" s="117"/>
      <c r="AS1679" s="117"/>
      <c r="AT1679" s="117"/>
      <c r="AU1679" s="117"/>
      <c r="AV1679" s="117"/>
      <c r="AW1679" s="117"/>
      <c r="AX1679" s="117"/>
      <c r="AY1679" s="117"/>
      <c r="AZ1679" s="117"/>
      <c r="BA1679" s="117"/>
      <c r="BB1679" s="117"/>
      <c r="BC1679" s="117"/>
      <c r="BD1679" s="117"/>
      <c r="BE1679" s="117"/>
      <c r="BF1679" s="117"/>
      <c r="BG1679" s="117"/>
    </row>
    <row r="1680" spans="1:59">
      <c r="A1680" s="117"/>
      <c r="B1680" s="117"/>
      <c r="C1680" s="117"/>
      <c r="D1680" s="117"/>
      <c r="E1680" s="117"/>
      <c r="F1680" s="117"/>
      <c r="G1680" s="117"/>
      <c r="H1680" s="117"/>
      <c r="I1680" s="117"/>
      <c r="J1680" s="118"/>
      <c r="K1680" s="118"/>
      <c r="L1680" s="118"/>
      <c r="M1680" s="118"/>
      <c r="N1680" s="117"/>
      <c r="O1680" s="117"/>
      <c r="P1680" s="117"/>
      <c r="Q1680" s="117"/>
      <c r="R1680" s="117"/>
      <c r="S1680" s="117"/>
      <c r="T1680" s="117"/>
      <c r="U1680" s="117"/>
      <c r="V1680" s="117"/>
      <c r="W1680" s="117"/>
      <c r="X1680" s="117"/>
      <c r="Y1680" s="117"/>
      <c r="Z1680" s="117"/>
      <c r="AA1680" s="117"/>
      <c r="AB1680" s="117"/>
      <c r="AC1680" s="117"/>
      <c r="AD1680" s="117"/>
      <c r="AE1680" s="117"/>
      <c r="AF1680" s="117"/>
      <c r="AG1680" s="117"/>
      <c r="AH1680" s="117"/>
      <c r="AI1680" s="117"/>
      <c r="AJ1680" s="117"/>
      <c r="AK1680" s="117"/>
      <c r="AL1680" s="117"/>
      <c r="AM1680" s="117"/>
      <c r="AN1680" s="117"/>
      <c r="AO1680" s="117"/>
      <c r="AP1680" s="117"/>
      <c r="AQ1680" s="117"/>
      <c r="AR1680" s="117"/>
      <c r="AS1680" s="117"/>
      <c r="AT1680" s="117"/>
      <c r="AU1680" s="117"/>
      <c r="AV1680" s="117"/>
      <c r="AW1680" s="117"/>
      <c r="AX1680" s="117"/>
      <c r="AY1680" s="117"/>
      <c r="AZ1680" s="117"/>
      <c r="BA1680" s="117"/>
      <c r="BB1680" s="117"/>
      <c r="BC1680" s="117"/>
      <c r="BD1680" s="117"/>
      <c r="BE1680" s="117"/>
      <c r="BF1680" s="117"/>
      <c r="BG1680" s="117"/>
    </row>
    <row r="1681" spans="1:59">
      <c r="A1681" s="117"/>
      <c r="B1681" s="117"/>
      <c r="C1681" s="117"/>
      <c r="D1681" s="117"/>
      <c r="E1681" s="117"/>
      <c r="F1681" s="117"/>
      <c r="G1681" s="117"/>
      <c r="H1681" s="117"/>
      <c r="I1681" s="117"/>
      <c r="J1681" s="118"/>
      <c r="K1681" s="118"/>
      <c r="L1681" s="118"/>
      <c r="M1681" s="118"/>
      <c r="N1681" s="117"/>
      <c r="O1681" s="117"/>
      <c r="P1681" s="117"/>
      <c r="Q1681" s="117"/>
      <c r="R1681" s="117"/>
      <c r="S1681" s="117"/>
      <c r="T1681" s="117"/>
      <c r="U1681" s="117"/>
      <c r="V1681" s="117"/>
      <c r="W1681" s="117"/>
      <c r="X1681" s="117"/>
      <c r="Y1681" s="117"/>
      <c r="Z1681" s="117"/>
      <c r="AA1681" s="117"/>
      <c r="AB1681" s="117"/>
      <c r="AC1681" s="117"/>
      <c r="AD1681" s="117"/>
      <c r="AE1681" s="117"/>
      <c r="AF1681" s="117"/>
      <c r="AG1681" s="117"/>
      <c r="AH1681" s="117"/>
      <c r="AI1681" s="117"/>
      <c r="AJ1681" s="117"/>
      <c r="AK1681" s="117"/>
      <c r="AL1681" s="117"/>
      <c r="AM1681" s="117"/>
      <c r="AN1681" s="117"/>
      <c r="AO1681" s="117"/>
      <c r="AP1681" s="117"/>
      <c r="AQ1681" s="117"/>
      <c r="AR1681" s="117"/>
      <c r="AS1681" s="117"/>
      <c r="AT1681" s="117"/>
      <c r="AU1681" s="117"/>
      <c r="AV1681" s="117"/>
      <c r="AW1681" s="117"/>
      <c r="AX1681" s="117"/>
      <c r="AY1681" s="117"/>
      <c r="AZ1681" s="117"/>
      <c r="BA1681" s="117"/>
      <c r="BB1681" s="117"/>
      <c r="BC1681" s="117"/>
      <c r="BD1681" s="117"/>
      <c r="BE1681" s="117"/>
      <c r="BF1681" s="117"/>
      <c r="BG1681" s="117"/>
    </row>
    <row r="1682" spans="1:59">
      <c r="A1682" s="117"/>
      <c r="B1682" s="117"/>
      <c r="C1682" s="117"/>
      <c r="D1682" s="117"/>
      <c r="E1682" s="117"/>
      <c r="F1682" s="117"/>
      <c r="G1682" s="117"/>
      <c r="H1682" s="117"/>
      <c r="I1682" s="117"/>
      <c r="J1682" s="118"/>
      <c r="K1682" s="118"/>
      <c r="L1682" s="118"/>
      <c r="M1682" s="118"/>
      <c r="N1682" s="117"/>
      <c r="O1682" s="117"/>
      <c r="P1682" s="117"/>
      <c r="Q1682" s="117"/>
      <c r="R1682" s="117"/>
      <c r="S1682" s="117"/>
      <c r="T1682" s="117"/>
      <c r="U1682" s="117"/>
      <c r="V1682" s="117"/>
      <c r="W1682" s="117"/>
      <c r="X1682" s="117"/>
      <c r="Y1682" s="117"/>
      <c r="Z1682" s="117"/>
      <c r="AA1682" s="117"/>
      <c r="AB1682" s="117"/>
      <c r="AC1682" s="117"/>
      <c r="AD1682" s="117"/>
      <c r="AE1682" s="117"/>
      <c r="AF1682" s="117"/>
      <c r="AG1682" s="117"/>
      <c r="AH1682" s="117"/>
      <c r="AI1682" s="117"/>
      <c r="AJ1682" s="117"/>
      <c r="AK1682" s="117"/>
      <c r="AL1682" s="117"/>
      <c r="AM1682" s="117"/>
      <c r="AN1682" s="117"/>
      <c r="AO1682" s="117"/>
      <c r="AP1682" s="117"/>
      <c r="AQ1682" s="117"/>
      <c r="AR1682" s="117"/>
      <c r="AS1682" s="117"/>
      <c r="AT1682" s="117"/>
      <c r="AU1682" s="117"/>
      <c r="AV1682" s="117"/>
      <c r="AW1682" s="117"/>
      <c r="AX1682" s="117"/>
      <c r="AY1682" s="117"/>
      <c r="AZ1682" s="117"/>
      <c r="BA1682" s="117"/>
      <c r="BB1682" s="117"/>
      <c r="BC1682" s="117"/>
      <c r="BD1682" s="117"/>
      <c r="BE1682" s="117"/>
      <c r="BF1682" s="117"/>
      <c r="BG1682" s="117"/>
    </row>
    <row r="1683" spans="1:59">
      <c r="A1683" s="117"/>
      <c r="B1683" s="117"/>
      <c r="C1683" s="117"/>
      <c r="D1683" s="117"/>
      <c r="E1683" s="117"/>
      <c r="F1683" s="117"/>
      <c r="G1683" s="117"/>
      <c r="H1683" s="117"/>
      <c r="I1683" s="117"/>
      <c r="J1683" s="118"/>
      <c r="K1683" s="118"/>
      <c r="L1683" s="118"/>
      <c r="M1683" s="118"/>
      <c r="N1683" s="117"/>
      <c r="O1683" s="117"/>
      <c r="P1683" s="117"/>
      <c r="Q1683" s="117"/>
      <c r="R1683" s="117"/>
      <c r="S1683" s="117"/>
      <c r="T1683" s="117"/>
      <c r="U1683" s="117"/>
      <c r="V1683" s="117"/>
      <c r="W1683" s="117"/>
      <c r="X1683" s="117"/>
      <c r="Y1683" s="117"/>
      <c r="Z1683" s="117"/>
      <c r="AA1683" s="117"/>
      <c r="AB1683" s="117"/>
      <c r="AC1683" s="117"/>
      <c r="AD1683" s="117"/>
      <c r="AE1683" s="117"/>
      <c r="AF1683" s="117"/>
      <c r="AG1683" s="117"/>
      <c r="AH1683" s="117"/>
      <c r="AI1683" s="117"/>
      <c r="AJ1683" s="117"/>
      <c r="AK1683" s="117"/>
      <c r="AL1683" s="117"/>
      <c r="AM1683" s="117"/>
      <c r="AN1683" s="117"/>
      <c r="AO1683" s="117"/>
      <c r="AP1683" s="117"/>
      <c r="AQ1683" s="117"/>
      <c r="AR1683" s="117"/>
      <c r="AS1683" s="117"/>
      <c r="AT1683" s="117"/>
      <c r="AU1683" s="117"/>
      <c r="AV1683" s="117"/>
      <c r="AW1683" s="117"/>
      <c r="AX1683" s="117"/>
      <c r="AY1683" s="117"/>
      <c r="AZ1683" s="117"/>
      <c r="BA1683" s="117"/>
      <c r="BB1683" s="117"/>
      <c r="BC1683" s="117"/>
      <c r="BD1683" s="117"/>
      <c r="BE1683" s="117"/>
      <c r="BF1683" s="117"/>
      <c r="BG1683" s="117"/>
    </row>
    <row r="1684" spans="1:59">
      <c r="A1684" s="117"/>
      <c r="B1684" s="117"/>
      <c r="C1684" s="117"/>
      <c r="D1684" s="117"/>
      <c r="E1684" s="117"/>
      <c r="F1684" s="117"/>
      <c r="G1684" s="117"/>
      <c r="H1684" s="117"/>
      <c r="I1684" s="117"/>
      <c r="J1684" s="118"/>
      <c r="K1684" s="118"/>
      <c r="L1684" s="118"/>
      <c r="M1684" s="118"/>
      <c r="N1684" s="117"/>
      <c r="O1684" s="117"/>
      <c r="P1684" s="117"/>
      <c r="Q1684" s="117"/>
      <c r="R1684" s="117"/>
      <c r="S1684" s="117"/>
      <c r="T1684" s="117"/>
      <c r="U1684" s="117"/>
      <c r="V1684" s="117"/>
      <c r="W1684" s="117"/>
      <c r="X1684" s="117"/>
      <c r="Y1684" s="117"/>
      <c r="Z1684" s="117"/>
      <c r="AA1684" s="117"/>
      <c r="AB1684" s="117"/>
      <c r="AC1684" s="117"/>
      <c r="AD1684" s="117"/>
      <c r="AE1684" s="117"/>
      <c r="AF1684" s="117"/>
      <c r="AG1684" s="117"/>
      <c r="AH1684" s="117"/>
      <c r="AI1684" s="117"/>
      <c r="AJ1684" s="117"/>
      <c r="AK1684" s="117"/>
      <c r="AL1684" s="117"/>
      <c r="AM1684" s="117"/>
      <c r="AN1684" s="117"/>
      <c r="AO1684" s="117"/>
      <c r="AP1684" s="117"/>
      <c r="AQ1684" s="117"/>
      <c r="AR1684" s="117"/>
      <c r="AS1684" s="117"/>
      <c r="AT1684" s="117"/>
      <c r="AU1684" s="117"/>
      <c r="AV1684" s="117"/>
      <c r="AW1684" s="117"/>
      <c r="AX1684" s="117"/>
      <c r="AY1684" s="117"/>
      <c r="AZ1684" s="117"/>
      <c r="BA1684" s="117"/>
      <c r="BB1684" s="117"/>
      <c r="BC1684" s="117"/>
      <c r="BD1684" s="117"/>
      <c r="BE1684" s="117"/>
      <c r="BF1684" s="117"/>
      <c r="BG1684" s="117"/>
    </row>
    <row r="1685" spans="1:59">
      <c r="A1685" s="117"/>
      <c r="B1685" s="117"/>
      <c r="C1685" s="117"/>
      <c r="D1685" s="117"/>
      <c r="E1685" s="117"/>
      <c r="F1685" s="117"/>
      <c r="G1685" s="117"/>
      <c r="H1685" s="117"/>
      <c r="I1685" s="117"/>
      <c r="J1685" s="118"/>
      <c r="K1685" s="118"/>
      <c r="L1685" s="118"/>
      <c r="M1685" s="118"/>
      <c r="N1685" s="117"/>
      <c r="O1685" s="117"/>
      <c r="P1685" s="117"/>
      <c r="Q1685" s="117"/>
      <c r="R1685" s="117"/>
      <c r="S1685" s="117"/>
      <c r="T1685" s="117"/>
      <c r="U1685" s="117"/>
      <c r="V1685" s="117"/>
      <c r="W1685" s="117"/>
      <c r="X1685" s="117"/>
      <c r="Y1685" s="117"/>
      <c r="Z1685" s="117"/>
      <c r="AA1685" s="117"/>
      <c r="AB1685" s="117"/>
      <c r="AC1685" s="117"/>
      <c r="AD1685" s="117"/>
      <c r="AE1685" s="117"/>
      <c r="AF1685" s="117"/>
      <c r="AG1685" s="117"/>
      <c r="AH1685" s="117"/>
      <c r="AI1685" s="117"/>
      <c r="AJ1685" s="117"/>
      <c r="AK1685" s="117"/>
      <c r="AL1685" s="117"/>
      <c r="AM1685" s="117"/>
      <c r="AN1685" s="117"/>
      <c r="AO1685" s="117"/>
      <c r="AP1685" s="117"/>
      <c r="AQ1685" s="117"/>
      <c r="AR1685" s="117"/>
      <c r="AS1685" s="117"/>
      <c r="AT1685" s="117"/>
      <c r="AU1685" s="117"/>
      <c r="AV1685" s="117"/>
      <c r="AW1685" s="117"/>
      <c r="AX1685" s="117"/>
      <c r="AY1685" s="117"/>
      <c r="AZ1685" s="117"/>
      <c r="BA1685" s="117"/>
      <c r="BB1685" s="117"/>
      <c r="BC1685" s="117"/>
      <c r="BD1685" s="117"/>
      <c r="BE1685" s="117"/>
      <c r="BF1685" s="117"/>
      <c r="BG1685" s="117"/>
    </row>
    <row r="1686" spans="1:59">
      <c r="A1686" s="117"/>
      <c r="B1686" s="117"/>
      <c r="C1686" s="117"/>
      <c r="D1686" s="117"/>
      <c r="E1686" s="117"/>
      <c r="F1686" s="117"/>
      <c r="G1686" s="117"/>
      <c r="H1686" s="117"/>
      <c r="I1686" s="117"/>
      <c r="J1686" s="118"/>
      <c r="K1686" s="118"/>
      <c r="L1686" s="118"/>
      <c r="M1686" s="118"/>
      <c r="N1686" s="117"/>
      <c r="O1686" s="117"/>
      <c r="P1686" s="117"/>
      <c r="Q1686" s="117"/>
      <c r="R1686" s="117"/>
      <c r="S1686" s="117"/>
      <c r="T1686" s="117"/>
      <c r="U1686" s="117"/>
      <c r="V1686" s="117"/>
      <c r="W1686" s="117"/>
      <c r="X1686" s="117"/>
      <c r="Y1686" s="117"/>
      <c r="Z1686" s="117"/>
      <c r="AA1686" s="117"/>
      <c r="AB1686" s="117"/>
      <c r="AC1686" s="117"/>
      <c r="AD1686" s="117"/>
      <c r="AE1686" s="117"/>
      <c r="AF1686" s="117"/>
      <c r="AG1686" s="117"/>
      <c r="AH1686" s="117"/>
      <c r="AI1686" s="117"/>
      <c r="AJ1686" s="117"/>
      <c r="AK1686" s="117"/>
      <c r="AL1686" s="117"/>
      <c r="AM1686" s="117"/>
      <c r="AN1686" s="117"/>
      <c r="AO1686" s="117"/>
      <c r="AP1686" s="117"/>
      <c r="AQ1686" s="117"/>
      <c r="AR1686" s="117"/>
      <c r="AS1686" s="117"/>
      <c r="AT1686" s="117"/>
      <c r="AU1686" s="117"/>
      <c r="AV1686" s="117"/>
      <c r="AW1686" s="117"/>
      <c r="AX1686" s="117"/>
      <c r="AY1686" s="117"/>
      <c r="AZ1686" s="117"/>
      <c r="BA1686" s="117"/>
      <c r="BB1686" s="117"/>
      <c r="BC1686" s="117"/>
      <c r="BD1686" s="117"/>
      <c r="BE1686" s="117"/>
      <c r="BF1686" s="117"/>
      <c r="BG1686" s="117"/>
    </row>
    <row r="1687" spans="1:59">
      <c r="A1687" s="117"/>
      <c r="B1687" s="117"/>
      <c r="C1687" s="117"/>
      <c r="D1687" s="117"/>
      <c r="E1687" s="117"/>
      <c r="F1687" s="117"/>
      <c r="G1687" s="117"/>
      <c r="H1687" s="117"/>
      <c r="I1687" s="117"/>
      <c r="J1687" s="118"/>
      <c r="K1687" s="118"/>
      <c r="L1687" s="118"/>
      <c r="M1687" s="118"/>
      <c r="N1687" s="117"/>
      <c r="O1687" s="117"/>
      <c r="P1687" s="117"/>
      <c r="Q1687" s="117"/>
      <c r="R1687" s="117"/>
      <c r="S1687" s="117"/>
      <c r="T1687" s="117"/>
      <c r="U1687" s="117"/>
      <c r="V1687" s="117"/>
      <c r="W1687" s="117"/>
      <c r="X1687" s="117"/>
      <c r="Y1687" s="117"/>
      <c r="Z1687" s="117"/>
      <c r="AA1687" s="117"/>
      <c r="AB1687" s="117"/>
      <c r="AC1687" s="117"/>
      <c r="AD1687" s="117"/>
      <c r="AE1687" s="117"/>
      <c r="AF1687" s="117"/>
      <c r="AG1687" s="117"/>
      <c r="AH1687" s="117"/>
      <c r="AI1687" s="117"/>
      <c r="AJ1687" s="117"/>
      <c r="AK1687" s="117"/>
      <c r="AL1687" s="117"/>
      <c r="AM1687" s="117"/>
      <c r="AN1687" s="117"/>
      <c r="AO1687" s="117"/>
      <c r="AP1687" s="117"/>
      <c r="AQ1687" s="117"/>
      <c r="AR1687" s="117"/>
      <c r="AS1687" s="117"/>
      <c r="AT1687" s="117"/>
      <c r="AU1687" s="117"/>
      <c r="AV1687" s="117"/>
      <c r="AW1687" s="117"/>
      <c r="AX1687" s="117"/>
      <c r="AY1687" s="117"/>
      <c r="AZ1687" s="117"/>
      <c r="BA1687" s="117"/>
      <c r="BB1687" s="117"/>
      <c r="BC1687" s="117"/>
      <c r="BD1687" s="117"/>
      <c r="BE1687" s="117"/>
      <c r="BF1687" s="117"/>
      <c r="BG1687" s="117"/>
    </row>
    <row r="1688" spans="1:59">
      <c r="A1688" s="117"/>
      <c r="B1688" s="117"/>
      <c r="C1688" s="117"/>
      <c r="D1688" s="117"/>
      <c r="E1688" s="117"/>
      <c r="F1688" s="117"/>
      <c r="G1688" s="117"/>
      <c r="H1688" s="117"/>
      <c r="I1688" s="117"/>
      <c r="J1688" s="118"/>
      <c r="K1688" s="118"/>
      <c r="L1688" s="118"/>
      <c r="M1688" s="118"/>
      <c r="N1688" s="117"/>
      <c r="O1688" s="117"/>
      <c r="P1688" s="117"/>
      <c r="Q1688" s="117"/>
      <c r="R1688" s="117"/>
      <c r="S1688" s="117"/>
      <c r="T1688" s="117"/>
      <c r="U1688" s="117"/>
      <c r="V1688" s="117"/>
      <c r="W1688" s="117"/>
      <c r="X1688" s="117"/>
      <c r="Y1688" s="117"/>
      <c r="Z1688" s="117"/>
      <c r="AA1688" s="117"/>
      <c r="AB1688" s="117"/>
      <c r="AC1688" s="117"/>
      <c r="AD1688" s="117"/>
      <c r="AE1688" s="117"/>
      <c r="AF1688" s="117"/>
      <c r="AG1688" s="117"/>
      <c r="AH1688" s="117"/>
      <c r="AI1688" s="117"/>
      <c r="AJ1688" s="117"/>
      <c r="AK1688" s="117"/>
      <c r="AL1688" s="117"/>
      <c r="AM1688" s="117"/>
      <c r="AN1688" s="117"/>
      <c r="AO1688" s="117"/>
      <c r="AP1688" s="117"/>
      <c r="AQ1688" s="117"/>
      <c r="AR1688" s="117"/>
      <c r="AS1688" s="117"/>
      <c r="AT1688" s="117"/>
      <c r="AU1688" s="117"/>
      <c r="AV1688" s="117"/>
      <c r="AW1688" s="117"/>
      <c r="AX1688" s="117"/>
      <c r="AY1688" s="117"/>
      <c r="AZ1688" s="117"/>
      <c r="BA1688" s="117"/>
      <c r="BB1688" s="117"/>
      <c r="BC1688" s="117"/>
      <c r="BD1688" s="117"/>
      <c r="BE1688" s="117"/>
      <c r="BF1688" s="117"/>
      <c r="BG1688" s="117"/>
    </row>
    <row r="1689" spans="1:59">
      <c r="A1689" s="117"/>
      <c r="B1689" s="117"/>
      <c r="C1689" s="117"/>
      <c r="D1689" s="117"/>
      <c r="E1689" s="117"/>
      <c r="F1689" s="117"/>
      <c r="G1689" s="117"/>
      <c r="H1689" s="117"/>
      <c r="I1689" s="117"/>
      <c r="J1689" s="118"/>
      <c r="K1689" s="118"/>
      <c r="L1689" s="118"/>
      <c r="M1689" s="118"/>
      <c r="N1689" s="117"/>
      <c r="O1689" s="117"/>
      <c r="P1689" s="117"/>
      <c r="Q1689" s="117"/>
      <c r="R1689" s="117"/>
      <c r="S1689" s="117"/>
      <c r="T1689" s="117"/>
      <c r="U1689" s="117"/>
      <c r="V1689" s="117"/>
      <c r="W1689" s="117"/>
      <c r="X1689" s="117"/>
      <c r="Y1689" s="117"/>
      <c r="Z1689" s="117"/>
      <c r="AA1689" s="117"/>
      <c r="AB1689" s="117"/>
      <c r="AC1689" s="117"/>
      <c r="AD1689" s="117"/>
      <c r="AE1689" s="117"/>
      <c r="AF1689" s="117"/>
      <c r="AG1689" s="117"/>
      <c r="AH1689" s="117"/>
      <c r="AI1689" s="117"/>
      <c r="AJ1689" s="117"/>
      <c r="AK1689" s="117"/>
      <c r="AL1689" s="117"/>
      <c r="AM1689" s="117"/>
      <c r="AN1689" s="117"/>
      <c r="AO1689" s="117"/>
      <c r="AP1689" s="117"/>
      <c r="AQ1689" s="117"/>
      <c r="AR1689" s="117"/>
      <c r="AS1689" s="117"/>
      <c r="AT1689" s="117"/>
      <c r="AU1689" s="117"/>
      <c r="AV1689" s="117"/>
      <c r="AW1689" s="117"/>
      <c r="AX1689" s="117"/>
      <c r="AY1689" s="117"/>
      <c r="AZ1689" s="117"/>
      <c r="BA1689" s="117"/>
      <c r="BB1689" s="117"/>
      <c r="BC1689" s="117"/>
      <c r="BD1689" s="117"/>
      <c r="BE1689" s="117"/>
      <c r="BF1689" s="117"/>
      <c r="BG1689" s="117"/>
    </row>
    <row r="1690" spans="1:59">
      <c r="A1690" s="117"/>
      <c r="B1690" s="117"/>
      <c r="C1690" s="117"/>
      <c r="D1690" s="117"/>
      <c r="E1690" s="117"/>
      <c r="F1690" s="117"/>
      <c r="G1690" s="117"/>
      <c r="H1690" s="117"/>
      <c r="I1690" s="117"/>
      <c r="J1690" s="118"/>
      <c r="K1690" s="118"/>
      <c r="L1690" s="118"/>
      <c r="M1690" s="118"/>
      <c r="N1690" s="117"/>
      <c r="O1690" s="117"/>
      <c r="P1690" s="117"/>
      <c r="Q1690" s="117"/>
      <c r="R1690" s="117"/>
      <c r="S1690" s="117"/>
      <c r="T1690" s="117"/>
      <c r="U1690" s="117"/>
      <c r="V1690" s="117"/>
      <c r="W1690" s="117"/>
      <c r="X1690" s="117"/>
      <c r="Y1690" s="117"/>
      <c r="Z1690" s="117"/>
      <c r="AA1690" s="117"/>
      <c r="AB1690" s="117"/>
      <c r="AC1690" s="117"/>
      <c r="AD1690" s="117"/>
      <c r="AE1690" s="117"/>
      <c r="AF1690" s="117"/>
      <c r="AG1690" s="117"/>
      <c r="AH1690" s="117"/>
      <c r="AI1690" s="117"/>
      <c r="AJ1690" s="117"/>
      <c r="AK1690" s="117"/>
      <c r="AL1690" s="117"/>
      <c r="AM1690" s="117"/>
      <c r="AN1690" s="117"/>
      <c r="AO1690" s="117"/>
      <c r="AP1690" s="117"/>
      <c r="AQ1690" s="117"/>
      <c r="AR1690" s="117"/>
      <c r="AS1690" s="117"/>
      <c r="AT1690" s="117"/>
      <c r="AU1690" s="117"/>
      <c r="AV1690" s="117"/>
      <c r="AW1690" s="117"/>
      <c r="AX1690" s="117"/>
      <c r="AY1690" s="117"/>
      <c r="AZ1690" s="117"/>
      <c r="BA1690" s="117"/>
      <c r="BB1690" s="117"/>
      <c r="BC1690" s="117"/>
      <c r="BD1690" s="117"/>
      <c r="BE1690" s="117"/>
      <c r="BF1690" s="117"/>
      <c r="BG1690" s="117"/>
    </row>
    <row r="1691" spans="1:59">
      <c r="A1691" s="117"/>
      <c r="B1691" s="117"/>
      <c r="C1691" s="117"/>
      <c r="D1691" s="117"/>
      <c r="E1691" s="117"/>
      <c r="F1691" s="117"/>
      <c r="G1691" s="117"/>
      <c r="H1691" s="117"/>
      <c r="I1691" s="117"/>
      <c r="J1691" s="118"/>
      <c r="K1691" s="118"/>
      <c r="L1691" s="118"/>
      <c r="M1691" s="118"/>
      <c r="N1691" s="117"/>
      <c r="O1691" s="117"/>
      <c r="P1691" s="117"/>
      <c r="Q1691" s="117"/>
      <c r="R1691" s="117"/>
      <c r="S1691" s="117"/>
      <c r="T1691" s="117"/>
      <c r="U1691" s="117"/>
      <c r="V1691" s="117"/>
      <c r="W1691" s="117"/>
      <c r="X1691" s="117"/>
      <c r="Y1691" s="117"/>
      <c r="Z1691" s="117"/>
      <c r="AA1691" s="117"/>
      <c r="AB1691" s="117"/>
      <c r="AC1691" s="117"/>
      <c r="AD1691" s="117"/>
      <c r="AE1691" s="117"/>
      <c r="AF1691" s="117"/>
      <c r="AG1691" s="117"/>
      <c r="AH1691" s="117"/>
      <c r="AI1691" s="117"/>
      <c r="AJ1691" s="117"/>
      <c r="AK1691" s="117"/>
      <c r="AL1691" s="117"/>
      <c r="AM1691" s="117"/>
      <c r="AN1691" s="117"/>
      <c r="AO1691" s="117"/>
      <c r="AP1691" s="117"/>
      <c r="AQ1691" s="117"/>
      <c r="AR1691" s="117"/>
      <c r="AS1691" s="117"/>
      <c r="AT1691" s="117"/>
      <c r="AU1691" s="117"/>
      <c r="AV1691" s="117"/>
      <c r="AW1691" s="117"/>
      <c r="AX1691" s="117"/>
      <c r="AY1691" s="117"/>
      <c r="AZ1691" s="117"/>
      <c r="BA1691" s="117"/>
      <c r="BB1691" s="117"/>
      <c r="BC1691" s="117"/>
      <c r="BD1691" s="117"/>
      <c r="BE1691" s="117"/>
      <c r="BF1691" s="117"/>
      <c r="BG1691" s="117"/>
    </row>
    <row r="1692" spans="1:59">
      <c r="A1692" s="117"/>
      <c r="B1692" s="117"/>
      <c r="C1692" s="117"/>
      <c r="D1692" s="117"/>
      <c r="E1692" s="117"/>
      <c r="F1692" s="117"/>
      <c r="G1692" s="117"/>
      <c r="H1692" s="117"/>
      <c r="I1692" s="117"/>
      <c r="J1692" s="118"/>
      <c r="K1692" s="118"/>
      <c r="L1692" s="118"/>
      <c r="M1692" s="118"/>
      <c r="N1692" s="117"/>
      <c r="O1692" s="117"/>
      <c r="P1692" s="117"/>
      <c r="Q1692" s="117"/>
      <c r="R1692" s="117"/>
      <c r="S1692" s="117"/>
      <c r="T1692" s="117"/>
      <c r="U1692" s="117"/>
      <c r="V1692" s="117"/>
      <c r="W1692" s="117"/>
      <c r="X1692" s="117"/>
      <c r="Y1692" s="117"/>
      <c r="Z1692" s="117"/>
      <c r="AA1692" s="117"/>
      <c r="AB1692" s="117"/>
      <c r="AC1692" s="117"/>
      <c r="AD1692" s="117"/>
      <c r="AE1692" s="117"/>
      <c r="AF1692" s="117"/>
      <c r="AG1692" s="117"/>
      <c r="AH1692" s="117"/>
      <c r="AI1692" s="117"/>
      <c r="AJ1692" s="117"/>
      <c r="AK1692" s="117"/>
      <c r="AL1692" s="117"/>
      <c r="AM1692" s="117"/>
      <c r="AN1692" s="117"/>
      <c r="AO1692" s="117"/>
      <c r="AP1692" s="117"/>
      <c r="AQ1692" s="117"/>
      <c r="AR1692" s="117"/>
      <c r="AS1692" s="117"/>
      <c r="AT1692" s="117"/>
      <c r="AU1692" s="117"/>
      <c r="AV1692" s="117"/>
      <c r="AW1692" s="117"/>
      <c r="AX1692" s="117"/>
      <c r="AY1692" s="117"/>
      <c r="AZ1692" s="117"/>
      <c r="BA1692" s="117"/>
      <c r="BB1692" s="117"/>
      <c r="BC1692" s="117"/>
      <c r="BD1692" s="117"/>
      <c r="BE1692" s="117"/>
      <c r="BF1692" s="117"/>
      <c r="BG1692" s="117"/>
    </row>
    <row r="1693" spans="1:59">
      <c r="A1693" s="117"/>
      <c r="B1693" s="117"/>
      <c r="C1693" s="117"/>
      <c r="D1693" s="117"/>
      <c r="E1693" s="117"/>
      <c r="F1693" s="117"/>
      <c r="G1693" s="117"/>
      <c r="H1693" s="117"/>
      <c r="I1693" s="117"/>
      <c r="J1693" s="118"/>
      <c r="K1693" s="118"/>
      <c r="L1693" s="118"/>
      <c r="M1693" s="118"/>
      <c r="N1693" s="117"/>
      <c r="O1693" s="117"/>
      <c r="P1693" s="117"/>
      <c r="Q1693" s="117"/>
      <c r="R1693" s="117"/>
      <c r="S1693" s="117"/>
      <c r="T1693" s="117"/>
      <c r="U1693" s="117"/>
      <c r="V1693" s="117"/>
      <c r="W1693" s="117"/>
      <c r="X1693" s="117"/>
      <c r="Y1693" s="117"/>
      <c r="Z1693" s="117"/>
      <c r="AA1693" s="117"/>
      <c r="AB1693" s="117"/>
      <c r="AC1693" s="117"/>
      <c r="AD1693" s="117"/>
      <c r="AE1693" s="117"/>
      <c r="AF1693" s="117"/>
      <c r="AG1693" s="117"/>
      <c r="AH1693" s="117"/>
      <c r="AI1693" s="117"/>
      <c r="AJ1693" s="117"/>
      <c r="AK1693" s="117"/>
      <c r="AL1693" s="117"/>
      <c r="AM1693" s="117"/>
      <c r="AN1693" s="117"/>
      <c r="AO1693" s="117"/>
      <c r="AP1693" s="117"/>
      <c r="AQ1693" s="117"/>
      <c r="AR1693" s="117"/>
      <c r="AS1693" s="117"/>
      <c r="AT1693" s="117"/>
      <c r="AU1693" s="117"/>
      <c r="AV1693" s="117"/>
      <c r="AW1693" s="117"/>
      <c r="AX1693" s="117"/>
      <c r="AY1693" s="117"/>
      <c r="AZ1693" s="117"/>
      <c r="BA1693" s="117"/>
      <c r="BB1693" s="117"/>
      <c r="BC1693" s="117"/>
      <c r="BD1693" s="117"/>
      <c r="BE1693" s="117"/>
      <c r="BF1693" s="117"/>
      <c r="BG1693" s="117"/>
    </row>
    <row r="1694" spans="1:59">
      <c r="A1694" s="117"/>
      <c r="B1694" s="117"/>
      <c r="C1694" s="117"/>
      <c r="D1694" s="117"/>
      <c r="E1694" s="117"/>
      <c r="F1694" s="117"/>
      <c r="G1694" s="117"/>
      <c r="H1694" s="117"/>
      <c r="I1694" s="117"/>
      <c r="J1694" s="118"/>
      <c r="K1694" s="118"/>
      <c r="L1694" s="118"/>
      <c r="M1694" s="118"/>
      <c r="N1694" s="117"/>
      <c r="O1694" s="117"/>
      <c r="P1694" s="117"/>
      <c r="Q1694" s="117"/>
      <c r="R1694" s="117"/>
      <c r="S1694" s="117"/>
      <c r="T1694" s="117"/>
      <c r="U1694" s="117"/>
      <c r="V1694" s="117"/>
      <c r="W1694" s="117"/>
      <c r="X1694" s="117"/>
      <c r="Y1694" s="117"/>
      <c r="Z1694" s="117"/>
      <c r="AA1694" s="117"/>
      <c r="AB1694" s="117"/>
      <c r="AC1694" s="117"/>
      <c r="AD1694" s="117"/>
      <c r="AE1694" s="117"/>
      <c r="AF1694" s="117"/>
      <c r="AG1694" s="117"/>
      <c r="AH1694" s="117"/>
      <c r="AI1694" s="117"/>
      <c r="AJ1694" s="117"/>
      <c r="AK1694" s="117"/>
      <c r="AL1694" s="117"/>
      <c r="AM1694" s="117"/>
      <c r="AN1694" s="117"/>
      <c r="AO1694" s="117"/>
      <c r="AP1694" s="117"/>
      <c r="AQ1694" s="117"/>
      <c r="AR1694" s="117"/>
      <c r="AS1694" s="117"/>
      <c r="AT1694" s="117"/>
      <c r="AU1694" s="117"/>
      <c r="AV1694" s="117"/>
      <c r="AW1694" s="117"/>
      <c r="AX1694" s="117"/>
      <c r="AY1694" s="117"/>
      <c r="AZ1694" s="117"/>
      <c r="BA1694" s="117"/>
      <c r="BB1694" s="117"/>
      <c r="BC1694" s="117"/>
      <c r="BD1694" s="117"/>
      <c r="BE1694" s="117"/>
      <c r="BF1694" s="117"/>
      <c r="BG1694" s="117"/>
    </row>
    <row r="1695" spans="1:59">
      <c r="A1695" s="117"/>
      <c r="B1695" s="117"/>
      <c r="C1695" s="117"/>
      <c r="D1695" s="117"/>
      <c r="E1695" s="117"/>
      <c r="F1695" s="117"/>
      <c r="G1695" s="117"/>
      <c r="H1695" s="117"/>
      <c r="I1695" s="117"/>
      <c r="J1695" s="118"/>
      <c r="K1695" s="118"/>
      <c r="L1695" s="118"/>
      <c r="M1695" s="118"/>
      <c r="N1695" s="117"/>
      <c r="O1695" s="117"/>
      <c r="P1695" s="117"/>
      <c r="Q1695" s="117"/>
      <c r="R1695" s="117"/>
      <c r="S1695" s="117"/>
      <c r="T1695" s="117"/>
      <c r="U1695" s="117"/>
      <c r="V1695" s="117"/>
      <c r="W1695" s="117"/>
      <c r="X1695" s="117"/>
      <c r="Y1695" s="117"/>
      <c r="Z1695" s="117"/>
      <c r="AA1695" s="117"/>
      <c r="AB1695" s="117"/>
      <c r="AC1695" s="117"/>
      <c r="AD1695" s="117"/>
      <c r="AE1695" s="117"/>
      <c r="AF1695" s="117"/>
      <c r="AG1695" s="117"/>
      <c r="AH1695" s="117"/>
      <c r="AI1695" s="117"/>
      <c r="AJ1695" s="117"/>
      <c r="AK1695" s="117"/>
      <c r="AL1695" s="117"/>
      <c r="AM1695" s="117"/>
      <c r="AN1695" s="117"/>
      <c r="AO1695" s="117"/>
      <c r="AP1695" s="117"/>
      <c r="AQ1695" s="117"/>
      <c r="AR1695" s="117"/>
      <c r="AS1695" s="117"/>
      <c r="AT1695" s="117"/>
      <c r="AU1695" s="117"/>
      <c r="AV1695" s="117"/>
      <c r="AW1695" s="117"/>
      <c r="AX1695" s="117"/>
      <c r="AY1695" s="117"/>
      <c r="AZ1695" s="117"/>
      <c r="BA1695" s="117"/>
      <c r="BB1695" s="117"/>
      <c r="BC1695" s="117"/>
      <c r="BD1695" s="117"/>
      <c r="BE1695" s="117"/>
      <c r="BF1695" s="117"/>
      <c r="BG1695" s="117"/>
    </row>
    <row r="1696" spans="1:59">
      <c r="A1696" s="117"/>
      <c r="B1696" s="117"/>
      <c r="C1696" s="117"/>
      <c r="D1696" s="117"/>
      <c r="E1696" s="117"/>
      <c r="F1696" s="117"/>
      <c r="G1696" s="117"/>
      <c r="H1696" s="117"/>
      <c r="I1696" s="117"/>
      <c r="J1696" s="118"/>
      <c r="K1696" s="118"/>
      <c r="L1696" s="118"/>
      <c r="M1696" s="118"/>
      <c r="N1696" s="117"/>
      <c r="O1696" s="117"/>
      <c r="P1696" s="117"/>
      <c r="Q1696" s="117"/>
      <c r="R1696" s="117"/>
      <c r="S1696" s="117"/>
      <c r="T1696" s="117"/>
      <c r="U1696" s="117"/>
      <c r="V1696" s="117"/>
      <c r="W1696" s="117"/>
      <c r="X1696" s="117"/>
      <c r="Y1696" s="117"/>
      <c r="Z1696" s="117"/>
      <c r="AA1696" s="117"/>
      <c r="AB1696" s="117"/>
      <c r="AC1696" s="117"/>
      <c r="AD1696" s="117"/>
      <c r="AE1696" s="117"/>
      <c r="AF1696" s="117"/>
      <c r="AG1696" s="117"/>
      <c r="AH1696" s="117"/>
      <c r="AI1696" s="117"/>
      <c r="AJ1696" s="117"/>
      <c r="AK1696" s="117"/>
      <c r="AL1696" s="117"/>
      <c r="AM1696" s="117"/>
      <c r="AN1696" s="117"/>
      <c r="AO1696" s="117"/>
      <c r="AP1696" s="117"/>
      <c r="AQ1696" s="117"/>
      <c r="AR1696" s="117"/>
      <c r="AS1696" s="117"/>
      <c r="AT1696" s="117"/>
      <c r="AU1696" s="117"/>
      <c r="AV1696" s="117"/>
      <c r="AW1696" s="117"/>
      <c r="AX1696" s="117"/>
      <c r="AY1696" s="117"/>
      <c r="AZ1696" s="117"/>
      <c r="BA1696" s="117"/>
      <c r="BB1696" s="117"/>
      <c r="BC1696" s="117"/>
      <c r="BD1696" s="117"/>
      <c r="BE1696" s="117"/>
      <c r="BF1696" s="117"/>
      <c r="BG1696" s="117"/>
    </row>
    <row r="1697" spans="1:59">
      <c r="A1697" s="117"/>
      <c r="B1697" s="117"/>
      <c r="C1697" s="117"/>
      <c r="D1697" s="117"/>
      <c r="E1697" s="117"/>
      <c r="F1697" s="117"/>
      <c r="G1697" s="117"/>
      <c r="H1697" s="117"/>
      <c r="I1697" s="117"/>
      <c r="J1697" s="118"/>
      <c r="K1697" s="118"/>
      <c r="L1697" s="118"/>
      <c r="M1697" s="118"/>
      <c r="N1697" s="117"/>
      <c r="O1697" s="117"/>
      <c r="P1697" s="117"/>
      <c r="Q1697" s="117"/>
      <c r="R1697" s="117"/>
      <c r="S1697" s="117"/>
      <c r="T1697" s="117"/>
      <c r="U1697" s="117"/>
      <c r="V1697" s="117"/>
      <c r="W1697" s="117"/>
      <c r="X1697" s="117"/>
      <c r="Y1697" s="117"/>
      <c r="Z1697" s="117"/>
      <c r="AA1697" s="117"/>
      <c r="AB1697" s="117"/>
      <c r="AC1697" s="117"/>
      <c r="AD1697" s="117"/>
      <c r="AE1697" s="117"/>
      <c r="AF1697" s="117"/>
      <c r="AG1697" s="117"/>
      <c r="AH1697" s="117"/>
      <c r="AI1697" s="117"/>
      <c r="AJ1697" s="117"/>
      <c r="AK1697" s="117"/>
      <c r="AL1697" s="117"/>
      <c r="AM1697" s="117"/>
      <c r="AN1697" s="117"/>
      <c r="AO1697" s="117"/>
      <c r="AP1697" s="117"/>
      <c r="AQ1697" s="117"/>
      <c r="AR1697" s="117"/>
      <c r="AS1697" s="117"/>
      <c r="AT1697" s="117"/>
      <c r="AU1697" s="117"/>
      <c r="AV1697" s="117"/>
      <c r="AW1697" s="117"/>
      <c r="AX1697" s="117"/>
      <c r="AY1697" s="117"/>
      <c r="AZ1697" s="117"/>
      <c r="BA1697" s="117"/>
      <c r="BB1697" s="117"/>
      <c r="BC1697" s="117"/>
      <c r="BD1697" s="117"/>
      <c r="BE1697" s="117"/>
      <c r="BF1697" s="117"/>
      <c r="BG1697" s="117"/>
    </row>
    <row r="1698" spans="1:59">
      <c r="A1698" s="117"/>
      <c r="B1698" s="117"/>
      <c r="C1698" s="117"/>
      <c r="D1698" s="117"/>
      <c r="E1698" s="117"/>
      <c r="F1698" s="117"/>
      <c r="G1698" s="117"/>
      <c r="H1698" s="117"/>
      <c r="I1698" s="117"/>
      <c r="J1698" s="118"/>
      <c r="K1698" s="118"/>
      <c r="L1698" s="118"/>
      <c r="M1698" s="118"/>
      <c r="N1698" s="117"/>
      <c r="O1698" s="117"/>
      <c r="P1698" s="117"/>
      <c r="Q1698" s="117"/>
      <c r="R1698" s="117"/>
      <c r="S1698" s="117"/>
      <c r="T1698" s="117"/>
      <c r="U1698" s="117"/>
      <c r="V1698" s="117"/>
      <c r="W1698" s="117"/>
      <c r="X1698" s="117"/>
      <c r="Y1698" s="117"/>
      <c r="Z1698" s="117"/>
      <c r="AA1698" s="117"/>
      <c r="AB1698" s="117"/>
      <c r="AC1698" s="117"/>
      <c r="AD1698" s="117"/>
      <c r="AE1698" s="117"/>
      <c r="AF1698" s="117"/>
      <c r="AG1698" s="117"/>
      <c r="AH1698" s="117"/>
      <c r="AI1698" s="117"/>
      <c r="AJ1698" s="117"/>
      <c r="AK1698" s="117"/>
      <c r="AL1698" s="117"/>
      <c r="AM1698" s="117"/>
      <c r="AN1698" s="117"/>
      <c r="AO1698" s="117"/>
      <c r="AP1698" s="117"/>
      <c r="AQ1698" s="117"/>
      <c r="AR1698" s="117"/>
      <c r="AS1698" s="117"/>
      <c r="AT1698" s="117"/>
      <c r="AU1698" s="117"/>
      <c r="AV1698" s="117"/>
      <c r="AW1698" s="117"/>
      <c r="AX1698" s="117"/>
      <c r="AY1698" s="117"/>
      <c r="AZ1698" s="117"/>
      <c r="BA1698" s="117"/>
      <c r="BB1698" s="117"/>
      <c r="BC1698" s="117"/>
      <c r="BD1698" s="117"/>
      <c r="BE1698" s="117"/>
      <c r="BF1698" s="117"/>
      <c r="BG1698" s="117"/>
    </row>
    <row r="1699" spans="1:59">
      <c r="A1699" s="117"/>
      <c r="B1699" s="117"/>
      <c r="C1699" s="117"/>
      <c r="D1699" s="117"/>
      <c r="E1699" s="117"/>
      <c r="F1699" s="117"/>
      <c r="G1699" s="117"/>
      <c r="H1699" s="117"/>
      <c r="I1699" s="117"/>
      <c r="J1699" s="118"/>
      <c r="K1699" s="118"/>
      <c r="L1699" s="118"/>
      <c r="M1699" s="118"/>
      <c r="N1699" s="117"/>
      <c r="O1699" s="117"/>
      <c r="P1699" s="117"/>
      <c r="Q1699" s="117"/>
      <c r="R1699" s="117"/>
      <c r="S1699" s="117"/>
      <c r="T1699" s="117"/>
      <c r="U1699" s="117"/>
      <c r="V1699" s="117"/>
      <c r="W1699" s="117"/>
      <c r="X1699" s="117"/>
      <c r="Y1699" s="117"/>
      <c r="Z1699" s="117"/>
      <c r="AA1699" s="117"/>
      <c r="AB1699" s="117"/>
      <c r="AC1699" s="117"/>
      <c r="AD1699" s="117"/>
      <c r="AE1699" s="117"/>
      <c r="AF1699" s="117"/>
      <c r="AG1699" s="117"/>
      <c r="AH1699" s="117"/>
      <c r="AI1699" s="117"/>
      <c r="AJ1699" s="117"/>
      <c r="AK1699" s="117"/>
      <c r="AL1699" s="117"/>
      <c r="AM1699" s="117"/>
      <c r="AN1699" s="117"/>
      <c r="AO1699" s="117"/>
      <c r="AP1699" s="117"/>
      <c r="AQ1699" s="117"/>
      <c r="AR1699" s="117"/>
      <c r="AS1699" s="117"/>
      <c r="AT1699" s="117"/>
      <c r="AU1699" s="117"/>
      <c r="AV1699" s="117"/>
      <c r="AW1699" s="117"/>
      <c r="AX1699" s="117"/>
      <c r="AY1699" s="117"/>
      <c r="AZ1699" s="117"/>
      <c r="BA1699" s="117"/>
      <c r="BB1699" s="117"/>
      <c r="BC1699" s="117"/>
      <c r="BD1699" s="117"/>
      <c r="BE1699" s="117"/>
      <c r="BF1699" s="117"/>
      <c r="BG1699" s="117"/>
    </row>
    <row r="1700" spans="1:59">
      <c r="A1700" s="117"/>
      <c r="B1700" s="117"/>
      <c r="C1700" s="117"/>
      <c r="D1700" s="117"/>
      <c r="E1700" s="117"/>
      <c r="F1700" s="117"/>
      <c r="G1700" s="117"/>
      <c r="H1700" s="117"/>
      <c r="I1700" s="117"/>
      <c r="J1700" s="118"/>
      <c r="K1700" s="118"/>
      <c r="L1700" s="118"/>
      <c r="M1700" s="118"/>
      <c r="N1700" s="117"/>
      <c r="O1700" s="117"/>
      <c r="P1700" s="117"/>
      <c r="Q1700" s="117"/>
      <c r="R1700" s="117"/>
      <c r="S1700" s="117"/>
      <c r="T1700" s="117"/>
      <c r="U1700" s="117"/>
      <c r="V1700" s="117"/>
      <c r="W1700" s="117"/>
      <c r="X1700" s="117"/>
      <c r="Y1700" s="117"/>
      <c r="Z1700" s="117"/>
      <c r="AA1700" s="117"/>
      <c r="AB1700" s="117"/>
      <c r="AC1700" s="117"/>
      <c r="AD1700" s="117"/>
      <c r="AE1700" s="117"/>
      <c r="AF1700" s="117"/>
      <c r="AG1700" s="117"/>
      <c r="AH1700" s="117"/>
      <c r="AI1700" s="117"/>
      <c r="AJ1700" s="117"/>
      <c r="AK1700" s="117"/>
      <c r="AL1700" s="117"/>
      <c r="AM1700" s="117"/>
      <c r="AN1700" s="117"/>
      <c r="AO1700" s="117"/>
      <c r="AP1700" s="117"/>
      <c r="AQ1700" s="117"/>
      <c r="AR1700" s="117"/>
      <c r="AS1700" s="117"/>
      <c r="AT1700" s="117"/>
      <c r="AU1700" s="117"/>
      <c r="AV1700" s="117"/>
      <c r="AW1700" s="117"/>
      <c r="AX1700" s="117"/>
      <c r="AY1700" s="117"/>
      <c r="AZ1700" s="117"/>
      <c r="BA1700" s="117"/>
      <c r="BB1700" s="117"/>
      <c r="BC1700" s="117"/>
      <c r="BD1700" s="117"/>
      <c r="BE1700" s="117"/>
      <c r="BF1700" s="117"/>
      <c r="BG1700" s="117"/>
    </row>
    <row r="1701" spans="1:59">
      <c r="A1701" s="117"/>
      <c r="B1701" s="117"/>
      <c r="C1701" s="117"/>
      <c r="D1701" s="117"/>
      <c r="E1701" s="117"/>
      <c r="F1701" s="117"/>
      <c r="G1701" s="117"/>
      <c r="H1701" s="117"/>
      <c r="I1701" s="117"/>
      <c r="J1701" s="118"/>
      <c r="K1701" s="118"/>
      <c r="L1701" s="118"/>
      <c r="M1701" s="118"/>
      <c r="N1701" s="117"/>
      <c r="O1701" s="117"/>
      <c r="P1701" s="117"/>
      <c r="Q1701" s="117"/>
      <c r="R1701" s="117"/>
      <c r="S1701" s="117"/>
      <c r="T1701" s="117"/>
      <c r="U1701" s="117"/>
      <c r="V1701" s="117"/>
      <c r="W1701" s="117"/>
      <c r="X1701" s="117"/>
      <c r="Y1701" s="117"/>
      <c r="Z1701" s="117"/>
      <c r="AA1701" s="117"/>
      <c r="AB1701" s="117"/>
      <c r="AC1701" s="117"/>
      <c r="AD1701" s="117"/>
      <c r="AE1701" s="117"/>
      <c r="AF1701" s="117"/>
      <c r="AG1701" s="117"/>
      <c r="AH1701" s="117"/>
      <c r="AI1701" s="117"/>
      <c r="AJ1701" s="117"/>
      <c r="AK1701" s="117"/>
      <c r="AL1701" s="117"/>
      <c r="AM1701" s="117"/>
      <c r="AN1701" s="117"/>
      <c r="AO1701" s="117"/>
      <c r="AP1701" s="117"/>
      <c r="AQ1701" s="117"/>
      <c r="AR1701" s="117"/>
      <c r="AS1701" s="117"/>
      <c r="AT1701" s="117"/>
      <c r="AU1701" s="117"/>
      <c r="AV1701" s="117"/>
      <c r="AW1701" s="117"/>
      <c r="AX1701" s="117"/>
      <c r="AY1701" s="117"/>
      <c r="AZ1701" s="117"/>
      <c r="BA1701" s="117"/>
      <c r="BB1701" s="117"/>
      <c r="BC1701" s="117"/>
      <c r="BD1701" s="117"/>
      <c r="BE1701" s="117"/>
      <c r="BF1701" s="117"/>
      <c r="BG1701" s="117"/>
    </row>
    <row r="1702" spans="1:59">
      <c r="A1702" s="117"/>
      <c r="B1702" s="117"/>
      <c r="C1702" s="117"/>
      <c r="D1702" s="117"/>
      <c r="E1702" s="117"/>
      <c r="F1702" s="117"/>
      <c r="G1702" s="117"/>
      <c r="H1702" s="117"/>
      <c r="I1702" s="117"/>
      <c r="J1702" s="118"/>
      <c r="K1702" s="118"/>
      <c r="L1702" s="118"/>
      <c r="M1702" s="118"/>
      <c r="N1702" s="117"/>
      <c r="O1702" s="117"/>
      <c r="P1702" s="117"/>
      <c r="Q1702" s="117"/>
      <c r="R1702" s="117"/>
      <c r="S1702" s="117"/>
      <c r="T1702" s="117"/>
      <c r="U1702" s="117"/>
      <c r="V1702" s="117"/>
      <c r="W1702" s="117"/>
      <c r="X1702" s="117"/>
      <c r="Y1702" s="117"/>
      <c r="Z1702" s="117"/>
      <c r="AA1702" s="117"/>
      <c r="AB1702" s="117"/>
      <c r="AC1702" s="117"/>
      <c r="AD1702" s="117"/>
      <c r="AE1702" s="117"/>
      <c r="AF1702" s="117"/>
      <c r="AG1702" s="117"/>
      <c r="AH1702" s="117"/>
      <c r="AI1702" s="117"/>
      <c r="AJ1702" s="117"/>
      <c r="AK1702" s="117"/>
      <c r="AL1702" s="117"/>
      <c r="AM1702" s="117"/>
      <c r="AN1702" s="117"/>
      <c r="AO1702" s="117"/>
      <c r="AP1702" s="117"/>
      <c r="AQ1702" s="117"/>
      <c r="AR1702" s="117"/>
      <c r="AS1702" s="117"/>
      <c r="AT1702" s="117"/>
      <c r="AU1702" s="117"/>
      <c r="AV1702" s="117"/>
      <c r="AW1702" s="117"/>
      <c r="AX1702" s="117"/>
      <c r="AY1702" s="117"/>
      <c r="AZ1702" s="117"/>
      <c r="BA1702" s="117"/>
      <c r="BB1702" s="117"/>
      <c r="BC1702" s="117"/>
      <c r="BD1702" s="117"/>
      <c r="BE1702" s="117"/>
      <c r="BF1702" s="117"/>
      <c r="BG1702" s="117"/>
    </row>
    <row r="1703" spans="1:59">
      <c r="A1703" s="117"/>
      <c r="B1703" s="117"/>
      <c r="C1703" s="117"/>
      <c r="D1703" s="117"/>
      <c r="E1703" s="117"/>
      <c r="F1703" s="117"/>
      <c r="G1703" s="117"/>
      <c r="H1703" s="117"/>
      <c r="I1703" s="117"/>
      <c r="J1703" s="118"/>
      <c r="K1703" s="118"/>
      <c r="L1703" s="118"/>
      <c r="M1703" s="118"/>
      <c r="N1703" s="117"/>
      <c r="O1703" s="117"/>
      <c r="P1703" s="117"/>
      <c r="Q1703" s="117"/>
      <c r="R1703" s="117"/>
      <c r="S1703" s="117"/>
      <c r="T1703" s="117"/>
      <c r="U1703" s="117"/>
      <c r="V1703" s="117"/>
      <c r="W1703" s="117"/>
      <c r="X1703" s="117"/>
      <c r="Y1703" s="117"/>
      <c r="Z1703" s="117"/>
      <c r="AA1703" s="117"/>
      <c r="AB1703" s="117"/>
      <c r="AC1703" s="117"/>
      <c r="AD1703" s="117"/>
      <c r="AE1703" s="117"/>
      <c r="AF1703" s="117"/>
      <c r="AG1703" s="117"/>
      <c r="AH1703" s="117"/>
      <c r="AI1703" s="117"/>
      <c r="AJ1703" s="117"/>
      <c r="AK1703" s="117"/>
      <c r="AL1703" s="117"/>
      <c r="AM1703" s="117"/>
      <c r="AN1703" s="117"/>
      <c r="AO1703" s="117"/>
      <c r="AP1703" s="117"/>
      <c r="AQ1703" s="117"/>
      <c r="AR1703" s="117"/>
      <c r="AS1703" s="117"/>
      <c r="AT1703" s="117"/>
      <c r="AU1703" s="117"/>
      <c r="AV1703" s="117"/>
      <c r="AW1703" s="117"/>
      <c r="AX1703" s="117"/>
      <c r="AY1703" s="117"/>
      <c r="AZ1703" s="117"/>
      <c r="BA1703" s="117"/>
      <c r="BB1703" s="117"/>
      <c r="BC1703" s="117"/>
      <c r="BD1703" s="117"/>
      <c r="BE1703" s="117"/>
      <c r="BF1703" s="117"/>
      <c r="BG1703" s="117"/>
    </row>
    <row r="1704" spans="1:59">
      <c r="A1704" s="117"/>
      <c r="B1704" s="117"/>
      <c r="C1704" s="117"/>
      <c r="D1704" s="117"/>
      <c r="E1704" s="117"/>
      <c r="F1704" s="117"/>
      <c r="G1704" s="117"/>
      <c r="H1704" s="117"/>
      <c r="I1704" s="117"/>
      <c r="J1704" s="118"/>
      <c r="K1704" s="118"/>
      <c r="L1704" s="118"/>
      <c r="M1704" s="118"/>
      <c r="N1704" s="117"/>
      <c r="O1704" s="117"/>
      <c r="P1704" s="117"/>
      <c r="Q1704" s="117"/>
      <c r="R1704" s="117"/>
      <c r="S1704" s="117"/>
      <c r="T1704" s="117"/>
      <c r="U1704" s="117"/>
      <c r="V1704" s="117"/>
      <c r="W1704" s="117"/>
      <c r="X1704" s="117"/>
      <c r="Y1704" s="117"/>
      <c r="Z1704" s="117"/>
      <c r="AA1704" s="117"/>
      <c r="AB1704" s="117"/>
      <c r="AC1704" s="117"/>
      <c r="AD1704" s="117"/>
      <c r="AE1704" s="117"/>
      <c r="AF1704" s="117"/>
      <c r="AG1704" s="117"/>
      <c r="AH1704" s="117"/>
      <c r="AI1704" s="117"/>
      <c r="AJ1704" s="117"/>
      <c r="AK1704" s="117"/>
      <c r="AL1704" s="117"/>
      <c r="AM1704" s="117"/>
      <c r="AN1704" s="117"/>
      <c r="AO1704" s="117"/>
      <c r="AP1704" s="117"/>
      <c r="AQ1704" s="117"/>
      <c r="AR1704" s="117"/>
      <c r="AS1704" s="117"/>
      <c r="AT1704" s="117"/>
      <c r="AU1704" s="117"/>
      <c r="AV1704" s="117"/>
      <c r="AW1704" s="117"/>
      <c r="AX1704" s="117"/>
      <c r="AY1704" s="117"/>
      <c r="AZ1704" s="117"/>
      <c r="BA1704" s="117"/>
      <c r="BB1704" s="117"/>
      <c r="BC1704" s="117"/>
      <c r="BD1704" s="117"/>
      <c r="BE1704" s="117"/>
      <c r="BF1704" s="117"/>
      <c r="BG1704" s="117"/>
    </row>
    <row r="1705" spans="1:59">
      <c r="A1705" s="117"/>
      <c r="B1705" s="117"/>
      <c r="C1705" s="117"/>
      <c r="D1705" s="117"/>
      <c r="E1705" s="117"/>
      <c r="F1705" s="117"/>
      <c r="G1705" s="117"/>
      <c r="H1705" s="117"/>
      <c r="I1705" s="117"/>
      <c r="J1705" s="118"/>
      <c r="K1705" s="118"/>
      <c r="L1705" s="118"/>
      <c r="M1705" s="118"/>
      <c r="N1705" s="117"/>
      <c r="O1705" s="117"/>
      <c r="P1705" s="117"/>
      <c r="Q1705" s="117"/>
      <c r="R1705" s="117"/>
      <c r="S1705" s="117"/>
      <c r="T1705" s="117"/>
      <c r="U1705" s="117"/>
      <c r="V1705" s="117"/>
      <c r="W1705" s="117"/>
      <c r="X1705" s="117"/>
      <c r="Y1705" s="117"/>
      <c r="Z1705" s="117"/>
      <c r="AA1705" s="117"/>
      <c r="AB1705" s="117"/>
      <c r="AC1705" s="117"/>
      <c r="AD1705" s="117"/>
      <c r="AE1705" s="117"/>
      <c r="AF1705" s="117"/>
      <c r="AG1705" s="117"/>
      <c r="AH1705" s="117"/>
      <c r="AI1705" s="117"/>
      <c r="AJ1705" s="117"/>
      <c r="AK1705" s="117"/>
      <c r="AL1705" s="117"/>
      <c r="AM1705" s="117"/>
      <c r="AN1705" s="117"/>
      <c r="AO1705" s="117"/>
      <c r="AP1705" s="117"/>
      <c r="AQ1705" s="117"/>
      <c r="AR1705" s="117"/>
      <c r="AS1705" s="117"/>
      <c r="AT1705" s="117"/>
      <c r="AU1705" s="117"/>
      <c r="AV1705" s="117"/>
      <c r="AW1705" s="117"/>
      <c r="AX1705" s="117"/>
      <c r="AY1705" s="117"/>
      <c r="AZ1705" s="117"/>
      <c r="BA1705" s="117"/>
      <c r="BB1705" s="117"/>
      <c r="BC1705" s="117"/>
      <c r="BD1705" s="117"/>
      <c r="BE1705" s="117"/>
      <c r="BF1705" s="117"/>
      <c r="BG1705" s="117"/>
    </row>
    <row r="1706" spans="1:59">
      <c r="A1706" s="117"/>
      <c r="B1706" s="117"/>
      <c r="C1706" s="117"/>
      <c r="D1706" s="117"/>
      <c r="E1706" s="117"/>
      <c r="F1706" s="117"/>
      <c r="G1706" s="117"/>
      <c r="H1706" s="117"/>
      <c r="I1706" s="117"/>
      <c r="J1706" s="118"/>
      <c r="K1706" s="118"/>
      <c r="L1706" s="118"/>
      <c r="M1706" s="118"/>
      <c r="N1706" s="117"/>
      <c r="O1706" s="117"/>
      <c r="P1706" s="117"/>
      <c r="Q1706" s="117"/>
      <c r="R1706" s="117"/>
      <c r="S1706" s="117"/>
      <c r="T1706" s="117"/>
      <c r="U1706" s="117"/>
      <c r="V1706" s="117"/>
      <c r="W1706" s="117"/>
      <c r="X1706" s="117"/>
      <c r="Y1706" s="117"/>
      <c r="Z1706" s="117"/>
      <c r="AA1706" s="117"/>
      <c r="AB1706" s="117"/>
      <c r="AC1706" s="117"/>
      <c r="AD1706" s="117"/>
      <c r="AE1706" s="117"/>
      <c r="AF1706" s="117"/>
      <c r="AG1706" s="117"/>
      <c r="AH1706" s="117"/>
      <c r="AI1706" s="117"/>
      <c r="AJ1706" s="117"/>
      <c r="AK1706" s="117"/>
      <c r="AL1706" s="117"/>
      <c r="AM1706" s="117"/>
      <c r="AN1706" s="117"/>
      <c r="AO1706" s="117"/>
      <c r="AP1706" s="117"/>
      <c r="AQ1706" s="117"/>
      <c r="AR1706" s="117"/>
      <c r="AS1706" s="117"/>
      <c r="AT1706" s="117"/>
      <c r="AU1706" s="117"/>
      <c r="AV1706" s="117"/>
      <c r="AW1706" s="117"/>
      <c r="AX1706" s="117"/>
      <c r="AY1706" s="117"/>
      <c r="AZ1706" s="117"/>
      <c r="BA1706" s="117"/>
      <c r="BB1706" s="117"/>
      <c r="BC1706" s="117"/>
      <c r="BD1706" s="117"/>
      <c r="BE1706" s="117"/>
      <c r="BF1706" s="117"/>
      <c r="BG1706" s="117"/>
    </row>
    <row r="1707" spans="1:59">
      <c r="A1707" s="117"/>
      <c r="B1707" s="117"/>
      <c r="C1707" s="117"/>
      <c r="D1707" s="117"/>
      <c r="E1707" s="117"/>
      <c r="F1707" s="117"/>
      <c r="G1707" s="117"/>
      <c r="H1707" s="117"/>
      <c r="I1707" s="117"/>
      <c r="J1707" s="118"/>
      <c r="K1707" s="118"/>
      <c r="L1707" s="118"/>
      <c r="M1707" s="118"/>
      <c r="N1707" s="117"/>
      <c r="O1707" s="117"/>
      <c r="P1707" s="117"/>
      <c r="Q1707" s="117"/>
      <c r="R1707" s="117"/>
      <c r="S1707" s="117"/>
      <c r="T1707" s="117"/>
      <c r="U1707" s="117"/>
      <c r="V1707" s="117"/>
      <c r="W1707" s="117"/>
      <c r="X1707" s="117"/>
      <c r="Y1707" s="117"/>
      <c r="Z1707" s="117"/>
      <c r="AA1707" s="117"/>
      <c r="AB1707" s="117"/>
      <c r="AC1707" s="117"/>
      <c r="AD1707" s="117"/>
      <c r="AE1707" s="117"/>
      <c r="AF1707" s="117"/>
      <c r="AG1707" s="117"/>
      <c r="AH1707" s="117"/>
      <c r="AI1707" s="117"/>
      <c r="AJ1707" s="117"/>
      <c r="AK1707" s="117"/>
      <c r="AL1707" s="117"/>
      <c r="AM1707" s="117"/>
      <c r="AN1707" s="117"/>
      <c r="AO1707" s="117"/>
      <c r="AP1707" s="117"/>
      <c r="AQ1707" s="117"/>
      <c r="AR1707" s="117"/>
      <c r="AS1707" s="117"/>
      <c r="AT1707" s="117"/>
      <c r="AU1707" s="117"/>
      <c r="AV1707" s="117"/>
      <c r="AW1707" s="117"/>
      <c r="AX1707" s="117"/>
      <c r="AY1707" s="117"/>
      <c r="AZ1707" s="117"/>
      <c r="BA1707" s="117"/>
      <c r="BB1707" s="117"/>
      <c r="BC1707" s="117"/>
      <c r="BD1707" s="117"/>
      <c r="BE1707" s="117"/>
      <c r="BF1707" s="117"/>
      <c r="BG1707" s="117"/>
    </row>
    <row r="1708" spans="1:59">
      <c r="A1708" s="117"/>
      <c r="B1708" s="117"/>
      <c r="C1708" s="117"/>
      <c r="D1708" s="117"/>
      <c r="E1708" s="117"/>
      <c r="F1708" s="117"/>
      <c r="G1708" s="117"/>
      <c r="H1708" s="117"/>
      <c r="I1708" s="117"/>
      <c r="J1708" s="118"/>
      <c r="K1708" s="118"/>
      <c r="L1708" s="118"/>
      <c r="M1708" s="118"/>
      <c r="N1708" s="117"/>
      <c r="O1708" s="117"/>
      <c r="P1708" s="117"/>
      <c r="Q1708" s="117"/>
      <c r="R1708" s="117"/>
      <c r="S1708" s="117"/>
      <c r="T1708" s="117"/>
      <c r="U1708" s="117"/>
      <c r="V1708" s="117"/>
      <c r="W1708" s="117"/>
      <c r="X1708" s="117"/>
      <c r="Y1708" s="117"/>
      <c r="Z1708" s="117"/>
      <c r="AA1708" s="117"/>
      <c r="AB1708" s="117"/>
      <c r="AC1708" s="117"/>
      <c r="AD1708" s="117"/>
      <c r="AE1708" s="117"/>
      <c r="AF1708" s="117"/>
      <c r="AG1708" s="117"/>
      <c r="AH1708" s="117"/>
      <c r="AI1708" s="117"/>
      <c r="AJ1708" s="117"/>
      <c r="AK1708" s="117"/>
      <c r="AL1708" s="117"/>
      <c r="AM1708" s="117"/>
      <c r="AN1708" s="117"/>
      <c r="AO1708" s="117"/>
      <c r="AP1708" s="117"/>
      <c r="AQ1708" s="117"/>
      <c r="AR1708" s="117"/>
      <c r="AS1708" s="117"/>
      <c r="AT1708" s="117"/>
      <c r="AU1708" s="117"/>
      <c r="AV1708" s="117"/>
      <c r="AW1708" s="117"/>
      <c r="AX1708" s="117"/>
      <c r="AY1708" s="117"/>
      <c r="AZ1708" s="117"/>
      <c r="BA1708" s="117"/>
      <c r="BB1708" s="117"/>
      <c r="BC1708" s="117"/>
      <c r="BD1708" s="117"/>
      <c r="BE1708" s="117"/>
      <c r="BF1708" s="117"/>
      <c r="BG1708" s="117"/>
    </row>
    <row r="1709" spans="1:59">
      <c r="A1709" s="117"/>
      <c r="B1709" s="117"/>
      <c r="C1709" s="117"/>
      <c r="D1709" s="117"/>
      <c r="E1709" s="117"/>
      <c r="F1709" s="117"/>
      <c r="G1709" s="117"/>
      <c r="H1709" s="117"/>
      <c r="I1709" s="117"/>
      <c r="J1709" s="118"/>
      <c r="K1709" s="118"/>
      <c r="L1709" s="118"/>
      <c r="M1709" s="118"/>
      <c r="N1709" s="117"/>
      <c r="O1709" s="117"/>
      <c r="P1709" s="117"/>
      <c r="Q1709" s="117"/>
      <c r="R1709" s="117"/>
      <c r="S1709" s="117"/>
      <c r="T1709" s="117"/>
      <c r="U1709" s="117"/>
      <c r="V1709" s="117"/>
      <c r="W1709" s="117"/>
      <c r="X1709" s="117"/>
      <c r="Y1709" s="117"/>
      <c r="Z1709" s="117"/>
      <c r="AA1709" s="117"/>
      <c r="AB1709" s="117"/>
      <c r="AC1709" s="117"/>
      <c r="AD1709" s="117"/>
      <c r="AE1709" s="117"/>
      <c r="AF1709" s="117"/>
      <c r="AG1709" s="117"/>
      <c r="AH1709" s="117"/>
      <c r="AI1709" s="117"/>
      <c r="AJ1709" s="117"/>
      <c r="AK1709" s="117"/>
      <c r="AL1709" s="117"/>
      <c r="AM1709" s="117"/>
      <c r="AN1709" s="117"/>
      <c r="AO1709" s="117"/>
      <c r="AP1709" s="117"/>
      <c r="AQ1709" s="117"/>
      <c r="AR1709" s="117"/>
      <c r="AS1709" s="117"/>
      <c r="AT1709" s="117"/>
      <c r="AU1709" s="117"/>
      <c r="AV1709" s="117"/>
      <c r="AW1709" s="117"/>
      <c r="AX1709" s="117"/>
      <c r="AY1709" s="117"/>
      <c r="AZ1709" s="117"/>
      <c r="BA1709" s="117"/>
      <c r="BB1709" s="117"/>
      <c r="BC1709" s="117"/>
      <c r="BD1709" s="117"/>
      <c r="BE1709" s="117"/>
      <c r="BF1709" s="117"/>
      <c r="BG1709" s="117"/>
    </row>
    <row r="1710" spans="1:59">
      <c r="A1710" s="117"/>
      <c r="B1710" s="117"/>
      <c r="C1710" s="117"/>
      <c r="D1710" s="117"/>
      <c r="E1710" s="117"/>
      <c r="F1710" s="117"/>
      <c r="G1710" s="117"/>
      <c r="H1710" s="117"/>
      <c r="I1710" s="117"/>
      <c r="J1710" s="118"/>
      <c r="K1710" s="118"/>
      <c r="L1710" s="118"/>
      <c r="M1710" s="118"/>
      <c r="N1710" s="117"/>
      <c r="O1710" s="117"/>
      <c r="P1710" s="117"/>
      <c r="Q1710" s="117"/>
      <c r="R1710" s="117"/>
      <c r="S1710" s="117"/>
      <c r="T1710" s="117"/>
      <c r="U1710" s="117"/>
      <c r="V1710" s="117"/>
      <c r="W1710" s="117"/>
      <c r="X1710" s="117"/>
      <c r="Y1710" s="117"/>
      <c r="Z1710" s="117"/>
      <c r="AA1710" s="117"/>
      <c r="AB1710" s="117"/>
      <c r="AC1710" s="117"/>
      <c r="AD1710" s="117"/>
      <c r="AE1710" s="117"/>
      <c r="AF1710" s="117"/>
      <c r="AG1710" s="117"/>
      <c r="AH1710" s="117"/>
      <c r="AI1710" s="117"/>
      <c r="AJ1710" s="117"/>
      <c r="AK1710" s="117"/>
      <c r="AL1710" s="117"/>
      <c r="AM1710" s="117"/>
      <c r="AN1710" s="117"/>
      <c r="AO1710" s="117"/>
      <c r="AP1710" s="117"/>
      <c r="AQ1710" s="117"/>
      <c r="AR1710" s="117"/>
      <c r="AS1710" s="117"/>
      <c r="AT1710" s="117"/>
      <c r="AU1710" s="117"/>
      <c r="AV1710" s="117"/>
      <c r="AW1710" s="117"/>
      <c r="AX1710" s="117"/>
      <c r="AY1710" s="117"/>
      <c r="AZ1710" s="117"/>
      <c r="BA1710" s="117"/>
      <c r="BB1710" s="117"/>
      <c r="BC1710" s="117"/>
      <c r="BD1710" s="117"/>
      <c r="BE1710" s="117"/>
      <c r="BF1710" s="117"/>
      <c r="BG1710" s="117"/>
    </row>
    <row r="1711" spans="1:59">
      <c r="A1711" s="117"/>
      <c r="B1711" s="117"/>
      <c r="C1711" s="117"/>
      <c r="D1711" s="117"/>
      <c r="E1711" s="117"/>
      <c r="F1711" s="117"/>
      <c r="G1711" s="117"/>
      <c r="H1711" s="117"/>
      <c r="I1711" s="117"/>
      <c r="J1711" s="118"/>
      <c r="K1711" s="118"/>
      <c r="L1711" s="118"/>
      <c r="M1711" s="118"/>
      <c r="N1711" s="117"/>
      <c r="O1711" s="117"/>
      <c r="P1711" s="117"/>
      <c r="Q1711" s="117"/>
      <c r="R1711" s="117"/>
      <c r="S1711" s="117"/>
      <c r="T1711" s="117"/>
      <c r="U1711" s="117"/>
      <c r="V1711" s="117"/>
      <c r="W1711" s="117"/>
      <c r="X1711" s="117"/>
      <c r="Y1711" s="117"/>
      <c r="Z1711" s="117"/>
      <c r="AA1711" s="117"/>
      <c r="AB1711" s="117"/>
      <c r="AC1711" s="117"/>
      <c r="AD1711" s="117"/>
      <c r="AE1711" s="117"/>
      <c r="AF1711" s="117"/>
      <c r="AG1711" s="117"/>
      <c r="AH1711" s="117"/>
      <c r="AI1711" s="117"/>
      <c r="AJ1711" s="117"/>
      <c r="AK1711" s="117"/>
      <c r="AL1711" s="117"/>
      <c r="AM1711" s="117"/>
      <c r="AN1711" s="117"/>
      <c r="AO1711" s="117"/>
      <c r="AP1711" s="117"/>
      <c r="AQ1711" s="117"/>
      <c r="AR1711" s="117"/>
      <c r="AS1711" s="117"/>
      <c r="AT1711" s="117"/>
      <c r="AU1711" s="117"/>
      <c r="AV1711" s="117"/>
      <c r="AW1711" s="117"/>
      <c r="AX1711" s="117"/>
      <c r="AY1711" s="117"/>
      <c r="AZ1711" s="117"/>
      <c r="BA1711" s="117"/>
      <c r="BB1711" s="117"/>
      <c r="BC1711" s="117"/>
      <c r="BD1711" s="117"/>
      <c r="BE1711" s="117"/>
      <c r="BF1711" s="117"/>
      <c r="BG1711" s="117"/>
    </row>
    <row r="1712" spans="1:59">
      <c r="A1712" s="117"/>
      <c r="B1712" s="117"/>
      <c r="C1712" s="117"/>
      <c r="D1712" s="117"/>
      <c r="E1712" s="117"/>
      <c r="F1712" s="117"/>
      <c r="G1712" s="117"/>
      <c r="H1712" s="117"/>
      <c r="I1712" s="117"/>
      <c r="J1712" s="118"/>
      <c r="K1712" s="118"/>
      <c r="L1712" s="118"/>
      <c r="M1712" s="118"/>
      <c r="N1712" s="117"/>
      <c r="O1712" s="117"/>
      <c r="P1712" s="117"/>
      <c r="Q1712" s="117"/>
      <c r="R1712" s="117"/>
      <c r="S1712" s="117"/>
      <c r="T1712" s="117"/>
      <c r="U1712" s="117"/>
      <c r="V1712" s="117"/>
      <c r="W1712" s="117"/>
      <c r="X1712" s="117"/>
      <c r="Y1712" s="117"/>
      <c r="Z1712" s="117"/>
      <c r="AA1712" s="117"/>
      <c r="AB1712" s="117"/>
      <c r="AC1712" s="117"/>
      <c r="AD1712" s="117"/>
      <c r="AE1712" s="117"/>
      <c r="AF1712" s="117"/>
      <c r="AG1712" s="117"/>
      <c r="AH1712" s="117"/>
      <c r="AI1712" s="117"/>
      <c r="AJ1712" s="117"/>
      <c r="AK1712" s="117"/>
      <c r="AL1712" s="117"/>
      <c r="AM1712" s="117"/>
      <c r="AN1712" s="117"/>
      <c r="AO1712" s="117"/>
      <c r="AP1712" s="117"/>
      <c r="AQ1712" s="117"/>
      <c r="AR1712" s="117"/>
      <c r="AS1712" s="117"/>
      <c r="AT1712" s="117"/>
      <c r="AU1712" s="117"/>
      <c r="AV1712" s="117"/>
      <c r="AW1712" s="117"/>
      <c r="AX1712" s="117"/>
      <c r="AY1712" s="117"/>
      <c r="AZ1712" s="117"/>
      <c r="BA1712" s="117"/>
      <c r="BB1712" s="117"/>
      <c r="BC1712" s="117"/>
      <c r="BD1712" s="117"/>
      <c r="BE1712" s="117"/>
      <c r="BF1712" s="117"/>
      <c r="BG1712" s="117"/>
    </row>
    <row r="1713" spans="1:59">
      <c r="A1713" s="117"/>
      <c r="B1713" s="117"/>
      <c r="C1713" s="117"/>
      <c r="D1713" s="117"/>
      <c r="E1713" s="117"/>
      <c r="F1713" s="117"/>
      <c r="G1713" s="117"/>
      <c r="H1713" s="117"/>
      <c r="I1713" s="117"/>
      <c r="J1713" s="118"/>
      <c r="K1713" s="118"/>
      <c r="L1713" s="118"/>
      <c r="M1713" s="118"/>
      <c r="N1713" s="117"/>
      <c r="O1713" s="117"/>
      <c r="P1713" s="117"/>
      <c r="Q1713" s="117"/>
      <c r="R1713" s="117"/>
      <c r="S1713" s="117"/>
      <c r="T1713" s="117"/>
      <c r="U1713" s="117"/>
      <c r="V1713" s="117"/>
      <c r="W1713" s="117"/>
      <c r="X1713" s="117"/>
      <c r="Y1713" s="117"/>
      <c r="Z1713" s="117"/>
      <c r="AA1713" s="117"/>
      <c r="AB1713" s="117"/>
      <c r="AC1713" s="117"/>
      <c r="AD1713" s="117"/>
      <c r="AE1713" s="117"/>
      <c r="AF1713" s="117"/>
      <c r="AG1713" s="117"/>
      <c r="AH1713" s="117"/>
      <c r="AI1713" s="117"/>
      <c r="AJ1713" s="117"/>
      <c r="AK1713" s="117"/>
      <c r="AL1713" s="117"/>
      <c r="AM1713" s="117"/>
      <c r="AN1713" s="117"/>
      <c r="AO1713" s="117"/>
      <c r="AP1713" s="117"/>
      <c r="AQ1713" s="117"/>
      <c r="AR1713" s="117"/>
      <c r="AS1713" s="117"/>
      <c r="AT1713" s="117"/>
      <c r="AU1713" s="117"/>
      <c r="AV1713" s="117"/>
      <c r="AW1713" s="117"/>
      <c r="AX1713" s="117"/>
      <c r="AY1713" s="117"/>
      <c r="AZ1713" s="117"/>
      <c r="BA1713" s="117"/>
      <c r="BB1713" s="117"/>
      <c r="BC1713" s="117"/>
      <c r="BD1713" s="117"/>
      <c r="BE1713" s="117"/>
      <c r="BF1713" s="117"/>
      <c r="BG1713" s="117"/>
    </row>
    <row r="1714" spans="1:59">
      <c r="A1714" s="117"/>
      <c r="B1714" s="117"/>
      <c r="C1714" s="117"/>
      <c r="D1714" s="117"/>
      <c r="E1714" s="117"/>
      <c r="F1714" s="117"/>
      <c r="G1714" s="117"/>
      <c r="H1714" s="117"/>
      <c r="I1714" s="117"/>
      <c r="J1714" s="118"/>
      <c r="K1714" s="118"/>
      <c r="L1714" s="118"/>
      <c r="M1714" s="118"/>
      <c r="N1714" s="117"/>
      <c r="O1714" s="117"/>
      <c r="P1714" s="117"/>
      <c r="Q1714" s="117"/>
      <c r="R1714" s="117"/>
      <c r="S1714" s="117"/>
      <c r="T1714" s="117"/>
      <c r="U1714" s="117"/>
      <c r="V1714" s="117"/>
      <c r="W1714" s="117"/>
      <c r="X1714" s="117"/>
      <c r="Y1714" s="117"/>
      <c r="Z1714" s="117"/>
      <c r="AA1714" s="117"/>
      <c r="AB1714" s="117"/>
      <c r="AC1714" s="117"/>
      <c r="AD1714" s="117"/>
      <c r="AE1714" s="117"/>
      <c r="AF1714" s="117"/>
      <c r="AG1714" s="117"/>
      <c r="AH1714" s="117"/>
      <c r="AI1714" s="117"/>
      <c r="AJ1714" s="117"/>
      <c r="AK1714" s="117"/>
      <c r="AL1714" s="117"/>
      <c r="AM1714" s="117"/>
      <c r="AN1714" s="117"/>
      <c r="AO1714" s="117"/>
      <c r="AP1714" s="117"/>
      <c r="AQ1714" s="117"/>
      <c r="AR1714" s="117"/>
      <c r="AS1714" s="117"/>
      <c r="AT1714" s="117"/>
      <c r="AU1714" s="117"/>
      <c r="AV1714" s="117"/>
      <c r="AW1714" s="117"/>
      <c r="AX1714" s="117"/>
      <c r="AY1714" s="117"/>
      <c r="AZ1714" s="117"/>
      <c r="BA1714" s="117"/>
      <c r="BB1714" s="117"/>
      <c r="BC1714" s="117"/>
      <c r="BD1714" s="117"/>
      <c r="BE1714" s="117"/>
      <c r="BF1714" s="117"/>
      <c r="BG1714" s="117"/>
    </row>
    <row r="1715" spans="1:59">
      <c r="A1715" s="117"/>
      <c r="B1715" s="117"/>
      <c r="C1715" s="117"/>
      <c r="D1715" s="117"/>
      <c r="E1715" s="117"/>
      <c r="F1715" s="117"/>
      <c r="G1715" s="117"/>
      <c r="H1715" s="117"/>
      <c r="I1715" s="117"/>
      <c r="J1715" s="118"/>
      <c r="K1715" s="118"/>
      <c r="L1715" s="118"/>
      <c r="M1715" s="118"/>
      <c r="N1715" s="117"/>
      <c r="O1715" s="117"/>
      <c r="P1715" s="117"/>
      <c r="Q1715" s="117"/>
      <c r="R1715" s="117"/>
      <c r="S1715" s="117"/>
      <c r="T1715" s="117"/>
      <c r="U1715" s="117"/>
      <c r="V1715" s="117"/>
      <c r="W1715" s="117"/>
      <c r="X1715" s="117"/>
      <c r="Y1715" s="117"/>
      <c r="Z1715" s="117"/>
      <c r="AA1715" s="117"/>
      <c r="AB1715" s="117"/>
      <c r="AC1715" s="117"/>
      <c r="AD1715" s="117"/>
      <c r="AE1715" s="117"/>
      <c r="AF1715" s="117"/>
      <c r="AG1715" s="117"/>
      <c r="AH1715" s="117"/>
      <c r="AI1715" s="117"/>
      <c r="AJ1715" s="117"/>
      <c r="AK1715" s="117"/>
      <c r="AL1715" s="117"/>
      <c r="AM1715" s="117"/>
      <c r="AN1715" s="117"/>
      <c r="AO1715" s="117"/>
      <c r="AP1715" s="117"/>
      <c r="AQ1715" s="117"/>
      <c r="AR1715" s="117"/>
      <c r="AS1715" s="117"/>
      <c r="AT1715" s="117"/>
      <c r="AU1715" s="117"/>
      <c r="AV1715" s="117"/>
      <c r="AW1715" s="117"/>
      <c r="AX1715" s="117"/>
      <c r="AY1715" s="117"/>
      <c r="AZ1715" s="117"/>
      <c r="BA1715" s="117"/>
      <c r="BB1715" s="117"/>
      <c r="BC1715" s="117"/>
      <c r="BD1715" s="117"/>
      <c r="BE1715" s="117"/>
      <c r="BF1715" s="117"/>
      <c r="BG1715" s="117"/>
    </row>
    <row r="1716" spans="1:59">
      <c r="A1716" s="117"/>
      <c r="B1716" s="117"/>
      <c r="C1716" s="117"/>
      <c r="D1716" s="117"/>
      <c r="E1716" s="117"/>
      <c r="F1716" s="117"/>
      <c r="G1716" s="117"/>
      <c r="H1716" s="117"/>
      <c r="I1716" s="117"/>
      <c r="J1716" s="118"/>
      <c r="K1716" s="118"/>
      <c r="L1716" s="118"/>
      <c r="M1716" s="118"/>
      <c r="N1716" s="117"/>
      <c r="O1716" s="117"/>
      <c r="P1716" s="117"/>
      <c r="Q1716" s="117"/>
      <c r="R1716" s="117"/>
      <c r="S1716" s="117"/>
      <c r="T1716" s="117"/>
      <c r="U1716" s="117"/>
      <c r="V1716" s="117"/>
      <c r="W1716" s="117"/>
      <c r="X1716" s="117"/>
      <c r="Y1716" s="117"/>
      <c r="Z1716" s="117"/>
      <c r="AA1716" s="117"/>
      <c r="AB1716" s="117"/>
      <c r="AC1716" s="117"/>
      <c r="AD1716" s="117"/>
      <c r="AE1716" s="117"/>
      <c r="AF1716" s="117"/>
      <c r="AG1716" s="117"/>
      <c r="AH1716" s="117"/>
      <c r="AI1716" s="117"/>
      <c r="AJ1716" s="117"/>
      <c r="AK1716" s="117"/>
      <c r="AL1716" s="117"/>
      <c r="AM1716" s="117"/>
      <c r="AN1716" s="117"/>
      <c r="AO1716" s="117"/>
      <c r="AP1716" s="117"/>
      <c r="AQ1716" s="117"/>
      <c r="AR1716" s="117"/>
      <c r="AS1716" s="117"/>
      <c r="AT1716" s="117"/>
      <c r="AU1716" s="117"/>
      <c r="AV1716" s="117"/>
      <c r="AW1716" s="117"/>
      <c r="AX1716" s="117"/>
      <c r="AY1716" s="117"/>
      <c r="AZ1716" s="117"/>
      <c r="BA1716" s="117"/>
      <c r="BB1716" s="117"/>
      <c r="BC1716" s="117"/>
      <c r="BD1716" s="117"/>
      <c r="BE1716" s="117"/>
      <c r="BF1716" s="117"/>
      <c r="BG1716" s="117"/>
    </row>
    <row r="1717" spans="1:59">
      <c r="A1717" s="117"/>
      <c r="B1717" s="117"/>
      <c r="C1717" s="117"/>
      <c r="D1717" s="117"/>
      <c r="E1717" s="117"/>
      <c r="F1717" s="117"/>
      <c r="G1717" s="117"/>
      <c r="H1717" s="117"/>
      <c r="I1717" s="117"/>
      <c r="J1717" s="118"/>
      <c r="K1717" s="118"/>
      <c r="L1717" s="118"/>
      <c r="M1717" s="118"/>
      <c r="N1717" s="117"/>
      <c r="O1717" s="117"/>
      <c r="P1717" s="117"/>
      <c r="Q1717" s="117"/>
      <c r="R1717" s="117"/>
      <c r="S1717" s="117"/>
      <c r="T1717" s="117"/>
      <c r="U1717" s="117"/>
      <c r="V1717" s="117"/>
      <c r="W1717" s="117"/>
      <c r="X1717" s="117"/>
      <c r="Y1717" s="117"/>
      <c r="Z1717" s="117"/>
      <c r="AA1717" s="117"/>
      <c r="AB1717" s="117"/>
      <c r="AC1717" s="117"/>
      <c r="AD1717" s="117"/>
      <c r="AE1717" s="117"/>
      <c r="AF1717" s="117"/>
      <c r="AG1717" s="117"/>
      <c r="AH1717" s="117"/>
      <c r="AI1717" s="117"/>
      <c r="AJ1717" s="117"/>
      <c r="AK1717" s="117"/>
      <c r="AL1717" s="117"/>
      <c r="AM1717" s="117"/>
      <c r="AN1717" s="117"/>
      <c r="AO1717" s="117"/>
      <c r="AP1717" s="117"/>
      <c r="AQ1717" s="117"/>
      <c r="AR1717" s="117"/>
      <c r="AS1717" s="117"/>
      <c r="AT1717" s="117"/>
      <c r="AU1717" s="117"/>
      <c r="AV1717" s="117"/>
      <c r="AW1717" s="117"/>
      <c r="AX1717" s="117"/>
      <c r="AY1717" s="117"/>
      <c r="AZ1717" s="117"/>
      <c r="BA1717" s="117"/>
      <c r="BB1717" s="117"/>
      <c r="BC1717" s="117"/>
      <c r="BD1717" s="117"/>
      <c r="BE1717" s="117"/>
      <c r="BF1717" s="117"/>
      <c r="BG1717" s="117"/>
    </row>
    <row r="1718" spans="1:59">
      <c r="A1718" s="117"/>
      <c r="B1718" s="117"/>
      <c r="C1718" s="117"/>
      <c r="D1718" s="117"/>
      <c r="E1718" s="117"/>
      <c r="F1718" s="117"/>
      <c r="G1718" s="117"/>
      <c r="H1718" s="117"/>
      <c r="I1718" s="117"/>
      <c r="J1718" s="118"/>
      <c r="K1718" s="118"/>
      <c r="L1718" s="118"/>
      <c r="M1718" s="118"/>
      <c r="N1718" s="117"/>
      <c r="O1718" s="117"/>
      <c r="P1718" s="117"/>
      <c r="Q1718" s="117"/>
      <c r="R1718" s="117"/>
      <c r="S1718" s="117"/>
      <c r="T1718" s="117"/>
      <c r="U1718" s="117"/>
      <c r="V1718" s="117"/>
      <c r="W1718" s="117"/>
      <c r="X1718" s="117"/>
      <c r="Y1718" s="117"/>
      <c r="Z1718" s="117"/>
      <c r="AA1718" s="117"/>
      <c r="AB1718" s="117"/>
      <c r="AC1718" s="117"/>
      <c r="AD1718" s="117"/>
      <c r="AE1718" s="117"/>
      <c r="AF1718" s="117"/>
      <c r="AG1718" s="117"/>
      <c r="AH1718" s="117"/>
      <c r="AI1718" s="117"/>
      <c r="AJ1718" s="117"/>
      <c r="AK1718" s="117"/>
      <c r="AL1718" s="117"/>
      <c r="AM1718" s="117"/>
      <c r="AN1718" s="117"/>
      <c r="AO1718" s="117"/>
      <c r="AP1718" s="117"/>
      <c r="AQ1718" s="117"/>
      <c r="AR1718" s="117"/>
      <c r="AS1718" s="117"/>
      <c r="AT1718" s="117"/>
      <c r="AU1718" s="117"/>
      <c r="AV1718" s="117"/>
      <c r="AW1718" s="117"/>
      <c r="AX1718" s="117"/>
      <c r="AY1718" s="117"/>
      <c r="AZ1718" s="117"/>
      <c r="BA1718" s="117"/>
      <c r="BB1718" s="117"/>
      <c r="BC1718" s="117"/>
      <c r="BD1718" s="117"/>
      <c r="BE1718" s="117"/>
      <c r="BF1718" s="117"/>
      <c r="BG1718" s="117"/>
    </row>
    <row r="1719" spans="1:59">
      <c r="A1719" s="117"/>
      <c r="B1719" s="117"/>
      <c r="C1719" s="117"/>
      <c r="D1719" s="117"/>
      <c r="E1719" s="117"/>
      <c r="F1719" s="117"/>
      <c r="G1719" s="117"/>
      <c r="H1719" s="117"/>
      <c r="I1719" s="117"/>
      <c r="J1719" s="118"/>
      <c r="K1719" s="118"/>
      <c r="L1719" s="118"/>
      <c r="M1719" s="118"/>
      <c r="N1719" s="117"/>
      <c r="O1719" s="117"/>
      <c r="P1719" s="117"/>
      <c r="Q1719" s="117"/>
      <c r="R1719" s="117"/>
      <c r="S1719" s="117"/>
      <c r="T1719" s="117"/>
      <c r="U1719" s="117"/>
      <c r="V1719" s="117"/>
      <c r="W1719" s="117"/>
      <c r="X1719" s="117"/>
      <c r="Y1719" s="117"/>
      <c r="Z1719" s="117"/>
      <c r="AA1719" s="117"/>
      <c r="AB1719" s="117"/>
      <c r="AC1719" s="117"/>
      <c r="AD1719" s="117"/>
      <c r="AE1719" s="117"/>
      <c r="AF1719" s="117"/>
      <c r="AG1719" s="117"/>
      <c r="AH1719" s="117"/>
      <c r="AI1719" s="117"/>
      <c r="AJ1719" s="117"/>
      <c r="AK1719" s="117"/>
      <c r="AL1719" s="117"/>
      <c r="AM1719" s="117"/>
      <c r="AN1719" s="117"/>
      <c r="AO1719" s="117"/>
      <c r="AP1719" s="117"/>
      <c r="AQ1719" s="117"/>
      <c r="AR1719" s="117"/>
      <c r="AS1719" s="117"/>
      <c r="AT1719" s="117"/>
      <c r="AU1719" s="117"/>
      <c r="AV1719" s="117"/>
      <c r="AW1719" s="117"/>
      <c r="AX1719" s="117"/>
      <c r="AY1719" s="117"/>
      <c r="AZ1719" s="117"/>
      <c r="BA1719" s="117"/>
      <c r="BB1719" s="117"/>
      <c r="BC1719" s="117"/>
      <c r="BD1719" s="117"/>
      <c r="BE1719" s="117"/>
      <c r="BF1719" s="117"/>
      <c r="BG1719" s="117"/>
    </row>
    <row r="1720" spans="1:59">
      <c r="A1720" s="117"/>
      <c r="B1720" s="117"/>
      <c r="C1720" s="117"/>
      <c r="D1720" s="117"/>
      <c r="E1720" s="117"/>
      <c r="F1720" s="117"/>
      <c r="G1720" s="117"/>
      <c r="H1720" s="117"/>
      <c r="I1720" s="117"/>
      <c r="J1720" s="118"/>
      <c r="K1720" s="118"/>
      <c r="L1720" s="118"/>
      <c r="M1720" s="118"/>
      <c r="N1720" s="117"/>
      <c r="O1720" s="117"/>
      <c r="P1720" s="117"/>
      <c r="Q1720" s="117"/>
      <c r="R1720" s="117"/>
      <c r="S1720" s="117"/>
      <c r="T1720" s="117"/>
      <c r="U1720" s="117"/>
      <c r="V1720" s="117"/>
      <c r="W1720" s="117"/>
      <c r="X1720" s="117"/>
      <c r="Y1720" s="117"/>
      <c r="Z1720" s="117"/>
      <c r="AA1720" s="117"/>
      <c r="AB1720" s="117"/>
      <c r="AC1720" s="117"/>
      <c r="AD1720" s="117"/>
      <c r="AE1720" s="117"/>
      <c r="AF1720" s="117"/>
      <c r="AG1720" s="117"/>
      <c r="AH1720" s="117"/>
      <c r="AI1720" s="117"/>
      <c r="AJ1720" s="117"/>
      <c r="AK1720" s="117"/>
      <c r="AL1720" s="117"/>
      <c r="AM1720" s="117"/>
      <c r="AN1720" s="117"/>
      <c r="AO1720" s="117"/>
      <c r="AP1720" s="117"/>
      <c r="AQ1720" s="117"/>
      <c r="AR1720" s="117"/>
      <c r="AS1720" s="117"/>
      <c r="AT1720" s="117"/>
      <c r="AU1720" s="117"/>
      <c r="AV1720" s="117"/>
      <c r="AW1720" s="117"/>
      <c r="AX1720" s="117"/>
      <c r="AY1720" s="117"/>
      <c r="AZ1720" s="117"/>
      <c r="BA1720" s="117"/>
      <c r="BB1720" s="117"/>
      <c r="BC1720" s="117"/>
      <c r="BD1720" s="117"/>
      <c r="BE1720" s="117"/>
      <c r="BF1720" s="117"/>
      <c r="BG1720" s="117"/>
    </row>
    <row r="1721" spans="1:59">
      <c r="A1721" s="117"/>
      <c r="B1721" s="117"/>
      <c r="C1721" s="117"/>
      <c r="D1721" s="117"/>
      <c r="E1721" s="117"/>
      <c r="F1721" s="117"/>
      <c r="G1721" s="117"/>
      <c r="H1721" s="117"/>
      <c r="I1721" s="117"/>
      <c r="J1721" s="118"/>
      <c r="K1721" s="118"/>
      <c r="L1721" s="118"/>
      <c r="M1721" s="118"/>
      <c r="N1721" s="117"/>
      <c r="O1721" s="117"/>
      <c r="P1721" s="117"/>
      <c r="Q1721" s="117"/>
      <c r="R1721" s="117"/>
      <c r="S1721" s="117"/>
      <c r="T1721" s="117"/>
      <c r="U1721" s="117"/>
      <c r="V1721" s="117"/>
      <c r="W1721" s="117"/>
      <c r="X1721" s="117"/>
      <c r="Y1721" s="117"/>
      <c r="Z1721" s="117"/>
      <c r="AA1721" s="117"/>
      <c r="AB1721" s="117"/>
      <c r="AC1721" s="117"/>
      <c r="AD1721" s="117"/>
      <c r="AE1721" s="117"/>
      <c r="AF1721" s="117"/>
      <c r="AG1721" s="117"/>
      <c r="AH1721" s="117"/>
      <c r="AI1721" s="117"/>
      <c r="AJ1721" s="117"/>
      <c r="AK1721" s="117"/>
      <c r="AL1721" s="117"/>
      <c r="AM1721" s="117"/>
      <c r="AN1721" s="117"/>
      <c r="AO1721" s="117"/>
      <c r="AP1721" s="117"/>
      <c r="AQ1721" s="117"/>
      <c r="AR1721" s="117"/>
      <c r="AS1721" s="117"/>
      <c r="AT1721" s="117"/>
      <c r="AU1721" s="117"/>
      <c r="AV1721" s="117"/>
      <c r="AW1721" s="117"/>
      <c r="AX1721" s="117"/>
      <c r="AY1721" s="117"/>
      <c r="AZ1721" s="117"/>
      <c r="BA1721" s="117"/>
      <c r="BB1721" s="117"/>
      <c r="BC1721" s="117"/>
      <c r="BD1721" s="117"/>
      <c r="BE1721" s="117"/>
      <c r="BF1721" s="117"/>
      <c r="BG1721" s="117"/>
    </row>
    <row r="1722" spans="1:59">
      <c r="A1722" s="117"/>
      <c r="B1722" s="117"/>
      <c r="C1722" s="117"/>
      <c r="D1722" s="117"/>
      <c r="E1722" s="117"/>
      <c r="F1722" s="117"/>
      <c r="G1722" s="117"/>
      <c r="H1722" s="117"/>
      <c r="I1722" s="117"/>
      <c r="J1722" s="118"/>
      <c r="K1722" s="118"/>
      <c r="L1722" s="118"/>
      <c r="M1722" s="118"/>
      <c r="N1722" s="117"/>
      <c r="O1722" s="117"/>
      <c r="P1722" s="117"/>
      <c r="Q1722" s="117"/>
      <c r="R1722" s="117"/>
      <c r="S1722" s="117"/>
      <c r="T1722" s="117"/>
      <c r="U1722" s="117"/>
      <c r="V1722" s="117"/>
      <c r="W1722" s="117"/>
      <c r="X1722" s="117"/>
      <c r="Y1722" s="117"/>
      <c r="Z1722" s="117"/>
      <c r="AA1722" s="117"/>
      <c r="AB1722" s="117"/>
      <c r="AC1722" s="117"/>
      <c r="AD1722" s="117"/>
      <c r="AE1722" s="117"/>
      <c r="AF1722" s="117"/>
      <c r="AG1722" s="117"/>
      <c r="AH1722" s="117"/>
      <c r="AI1722" s="117"/>
      <c r="AJ1722" s="117"/>
      <c r="AK1722" s="117"/>
      <c r="AL1722" s="117"/>
      <c r="AM1722" s="117"/>
      <c r="AN1722" s="117"/>
      <c r="AO1722" s="117"/>
      <c r="AP1722" s="117"/>
      <c r="AQ1722" s="117"/>
      <c r="AR1722" s="117"/>
      <c r="AS1722" s="117"/>
      <c r="AT1722" s="117"/>
      <c r="AU1722" s="117"/>
      <c r="AV1722" s="117"/>
      <c r="AW1722" s="117"/>
      <c r="AX1722" s="117"/>
      <c r="AY1722" s="117"/>
      <c r="AZ1722" s="117"/>
      <c r="BA1722" s="117"/>
      <c r="BB1722" s="117"/>
      <c r="BC1722" s="117"/>
      <c r="BD1722" s="117"/>
      <c r="BE1722" s="117"/>
      <c r="BF1722" s="117"/>
      <c r="BG1722" s="117"/>
    </row>
    <row r="1723" spans="1:59">
      <c r="A1723" s="117"/>
      <c r="B1723" s="117"/>
      <c r="C1723" s="117"/>
      <c r="D1723" s="117"/>
      <c r="E1723" s="117"/>
      <c r="F1723" s="117"/>
      <c r="G1723" s="117"/>
      <c r="H1723" s="117"/>
      <c r="I1723" s="117"/>
      <c r="J1723" s="118"/>
      <c r="K1723" s="118"/>
      <c r="L1723" s="118"/>
      <c r="M1723" s="118"/>
      <c r="N1723" s="117"/>
      <c r="O1723" s="117"/>
      <c r="P1723" s="117"/>
      <c r="Q1723" s="117"/>
      <c r="R1723" s="117"/>
      <c r="S1723" s="117"/>
      <c r="T1723" s="117"/>
      <c r="U1723" s="117"/>
      <c r="V1723" s="117"/>
      <c r="W1723" s="117"/>
      <c r="X1723" s="117"/>
      <c r="Y1723" s="117"/>
      <c r="Z1723" s="117"/>
      <c r="AA1723" s="117"/>
      <c r="AB1723" s="117"/>
      <c r="AC1723" s="117"/>
      <c r="AD1723" s="117"/>
      <c r="AE1723" s="117"/>
      <c r="AF1723" s="117"/>
      <c r="AG1723" s="117"/>
      <c r="AH1723" s="117"/>
      <c r="AI1723" s="117"/>
      <c r="AJ1723" s="117"/>
      <c r="AK1723" s="117"/>
      <c r="AL1723" s="117"/>
      <c r="AM1723" s="117"/>
      <c r="AN1723" s="117"/>
      <c r="AO1723" s="117"/>
      <c r="AP1723" s="117"/>
      <c r="AQ1723" s="117"/>
      <c r="AR1723" s="117"/>
      <c r="AS1723" s="117"/>
      <c r="AT1723" s="117"/>
      <c r="AU1723" s="117"/>
      <c r="AV1723" s="117"/>
      <c r="AW1723" s="117"/>
      <c r="AX1723" s="117"/>
      <c r="AY1723" s="117"/>
      <c r="AZ1723" s="117"/>
      <c r="BA1723" s="117"/>
      <c r="BB1723" s="117"/>
      <c r="BC1723" s="117"/>
      <c r="BD1723" s="117"/>
      <c r="BE1723" s="117"/>
      <c r="BF1723" s="117"/>
      <c r="BG1723" s="117"/>
    </row>
    <row r="1724" spans="1:59">
      <c r="A1724" s="117"/>
      <c r="B1724" s="117"/>
      <c r="C1724" s="117"/>
      <c r="D1724" s="117"/>
      <c r="E1724" s="117"/>
      <c r="F1724" s="117"/>
      <c r="G1724" s="117"/>
      <c r="H1724" s="117"/>
      <c r="I1724" s="117"/>
      <c r="J1724" s="118"/>
      <c r="K1724" s="118"/>
      <c r="L1724" s="118"/>
      <c r="M1724" s="118"/>
      <c r="N1724" s="117"/>
      <c r="O1724" s="117"/>
      <c r="P1724" s="117"/>
      <c r="Q1724" s="117"/>
      <c r="R1724" s="117"/>
      <c r="S1724" s="117"/>
      <c r="T1724" s="117"/>
      <c r="U1724" s="117"/>
      <c r="V1724" s="117"/>
      <c r="W1724" s="117"/>
      <c r="X1724" s="117"/>
      <c r="Y1724" s="117"/>
      <c r="Z1724" s="117"/>
      <c r="AA1724" s="117"/>
      <c r="AB1724" s="117"/>
      <c r="AC1724" s="117"/>
      <c r="AD1724" s="117"/>
      <c r="AE1724" s="117"/>
      <c r="AF1724" s="117"/>
      <c r="AG1724" s="117"/>
      <c r="AH1724" s="117"/>
      <c r="AI1724" s="117"/>
      <c r="AJ1724" s="117"/>
      <c r="AK1724" s="117"/>
      <c r="AL1724" s="117"/>
      <c r="AM1724" s="117"/>
      <c r="AN1724" s="117"/>
      <c r="AO1724" s="117"/>
      <c r="AP1724" s="117"/>
      <c r="AQ1724" s="117"/>
      <c r="AR1724" s="117"/>
      <c r="AS1724" s="117"/>
      <c r="AT1724" s="117"/>
      <c r="AU1724" s="117"/>
      <c r="AV1724" s="117"/>
      <c r="AW1724" s="117"/>
      <c r="AX1724" s="117"/>
      <c r="AY1724" s="117"/>
      <c r="AZ1724" s="117"/>
      <c r="BA1724" s="117"/>
      <c r="BB1724" s="117"/>
      <c r="BC1724" s="117"/>
      <c r="BD1724" s="117"/>
      <c r="BE1724" s="117"/>
      <c r="BF1724" s="117"/>
      <c r="BG1724" s="117"/>
    </row>
    <row r="1725" spans="1:59">
      <c r="A1725" s="117"/>
      <c r="B1725" s="117"/>
      <c r="C1725" s="117"/>
      <c r="D1725" s="117"/>
      <c r="E1725" s="117"/>
      <c r="F1725" s="117"/>
      <c r="G1725" s="117"/>
      <c r="H1725" s="117"/>
      <c r="I1725" s="117"/>
      <c r="J1725" s="118"/>
      <c r="K1725" s="118"/>
      <c r="L1725" s="118"/>
      <c r="M1725" s="118"/>
      <c r="N1725" s="117"/>
      <c r="O1725" s="117"/>
      <c r="P1725" s="117"/>
      <c r="Q1725" s="117"/>
      <c r="R1725" s="117"/>
      <c r="S1725" s="117"/>
      <c r="T1725" s="117"/>
      <c r="U1725" s="117"/>
      <c r="V1725" s="117"/>
      <c r="W1725" s="117"/>
      <c r="X1725" s="117"/>
      <c r="Y1725" s="117"/>
      <c r="Z1725" s="117"/>
      <c r="AA1725" s="117"/>
      <c r="AB1725" s="117"/>
      <c r="AC1725" s="117"/>
      <c r="AD1725" s="117"/>
      <c r="AE1725" s="117"/>
      <c r="AF1725" s="117"/>
      <c r="AG1725" s="117"/>
      <c r="AH1725" s="117"/>
      <c r="AI1725" s="117"/>
      <c r="AJ1725" s="117"/>
      <c r="AK1725" s="117"/>
      <c r="AL1725" s="117"/>
      <c r="AM1725" s="117"/>
      <c r="AN1725" s="117"/>
      <c r="AO1725" s="117"/>
      <c r="AP1725" s="117"/>
      <c r="AQ1725" s="117"/>
      <c r="AR1725" s="117"/>
      <c r="AS1725" s="117"/>
      <c r="AT1725" s="117"/>
      <c r="AU1725" s="117"/>
      <c r="AV1725" s="117"/>
      <c r="AW1725" s="117"/>
      <c r="AX1725" s="117"/>
      <c r="AY1725" s="117"/>
      <c r="AZ1725" s="117"/>
      <c r="BA1725" s="117"/>
      <c r="BB1725" s="117"/>
      <c r="BC1725" s="117"/>
      <c r="BD1725" s="117"/>
      <c r="BE1725" s="117"/>
      <c r="BF1725" s="117"/>
      <c r="BG1725" s="117"/>
    </row>
    <row r="1726" spans="1:59">
      <c r="A1726" s="117"/>
      <c r="B1726" s="117"/>
      <c r="C1726" s="117"/>
      <c r="D1726" s="117"/>
      <c r="E1726" s="117"/>
      <c r="F1726" s="117"/>
      <c r="G1726" s="117"/>
      <c r="H1726" s="117"/>
      <c r="I1726" s="117"/>
      <c r="J1726" s="118"/>
      <c r="K1726" s="118"/>
      <c r="L1726" s="118"/>
      <c r="M1726" s="118"/>
      <c r="N1726" s="117"/>
      <c r="O1726" s="117"/>
      <c r="P1726" s="117"/>
      <c r="Q1726" s="117"/>
      <c r="R1726" s="117"/>
      <c r="S1726" s="117"/>
      <c r="T1726" s="117"/>
      <c r="U1726" s="117"/>
      <c r="V1726" s="117"/>
      <c r="W1726" s="117"/>
      <c r="X1726" s="117"/>
      <c r="Y1726" s="117"/>
      <c r="Z1726" s="117"/>
      <c r="AA1726" s="117"/>
      <c r="AB1726" s="117"/>
      <c r="AC1726" s="117"/>
      <c r="AD1726" s="117"/>
      <c r="AE1726" s="117"/>
      <c r="AF1726" s="117"/>
      <c r="AG1726" s="117"/>
      <c r="AH1726" s="117"/>
      <c r="AI1726" s="117"/>
      <c r="AJ1726" s="117"/>
      <c r="AK1726" s="117"/>
      <c r="AL1726" s="117"/>
      <c r="AM1726" s="117"/>
      <c r="AN1726" s="117"/>
      <c r="AO1726" s="117"/>
      <c r="AP1726" s="117"/>
      <c r="AQ1726" s="117"/>
      <c r="AR1726" s="117"/>
      <c r="AS1726" s="117"/>
      <c r="AT1726" s="117"/>
      <c r="AU1726" s="117"/>
      <c r="AV1726" s="117"/>
      <c r="AW1726" s="117"/>
      <c r="AX1726" s="117"/>
      <c r="AY1726" s="117"/>
      <c r="AZ1726" s="117"/>
      <c r="BA1726" s="117"/>
      <c r="BB1726" s="117"/>
      <c r="BC1726" s="117"/>
      <c r="BD1726" s="117"/>
      <c r="BE1726" s="117"/>
      <c r="BF1726" s="117"/>
      <c r="BG1726" s="117"/>
    </row>
    <row r="1727" spans="1:59">
      <c r="A1727" s="117"/>
      <c r="B1727" s="117"/>
      <c r="C1727" s="117"/>
      <c r="D1727" s="117"/>
      <c r="E1727" s="117"/>
      <c r="F1727" s="117"/>
      <c r="G1727" s="117"/>
      <c r="H1727" s="117"/>
      <c r="I1727" s="117"/>
      <c r="J1727" s="118"/>
      <c r="K1727" s="118"/>
      <c r="L1727" s="118"/>
      <c r="M1727" s="118"/>
      <c r="N1727" s="117"/>
      <c r="O1727" s="117"/>
      <c r="P1727" s="117"/>
      <c r="Q1727" s="117"/>
      <c r="R1727" s="117"/>
      <c r="S1727" s="117"/>
      <c r="T1727" s="117"/>
      <c r="U1727" s="117"/>
      <c r="V1727" s="117"/>
      <c r="W1727" s="117"/>
      <c r="X1727" s="117"/>
      <c r="Y1727" s="117"/>
      <c r="Z1727" s="117"/>
      <c r="AA1727" s="117"/>
      <c r="AB1727" s="117"/>
      <c r="AC1727" s="117"/>
      <c r="AD1727" s="117"/>
      <c r="AE1727" s="117"/>
      <c r="AF1727" s="117"/>
      <c r="AG1727" s="117"/>
      <c r="AH1727" s="117"/>
      <c r="AI1727" s="117"/>
      <c r="AJ1727" s="117"/>
      <c r="AK1727" s="117"/>
      <c r="AL1727" s="117"/>
      <c r="AM1727" s="117"/>
      <c r="AN1727" s="117"/>
      <c r="AO1727" s="117"/>
      <c r="AP1727" s="117"/>
      <c r="AQ1727" s="117"/>
      <c r="AR1727" s="117"/>
      <c r="AS1727" s="117"/>
      <c r="AT1727" s="117"/>
      <c r="AU1727" s="117"/>
      <c r="AV1727" s="117"/>
      <c r="AW1727" s="117"/>
      <c r="AX1727" s="117"/>
      <c r="AY1727" s="117"/>
      <c r="AZ1727" s="117"/>
      <c r="BA1727" s="117"/>
      <c r="BB1727" s="117"/>
      <c r="BC1727" s="117"/>
      <c r="BD1727" s="117"/>
      <c r="BE1727" s="117"/>
      <c r="BF1727" s="117"/>
      <c r="BG1727" s="117"/>
    </row>
    <row r="1728" spans="1:59">
      <c r="A1728" s="117"/>
      <c r="B1728" s="117"/>
      <c r="C1728" s="117"/>
      <c r="D1728" s="117"/>
      <c r="E1728" s="117"/>
      <c r="F1728" s="117"/>
      <c r="G1728" s="117"/>
      <c r="H1728" s="117"/>
      <c r="I1728" s="117"/>
      <c r="J1728" s="118"/>
      <c r="K1728" s="118"/>
      <c r="L1728" s="118"/>
      <c r="M1728" s="118"/>
      <c r="N1728" s="117"/>
      <c r="O1728" s="117"/>
      <c r="P1728" s="117"/>
      <c r="Q1728" s="117"/>
      <c r="R1728" s="117"/>
      <c r="S1728" s="117"/>
      <c r="T1728" s="117"/>
      <c r="U1728" s="117"/>
      <c r="V1728" s="117"/>
      <c r="W1728" s="117"/>
      <c r="X1728" s="117"/>
      <c r="Y1728" s="117"/>
      <c r="Z1728" s="117"/>
      <c r="AA1728" s="117"/>
      <c r="AB1728" s="117"/>
      <c r="AC1728" s="117"/>
      <c r="AD1728" s="117"/>
      <c r="AE1728" s="117"/>
      <c r="AF1728" s="117"/>
      <c r="AG1728" s="117"/>
      <c r="AH1728" s="117"/>
      <c r="AI1728" s="117"/>
      <c r="AJ1728" s="117"/>
      <c r="AK1728" s="117"/>
      <c r="AL1728" s="117"/>
      <c r="AM1728" s="117"/>
      <c r="AN1728" s="117"/>
      <c r="AO1728" s="117"/>
      <c r="AP1728" s="117"/>
      <c r="AQ1728" s="117"/>
      <c r="AR1728" s="117"/>
      <c r="AS1728" s="117"/>
      <c r="AT1728" s="117"/>
      <c r="AU1728" s="117"/>
      <c r="AV1728" s="117"/>
      <c r="AW1728" s="117"/>
      <c r="AX1728" s="117"/>
      <c r="AY1728" s="117"/>
      <c r="AZ1728" s="117"/>
      <c r="BA1728" s="117"/>
      <c r="BB1728" s="117"/>
      <c r="BC1728" s="117"/>
      <c r="BD1728" s="117"/>
      <c r="BE1728" s="117"/>
      <c r="BF1728" s="117"/>
      <c r="BG1728" s="117"/>
    </row>
    <row r="1729" spans="1:59">
      <c r="A1729" s="117"/>
      <c r="B1729" s="117"/>
      <c r="C1729" s="117"/>
      <c r="D1729" s="117"/>
      <c r="E1729" s="117"/>
      <c r="F1729" s="117"/>
      <c r="G1729" s="117"/>
      <c r="H1729" s="117"/>
      <c r="I1729" s="117"/>
      <c r="J1729" s="118"/>
      <c r="K1729" s="118"/>
      <c r="L1729" s="118"/>
      <c r="M1729" s="118"/>
      <c r="N1729" s="117"/>
      <c r="O1729" s="117"/>
      <c r="P1729" s="117"/>
      <c r="Q1729" s="117"/>
      <c r="R1729" s="117"/>
      <c r="S1729" s="117"/>
      <c r="T1729" s="117"/>
      <c r="U1729" s="117"/>
      <c r="V1729" s="117"/>
      <c r="W1729" s="117"/>
      <c r="X1729" s="117"/>
      <c r="Y1729" s="117"/>
      <c r="Z1729" s="117"/>
      <c r="AA1729" s="117"/>
      <c r="AB1729" s="117"/>
      <c r="AC1729" s="117"/>
      <c r="AD1729" s="117"/>
      <c r="AE1729" s="117"/>
      <c r="AF1729" s="117"/>
      <c r="AG1729" s="117"/>
      <c r="AH1729" s="117"/>
      <c r="AI1729" s="117"/>
      <c r="AJ1729" s="117"/>
      <c r="AK1729" s="117"/>
      <c r="AL1729" s="117"/>
      <c r="AM1729" s="117"/>
      <c r="AN1729" s="117"/>
      <c r="AO1729" s="117"/>
      <c r="AP1729" s="117"/>
      <c r="AQ1729" s="117"/>
      <c r="AR1729" s="117"/>
      <c r="AS1729" s="117"/>
      <c r="AT1729" s="117"/>
      <c r="AU1729" s="117"/>
      <c r="AV1729" s="117"/>
      <c r="AW1729" s="117"/>
      <c r="AX1729" s="117"/>
      <c r="AY1729" s="117"/>
      <c r="AZ1729" s="117"/>
      <c r="BA1729" s="117"/>
      <c r="BB1729" s="117"/>
      <c r="BC1729" s="117"/>
      <c r="BD1729" s="117"/>
      <c r="BE1729" s="117"/>
      <c r="BF1729" s="117"/>
      <c r="BG1729" s="117"/>
    </row>
    <row r="1730" spans="1:59">
      <c r="A1730" s="117"/>
      <c r="B1730" s="117"/>
      <c r="C1730" s="117"/>
      <c r="D1730" s="117"/>
      <c r="E1730" s="117"/>
      <c r="F1730" s="117"/>
      <c r="G1730" s="117"/>
      <c r="H1730" s="117"/>
      <c r="I1730" s="117"/>
      <c r="J1730" s="118"/>
      <c r="K1730" s="118"/>
      <c r="L1730" s="118"/>
      <c r="M1730" s="118"/>
      <c r="N1730" s="117"/>
      <c r="O1730" s="117"/>
      <c r="P1730" s="117"/>
      <c r="Q1730" s="117"/>
      <c r="R1730" s="117"/>
      <c r="S1730" s="117"/>
      <c r="T1730" s="117"/>
      <c r="U1730" s="117"/>
      <c r="V1730" s="117"/>
      <c r="W1730" s="117"/>
      <c r="X1730" s="117"/>
      <c r="Y1730" s="117"/>
      <c r="Z1730" s="117"/>
      <c r="AA1730" s="117"/>
      <c r="AB1730" s="117"/>
      <c r="AC1730" s="117"/>
      <c r="AD1730" s="117"/>
      <c r="AE1730" s="117"/>
      <c r="AF1730" s="117"/>
      <c r="AG1730" s="117"/>
      <c r="AH1730" s="117"/>
      <c r="AI1730" s="117"/>
      <c r="AJ1730" s="117"/>
      <c r="AK1730" s="117"/>
      <c r="AL1730" s="117"/>
      <c r="AM1730" s="117"/>
      <c r="AN1730" s="117"/>
      <c r="AO1730" s="117"/>
      <c r="AP1730" s="117"/>
      <c r="AQ1730" s="117"/>
      <c r="AR1730" s="117"/>
      <c r="AS1730" s="117"/>
      <c r="AT1730" s="117"/>
      <c r="AU1730" s="117"/>
      <c r="AV1730" s="117"/>
      <c r="AW1730" s="117"/>
      <c r="AX1730" s="117"/>
      <c r="AY1730" s="117"/>
      <c r="AZ1730" s="117"/>
      <c r="BA1730" s="117"/>
      <c r="BB1730" s="117"/>
      <c r="BC1730" s="117"/>
      <c r="BD1730" s="117"/>
      <c r="BE1730" s="117"/>
      <c r="BF1730" s="117"/>
      <c r="BG1730" s="117"/>
    </row>
    <row r="1731" spans="1:59">
      <c r="A1731" s="117"/>
      <c r="B1731" s="117"/>
      <c r="C1731" s="117"/>
      <c r="D1731" s="117"/>
      <c r="E1731" s="117"/>
      <c r="F1731" s="117"/>
      <c r="G1731" s="117"/>
      <c r="H1731" s="117"/>
      <c r="I1731" s="117"/>
      <c r="J1731" s="118"/>
      <c r="K1731" s="118"/>
      <c r="L1731" s="118"/>
      <c r="M1731" s="118"/>
      <c r="N1731" s="117"/>
      <c r="O1731" s="117"/>
      <c r="P1731" s="117"/>
      <c r="Q1731" s="117"/>
      <c r="R1731" s="117"/>
      <c r="S1731" s="117"/>
      <c r="T1731" s="117"/>
      <c r="U1731" s="117"/>
      <c r="V1731" s="117"/>
      <c r="W1731" s="117"/>
      <c r="X1731" s="117"/>
      <c r="Y1731" s="117"/>
      <c r="Z1731" s="117"/>
      <c r="AA1731" s="117"/>
      <c r="AB1731" s="117"/>
      <c r="AC1731" s="117"/>
      <c r="AD1731" s="117"/>
      <c r="AE1731" s="117"/>
      <c r="AF1731" s="117"/>
      <c r="AG1731" s="117"/>
      <c r="AH1731" s="117"/>
      <c r="AI1731" s="117"/>
      <c r="AJ1731" s="117"/>
      <c r="AK1731" s="117"/>
      <c r="AL1731" s="117"/>
      <c r="AM1731" s="117"/>
      <c r="AN1731" s="117"/>
      <c r="AO1731" s="117"/>
      <c r="AP1731" s="117"/>
      <c r="AQ1731" s="117"/>
      <c r="AR1731" s="117"/>
      <c r="AS1731" s="117"/>
      <c r="AT1731" s="117"/>
      <c r="AU1731" s="117"/>
      <c r="AV1731" s="117"/>
      <c r="AW1731" s="117"/>
      <c r="AX1731" s="117"/>
      <c r="AY1731" s="117"/>
      <c r="AZ1731" s="117"/>
      <c r="BA1731" s="117"/>
      <c r="BB1731" s="117"/>
      <c r="BC1731" s="117"/>
      <c r="BD1731" s="117"/>
      <c r="BE1731" s="117"/>
      <c r="BF1731" s="117"/>
      <c r="BG1731" s="117"/>
    </row>
    <row r="1732" spans="1:59">
      <c r="A1732" s="117"/>
      <c r="B1732" s="117"/>
      <c r="C1732" s="117"/>
      <c r="D1732" s="117"/>
      <c r="E1732" s="117"/>
      <c r="F1732" s="117"/>
      <c r="G1732" s="117"/>
      <c r="H1732" s="117"/>
      <c r="I1732" s="117"/>
      <c r="J1732" s="118"/>
      <c r="K1732" s="118"/>
      <c r="L1732" s="118"/>
      <c r="M1732" s="118"/>
      <c r="N1732" s="117"/>
      <c r="O1732" s="117"/>
      <c r="P1732" s="117"/>
      <c r="Q1732" s="117"/>
      <c r="R1732" s="117"/>
      <c r="S1732" s="117"/>
      <c r="T1732" s="117"/>
      <c r="U1732" s="117"/>
      <c r="V1732" s="117"/>
      <c r="W1732" s="117"/>
      <c r="X1732" s="117"/>
      <c r="Y1732" s="117"/>
      <c r="Z1732" s="117"/>
      <c r="AA1732" s="117"/>
      <c r="AB1732" s="117"/>
      <c r="AC1732" s="117"/>
      <c r="AD1732" s="117"/>
      <c r="AE1732" s="117"/>
      <c r="AF1732" s="117"/>
      <c r="AG1732" s="117"/>
      <c r="AH1732" s="117"/>
      <c r="AI1732" s="117"/>
      <c r="AJ1732" s="117"/>
      <c r="AK1732" s="117"/>
      <c r="AL1732" s="117"/>
      <c r="AM1732" s="117"/>
      <c r="AN1732" s="117"/>
      <c r="AO1732" s="117"/>
      <c r="AP1732" s="117"/>
      <c r="AQ1732" s="117"/>
      <c r="AR1732" s="117"/>
      <c r="AS1732" s="117"/>
      <c r="AT1732" s="117"/>
      <c r="AU1732" s="117"/>
      <c r="AV1732" s="117"/>
      <c r="AW1732" s="117"/>
      <c r="AX1732" s="117"/>
      <c r="AY1732" s="117"/>
      <c r="AZ1732" s="117"/>
      <c r="BA1732" s="117"/>
      <c r="BB1732" s="117"/>
      <c r="BC1732" s="117"/>
      <c r="BD1732" s="117"/>
      <c r="BE1732" s="117"/>
      <c r="BF1732" s="117"/>
      <c r="BG1732" s="117"/>
    </row>
    <row r="1733" spans="1:59">
      <c r="A1733" s="117"/>
      <c r="B1733" s="117"/>
      <c r="C1733" s="117"/>
      <c r="D1733" s="117"/>
      <c r="E1733" s="117"/>
      <c r="F1733" s="117"/>
      <c r="G1733" s="117"/>
      <c r="H1733" s="117"/>
      <c r="I1733" s="117"/>
      <c r="J1733" s="118"/>
      <c r="K1733" s="118"/>
      <c r="L1733" s="118"/>
      <c r="M1733" s="118"/>
      <c r="N1733" s="117"/>
      <c r="O1733" s="117"/>
      <c r="P1733" s="117"/>
      <c r="Q1733" s="117"/>
      <c r="R1733" s="117"/>
      <c r="S1733" s="117"/>
      <c r="T1733" s="117"/>
      <c r="U1733" s="117"/>
      <c r="V1733" s="117"/>
      <c r="W1733" s="117"/>
      <c r="X1733" s="117"/>
      <c r="Y1733" s="117"/>
      <c r="Z1733" s="117"/>
      <c r="AA1733" s="117"/>
      <c r="AB1733" s="117"/>
      <c r="AC1733" s="117"/>
      <c r="AD1733" s="117"/>
      <c r="AE1733" s="117"/>
      <c r="AF1733" s="117"/>
      <c r="AG1733" s="117"/>
      <c r="AH1733" s="117"/>
      <c r="AI1733" s="117"/>
      <c r="AJ1733" s="117"/>
      <c r="AK1733" s="117"/>
      <c r="AL1733" s="117"/>
      <c r="AM1733" s="117"/>
      <c r="AN1733" s="117"/>
      <c r="AO1733" s="117"/>
      <c r="AP1733" s="117"/>
      <c r="AQ1733" s="117"/>
      <c r="AR1733" s="117"/>
      <c r="AS1733" s="117"/>
      <c r="AT1733" s="117"/>
      <c r="AU1733" s="117"/>
      <c r="AV1733" s="117"/>
      <c r="AW1733" s="117"/>
      <c r="AX1733" s="117"/>
      <c r="AY1733" s="117"/>
      <c r="AZ1733" s="117"/>
      <c r="BA1733" s="117"/>
      <c r="BB1733" s="117"/>
      <c r="BC1733" s="117"/>
      <c r="BD1733" s="117"/>
      <c r="BE1733" s="117"/>
      <c r="BF1733" s="117"/>
      <c r="BG1733" s="117"/>
    </row>
    <row r="1734" spans="1:59">
      <c r="A1734" s="117"/>
      <c r="B1734" s="117"/>
      <c r="C1734" s="117"/>
      <c r="D1734" s="117"/>
      <c r="E1734" s="117"/>
      <c r="F1734" s="117"/>
      <c r="G1734" s="117"/>
      <c r="H1734" s="117"/>
      <c r="I1734" s="117"/>
      <c r="J1734" s="118"/>
      <c r="K1734" s="118"/>
      <c r="L1734" s="118"/>
      <c r="M1734" s="118"/>
      <c r="N1734" s="117"/>
      <c r="O1734" s="117"/>
      <c r="P1734" s="117"/>
      <c r="Q1734" s="117"/>
      <c r="R1734" s="117"/>
      <c r="S1734" s="117"/>
      <c r="T1734" s="117"/>
      <c r="U1734" s="117"/>
      <c r="V1734" s="117"/>
      <c r="W1734" s="117"/>
      <c r="X1734" s="117"/>
      <c r="Y1734" s="117"/>
      <c r="Z1734" s="117"/>
      <c r="AA1734" s="117"/>
      <c r="AB1734" s="117"/>
      <c r="AC1734" s="117"/>
      <c r="AD1734" s="117"/>
      <c r="AE1734" s="117"/>
      <c r="AF1734" s="117"/>
      <c r="AG1734" s="117"/>
      <c r="AH1734" s="117"/>
      <c r="AI1734" s="117"/>
      <c r="AJ1734" s="117"/>
      <c r="AK1734" s="117"/>
      <c r="AL1734" s="117"/>
      <c r="AM1734" s="117"/>
      <c r="AN1734" s="117"/>
      <c r="AO1734" s="117"/>
      <c r="AP1734" s="117"/>
      <c r="AQ1734" s="117"/>
      <c r="AR1734" s="117"/>
      <c r="AS1734" s="117"/>
      <c r="AT1734" s="117"/>
      <c r="AU1734" s="117"/>
      <c r="AV1734" s="117"/>
      <c r="AW1734" s="117"/>
      <c r="AX1734" s="117"/>
      <c r="AY1734" s="117"/>
      <c r="AZ1734" s="117"/>
      <c r="BA1734" s="117"/>
      <c r="BB1734" s="117"/>
      <c r="BC1734" s="117"/>
      <c r="BD1734" s="117"/>
      <c r="BE1734" s="117"/>
      <c r="BF1734" s="117"/>
      <c r="BG1734" s="117"/>
    </row>
    <row r="1735" spans="1:59">
      <c r="A1735" s="117"/>
      <c r="B1735" s="117"/>
      <c r="C1735" s="117"/>
      <c r="D1735" s="117"/>
      <c r="E1735" s="117"/>
      <c r="F1735" s="117"/>
      <c r="G1735" s="117"/>
      <c r="H1735" s="117"/>
      <c r="I1735" s="117"/>
      <c r="J1735" s="118"/>
      <c r="K1735" s="118"/>
      <c r="L1735" s="118"/>
      <c r="M1735" s="118"/>
      <c r="N1735" s="117"/>
      <c r="O1735" s="117"/>
      <c r="P1735" s="117"/>
      <c r="Q1735" s="117"/>
      <c r="R1735" s="117"/>
      <c r="S1735" s="117"/>
      <c r="T1735" s="117"/>
      <c r="U1735" s="117"/>
      <c r="V1735" s="117"/>
      <c r="W1735" s="117"/>
      <c r="X1735" s="117"/>
      <c r="Y1735" s="117"/>
      <c r="Z1735" s="117"/>
      <c r="AA1735" s="117"/>
      <c r="AB1735" s="117"/>
      <c r="AC1735" s="117"/>
      <c r="AD1735" s="117"/>
      <c r="AE1735" s="117"/>
      <c r="AF1735" s="117"/>
      <c r="AG1735" s="117"/>
      <c r="AH1735" s="117"/>
      <c r="AI1735" s="117"/>
      <c r="AJ1735" s="117"/>
      <c r="AK1735" s="117"/>
      <c r="AL1735" s="117"/>
      <c r="AM1735" s="117"/>
      <c r="AN1735" s="117"/>
      <c r="AO1735" s="117"/>
      <c r="AP1735" s="117"/>
      <c r="AQ1735" s="117"/>
      <c r="AR1735" s="117"/>
      <c r="AS1735" s="117"/>
      <c r="AT1735" s="117"/>
      <c r="AU1735" s="117"/>
      <c r="AV1735" s="117"/>
      <c r="AW1735" s="117"/>
      <c r="AX1735" s="117"/>
      <c r="AY1735" s="117"/>
      <c r="AZ1735" s="117"/>
      <c r="BA1735" s="117"/>
      <c r="BB1735" s="117"/>
      <c r="BC1735" s="117"/>
      <c r="BD1735" s="117"/>
      <c r="BE1735" s="117"/>
      <c r="BF1735" s="117"/>
      <c r="BG1735" s="117"/>
    </row>
    <row r="1736" spans="1:59">
      <c r="A1736" s="117"/>
      <c r="B1736" s="117"/>
      <c r="C1736" s="117"/>
      <c r="D1736" s="117"/>
      <c r="E1736" s="117"/>
      <c r="F1736" s="117"/>
      <c r="G1736" s="117"/>
      <c r="H1736" s="117"/>
      <c r="I1736" s="117"/>
      <c r="J1736" s="118"/>
      <c r="K1736" s="118"/>
      <c r="L1736" s="118"/>
      <c r="M1736" s="118"/>
      <c r="N1736" s="117"/>
      <c r="O1736" s="117"/>
      <c r="P1736" s="117"/>
      <c r="Q1736" s="117"/>
      <c r="R1736" s="117"/>
      <c r="S1736" s="117"/>
      <c r="T1736" s="117"/>
      <c r="U1736" s="117"/>
      <c r="V1736" s="117"/>
      <c r="W1736" s="117"/>
      <c r="X1736" s="117"/>
      <c r="Y1736" s="117"/>
      <c r="Z1736" s="117"/>
      <c r="AA1736" s="117"/>
      <c r="AB1736" s="117"/>
      <c r="AC1736" s="117"/>
      <c r="AD1736" s="117"/>
      <c r="AE1736" s="117"/>
      <c r="AF1736" s="117"/>
      <c r="AG1736" s="117"/>
      <c r="AH1736" s="117"/>
      <c r="AI1736" s="117"/>
      <c r="AJ1736" s="117"/>
      <c r="AK1736" s="117"/>
      <c r="AL1736" s="117"/>
      <c r="AM1736" s="117"/>
      <c r="AN1736" s="117"/>
      <c r="AO1736" s="117"/>
      <c r="AP1736" s="117"/>
      <c r="AQ1736" s="117"/>
      <c r="AR1736" s="117"/>
      <c r="AS1736" s="117"/>
      <c r="AT1736" s="117"/>
      <c r="AU1736" s="117"/>
      <c r="AV1736" s="117"/>
      <c r="AW1736" s="117"/>
      <c r="AX1736" s="117"/>
      <c r="AY1736" s="117"/>
      <c r="AZ1736" s="117"/>
      <c r="BA1736" s="117"/>
      <c r="BB1736" s="117"/>
      <c r="BC1736" s="117"/>
      <c r="BD1736" s="117"/>
      <c r="BE1736" s="117"/>
      <c r="BF1736" s="117"/>
      <c r="BG1736" s="117"/>
    </row>
    <row r="1737" spans="1:59">
      <c r="A1737" s="117"/>
      <c r="B1737" s="117"/>
      <c r="C1737" s="117"/>
      <c r="D1737" s="117"/>
      <c r="E1737" s="117"/>
      <c r="F1737" s="117"/>
      <c r="G1737" s="117"/>
      <c r="H1737" s="117"/>
      <c r="I1737" s="117"/>
      <c r="J1737" s="118"/>
      <c r="K1737" s="118"/>
      <c r="L1737" s="118"/>
      <c r="M1737" s="118"/>
      <c r="N1737" s="117"/>
      <c r="O1737" s="117"/>
      <c r="P1737" s="117"/>
      <c r="Q1737" s="117"/>
      <c r="R1737" s="117"/>
      <c r="S1737" s="117"/>
      <c r="T1737" s="117"/>
      <c r="U1737" s="117"/>
      <c r="V1737" s="117"/>
      <c r="W1737" s="117"/>
      <c r="X1737" s="117"/>
      <c r="Y1737" s="117"/>
      <c r="Z1737" s="117"/>
      <c r="AA1737" s="117"/>
      <c r="AB1737" s="117"/>
      <c r="AC1737" s="117"/>
      <c r="AD1737" s="117"/>
      <c r="AE1737" s="117"/>
      <c r="AF1737" s="117"/>
      <c r="AG1737" s="117"/>
      <c r="AH1737" s="117"/>
      <c r="AI1737" s="117"/>
      <c r="AJ1737" s="117"/>
      <c r="AK1737" s="117"/>
      <c r="AL1737" s="117"/>
      <c r="AM1737" s="117"/>
      <c r="AN1737" s="117"/>
      <c r="AO1737" s="117"/>
      <c r="AP1737" s="117"/>
      <c r="AQ1737" s="117"/>
      <c r="AR1737" s="117"/>
      <c r="AS1737" s="117"/>
      <c r="AT1737" s="117"/>
      <c r="AU1737" s="117"/>
      <c r="AV1737" s="117"/>
      <c r="AW1737" s="117"/>
      <c r="AX1737" s="117"/>
      <c r="AY1737" s="117"/>
      <c r="AZ1737" s="117"/>
      <c r="BA1737" s="117"/>
      <c r="BB1737" s="117"/>
      <c r="BC1737" s="117"/>
      <c r="BD1737" s="117"/>
      <c r="BE1737" s="117"/>
      <c r="BF1737" s="117"/>
      <c r="BG1737" s="117"/>
    </row>
    <row r="1738" spans="1:59">
      <c r="A1738" s="117"/>
      <c r="B1738" s="117"/>
      <c r="C1738" s="117"/>
      <c r="D1738" s="117"/>
      <c r="E1738" s="117"/>
      <c r="F1738" s="117"/>
      <c r="G1738" s="117"/>
      <c r="H1738" s="117"/>
      <c r="I1738" s="117"/>
      <c r="J1738" s="118"/>
      <c r="K1738" s="118"/>
      <c r="L1738" s="118"/>
      <c r="M1738" s="118"/>
      <c r="N1738" s="117"/>
      <c r="O1738" s="117"/>
      <c r="P1738" s="117"/>
      <c r="Q1738" s="117"/>
      <c r="R1738" s="117"/>
      <c r="S1738" s="117"/>
      <c r="T1738" s="117"/>
      <c r="U1738" s="117"/>
      <c r="V1738" s="117"/>
      <c r="W1738" s="117"/>
      <c r="X1738" s="117"/>
      <c r="Y1738" s="117"/>
      <c r="Z1738" s="117"/>
      <c r="AA1738" s="117"/>
      <c r="AB1738" s="117"/>
      <c r="AC1738" s="117"/>
      <c r="AD1738" s="117"/>
      <c r="AE1738" s="117"/>
      <c r="AF1738" s="117"/>
      <c r="AG1738" s="117"/>
      <c r="AH1738" s="117"/>
      <c r="AI1738" s="117"/>
      <c r="AJ1738" s="117"/>
      <c r="AK1738" s="117"/>
      <c r="AL1738" s="117"/>
      <c r="AM1738" s="117"/>
      <c r="AN1738" s="117"/>
      <c r="AO1738" s="117"/>
      <c r="AP1738" s="117"/>
      <c r="AQ1738" s="117"/>
      <c r="AR1738" s="117"/>
      <c r="AS1738" s="117"/>
      <c r="AT1738" s="117"/>
      <c r="AU1738" s="117"/>
      <c r="AV1738" s="117"/>
      <c r="AW1738" s="117"/>
      <c r="AX1738" s="117"/>
      <c r="AY1738" s="117"/>
      <c r="AZ1738" s="117"/>
      <c r="BA1738" s="117"/>
      <c r="BB1738" s="117"/>
      <c r="BC1738" s="117"/>
      <c r="BD1738" s="117"/>
      <c r="BE1738" s="117"/>
      <c r="BF1738" s="117"/>
      <c r="BG1738" s="117"/>
    </row>
    <row r="1739" spans="1:59">
      <c r="A1739" s="117"/>
      <c r="B1739" s="117"/>
      <c r="C1739" s="117"/>
      <c r="D1739" s="117"/>
      <c r="E1739" s="117"/>
      <c r="F1739" s="117"/>
      <c r="G1739" s="117"/>
      <c r="H1739" s="117"/>
      <c r="I1739" s="117"/>
      <c r="J1739" s="118"/>
      <c r="K1739" s="118"/>
      <c r="L1739" s="118"/>
      <c r="M1739" s="118"/>
      <c r="N1739" s="117"/>
      <c r="O1739" s="117"/>
      <c r="P1739" s="117"/>
      <c r="Q1739" s="117"/>
      <c r="R1739" s="117"/>
      <c r="S1739" s="117"/>
      <c r="T1739" s="117"/>
      <c r="U1739" s="117"/>
      <c r="V1739" s="117"/>
      <c r="W1739" s="117"/>
      <c r="X1739" s="117"/>
      <c r="Y1739" s="117"/>
      <c r="Z1739" s="117"/>
      <c r="AA1739" s="117"/>
      <c r="AB1739" s="117"/>
      <c r="AC1739" s="117"/>
      <c r="AD1739" s="117"/>
      <c r="AE1739" s="117"/>
      <c r="AF1739" s="117"/>
      <c r="AG1739" s="117"/>
      <c r="AH1739" s="117"/>
      <c r="AI1739" s="117"/>
      <c r="AJ1739" s="117"/>
      <c r="AK1739" s="117"/>
      <c r="AL1739" s="117"/>
      <c r="AM1739" s="117"/>
      <c r="AN1739" s="117"/>
      <c r="AO1739" s="117"/>
      <c r="AP1739" s="117"/>
      <c r="AQ1739" s="117"/>
      <c r="AR1739" s="117"/>
      <c r="AS1739" s="117"/>
      <c r="AT1739" s="117"/>
      <c r="AU1739" s="117"/>
      <c r="AV1739" s="117"/>
      <c r="AW1739" s="117"/>
      <c r="AX1739" s="117"/>
      <c r="AY1739" s="117"/>
      <c r="AZ1739" s="117"/>
      <c r="BA1739" s="117"/>
      <c r="BB1739" s="117"/>
      <c r="BC1739" s="117"/>
      <c r="BD1739" s="117"/>
      <c r="BE1739" s="117"/>
      <c r="BF1739" s="117"/>
      <c r="BG1739" s="117"/>
    </row>
    <row r="1740" spans="1:59">
      <c r="A1740" s="117"/>
      <c r="B1740" s="117"/>
      <c r="C1740" s="117"/>
      <c r="D1740" s="117"/>
      <c r="E1740" s="117"/>
      <c r="F1740" s="117"/>
      <c r="G1740" s="117"/>
      <c r="H1740" s="117"/>
      <c r="I1740" s="117"/>
      <c r="J1740" s="118"/>
      <c r="K1740" s="118"/>
      <c r="L1740" s="118"/>
      <c r="M1740" s="118"/>
      <c r="N1740" s="117"/>
      <c r="O1740" s="117"/>
      <c r="P1740" s="117"/>
      <c r="Q1740" s="117"/>
      <c r="R1740" s="117"/>
      <c r="S1740" s="117"/>
      <c r="T1740" s="117"/>
      <c r="U1740" s="117"/>
      <c r="V1740" s="117"/>
      <c r="W1740" s="117"/>
      <c r="X1740" s="117"/>
      <c r="Y1740" s="117"/>
      <c r="Z1740" s="117"/>
      <c r="AA1740" s="117"/>
      <c r="AB1740" s="117"/>
      <c r="AC1740" s="117"/>
      <c r="AD1740" s="117"/>
      <c r="AE1740" s="117"/>
      <c r="AF1740" s="117"/>
      <c r="AG1740" s="117"/>
      <c r="AH1740" s="117"/>
      <c r="AI1740" s="117"/>
      <c r="AJ1740" s="117"/>
      <c r="AK1740" s="117"/>
      <c r="AL1740" s="117"/>
      <c r="AM1740" s="117"/>
      <c r="AN1740" s="117"/>
      <c r="AO1740" s="117"/>
      <c r="AP1740" s="117"/>
      <c r="AQ1740" s="117"/>
      <c r="AR1740" s="117"/>
      <c r="AS1740" s="117"/>
      <c r="AT1740" s="117"/>
      <c r="AU1740" s="117"/>
      <c r="AV1740" s="117"/>
      <c r="AW1740" s="117"/>
      <c r="AX1740" s="117"/>
      <c r="AY1740" s="117"/>
      <c r="AZ1740" s="117"/>
      <c r="BA1740" s="117"/>
      <c r="BB1740" s="117"/>
      <c r="BC1740" s="117"/>
      <c r="BD1740" s="117"/>
      <c r="BE1740" s="117"/>
      <c r="BF1740" s="117"/>
      <c r="BG1740" s="117"/>
    </row>
    <row r="1741" spans="1:59">
      <c r="A1741" s="117"/>
      <c r="B1741" s="117"/>
      <c r="C1741" s="117"/>
      <c r="D1741" s="117"/>
      <c r="E1741" s="117"/>
      <c r="F1741" s="117"/>
      <c r="G1741" s="117"/>
      <c r="H1741" s="117"/>
      <c r="I1741" s="117"/>
      <c r="J1741" s="118"/>
      <c r="K1741" s="118"/>
      <c r="L1741" s="118"/>
      <c r="M1741" s="118"/>
      <c r="N1741" s="117"/>
      <c r="O1741" s="117"/>
      <c r="P1741" s="117"/>
      <c r="Q1741" s="117"/>
      <c r="R1741" s="117"/>
      <c r="S1741" s="117"/>
      <c r="T1741" s="117"/>
      <c r="U1741" s="117"/>
      <c r="V1741" s="117"/>
      <c r="W1741" s="117"/>
      <c r="X1741" s="117"/>
      <c r="Y1741" s="117"/>
      <c r="Z1741" s="117"/>
      <c r="AA1741" s="117"/>
      <c r="AB1741" s="117"/>
      <c r="AC1741" s="117"/>
      <c r="AD1741" s="117"/>
      <c r="AE1741" s="117"/>
      <c r="AF1741" s="117"/>
      <c r="AG1741" s="117"/>
      <c r="AH1741" s="117"/>
      <c r="AI1741" s="117"/>
      <c r="AJ1741" s="117"/>
      <c r="AK1741" s="117"/>
      <c r="AL1741" s="117"/>
      <c r="AM1741" s="117"/>
      <c r="AN1741" s="117"/>
      <c r="AO1741" s="117"/>
      <c r="AP1741" s="117"/>
      <c r="AQ1741" s="117"/>
      <c r="AR1741" s="117"/>
      <c r="AS1741" s="117"/>
      <c r="AT1741" s="117"/>
      <c r="AU1741" s="117"/>
      <c r="AV1741" s="117"/>
      <c r="AW1741" s="117"/>
      <c r="AX1741" s="117"/>
      <c r="AY1741" s="117"/>
      <c r="AZ1741" s="117"/>
      <c r="BA1741" s="117"/>
      <c r="BB1741" s="117"/>
      <c r="BC1741" s="117"/>
      <c r="BD1741" s="117"/>
      <c r="BE1741" s="117"/>
      <c r="BF1741" s="117"/>
      <c r="BG1741" s="117"/>
    </row>
    <row r="1742" spans="1:59">
      <c r="A1742" s="117"/>
      <c r="B1742" s="117"/>
      <c r="C1742" s="117"/>
      <c r="D1742" s="117"/>
      <c r="E1742" s="117"/>
      <c r="F1742" s="117"/>
      <c r="G1742" s="117"/>
      <c r="H1742" s="117"/>
      <c r="I1742" s="117"/>
      <c r="J1742" s="118"/>
      <c r="K1742" s="118"/>
      <c r="L1742" s="118"/>
      <c r="M1742" s="118"/>
      <c r="N1742" s="117"/>
      <c r="O1742" s="117"/>
      <c r="P1742" s="117"/>
      <c r="Q1742" s="117"/>
      <c r="R1742" s="117"/>
      <c r="S1742" s="117"/>
      <c r="T1742" s="117"/>
      <c r="U1742" s="117"/>
      <c r="V1742" s="117"/>
      <c r="W1742" s="117"/>
      <c r="X1742" s="117"/>
      <c r="Y1742" s="117"/>
      <c r="Z1742" s="117"/>
      <c r="AA1742" s="117"/>
      <c r="AB1742" s="117"/>
      <c r="AC1742" s="117"/>
      <c r="AD1742" s="117"/>
      <c r="AE1742" s="117"/>
      <c r="AF1742" s="117"/>
      <c r="AG1742" s="117"/>
      <c r="AH1742" s="117"/>
      <c r="AI1742" s="117"/>
      <c r="AJ1742" s="117"/>
      <c r="AK1742" s="117"/>
      <c r="AL1742" s="117"/>
      <c r="AM1742" s="117"/>
      <c r="AN1742" s="117"/>
      <c r="AO1742" s="117"/>
      <c r="AP1742" s="117"/>
      <c r="AQ1742" s="117"/>
      <c r="AR1742" s="117"/>
      <c r="AS1742" s="117"/>
      <c r="AT1742" s="117"/>
      <c r="AU1742" s="117"/>
      <c r="AV1742" s="117"/>
      <c r="AW1742" s="117"/>
      <c r="AX1742" s="117"/>
      <c r="AY1742" s="117"/>
      <c r="AZ1742" s="117"/>
      <c r="BA1742" s="117"/>
      <c r="BB1742" s="117"/>
      <c r="BC1742" s="117"/>
      <c r="BD1742" s="117"/>
      <c r="BE1742" s="117"/>
      <c r="BF1742" s="117"/>
      <c r="BG1742" s="117"/>
    </row>
    <row r="1743" spans="1:59">
      <c r="A1743" s="117"/>
      <c r="B1743" s="117"/>
      <c r="C1743" s="117"/>
      <c r="D1743" s="117"/>
      <c r="E1743" s="117"/>
      <c r="F1743" s="117"/>
      <c r="G1743" s="117"/>
      <c r="H1743" s="117"/>
      <c r="I1743" s="117"/>
      <c r="J1743" s="118"/>
      <c r="K1743" s="118"/>
      <c r="L1743" s="118"/>
      <c r="M1743" s="118"/>
      <c r="N1743" s="117"/>
      <c r="O1743" s="117"/>
      <c r="P1743" s="117"/>
      <c r="Q1743" s="117"/>
      <c r="R1743" s="117"/>
      <c r="S1743" s="117"/>
      <c r="T1743" s="117"/>
      <c r="U1743" s="117"/>
      <c r="V1743" s="117"/>
      <c r="W1743" s="117"/>
      <c r="X1743" s="117"/>
      <c r="Y1743" s="117"/>
      <c r="Z1743" s="117"/>
      <c r="AA1743" s="117"/>
      <c r="AB1743" s="117"/>
      <c r="AC1743" s="117"/>
      <c r="AD1743" s="117"/>
      <c r="AE1743" s="117"/>
      <c r="AF1743" s="117"/>
      <c r="AG1743" s="117"/>
      <c r="AH1743" s="117"/>
      <c r="AI1743" s="117"/>
      <c r="AJ1743" s="117"/>
      <c r="AK1743" s="117"/>
      <c r="AL1743" s="117"/>
      <c r="AM1743" s="117"/>
      <c r="AN1743" s="117"/>
      <c r="AO1743" s="117"/>
      <c r="AP1743" s="117"/>
      <c r="AQ1743" s="117"/>
      <c r="AR1743" s="117"/>
      <c r="AS1743" s="117"/>
      <c r="AT1743" s="117"/>
      <c r="AU1743" s="117"/>
      <c r="AV1743" s="117"/>
      <c r="AW1743" s="117"/>
      <c r="AX1743" s="117"/>
      <c r="AY1743" s="117"/>
      <c r="AZ1743" s="117"/>
      <c r="BA1743" s="117"/>
      <c r="BB1743" s="117"/>
      <c r="BC1743" s="117"/>
      <c r="BD1743" s="117"/>
      <c r="BE1743" s="117"/>
      <c r="BF1743" s="117"/>
      <c r="BG1743" s="117"/>
    </row>
    <row r="1744" spans="1:59">
      <c r="A1744" s="117"/>
      <c r="B1744" s="117"/>
      <c r="C1744" s="117"/>
      <c r="D1744" s="117"/>
      <c r="E1744" s="117"/>
      <c r="F1744" s="117"/>
      <c r="G1744" s="117"/>
      <c r="H1744" s="117"/>
      <c r="I1744" s="117"/>
      <c r="J1744" s="118"/>
      <c r="K1744" s="118"/>
      <c r="L1744" s="118"/>
      <c r="M1744" s="118"/>
      <c r="N1744" s="117"/>
      <c r="O1744" s="117"/>
      <c r="P1744" s="117"/>
      <c r="Q1744" s="117"/>
      <c r="R1744" s="117"/>
      <c r="S1744" s="117"/>
      <c r="T1744" s="117"/>
      <c r="U1744" s="117"/>
      <c r="V1744" s="117"/>
      <c r="W1744" s="117"/>
      <c r="X1744" s="117"/>
      <c r="Y1744" s="117"/>
      <c r="Z1744" s="117"/>
      <c r="AA1744" s="117"/>
      <c r="AB1744" s="117"/>
      <c r="AC1744" s="117"/>
      <c r="AD1744" s="117"/>
      <c r="AE1744" s="117"/>
      <c r="AF1744" s="117"/>
      <c r="AG1744" s="117"/>
      <c r="AH1744" s="117"/>
      <c r="AI1744" s="117"/>
      <c r="AJ1744" s="117"/>
      <c r="AK1744" s="117"/>
      <c r="AL1744" s="117"/>
      <c r="AM1744" s="117"/>
      <c r="AN1744" s="117"/>
      <c r="AO1744" s="117"/>
      <c r="AP1744" s="117"/>
      <c r="AQ1744" s="117"/>
      <c r="AR1744" s="117"/>
      <c r="AS1744" s="117"/>
      <c r="AT1744" s="117"/>
      <c r="AU1744" s="117"/>
      <c r="AV1744" s="117"/>
      <c r="AW1744" s="117"/>
      <c r="AX1744" s="117"/>
      <c r="AY1744" s="117"/>
      <c r="AZ1744" s="117"/>
      <c r="BA1744" s="117"/>
      <c r="BB1744" s="117"/>
      <c r="BC1744" s="117"/>
      <c r="BD1744" s="117"/>
      <c r="BE1744" s="117"/>
      <c r="BF1744" s="117"/>
      <c r="BG1744" s="117"/>
    </row>
    <row r="1745" spans="1:59">
      <c r="A1745" s="117"/>
      <c r="B1745" s="117"/>
      <c r="C1745" s="117"/>
      <c r="D1745" s="117"/>
      <c r="E1745" s="117"/>
      <c r="F1745" s="117"/>
      <c r="G1745" s="117"/>
      <c r="H1745" s="117"/>
      <c r="I1745" s="117"/>
      <c r="J1745" s="118"/>
      <c r="K1745" s="118"/>
      <c r="L1745" s="118"/>
      <c r="M1745" s="118"/>
      <c r="N1745" s="117"/>
      <c r="O1745" s="117"/>
      <c r="P1745" s="117"/>
      <c r="Q1745" s="117"/>
      <c r="R1745" s="117"/>
      <c r="S1745" s="117"/>
      <c r="T1745" s="117"/>
      <c r="U1745" s="117"/>
      <c r="V1745" s="117"/>
      <c r="W1745" s="117"/>
      <c r="X1745" s="117"/>
      <c r="Y1745" s="117"/>
      <c r="Z1745" s="117"/>
      <c r="AA1745" s="117"/>
      <c r="AB1745" s="117"/>
      <c r="AC1745" s="117"/>
      <c r="AD1745" s="117"/>
      <c r="AE1745" s="117"/>
      <c r="AF1745" s="117"/>
      <c r="AG1745" s="117"/>
      <c r="AH1745" s="117"/>
      <c r="AI1745" s="117"/>
      <c r="AJ1745" s="117"/>
      <c r="AK1745" s="117"/>
      <c r="AL1745" s="117"/>
      <c r="AM1745" s="117"/>
      <c r="AN1745" s="117"/>
      <c r="AO1745" s="117"/>
      <c r="AP1745" s="117"/>
      <c r="AQ1745" s="117"/>
      <c r="AR1745" s="117"/>
      <c r="AS1745" s="117"/>
      <c r="AT1745" s="117"/>
      <c r="AU1745" s="117"/>
      <c r="AV1745" s="117"/>
      <c r="AW1745" s="117"/>
      <c r="AX1745" s="117"/>
      <c r="AY1745" s="117"/>
      <c r="AZ1745" s="117"/>
      <c r="BA1745" s="117"/>
      <c r="BB1745" s="117"/>
      <c r="BC1745" s="117"/>
      <c r="BD1745" s="117"/>
      <c r="BE1745" s="117"/>
      <c r="BF1745" s="117"/>
      <c r="BG1745" s="117"/>
    </row>
    <row r="1746" spans="1:59">
      <c r="A1746" s="117"/>
      <c r="B1746" s="117"/>
      <c r="C1746" s="117"/>
      <c r="D1746" s="117"/>
      <c r="E1746" s="117"/>
      <c r="F1746" s="117"/>
      <c r="G1746" s="117"/>
      <c r="H1746" s="117"/>
      <c r="I1746" s="117"/>
      <c r="J1746" s="118"/>
      <c r="K1746" s="118"/>
      <c r="L1746" s="118"/>
      <c r="M1746" s="118"/>
      <c r="N1746" s="117"/>
      <c r="O1746" s="117"/>
      <c r="P1746" s="117"/>
      <c r="Q1746" s="117"/>
      <c r="R1746" s="117"/>
      <c r="S1746" s="117"/>
      <c r="T1746" s="117"/>
      <c r="U1746" s="117"/>
      <c r="V1746" s="117"/>
      <c r="W1746" s="117"/>
      <c r="X1746" s="117"/>
      <c r="Y1746" s="117"/>
      <c r="Z1746" s="117"/>
      <c r="AA1746" s="117"/>
      <c r="AB1746" s="117"/>
      <c r="AC1746" s="117"/>
      <c r="AD1746" s="117"/>
      <c r="AE1746" s="117"/>
      <c r="AF1746" s="117"/>
      <c r="AG1746" s="117"/>
      <c r="AH1746" s="117"/>
      <c r="AI1746" s="117"/>
      <c r="AJ1746" s="117"/>
      <c r="AK1746" s="117"/>
      <c r="AL1746" s="117"/>
      <c r="AM1746" s="117"/>
      <c r="AN1746" s="117"/>
      <c r="AO1746" s="117"/>
      <c r="AP1746" s="117"/>
      <c r="AQ1746" s="117"/>
      <c r="AR1746" s="117"/>
      <c r="AS1746" s="117"/>
      <c r="AT1746" s="117"/>
      <c r="AU1746" s="117"/>
      <c r="AV1746" s="117"/>
      <c r="AW1746" s="117"/>
      <c r="AX1746" s="117"/>
      <c r="AY1746" s="117"/>
      <c r="AZ1746" s="117"/>
      <c r="BA1746" s="117"/>
      <c r="BB1746" s="117"/>
      <c r="BC1746" s="117"/>
      <c r="BD1746" s="117"/>
      <c r="BE1746" s="117"/>
      <c r="BF1746" s="117"/>
      <c r="BG1746" s="117"/>
    </row>
    <row r="1747" spans="1:59">
      <c r="A1747" s="117"/>
      <c r="B1747" s="117"/>
      <c r="C1747" s="117"/>
      <c r="D1747" s="117"/>
      <c r="E1747" s="117"/>
      <c r="F1747" s="117"/>
      <c r="G1747" s="117"/>
      <c r="H1747" s="117"/>
      <c r="I1747" s="117"/>
      <c r="J1747" s="118"/>
      <c r="K1747" s="118"/>
      <c r="L1747" s="118"/>
      <c r="M1747" s="118"/>
      <c r="N1747" s="117"/>
      <c r="O1747" s="117"/>
      <c r="P1747" s="117"/>
      <c r="Q1747" s="117"/>
      <c r="R1747" s="117"/>
      <c r="S1747" s="117"/>
      <c r="T1747" s="117"/>
      <c r="U1747" s="117"/>
      <c r="V1747" s="117"/>
      <c r="W1747" s="117"/>
      <c r="X1747" s="117"/>
      <c r="Y1747" s="117"/>
      <c r="Z1747" s="117"/>
      <c r="AA1747" s="117"/>
      <c r="AB1747" s="117"/>
      <c r="AC1747" s="117"/>
      <c r="AD1747" s="117"/>
      <c r="AE1747" s="117"/>
      <c r="AF1747" s="117"/>
      <c r="AG1747" s="117"/>
      <c r="AH1747" s="117"/>
      <c r="AI1747" s="117"/>
      <c r="AJ1747" s="117"/>
      <c r="AK1747" s="117"/>
      <c r="AL1747" s="117"/>
      <c r="AM1747" s="117"/>
      <c r="AN1747" s="117"/>
      <c r="AO1747" s="117"/>
      <c r="AP1747" s="117"/>
      <c r="AQ1747" s="117"/>
      <c r="AR1747" s="117"/>
      <c r="AS1747" s="117"/>
      <c r="AT1747" s="117"/>
      <c r="AU1747" s="117"/>
      <c r="AV1747" s="117"/>
      <c r="AW1747" s="117"/>
      <c r="AX1747" s="117"/>
      <c r="AY1747" s="117"/>
      <c r="AZ1747" s="117"/>
      <c r="BA1747" s="117"/>
      <c r="BB1747" s="117"/>
      <c r="BC1747" s="117"/>
      <c r="BD1747" s="117"/>
      <c r="BE1747" s="117"/>
      <c r="BF1747" s="117"/>
      <c r="BG1747" s="117"/>
    </row>
    <row r="1748" spans="1:59">
      <c r="A1748" s="117"/>
      <c r="B1748" s="117"/>
      <c r="C1748" s="117"/>
      <c r="D1748" s="117"/>
      <c r="E1748" s="117"/>
      <c r="F1748" s="117"/>
      <c r="G1748" s="117"/>
      <c r="H1748" s="117"/>
      <c r="I1748" s="117"/>
      <c r="J1748" s="118"/>
      <c r="K1748" s="118"/>
      <c r="L1748" s="118"/>
      <c r="M1748" s="118"/>
      <c r="N1748" s="117"/>
      <c r="O1748" s="117"/>
      <c r="P1748" s="117"/>
      <c r="Q1748" s="117"/>
      <c r="R1748" s="117"/>
      <c r="S1748" s="117"/>
      <c r="T1748" s="117"/>
      <c r="U1748" s="117"/>
      <c r="V1748" s="117"/>
      <c r="W1748" s="117"/>
      <c r="X1748" s="117"/>
      <c r="Y1748" s="117"/>
      <c r="Z1748" s="117"/>
      <c r="AA1748" s="117"/>
      <c r="AB1748" s="117"/>
      <c r="AC1748" s="117"/>
      <c r="AD1748" s="117"/>
      <c r="AE1748" s="117"/>
      <c r="AF1748" s="117"/>
      <c r="AG1748" s="117"/>
      <c r="AH1748" s="117"/>
      <c r="AI1748" s="117"/>
      <c r="AJ1748" s="117"/>
      <c r="AK1748" s="117"/>
      <c r="AL1748" s="117"/>
      <c r="AM1748" s="117"/>
      <c r="AN1748" s="117"/>
      <c r="AO1748" s="117"/>
      <c r="AP1748" s="117"/>
      <c r="AQ1748" s="117"/>
      <c r="AR1748" s="117"/>
      <c r="AS1748" s="117"/>
      <c r="AT1748" s="117"/>
      <c r="AU1748" s="117"/>
      <c r="AV1748" s="117"/>
      <c r="AW1748" s="117"/>
      <c r="AX1748" s="117"/>
      <c r="AY1748" s="117"/>
      <c r="AZ1748" s="117"/>
      <c r="BA1748" s="117"/>
      <c r="BB1748" s="117"/>
      <c r="BC1748" s="117"/>
      <c r="BD1748" s="117"/>
      <c r="BE1748" s="117"/>
      <c r="BF1748" s="117"/>
      <c r="BG1748" s="117"/>
    </row>
    <row r="1749" spans="1:59">
      <c r="A1749" s="117"/>
      <c r="B1749" s="117"/>
      <c r="C1749" s="117"/>
      <c r="D1749" s="117"/>
      <c r="E1749" s="117"/>
      <c r="F1749" s="117"/>
      <c r="G1749" s="117"/>
      <c r="H1749" s="117"/>
      <c r="I1749" s="117"/>
      <c r="J1749" s="118"/>
      <c r="K1749" s="118"/>
      <c r="L1749" s="118"/>
      <c r="M1749" s="118"/>
      <c r="N1749" s="117"/>
      <c r="O1749" s="117"/>
      <c r="P1749" s="117"/>
      <c r="Q1749" s="117"/>
      <c r="R1749" s="117"/>
      <c r="S1749" s="117"/>
      <c r="T1749" s="117"/>
      <c r="U1749" s="117"/>
      <c r="V1749" s="117"/>
      <c r="W1749" s="117"/>
      <c r="X1749" s="117"/>
      <c r="Y1749" s="117"/>
      <c r="Z1749" s="117"/>
      <c r="AA1749" s="117"/>
      <c r="AB1749" s="117"/>
      <c r="AC1749" s="117"/>
      <c r="AD1749" s="117"/>
      <c r="AE1749" s="117"/>
      <c r="AF1749" s="117"/>
      <c r="AG1749" s="117"/>
      <c r="AH1749" s="117"/>
      <c r="AI1749" s="117"/>
      <c r="AJ1749" s="117"/>
      <c r="AK1749" s="117"/>
      <c r="AL1749" s="117"/>
      <c r="AM1749" s="117"/>
      <c r="AN1749" s="117"/>
      <c r="AO1749" s="117"/>
      <c r="AP1749" s="117"/>
      <c r="AQ1749" s="117"/>
      <c r="AR1749" s="117"/>
      <c r="AS1749" s="117"/>
      <c r="AT1749" s="117"/>
      <c r="AU1749" s="117"/>
      <c r="AV1749" s="117"/>
      <c r="AW1749" s="117"/>
      <c r="AX1749" s="117"/>
      <c r="AY1749" s="117"/>
      <c r="AZ1749" s="117"/>
      <c r="BA1749" s="117"/>
      <c r="BB1749" s="117"/>
      <c r="BC1749" s="117"/>
      <c r="BD1749" s="117"/>
      <c r="BE1749" s="117"/>
      <c r="BF1749" s="117"/>
      <c r="BG1749" s="117"/>
    </row>
    <row r="1750" spans="1:59">
      <c r="A1750" s="117"/>
      <c r="B1750" s="117"/>
      <c r="C1750" s="117"/>
      <c r="D1750" s="117"/>
      <c r="E1750" s="117"/>
      <c r="F1750" s="117"/>
      <c r="G1750" s="117"/>
      <c r="H1750" s="117"/>
      <c r="I1750" s="117"/>
      <c r="J1750" s="118"/>
      <c r="K1750" s="118"/>
      <c r="L1750" s="118"/>
      <c r="M1750" s="118"/>
      <c r="N1750" s="117"/>
      <c r="O1750" s="117"/>
      <c r="P1750" s="117"/>
      <c r="Q1750" s="117"/>
      <c r="R1750" s="117"/>
      <c r="S1750" s="117"/>
      <c r="T1750" s="117"/>
      <c r="U1750" s="117"/>
      <c r="V1750" s="117"/>
      <c r="W1750" s="117"/>
      <c r="X1750" s="117"/>
      <c r="Y1750" s="117"/>
      <c r="Z1750" s="117"/>
      <c r="AA1750" s="117"/>
      <c r="AB1750" s="117"/>
      <c r="AC1750" s="117"/>
      <c r="AD1750" s="117"/>
      <c r="AE1750" s="117"/>
      <c r="AF1750" s="117"/>
      <c r="AG1750" s="117"/>
      <c r="AH1750" s="117"/>
      <c r="AI1750" s="117"/>
      <c r="AJ1750" s="117"/>
      <c r="AK1750" s="117"/>
      <c r="AL1750" s="117"/>
      <c r="AM1750" s="117"/>
      <c r="AN1750" s="117"/>
      <c r="AO1750" s="117"/>
      <c r="AP1750" s="117"/>
      <c r="AQ1750" s="117"/>
      <c r="AR1750" s="117"/>
      <c r="AS1750" s="117"/>
      <c r="AT1750" s="117"/>
      <c r="AU1750" s="117"/>
      <c r="AV1750" s="117"/>
      <c r="AW1750" s="117"/>
      <c r="AX1750" s="117"/>
      <c r="AY1750" s="117"/>
      <c r="AZ1750" s="117"/>
      <c r="BA1750" s="117"/>
      <c r="BB1750" s="117"/>
      <c r="BC1750" s="117"/>
      <c r="BD1750" s="117"/>
      <c r="BE1750" s="117"/>
      <c r="BF1750" s="117"/>
      <c r="BG1750" s="117"/>
    </row>
    <row r="1751" spans="1:59">
      <c r="A1751" s="117"/>
      <c r="B1751" s="117"/>
      <c r="C1751" s="117"/>
      <c r="D1751" s="117"/>
      <c r="E1751" s="117"/>
      <c r="F1751" s="117"/>
      <c r="G1751" s="117"/>
      <c r="H1751" s="117"/>
      <c r="I1751" s="117"/>
      <c r="J1751" s="118"/>
      <c r="K1751" s="118"/>
      <c r="L1751" s="118"/>
      <c r="M1751" s="118"/>
      <c r="N1751" s="117"/>
      <c r="O1751" s="117"/>
      <c r="P1751" s="117"/>
      <c r="Q1751" s="117"/>
      <c r="R1751" s="117"/>
      <c r="S1751" s="117"/>
      <c r="T1751" s="117"/>
      <c r="U1751" s="117"/>
      <c r="V1751" s="117"/>
      <c r="W1751" s="117"/>
      <c r="X1751" s="117"/>
      <c r="Y1751" s="117"/>
      <c r="Z1751" s="117"/>
      <c r="AA1751" s="117"/>
      <c r="AB1751" s="117"/>
      <c r="AC1751" s="117"/>
      <c r="AD1751" s="117"/>
      <c r="AE1751" s="117"/>
      <c r="AF1751" s="117"/>
      <c r="AG1751" s="117"/>
      <c r="AH1751" s="117"/>
      <c r="AI1751" s="117"/>
      <c r="AJ1751" s="117"/>
      <c r="AK1751" s="117"/>
      <c r="AL1751" s="117"/>
      <c r="AM1751" s="117"/>
      <c r="AN1751" s="117"/>
      <c r="AO1751" s="117"/>
      <c r="AP1751" s="117"/>
      <c r="AQ1751" s="117"/>
      <c r="AR1751" s="117"/>
      <c r="AS1751" s="117"/>
      <c r="AT1751" s="117"/>
      <c r="AU1751" s="117"/>
      <c r="AV1751" s="117"/>
      <c r="AW1751" s="117"/>
      <c r="AX1751" s="117"/>
      <c r="AY1751" s="117"/>
      <c r="AZ1751" s="117"/>
      <c r="BA1751" s="117"/>
      <c r="BB1751" s="117"/>
      <c r="BC1751" s="117"/>
      <c r="BD1751" s="117"/>
      <c r="BE1751" s="117"/>
      <c r="BF1751" s="117"/>
      <c r="BG1751" s="117"/>
    </row>
    <row r="1752" spans="1:59">
      <c r="A1752" s="117"/>
      <c r="B1752" s="117"/>
      <c r="C1752" s="117"/>
      <c r="D1752" s="117"/>
      <c r="E1752" s="117"/>
      <c r="F1752" s="117"/>
      <c r="G1752" s="117"/>
      <c r="H1752" s="117"/>
      <c r="I1752" s="117"/>
      <c r="J1752" s="118"/>
      <c r="K1752" s="118"/>
      <c r="L1752" s="118"/>
      <c r="M1752" s="118"/>
      <c r="N1752" s="117"/>
      <c r="O1752" s="117"/>
      <c r="P1752" s="117"/>
      <c r="Q1752" s="117"/>
      <c r="R1752" s="117"/>
      <c r="S1752" s="117"/>
      <c r="T1752" s="117"/>
      <c r="U1752" s="117"/>
      <c r="V1752" s="117"/>
      <c r="W1752" s="117"/>
      <c r="X1752" s="117"/>
      <c r="Y1752" s="117"/>
      <c r="Z1752" s="117"/>
      <c r="AA1752" s="117"/>
      <c r="AB1752" s="117"/>
      <c r="AC1752" s="117"/>
      <c r="AD1752" s="117"/>
      <c r="AE1752" s="117"/>
      <c r="AF1752" s="117"/>
      <c r="AG1752" s="117"/>
      <c r="AH1752" s="117"/>
      <c r="AI1752" s="117"/>
      <c r="AJ1752" s="117"/>
      <c r="AK1752" s="117"/>
      <c r="AL1752" s="117"/>
      <c r="AM1752" s="117"/>
      <c r="AN1752" s="117"/>
      <c r="AO1752" s="117"/>
      <c r="AP1752" s="117"/>
      <c r="AQ1752" s="117"/>
      <c r="AR1752" s="117"/>
      <c r="AS1752" s="117"/>
      <c r="AT1752" s="117"/>
      <c r="AU1752" s="117"/>
      <c r="AV1752" s="117"/>
      <c r="AW1752" s="117"/>
      <c r="AX1752" s="117"/>
      <c r="AY1752" s="117"/>
      <c r="AZ1752" s="117"/>
      <c r="BA1752" s="117"/>
      <c r="BB1752" s="117"/>
      <c r="BC1752" s="117"/>
      <c r="BD1752" s="117"/>
      <c r="BE1752" s="117"/>
      <c r="BF1752" s="117"/>
      <c r="BG1752" s="117"/>
    </row>
    <row r="1753" spans="1:59">
      <c r="A1753" s="117"/>
      <c r="B1753" s="117"/>
      <c r="C1753" s="117"/>
      <c r="D1753" s="117"/>
      <c r="E1753" s="117"/>
      <c r="F1753" s="117"/>
      <c r="G1753" s="117"/>
      <c r="H1753" s="117"/>
      <c r="I1753" s="117"/>
      <c r="J1753" s="118"/>
      <c r="K1753" s="118"/>
      <c r="L1753" s="118"/>
      <c r="M1753" s="118"/>
      <c r="N1753" s="117"/>
      <c r="O1753" s="117"/>
      <c r="P1753" s="117"/>
      <c r="Q1753" s="117"/>
      <c r="R1753" s="117"/>
      <c r="S1753" s="117"/>
      <c r="T1753" s="117"/>
      <c r="U1753" s="117"/>
      <c r="V1753" s="117"/>
      <c r="W1753" s="117"/>
      <c r="X1753" s="117"/>
      <c r="Y1753" s="117"/>
      <c r="Z1753" s="117"/>
      <c r="AA1753" s="117"/>
      <c r="AB1753" s="117"/>
      <c r="AC1753" s="117"/>
      <c r="AD1753" s="117"/>
      <c r="AE1753" s="117"/>
      <c r="AF1753" s="117"/>
      <c r="AG1753" s="117"/>
      <c r="AH1753" s="117"/>
      <c r="AI1753" s="117"/>
      <c r="AJ1753" s="117"/>
      <c r="AK1753" s="117"/>
      <c r="AL1753" s="117"/>
      <c r="AM1753" s="117"/>
      <c r="AN1753" s="117"/>
      <c r="AO1753" s="117"/>
      <c r="AP1753" s="117"/>
      <c r="AQ1753" s="117"/>
      <c r="AR1753" s="117"/>
      <c r="AS1753" s="117"/>
      <c r="AT1753" s="117"/>
      <c r="AU1753" s="117"/>
      <c r="AV1753" s="117"/>
      <c r="AW1753" s="117"/>
      <c r="AX1753" s="117"/>
      <c r="AY1753" s="117"/>
      <c r="AZ1753" s="117"/>
      <c r="BA1753" s="117"/>
      <c r="BB1753" s="117"/>
      <c r="BC1753" s="117"/>
      <c r="BD1753" s="117"/>
      <c r="BE1753" s="117"/>
      <c r="BF1753" s="117"/>
      <c r="BG1753" s="117"/>
    </row>
    <row r="1754" spans="1:59">
      <c r="A1754" s="117"/>
      <c r="B1754" s="117"/>
      <c r="C1754" s="117"/>
      <c r="D1754" s="117"/>
      <c r="E1754" s="117"/>
      <c r="F1754" s="117"/>
      <c r="G1754" s="117"/>
      <c r="H1754" s="117"/>
      <c r="I1754" s="117"/>
      <c r="J1754" s="118"/>
      <c r="K1754" s="118"/>
      <c r="L1754" s="118"/>
      <c r="M1754" s="118"/>
      <c r="N1754" s="117"/>
      <c r="O1754" s="117"/>
      <c r="P1754" s="117"/>
      <c r="Q1754" s="117"/>
      <c r="R1754" s="117"/>
      <c r="S1754" s="117"/>
      <c r="T1754" s="117"/>
      <c r="U1754" s="117"/>
      <c r="V1754" s="117"/>
      <c r="W1754" s="117"/>
      <c r="X1754" s="117"/>
      <c r="Y1754" s="117"/>
      <c r="Z1754" s="117"/>
      <c r="AA1754" s="117"/>
      <c r="AB1754" s="117"/>
      <c r="AC1754" s="117"/>
      <c r="AD1754" s="117"/>
      <c r="AE1754" s="117"/>
      <c r="AF1754" s="117"/>
      <c r="AG1754" s="117"/>
      <c r="AH1754" s="117"/>
      <c r="AI1754" s="117"/>
      <c r="AJ1754" s="117"/>
      <c r="AK1754" s="117"/>
      <c r="AL1754" s="117"/>
      <c r="AM1754" s="117"/>
      <c r="AN1754" s="117"/>
      <c r="AO1754" s="117"/>
      <c r="AP1754" s="117"/>
      <c r="AQ1754" s="117"/>
      <c r="AR1754" s="117"/>
      <c r="AS1754" s="117"/>
      <c r="AT1754" s="117"/>
      <c r="AU1754" s="117"/>
      <c r="AV1754" s="117"/>
      <c r="AW1754" s="117"/>
      <c r="AX1754" s="117"/>
      <c r="AY1754" s="117"/>
      <c r="AZ1754" s="117"/>
      <c r="BA1754" s="117"/>
      <c r="BB1754" s="117"/>
      <c r="BC1754" s="117"/>
      <c r="BD1754" s="117"/>
      <c r="BE1754" s="117"/>
      <c r="BF1754" s="117"/>
      <c r="BG1754" s="117"/>
    </row>
    <row r="1755" spans="1:59">
      <c r="A1755" s="117"/>
      <c r="B1755" s="117"/>
      <c r="C1755" s="117"/>
      <c r="D1755" s="117"/>
      <c r="E1755" s="117"/>
      <c r="F1755" s="117"/>
      <c r="G1755" s="117"/>
      <c r="H1755" s="117"/>
      <c r="I1755" s="117"/>
      <c r="J1755" s="118"/>
      <c r="K1755" s="118"/>
      <c r="L1755" s="118"/>
      <c r="M1755" s="118"/>
      <c r="N1755" s="117"/>
      <c r="O1755" s="117"/>
      <c r="P1755" s="117"/>
      <c r="Q1755" s="117"/>
      <c r="R1755" s="117"/>
      <c r="S1755" s="117"/>
      <c r="T1755" s="117"/>
      <c r="U1755" s="117"/>
      <c r="V1755" s="117"/>
      <c r="W1755" s="117"/>
      <c r="X1755" s="117"/>
      <c r="Y1755" s="117"/>
      <c r="Z1755" s="117"/>
      <c r="AA1755" s="117"/>
      <c r="AB1755" s="117"/>
      <c r="AC1755" s="117"/>
      <c r="AD1755" s="117"/>
      <c r="AE1755" s="117"/>
      <c r="AF1755" s="117"/>
      <c r="AG1755" s="117"/>
      <c r="AH1755" s="117"/>
      <c r="AI1755" s="117"/>
      <c r="AJ1755" s="117"/>
      <c r="AK1755" s="117"/>
      <c r="AL1755" s="117"/>
      <c r="AM1755" s="117"/>
      <c r="AN1755" s="117"/>
      <c r="AO1755" s="117"/>
      <c r="AP1755" s="117"/>
      <c r="AQ1755" s="117"/>
      <c r="AR1755" s="117"/>
      <c r="AS1755" s="117"/>
      <c r="AT1755" s="117"/>
      <c r="AU1755" s="117"/>
      <c r="AV1755" s="117"/>
      <c r="AW1755" s="117"/>
      <c r="AX1755" s="117"/>
      <c r="AY1755" s="117"/>
      <c r="AZ1755" s="117"/>
      <c r="BA1755" s="117"/>
      <c r="BB1755" s="117"/>
      <c r="BC1755" s="117"/>
      <c r="BD1755" s="117"/>
      <c r="BE1755" s="117"/>
      <c r="BF1755" s="117"/>
      <c r="BG1755" s="117"/>
    </row>
    <row r="1756" spans="1:59">
      <c r="A1756" s="117"/>
      <c r="B1756" s="117"/>
      <c r="C1756" s="117"/>
      <c r="D1756" s="117"/>
      <c r="E1756" s="117"/>
      <c r="F1756" s="117"/>
      <c r="G1756" s="117"/>
      <c r="H1756" s="117"/>
      <c r="I1756" s="117"/>
      <c r="J1756" s="118"/>
      <c r="K1756" s="118"/>
      <c r="L1756" s="118"/>
      <c r="M1756" s="118"/>
      <c r="N1756" s="117"/>
      <c r="O1756" s="117"/>
      <c r="P1756" s="117"/>
      <c r="Q1756" s="117"/>
      <c r="R1756" s="117"/>
      <c r="S1756" s="117"/>
      <c r="T1756" s="117"/>
      <c r="U1756" s="117"/>
      <c r="V1756" s="117"/>
      <c r="W1756" s="117"/>
      <c r="X1756" s="117"/>
      <c r="Y1756" s="117"/>
      <c r="Z1756" s="117"/>
      <c r="AA1756" s="117"/>
      <c r="AB1756" s="117"/>
      <c r="AC1756" s="117"/>
      <c r="AD1756" s="117"/>
      <c r="AE1756" s="117"/>
      <c r="AF1756" s="117"/>
      <c r="AG1756" s="117"/>
      <c r="AH1756" s="117"/>
      <c r="AI1756" s="117"/>
      <c r="AJ1756" s="117"/>
      <c r="AK1756" s="117"/>
      <c r="AL1756" s="117"/>
      <c r="AM1756" s="117"/>
      <c r="AN1756" s="117"/>
      <c r="AO1756" s="117"/>
      <c r="AP1756" s="117"/>
      <c r="AQ1756" s="117"/>
      <c r="AR1756" s="117"/>
      <c r="AS1756" s="117"/>
      <c r="AT1756" s="117"/>
      <c r="AU1756" s="117"/>
      <c r="AV1756" s="117"/>
      <c r="AW1756" s="117"/>
      <c r="AX1756" s="117"/>
      <c r="AY1756" s="117"/>
      <c r="AZ1756" s="117"/>
      <c r="BA1756" s="117"/>
      <c r="BB1756" s="117"/>
      <c r="BC1756" s="117"/>
      <c r="BD1756" s="117"/>
      <c r="BE1756" s="117"/>
      <c r="BF1756" s="117"/>
      <c r="BG1756" s="117"/>
    </row>
    <row r="1757" spans="1:59">
      <c r="A1757" s="117"/>
      <c r="B1757" s="117"/>
      <c r="C1757" s="117"/>
      <c r="D1757" s="117"/>
      <c r="E1757" s="117"/>
      <c r="F1757" s="117"/>
      <c r="G1757" s="117"/>
      <c r="H1757" s="117"/>
      <c r="I1757" s="117"/>
      <c r="J1757" s="118"/>
      <c r="K1757" s="118"/>
      <c r="L1757" s="118"/>
      <c r="M1757" s="118"/>
      <c r="N1757" s="117"/>
      <c r="O1757" s="117"/>
      <c r="P1757" s="117"/>
      <c r="Q1757" s="117"/>
      <c r="R1757" s="117"/>
      <c r="S1757" s="117"/>
      <c r="T1757" s="117"/>
      <c r="U1757" s="117"/>
      <c r="V1757" s="117"/>
      <c r="W1757" s="117"/>
      <c r="X1757" s="117"/>
      <c r="Y1757" s="117"/>
      <c r="Z1757" s="117"/>
      <c r="AA1757" s="117"/>
      <c r="AB1757" s="117"/>
      <c r="AC1757" s="117"/>
      <c r="AD1757" s="117"/>
      <c r="AE1757" s="117"/>
      <c r="AF1757" s="117"/>
      <c r="AG1757" s="117"/>
      <c r="AH1757" s="117"/>
      <c r="AI1757" s="117"/>
      <c r="AJ1757" s="117"/>
      <c r="AK1757" s="117"/>
      <c r="AL1757" s="117"/>
      <c r="AM1757" s="117"/>
      <c r="AN1757" s="117"/>
      <c r="AO1757" s="117"/>
      <c r="AP1757" s="117"/>
      <c r="AQ1757" s="117"/>
      <c r="AR1757" s="117"/>
      <c r="AS1757" s="117"/>
      <c r="AT1757" s="117"/>
      <c r="AU1757" s="117"/>
      <c r="AV1757" s="117"/>
      <c r="AW1757" s="117"/>
      <c r="AX1757" s="117"/>
      <c r="AY1757" s="117"/>
      <c r="AZ1757" s="117"/>
      <c r="BA1757" s="117"/>
      <c r="BB1757" s="117"/>
      <c r="BC1757" s="117"/>
      <c r="BD1757" s="117"/>
      <c r="BE1757" s="117"/>
      <c r="BF1757" s="117"/>
      <c r="BG1757" s="117"/>
    </row>
    <row r="1758" spans="1:59">
      <c r="A1758" s="117"/>
      <c r="B1758" s="117"/>
      <c r="C1758" s="117"/>
      <c r="D1758" s="117"/>
      <c r="E1758" s="117"/>
      <c r="F1758" s="117"/>
      <c r="G1758" s="117"/>
      <c r="H1758" s="117"/>
      <c r="I1758" s="117"/>
      <c r="J1758" s="118"/>
      <c r="K1758" s="118"/>
      <c r="L1758" s="118"/>
      <c r="M1758" s="118"/>
      <c r="N1758" s="117"/>
      <c r="O1758" s="117"/>
      <c r="P1758" s="117"/>
      <c r="Q1758" s="117"/>
      <c r="R1758" s="117"/>
      <c r="S1758" s="117"/>
      <c r="T1758" s="117"/>
      <c r="U1758" s="117"/>
      <c r="V1758" s="117"/>
      <c r="W1758" s="117"/>
      <c r="X1758" s="117"/>
      <c r="Y1758" s="117"/>
      <c r="Z1758" s="117"/>
      <c r="AA1758" s="117"/>
      <c r="AB1758" s="117"/>
      <c r="AC1758" s="117"/>
      <c r="AD1758" s="117"/>
      <c r="AE1758" s="117"/>
      <c r="AF1758" s="117"/>
      <c r="AG1758" s="117"/>
      <c r="AH1758" s="117"/>
      <c r="AI1758" s="117"/>
      <c r="AJ1758" s="117"/>
      <c r="AK1758" s="117"/>
      <c r="AL1758" s="117"/>
      <c r="AM1758" s="117"/>
      <c r="AN1758" s="117"/>
      <c r="AO1758" s="117"/>
      <c r="AP1758" s="117"/>
      <c r="AQ1758" s="117"/>
      <c r="AR1758" s="117"/>
      <c r="AS1758" s="117"/>
      <c r="AT1758" s="117"/>
      <c r="AU1758" s="117"/>
      <c r="AV1758" s="117"/>
      <c r="AW1758" s="117"/>
      <c r="AX1758" s="117"/>
      <c r="AY1758" s="117"/>
      <c r="AZ1758" s="117"/>
      <c r="BA1758" s="117"/>
      <c r="BB1758" s="117"/>
      <c r="BC1758" s="117"/>
      <c r="BD1758" s="117"/>
      <c r="BE1758" s="117"/>
      <c r="BF1758" s="117"/>
      <c r="BG1758" s="117"/>
    </row>
    <row r="1759" spans="1:59">
      <c r="A1759" s="117"/>
      <c r="B1759" s="117"/>
      <c r="C1759" s="117"/>
      <c r="D1759" s="117"/>
      <c r="E1759" s="117"/>
      <c r="F1759" s="117"/>
      <c r="G1759" s="117"/>
      <c r="H1759" s="117"/>
      <c r="I1759" s="117"/>
      <c r="J1759" s="118"/>
      <c r="K1759" s="118"/>
      <c r="L1759" s="118"/>
      <c r="M1759" s="118"/>
      <c r="N1759" s="117"/>
      <c r="O1759" s="117"/>
      <c r="P1759" s="117"/>
      <c r="Q1759" s="117"/>
      <c r="R1759" s="117"/>
      <c r="S1759" s="117"/>
      <c r="T1759" s="117"/>
      <c r="U1759" s="117"/>
      <c r="V1759" s="117"/>
      <c r="W1759" s="117"/>
      <c r="X1759" s="117"/>
      <c r="Y1759" s="117"/>
      <c r="Z1759" s="117"/>
      <c r="AA1759" s="117"/>
      <c r="AB1759" s="117"/>
      <c r="AC1759" s="117"/>
      <c r="AD1759" s="117"/>
      <c r="AE1759" s="117"/>
      <c r="AF1759" s="117"/>
      <c r="AG1759" s="117"/>
      <c r="AH1759" s="117"/>
      <c r="AI1759" s="117"/>
      <c r="AJ1759" s="117"/>
      <c r="AK1759" s="117"/>
      <c r="AL1759" s="117"/>
      <c r="AM1759" s="117"/>
      <c r="AN1759" s="117"/>
      <c r="AO1759" s="117"/>
      <c r="AP1759" s="117"/>
      <c r="AQ1759" s="117"/>
      <c r="AR1759" s="117"/>
      <c r="AS1759" s="117"/>
      <c r="AT1759" s="117"/>
      <c r="AU1759" s="117"/>
      <c r="AV1759" s="117"/>
      <c r="AW1759" s="117"/>
      <c r="AX1759" s="117"/>
      <c r="AY1759" s="117"/>
      <c r="AZ1759" s="117"/>
      <c r="BA1759" s="117"/>
      <c r="BB1759" s="117"/>
      <c r="BC1759" s="117"/>
      <c r="BD1759" s="117"/>
      <c r="BE1759" s="117"/>
      <c r="BF1759" s="117"/>
      <c r="BG1759" s="117"/>
    </row>
    <row r="1760" spans="1:59">
      <c r="A1760" s="117"/>
      <c r="B1760" s="117"/>
      <c r="C1760" s="117"/>
      <c r="D1760" s="117"/>
      <c r="E1760" s="117"/>
      <c r="F1760" s="117"/>
      <c r="G1760" s="117"/>
      <c r="H1760" s="117"/>
      <c r="I1760" s="117"/>
      <c r="J1760" s="118"/>
      <c r="K1760" s="118"/>
      <c r="L1760" s="118"/>
      <c r="M1760" s="118"/>
      <c r="N1760" s="117"/>
      <c r="O1760" s="117"/>
      <c r="P1760" s="117"/>
      <c r="Q1760" s="117"/>
      <c r="R1760" s="117"/>
      <c r="S1760" s="117"/>
      <c r="T1760" s="117"/>
      <c r="U1760" s="117"/>
      <c r="V1760" s="117"/>
      <c r="W1760" s="117"/>
      <c r="X1760" s="117"/>
      <c r="Y1760" s="117"/>
      <c r="Z1760" s="117"/>
      <c r="AA1760" s="117"/>
      <c r="AB1760" s="117"/>
      <c r="AC1760" s="117"/>
      <c r="AD1760" s="117"/>
      <c r="AE1760" s="117"/>
      <c r="AF1760" s="117"/>
      <c r="AG1760" s="117"/>
      <c r="AH1760" s="117"/>
      <c r="AI1760" s="117"/>
      <c r="AJ1760" s="117"/>
      <c r="AK1760" s="117"/>
      <c r="AL1760" s="117"/>
      <c r="AM1760" s="117"/>
      <c r="AN1760" s="117"/>
      <c r="AO1760" s="117"/>
      <c r="AP1760" s="117"/>
      <c r="AQ1760" s="117"/>
      <c r="AR1760" s="117"/>
      <c r="AS1760" s="117"/>
      <c r="AT1760" s="117"/>
      <c r="AU1760" s="117"/>
      <c r="AV1760" s="117"/>
      <c r="AW1760" s="117"/>
      <c r="AX1760" s="117"/>
      <c r="AY1760" s="117"/>
      <c r="AZ1760" s="117"/>
      <c r="BA1760" s="117"/>
      <c r="BB1760" s="117"/>
      <c r="BC1760" s="117"/>
      <c r="BD1760" s="117"/>
      <c r="BE1760" s="117"/>
      <c r="BF1760" s="117"/>
      <c r="BG1760" s="117"/>
    </row>
    <row r="1761" spans="1:59">
      <c r="A1761" s="117"/>
      <c r="B1761" s="117"/>
      <c r="C1761" s="117"/>
      <c r="D1761" s="117"/>
      <c r="E1761" s="117"/>
      <c r="F1761" s="117"/>
      <c r="G1761" s="117"/>
      <c r="H1761" s="117"/>
      <c r="I1761" s="117"/>
      <c r="J1761" s="118"/>
      <c r="K1761" s="118"/>
      <c r="L1761" s="118"/>
      <c r="M1761" s="118"/>
      <c r="N1761" s="117"/>
      <c r="O1761" s="117"/>
      <c r="P1761" s="117"/>
      <c r="Q1761" s="117"/>
      <c r="R1761" s="117"/>
      <c r="S1761" s="117"/>
      <c r="T1761" s="117"/>
      <c r="U1761" s="117"/>
      <c r="V1761" s="117"/>
      <c r="W1761" s="117"/>
      <c r="X1761" s="117"/>
      <c r="Y1761" s="117"/>
      <c r="Z1761" s="117"/>
      <c r="AA1761" s="117"/>
      <c r="AB1761" s="117"/>
      <c r="AC1761" s="117"/>
      <c r="AD1761" s="117"/>
      <c r="AE1761" s="117"/>
      <c r="AF1761" s="117"/>
      <c r="AG1761" s="117"/>
      <c r="AH1761" s="117"/>
      <c r="AI1761" s="117"/>
      <c r="AJ1761" s="117"/>
      <c r="AK1761" s="117"/>
      <c r="AL1761" s="117"/>
      <c r="AM1761" s="117"/>
      <c r="AN1761" s="117"/>
      <c r="AO1761" s="117"/>
      <c r="AP1761" s="117"/>
      <c r="AQ1761" s="117"/>
      <c r="AR1761" s="117"/>
      <c r="AS1761" s="117"/>
      <c r="AT1761" s="117"/>
      <c r="AU1761" s="117"/>
      <c r="AV1761" s="117"/>
      <c r="AW1761" s="117"/>
      <c r="AX1761" s="117"/>
      <c r="AY1761" s="117"/>
      <c r="AZ1761" s="117"/>
      <c r="BA1761" s="117"/>
      <c r="BB1761" s="117"/>
      <c r="BC1761" s="117"/>
      <c r="BD1761" s="117"/>
      <c r="BE1761" s="117"/>
      <c r="BF1761" s="117"/>
      <c r="BG1761" s="117"/>
    </row>
    <row r="1762" spans="1:59">
      <c r="A1762" s="117"/>
      <c r="B1762" s="117"/>
      <c r="C1762" s="117"/>
      <c r="D1762" s="117"/>
      <c r="E1762" s="117"/>
      <c r="F1762" s="117"/>
      <c r="G1762" s="117"/>
      <c r="H1762" s="117"/>
      <c r="I1762" s="117"/>
      <c r="J1762" s="118"/>
      <c r="K1762" s="118"/>
      <c r="L1762" s="118"/>
      <c r="M1762" s="118"/>
      <c r="N1762" s="117"/>
      <c r="O1762" s="117"/>
      <c r="P1762" s="117"/>
      <c r="Q1762" s="117"/>
      <c r="R1762" s="117"/>
      <c r="S1762" s="117"/>
      <c r="T1762" s="117"/>
      <c r="U1762" s="117"/>
      <c r="V1762" s="117"/>
      <c r="W1762" s="117"/>
      <c r="X1762" s="117"/>
      <c r="Y1762" s="117"/>
      <c r="Z1762" s="117"/>
      <c r="AA1762" s="117"/>
      <c r="AB1762" s="117"/>
      <c r="AC1762" s="117"/>
      <c r="AD1762" s="117"/>
      <c r="AE1762" s="117"/>
      <c r="AF1762" s="117"/>
      <c r="AG1762" s="117"/>
      <c r="AH1762" s="117"/>
      <c r="AI1762" s="117"/>
      <c r="AJ1762" s="117"/>
      <c r="AK1762" s="117"/>
      <c r="AL1762" s="117"/>
      <c r="AM1762" s="117"/>
      <c r="AN1762" s="117"/>
      <c r="AO1762" s="117"/>
      <c r="AP1762" s="117"/>
      <c r="AQ1762" s="117"/>
      <c r="AR1762" s="117"/>
      <c r="AS1762" s="117"/>
      <c r="AT1762" s="117"/>
      <c r="AU1762" s="117"/>
      <c r="AV1762" s="117"/>
      <c r="AW1762" s="117"/>
      <c r="AX1762" s="117"/>
      <c r="AY1762" s="117"/>
      <c r="AZ1762" s="117"/>
      <c r="BA1762" s="117"/>
      <c r="BB1762" s="117"/>
      <c r="BC1762" s="117"/>
      <c r="BD1762" s="117"/>
      <c r="BE1762" s="117"/>
      <c r="BF1762" s="117"/>
      <c r="BG1762" s="117"/>
    </row>
    <row r="1763" spans="1:59">
      <c r="A1763" s="117"/>
      <c r="B1763" s="117"/>
      <c r="C1763" s="117"/>
      <c r="D1763" s="117"/>
      <c r="E1763" s="117"/>
      <c r="F1763" s="117"/>
      <c r="G1763" s="117"/>
      <c r="H1763" s="117"/>
      <c r="I1763" s="117"/>
      <c r="J1763" s="118"/>
      <c r="K1763" s="118"/>
      <c r="L1763" s="118"/>
      <c r="M1763" s="118"/>
      <c r="N1763" s="117"/>
      <c r="O1763" s="117"/>
      <c r="P1763" s="117"/>
      <c r="Q1763" s="117"/>
      <c r="R1763" s="117"/>
      <c r="S1763" s="117"/>
      <c r="T1763" s="117"/>
      <c r="U1763" s="117"/>
      <c r="V1763" s="117"/>
      <c r="W1763" s="117"/>
      <c r="X1763" s="117"/>
      <c r="Y1763" s="117"/>
      <c r="Z1763" s="117"/>
      <c r="AA1763" s="117"/>
      <c r="AB1763" s="117"/>
      <c r="AC1763" s="117"/>
      <c r="AD1763" s="117"/>
      <c r="AE1763" s="117"/>
      <c r="AF1763" s="117"/>
      <c r="AG1763" s="117"/>
      <c r="AH1763" s="117"/>
      <c r="AI1763" s="117"/>
      <c r="AJ1763" s="117"/>
      <c r="AK1763" s="117"/>
      <c r="AL1763" s="117"/>
      <c r="AM1763" s="117"/>
      <c r="AN1763" s="117"/>
      <c r="AO1763" s="117"/>
      <c r="AP1763" s="117"/>
      <c r="AQ1763" s="117"/>
      <c r="AR1763" s="117"/>
      <c r="AS1763" s="117"/>
      <c r="AT1763" s="117"/>
      <c r="AU1763" s="117"/>
      <c r="AV1763" s="117"/>
      <c r="AW1763" s="117"/>
      <c r="AX1763" s="117"/>
      <c r="AY1763" s="117"/>
      <c r="AZ1763" s="117"/>
      <c r="BA1763" s="117"/>
      <c r="BB1763" s="117"/>
      <c r="BC1763" s="117"/>
      <c r="BD1763" s="117"/>
      <c r="BE1763" s="117"/>
      <c r="BF1763" s="117"/>
      <c r="BG1763" s="117"/>
    </row>
    <row r="1764" spans="1:59">
      <c r="A1764" s="117"/>
      <c r="B1764" s="117"/>
      <c r="C1764" s="117"/>
      <c r="D1764" s="117"/>
      <c r="E1764" s="117"/>
      <c r="F1764" s="117"/>
      <c r="G1764" s="117"/>
      <c r="H1764" s="117"/>
      <c r="I1764" s="117"/>
      <c r="J1764" s="118"/>
      <c r="K1764" s="118"/>
      <c r="L1764" s="118"/>
      <c r="M1764" s="118"/>
      <c r="N1764" s="117"/>
      <c r="O1764" s="117"/>
      <c r="P1764" s="117"/>
      <c r="Q1764" s="117"/>
      <c r="R1764" s="117"/>
      <c r="S1764" s="117"/>
      <c r="T1764" s="117"/>
      <c r="U1764" s="117"/>
      <c r="V1764" s="117"/>
      <c r="W1764" s="117"/>
      <c r="X1764" s="117"/>
      <c r="Y1764" s="117"/>
      <c r="Z1764" s="117"/>
      <c r="AA1764" s="117"/>
      <c r="AB1764" s="117"/>
      <c r="AC1764" s="117"/>
      <c r="AD1764" s="117"/>
      <c r="AE1764" s="117"/>
      <c r="AF1764" s="117"/>
      <c r="AG1764" s="117"/>
      <c r="AH1764" s="117"/>
      <c r="AI1764" s="117"/>
      <c r="AJ1764" s="117"/>
      <c r="AK1764" s="117"/>
      <c r="AL1764" s="117"/>
      <c r="AM1764" s="117"/>
      <c r="AN1764" s="117"/>
      <c r="AO1764" s="117"/>
      <c r="AP1764" s="117"/>
      <c r="AQ1764" s="117"/>
      <c r="AR1764" s="117"/>
      <c r="AS1764" s="117"/>
      <c r="AT1764" s="117"/>
      <c r="AU1764" s="117"/>
      <c r="AV1764" s="117"/>
      <c r="AW1764" s="117"/>
      <c r="AX1764" s="117"/>
      <c r="AY1764" s="117"/>
      <c r="AZ1764" s="117"/>
      <c r="BA1764" s="117"/>
      <c r="BB1764" s="117"/>
      <c r="BC1764" s="117"/>
      <c r="BD1764" s="117"/>
      <c r="BE1764" s="117"/>
      <c r="BF1764" s="117"/>
      <c r="BG1764" s="117"/>
    </row>
    <row r="1765" spans="1:59">
      <c r="A1765" s="117"/>
      <c r="B1765" s="117"/>
      <c r="C1765" s="117"/>
      <c r="D1765" s="117"/>
      <c r="E1765" s="117"/>
      <c r="F1765" s="117"/>
      <c r="G1765" s="117"/>
      <c r="H1765" s="117"/>
      <c r="I1765" s="117"/>
      <c r="J1765" s="118"/>
      <c r="K1765" s="118"/>
      <c r="L1765" s="118"/>
      <c r="M1765" s="118"/>
      <c r="N1765" s="117"/>
      <c r="O1765" s="117"/>
      <c r="P1765" s="117"/>
      <c r="Q1765" s="117"/>
      <c r="R1765" s="117"/>
      <c r="S1765" s="117"/>
      <c r="T1765" s="117"/>
      <c r="U1765" s="117"/>
      <c r="V1765" s="117"/>
      <c r="W1765" s="117"/>
      <c r="X1765" s="117"/>
      <c r="Y1765" s="117"/>
      <c r="Z1765" s="117"/>
      <c r="AA1765" s="117"/>
      <c r="AB1765" s="117"/>
      <c r="AC1765" s="117"/>
      <c r="AD1765" s="117"/>
      <c r="AE1765" s="117"/>
      <c r="AF1765" s="117"/>
      <c r="AG1765" s="117"/>
      <c r="AH1765" s="117"/>
      <c r="AI1765" s="117"/>
      <c r="AJ1765" s="117"/>
      <c r="AK1765" s="117"/>
      <c r="AL1765" s="117"/>
      <c r="AM1765" s="117"/>
      <c r="AN1765" s="117"/>
      <c r="AO1765" s="117"/>
      <c r="AP1765" s="117"/>
      <c r="AQ1765" s="117"/>
      <c r="AR1765" s="117"/>
      <c r="AS1765" s="117"/>
      <c r="AT1765" s="117"/>
      <c r="AU1765" s="117"/>
      <c r="AV1765" s="117"/>
      <c r="AW1765" s="117"/>
      <c r="AX1765" s="117"/>
      <c r="AY1765" s="117"/>
      <c r="AZ1765" s="117"/>
      <c r="BA1765" s="117"/>
      <c r="BB1765" s="117"/>
      <c r="BC1765" s="117"/>
      <c r="BD1765" s="117"/>
      <c r="BE1765" s="117"/>
      <c r="BF1765" s="117"/>
      <c r="BG1765" s="117"/>
    </row>
    <row r="1766" spans="1:59">
      <c r="A1766" s="117"/>
      <c r="B1766" s="117"/>
      <c r="C1766" s="117"/>
      <c r="D1766" s="117"/>
      <c r="E1766" s="117"/>
      <c r="F1766" s="117"/>
      <c r="G1766" s="117"/>
      <c r="H1766" s="117"/>
      <c r="I1766" s="117"/>
      <c r="J1766" s="118"/>
      <c r="K1766" s="118"/>
      <c r="L1766" s="118"/>
      <c r="M1766" s="118"/>
      <c r="N1766" s="117"/>
      <c r="O1766" s="117"/>
      <c r="P1766" s="117"/>
      <c r="Q1766" s="117"/>
      <c r="R1766" s="117"/>
      <c r="S1766" s="117"/>
      <c r="T1766" s="117"/>
      <c r="U1766" s="117"/>
      <c r="V1766" s="117"/>
      <c r="W1766" s="117"/>
      <c r="X1766" s="117"/>
      <c r="Y1766" s="117"/>
      <c r="Z1766" s="117"/>
      <c r="AA1766" s="117"/>
      <c r="AB1766" s="117"/>
      <c r="AC1766" s="117"/>
      <c r="AD1766" s="117"/>
      <c r="AE1766" s="117"/>
      <c r="AF1766" s="117"/>
      <c r="AG1766" s="117"/>
      <c r="AH1766" s="117"/>
      <c r="AI1766" s="117"/>
      <c r="AJ1766" s="117"/>
      <c r="AK1766" s="117"/>
      <c r="AL1766" s="117"/>
      <c r="AM1766" s="117"/>
      <c r="AN1766" s="117"/>
      <c r="AO1766" s="117"/>
      <c r="AP1766" s="117"/>
      <c r="AQ1766" s="117"/>
      <c r="AR1766" s="117"/>
      <c r="AS1766" s="117"/>
      <c r="AT1766" s="117"/>
      <c r="AU1766" s="117"/>
      <c r="AV1766" s="117"/>
      <c r="AW1766" s="117"/>
      <c r="AX1766" s="117"/>
      <c r="AY1766" s="117"/>
      <c r="AZ1766" s="117"/>
      <c r="BA1766" s="117"/>
      <c r="BB1766" s="117"/>
      <c r="BC1766" s="117"/>
      <c r="BD1766" s="117"/>
      <c r="BE1766" s="117"/>
      <c r="BF1766" s="117"/>
      <c r="BG1766" s="117"/>
    </row>
    <row r="1767" spans="1:59">
      <c r="A1767" s="117"/>
      <c r="B1767" s="117"/>
      <c r="C1767" s="117"/>
      <c r="D1767" s="117"/>
      <c r="E1767" s="117"/>
      <c r="F1767" s="117"/>
      <c r="G1767" s="117"/>
      <c r="H1767" s="117"/>
      <c r="I1767" s="117"/>
      <c r="J1767" s="118"/>
      <c r="K1767" s="118"/>
      <c r="L1767" s="118"/>
      <c r="M1767" s="118"/>
      <c r="N1767" s="117"/>
      <c r="O1767" s="117"/>
      <c r="P1767" s="117"/>
      <c r="Q1767" s="117"/>
      <c r="R1767" s="117"/>
      <c r="S1767" s="117"/>
      <c r="T1767" s="117"/>
      <c r="U1767" s="117"/>
      <c r="V1767" s="117"/>
      <c r="W1767" s="117"/>
      <c r="X1767" s="117"/>
      <c r="Y1767" s="117"/>
      <c r="Z1767" s="117"/>
      <c r="AA1767" s="117"/>
      <c r="AB1767" s="117"/>
      <c r="AC1767" s="117"/>
      <c r="AD1767" s="117"/>
      <c r="AE1767" s="117"/>
      <c r="AF1767" s="117"/>
      <c r="AG1767" s="117"/>
      <c r="AH1767" s="117"/>
      <c r="AI1767" s="117"/>
      <c r="AJ1767" s="117"/>
      <c r="AK1767" s="117"/>
      <c r="AL1767" s="117"/>
      <c r="AM1767" s="117"/>
      <c r="AN1767" s="117"/>
      <c r="AO1767" s="117"/>
      <c r="AP1767" s="117"/>
      <c r="AQ1767" s="117"/>
      <c r="AR1767" s="117"/>
      <c r="AS1767" s="117"/>
      <c r="AT1767" s="117"/>
      <c r="AU1767" s="117"/>
      <c r="AV1767" s="117"/>
      <c r="AW1767" s="117"/>
      <c r="AX1767" s="117"/>
      <c r="AY1767" s="117"/>
      <c r="AZ1767" s="117"/>
      <c r="BA1767" s="117"/>
      <c r="BB1767" s="117"/>
      <c r="BC1767" s="117"/>
      <c r="BD1767" s="117"/>
      <c r="BE1767" s="117"/>
      <c r="BF1767" s="117"/>
      <c r="BG1767" s="117"/>
    </row>
    <row r="1768" spans="1:59">
      <c r="A1768" s="117"/>
      <c r="B1768" s="117"/>
      <c r="C1768" s="117"/>
      <c r="D1768" s="117"/>
      <c r="E1768" s="117"/>
      <c r="F1768" s="117"/>
      <c r="G1768" s="117"/>
      <c r="H1768" s="117"/>
      <c r="I1768" s="117"/>
      <c r="J1768" s="118"/>
      <c r="K1768" s="118"/>
      <c r="L1768" s="118"/>
      <c r="M1768" s="118"/>
      <c r="N1768" s="117"/>
      <c r="O1768" s="117"/>
      <c r="P1768" s="117"/>
      <c r="Q1768" s="117"/>
      <c r="R1768" s="117"/>
      <c r="S1768" s="117"/>
      <c r="T1768" s="117"/>
      <c r="U1768" s="117"/>
      <c r="V1768" s="117"/>
      <c r="W1768" s="117"/>
      <c r="X1768" s="117"/>
      <c r="Y1768" s="117"/>
      <c r="Z1768" s="117"/>
      <c r="AA1768" s="117"/>
      <c r="AB1768" s="117"/>
      <c r="AC1768" s="117"/>
      <c r="AD1768" s="117"/>
      <c r="AE1768" s="117"/>
      <c r="AF1768" s="117"/>
      <c r="AG1768" s="117"/>
      <c r="AH1768" s="117"/>
      <c r="AI1768" s="117"/>
      <c r="AJ1768" s="117"/>
      <c r="AK1768" s="117"/>
      <c r="AL1768" s="117"/>
      <c r="AM1768" s="117"/>
      <c r="AN1768" s="117"/>
      <c r="AO1768" s="117"/>
      <c r="AP1768" s="117"/>
      <c r="AQ1768" s="117"/>
      <c r="AR1768" s="117"/>
      <c r="AS1768" s="117"/>
      <c r="AT1768" s="117"/>
      <c r="AU1768" s="117"/>
      <c r="AV1768" s="117"/>
      <c r="AW1768" s="117"/>
      <c r="AX1768" s="117"/>
      <c r="AY1768" s="117"/>
      <c r="AZ1768" s="117"/>
      <c r="BA1768" s="117"/>
      <c r="BB1768" s="117"/>
      <c r="BC1768" s="117"/>
      <c r="BD1768" s="117"/>
      <c r="BE1768" s="117"/>
      <c r="BF1768" s="117"/>
      <c r="BG1768" s="117"/>
    </row>
    <row r="1769" spans="1:59">
      <c r="A1769" s="117"/>
      <c r="B1769" s="117"/>
      <c r="C1769" s="117"/>
      <c r="D1769" s="117"/>
      <c r="E1769" s="117"/>
      <c r="F1769" s="117"/>
      <c r="G1769" s="117"/>
      <c r="H1769" s="117"/>
      <c r="I1769" s="117"/>
      <c r="J1769" s="118"/>
      <c r="K1769" s="118"/>
      <c r="L1769" s="118"/>
      <c r="M1769" s="118"/>
      <c r="N1769" s="117"/>
      <c r="O1769" s="117"/>
      <c r="P1769" s="117"/>
      <c r="Q1769" s="117"/>
      <c r="R1769" s="117"/>
      <c r="S1769" s="117"/>
      <c r="T1769" s="117"/>
      <c r="U1769" s="117"/>
      <c r="V1769" s="117"/>
      <c r="W1769" s="117"/>
      <c r="X1769" s="117"/>
      <c r="Y1769" s="117"/>
      <c r="Z1769" s="117"/>
      <c r="AA1769" s="117"/>
      <c r="AB1769" s="117"/>
      <c r="AC1769" s="117"/>
      <c r="AD1769" s="117"/>
      <c r="AE1769" s="117"/>
      <c r="AF1769" s="117"/>
      <c r="AG1769" s="117"/>
      <c r="AH1769" s="117"/>
      <c r="AI1769" s="117"/>
      <c r="AJ1769" s="117"/>
      <c r="AK1769" s="117"/>
      <c r="AL1769" s="117"/>
      <c r="AM1769" s="117"/>
      <c r="AN1769" s="117"/>
      <c r="AO1769" s="117"/>
      <c r="AP1769" s="117"/>
      <c r="AQ1769" s="117"/>
      <c r="AR1769" s="117"/>
      <c r="AS1769" s="117"/>
      <c r="AT1769" s="117"/>
      <c r="AU1769" s="117"/>
      <c r="AV1769" s="117"/>
      <c r="AW1769" s="117"/>
      <c r="AX1769" s="117"/>
      <c r="AY1769" s="117"/>
      <c r="AZ1769" s="117"/>
      <c r="BA1769" s="117"/>
      <c r="BB1769" s="117"/>
      <c r="BC1769" s="117"/>
      <c r="BD1769" s="117"/>
      <c r="BE1769" s="117"/>
      <c r="BF1769" s="117"/>
      <c r="BG1769" s="117"/>
    </row>
    <row r="1770" spans="1:59">
      <c r="A1770" s="117"/>
      <c r="B1770" s="117"/>
      <c r="C1770" s="117"/>
      <c r="D1770" s="117"/>
      <c r="E1770" s="117"/>
      <c r="F1770" s="117"/>
      <c r="G1770" s="117"/>
      <c r="H1770" s="117"/>
      <c r="I1770" s="117"/>
      <c r="J1770" s="118"/>
      <c r="K1770" s="118"/>
      <c r="L1770" s="118"/>
      <c r="M1770" s="118"/>
      <c r="N1770" s="117"/>
      <c r="O1770" s="117"/>
      <c r="P1770" s="117"/>
      <c r="Q1770" s="117"/>
      <c r="R1770" s="117"/>
      <c r="S1770" s="117"/>
      <c r="T1770" s="117"/>
      <c r="U1770" s="117"/>
      <c r="V1770" s="117"/>
      <c r="W1770" s="117"/>
      <c r="X1770" s="117"/>
      <c r="Y1770" s="117"/>
      <c r="Z1770" s="117"/>
      <c r="AA1770" s="117"/>
      <c r="AB1770" s="117"/>
      <c r="AC1770" s="117"/>
      <c r="AD1770" s="117"/>
      <c r="AE1770" s="117"/>
      <c r="AF1770" s="117"/>
      <c r="AG1770" s="117"/>
      <c r="AH1770" s="117"/>
      <c r="AI1770" s="117"/>
      <c r="AJ1770" s="117"/>
      <c r="AK1770" s="117"/>
      <c r="AL1770" s="117"/>
      <c r="AM1770" s="117"/>
      <c r="AN1770" s="117"/>
      <c r="AO1770" s="117"/>
      <c r="AP1770" s="117"/>
      <c r="AQ1770" s="117"/>
      <c r="AR1770" s="117"/>
      <c r="AS1770" s="117"/>
      <c r="AT1770" s="117"/>
      <c r="AU1770" s="117"/>
      <c r="AV1770" s="117"/>
      <c r="AW1770" s="117"/>
      <c r="AX1770" s="117"/>
      <c r="AY1770" s="117"/>
      <c r="AZ1770" s="117"/>
      <c r="BA1770" s="117"/>
      <c r="BB1770" s="117"/>
      <c r="BC1770" s="117"/>
      <c r="BD1770" s="117"/>
      <c r="BE1770" s="117"/>
      <c r="BF1770" s="117"/>
      <c r="BG1770" s="117"/>
    </row>
    <row r="1771" spans="1:59">
      <c r="A1771" s="117"/>
      <c r="B1771" s="117"/>
      <c r="C1771" s="117"/>
      <c r="D1771" s="117"/>
      <c r="E1771" s="117"/>
      <c r="F1771" s="117"/>
      <c r="G1771" s="117"/>
      <c r="H1771" s="117"/>
      <c r="I1771" s="117"/>
      <c r="J1771" s="118"/>
      <c r="K1771" s="118"/>
      <c r="L1771" s="118"/>
      <c r="M1771" s="118"/>
      <c r="N1771" s="117"/>
      <c r="O1771" s="117"/>
      <c r="P1771" s="117"/>
      <c r="Q1771" s="117"/>
      <c r="R1771" s="117"/>
      <c r="S1771" s="117"/>
      <c r="T1771" s="117"/>
      <c r="U1771" s="117"/>
      <c r="V1771" s="117"/>
      <c r="W1771" s="117"/>
      <c r="X1771" s="117"/>
      <c r="Y1771" s="117"/>
      <c r="Z1771" s="117"/>
      <c r="AA1771" s="117"/>
      <c r="AB1771" s="117"/>
      <c r="AC1771" s="117"/>
      <c r="AD1771" s="117"/>
      <c r="AE1771" s="117"/>
      <c r="AF1771" s="117"/>
      <c r="AG1771" s="117"/>
      <c r="AH1771" s="117"/>
      <c r="AI1771" s="117"/>
      <c r="AJ1771" s="117"/>
      <c r="AK1771" s="117"/>
      <c r="AL1771" s="117"/>
      <c r="AM1771" s="117"/>
      <c r="AN1771" s="117"/>
      <c r="AO1771" s="117"/>
      <c r="AP1771" s="117"/>
      <c r="AQ1771" s="117"/>
      <c r="AR1771" s="117"/>
      <c r="AS1771" s="117"/>
      <c r="AT1771" s="117"/>
      <c r="AU1771" s="117"/>
      <c r="AV1771" s="117"/>
      <c r="AW1771" s="117"/>
      <c r="AX1771" s="117"/>
      <c r="AY1771" s="117"/>
      <c r="AZ1771" s="117"/>
      <c r="BA1771" s="117"/>
      <c r="BB1771" s="117"/>
      <c r="BC1771" s="117"/>
      <c r="BD1771" s="117"/>
      <c r="BE1771" s="117"/>
      <c r="BF1771" s="117"/>
      <c r="BG1771" s="117"/>
    </row>
    <row r="1772" spans="1:59">
      <c r="A1772" s="117"/>
      <c r="B1772" s="117"/>
      <c r="C1772" s="117"/>
      <c r="D1772" s="117"/>
      <c r="E1772" s="117"/>
      <c r="F1772" s="117"/>
      <c r="G1772" s="117"/>
      <c r="H1772" s="117"/>
      <c r="I1772" s="117"/>
      <c r="J1772" s="118"/>
      <c r="K1772" s="118"/>
      <c r="L1772" s="118"/>
      <c r="M1772" s="118"/>
      <c r="N1772" s="117"/>
      <c r="O1772" s="117"/>
      <c r="P1772" s="117"/>
      <c r="Q1772" s="117"/>
      <c r="R1772" s="117"/>
      <c r="S1772" s="117"/>
      <c r="T1772" s="117"/>
      <c r="U1772" s="117"/>
      <c r="V1772" s="117"/>
      <c r="W1772" s="117"/>
      <c r="X1772" s="117"/>
      <c r="Y1772" s="117"/>
      <c r="Z1772" s="117"/>
      <c r="AA1772" s="117"/>
      <c r="AB1772" s="117"/>
      <c r="AC1772" s="117"/>
      <c r="AD1772" s="117"/>
      <c r="AE1772" s="117"/>
      <c r="AF1772" s="117"/>
      <c r="AG1772" s="117"/>
      <c r="AH1772" s="117"/>
      <c r="AI1772" s="117"/>
      <c r="AJ1772" s="117"/>
      <c r="AK1772" s="117"/>
      <c r="AL1772" s="117"/>
      <c r="AM1772" s="117"/>
      <c r="AN1772" s="117"/>
      <c r="AO1772" s="117"/>
      <c r="AP1772" s="117"/>
      <c r="AQ1772" s="117"/>
      <c r="AR1772" s="117"/>
      <c r="AS1772" s="117"/>
      <c r="AT1772" s="117"/>
      <c r="AU1772" s="117"/>
      <c r="AV1772" s="117"/>
      <c r="AW1772" s="117"/>
      <c r="AX1772" s="117"/>
      <c r="AY1772" s="117"/>
      <c r="AZ1772" s="117"/>
      <c r="BA1772" s="117"/>
      <c r="BB1772" s="117"/>
      <c r="BC1772" s="117"/>
      <c r="BD1772" s="117"/>
      <c r="BE1772" s="117"/>
      <c r="BF1772" s="117"/>
      <c r="BG1772" s="117"/>
    </row>
    <row r="1773" spans="1:59">
      <c r="A1773" s="117"/>
      <c r="B1773" s="117"/>
      <c r="C1773" s="117"/>
      <c r="D1773" s="117"/>
      <c r="E1773" s="117"/>
      <c r="F1773" s="117"/>
      <c r="G1773" s="117"/>
      <c r="H1773" s="117"/>
      <c r="I1773" s="117"/>
      <c r="J1773" s="118"/>
      <c r="K1773" s="118"/>
      <c r="L1773" s="118"/>
      <c r="M1773" s="118"/>
      <c r="N1773" s="117"/>
      <c r="O1773" s="117"/>
      <c r="P1773" s="117"/>
      <c r="Q1773" s="117"/>
      <c r="R1773" s="117"/>
      <c r="S1773" s="117"/>
      <c r="T1773" s="117"/>
      <c r="U1773" s="117"/>
      <c r="V1773" s="117"/>
      <c r="W1773" s="117"/>
      <c r="X1773" s="117"/>
      <c r="Y1773" s="117"/>
      <c r="Z1773" s="117"/>
      <c r="AA1773" s="117"/>
      <c r="AB1773" s="117"/>
      <c r="AC1773" s="117"/>
      <c r="AD1773" s="117"/>
      <c r="AE1773" s="117"/>
      <c r="AF1773" s="117"/>
      <c r="AG1773" s="117"/>
      <c r="AH1773" s="117"/>
      <c r="AI1773" s="117"/>
      <c r="AJ1773" s="117"/>
      <c r="AK1773" s="117"/>
      <c r="AL1773" s="117"/>
      <c r="AM1773" s="117"/>
      <c r="AN1773" s="117"/>
      <c r="AO1773" s="117"/>
      <c r="AP1773" s="117"/>
      <c r="AQ1773" s="117"/>
      <c r="AR1773" s="117"/>
      <c r="AS1773" s="117"/>
      <c r="AT1773" s="117"/>
      <c r="AU1773" s="117"/>
      <c r="AV1773" s="117"/>
      <c r="AW1773" s="117"/>
      <c r="AX1773" s="117"/>
      <c r="AY1773" s="117"/>
      <c r="AZ1773" s="117"/>
      <c r="BA1773" s="117"/>
      <c r="BB1773" s="117"/>
      <c r="BC1773" s="117"/>
      <c r="BD1773" s="117"/>
      <c r="BE1773" s="117"/>
      <c r="BF1773" s="117"/>
      <c r="BG1773" s="117"/>
    </row>
    <row r="1774" spans="1:59">
      <c r="A1774" s="117"/>
      <c r="B1774" s="117"/>
      <c r="C1774" s="117"/>
      <c r="D1774" s="117"/>
      <c r="E1774" s="117"/>
      <c r="F1774" s="117"/>
      <c r="G1774" s="117"/>
      <c r="H1774" s="117"/>
      <c r="I1774" s="117"/>
      <c r="J1774" s="118"/>
      <c r="K1774" s="118"/>
      <c r="L1774" s="118"/>
      <c r="M1774" s="118"/>
      <c r="N1774" s="117"/>
      <c r="O1774" s="117"/>
      <c r="P1774" s="117"/>
      <c r="Q1774" s="117"/>
      <c r="R1774" s="117"/>
      <c r="S1774" s="117"/>
      <c r="T1774" s="117"/>
      <c r="U1774" s="117"/>
      <c r="V1774" s="117"/>
      <c r="W1774" s="117"/>
      <c r="X1774" s="117"/>
      <c r="Y1774" s="117"/>
      <c r="Z1774" s="117"/>
      <c r="AA1774" s="117"/>
      <c r="AB1774" s="117"/>
      <c r="AC1774" s="117"/>
      <c r="AD1774" s="117"/>
      <c r="AE1774" s="117"/>
      <c r="AF1774" s="117"/>
      <c r="AG1774" s="117"/>
      <c r="AH1774" s="117"/>
      <c r="AI1774" s="117"/>
      <c r="AJ1774" s="117"/>
      <c r="AK1774" s="117"/>
      <c r="AL1774" s="117"/>
      <c r="AM1774" s="117"/>
      <c r="AN1774" s="117"/>
      <c r="AO1774" s="117"/>
      <c r="AP1774" s="117"/>
      <c r="AQ1774" s="117"/>
      <c r="AR1774" s="117"/>
      <c r="AS1774" s="117"/>
      <c r="AT1774" s="117"/>
      <c r="AU1774" s="117"/>
      <c r="AV1774" s="117"/>
      <c r="AW1774" s="117"/>
      <c r="AX1774" s="117"/>
      <c r="AY1774" s="117"/>
      <c r="AZ1774" s="117"/>
      <c r="BA1774" s="117"/>
      <c r="BB1774" s="117"/>
      <c r="BC1774" s="117"/>
      <c r="BD1774" s="117"/>
      <c r="BE1774" s="117"/>
      <c r="BF1774" s="117"/>
      <c r="BG1774" s="117"/>
    </row>
    <row r="1775" spans="1:59">
      <c r="A1775" s="117"/>
      <c r="B1775" s="117"/>
      <c r="C1775" s="117"/>
      <c r="D1775" s="117"/>
      <c r="E1775" s="117"/>
      <c r="F1775" s="117"/>
      <c r="G1775" s="117"/>
      <c r="H1775" s="117"/>
      <c r="I1775" s="117"/>
      <c r="J1775" s="118"/>
      <c r="K1775" s="118"/>
      <c r="L1775" s="118"/>
      <c r="M1775" s="118"/>
      <c r="N1775" s="117"/>
      <c r="O1775" s="117"/>
      <c r="P1775" s="117"/>
      <c r="Q1775" s="117"/>
      <c r="R1775" s="117"/>
      <c r="S1775" s="117"/>
      <c r="T1775" s="117"/>
      <c r="U1775" s="117"/>
      <c r="V1775" s="117"/>
      <c r="W1775" s="117"/>
      <c r="X1775" s="117"/>
      <c r="Y1775" s="117"/>
      <c r="Z1775" s="117"/>
      <c r="AA1775" s="117"/>
      <c r="AB1775" s="117"/>
      <c r="AC1775" s="117"/>
      <c r="AD1775" s="117"/>
      <c r="AE1775" s="117"/>
      <c r="AF1775" s="117"/>
      <c r="AG1775" s="117"/>
      <c r="AH1775" s="117"/>
      <c r="AI1775" s="117"/>
      <c r="AJ1775" s="117"/>
      <c r="AK1775" s="117"/>
      <c r="AL1775" s="117"/>
      <c r="AM1775" s="117"/>
      <c r="AN1775" s="117"/>
      <c r="AO1775" s="117"/>
      <c r="AP1775" s="117"/>
      <c r="AQ1775" s="117"/>
      <c r="AR1775" s="117"/>
      <c r="AS1775" s="117"/>
      <c r="AT1775" s="117"/>
      <c r="AU1775" s="117"/>
      <c r="AV1775" s="117"/>
      <c r="AW1775" s="117"/>
      <c r="AX1775" s="117"/>
      <c r="AY1775" s="117"/>
      <c r="AZ1775" s="117"/>
      <c r="BA1775" s="117"/>
      <c r="BB1775" s="117"/>
      <c r="BC1775" s="117"/>
      <c r="BD1775" s="117"/>
      <c r="BE1775" s="117"/>
      <c r="BF1775" s="117"/>
      <c r="BG1775" s="117"/>
    </row>
    <row r="1776" spans="1:59">
      <c r="A1776" s="117"/>
      <c r="B1776" s="117"/>
      <c r="C1776" s="117"/>
      <c r="D1776" s="117"/>
      <c r="E1776" s="117"/>
      <c r="F1776" s="117"/>
      <c r="G1776" s="117"/>
      <c r="H1776" s="117"/>
      <c r="I1776" s="117"/>
      <c r="J1776" s="118"/>
      <c r="K1776" s="118"/>
      <c r="L1776" s="118"/>
      <c r="M1776" s="118"/>
      <c r="N1776" s="117"/>
      <c r="O1776" s="117"/>
      <c r="P1776" s="117"/>
      <c r="Q1776" s="117"/>
      <c r="R1776" s="117"/>
      <c r="S1776" s="117"/>
      <c r="T1776" s="117"/>
      <c r="U1776" s="117"/>
      <c r="V1776" s="117"/>
      <c r="W1776" s="117"/>
      <c r="X1776" s="117"/>
      <c r="Y1776" s="117"/>
      <c r="Z1776" s="117"/>
      <c r="AA1776" s="117"/>
      <c r="AB1776" s="117"/>
      <c r="AC1776" s="117"/>
      <c r="AD1776" s="117"/>
      <c r="AE1776" s="117"/>
      <c r="AF1776" s="117"/>
      <c r="AG1776" s="117"/>
      <c r="AH1776" s="117"/>
      <c r="AI1776" s="117"/>
      <c r="AJ1776" s="117"/>
      <c r="AK1776" s="117"/>
      <c r="AL1776" s="117"/>
      <c r="AM1776" s="117"/>
      <c r="AN1776" s="117"/>
      <c r="AO1776" s="117"/>
      <c r="AP1776" s="117"/>
      <c r="AQ1776" s="117"/>
      <c r="AR1776" s="117"/>
      <c r="AS1776" s="117"/>
      <c r="AT1776" s="117"/>
      <c r="AU1776" s="117"/>
      <c r="AV1776" s="117"/>
      <c r="AW1776" s="117"/>
      <c r="AX1776" s="117"/>
      <c r="AY1776" s="117"/>
      <c r="AZ1776" s="117"/>
      <c r="BA1776" s="117"/>
      <c r="BB1776" s="117"/>
      <c r="BC1776" s="117"/>
      <c r="BD1776" s="117"/>
      <c r="BE1776" s="117"/>
      <c r="BF1776" s="117"/>
      <c r="BG1776" s="117"/>
    </row>
    <row r="1777" spans="1:59">
      <c r="A1777" s="117"/>
      <c r="B1777" s="117"/>
      <c r="C1777" s="117"/>
      <c r="D1777" s="117"/>
      <c r="E1777" s="117"/>
      <c r="F1777" s="117"/>
      <c r="G1777" s="117"/>
      <c r="H1777" s="117"/>
      <c r="I1777" s="117"/>
      <c r="J1777" s="118"/>
      <c r="K1777" s="118"/>
      <c r="L1777" s="118"/>
      <c r="M1777" s="118"/>
      <c r="N1777" s="117"/>
      <c r="O1777" s="117"/>
      <c r="P1777" s="117"/>
      <c r="Q1777" s="117"/>
      <c r="R1777" s="117"/>
      <c r="S1777" s="117"/>
      <c r="T1777" s="117"/>
      <c r="U1777" s="117"/>
      <c r="V1777" s="117"/>
      <c r="W1777" s="117"/>
      <c r="X1777" s="117"/>
      <c r="Y1777" s="117"/>
      <c r="Z1777" s="117"/>
      <c r="AA1777" s="117"/>
      <c r="AB1777" s="117"/>
      <c r="AC1777" s="117"/>
      <c r="AD1777" s="117"/>
      <c r="AE1777" s="117"/>
      <c r="AF1777" s="117"/>
      <c r="AG1777" s="117"/>
      <c r="AH1777" s="117"/>
      <c r="AI1777" s="117"/>
      <c r="AJ1777" s="117"/>
      <c r="AK1777" s="117"/>
      <c r="AL1777" s="117"/>
      <c r="AM1777" s="117"/>
      <c r="AN1777" s="117"/>
      <c r="AO1777" s="117"/>
      <c r="AP1777" s="117"/>
      <c r="AQ1777" s="117"/>
      <c r="AR1777" s="117"/>
      <c r="AS1777" s="117"/>
      <c r="AT1777" s="117"/>
      <c r="AU1777" s="117"/>
      <c r="AV1777" s="117"/>
      <c r="AW1777" s="117"/>
      <c r="AX1777" s="117"/>
      <c r="AY1777" s="117"/>
      <c r="AZ1777" s="117"/>
      <c r="BA1777" s="117"/>
      <c r="BB1777" s="117"/>
      <c r="BC1777" s="117"/>
      <c r="BD1777" s="117"/>
      <c r="BE1777" s="117"/>
      <c r="BF1777" s="117"/>
      <c r="BG1777" s="117"/>
    </row>
    <row r="1778" spans="1:59">
      <c r="A1778" s="117"/>
      <c r="B1778" s="117"/>
      <c r="C1778" s="117"/>
      <c r="D1778" s="117"/>
      <c r="E1778" s="117"/>
      <c r="F1778" s="117"/>
      <c r="G1778" s="117"/>
      <c r="H1778" s="117"/>
      <c r="I1778" s="117"/>
      <c r="J1778" s="118"/>
      <c r="K1778" s="118"/>
      <c r="L1778" s="118"/>
      <c r="M1778" s="118"/>
      <c r="N1778" s="117"/>
      <c r="O1778" s="117"/>
      <c r="P1778" s="117"/>
      <c r="Q1778" s="117"/>
      <c r="R1778" s="117"/>
      <c r="S1778" s="117"/>
      <c r="T1778" s="117"/>
      <c r="U1778" s="117"/>
      <c r="V1778" s="117"/>
      <c r="W1778" s="117"/>
      <c r="X1778" s="117"/>
      <c r="Y1778" s="117"/>
      <c r="Z1778" s="117"/>
      <c r="AA1778" s="117"/>
      <c r="AB1778" s="117"/>
      <c r="AC1778" s="117"/>
      <c r="AD1778" s="117"/>
      <c r="AE1778" s="117"/>
      <c r="AF1778" s="117"/>
      <c r="AG1778" s="117"/>
      <c r="AH1778" s="117"/>
      <c r="AI1778" s="117"/>
      <c r="AJ1778" s="117"/>
      <c r="AK1778" s="117"/>
      <c r="AL1778" s="117"/>
      <c r="AM1778" s="117"/>
      <c r="AN1778" s="117"/>
      <c r="AO1778" s="117"/>
      <c r="AP1778" s="117"/>
      <c r="AQ1778" s="117"/>
      <c r="AR1778" s="117"/>
      <c r="AS1778" s="117"/>
      <c r="AT1778" s="117"/>
      <c r="AU1778" s="117"/>
      <c r="AV1778" s="117"/>
      <c r="AW1778" s="117"/>
      <c r="AX1778" s="117"/>
      <c r="AY1778" s="117"/>
      <c r="AZ1778" s="117"/>
      <c r="BA1778" s="117"/>
      <c r="BB1778" s="117"/>
      <c r="BC1778" s="117"/>
      <c r="BD1778" s="117"/>
      <c r="BE1778" s="117"/>
      <c r="BF1778" s="117"/>
      <c r="BG1778" s="117"/>
    </row>
    <row r="1779" spans="1:59">
      <c r="A1779" s="117"/>
      <c r="B1779" s="117"/>
      <c r="C1779" s="117"/>
      <c r="D1779" s="117"/>
      <c r="E1779" s="117"/>
      <c r="F1779" s="117"/>
      <c r="G1779" s="117"/>
      <c r="H1779" s="117"/>
      <c r="I1779" s="117"/>
      <c r="J1779" s="118"/>
      <c r="K1779" s="118"/>
      <c r="L1779" s="118"/>
      <c r="M1779" s="118"/>
      <c r="N1779" s="117"/>
      <c r="O1779" s="117"/>
      <c r="P1779" s="117"/>
      <c r="Q1779" s="117"/>
      <c r="R1779" s="117"/>
      <c r="S1779" s="117"/>
      <c r="T1779" s="117"/>
      <c r="U1779" s="117"/>
      <c r="V1779" s="117"/>
      <c r="W1779" s="117"/>
      <c r="X1779" s="117"/>
      <c r="Y1779" s="117"/>
      <c r="Z1779" s="117"/>
      <c r="AA1779" s="117"/>
      <c r="AB1779" s="117"/>
      <c r="AC1779" s="117"/>
      <c r="AD1779" s="117"/>
      <c r="AE1779" s="117"/>
      <c r="AF1779" s="117"/>
      <c r="AG1779" s="117"/>
      <c r="AH1779" s="117"/>
      <c r="AI1779" s="117"/>
      <c r="AJ1779" s="117"/>
      <c r="AK1779" s="117"/>
      <c r="AL1779" s="117"/>
      <c r="AM1779" s="117"/>
      <c r="AN1779" s="117"/>
      <c r="AO1779" s="117"/>
      <c r="AP1779" s="117"/>
      <c r="AQ1779" s="117"/>
      <c r="AR1779" s="117"/>
      <c r="AS1779" s="117"/>
      <c r="AT1779" s="117"/>
      <c r="AU1779" s="117"/>
      <c r="AV1779" s="117"/>
      <c r="AW1779" s="117"/>
      <c r="AX1779" s="117"/>
      <c r="AY1779" s="117"/>
      <c r="AZ1779" s="117"/>
      <c r="BA1779" s="117"/>
      <c r="BB1779" s="117"/>
      <c r="BC1779" s="117"/>
      <c r="BD1779" s="117"/>
      <c r="BE1779" s="117"/>
      <c r="BF1779" s="117"/>
      <c r="BG1779" s="117"/>
    </row>
    <row r="1780" spans="1:59">
      <c r="A1780" s="117"/>
      <c r="B1780" s="117"/>
      <c r="C1780" s="117"/>
      <c r="D1780" s="117"/>
      <c r="E1780" s="117"/>
      <c r="F1780" s="117"/>
      <c r="G1780" s="117"/>
      <c r="H1780" s="117"/>
      <c r="I1780" s="117"/>
      <c r="J1780" s="118"/>
      <c r="K1780" s="118"/>
      <c r="L1780" s="118"/>
      <c r="M1780" s="118"/>
      <c r="N1780" s="117"/>
      <c r="O1780" s="117"/>
      <c r="P1780" s="117"/>
      <c r="Q1780" s="117"/>
      <c r="R1780" s="117"/>
      <c r="S1780" s="117"/>
      <c r="T1780" s="117"/>
      <c r="U1780" s="117"/>
      <c r="V1780" s="117"/>
      <c r="W1780" s="117"/>
      <c r="X1780" s="117"/>
      <c r="Y1780" s="117"/>
      <c r="Z1780" s="117"/>
      <c r="AA1780" s="117"/>
      <c r="AB1780" s="117"/>
      <c r="AC1780" s="117"/>
      <c r="AD1780" s="117"/>
      <c r="AE1780" s="117"/>
      <c r="AF1780" s="117"/>
      <c r="AG1780" s="117"/>
      <c r="AH1780" s="117"/>
      <c r="AI1780" s="117"/>
      <c r="AJ1780" s="117"/>
      <c r="AK1780" s="117"/>
      <c r="AL1780" s="117"/>
      <c r="AM1780" s="117"/>
      <c r="AN1780" s="117"/>
      <c r="AO1780" s="117"/>
      <c r="AP1780" s="117"/>
      <c r="AQ1780" s="117"/>
      <c r="AR1780" s="117"/>
      <c r="AS1780" s="117"/>
      <c r="AT1780" s="117"/>
      <c r="AU1780" s="117"/>
      <c r="AV1780" s="117"/>
      <c r="AW1780" s="117"/>
      <c r="AX1780" s="117"/>
      <c r="AY1780" s="117"/>
      <c r="AZ1780" s="117"/>
      <c r="BA1780" s="117"/>
      <c r="BB1780" s="117"/>
      <c r="BC1780" s="117"/>
      <c r="BD1780" s="117"/>
      <c r="BE1780" s="117"/>
      <c r="BF1780" s="117"/>
      <c r="BG1780" s="117"/>
    </row>
    <row r="1781" spans="1:59">
      <c r="A1781" s="117"/>
      <c r="B1781" s="117"/>
      <c r="C1781" s="117"/>
      <c r="D1781" s="117"/>
      <c r="E1781" s="117"/>
      <c r="F1781" s="117"/>
      <c r="G1781" s="117"/>
      <c r="H1781" s="117"/>
      <c r="I1781" s="117"/>
      <c r="J1781" s="118"/>
      <c r="K1781" s="118"/>
      <c r="L1781" s="118"/>
      <c r="M1781" s="118"/>
      <c r="N1781" s="117"/>
      <c r="O1781" s="117"/>
      <c r="P1781" s="117"/>
      <c r="Q1781" s="117"/>
      <c r="R1781" s="117"/>
      <c r="S1781" s="117"/>
      <c r="T1781" s="117"/>
      <c r="U1781" s="117"/>
      <c r="V1781" s="117"/>
      <c r="W1781" s="117"/>
      <c r="X1781" s="117"/>
      <c r="Y1781" s="117"/>
      <c r="Z1781" s="117"/>
      <c r="AA1781" s="117"/>
      <c r="AB1781" s="117"/>
      <c r="AC1781" s="117"/>
      <c r="AD1781" s="117"/>
      <c r="AE1781" s="117"/>
      <c r="AF1781" s="117"/>
      <c r="AG1781" s="117"/>
      <c r="AH1781" s="117"/>
      <c r="AI1781" s="117"/>
      <c r="AJ1781" s="117"/>
      <c r="AK1781" s="117"/>
      <c r="AL1781" s="117"/>
      <c r="AM1781" s="117"/>
      <c r="AN1781" s="117"/>
      <c r="AO1781" s="117"/>
      <c r="AP1781" s="117"/>
      <c r="AQ1781" s="117"/>
      <c r="AR1781" s="117"/>
      <c r="AS1781" s="117"/>
      <c r="AT1781" s="117"/>
      <c r="AU1781" s="117"/>
      <c r="AV1781" s="117"/>
      <c r="AW1781" s="117"/>
      <c r="AX1781" s="117"/>
      <c r="AY1781" s="117"/>
      <c r="AZ1781" s="117"/>
      <c r="BA1781" s="117"/>
      <c r="BB1781" s="117"/>
      <c r="BC1781" s="117"/>
      <c r="BD1781" s="117"/>
      <c r="BE1781" s="117"/>
      <c r="BF1781" s="117"/>
      <c r="BG1781" s="117"/>
    </row>
    <row r="1782" spans="1:59">
      <c r="A1782" s="117"/>
      <c r="B1782" s="117"/>
      <c r="C1782" s="117"/>
      <c r="D1782" s="117"/>
      <c r="E1782" s="117"/>
      <c r="F1782" s="117"/>
      <c r="G1782" s="117"/>
      <c r="H1782" s="117"/>
      <c r="I1782" s="117"/>
      <c r="J1782" s="118"/>
      <c r="K1782" s="118"/>
      <c r="L1782" s="118"/>
      <c r="M1782" s="118"/>
      <c r="N1782" s="117"/>
      <c r="O1782" s="117"/>
      <c r="P1782" s="117"/>
      <c r="Q1782" s="117"/>
      <c r="R1782" s="117"/>
      <c r="S1782" s="117"/>
      <c r="T1782" s="117"/>
      <c r="U1782" s="117"/>
      <c r="V1782" s="117"/>
      <c r="W1782" s="117"/>
      <c r="X1782" s="117"/>
      <c r="Y1782" s="117"/>
      <c r="Z1782" s="117"/>
      <c r="AA1782" s="117"/>
      <c r="AB1782" s="117"/>
      <c r="AC1782" s="117"/>
      <c r="AD1782" s="117"/>
      <c r="AE1782" s="117"/>
      <c r="AF1782" s="117"/>
      <c r="AG1782" s="117"/>
      <c r="AH1782" s="117"/>
      <c r="AI1782" s="117"/>
      <c r="AJ1782" s="117"/>
      <c r="AK1782" s="117"/>
      <c r="AL1782" s="117"/>
      <c r="AM1782" s="117"/>
      <c r="AN1782" s="117"/>
      <c r="AO1782" s="117"/>
      <c r="AP1782" s="117"/>
      <c r="AQ1782" s="117"/>
      <c r="AR1782" s="117"/>
      <c r="AS1782" s="117"/>
      <c r="AT1782" s="117"/>
      <c r="AU1782" s="117"/>
      <c r="AV1782" s="117"/>
      <c r="AW1782" s="117"/>
      <c r="AX1782" s="117"/>
      <c r="AY1782" s="117"/>
      <c r="AZ1782" s="117"/>
      <c r="BA1782" s="117"/>
      <c r="BB1782" s="117"/>
      <c r="BC1782" s="117"/>
      <c r="BD1782" s="117"/>
      <c r="BE1782" s="117"/>
      <c r="BF1782" s="117"/>
      <c r="BG1782" s="117"/>
    </row>
    <row r="1783" spans="1:59">
      <c r="A1783" s="117"/>
      <c r="B1783" s="117"/>
      <c r="C1783" s="117"/>
      <c r="D1783" s="117"/>
      <c r="E1783" s="117"/>
      <c r="F1783" s="117"/>
      <c r="G1783" s="117"/>
      <c r="H1783" s="117"/>
      <c r="I1783" s="117"/>
      <c r="J1783" s="118"/>
      <c r="K1783" s="118"/>
      <c r="L1783" s="118"/>
      <c r="M1783" s="118"/>
      <c r="N1783" s="117"/>
      <c r="O1783" s="117"/>
      <c r="P1783" s="117"/>
      <c r="Q1783" s="117"/>
      <c r="R1783" s="117"/>
      <c r="S1783" s="117"/>
      <c r="T1783" s="117"/>
      <c r="U1783" s="117"/>
      <c r="V1783" s="117"/>
      <c r="W1783" s="117"/>
      <c r="X1783" s="117"/>
      <c r="Y1783" s="117"/>
      <c r="Z1783" s="117"/>
      <c r="AA1783" s="117"/>
      <c r="AB1783" s="117"/>
      <c r="AC1783" s="117"/>
      <c r="AD1783" s="117"/>
      <c r="AE1783" s="117"/>
      <c r="AF1783" s="117"/>
      <c r="AG1783" s="117"/>
      <c r="AH1783" s="117"/>
      <c r="AI1783" s="117"/>
      <c r="AJ1783" s="117"/>
      <c r="AK1783" s="117"/>
      <c r="AL1783" s="117"/>
      <c r="AM1783" s="117"/>
      <c r="AN1783" s="117"/>
      <c r="AO1783" s="117"/>
      <c r="AP1783" s="117"/>
      <c r="AQ1783" s="117"/>
      <c r="AR1783" s="117"/>
      <c r="AS1783" s="117"/>
      <c r="AT1783" s="117"/>
      <c r="AU1783" s="117"/>
      <c r="AV1783" s="117"/>
      <c r="AW1783" s="117"/>
      <c r="AX1783" s="117"/>
      <c r="AY1783" s="117"/>
      <c r="AZ1783" s="117"/>
      <c r="BA1783" s="117"/>
      <c r="BB1783" s="117"/>
      <c r="BC1783" s="117"/>
      <c r="BD1783" s="117"/>
      <c r="BE1783" s="117"/>
      <c r="BF1783" s="117"/>
      <c r="BG1783" s="117"/>
    </row>
    <row r="1784" spans="1:59">
      <c r="A1784" s="117"/>
      <c r="B1784" s="117"/>
      <c r="C1784" s="117"/>
      <c r="D1784" s="117"/>
      <c r="E1784" s="117"/>
      <c r="F1784" s="117"/>
      <c r="G1784" s="117"/>
      <c r="H1784" s="117"/>
      <c r="I1784" s="117"/>
      <c r="J1784" s="118"/>
      <c r="K1784" s="118"/>
      <c r="L1784" s="118"/>
      <c r="M1784" s="118"/>
      <c r="N1784" s="117"/>
      <c r="O1784" s="117"/>
      <c r="P1784" s="117"/>
      <c r="Q1784" s="117"/>
      <c r="R1784" s="117"/>
      <c r="S1784" s="117"/>
      <c r="T1784" s="117"/>
      <c r="U1784" s="117"/>
      <c r="V1784" s="117"/>
      <c r="W1784" s="117"/>
      <c r="X1784" s="117"/>
      <c r="Y1784" s="117"/>
      <c r="Z1784" s="117"/>
      <c r="AA1784" s="117"/>
      <c r="AB1784" s="117"/>
      <c r="AC1784" s="117"/>
      <c r="AD1784" s="117"/>
      <c r="AE1784" s="117"/>
      <c r="AF1784" s="117"/>
      <c r="AG1784" s="117"/>
      <c r="AH1784" s="117"/>
      <c r="AI1784" s="117"/>
      <c r="AJ1784" s="117"/>
      <c r="AK1784" s="117"/>
      <c r="AL1784" s="117"/>
      <c r="AM1784" s="117"/>
      <c r="AN1784" s="117"/>
      <c r="AO1784" s="117"/>
      <c r="AP1784" s="117"/>
      <c r="AQ1784" s="117"/>
      <c r="AR1784" s="117"/>
      <c r="AS1784" s="117"/>
      <c r="AT1784" s="117"/>
      <c r="AU1784" s="117"/>
      <c r="AV1784" s="117"/>
      <c r="AW1784" s="117"/>
      <c r="AX1784" s="117"/>
      <c r="AY1784" s="117"/>
      <c r="AZ1784" s="117"/>
      <c r="BA1784" s="117"/>
      <c r="BB1784" s="117"/>
      <c r="BC1784" s="117"/>
      <c r="BD1784" s="117"/>
      <c r="BE1784" s="117"/>
      <c r="BF1784" s="117"/>
      <c r="BG1784" s="117"/>
    </row>
    <row r="1785" spans="1:59">
      <c r="A1785" s="117"/>
      <c r="B1785" s="117"/>
      <c r="C1785" s="117"/>
      <c r="D1785" s="117"/>
      <c r="E1785" s="117"/>
      <c r="F1785" s="117"/>
      <c r="G1785" s="117"/>
      <c r="H1785" s="117"/>
      <c r="I1785" s="117"/>
      <c r="J1785" s="118"/>
      <c r="K1785" s="118"/>
      <c r="L1785" s="118"/>
      <c r="M1785" s="118"/>
      <c r="N1785" s="117"/>
      <c r="O1785" s="117"/>
      <c r="P1785" s="117"/>
      <c r="Q1785" s="117"/>
      <c r="R1785" s="117"/>
      <c r="S1785" s="117"/>
      <c r="T1785" s="117"/>
      <c r="U1785" s="117"/>
      <c r="V1785" s="117"/>
      <c r="W1785" s="117"/>
      <c r="X1785" s="117"/>
      <c r="Y1785" s="117"/>
      <c r="Z1785" s="117"/>
      <c r="AA1785" s="117"/>
      <c r="AB1785" s="117"/>
      <c r="AC1785" s="117"/>
      <c r="AD1785" s="117"/>
      <c r="AE1785" s="117"/>
      <c r="AF1785" s="117"/>
      <c r="AG1785" s="117"/>
      <c r="AH1785" s="117"/>
      <c r="AI1785" s="117"/>
      <c r="AJ1785" s="117"/>
      <c r="AK1785" s="117"/>
      <c r="AL1785" s="117"/>
      <c r="AM1785" s="117"/>
      <c r="AN1785" s="117"/>
      <c r="AO1785" s="117"/>
      <c r="AP1785" s="117"/>
      <c r="AQ1785" s="117"/>
      <c r="AR1785" s="117"/>
      <c r="AS1785" s="117"/>
      <c r="AT1785" s="117"/>
      <c r="AU1785" s="117"/>
      <c r="AV1785" s="117"/>
      <c r="AW1785" s="117"/>
      <c r="AX1785" s="117"/>
      <c r="AY1785" s="117"/>
      <c r="AZ1785" s="117"/>
      <c r="BA1785" s="117"/>
      <c r="BB1785" s="117"/>
      <c r="BC1785" s="117"/>
      <c r="BD1785" s="117"/>
      <c r="BE1785" s="117"/>
      <c r="BF1785" s="117"/>
      <c r="BG1785" s="117"/>
    </row>
    <row r="1786" spans="1:59">
      <c r="A1786" s="117"/>
      <c r="B1786" s="117"/>
      <c r="C1786" s="117"/>
      <c r="D1786" s="117"/>
      <c r="E1786" s="117"/>
      <c r="F1786" s="117"/>
      <c r="G1786" s="117"/>
      <c r="H1786" s="117"/>
      <c r="I1786" s="117"/>
      <c r="J1786" s="118"/>
      <c r="K1786" s="118"/>
      <c r="L1786" s="118"/>
      <c r="M1786" s="118"/>
      <c r="N1786" s="117"/>
      <c r="O1786" s="117"/>
      <c r="P1786" s="117"/>
      <c r="Q1786" s="117"/>
      <c r="R1786" s="117"/>
      <c r="S1786" s="117"/>
      <c r="T1786" s="117"/>
      <c r="U1786" s="117"/>
      <c r="V1786" s="117"/>
      <c r="W1786" s="117"/>
      <c r="X1786" s="117"/>
      <c r="Y1786" s="117"/>
      <c r="Z1786" s="117"/>
      <c r="AA1786" s="117"/>
      <c r="AB1786" s="117"/>
      <c r="AC1786" s="117"/>
      <c r="AD1786" s="117"/>
      <c r="AE1786" s="117"/>
      <c r="AF1786" s="117"/>
      <c r="AG1786" s="117"/>
      <c r="AH1786" s="117"/>
      <c r="AI1786" s="117"/>
      <c r="AJ1786" s="117"/>
      <c r="AK1786" s="117"/>
      <c r="AL1786" s="117"/>
      <c r="AM1786" s="117"/>
      <c r="AN1786" s="117"/>
      <c r="AO1786" s="117"/>
      <c r="AP1786" s="117"/>
      <c r="AQ1786" s="117"/>
      <c r="AR1786" s="117"/>
      <c r="AS1786" s="117"/>
      <c r="AT1786" s="117"/>
      <c r="AU1786" s="117"/>
      <c r="AV1786" s="117"/>
      <c r="AW1786" s="117"/>
      <c r="AX1786" s="117"/>
      <c r="AY1786" s="117"/>
      <c r="AZ1786" s="117"/>
      <c r="BA1786" s="117"/>
      <c r="BB1786" s="117"/>
      <c r="BC1786" s="117"/>
      <c r="BD1786" s="117"/>
      <c r="BE1786" s="117"/>
      <c r="BF1786" s="117"/>
      <c r="BG1786" s="117"/>
    </row>
    <row r="1787" spans="1:59">
      <c r="A1787" s="117"/>
      <c r="B1787" s="117"/>
      <c r="C1787" s="117"/>
      <c r="D1787" s="117"/>
      <c r="E1787" s="117"/>
      <c r="F1787" s="117"/>
      <c r="G1787" s="117"/>
      <c r="H1787" s="117"/>
      <c r="I1787" s="117"/>
      <c r="J1787" s="118"/>
      <c r="K1787" s="118"/>
      <c r="L1787" s="118"/>
      <c r="M1787" s="118"/>
      <c r="N1787" s="117"/>
      <c r="O1787" s="117"/>
      <c r="P1787" s="117"/>
      <c r="Q1787" s="117"/>
      <c r="R1787" s="117"/>
      <c r="S1787" s="117"/>
      <c r="T1787" s="117"/>
      <c r="U1787" s="117"/>
      <c r="V1787" s="117"/>
      <c r="W1787" s="117"/>
      <c r="X1787" s="117"/>
      <c r="Y1787" s="117"/>
      <c r="Z1787" s="117"/>
      <c r="AA1787" s="117"/>
      <c r="AB1787" s="117"/>
      <c r="AC1787" s="117"/>
      <c r="AD1787" s="117"/>
      <c r="AE1787" s="117"/>
      <c r="AF1787" s="117"/>
      <c r="AG1787" s="117"/>
      <c r="AH1787" s="117"/>
      <c r="AI1787" s="117"/>
      <c r="AJ1787" s="117"/>
      <c r="AK1787" s="117"/>
      <c r="AL1787" s="117"/>
      <c r="AM1787" s="117"/>
      <c r="AN1787" s="117"/>
      <c r="AO1787" s="117"/>
      <c r="AP1787" s="117"/>
      <c r="AQ1787" s="117"/>
      <c r="AR1787" s="117"/>
      <c r="AS1787" s="117"/>
      <c r="AT1787" s="117"/>
      <c r="AU1787" s="117"/>
      <c r="AV1787" s="117"/>
      <c r="AW1787" s="117"/>
      <c r="AX1787" s="117"/>
      <c r="AY1787" s="117"/>
      <c r="AZ1787" s="117"/>
      <c r="BA1787" s="117"/>
      <c r="BB1787" s="117"/>
      <c r="BC1787" s="117"/>
      <c r="BD1787" s="117"/>
      <c r="BE1787" s="117"/>
      <c r="BF1787" s="117"/>
      <c r="BG1787" s="117"/>
    </row>
    <row r="1788" spans="1:59">
      <c r="A1788" s="117"/>
      <c r="B1788" s="117"/>
      <c r="C1788" s="117"/>
      <c r="D1788" s="117"/>
      <c r="E1788" s="117"/>
      <c r="F1788" s="117"/>
      <c r="G1788" s="117"/>
      <c r="H1788" s="117"/>
      <c r="I1788" s="117"/>
      <c r="J1788" s="118"/>
      <c r="K1788" s="118"/>
      <c r="L1788" s="118"/>
      <c r="M1788" s="118"/>
      <c r="N1788" s="117"/>
      <c r="O1788" s="117"/>
      <c r="P1788" s="117"/>
      <c r="Q1788" s="117"/>
      <c r="R1788" s="117"/>
      <c r="S1788" s="117"/>
      <c r="T1788" s="117"/>
      <c r="U1788" s="117"/>
      <c r="V1788" s="117"/>
      <c r="W1788" s="117"/>
      <c r="X1788" s="117"/>
      <c r="Y1788" s="117"/>
      <c r="Z1788" s="117"/>
      <c r="AA1788" s="117"/>
      <c r="AB1788" s="117"/>
      <c r="AC1788" s="117"/>
      <c r="AD1788" s="117"/>
      <c r="AE1788" s="117"/>
      <c r="AF1788" s="117"/>
      <c r="AG1788" s="117"/>
      <c r="AH1788" s="117"/>
      <c r="AI1788" s="117"/>
      <c r="AJ1788" s="117"/>
      <c r="AK1788" s="117"/>
      <c r="AL1788" s="117"/>
      <c r="AM1788" s="117"/>
      <c r="AN1788" s="117"/>
      <c r="AO1788" s="117"/>
      <c r="AP1788" s="117"/>
      <c r="AQ1788" s="117"/>
      <c r="AR1788" s="117"/>
      <c r="AS1788" s="117"/>
      <c r="AT1788" s="117"/>
      <c r="AU1788" s="117"/>
      <c r="AV1788" s="117"/>
      <c r="AW1788" s="117"/>
      <c r="AX1788" s="117"/>
      <c r="AY1788" s="117"/>
      <c r="AZ1788" s="117"/>
      <c r="BA1788" s="117"/>
      <c r="BB1788" s="117"/>
      <c r="BC1788" s="117"/>
      <c r="BD1788" s="117"/>
      <c r="BE1788" s="117"/>
      <c r="BF1788" s="117"/>
      <c r="BG1788" s="117"/>
    </row>
    <row r="1789" spans="1:59">
      <c r="A1789" s="117"/>
      <c r="B1789" s="117"/>
      <c r="C1789" s="117"/>
      <c r="D1789" s="117"/>
      <c r="E1789" s="117"/>
      <c r="F1789" s="117"/>
      <c r="G1789" s="117"/>
      <c r="H1789" s="117"/>
      <c r="I1789" s="117"/>
      <c r="J1789" s="118"/>
      <c r="K1789" s="118"/>
      <c r="L1789" s="118"/>
      <c r="M1789" s="118"/>
      <c r="N1789" s="117"/>
      <c r="O1789" s="117"/>
      <c r="P1789" s="117"/>
      <c r="Q1789" s="117"/>
      <c r="R1789" s="117"/>
      <c r="S1789" s="117"/>
      <c r="T1789" s="117"/>
      <c r="U1789" s="117"/>
      <c r="V1789" s="117"/>
      <c r="W1789" s="117"/>
      <c r="X1789" s="117"/>
      <c r="Y1789" s="117"/>
      <c r="Z1789" s="117"/>
      <c r="AA1789" s="117"/>
      <c r="AB1789" s="117"/>
      <c r="AC1789" s="117"/>
      <c r="AD1789" s="117"/>
      <c r="AE1789" s="117"/>
      <c r="AF1789" s="117"/>
      <c r="AG1789" s="117"/>
      <c r="AH1789" s="117"/>
      <c r="AI1789" s="117"/>
      <c r="AJ1789" s="117"/>
      <c r="AK1789" s="117"/>
      <c r="AL1789" s="117"/>
      <c r="AM1789" s="117"/>
      <c r="AN1789" s="117"/>
      <c r="AO1789" s="117"/>
      <c r="AP1789" s="117"/>
      <c r="AQ1789" s="117"/>
      <c r="AR1789" s="117"/>
      <c r="AS1789" s="117"/>
      <c r="AT1789" s="117"/>
      <c r="AU1789" s="117"/>
      <c r="AV1789" s="117"/>
      <c r="AW1789" s="117"/>
      <c r="AX1789" s="117"/>
      <c r="AY1789" s="117"/>
      <c r="AZ1789" s="117"/>
      <c r="BA1789" s="117"/>
      <c r="BB1789" s="117"/>
      <c r="BC1789" s="117"/>
      <c r="BD1789" s="117"/>
      <c r="BE1789" s="117"/>
      <c r="BF1789" s="117"/>
      <c r="BG1789" s="117"/>
    </row>
    <row r="1790" spans="1:59">
      <c r="A1790" s="117"/>
      <c r="B1790" s="117"/>
      <c r="C1790" s="117"/>
      <c r="D1790" s="117"/>
      <c r="E1790" s="117"/>
      <c r="F1790" s="117"/>
      <c r="G1790" s="117"/>
      <c r="H1790" s="117"/>
      <c r="I1790" s="117"/>
      <c r="J1790" s="118"/>
      <c r="K1790" s="118"/>
      <c r="L1790" s="118"/>
      <c r="M1790" s="118"/>
      <c r="N1790" s="117"/>
      <c r="O1790" s="117"/>
      <c r="P1790" s="117"/>
      <c r="Q1790" s="117"/>
      <c r="R1790" s="117"/>
      <c r="S1790" s="117"/>
      <c r="T1790" s="117"/>
      <c r="U1790" s="117"/>
      <c r="V1790" s="117"/>
      <c r="W1790" s="117"/>
      <c r="X1790" s="117"/>
      <c r="Y1790" s="117"/>
      <c r="Z1790" s="117"/>
      <c r="AA1790" s="117"/>
      <c r="AB1790" s="117"/>
      <c r="AC1790" s="117"/>
      <c r="AD1790" s="117"/>
      <c r="AE1790" s="117"/>
      <c r="AF1790" s="117"/>
      <c r="AG1790" s="117"/>
      <c r="AH1790" s="117"/>
      <c r="AI1790" s="117"/>
      <c r="AJ1790" s="117"/>
      <c r="AK1790" s="117"/>
      <c r="AL1790" s="117"/>
      <c r="AM1790" s="117"/>
      <c r="AN1790" s="117"/>
      <c r="AO1790" s="117"/>
      <c r="AP1790" s="117"/>
      <c r="AQ1790" s="117"/>
      <c r="AR1790" s="117"/>
      <c r="AS1790" s="117"/>
      <c r="AT1790" s="117"/>
      <c r="AU1790" s="117"/>
      <c r="AV1790" s="117"/>
      <c r="AW1790" s="117"/>
      <c r="AX1790" s="117"/>
      <c r="AY1790" s="117"/>
      <c r="AZ1790" s="117"/>
      <c r="BA1790" s="117"/>
      <c r="BB1790" s="117"/>
      <c r="BC1790" s="117"/>
      <c r="BD1790" s="117"/>
      <c r="BE1790" s="117"/>
      <c r="BF1790" s="117"/>
      <c r="BG1790" s="117"/>
    </row>
    <row r="1791" spans="1:59">
      <c r="A1791" s="117"/>
      <c r="B1791" s="117"/>
      <c r="C1791" s="117"/>
      <c r="D1791" s="117"/>
      <c r="E1791" s="117"/>
      <c r="F1791" s="117"/>
      <c r="G1791" s="117"/>
      <c r="H1791" s="117"/>
      <c r="I1791" s="117"/>
      <c r="J1791" s="118"/>
      <c r="K1791" s="118"/>
      <c r="L1791" s="118"/>
      <c r="M1791" s="118"/>
      <c r="N1791" s="117"/>
      <c r="O1791" s="117"/>
      <c r="P1791" s="117"/>
      <c r="Q1791" s="117"/>
      <c r="R1791" s="117"/>
      <c r="S1791" s="117"/>
      <c r="T1791" s="117"/>
      <c r="U1791" s="117"/>
      <c r="V1791" s="117"/>
      <c r="W1791" s="117"/>
      <c r="X1791" s="117"/>
      <c r="Y1791" s="117"/>
      <c r="Z1791" s="117"/>
      <c r="AA1791" s="117"/>
      <c r="AB1791" s="117"/>
      <c r="AC1791" s="117"/>
      <c r="AD1791" s="117"/>
      <c r="AE1791" s="117"/>
      <c r="AF1791" s="117"/>
      <c r="AG1791" s="117"/>
      <c r="AH1791" s="117"/>
      <c r="AI1791" s="117"/>
      <c r="AJ1791" s="117"/>
      <c r="AK1791" s="117"/>
      <c r="AL1791" s="117"/>
      <c r="AM1791" s="117"/>
      <c r="AN1791" s="117"/>
      <c r="AO1791" s="117"/>
      <c r="AP1791" s="117"/>
      <c r="AQ1791" s="117"/>
      <c r="AR1791" s="117"/>
      <c r="AS1791" s="117"/>
      <c r="AT1791" s="117"/>
      <c r="AU1791" s="117"/>
      <c r="AV1791" s="117"/>
      <c r="AW1791" s="117"/>
      <c r="AX1791" s="117"/>
      <c r="AY1791" s="117"/>
      <c r="AZ1791" s="117"/>
      <c r="BA1791" s="117"/>
      <c r="BB1791" s="117"/>
      <c r="BC1791" s="117"/>
      <c r="BD1791" s="117"/>
      <c r="BE1791" s="117"/>
      <c r="BF1791" s="117"/>
      <c r="BG1791" s="117"/>
    </row>
    <row r="1792" spans="1:59">
      <c r="A1792" s="117"/>
      <c r="B1792" s="117"/>
      <c r="C1792" s="117"/>
      <c r="D1792" s="117"/>
      <c r="E1792" s="117"/>
      <c r="F1792" s="117"/>
      <c r="G1792" s="117"/>
      <c r="H1792" s="117"/>
      <c r="I1792" s="117"/>
      <c r="J1792" s="118"/>
      <c r="K1792" s="118"/>
      <c r="L1792" s="118"/>
      <c r="M1792" s="118"/>
      <c r="N1792" s="117"/>
      <c r="O1792" s="117"/>
      <c r="P1792" s="117"/>
      <c r="Q1792" s="117"/>
      <c r="R1792" s="117"/>
      <c r="S1792" s="117"/>
      <c r="T1792" s="117"/>
      <c r="U1792" s="117"/>
      <c r="V1792" s="117"/>
      <c r="W1792" s="117"/>
      <c r="X1792" s="117"/>
      <c r="Y1792" s="117"/>
      <c r="Z1792" s="117"/>
      <c r="AA1792" s="117"/>
      <c r="AB1792" s="117"/>
      <c r="AC1792" s="117"/>
      <c r="AD1792" s="117"/>
      <c r="AE1792" s="117"/>
      <c r="AF1792" s="117"/>
      <c r="AG1792" s="117"/>
      <c r="AH1792" s="117"/>
      <c r="AI1792" s="117"/>
      <c r="AJ1792" s="117"/>
      <c r="AK1792" s="117"/>
      <c r="AL1792" s="117"/>
      <c r="AM1792" s="117"/>
      <c r="AN1792" s="117"/>
      <c r="AO1792" s="117"/>
      <c r="AP1792" s="117"/>
      <c r="AQ1792" s="117"/>
      <c r="AR1792" s="117"/>
      <c r="AS1792" s="117"/>
      <c r="AT1792" s="117"/>
      <c r="AU1792" s="117"/>
      <c r="AV1792" s="117"/>
      <c r="AW1792" s="117"/>
      <c r="AX1792" s="117"/>
      <c r="AY1792" s="117"/>
      <c r="AZ1792" s="117"/>
      <c r="BA1792" s="117"/>
      <c r="BB1792" s="117"/>
      <c r="BC1792" s="117"/>
      <c r="BD1792" s="117"/>
      <c r="BE1792" s="117"/>
      <c r="BF1792" s="117"/>
      <c r="BG1792" s="117"/>
    </row>
    <row r="1793" spans="1:59">
      <c r="A1793" s="117"/>
      <c r="B1793" s="117"/>
      <c r="C1793" s="117"/>
      <c r="D1793" s="117"/>
      <c r="E1793" s="117"/>
      <c r="F1793" s="117"/>
      <c r="G1793" s="117"/>
      <c r="H1793" s="117"/>
      <c r="I1793" s="117"/>
      <c r="J1793" s="118"/>
      <c r="K1793" s="118"/>
      <c r="L1793" s="118"/>
      <c r="M1793" s="118"/>
      <c r="N1793" s="117"/>
      <c r="O1793" s="117"/>
      <c r="P1793" s="117"/>
      <c r="Q1793" s="117"/>
      <c r="R1793" s="117"/>
      <c r="S1793" s="117"/>
      <c r="T1793" s="117"/>
      <c r="U1793" s="117"/>
      <c r="V1793" s="117"/>
      <c r="W1793" s="117"/>
      <c r="X1793" s="117"/>
      <c r="Y1793" s="117"/>
      <c r="Z1793" s="117"/>
      <c r="AA1793" s="117"/>
      <c r="AB1793" s="117"/>
      <c r="AC1793" s="117"/>
      <c r="AD1793" s="117"/>
      <c r="AE1793" s="117"/>
      <c r="AF1793" s="117"/>
      <c r="AG1793" s="117"/>
      <c r="AH1793" s="117"/>
      <c r="AI1793" s="117"/>
      <c r="AJ1793" s="117"/>
      <c r="AK1793" s="117"/>
      <c r="AL1793" s="117"/>
      <c r="AM1793" s="117"/>
      <c r="AN1793" s="117"/>
      <c r="AO1793" s="117"/>
      <c r="AP1793" s="117"/>
      <c r="AQ1793" s="117"/>
      <c r="AR1793" s="117"/>
      <c r="AS1793" s="117"/>
      <c r="AT1793" s="117"/>
      <c r="AU1793" s="117"/>
      <c r="AV1793" s="117"/>
      <c r="AW1793" s="117"/>
      <c r="AX1793" s="117"/>
      <c r="AY1793" s="117"/>
      <c r="AZ1793" s="117"/>
      <c r="BA1793" s="117"/>
      <c r="BB1793" s="117"/>
      <c r="BC1793" s="117"/>
      <c r="BD1793" s="117"/>
      <c r="BE1793" s="117"/>
      <c r="BF1793" s="117"/>
      <c r="BG1793" s="117"/>
    </row>
    <row r="1794" spans="1:59">
      <c r="A1794" s="117"/>
      <c r="B1794" s="117"/>
      <c r="C1794" s="117"/>
      <c r="D1794" s="117"/>
      <c r="E1794" s="117"/>
      <c r="F1794" s="117"/>
      <c r="G1794" s="117"/>
      <c r="H1794" s="117"/>
      <c r="I1794" s="117"/>
      <c r="J1794" s="118"/>
      <c r="K1794" s="118"/>
      <c r="L1794" s="118"/>
      <c r="M1794" s="118"/>
      <c r="N1794" s="117"/>
      <c r="O1794" s="117"/>
      <c r="P1794" s="117"/>
      <c r="Q1794" s="117"/>
      <c r="R1794" s="117"/>
      <c r="S1794" s="117"/>
      <c r="T1794" s="117"/>
      <c r="U1794" s="117"/>
      <c r="V1794" s="117"/>
      <c r="W1794" s="117"/>
      <c r="X1794" s="117"/>
      <c r="Y1794" s="117"/>
      <c r="Z1794" s="117"/>
      <c r="AA1794" s="117"/>
      <c r="AB1794" s="117"/>
      <c r="AC1794" s="117"/>
      <c r="AD1794" s="117"/>
      <c r="AE1794" s="117"/>
      <c r="AF1794" s="117"/>
      <c r="AG1794" s="117"/>
      <c r="AH1794" s="117"/>
      <c r="AI1794" s="117"/>
      <c r="AJ1794" s="117"/>
      <c r="AK1794" s="117"/>
      <c r="AL1794" s="117"/>
      <c r="AM1794" s="117"/>
      <c r="AN1794" s="117"/>
      <c r="AO1794" s="117"/>
      <c r="AP1794" s="117"/>
      <c r="AQ1794" s="117"/>
      <c r="AR1794" s="117"/>
      <c r="AS1794" s="117"/>
      <c r="AT1794" s="117"/>
      <c r="AU1794" s="117"/>
      <c r="AV1794" s="117"/>
      <c r="AW1794" s="117"/>
      <c r="AX1794" s="117"/>
      <c r="AY1794" s="117"/>
      <c r="AZ1794" s="117"/>
      <c r="BA1794" s="117"/>
      <c r="BB1794" s="117"/>
      <c r="BC1794" s="117"/>
      <c r="BD1794" s="117"/>
      <c r="BE1794" s="117"/>
      <c r="BF1794" s="117"/>
      <c r="BG1794" s="117"/>
    </row>
    <row r="1795" spans="1:59">
      <c r="A1795" s="117"/>
      <c r="B1795" s="117"/>
      <c r="C1795" s="117"/>
      <c r="D1795" s="117"/>
      <c r="E1795" s="117"/>
      <c r="F1795" s="117"/>
      <c r="G1795" s="117"/>
      <c r="H1795" s="117"/>
      <c r="I1795" s="117"/>
      <c r="J1795" s="118"/>
      <c r="K1795" s="118"/>
      <c r="L1795" s="118"/>
      <c r="M1795" s="118"/>
      <c r="N1795" s="117"/>
      <c r="O1795" s="117"/>
      <c r="P1795" s="117"/>
      <c r="Q1795" s="117"/>
      <c r="R1795" s="117"/>
      <c r="S1795" s="117"/>
      <c r="T1795" s="117"/>
      <c r="U1795" s="117"/>
      <c r="V1795" s="117"/>
      <c r="W1795" s="117"/>
      <c r="X1795" s="117"/>
      <c r="Y1795" s="117"/>
      <c r="Z1795" s="117"/>
      <c r="AA1795" s="117"/>
      <c r="AB1795" s="117"/>
      <c r="AC1795" s="117"/>
      <c r="AD1795" s="117"/>
      <c r="AE1795" s="117"/>
      <c r="AF1795" s="117"/>
      <c r="AG1795" s="117"/>
      <c r="AH1795" s="117"/>
      <c r="AI1795" s="117"/>
      <c r="AJ1795" s="117"/>
      <c r="AK1795" s="117"/>
      <c r="AL1795" s="117"/>
      <c r="AM1795" s="117"/>
      <c r="AN1795" s="117"/>
      <c r="AO1795" s="117"/>
      <c r="AP1795" s="117"/>
      <c r="AQ1795" s="117"/>
      <c r="AR1795" s="117"/>
      <c r="AS1795" s="117"/>
      <c r="AT1795" s="117"/>
      <c r="AU1795" s="117"/>
      <c r="AV1795" s="117"/>
      <c r="AW1795" s="117"/>
      <c r="AX1795" s="117"/>
      <c r="AY1795" s="117"/>
      <c r="AZ1795" s="117"/>
      <c r="BA1795" s="117"/>
      <c r="BB1795" s="117"/>
      <c r="BC1795" s="117"/>
      <c r="BD1795" s="117"/>
      <c r="BE1795" s="117"/>
      <c r="BF1795" s="117"/>
      <c r="BG1795" s="117"/>
    </row>
    <row r="1796" spans="1:59">
      <c r="A1796" s="117"/>
      <c r="B1796" s="117"/>
      <c r="C1796" s="117"/>
      <c r="D1796" s="117"/>
      <c r="E1796" s="117"/>
      <c r="F1796" s="117"/>
      <c r="G1796" s="117"/>
      <c r="H1796" s="117"/>
      <c r="I1796" s="117"/>
      <c r="J1796" s="118"/>
      <c r="K1796" s="118"/>
      <c r="L1796" s="118"/>
      <c r="M1796" s="118"/>
      <c r="N1796" s="117"/>
      <c r="O1796" s="117"/>
      <c r="P1796" s="117"/>
      <c r="Q1796" s="117"/>
      <c r="R1796" s="117"/>
      <c r="S1796" s="117"/>
      <c r="T1796" s="117"/>
      <c r="U1796" s="117"/>
      <c r="V1796" s="117"/>
      <c r="W1796" s="117"/>
      <c r="X1796" s="117"/>
      <c r="Y1796" s="117"/>
      <c r="Z1796" s="117"/>
      <c r="AA1796" s="117"/>
      <c r="AB1796" s="117"/>
      <c r="AC1796" s="117"/>
      <c r="AD1796" s="117"/>
      <c r="AE1796" s="117"/>
      <c r="AF1796" s="117"/>
      <c r="AG1796" s="117"/>
      <c r="AH1796" s="117"/>
      <c r="AI1796" s="117"/>
      <c r="AJ1796" s="117"/>
      <c r="AK1796" s="117"/>
      <c r="AL1796" s="117"/>
      <c r="AM1796" s="117"/>
      <c r="AN1796" s="117"/>
      <c r="AO1796" s="117"/>
      <c r="AP1796" s="117"/>
      <c r="AQ1796" s="117"/>
      <c r="AR1796" s="117"/>
      <c r="AS1796" s="117"/>
      <c r="AT1796" s="117"/>
      <c r="AU1796" s="117"/>
      <c r="AV1796" s="117"/>
      <c r="AW1796" s="117"/>
      <c r="AX1796" s="117"/>
      <c r="AY1796" s="117"/>
      <c r="AZ1796" s="117"/>
      <c r="BA1796" s="117"/>
      <c r="BB1796" s="117"/>
      <c r="BC1796" s="117"/>
      <c r="BD1796" s="117"/>
      <c r="BE1796" s="117"/>
      <c r="BF1796" s="117"/>
      <c r="BG1796" s="117"/>
    </row>
    <row r="1797" spans="1:59">
      <c r="A1797" s="117"/>
      <c r="B1797" s="117"/>
      <c r="C1797" s="117"/>
      <c r="D1797" s="117"/>
      <c r="E1797" s="117"/>
      <c r="F1797" s="117"/>
      <c r="G1797" s="117"/>
      <c r="H1797" s="117"/>
      <c r="I1797" s="117"/>
      <c r="J1797" s="118"/>
      <c r="K1797" s="118"/>
      <c r="L1797" s="118"/>
      <c r="M1797" s="118"/>
      <c r="N1797" s="117"/>
      <c r="O1797" s="117"/>
      <c r="P1797" s="117"/>
      <c r="Q1797" s="117"/>
      <c r="R1797" s="117"/>
      <c r="S1797" s="117"/>
      <c r="T1797" s="117"/>
      <c r="U1797" s="117"/>
      <c r="V1797" s="117"/>
      <c r="W1797" s="117"/>
      <c r="X1797" s="117"/>
      <c r="Y1797" s="117"/>
      <c r="Z1797" s="117"/>
      <c r="AA1797" s="117"/>
      <c r="AB1797" s="117"/>
      <c r="AC1797" s="117"/>
      <c r="AD1797" s="117"/>
      <c r="AE1797" s="117"/>
      <c r="AF1797" s="117"/>
      <c r="AG1797" s="117"/>
      <c r="AH1797" s="117"/>
      <c r="AI1797" s="117"/>
      <c r="AJ1797" s="117"/>
      <c r="AK1797" s="117"/>
      <c r="AL1797" s="117"/>
      <c r="AM1797" s="117"/>
      <c r="AN1797" s="117"/>
      <c r="AO1797" s="117"/>
      <c r="AP1797" s="117"/>
      <c r="AQ1797" s="117"/>
      <c r="AR1797" s="117"/>
      <c r="AS1797" s="117"/>
      <c r="AT1797" s="117"/>
      <c r="AU1797" s="117"/>
      <c r="AV1797" s="117"/>
      <c r="AW1797" s="117"/>
      <c r="AX1797" s="117"/>
      <c r="AY1797" s="117"/>
      <c r="AZ1797" s="117"/>
      <c r="BA1797" s="117"/>
      <c r="BB1797" s="117"/>
      <c r="BC1797" s="117"/>
      <c r="BD1797" s="117"/>
      <c r="BE1797" s="117"/>
      <c r="BF1797" s="117"/>
      <c r="BG1797" s="117"/>
    </row>
    <row r="1798" spans="1:59">
      <c r="A1798" s="117"/>
      <c r="B1798" s="117"/>
      <c r="C1798" s="117"/>
      <c r="D1798" s="117"/>
      <c r="E1798" s="117"/>
      <c r="F1798" s="117"/>
      <c r="G1798" s="117"/>
      <c r="H1798" s="117"/>
      <c r="I1798" s="117"/>
      <c r="J1798" s="118"/>
      <c r="K1798" s="118"/>
      <c r="L1798" s="118"/>
      <c r="M1798" s="118"/>
      <c r="N1798" s="117"/>
      <c r="O1798" s="117"/>
      <c r="P1798" s="117"/>
      <c r="Q1798" s="117"/>
      <c r="R1798" s="117"/>
      <c r="S1798" s="117"/>
      <c r="T1798" s="117"/>
      <c r="U1798" s="117"/>
      <c r="V1798" s="117"/>
      <c r="W1798" s="117"/>
      <c r="X1798" s="117"/>
      <c r="Y1798" s="117"/>
      <c r="Z1798" s="117"/>
      <c r="AA1798" s="117"/>
      <c r="AB1798" s="117"/>
      <c r="AC1798" s="117"/>
      <c r="AD1798" s="117"/>
      <c r="AE1798" s="117"/>
      <c r="AF1798" s="117"/>
      <c r="AG1798" s="117"/>
      <c r="AH1798" s="117"/>
      <c r="AI1798" s="117"/>
      <c r="AJ1798" s="117"/>
      <c r="AK1798" s="117"/>
      <c r="AL1798" s="117"/>
      <c r="AM1798" s="117"/>
      <c r="AN1798" s="117"/>
      <c r="AO1798" s="117"/>
      <c r="AP1798" s="117"/>
      <c r="AQ1798" s="117"/>
      <c r="AR1798" s="117"/>
      <c r="AS1798" s="117"/>
      <c r="AT1798" s="117"/>
      <c r="AU1798" s="117"/>
      <c r="AV1798" s="117"/>
      <c r="AW1798" s="117"/>
      <c r="AX1798" s="117"/>
      <c r="AY1798" s="117"/>
      <c r="AZ1798" s="117"/>
      <c r="BA1798" s="117"/>
      <c r="BB1798" s="117"/>
      <c r="BC1798" s="117"/>
      <c r="BD1798" s="117"/>
      <c r="BE1798" s="117"/>
      <c r="BF1798" s="117"/>
      <c r="BG1798" s="117"/>
    </row>
    <row r="1799" spans="1:59">
      <c r="A1799" s="117"/>
      <c r="B1799" s="117"/>
      <c r="C1799" s="117"/>
      <c r="D1799" s="117"/>
      <c r="E1799" s="117"/>
      <c r="F1799" s="117"/>
      <c r="G1799" s="117"/>
      <c r="H1799" s="117"/>
      <c r="I1799" s="117"/>
      <c r="J1799" s="118"/>
      <c r="K1799" s="118"/>
      <c r="L1799" s="118"/>
      <c r="M1799" s="118"/>
      <c r="N1799" s="117"/>
      <c r="O1799" s="117"/>
      <c r="P1799" s="117"/>
      <c r="Q1799" s="117"/>
      <c r="R1799" s="117"/>
      <c r="S1799" s="117"/>
      <c r="T1799" s="117"/>
      <c r="U1799" s="117"/>
      <c r="V1799" s="117"/>
      <c r="W1799" s="117"/>
      <c r="X1799" s="117"/>
      <c r="Y1799" s="117"/>
      <c r="Z1799" s="117"/>
      <c r="AA1799" s="117"/>
      <c r="AB1799" s="117"/>
      <c r="AC1799" s="117"/>
      <c r="AD1799" s="117"/>
      <c r="AE1799" s="117"/>
      <c r="AF1799" s="117"/>
      <c r="AG1799" s="117"/>
      <c r="AH1799" s="117"/>
      <c r="AI1799" s="117"/>
      <c r="AJ1799" s="117"/>
      <c r="AK1799" s="117"/>
      <c r="AL1799" s="117"/>
      <c r="AM1799" s="117"/>
      <c r="AN1799" s="117"/>
      <c r="AO1799" s="117"/>
      <c r="AP1799" s="117"/>
      <c r="AQ1799" s="117"/>
      <c r="AR1799" s="117"/>
      <c r="AS1799" s="117"/>
      <c r="AT1799" s="117"/>
      <c r="AU1799" s="117"/>
      <c r="AV1799" s="117"/>
      <c r="AW1799" s="117"/>
      <c r="AX1799" s="117"/>
      <c r="AY1799" s="117"/>
      <c r="AZ1799" s="117"/>
      <c r="BA1799" s="117"/>
      <c r="BB1799" s="117"/>
      <c r="BC1799" s="117"/>
      <c r="BD1799" s="117"/>
      <c r="BE1799" s="117"/>
      <c r="BF1799" s="117"/>
      <c r="BG1799" s="117"/>
    </row>
    <row r="1800" spans="1:59">
      <c r="A1800" s="117"/>
      <c r="B1800" s="117"/>
      <c r="C1800" s="117"/>
      <c r="D1800" s="117"/>
      <c r="E1800" s="117"/>
      <c r="F1800" s="117"/>
      <c r="G1800" s="117"/>
      <c r="H1800" s="117"/>
      <c r="I1800" s="117"/>
      <c r="J1800" s="118"/>
      <c r="K1800" s="118"/>
      <c r="L1800" s="118"/>
      <c r="M1800" s="118"/>
      <c r="N1800" s="117"/>
      <c r="O1800" s="117"/>
      <c r="P1800" s="117"/>
      <c r="Q1800" s="117"/>
      <c r="R1800" s="117"/>
      <c r="S1800" s="117"/>
      <c r="T1800" s="117"/>
      <c r="U1800" s="117"/>
      <c r="V1800" s="117"/>
      <c r="W1800" s="117"/>
      <c r="X1800" s="117"/>
      <c r="Y1800" s="117"/>
      <c r="Z1800" s="117"/>
      <c r="AA1800" s="117"/>
      <c r="AB1800" s="117"/>
      <c r="AC1800" s="117"/>
      <c r="AD1800" s="117"/>
      <c r="AE1800" s="117"/>
      <c r="AF1800" s="117"/>
      <c r="AG1800" s="117"/>
      <c r="AH1800" s="117"/>
      <c r="AI1800" s="117"/>
      <c r="AJ1800" s="117"/>
      <c r="AK1800" s="117"/>
      <c r="AL1800" s="117"/>
      <c r="AM1800" s="117"/>
      <c r="AN1800" s="117"/>
      <c r="AO1800" s="117"/>
      <c r="AP1800" s="117"/>
      <c r="AQ1800" s="117"/>
      <c r="AR1800" s="117"/>
      <c r="AS1800" s="117"/>
      <c r="AT1800" s="117"/>
      <c r="AU1800" s="117"/>
      <c r="AV1800" s="117"/>
      <c r="AW1800" s="117"/>
      <c r="AX1800" s="117"/>
      <c r="AY1800" s="117"/>
      <c r="AZ1800" s="117"/>
      <c r="BA1800" s="117"/>
      <c r="BB1800" s="117"/>
      <c r="BC1800" s="117"/>
      <c r="BD1800" s="117"/>
      <c r="BE1800" s="117"/>
      <c r="BF1800" s="117"/>
      <c r="BG1800" s="117"/>
    </row>
    <row r="1801" spans="1:59">
      <c r="A1801" s="117"/>
      <c r="B1801" s="117"/>
      <c r="C1801" s="117"/>
      <c r="D1801" s="117"/>
      <c r="E1801" s="117"/>
      <c r="F1801" s="117"/>
      <c r="G1801" s="117"/>
      <c r="H1801" s="117"/>
      <c r="I1801" s="117"/>
      <c r="J1801" s="118"/>
      <c r="K1801" s="118"/>
      <c r="L1801" s="118"/>
      <c r="M1801" s="118"/>
      <c r="N1801" s="117"/>
      <c r="O1801" s="117"/>
      <c r="P1801" s="117"/>
      <c r="Q1801" s="117"/>
      <c r="R1801" s="117"/>
      <c r="S1801" s="117"/>
      <c r="T1801" s="117"/>
      <c r="U1801" s="117"/>
      <c r="V1801" s="117"/>
      <c r="W1801" s="117"/>
      <c r="X1801" s="117"/>
      <c r="Y1801" s="117"/>
      <c r="Z1801" s="117"/>
      <c r="AA1801" s="117"/>
      <c r="AB1801" s="117"/>
      <c r="AC1801" s="117"/>
      <c r="AD1801" s="117"/>
      <c r="AE1801" s="117"/>
      <c r="AF1801" s="117"/>
      <c r="AG1801" s="117"/>
      <c r="AH1801" s="117"/>
      <c r="AI1801" s="117"/>
      <c r="AJ1801" s="117"/>
      <c r="AK1801" s="117"/>
      <c r="AL1801" s="117"/>
      <c r="AM1801" s="117"/>
      <c r="AN1801" s="117"/>
      <c r="AO1801" s="117"/>
      <c r="AP1801" s="117"/>
      <c r="AQ1801" s="117"/>
      <c r="AR1801" s="117"/>
      <c r="AS1801" s="117"/>
      <c r="AT1801" s="117"/>
      <c r="AU1801" s="117"/>
      <c r="AV1801" s="117"/>
      <c r="AW1801" s="117"/>
      <c r="AX1801" s="117"/>
      <c r="AY1801" s="117"/>
      <c r="AZ1801" s="117"/>
      <c r="BA1801" s="117"/>
      <c r="BB1801" s="117"/>
      <c r="BC1801" s="117"/>
      <c r="BD1801" s="117"/>
      <c r="BE1801" s="117"/>
      <c r="BF1801" s="117"/>
      <c r="BG1801" s="117"/>
    </row>
    <row r="1802" spans="1:59">
      <c r="A1802" s="117"/>
      <c r="B1802" s="117"/>
      <c r="C1802" s="117"/>
      <c r="D1802" s="117"/>
      <c r="E1802" s="117"/>
      <c r="F1802" s="117"/>
      <c r="G1802" s="117"/>
      <c r="H1802" s="117"/>
      <c r="I1802" s="117"/>
      <c r="J1802" s="118"/>
      <c r="K1802" s="118"/>
      <c r="L1802" s="118"/>
      <c r="M1802" s="118"/>
      <c r="N1802" s="117"/>
      <c r="O1802" s="117"/>
      <c r="P1802" s="117"/>
      <c r="Q1802" s="117"/>
      <c r="R1802" s="117"/>
      <c r="S1802" s="117"/>
      <c r="T1802" s="117"/>
      <c r="U1802" s="117"/>
      <c r="V1802" s="117"/>
      <c r="W1802" s="117"/>
      <c r="X1802" s="117"/>
      <c r="Y1802" s="117"/>
      <c r="Z1802" s="117"/>
      <c r="AA1802" s="117"/>
      <c r="AB1802" s="117"/>
      <c r="AC1802" s="117"/>
      <c r="AD1802" s="117"/>
      <c r="AE1802" s="117"/>
      <c r="AF1802" s="117"/>
      <c r="AG1802" s="117"/>
      <c r="AH1802" s="117"/>
      <c r="AI1802" s="117"/>
      <c r="AJ1802" s="117"/>
      <c r="AK1802" s="117"/>
      <c r="AL1802" s="117"/>
      <c r="AM1802" s="117"/>
      <c r="AN1802" s="117"/>
      <c r="AO1802" s="117"/>
      <c r="AP1802" s="117"/>
      <c r="AQ1802" s="117"/>
      <c r="AR1802" s="117"/>
      <c r="AS1802" s="117"/>
      <c r="AT1802" s="117"/>
      <c r="AU1802" s="117"/>
      <c r="AV1802" s="117"/>
      <c r="AW1802" s="117"/>
      <c r="AX1802" s="117"/>
      <c r="AY1802" s="117"/>
      <c r="AZ1802" s="117"/>
      <c r="BA1802" s="117"/>
      <c r="BB1802" s="117"/>
      <c r="BC1802" s="117"/>
      <c r="BD1802" s="117"/>
      <c r="BE1802" s="117"/>
      <c r="BF1802" s="117"/>
      <c r="BG1802" s="117"/>
    </row>
    <row r="1803" spans="1:59">
      <c r="A1803" s="117"/>
      <c r="B1803" s="117"/>
      <c r="C1803" s="117"/>
      <c r="D1803" s="117"/>
      <c r="E1803" s="117"/>
      <c r="F1803" s="117"/>
      <c r="G1803" s="117"/>
      <c r="H1803" s="117"/>
      <c r="I1803" s="117"/>
      <c r="J1803" s="118"/>
      <c r="K1803" s="118"/>
      <c r="L1803" s="118"/>
      <c r="M1803" s="118"/>
      <c r="N1803" s="117"/>
      <c r="O1803" s="117"/>
      <c r="P1803" s="117"/>
      <c r="Q1803" s="117"/>
      <c r="R1803" s="117"/>
      <c r="S1803" s="117"/>
      <c r="T1803" s="117"/>
      <c r="U1803" s="117"/>
      <c r="V1803" s="117"/>
      <c r="W1803" s="117"/>
      <c r="X1803" s="117"/>
      <c r="Y1803" s="117"/>
      <c r="Z1803" s="117"/>
      <c r="AA1803" s="117"/>
      <c r="AB1803" s="117"/>
      <c r="AC1803" s="117"/>
      <c r="AD1803" s="117"/>
      <c r="AE1803" s="117"/>
      <c r="AF1803" s="117"/>
      <c r="AG1803" s="117"/>
      <c r="AH1803" s="117"/>
      <c r="AI1803" s="117"/>
      <c r="AJ1803" s="117"/>
      <c r="AK1803" s="117"/>
      <c r="AL1803" s="117"/>
      <c r="AM1803" s="117"/>
      <c r="AN1803" s="117"/>
      <c r="AO1803" s="117"/>
      <c r="AP1803" s="117"/>
      <c r="AQ1803" s="117"/>
      <c r="AR1803" s="117"/>
      <c r="AS1803" s="117"/>
      <c r="AT1803" s="117"/>
      <c r="AU1803" s="117"/>
      <c r="AV1803" s="117"/>
      <c r="AW1803" s="117"/>
      <c r="AX1803" s="117"/>
      <c r="AY1803" s="117"/>
      <c r="AZ1803" s="117"/>
      <c r="BA1803" s="117"/>
      <c r="BB1803" s="117"/>
      <c r="BC1803" s="117"/>
      <c r="BD1803" s="117"/>
      <c r="BE1803" s="117"/>
      <c r="BF1803" s="117"/>
      <c r="BG1803" s="117"/>
    </row>
    <row r="1804" spans="1:59">
      <c r="A1804" s="117"/>
      <c r="B1804" s="117"/>
      <c r="C1804" s="117"/>
      <c r="D1804" s="117"/>
      <c r="E1804" s="117"/>
      <c r="F1804" s="117"/>
      <c r="G1804" s="117"/>
      <c r="H1804" s="117"/>
      <c r="I1804" s="117"/>
      <c r="J1804" s="118"/>
      <c r="K1804" s="118"/>
      <c r="L1804" s="118"/>
      <c r="M1804" s="118"/>
      <c r="N1804" s="117"/>
      <c r="O1804" s="117"/>
      <c r="P1804" s="117"/>
      <c r="Q1804" s="117"/>
      <c r="R1804" s="117"/>
      <c r="S1804" s="117"/>
      <c r="T1804" s="117"/>
      <c r="U1804" s="117"/>
      <c r="V1804" s="117"/>
      <c r="W1804" s="117"/>
      <c r="X1804" s="117"/>
      <c r="Y1804" s="117"/>
      <c r="Z1804" s="117"/>
      <c r="AA1804" s="117"/>
      <c r="AB1804" s="117"/>
      <c r="AC1804" s="117"/>
      <c r="AD1804" s="117"/>
      <c r="AE1804" s="117"/>
      <c r="AF1804" s="117"/>
      <c r="AG1804" s="117"/>
      <c r="AH1804" s="117"/>
      <c r="AI1804" s="117"/>
      <c r="AJ1804" s="117"/>
      <c r="AK1804" s="117"/>
      <c r="AL1804" s="117"/>
      <c r="AM1804" s="117"/>
      <c r="AN1804" s="117"/>
      <c r="AO1804" s="117"/>
      <c r="AP1804" s="117"/>
      <c r="AQ1804" s="117"/>
      <c r="AR1804" s="117"/>
      <c r="AS1804" s="117"/>
      <c r="AT1804" s="117"/>
      <c r="AU1804" s="117"/>
      <c r="AV1804" s="117"/>
      <c r="AW1804" s="117"/>
      <c r="AX1804" s="117"/>
      <c r="AY1804" s="117"/>
      <c r="AZ1804" s="117"/>
      <c r="BA1804" s="117"/>
      <c r="BB1804" s="117"/>
      <c r="BC1804" s="117"/>
      <c r="BD1804" s="117"/>
      <c r="BE1804" s="117"/>
      <c r="BF1804" s="117"/>
      <c r="BG1804" s="117"/>
    </row>
    <row r="1805" spans="1:59">
      <c r="A1805" s="117"/>
      <c r="B1805" s="117"/>
      <c r="C1805" s="117"/>
      <c r="D1805" s="117"/>
      <c r="E1805" s="117"/>
      <c r="F1805" s="117"/>
      <c r="G1805" s="117"/>
      <c r="H1805" s="117"/>
      <c r="I1805" s="117"/>
      <c r="J1805" s="118"/>
      <c r="K1805" s="118"/>
      <c r="L1805" s="118"/>
      <c r="M1805" s="118"/>
      <c r="N1805" s="117"/>
      <c r="O1805" s="117"/>
      <c r="P1805" s="117"/>
      <c r="Q1805" s="117"/>
      <c r="R1805" s="117"/>
      <c r="S1805" s="117"/>
      <c r="T1805" s="117"/>
      <c r="U1805" s="117"/>
      <c r="V1805" s="117"/>
      <c r="W1805" s="117"/>
      <c r="X1805" s="117"/>
      <c r="Y1805" s="117"/>
      <c r="Z1805" s="117"/>
      <c r="AA1805" s="117"/>
      <c r="AB1805" s="117"/>
      <c r="AC1805" s="117"/>
      <c r="AD1805" s="117"/>
      <c r="AE1805" s="117"/>
      <c r="AF1805" s="117"/>
      <c r="AG1805" s="117"/>
      <c r="AH1805" s="117"/>
      <c r="AI1805" s="117"/>
      <c r="AJ1805" s="117"/>
      <c r="AK1805" s="117"/>
      <c r="AL1805" s="117"/>
      <c r="AM1805" s="117"/>
      <c r="AN1805" s="117"/>
      <c r="AO1805" s="117"/>
      <c r="AP1805" s="117"/>
      <c r="AQ1805" s="117"/>
      <c r="AR1805" s="117"/>
      <c r="AS1805" s="117"/>
      <c r="AT1805" s="117"/>
      <c r="AU1805" s="117"/>
      <c r="AV1805" s="117"/>
      <c r="AW1805" s="117"/>
      <c r="AX1805" s="117"/>
      <c r="AY1805" s="117"/>
      <c r="AZ1805" s="117"/>
      <c r="BA1805" s="117"/>
      <c r="BB1805" s="117"/>
      <c r="BC1805" s="117"/>
      <c r="BD1805" s="117"/>
      <c r="BE1805" s="117"/>
      <c r="BF1805" s="117"/>
      <c r="BG1805" s="117"/>
    </row>
    <row r="1806" spans="1:59">
      <c r="A1806" s="117"/>
      <c r="B1806" s="117"/>
      <c r="C1806" s="117"/>
      <c r="D1806" s="117"/>
      <c r="E1806" s="117"/>
      <c r="F1806" s="117"/>
      <c r="G1806" s="117"/>
      <c r="H1806" s="117"/>
      <c r="I1806" s="117"/>
      <c r="J1806" s="118"/>
      <c r="K1806" s="118"/>
      <c r="L1806" s="118"/>
      <c r="M1806" s="118"/>
      <c r="N1806" s="117"/>
      <c r="O1806" s="117"/>
      <c r="P1806" s="117"/>
      <c r="Q1806" s="117"/>
      <c r="R1806" s="117"/>
      <c r="S1806" s="117"/>
      <c r="T1806" s="117"/>
      <c r="U1806" s="117"/>
      <c r="V1806" s="117"/>
      <c r="W1806" s="117"/>
      <c r="X1806" s="117"/>
      <c r="Y1806" s="117"/>
      <c r="Z1806" s="117"/>
      <c r="AA1806" s="117"/>
      <c r="AB1806" s="117"/>
      <c r="AC1806" s="117"/>
      <c r="AD1806" s="117"/>
      <c r="AE1806" s="117"/>
      <c r="AF1806" s="117"/>
      <c r="AG1806" s="117"/>
      <c r="AH1806" s="117"/>
      <c r="AI1806" s="117"/>
      <c r="AJ1806" s="117"/>
      <c r="AK1806" s="117"/>
      <c r="AL1806" s="117"/>
      <c r="AM1806" s="117"/>
      <c r="AN1806" s="117"/>
      <c r="AO1806" s="117"/>
      <c r="AP1806" s="117"/>
      <c r="AQ1806" s="117"/>
      <c r="AR1806" s="117"/>
      <c r="AS1806" s="117"/>
      <c r="AT1806" s="117"/>
      <c r="AU1806" s="117"/>
      <c r="AV1806" s="117"/>
      <c r="AW1806" s="117"/>
      <c r="AX1806" s="117"/>
      <c r="AY1806" s="117"/>
      <c r="AZ1806" s="117"/>
      <c r="BA1806" s="117"/>
      <c r="BB1806" s="117"/>
      <c r="BC1806" s="117"/>
      <c r="BD1806" s="117"/>
      <c r="BE1806" s="117"/>
      <c r="BF1806" s="117"/>
      <c r="BG1806" s="117"/>
    </row>
    <row r="1807" spans="1:59">
      <c r="A1807" s="117"/>
      <c r="B1807" s="117"/>
      <c r="C1807" s="117"/>
      <c r="D1807" s="117"/>
      <c r="E1807" s="117"/>
      <c r="F1807" s="117"/>
      <c r="G1807" s="117"/>
      <c r="H1807" s="117"/>
      <c r="I1807" s="117"/>
      <c r="J1807" s="118"/>
      <c r="K1807" s="118"/>
      <c r="L1807" s="118"/>
      <c r="M1807" s="118"/>
      <c r="N1807" s="117"/>
      <c r="O1807" s="117"/>
      <c r="P1807" s="117"/>
      <c r="Q1807" s="117"/>
      <c r="R1807" s="117"/>
      <c r="S1807" s="117"/>
      <c r="T1807" s="117"/>
      <c r="U1807" s="117"/>
      <c r="V1807" s="117"/>
      <c r="W1807" s="117"/>
      <c r="X1807" s="117"/>
      <c r="Y1807" s="117"/>
      <c r="Z1807" s="117"/>
      <c r="AA1807" s="117"/>
      <c r="AB1807" s="117"/>
      <c r="AC1807" s="117"/>
      <c r="AD1807" s="117"/>
      <c r="AE1807" s="117"/>
      <c r="AF1807" s="117"/>
      <c r="AG1807" s="117"/>
      <c r="AH1807" s="117"/>
      <c r="AI1807" s="117"/>
      <c r="AJ1807" s="117"/>
      <c r="AK1807" s="117"/>
      <c r="AL1807" s="117"/>
      <c r="AM1807" s="117"/>
      <c r="AN1807" s="117"/>
      <c r="AO1807" s="117"/>
      <c r="AP1807" s="117"/>
      <c r="AQ1807" s="117"/>
      <c r="AR1807" s="117"/>
      <c r="AS1807" s="117"/>
      <c r="AT1807" s="117"/>
      <c r="AU1807" s="117"/>
      <c r="AV1807" s="117"/>
      <c r="AW1807" s="117"/>
      <c r="AX1807" s="117"/>
      <c r="AY1807" s="117"/>
      <c r="AZ1807" s="117"/>
      <c r="BA1807" s="117"/>
      <c r="BB1807" s="117"/>
      <c r="BC1807" s="117"/>
      <c r="BD1807" s="117"/>
      <c r="BE1807" s="117"/>
      <c r="BF1807" s="117"/>
      <c r="BG1807" s="117"/>
    </row>
    <row r="1808" spans="1:59">
      <c r="A1808" s="117"/>
      <c r="B1808" s="117"/>
      <c r="C1808" s="117"/>
      <c r="D1808" s="117"/>
      <c r="E1808" s="117"/>
      <c r="F1808" s="117"/>
      <c r="G1808" s="117"/>
      <c r="H1808" s="117"/>
      <c r="I1808" s="117"/>
      <c r="J1808" s="118"/>
      <c r="K1808" s="118"/>
      <c r="L1808" s="118"/>
      <c r="M1808" s="118"/>
      <c r="N1808" s="117"/>
      <c r="O1808" s="117"/>
      <c r="P1808" s="117"/>
      <c r="Q1808" s="117"/>
      <c r="R1808" s="117"/>
      <c r="S1808" s="117"/>
      <c r="T1808" s="117"/>
      <c r="U1808" s="117"/>
      <c r="V1808" s="117"/>
      <c r="W1808" s="117"/>
      <c r="X1808" s="117"/>
      <c r="Y1808" s="117"/>
      <c r="Z1808" s="117"/>
      <c r="AA1808" s="117"/>
      <c r="AB1808" s="117"/>
      <c r="AC1808" s="117"/>
      <c r="AD1808" s="117"/>
      <c r="AE1808" s="117"/>
      <c r="AF1808" s="117"/>
      <c r="AG1808" s="117"/>
      <c r="AH1808" s="117"/>
      <c r="AI1808" s="117"/>
      <c r="AJ1808" s="117"/>
      <c r="AK1808" s="117"/>
      <c r="AL1808" s="117"/>
      <c r="AM1808" s="117"/>
      <c r="AN1808" s="117"/>
      <c r="AO1808" s="117"/>
      <c r="AP1808" s="117"/>
      <c r="AQ1808" s="117"/>
      <c r="AR1808" s="117"/>
      <c r="AS1808" s="117"/>
      <c r="AT1808" s="117"/>
      <c r="AU1808" s="117"/>
      <c r="AV1808" s="117"/>
      <c r="AW1808" s="117"/>
      <c r="AX1808" s="117"/>
      <c r="AY1808" s="117"/>
      <c r="AZ1808" s="117"/>
      <c r="BA1808" s="117"/>
      <c r="BB1808" s="117"/>
      <c r="BC1808" s="117"/>
      <c r="BD1808" s="117"/>
      <c r="BE1808" s="117"/>
      <c r="BF1808" s="117"/>
      <c r="BG1808" s="117"/>
    </row>
    <row r="1809" spans="1:59">
      <c r="A1809" s="117"/>
      <c r="B1809" s="117"/>
      <c r="C1809" s="117"/>
      <c r="D1809" s="117"/>
      <c r="E1809" s="117"/>
      <c r="F1809" s="117"/>
      <c r="G1809" s="117"/>
      <c r="H1809" s="117"/>
      <c r="I1809" s="117"/>
      <c r="J1809" s="118"/>
      <c r="K1809" s="118"/>
      <c r="L1809" s="118"/>
      <c r="M1809" s="118"/>
      <c r="N1809" s="117"/>
      <c r="O1809" s="117"/>
      <c r="P1809" s="117"/>
      <c r="Q1809" s="117"/>
      <c r="R1809" s="117"/>
      <c r="S1809" s="117"/>
      <c r="T1809" s="117"/>
      <c r="U1809" s="117"/>
      <c r="V1809" s="117"/>
      <c r="W1809" s="117"/>
      <c r="X1809" s="117"/>
      <c r="Y1809" s="117"/>
      <c r="Z1809" s="117"/>
      <c r="AA1809" s="117"/>
      <c r="AB1809" s="117"/>
      <c r="AC1809" s="117"/>
      <c r="AD1809" s="117"/>
      <c r="AE1809" s="117"/>
      <c r="AF1809" s="117"/>
      <c r="AG1809" s="117"/>
      <c r="AH1809" s="117"/>
      <c r="AI1809" s="117"/>
      <c r="AJ1809" s="117"/>
      <c r="AK1809" s="117"/>
      <c r="AL1809" s="117"/>
      <c r="AM1809" s="117"/>
      <c r="AN1809" s="117"/>
      <c r="AO1809" s="117"/>
      <c r="AP1809" s="117"/>
      <c r="AQ1809" s="117"/>
      <c r="AR1809" s="117"/>
      <c r="AS1809" s="117"/>
      <c r="AT1809" s="117"/>
      <c r="AU1809" s="117"/>
      <c r="AV1809" s="117"/>
      <c r="AW1809" s="117"/>
      <c r="AX1809" s="117"/>
      <c r="AY1809" s="117"/>
      <c r="AZ1809" s="117"/>
      <c r="BA1809" s="117"/>
      <c r="BB1809" s="117"/>
      <c r="BC1809" s="117"/>
      <c r="BD1809" s="117"/>
      <c r="BE1809" s="117"/>
      <c r="BF1809" s="117"/>
      <c r="BG1809" s="117"/>
    </row>
    <row r="1810" spans="1:59">
      <c r="A1810" s="117"/>
      <c r="B1810" s="117"/>
      <c r="C1810" s="117"/>
      <c r="D1810" s="117"/>
      <c r="E1810" s="117"/>
      <c r="F1810" s="117"/>
      <c r="G1810" s="117"/>
      <c r="H1810" s="117"/>
      <c r="I1810" s="117"/>
      <c r="J1810" s="118"/>
      <c r="K1810" s="118"/>
      <c r="L1810" s="118"/>
      <c r="M1810" s="118"/>
      <c r="N1810" s="117"/>
      <c r="O1810" s="117"/>
      <c r="P1810" s="117"/>
      <c r="Q1810" s="117"/>
      <c r="R1810" s="117"/>
      <c r="S1810" s="117"/>
      <c r="T1810" s="117"/>
      <c r="U1810" s="117"/>
      <c r="V1810" s="117"/>
      <c r="W1810" s="117"/>
      <c r="X1810" s="117"/>
      <c r="Y1810" s="117"/>
      <c r="Z1810" s="117"/>
      <c r="AA1810" s="117"/>
      <c r="AB1810" s="117"/>
      <c r="AC1810" s="117"/>
      <c r="AD1810" s="117"/>
      <c r="AE1810" s="117"/>
      <c r="AF1810" s="117"/>
      <c r="AG1810" s="117"/>
      <c r="AH1810" s="117"/>
      <c r="AI1810" s="117"/>
      <c r="AJ1810" s="117"/>
      <c r="AK1810" s="117"/>
      <c r="AL1810" s="117"/>
      <c r="AM1810" s="117"/>
      <c r="AN1810" s="117"/>
      <c r="AO1810" s="117"/>
      <c r="AP1810" s="117"/>
      <c r="AQ1810" s="117"/>
      <c r="AR1810" s="117"/>
      <c r="AS1810" s="117"/>
      <c r="AT1810" s="117"/>
      <c r="AU1810" s="117"/>
      <c r="AV1810" s="117"/>
      <c r="AW1810" s="117"/>
      <c r="AX1810" s="117"/>
      <c r="AY1810" s="117"/>
      <c r="AZ1810" s="117"/>
      <c r="BA1810" s="117"/>
      <c r="BB1810" s="117"/>
      <c r="BC1810" s="117"/>
      <c r="BD1810" s="117"/>
      <c r="BE1810" s="117"/>
      <c r="BF1810" s="117"/>
      <c r="BG1810" s="117"/>
    </row>
    <row r="1811" spans="1:59">
      <c r="A1811" s="117"/>
      <c r="B1811" s="117"/>
      <c r="C1811" s="117"/>
      <c r="D1811" s="117"/>
      <c r="E1811" s="117"/>
      <c r="F1811" s="117"/>
      <c r="G1811" s="117"/>
      <c r="H1811" s="117"/>
      <c r="I1811" s="117"/>
      <c r="J1811" s="118"/>
      <c r="K1811" s="118"/>
      <c r="L1811" s="118"/>
      <c r="M1811" s="118"/>
      <c r="N1811" s="117"/>
      <c r="O1811" s="117"/>
      <c r="P1811" s="117"/>
      <c r="Q1811" s="117"/>
      <c r="R1811" s="117"/>
      <c r="S1811" s="117"/>
      <c r="T1811" s="117"/>
      <c r="U1811" s="117"/>
      <c r="V1811" s="117"/>
      <c r="W1811" s="117"/>
      <c r="X1811" s="117"/>
      <c r="Y1811" s="117"/>
      <c r="Z1811" s="117"/>
      <c r="AA1811" s="117"/>
      <c r="AB1811" s="117"/>
      <c r="AC1811" s="117"/>
      <c r="AD1811" s="117"/>
      <c r="AE1811" s="117"/>
      <c r="AF1811" s="117"/>
      <c r="AG1811" s="117"/>
      <c r="AH1811" s="117"/>
      <c r="AI1811" s="117"/>
      <c r="AJ1811" s="117"/>
      <c r="AK1811" s="117"/>
      <c r="AL1811" s="117"/>
      <c r="AM1811" s="117"/>
      <c r="AN1811" s="117"/>
      <c r="AO1811" s="117"/>
      <c r="AP1811" s="117"/>
      <c r="AQ1811" s="117"/>
      <c r="AR1811" s="117"/>
      <c r="AS1811" s="117"/>
      <c r="AT1811" s="117"/>
      <c r="AU1811" s="117"/>
      <c r="AV1811" s="117"/>
      <c r="AW1811" s="117"/>
      <c r="AX1811" s="117"/>
      <c r="AY1811" s="117"/>
      <c r="AZ1811" s="117"/>
      <c r="BA1811" s="117"/>
      <c r="BB1811" s="117"/>
      <c r="BC1811" s="117"/>
      <c r="BD1811" s="117"/>
      <c r="BE1811" s="117"/>
      <c r="BF1811" s="117"/>
      <c r="BG1811" s="117"/>
    </row>
    <row r="1812" spans="1:59">
      <c r="A1812" s="117"/>
      <c r="B1812" s="117"/>
      <c r="C1812" s="117"/>
      <c r="D1812" s="117"/>
      <c r="E1812" s="117"/>
      <c r="F1812" s="117"/>
      <c r="G1812" s="117"/>
      <c r="H1812" s="117"/>
      <c r="I1812" s="117"/>
      <c r="J1812" s="118"/>
      <c r="K1812" s="118"/>
      <c r="L1812" s="118"/>
      <c r="M1812" s="118"/>
      <c r="N1812" s="117"/>
      <c r="O1812" s="117"/>
      <c r="P1812" s="117"/>
      <c r="Q1812" s="117"/>
      <c r="R1812" s="117"/>
      <c r="S1812" s="117"/>
      <c r="T1812" s="117"/>
      <c r="U1812" s="117"/>
      <c r="V1812" s="117"/>
      <c r="W1812" s="117"/>
      <c r="X1812" s="117"/>
      <c r="Y1812" s="117"/>
      <c r="Z1812" s="117"/>
      <c r="AA1812" s="117"/>
      <c r="AB1812" s="117"/>
      <c r="AC1812" s="117"/>
      <c r="AD1812" s="117"/>
      <c r="AE1812" s="117"/>
      <c r="AF1812" s="117"/>
      <c r="AG1812" s="117"/>
      <c r="AH1812" s="117"/>
      <c r="AI1812" s="117"/>
      <c r="AJ1812" s="117"/>
      <c r="AK1812" s="117"/>
      <c r="AL1812" s="117"/>
      <c r="AM1812" s="117"/>
      <c r="AN1812" s="117"/>
      <c r="AO1812" s="117"/>
      <c r="AP1812" s="117"/>
      <c r="AQ1812" s="117"/>
      <c r="AR1812" s="117"/>
      <c r="AS1812" s="117"/>
      <c r="AT1812" s="117"/>
      <c r="AU1812" s="117"/>
      <c r="AV1812" s="117"/>
      <c r="AW1812" s="117"/>
      <c r="AX1812" s="117"/>
      <c r="AY1812" s="117"/>
      <c r="AZ1812" s="117"/>
      <c r="BA1812" s="117"/>
      <c r="BB1812" s="117"/>
      <c r="BC1812" s="117"/>
      <c r="BD1812" s="117"/>
      <c r="BE1812" s="117"/>
      <c r="BF1812" s="117"/>
      <c r="BG1812" s="117"/>
    </row>
    <row r="1813" spans="1:59">
      <c r="A1813" s="117"/>
      <c r="B1813" s="117"/>
      <c r="C1813" s="117"/>
      <c r="D1813" s="117"/>
      <c r="E1813" s="117"/>
      <c r="F1813" s="117"/>
      <c r="G1813" s="117"/>
      <c r="H1813" s="117"/>
      <c r="I1813" s="117"/>
      <c r="J1813" s="118"/>
      <c r="K1813" s="118"/>
      <c r="L1813" s="118"/>
      <c r="M1813" s="118"/>
      <c r="N1813" s="117"/>
      <c r="O1813" s="117"/>
      <c r="P1813" s="117"/>
      <c r="Q1813" s="117"/>
      <c r="R1813" s="117"/>
      <c r="S1813" s="117"/>
      <c r="T1813" s="117"/>
      <c r="U1813" s="117"/>
      <c r="V1813" s="117"/>
      <c r="W1813" s="117"/>
      <c r="X1813" s="117"/>
      <c r="Y1813" s="117"/>
      <c r="Z1813" s="117"/>
      <c r="AA1813" s="117"/>
      <c r="AB1813" s="117"/>
      <c r="AC1813" s="117"/>
      <c r="AD1813" s="117"/>
      <c r="AE1813" s="117"/>
      <c r="AF1813" s="117"/>
      <c r="AG1813" s="117"/>
      <c r="AH1813" s="117"/>
      <c r="AI1813" s="117"/>
      <c r="AJ1813" s="117"/>
      <c r="AK1813" s="117"/>
      <c r="AL1813" s="117"/>
      <c r="AM1813" s="117"/>
      <c r="AN1813" s="117"/>
      <c r="AO1813" s="117"/>
      <c r="AP1813" s="117"/>
      <c r="AQ1813" s="117"/>
      <c r="AR1813" s="117"/>
      <c r="AS1813" s="117"/>
      <c r="AT1813" s="117"/>
      <c r="AU1813" s="117"/>
      <c r="AV1813" s="117"/>
      <c r="AW1813" s="117"/>
      <c r="AX1813" s="117"/>
      <c r="AY1813" s="117"/>
      <c r="AZ1813" s="117"/>
      <c r="BA1813" s="117"/>
      <c r="BB1813" s="117"/>
      <c r="BC1813" s="117"/>
      <c r="BD1813" s="117"/>
      <c r="BE1813" s="117"/>
      <c r="BF1813" s="117"/>
      <c r="BG1813" s="117"/>
    </row>
    <row r="1814" spans="1:59">
      <c r="A1814" s="117"/>
      <c r="B1814" s="117"/>
      <c r="C1814" s="117"/>
      <c r="D1814" s="117"/>
      <c r="E1814" s="117"/>
      <c r="F1814" s="117"/>
      <c r="G1814" s="117"/>
      <c r="H1814" s="117"/>
      <c r="I1814" s="117"/>
      <c r="J1814" s="118"/>
      <c r="K1814" s="118"/>
      <c r="L1814" s="118"/>
      <c r="M1814" s="118"/>
      <c r="N1814" s="117"/>
      <c r="O1814" s="117"/>
      <c r="P1814" s="117"/>
      <c r="Q1814" s="117"/>
      <c r="R1814" s="117"/>
      <c r="S1814" s="117"/>
      <c r="T1814" s="117"/>
      <c r="U1814" s="117"/>
      <c r="V1814" s="117"/>
      <c r="W1814" s="117"/>
      <c r="X1814" s="117"/>
      <c r="Y1814" s="117"/>
      <c r="Z1814" s="117"/>
      <c r="AA1814" s="117"/>
      <c r="AB1814" s="117"/>
      <c r="AC1814" s="117"/>
      <c r="AD1814" s="117"/>
      <c r="AE1814" s="117"/>
      <c r="AF1814" s="117"/>
      <c r="AG1814" s="117"/>
      <c r="AH1814" s="117"/>
      <c r="AI1814" s="117"/>
      <c r="AJ1814" s="117"/>
      <c r="AK1814" s="117"/>
      <c r="AL1814" s="117"/>
      <c r="AM1814" s="117"/>
      <c r="AN1814" s="117"/>
      <c r="AO1814" s="117"/>
      <c r="AP1814" s="117"/>
      <c r="AQ1814" s="117"/>
      <c r="AR1814" s="117"/>
      <c r="AS1814" s="117"/>
      <c r="AT1814" s="117"/>
      <c r="AU1814" s="117"/>
      <c r="AV1814" s="117"/>
      <c r="AW1814" s="117"/>
      <c r="AX1814" s="117"/>
      <c r="AY1814" s="117"/>
      <c r="AZ1814" s="117"/>
      <c r="BA1814" s="117"/>
      <c r="BB1814" s="117"/>
      <c r="BC1814" s="117"/>
      <c r="BD1814" s="117"/>
      <c r="BE1814" s="117"/>
      <c r="BF1814" s="117"/>
      <c r="BG1814" s="117"/>
    </row>
    <row r="1815" spans="1:59">
      <c r="A1815" s="117"/>
      <c r="B1815" s="117"/>
      <c r="C1815" s="117"/>
      <c r="D1815" s="117"/>
      <c r="E1815" s="117"/>
      <c r="F1815" s="117"/>
      <c r="G1815" s="117"/>
      <c r="H1815" s="117"/>
      <c r="I1815" s="117"/>
      <c r="J1815" s="118"/>
      <c r="K1815" s="118"/>
      <c r="L1815" s="118"/>
      <c r="M1815" s="118"/>
      <c r="N1815" s="117"/>
      <c r="O1815" s="117"/>
      <c r="P1815" s="117"/>
      <c r="Q1815" s="117"/>
      <c r="R1815" s="117"/>
      <c r="S1815" s="117"/>
      <c r="T1815" s="117"/>
      <c r="U1815" s="117"/>
      <c r="V1815" s="117"/>
      <c r="W1815" s="117"/>
      <c r="X1815" s="117"/>
      <c r="Y1815" s="117"/>
      <c r="Z1815" s="117"/>
      <c r="AA1815" s="117"/>
      <c r="AB1815" s="117"/>
      <c r="AC1815" s="117"/>
      <c r="AD1815" s="117"/>
      <c r="AE1815" s="117"/>
      <c r="AF1815" s="117"/>
      <c r="AG1815" s="117"/>
      <c r="AH1815" s="117"/>
      <c r="AI1815" s="117"/>
      <c r="AJ1815" s="117"/>
      <c r="AK1815" s="117"/>
      <c r="AL1815" s="117"/>
      <c r="AM1815" s="117"/>
      <c r="AN1815" s="117"/>
      <c r="AO1815" s="117"/>
      <c r="AP1815" s="117"/>
      <c r="AQ1815" s="117"/>
      <c r="AR1815" s="117"/>
      <c r="AS1815" s="117"/>
      <c r="AT1815" s="117"/>
      <c r="AU1815" s="117"/>
      <c r="AV1815" s="117"/>
      <c r="AW1815" s="117"/>
      <c r="AX1815" s="117"/>
      <c r="AY1815" s="117"/>
      <c r="AZ1815" s="117"/>
      <c r="BA1815" s="117"/>
      <c r="BB1815" s="117"/>
      <c r="BC1815" s="117"/>
      <c r="BD1815" s="117"/>
      <c r="BE1815" s="117"/>
      <c r="BF1815" s="117"/>
      <c r="BG1815" s="117"/>
    </row>
    <row r="1816" spans="1:59">
      <c r="A1816" s="117"/>
      <c r="B1816" s="117"/>
      <c r="C1816" s="117"/>
      <c r="D1816" s="117"/>
      <c r="E1816" s="117"/>
      <c r="F1816" s="117"/>
      <c r="G1816" s="117"/>
      <c r="H1816" s="117"/>
      <c r="I1816" s="117"/>
      <c r="J1816" s="118"/>
      <c r="K1816" s="118"/>
      <c r="L1816" s="118"/>
      <c r="M1816" s="118"/>
      <c r="N1816" s="117"/>
      <c r="O1816" s="117"/>
      <c r="P1816" s="117"/>
      <c r="Q1816" s="117"/>
      <c r="R1816" s="117"/>
      <c r="S1816" s="117"/>
      <c r="T1816" s="117"/>
      <c r="U1816" s="117"/>
      <c r="V1816" s="117"/>
      <c r="W1816" s="117"/>
      <c r="X1816" s="117"/>
      <c r="Y1816" s="117"/>
      <c r="Z1816" s="117"/>
      <c r="AA1816" s="117"/>
      <c r="AB1816" s="117"/>
      <c r="AC1816" s="117"/>
      <c r="AD1816" s="117"/>
      <c r="AE1816" s="117"/>
      <c r="AF1816" s="117"/>
      <c r="AG1816" s="117"/>
      <c r="AH1816" s="117"/>
      <c r="AI1816" s="117"/>
      <c r="AJ1816" s="117"/>
      <c r="AK1816" s="117"/>
      <c r="AL1816" s="117"/>
      <c r="AM1816" s="117"/>
      <c r="AN1816" s="117"/>
      <c r="AO1816" s="117"/>
      <c r="AP1816" s="117"/>
      <c r="AQ1816" s="117"/>
      <c r="AR1816" s="117"/>
      <c r="AS1816" s="117"/>
      <c r="AT1816" s="117"/>
      <c r="AU1816" s="117"/>
      <c r="AV1816" s="117"/>
      <c r="AW1816" s="117"/>
      <c r="AX1816" s="117"/>
      <c r="AY1816" s="117"/>
      <c r="AZ1816" s="117"/>
      <c r="BA1816" s="117"/>
      <c r="BB1816" s="117"/>
      <c r="BC1816" s="117"/>
      <c r="BD1816" s="117"/>
      <c r="BE1816" s="117"/>
      <c r="BF1816" s="117"/>
      <c r="BG1816" s="117"/>
    </row>
    <row r="1817" spans="1:59">
      <c r="A1817" s="117"/>
      <c r="B1817" s="117"/>
      <c r="C1817" s="117"/>
      <c r="D1817" s="117"/>
      <c r="E1817" s="117"/>
      <c r="F1817" s="117"/>
      <c r="G1817" s="117"/>
      <c r="H1817" s="117"/>
      <c r="I1817" s="117"/>
      <c r="J1817" s="118"/>
      <c r="K1817" s="118"/>
      <c r="L1817" s="118"/>
      <c r="M1817" s="118"/>
      <c r="N1817" s="117"/>
      <c r="O1817" s="117"/>
      <c r="P1817" s="117"/>
      <c r="Q1817" s="117"/>
      <c r="R1817" s="117"/>
      <c r="S1817" s="117"/>
      <c r="T1817" s="117"/>
      <c r="U1817" s="117"/>
      <c r="V1817" s="117"/>
      <c r="W1817" s="117"/>
      <c r="X1817" s="117"/>
      <c r="Y1817" s="117"/>
      <c r="Z1817" s="117"/>
      <c r="AA1817" s="117"/>
      <c r="AB1817" s="117"/>
      <c r="AC1817" s="117"/>
      <c r="AD1817" s="117"/>
      <c r="AE1817" s="117"/>
      <c r="AF1817" s="117"/>
      <c r="AG1817" s="117"/>
      <c r="AH1817" s="117"/>
      <c r="AI1817" s="117"/>
      <c r="AJ1817" s="117"/>
      <c r="AK1817" s="117"/>
      <c r="AL1817" s="117"/>
      <c r="AM1817" s="117"/>
      <c r="AN1817" s="117"/>
      <c r="AO1817" s="117"/>
      <c r="AP1817" s="117"/>
      <c r="AQ1817" s="117"/>
      <c r="AR1817" s="117"/>
      <c r="AS1817" s="117"/>
      <c r="AT1817" s="117"/>
      <c r="AU1817" s="117"/>
      <c r="AV1817" s="117"/>
      <c r="AW1817" s="117"/>
      <c r="AX1817" s="117"/>
      <c r="AY1817" s="117"/>
      <c r="AZ1817" s="117"/>
      <c r="BA1817" s="117"/>
      <c r="BB1817" s="117"/>
      <c r="BC1817" s="117"/>
      <c r="BD1817" s="117"/>
      <c r="BE1817" s="117"/>
      <c r="BF1817" s="117"/>
      <c r="BG1817" s="117"/>
    </row>
    <row r="1818" spans="1:59">
      <c r="A1818" s="117"/>
      <c r="B1818" s="117"/>
      <c r="C1818" s="117"/>
      <c r="D1818" s="117"/>
      <c r="E1818" s="117"/>
      <c r="F1818" s="117"/>
      <c r="G1818" s="117"/>
      <c r="H1818" s="117"/>
      <c r="I1818" s="117"/>
      <c r="J1818" s="118"/>
      <c r="K1818" s="118"/>
      <c r="L1818" s="118"/>
      <c r="M1818" s="118"/>
      <c r="N1818" s="117"/>
      <c r="O1818" s="117"/>
      <c r="P1818" s="117"/>
      <c r="Q1818" s="117"/>
      <c r="R1818" s="117"/>
      <c r="S1818" s="117"/>
      <c r="T1818" s="117"/>
      <c r="U1818" s="117"/>
      <c r="V1818" s="117"/>
      <c r="W1818" s="117"/>
      <c r="X1818" s="117"/>
      <c r="Y1818" s="117"/>
      <c r="Z1818" s="117"/>
      <c r="AA1818" s="117"/>
      <c r="AB1818" s="117"/>
      <c r="AC1818" s="117"/>
      <c r="AD1818" s="117"/>
      <c r="AE1818" s="117"/>
      <c r="AF1818" s="117"/>
      <c r="AG1818" s="117"/>
      <c r="AH1818" s="117"/>
      <c r="AI1818" s="117"/>
      <c r="AJ1818" s="117"/>
      <c r="AK1818" s="117"/>
      <c r="AL1818" s="117"/>
      <c r="AM1818" s="117"/>
      <c r="AN1818" s="117"/>
      <c r="AO1818" s="117"/>
      <c r="AP1818" s="117"/>
      <c r="AQ1818" s="117"/>
      <c r="AR1818" s="117"/>
      <c r="AS1818" s="117"/>
      <c r="AT1818" s="117"/>
      <c r="AU1818" s="117"/>
      <c r="AV1818" s="117"/>
      <c r="AW1818" s="117"/>
      <c r="AX1818" s="117"/>
      <c r="AY1818" s="117"/>
      <c r="AZ1818" s="117"/>
      <c r="BA1818" s="117"/>
      <c r="BB1818" s="117"/>
      <c r="BC1818" s="117"/>
      <c r="BD1818" s="117"/>
      <c r="BE1818" s="117"/>
      <c r="BF1818" s="117"/>
      <c r="BG1818" s="117"/>
    </row>
    <row r="1819" spans="1:59">
      <c r="A1819" s="117"/>
      <c r="B1819" s="117"/>
      <c r="C1819" s="117"/>
      <c r="D1819" s="117"/>
      <c r="E1819" s="117"/>
      <c r="F1819" s="117"/>
      <c r="G1819" s="117"/>
      <c r="H1819" s="117"/>
      <c r="I1819" s="117"/>
      <c r="J1819" s="118"/>
      <c r="K1819" s="118"/>
      <c r="L1819" s="118"/>
      <c r="M1819" s="118"/>
      <c r="N1819" s="117"/>
      <c r="O1819" s="117"/>
      <c r="P1819" s="117"/>
      <c r="Q1819" s="117"/>
      <c r="R1819" s="117"/>
      <c r="S1819" s="117"/>
      <c r="T1819" s="117"/>
      <c r="U1819" s="117"/>
      <c r="V1819" s="117"/>
      <c r="W1819" s="117"/>
      <c r="X1819" s="117"/>
      <c r="Y1819" s="117"/>
      <c r="Z1819" s="117"/>
      <c r="AA1819" s="117"/>
      <c r="AB1819" s="117"/>
      <c r="AC1819" s="117"/>
      <c r="AD1819" s="117"/>
      <c r="AE1819" s="117"/>
      <c r="AF1819" s="117"/>
      <c r="AG1819" s="117"/>
      <c r="AH1819" s="117"/>
      <c r="AI1819" s="117"/>
      <c r="AJ1819" s="117"/>
      <c r="AK1819" s="117"/>
      <c r="AL1819" s="117"/>
      <c r="AM1819" s="117"/>
      <c r="AN1819" s="117"/>
      <c r="AO1819" s="117"/>
      <c r="AP1819" s="117"/>
      <c r="AQ1819" s="117"/>
      <c r="AR1819" s="117"/>
      <c r="AS1819" s="117"/>
      <c r="AT1819" s="117"/>
      <c r="AU1819" s="117"/>
      <c r="AV1819" s="117"/>
      <c r="AW1819" s="117"/>
      <c r="AX1819" s="117"/>
      <c r="AY1819" s="117"/>
      <c r="AZ1819" s="117"/>
      <c r="BA1819" s="117"/>
      <c r="BB1819" s="117"/>
      <c r="BC1819" s="117"/>
      <c r="BD1819" s="117"/>
      <c r="BE1819" s="117"/>
      <c r="BF1819" s="117"/>
      <c r="BG1819" s="117"/>
    </row>
    <row r="1820" spans="1:59">
      <c r="A1820" s="117"/>
      <c r="B1820" s="117"/>
      <c r="C1820" s="117"/>
      <c r="D1820" s="117"/>
      <c r="E1820" s="117"/>
      <c r="F1820" s="117"/>
      <c r="G1820" s="117"/>
      <c r="H1820" s="117"/>
      <c r="I1820" s="117"/>
      <c r="J1820" s="118"/>
      <c r="K1820" s="118"/>
      <c r="L1820" s="118"/>
      <c r="M1820" s="118"/>
      <c r="N1820" s="117"/>
      <c r="O1820" s="117"/>
      <c r="P1820" s="117"/>
      <c r="Q1820" s="117"/>
      <c r="R1820" s="117"/>
      <c r="S1820" s="117"/>
      <c r="T1820" s="117"/>
      <c r="U1820" s="117"/>
      <c r="V1820" s="117"/>
      <c r="W1820" s="117"/>
      <c r="X1820" s="117"/>
      <c r="Y1820" s="117"/>
      <c r="Z1820" s="117"/>
      <c r="AA1820" s="117"/>
      <c r="AB1820" s="117"/>
      <c r="AC1820" s="117"/>
      <c r="AD1820" s="117"/>
      <c r="AE1820" s="117"/>
      <c r="AF1820" s="117"/>
      <c r="AG1820" s="117"/>
      <c r="AH1820" s="117"/>
      <c r="AI1820" s="117"/>
      <c r="AJ1820" s="117"/>
      <c r="AK1820" s="117"/>
      <c r="AL1820" s="117"/>
      <c r="AM1820" s="117"/>
      <c r="AN1820" s="117"/>
      <c r="AO1820" s="117"/>
      <c r="AP1820" s="117"/>
      <c r="AQ1820" s="117"/>
      <c r="AR1820" s="117"/>
      <c r="AS1820" s="117"/>
      <c r="AT1820" s="117"/>
      <c r="AU1820" s="117"/>
      <c r="AV1820" s="117"/>
      <c r="AW1820" s="117"/>
      <c r="AX1820" s="117"/>
      <c r="AY1820" s="117"/>
      <c r="AZ1820" s="117"/>
      <c r="BA1820" s="117"/>
      <c r="BB1820" s="117"/>
      <c r="BC1820" s="117"/>
      <c r="BD1820" s="117"/>
      <c r="BE1820" s="117"/>
      <c r="BF1820" s="117"/>
      <c r="BG1820" s="117"/>
    </row>
    <row r="1821" spans="1:59">
      <c r="A1821" s="117"/>
      <c r="B1821" s="117"/>
      <c r="C1821" s="117"/>
      <c r="D1821" s="117"/>
      <c r="E1821" s="117"/>
      <c r="F1821" s="117"/>
      <c r="G1821" s="117"/>
      <c r="H1821" s="117"/>
      <c r="I1821" s="117"/>
      <c r="J1821" s="118"/>
      <c r="K1821" s="118"/>
      <c r="L1821" s="118"/>
      <c r="M1821" s="118"/>
      <c r="N1821" s="117"/>
      <c r="O1821" s="117"/>
      <c r="P1821" s="117"/>
      <c r="Q1821" s="117"/>
      <c r="R1821" s="117"/>
      <c r="S1821" s="117"/>
      <c r="T1821" s="117"/>
      <c r="U1821" s="117"/>
      <c r="V1821" s="117"/>
      <c r="W1821" s="117"/>
      <c r="X1821" s="117"/>
      <c r="Y1821" s="117"/>
      <c r="Z1821" s="117"/>
      <c r="AA1821" s="117"/>
      <c r="AB1821" s="117"/>
      <c r="AC1821" s="117"/>
      <c r="AD1821" s="117"/>
      <c r="AE1821" s="117"/>
      <c r="AF1821" s="117"/>
      <c r="AG1821" s="117"/>
      <c r="AH1821" s="117"/>
      <c r="AI1821" s="117"/>
      <c r="AJ1821" s="117"/>
      <c r="AK1821" s="117"/>
      <c r="AL1821" s="117"/>
      <c r="AM1821" s="117"/>
      <c r="AN1821" s="117"/>
      <c r="AO1821" s="117"/>
      <c r="AP1821" s="117"/>
      <c r="AQ1821" s="117"/>
      <c r="AR1821" s="117"/>
      <c r="AS1821" s="117"/>
      <c r="AT1821" s="117"/>
      <c r="AU1821" s="117"/>
      <c r="AV1821" s="117"/>
      <c r="AW1821" s="117"/>
      <c r="AX1821" s="117"/>
      <c r="AY1821" s="117"/>
      <c r="AZ1821" s="117"/>
      <c r="BA1821" s="117"/>
      <c r="BB1821" s="117"/>
      <c r="BC1821" s="117"/>
      <c r="BD1821" s="117"/>
      <c r="BE1821" s="117"/>
      <c r="BF1821" s="117"/>
      <c r="BG1821" s="117"/>
    </row>
    <row r="1822" spans="1:59">
      <c r="A1822" s="117"/>
      <c r="B1822" s="117"/>
      <c r="C1822" s="117"/>
      <c r="D1822" s="117"/>
      <c r="E1822" s="117"/>
      <c r="F1822" s="117"/>
      <c r="G1822" s="117"/>
      <c r="H1822" s="117"/>
      <c r="I1822" s="117"/>
      <c r="J1822" s="118"/>
      <c r="K1822" s="118"/>
      <c r="L1822" s="118"/>
      <c r="M1822" s="118"/>
      <c r="N1822" s="117"/>
      <c r="O1822" s="117"/>
      <c r="P1822" s="117"/>
      <c r="Q1822" s="117"/>
      <c r="R1822" s="117"/>
      <c r="S1822" s="117"/>
      <c r="T1822" s="117"/>
      <c r="U1822" s="117"/>
      <c r="V1822" s="117"/>
      <c r="W1822" s="117"/>
      <c r="X1822" s="117"/>
      <c r="Y1822" s="117"/>
      <c r="Z1822" s="117"/>
      <c r="AA1822" s="117"/>
      <c r="AB1822" s="117"/>
      <c r="AC1822" s="117"/>
      <c r="AD1822" s="117"/>
      <c r="AE1822" s="117"/>
      <c r="AF1822" s="117"/>
      <c r="AG1822" s="117"/>
      <c r="AH1822" s="117"/>
      <c r="AI1822" s="117"/>
      <c r="AJ1822" s="117"/>
      <c r="AK1822" s="117"/>
      <c r="AL1822" s="117"/>
      <c r="AM1822" s="117"/>
      <c r="AN1822" s="117"/>
      <c r="AO1822" s="117"/>
      <c r="AP1822" s="117"/>
      <c r="AQ1822" s="117"/>
      <c r="AR1822" s="117"/>
      <c r="AS1822" s="117"/>
      <c r="AT1822" s="117"/>
      <c r="AU1822" s="117"/>
      <c r="AV1822" s="117"/>
      <c r="AW1822" s="117"/>
      <c r="AX1822" s="117"/>
      <c r="AY1822" s="117"/>
      <c r="AZ1822" s="117"/>
      <c r="BA1822" s="117"/>
      <c r="BB1822" s="117"/>
      <c r="BC1822" s="117"/>
      <c r="BD1822" s="117"/>
      <c r="BE1822" s="117"/>
      <c r="BF1822" s="117"/>
      <c r="BG1822" s="117"/>
    </row>
    <row r="1823" spans="1:59">
      <c r="A1823" s="117"/>
      <c r="B1823" s="117"/>
      <c r="C1823" s="117"/>
      <c r="D1823" s="117"/>
      <c r="E1823" s="117"/>
      <c r="F1823" s="117"/>
      <c r="G1823" s="117"/>
      <c r="H1823" s="117"/>
      <c r="I1823" s="117"/>
      <c r="J1823" s="118"/>
      <c r="K1823" s="118"/>
      <c r="L1823" s="118"/>
      <c r="M1823" s="118"/>
      <c r="N1823" s="117"/>
      <c r="O1823" s="117"/>
      <c r="P1823" s="117"/>
      <c r="Q1823" s="117"/>
      <c r="R1823" s="117"/>
      <c r="S1823" s="117"/>
      <c r="T1823" s="117"/>
      <c r="U1823" s="117"/>
      <c r="V1823" s="117"/>
      <c r="W1823" s="117"/>
      <c r="X1823" s="117"/>
      <c r="Y1823" s="117"/>
      <c r="Z1823" s="117"/>
      <c r="AA1823" s="117"/>
      <c r="AB1823" s="117"/>
      <c r="AC1823" s="117"/>
      <c r="AD1823" s="117"/>
      <c r="AE1823" s="117"/>
      <c r="AF1823" s="117"/>
      <c r="AG1823" s="117"/>
      <c r="AH1823" s="117"/>
      <c r="AI1823" s="117"/>
      <c r="AJ1823" s="117"/>
      <c r="AK1823" s="117"/>
      <c r="AL1823" s="117"/>
      <c r="AM1823" s="117"/>
      <c r="AN1823" s="117"/>
      <c r="AO1823" s="117"/>
      <c r="AP1823" s="117"/>
      <c r="AQ1823" s="117"/>
      <c r="AR1823" s="117"/>
      <c r="AS1823" s="117"/>
      <c r="AT1823" s="117"/>
      <c r="AU1823" s="117"/>
      <c r="AV1823" s="117"/>
      <c r="AW1823" s="117"/>
      <c r="AX1823" s="117"/>
      <c r="AY1823" s="117"/>
      <c r="AZ1823" s="117"/>
      <c r="BA1823" s="117"/>
      <c r="BB1823" s="117"/>
      <c r="BC1823" s="117"/>
      <c r="BD1823" s="117"/>
      <c r="BE1823" s="117"/>
      <c r="BF1823" s="117"/>
      <c r="BG1823" s="117"/>
    </row>
    <row r="1824" spans="1:59">
      <c r="A1824" s="117"/>
      <c r="B1824" s="117"/>
      <c r="C1824" s="117"/>
      <c r="D1824" s="117"/>
      <c r="E1824" s="117"/>
      <c r="F1824" s="117"/>
      <c r="G1824" s="117"/>
      <c r="H1824" s="117"/>
      <c r="I1824" s="117"/>
      <c r="J1824" s="118"/>
      <c r="K1824" s="118"/>
      <c r="L1824" s="118"/>
      <c r="M1824" s="118"/>
      <c r="N1824" s="117"/>
      <c r="O1824" s="117"/>
      <c r="P1824" s="117"/>
      <c r="Q1824" s="117"/>
      <c r="R1824" s="117"/>
      <c r="S1824" s="117"/>
      <c r="T1824" s="117"/>
      <c r="U1824" s="117"/>
      <c r="V1824" s="117"/>
      <c r="W1824" s="117"/>
      <c r="X1824" s="117"/>
      <c r="Y1824" s="117"/>
      <c r="Z1824" s="117"/>
      <c r="AA1824" s="117"/>
      <c r="AB1824" s="117"/>
      <c r="AC1824" s="117"/>
      <c r="AD1824" s="117"/>
      <c r="AE1824" s="117"/>
      <c r="AF1824" s="117"/>
      <c r="AG1824" s="117"/>
      <c r="AH1824" s="117"/>
      <c r="AI1824" s="117"/>
      <c r="AJ1824" s="117"/>
      <c r="AK1824" s="117"/>
      <c r="AL1824" s="117"/>
      <c r="AM1824" s="117"/>
      <c r="AN1824" s="117"/>
      <c r="AO1824" s="117"/>
      <c r="AP1824" s="117"/>
      <c r="AQ1824" s="117"/>
      <c r="AR1824" s="117"/>
      <c r="AS1824" s="117"/>
      <c r="AT1824" s="117"/>
      <c r="AU1824" s="117"/>
      <c r="AV1824" s="117"/>
      <c r="AW1824" s="117"/>
      <c r="AX1824" s="117"/>
      <c r="AY1824" s="117"/>
      <c r="AZ1824" s="117"/>
      <c r="BA1824" s="117"/>
      <c r="BB1824" s="117"/>
      <c r="BC1824" s="117"/>
      <c r="BD1824" s="117"/>
      <c r="BE1824" s="117"/>
      <c r="BF1824" s="117"/>
      <c r="BG1824" s="117"/>
    </row>
    <row r="1825" spans="1:59">
      <c r="A1825" s="117"/>
      <c r="B1825" s="117"/>
      <c r="C1825" s="117"/>
      <c r="D1825" s="117"/>
      <c r="E1825" s="117"/>
      <c r="F1825" s="117"/>
      <c r="G1825" s="117"/>
      <c r="H1825" s="117"/>
      <c r="I1825" s="117"/>
      <c r="J1825" s="118"/>
      <c r="K1825" s="118"/>
      <c r="L1825" s="118"/>
      <c r="M1825" s="118"/>
      <c r="N1825" s="117"/>
      <c r="O1825" s="117"/>
      <c r="P1825" s="117"/>
      <c r="Q1825" s="117"/>
      <c r="R1825" s="117"/>
      <c r="S1825" s="117"/>
      <c r="T1825" s="117"/>
      <c r="U1825" s="117"/>
      <c r="V1825" s="117"/>
      <c r="W1825" s="117"/>
      <c r="X1825" s="117"/>
      <c r="Y1825" s="117"/>
      <c r="Z1825" s="117"/>
      <c r="AA1825" s="117"/>
      <c r="AB1825" s="117"/>
      <c r="AC1825" s="117"/>
      <c r="AD1825" s="117"/>
      <c r="AE1825" s="117"/>
      <c r="AF1825" s="117"/>
      <c r="AG1825" s="117"/>
      <c r="AH1825" s="117"/>
      <c r="AI1825" s="117"/>
      <c r="AJ1825" s="117"/>
      <c r="AK1825" s="117"/>
      <c r="AL1825" s="117"/>
      <c r="AM1825" s="117"/>
      <c r="AN1825" s="117"/>
      <c r="AO1825" s="117"/>
      <c r="AP1825" s="117"/>
      <c r="AQ1825" s="117"/>
      <c r="AR1825" s="117"/>
      <c r="AS1825" s="117"/>
      <c r="AT1825" s="117"/>
      <c r="AU1825" s="117"/>
      <c r="AV1825" s="117"/>
      <c r="AW1825" s="117"/>
      <c r="AX1825" s="117"/>
      <c r="AY1825" s="117"/>
      <c r="AZ1825" s="117"/>
      <c r="BA1825" s="117"/>
      <c r="BB1825" s="117"/>
      <c r="BC1825" s="117"/>
      <c r="BD1825" s="117"/>
      <c r="BE1825" s="117"/>
      <c r="BF1825" s="117"/>
      <c r="BG1825" s="117"/>
    </row>
    <row r="1826" spans="1:59">
      <c r="A1826" s="117"/>
      <c r="B1826" s="117"/>
      <c r="C1826" s="117"/>
      <c r="D1826" s="117"/>
      <c r="E1826" s="117"/>
      <c r="F1826" s="117"/>
      <c r="G1826" s="117"/>
      <c r="H1826" s="117"/>
      <c r="I1826" s="117"/>
      <c r="J1826" s="118"/>
      <c r="K1826" s="118"/>
      <c r="L1826" s="118"/>
      <c r="M1826" s="118"/>
      <c r="N1826" s="117"/>
      <c r="O1826" s="117"/>
      <c r="P1826" s="117"/>
      <c r="Q1826" s="117"/>
      <c r="R1826" s="117"/>
      <c r="S1826" s="117"/>
      <c r="T1826" s="117"/>
      <c r="U1826" s="117"/>
      <c r="V1826" s="117"/>
      <c r="W1826" s="117"/>
      <c r="X1826" s="117"/>
      <c r="Y1826" s="117"/>
      <c r="Z1826" s="117"/>
      <c r="AA1826" s="117"/>
      <c r="AB1826" s="117"/>
      <c r="AC1826" s="117"/>
      <c r="AD1826" s="117"/>
      <c r="AE1826" s="117"/>
      <c r="AF1826" s="117"/>
      <c r="AG1826" s="117"/>
      <c r="AH1826" s="117"/>
      <c r="AI1826" s="117"/>
      <c r="AJ1826" s="117"/>
      <c r="AK1826" s="117"/>
      <c r="AL1826" s="117"/>
      <c r="AM1826" s="117"/>
      <c r="AN1826" s="117"/>
      <c r="AO1826" s="117"/>
      <c r="AP1826" s="117"/>
      <c r="AQ1826" s="117"/>
      <c r="AR1826" s="117"/>
      <c r="AS1826" s="117"/>
      <c r="AT1826" s="117"/>
      <c r="AU1826" s="117"/>
      <c r="AV1826" s="117"/>
      <c r="AW1826" s="117"/>
      <c r="AX1826" s="117"/>
      <c r="AY1826" s="117"/>
      <c r="AZ1826" s="117"/>
      <c r="BA1826" s="117"/>
      <c r="BB1826" s="117"/>
      <c r="BC1826" s="117"/>
      <c r="BD1826" s="117"/>
      <c r="BE1826" s="117"/>
      <c r="BF1826" s="117"/>
      <c r="BG1826" s="117"/>
    </row>
    <row r="1827" spans="1:59">
      <c r="A1827" s="117"/>
      <c r="B1827" s="117"/>
      <c r="C1827" s="117"/>
      <c r="D1827" s="117"/>
      <c r="E1827" s="117"/>
      <c r="F1827" s="117"/>
      <c r="G1827" s="117"/>
      <c r="H1827" s="117"/>
      <c r="I1827" s="117"/>
      <c r="J1827" s="118"/>
      <c r="K1827" s="118"/>
      <c r="L1827" s="118"/>
      <c r="M1827" s="118"/>
      <c r="N1827" s="117"/>
      <c r="O1827" s="117"/>
      <c r="P1827" s="117"/>
      <c r="Q1827" s="117"/>
      <c r="R1827" s="117"/>
      <c r="S1827" s="117"/>
      <c r="T1827" s="117"/>
      <c r="U1827" s="117"/>
      <c r="V1827" s="117"/>
      <c r="W1827" s="117"/>
      <c r="X1827" s="117"/>
      <c r="Y1827" s="117"/>
      <c r="Z1827" s="117"/>
      <c r="AA1827" s="117"/>
      <c r="AB1827" s="117"/>
      <c r="AC1827" s="117"/>
      <c r="AD1827" s="117"/>
      <c r="AE1827" s="117"/>
      <c r="AF1827" s="117"/>
      <c r="AG1827" s="117"/>
      <c r="AH1827" s="117"/>
      <c r="AI1827" s="117"/>
      <c r="AJ1827" s="117"/>
      <c r="AK1827" s="117"/>
      <c r="AL1827" s="117"/>
      <c r="AM1827" s="117"/>
      <c r="AN1827" s="117"/>
      <c r="AO1827" s="117"/>
      <c r="AP1827" s="117"/>
      <c r="AQ1827" s="117"/>
      <c r="AR1827" s="117"/>
      <c r="AS1827" s="117"/>
      <c r="AT1827" s="117"/>
      <c r="AU1827" s="117"/>
      <c r="AV1827" s="117"/>
      <c r="AW1827" s="117"/>
      <c r="AX1827" s="117"/>
      <c r="AY1827" s="117"/>
      <c r="AZ1827" s="117"/>
      <c r="BA1827" s="117"/>
      <c r="BB1827" s="117"/>
      <c r="BC1827" s="117"/>
      <c r="BD1827" s="117"/>
      <c r="BE1827" s="117"/>
      <c r="BF1827" s="117"/>
      <c r="BG1827" s="117"/>
    </row>
    <row r="1828" spans="1:59">
      <c r="A1828" s="117"/>
      <c r="B1828" s="117"/>
      <c r="C1828" s="117"/>
      <c r="D1828" s="117"/>
      <c r="E1828" s="117"/>
      <c r="F1828" s="117"/>
      <c r="G1828" s="117"/>
      <c r="H1828" s="117"/>
      <c r="I1828" s="117"/>
      <c r="J1828" s="118"/>
      <c r="K1828" s="118"/>
      <c r="L1828" s="118"/>
      <c r="M1828" s="118"/>
      <c r="N1828" s="117"/>
      <c r="O1828" s="117"/>
      <c r="P1828" s="117"/>
      <c r="Q1828" s="117"/>
      <c r="R1828" s="117"/>
      <c r="S1828" s="117"/>
      <c r="T1828" s="117"/>
      <c r="U1828" s="117"/>
      <c r="V1828" s="117"/>
      <c r="W1828" s="117"/>
      <c r="X1828" s="117"/>
      <c r="Y1828" s="117"/>
      <c r="Z1828" s="117"/>
      <c r="AA1828" s="117"/>
      <c r="AB1828" s="117"/>
      <c r="AC1828" s="117"/>
      <c r="AD1828" s="117"/>
      <c r="AE1828" s="117"/>
      <c r="AF1828" s="117"/>
      <c r="AG1828" s="117"/>
      <c r="AH1828" s="117"/>
      <c r="AI1828" s="117"/>
      <c r="AJ1828" s="117"/>
      <c r="AK1828" s="117"/>
      <c r="AL1828" s="117"/>
      <c r="AM1828" s="117"/>
      <c r="AN1828" s="117"/>
      <c r="AO1828" s="117"/>
      <c r="AP1828" s="117"/>
      <c r="AQ1828" s="117"/>
      <c r="AR1828" s="117"/>
      <c r="AS1828" s="117"/>
      <c r="AT1828" s="117"/>
      <c r="AU1828" s="117"/>
      <c r="AV1828" s="117"/>
      <c r="AW1828" s="117"/>
      <c r="AX1828" s="117"/>
      <c r="AY1828" s="117"/>
      <c r="AZ1828" s="117"/>
      <c r="BA1828" s="117"/>
      <c r="BB1828" s="117"/>
      <c r="BC1828" s="117"/>
      <c r="BD1828" s="117"/>
      <c r="BE1828" s="117"/>
      <c r="BF1828" s="117"/>
      <c r="BG1828" s="117"/>
    </row>
    <row r="1829" spans="1:59">
      <c r="A1829" s="117"/>
      <c r="B1829" s="117"/>
      <c r="C1829" s="117"/>
      <c r="D1829" s="117"/>
      <c r="E1829" s="117"/>
      <c r="F1829" s="117"/>
      <c r="G1829" s="117"/>
      <c r="H1829" s="117"/>
      <c r="I1829" s="117"/>
      <c r="J1829" s="118"/>
      <c r="K1829" s="118"/>
      <c r="L1829" s="118"/>
      <c r="M1829" s="118"/>
      <c r="N1829" s="117"/>
      <c r="O1829" s="117"/>
      <c r="P1829" s="117"/>
      <c r="Q1829" s="117"/>
      <c r="R1829" s="117"/>
      <c r="S1829" s="117"/>
      <c r="T1829" s="117"/>
      <c r="U1829" s="117"/>
      <c r="V1829" s="117"/>
      <c r="W1829" s="117"/>
      <c r="X1829" s="117"/>
      <c r="Y1829" s="117"/>
      <c r="Z1829" s="117"/>
      <c r="AA1829" s="117"/>
      <c r="AB1829" s="117"/>
      <c r="AC1829" s="117"/>
      <c r="AD1829" s="117"/>
      <c r="AE1829" s="117"/>
      <c r="AF1829" s="117"/>
      <c r="AG1829" s="117"/>
      <c r="AH1829" s="117"/>
      <c r="AI1829" s="117"/>
      <c r="AJ1829" s="117"/>
      <c r="AK1829" s="117"/>
      <c r="AL1829" s="117"/>
      <c r="AM1829" s="117"/>
      <c r="AN1829" s="117"/>
      <c r="AO1829" s="117"/>
      <c r="AP1829" s="117"/>
      <c r="AQ1829" s="117"/>
      <c r="AR1829" s="117"/>
      <c r="AS1829" s="117"/>
      <c r="AT1829" s="117"/>
      <c r="AU1829" s="117"/>
      <c r="AV1829" s="117"/>
      <c r="AW1829" s="117"/>
      <c r="AX1829" s="117"/>
      <c r="AY1829" s="117"/>
      <c r="AZ1829" s="117"/>
      <c r="BA1829" s="117"/>
      <c r="BB1829" s="117"/>
      <c r="BC1829" s="117"/>
      <c r="BD1829" s="117"/>
      <c r="BE1829" s="117"/>
      <c r="BF1829" s="117"/>
      <c r="BG1829" s="117"/>
    </row>
    <row r="1830" spans="1:59">
      <c r="A1830" s="117"/>
      <c r="B1830" s="117"/>
      <c r="C1830" s="117"/>
      <c r="D1830" s="117"/>
      <c r="E1830" s="117"/>
      <c r="F1830" s="117"/>
      <c r="G1830" s="117"/>
      <c r="H1830" s="117"/>
      <c r="I1830" s="117"/>
      <c r="J1830" s="118"/>
      <c r="K1830" s="118"/>
      <c r="L1830" s="118"/>
      <c r="M1830" s="118"/>
      <c r="N1830" s="117"/>
      <c r="O1830" s="117"/>
      <c r="P1830" s="117"/>
      <c r="Q1830" s="117"/>
      <c r="R1830" s="117"/>
      <c r="S1830" s="117"/>
      <c r="T1830" s="117"/>
      <c r="U1830" s="117"/>
      <c r="V1830" s="117"/>
      <c r="W1830" s="117"/>
      <c r="X1830" s="117"/>
      <c r="Y1830" s="117"/>
      <c r="Z1830" s="117"/>
      <c r="AA1830" s="117"/>
      <c r="AB1830" s="117"/>
      <c r="AC1830" s="117"/>
      <c r="AD1830" s="117"/>
      <c r="AE1830" s="117"/>
      <c r="AF1830" s="117"/>
      <c r="AG1830" s="117"/>
      <c r="AH1830" s="117"/>
      <c r="AI1830" s="117"/>
      <c r="AJ1830" s="117"/>
      <c r="AK1830" s="117"/>
      <c r="AL1830" s="117"/>
      <c r="AM1830" s="117"/>
      <c r="AN1830" s="117"/>
      <c r="AO1830" s="117"/>
      <c r="AP1830" s="117"/>
      <c r="AQ1830" s="117"/>
      <c r="AR1830" s="117"/>
      <c r="AS1830" s="117"/>
      <c r="AT1830" s="117"/>
      <c r="AU1830" s="117"/>
      <c r="AV1830" s="117"/>
      <c r="AW1830" s="117"/>
      <c r="AX1830" s="117"/>
      <c r="AY1830" s="117"/>
      <c r="AZ1830" s="117"/>
      <c r="BA1830" s="117"/>
      <c r="BB1830" s="117"/>
      <c r="BC1830" s="117"/>
      <c r="BD1830" s="117"/>
      <c r="BE1830" s="117"/>
      <c r="BF1830" s="117"/>
      <c r="BG1830" s="117"/>
    </row>
    <row r="1831" spans="1:59">
      <c r="A1831" s="117"/>
      <c r="B1831" s="117"/>
      <c r="C1831" s="117"/>
      <c r="D1831" s="117"/>
      <c r="E1831" s="117"/>
      <c r="F1831" s="117"/>
      <c r="G1831" s="117"/>
      <c r="H1831" s="117"/>
      <c r="I1831" s="117"/>
      <c r="J1831" s="118"/>
      <c r="K1831" s="118"/>
      <c r="L1831" s="118"/>
      <c r="M1831" s="118"/>
      <c r="N1831" s="117"/>
      <c r="O1831" s="117"/>
      <c r="P1831" s="117"/>
      <c r="Q1831" s="117"/>
      <c r="R1831" s="117"/>
      <c r="S1831" s="117"/>
      <c r="T1831" s="117"/>
      <c r="U1831" s="117"/>
      <c r="V1831" s="117"/>
      <c r="W1831" s="117"/>
      <c r="X1831" s="117"/>
      <c r="Y1831" s="117"/>
      <c r="Z1831" s="117"/>
      <c r="AA1831" s="117"/>
      <c r="AB1831" s="117"/>
      <c r="AC1831" s="117"/>
      <c r="AD1831" s="117"/>
      <c r="AE1831" s="117"/>
      <c r="AF1831" s="117"/>
      <c r="AG1831" s="117"/>
      <c r="AH1831" s="117"/>
      <c r="AI1831" s="117"/>
      <c r="AJ1831" s="117"/>
      <c r="AK1831" s="117"/>
      <c r="AL1831" s="117"/>
      <c r="AM1831" s="117"/>
      <c r="AN1831" s="117"/>
      <c r="AO1831" s="117"/>
      <c r="AP1831" s="117"/>
      <c r="AQ1831" s="117"/>
      <c r="AR1831" s="117"/>
      <c r="AS1831" s="117"/>
      <c r="AT1831" s="117"/>
      <c r="AU1831" s="117"/>
      <c r="AV1831" s="117"/>
      <c r="AW1831" s="117"/>
      <c r="AX1831" s="117"/>
      <c r="AY1831" s="117"/>
      <c r="AZ1831" s="117"/>
      <c r="BA1831" s="117"/>
      <c r="BB1831" s="117"/>
      <c r="BC1831" s="117"/>
      <c r="BD1831" s="117"/>
      <c r="BE1831" s="117"/>
      <c r="BF1831" s="117"/>
      <c r="BG1831" s="117"/>
    </row>
    <row r="1832" spans="1:59">
      <c r="A1832" s="117"/>
      <c r="B1832" s="117"/>
      <c r="C1832" s="117"/>
      <c r="D1832" s="117"/>
      <c r="E1832" s="117"/>
      <c r="F1832" s="117"/>
      <c r="G1832" s="117"/>
      <c r="H1832" s="117"/>
      <c r="I1832" s="117"/>
      <c r="J1832" s="118"/>
      <c r="K1832" s="118"/>
      <c r="L1832" s="118"/>
      <c r="M1832" s="118"/>
      <c r="N1832" s="117"/>
      <c r="O1832" s="117"/>
      <c r="P1832" s="117"/>
      <c r="Q1832" s="117"/>
      <c r="R1832" s="117"/>
      <c r="S1832" s="117"/>
      <c r="T1832" s="117"/>
      <c r="U1832" s="117"/>
      <c r="V1832" s="117"/>
      <c r="W1832" s="117"/>
      <c r="X1832" s="117"/>
      <c r="Y1832" s="117"/>
      <c r="Z1832" s="117"/>
      <c r="AA1832" s="117"/>
      <c r="AB1832" s="117"/>
      <c r="AC1832" s="117"/>
      <c r="AD1832" s="117"/>
      <c r="AE1832" s="117"/>
      <c r="AF1832" s="117"/>
      <c r="AG1832" s="117"/>
      <c r="AH1832" s="117"/>
      <c r="AI1832" s="117"/>
      <c r="AJ1832" s="117"/>
      <c r="AK1832" s="117"/>
      <c r="AL1832" s="117"/>
      <c r="AM1832" s="117"/>
      <c r="AN1832" s="117"/>
      <c r="AO1832" s="117"/>
      <c r="AP1832" s="117"/>
      <c r="AQ1832" s="117"/>
      <c r="AR1832" s="117"/>
      <c r="AS1832" s="117"/>
      <c r="AT1832" s="117"/>
      <c r="AU1832" s="117"/>
      <c r="AV1832" s="117"/>
      <c r="AW1832" s="117"/>
      <c r="AX1832" s="117"/>
      <c r="AY1832" s="117"/>
      <c r="AZ1832" s="117"/>
      <c r="BA1832" s="117"/>
      <c r="BB1832" s="117"/>
      <c r="BC1832" s="117"/>
      <c r="BD1832" s="117"/>
      <c r="BE1832" s="117"/>
      <c r="BF1832" s="117"/>
      <c r="BG1832" s="117"/>
    </row>
    <row r="1833" spans="1:59">
      <c r="A1833" s="117"/>
      <c r="B1833" s="117"/>
      <c r="C1833" s="117"/>
      <c r="D1833" s="117"/>
      <c r="E1833" s="117"/>
      <c r="F1833" s="117"/>
      <c r="G1833" s="117"/>
      <c r="H1833" s="117"/>
      <c r="I1833" s="117"/>
      <c r="J1833" s="118"/>
      <c r="K1833" s="118"/>
      <c r="L1833" s="118"/>
      <c r="M1833" s="118"/>
      <c r="N1833" s="117"/>
      <c r="O1833" s="117"/>
      <c r="P1833" s="117"/>
      <c r="Q1833" s="117"/>
      <c r="R1833" s="117"/>
      <c r="S1833" s="117"/>
      <c r="T1833" s="117"/>
      <c r="U1833" s="117"/>
      <c r="V1833" s="117"/>
      <c r="W1833" s="117"/>
      <c r="X1833" s="117"/>
      <c r="Y1833" s="117"/>
      <c r="Z1833" s="117"/>
      <c r="AA1833" s="117"/>
      <c r="AB1833" s="117"/>
      <c r="AC1833" s="117"/>
      <c r="AD1833" s="117"/>
      <c r="AE1833" s="117"/>
      <c r="AF1833" s="117"/>
      <c r="AG1833" s="117"/>
      <c r="AH1833" s="117"/>
      <c r="AI1833" s="117"/>
      <c r="AJ1833" s="117"/>
      <c r="AK1833" s="117"/>
      <c r="AL1833" s="117"/>
      <c r="AM1833" s="117"/>
      <c r="AN1833" s="117"/>
      <c r="AO1833" s="117"/>
      <c r="AP1833" s="117"/>
      <c r="AQ1833" s="117"/>
      <c r="AR1833" s="117"/>
      <c r="AS1833" s="117"/>
      <c r="AT1833" s="117"/>
      <c r="AU1833" s="117"/>
      <c r="AV1833" s="117"/>
      <c r="AW1833" s="117"/>
      <c r="AX1833" s="117"/>
      <c r="AY1833" s="117"/>
      <c r="AZ1833" s="117"/>
      <c r="BA1833" s="117"/>
      <c r="BB1833" s="117"/>
      <c r="BC1833" s="117"/>
      <c r="BD1833" s="117"/>
      <c r="BE1833" s="117"/>
      <c r="BF1833" s="117"/>
      <c r="BG1833" s="117"/>
    </row>
    <row r="1834" spans="1:59">
      <c r="A1834" s="117"/>
      <c r="B1834" s="117"/>
      <c r="C1834" s="117"/>
      <c r="D1834" s="117"/>
      <c r="E1834" s="117"/>
      <c r="F1834" s="117"/>
      <c r="G1834" s="117"/>
      <c r="H1834" s="117"/>
      <c r="I1834" s="117"/>
      <c r="J1834" s="118"/>
      <c r="K1834" s="118"/>
      <c r="L1834" s="118"/>
      <c r="M1834" s="118"/>
      <c r="N1834" s="117"/>
      <c r="O1834" s="117"/>
      <c r="P1834" s="117"/>
      <c r="Q1834" s="117"/>
      <c r="R1834" s="117"/>
      <c r="S1834" s="117"/>
      <c r="T1834" s="117"/>
      <c r="U1834" s="117"/>
      <c r="V1834" s="117"/>
      <c r="W1834" s="117"/>
      <c r="X1834" s="117"/>
      <c r="Y1834" s="117"/>
      <c r="Z1834" s="117"/>
      <c r="AA1834" s="117"/>
      <c r="AB1834" s="117"/>
      <c r="AC1834" s="117"/>
      <c r="AD1834" s="117"/>
      <c r="AE1834" s="117"/>
      <c r="AF1834" s="117"/>
      <c r="AG1834" s="117"/>
      <c r="AH1834" s="117"/>
      <c r="AI1834" s="117"/>
      <c r="AJ1834" s="117"/>
      <c r="AK1834" s="117"/>
      <c r="AL1834" s="117"/>
      <c r="AM1834" s="117"/>
      <c r="AN1834" s="117"/>
      <c r="AO1834" s="117"/>
      <c r="AP1834" s="117"/>
      <c r="AQ1834" s="117"/>
      <c r="AR1834" s="117"/>
      <c r="AS1834" s="117"/>
      <c r="AT1834" s="117"/>
      <c r="AU1834" s="117"/>
      <c r="AV1834" s="117"/>
      <c r="AW1834" s="117"/>
      <c r="AX1834" s="117"/>
      <c r="AY1834" s="117"/>
      <c r="AZ1834" s="117"/>
      <c r="BA1834" s="117"/>
      <c r="BB1834" s="117"/>
      <c r="BC1834" s="117"/>
      <c r="BD1834" s="117"/>
      <c r="BE1834" s="117"/>
      <c r="BF1834" s="117"/>
      <c r="BG1834" s="117"/>
    </row>
    <row r="1835" spans="1:59">
      <c r="A1835" s="117"/>
      <c r="B1835" s="117"/>
      <c r="C1835" s="117"/>
      <c r="D1835" s="117"/>
      <c r="E1835" s="117"/>
      <c r="F1835" s="117"/>
      <c r="G1835" s="117"/>
      <c r="H1835" s="117"/>
      <c r="I1835" s="117"/>
      <c r="J1835" s="118"/>
      <c r="K1835" s="118"/>
      <c r="L1835" s="118"/>
      <c r="M1835" s="118"/>
      <c r="N1835" s="117"/>
      <c r="O1835" s="117"/>
      <c r="P1835" s="117"/>
      <c r="Q1835" s="117"/>
      <c r="R1835" s="117"/>
      <c r="S1835" s="117"/>
      <c r="T1835" s="117"/>
      <c r="U1835" s="117"/>
      <c r="V1835" s="117"/>
      <c r="W1835" s="117"/>
      <c r="X1835" s="117"/>
      <c r="Y1835" s="117"/>
      <c r="Z1835" s="117"/>
      <c r="AA1835" s="117"/>
      <c r="AB1835" s="117"/>
      <c r="AC1835" s="117"/>
      <c r="AD1835" s="117"/>
      <c r="AE1835" s="117"/>
      <c r="AF1835" s="117"/>
      <c r="AG1835" s="117"/>
      <c r="AH1835" s="117"/>
      <c r="AI1835" s="117"/>
      <c r="AJ1835" s="117"/>
      <c r="AK1835" s="117"/>
      <c r="AL1835" s="117"/>
      <c r="AM1835" s="117"/>
      <c r="AN1835" s="117"/>
      <c r="AO1835" s="117"/>
      <c r="AP1835" s="117"/>
      <c r="AQ1835" s="117"/>
      <c r="AR1835" s="117"/>
      <c r="AS1835" s="117"/>
      <c r="AT1835" s="117"/>
      <c r="AU1835" s="117"/>
      <c r="AV1835" s="117"/>
      <c r="AW1835" s="117"/>
      <c r="AX1835" s="117"/>
      <c r="AY1835" s="117"/>
      <c r="AZ1835" s="117"/>
      <c r="BA1835" s="117"/>
      <c r="BB1835" s="117"/>
      <c r="BC1835" s="117"/>
      <c r="BD1835" s="117"/>
      <c r="BE1835" s="117"/>
      <c r="BF1835" s="117"/>
      <c r="BG1835" s="117"/>
    </row>
    <row r="1836" spans="1:59">
      <c r="A1836" s="117"/>
      <c r="B1836" s="117"/>
      <c r="C1836" s="117"/>
      <c r="D1836" s="117"/>
      <c r="E1836" s="117"/>
      <c r="F1836" s="117"/>
      <c r="G1836" s="117"/>
      <c r="H1836" s="117"/>
      <c r="I1836" s="117"/>
      <c r="J1836" s="118"/>
      <c r="K1836" s="118"/>
      <c r="L1836" s="118"/>
      <c r="M1836" s="118"/>
      <c r="N1836" s="117"/>
      <c r="O1836" s="117"/>
      <c r="P1836" s="117"/>
      <c r="Q1836" s="117"/>
      <c r="R1836" s="117"/>
      <c r="S1836" s="117"/>
      <c r="T1836" s="117"/>
      <c r="U1836" s="117"/>
      <c r="V1836" s="117"/>
      <c r="W1836" s="117"/>
      <c r="X1836" s="117"/>
      <c r="Y1836" s="117"/>
      <c r="Z1836" s="117"/>
      <c r="AA1836" s="117"/>
      <c r="AB1836" s="117"/>
      <c r="AC1836" s="117"/>
      <c r="AD1836" s="117"/>
      <c r="AE1836" s="117"/>
      <c r="AF1836" s="117"/>
      <c r="AG1836" s="117"/>
      <c r="AH1836" s="117"/>
      <c r="AI1836" s="117"/>
      <c r="AJ1836" s="117"/>
      <c r="AK1836" s="117"/>
      <c r="AL1836" s="117"/>
      <c r="AM1836" s="117"/>
      <c r="AN1836" s="117"/>
      <c r="AO1836" s="117"/>
      <c r="AP1836" s="117"/>
      <c r="AQ1836" s="117"/>
      <c r="AR1836" s="117"/>
      <c r="AS1836" s="117"/>
      <c r="AT1836" s="117"/>
      <c r="AU1836" s="117"/>
      <c r="AV1836" s="117"/>
      <c r="AW1836" s="117"/>
      <c r="AX1836" s="117"/>
      <c r="AY1836" s="117"/>
      <c r="AZ1836" s="117"/>
      <c r="BA1836" s="117"/>
      <c r="BB1836" s="117"/>
      <c r="BC1836" s="117"/>
      <c r="BD1836" s="117"/>
      <c r="BE1836" s="117"/>
      <c r="BF1836" s="117"/>
      <c r="BG1836" s="117"/>
    </row>
    <row r="1837" spans="1:59">
      <c r="A1837" s="117"/>
      <c r="B1837" s="117"/>
      <c r="C1837" s="117"/>
      <c r="D1837" s="117"/>
      <c r="E1837" s="117"/>
      <c r="F1837" s="117"/>
      <c r="G1837" s="117"/>
      <c r="H1837" s="117"/>
      <c r="I1837" s="117"/>
      <c r="J1837" s="118"/>
      <c r="K1837" s="118"/>
      <c r="L1837" s="118"/>
      <c r="M1837" s="118"/>
      <c r="N1837" s="117"/>
      <c r="O1837" s="117"/>
      <c r="P1837" s="117"/>
      <c r="Q1837" s="117"/>
      <c r="R1837" s="117"/>
      <c r="S1837" s="117"/>
      <c r="T1837" s="117"/>
      <c r="U1837" s="117"/>
      <c r="V1837" s="117"/>
      <c r="W1837" s="117"/>
      <c r="X1837" s="117"/>
      <c r="Y1837" s="117"/>
      <c r="Z1837" s="117"/>
      <c r="AA1837" s="117"/>
      <c r="AB1837" s="117"/>
      <c r="AC1837" s="117"/>
      <c r="AD1837" s="117"/>
      <c r="AE1837" s="117"/>
      <c r="AF1837" s="117"/>
      <c r="AG1837" s="117"/>
      <c r="AH1837" s="117"/>
      <c r="AI1837" s="117"/>
      <c r="AJ1837" s="117"/>
      <c r="AK1837" s="117"/>
      <c r="AL1837" s="117"/>
      <c r="AM1837" s="117"/>
      <c r="AN1837" s="117"/>
      <c r="AO1837" s="117"/>
      <c r="AP1837" s="117"/>
      <c r="AQ1837" s="117"/>
      <c r="AR1837" s="117"/>
      <c r="AS1837" s="117"/>
      <c r="AT1837" s="117"/>
      <c r="AU1837" s="117"/>
      <c r="AV1837" s="117"/>
      <c r="AW1837" s="117"/>
      <c r="AX1837" s="117"/>
      <c r="AY1837" s="117"/>
      <c r="AZ1837" s="117"/>
      <c r="BA1837" s="117"/>
      <c r="BB1837" s="117"/>
      <c r="BC1837" s="117"/>
      <c r="BD1837" s="117"/>
      <c r="BE1837" s="117"/>
      <c r="BF1837" s="117"/>
      <c r="BG1837" s="117"/>
    </row>
    <row r="1838" spans="1:59">
      <c r="A1838" s="117"/>
      <c r="B1838" s="117"/>
      <c r="C1838" s="117"/>
      <c r="D1838" s="117"/>
      <c r="E1838" s="117"/>
      <c r="F1838" s="117"/>
      <c r="G1838" s="117"/>
      <c r="H1838" s="117"/>
      <c r="I1838" s="117"/>
      <c r="J1838" s="118"/>
      <c r="K1838" s="118"/>
      <c r="L1838" s="118"/>
      <c r="M1838" s="118"/>
      <c r="N1838" s="117"/>
      <c r="O1838" s="117"/>
      <c r="P1838" s="117"/>
      <c r="Q1838" s="117"/>
      <c r="R1838" s="117"/>
      <c r="S1838" s="117"/>
      <c r="T1838" s="117"/>
      <c r="U1838" s="117"/>
      <c r="V1838" s="117"/>
      <c r="W1838" s="117"/>
      <c r="X1838" s="117"/>
      <c r="Y1838" s="117"/>
      <c r="Z1838" s="117"/>
      <c r="AA1838" s="117"/>
      <c r="AB1838" s="117"/>
      <c r="AC1838" s="117"/>
      <c r="AD1838" s="117"/>
      <c r="AE1838" s="117"/>
      <c r="AF1838" s="117"/>
      <c r="AG1838" s="117"/>
      <c r="AH1838" s="117"/>
      <c r="AI1838" s="117"/>
      <c r="AJ1838" s="117"/>
      <c r="AK1838" s="117"/>
      <c r="AL1838" s="117"/>
      <c r="AM1838" s="117"/>
      <c r="AN1838" s="117"/>
      <c r="AO1838" s="117"/>
      <c r="AP1838" s="117"/>
      <c r="AQ1838" s="117"/>
      <c r="AR1838" s="117"/>
      <c r="AS1838" s="117"/>
      <c r="AT1838" s="117"/>
      <c r="AU1838" s="117"/>
      <c r="AV1838" s="117"/>
      <c r="AW1838" s="117"/>
      <c r="AX1838" s="117"/>
      <c r="AY1838" s="117"/>
      <c r="AZ1838" s="117"/>
      <c r="BA1838" s="117"/>
      <c r="BB1838" s="117"/>
      <c r="BC1838" s="117"/>
      <c r="BD1838" s="117"/>
      <c r="BE1838" s="117"/>
      <c r="BF1838" s="117"/>
      <c r="BG1838" s="117"/>
    </row>
    <row r="1839" spans="1:59">
      <c r="A1839" s="117"/>
      <c r="B1839" s="117"/>
      <c r="C1839" s="117"/>
      <c r="D1839" s="117"/>
      <c r="E1839" s="117"/>
      <c r="F1839" s="117"/>
      <c r="G1839" s="117"/>
      <c r="H1839" s="117"/>
      <c r="I1839" s="117"/>
      <c r="J1839" s="118"/>
      <c r="K1839" s="118"/>
      <c r="L1839" s="118"/>
      <c r="M1839" s="118"/>
      <c r="N1839" s="117"/>
      <c r="O1839" s="117"/>
      <c r="P1839" s="117"/>
      <c r="Q1839" s="117"/>
      <c r="R1839" s="117"/>
      <c r="S1839" s="117"/>
      <c r="T1839" s="117"/>
      <c r="U1839" s="117"/>
      <c r="V1839" s="117"/>
      <c r="W1839" s="117"/>
      <c r="X1839" s="117"/>
      <c r="Y1839" s="117"/>
      <c r="Z1839" s="117"/>
      <c r="AA1839" s="117"/>
      <c r="AB1839" s="117"/>
      <c r="AC1839" s="117"/>
      <c r="AD1839" s="117"/>
      <c r="AE1839" s="117"/>
      <c r="AF1839" s="117"/>
      <c r="AG1839" s="117"/>
      <c r="AH1839" s="117"/>
      <c r="AI1839" s="117"/>
      <c r="AJ1839" s="117"/>
      <c r="AK1839" s="117"/>
      <c r="AL1839" s="117"/>
      <c r="AM1839" s="117"/>
      <c r="AN1839" s="117"/>
      <c r="AO1839" s="117"/>
      <c r="AP1839" s="117"/>
      <c r="AQ1839" s="117"/>
      <c r="AR1839" s="117"/>
      <c r="AS1839" s="117"/>
      <c r="AT1839" s="117"/>
      <c r="AU1839" s="117"/>
      <c r="AV1839" s="117"/>
      <c r="AW1839" s="117"/>
      <c r="AX1839" s="117"/>
      <c r="AY1839" s="117"/>
      <c r="AZ1839" s="117"/>
      <c r="BA1839" s="117"/>
      <c r="BB1839" s="117"/>
      <c r="BC1839" s="117"/>
      <c r="BD1839" s="117"/>
      <c r="BE1839" s="117"/>
      <c r="BF1839" s="117"/>
      <c r="BG1839" s="117"/>
    </row>
    <row r="1840" spans="1:59">
      <c r="A1840" s="117"/>
      <c r="B1840" s="117"/>
      <c r="C1840" s="117"/>
      <c r="D1840" s="117"/>
      <c r="E1840" s="117"/>
      <c r="F1840" s="117"/>
      <c r="G1840" s="117"/>
      <c r="H1840" s="117"/>
      <c r="I1840" s="117"/>
      <c r="J1840" s="118"/>
      <c r="K1840" s="118"/>
      <c r="L1840" s="118"/>
      <c r="M1840" s="118"/>
      <c r="N1840" s="117"/>
      <c r="O1840" s="117"/>
      <c r="P1840" s="117"/>
      <c r="Q1840" s="117"/>
      <c r="R1840" s="117"/>
      <c r="S1840" s="117"/>
      <c r="T1840" s="117"/>
      <c r="U1840" s="117"/>
      <c r="V1840" s="117"/>
      <c r="W1840" s="117"/>
      <c r="X1840" s="117"/>
      <c r="Y1840" s="117"/>
      <c r="Z1840" s="117"/>
      <c r="AA1840" s="117"/>
      <c r="AB1840" s="117"/>
      <c r="AC1840" s="117"/>
      <c r="AD1840" s="117"/>
      <c r="AE1840" s="117"/>
      <c r="AF1840" s="117"/>
      <c r="AG1840" s="117"/>
      <c r="AH1840" s="117"/>
      <c r="AI1840" s="117"/>
      <c r="AJ1840" s="117"/>
      <c r="AK1840" s="117"/>
      <c r="AL1840" s="117"/>
      <c r="AM1840" s="117"/>
      <c r="AN1840" s="117"/>
      <c r="AO1840" s="117"/>
      <c r="AP1840" s="117"/>
      <c r="AQ1840" s="117"/>
      <c r="AR1840" s="117"/>
      <c r="AS1840" s="117"/>
      <c r="AT1840" s="117"/>
      <c r="AU1840" s="117"/>
      <c r="AV1840" s="117"/>
      <c r="AW1840" s="117"/>
      <c r="AX1840" s="117"/>
      <c r="AY1840" s="117"/>
      <c r="AZ1840" s="117"/>
      <c r="BA1840" s="117"/>
      <c r="BB1840" s="117"/>
      <c r="BC1840" s="117"/>
      <c r="BD1840" s="117"/>
      <c r="BE1840" s="117"/>
      <c r="BF1840" s="117"/>
      <c r="BG1840" s="117"/>
    </row>
    <row r="1841" spans="1:59">
      <c r="A1841" s="117"/>
      <c r="B1841" s="117"/>
      <c r="C1841" s="117"/>
      <c r="D1841" s="117"/>
      <c r="E1841" s="117"/>
      <c r="F1841" s="117"/>
      <c r="G1841" s="117"/>
      <c r="H1841" s="117"/>
      <c r="I1841" s="117"/>
      <c r="J1841" s="118"/>
      <c r="K1841" s="118"/>
      <c r="L1841" s="118"/>
      <c r="M1841" s="118"/>
      <c r="N1841" s="117"/>
      <c r="O1841" s="117"/>
      <c r="P1841" s="117"/>
      <c r="Q1841" s="117"/>
      <c r="R1841" s="117"/>
      <c r="S1841" s="117"/>
      <c r="T1841" s="117"/>
      <c r="U1841" s="117"/>
      <c r="V1841" s="117"/>
      <c r="W1841" s="117"/>
      <c r="X1841" s="117"/>
      <c r="Y1841" s="117"/>
      <c r="Z1841" s="117"/>
      <c r="AA1841" s="117"/>
      <c r="AB1841" s="117"/>
      <c r="AC1841" s="117"/>
      <c r="AD1841" s="117"/>
      <c r="AE1841" s="117"/>
      <c r="AF1841" s="117"/>
      <c r="AG1841" s="117"/>
      <c r="AH1841" s="117"/>
      <c r="AI1841" s="117"/>
      <c r="AJ1841" s="117"/>
      <c r="AK1841" s="117"/>
      <c r="AL1841" s="117"/>
      <c r="AM1841" s="117"/>
      <c r="AN1841" s="117"/>
      <c r="AO1841" s="117"/>
      <c r="AP1841" s="117"/>
      <c r="AQ1841" s="117"/>
      <c r="AR1841" s="117"/>
      <c r="AS1841" s="117"/>
      <c r="AT1841" s="117"/>
      <c r="AU1841" s="117"/>
      <c r="AV1841" s="117"/>
      <c r="AW1841" s="117"/>
      <c r="AX1841" s="117"/>
      <c r="AY1841" s="117"/>
      <c r="AZ1841" s="117"/>
      <c r="BA1841" s="117"/>
      <c r="BB1841" s="117"/>
      <c r="BC1841" s="117"/>
      <c r="BD1841" s="117"/>
      <c r="BE1841" s="117"/>
      <c r="BF1841" s="117"/>
      <c r="BG1841" s="117"/>
    </row>
    <row r="1842" spans="1:59">
      <c r="A1842" s="117"/>
      <c r="B1842" s="117"/>
      <c r="C1842" s="117"/>
      <c r="D1842" s="117"/>
      <c r="E1842" s="117"/>
      <c r="F1842" s="117"/>
      <c r="G1842" s="117"/>
      <c r="H1842" s="117"/>
      <c r="I1842" s="117"/>
      <c r="J1842" s="118"/>
      <c r="K1842" s="118"/>
      <c r="L1842" s="118"/>
      <c r="M1842" s="118"/>
      <c r="N1842" s="117"/>
      <c r="O1842" s="117"/>
      <c r="P1842" s="117"/>
      <c r="Q1842" s="117"/>
      <c r="R1842" s="117"/>
      <c r="S1842" s="117"/>
      <c r="T1842" s="117"/>
      <c r="U1842" s="117"/>
      <c r="V1842" s="117"/>
      <c r="W1842" s="117"/>
      <c r="X1842" s="117"/>
      <c r="Y1842" s="117"/>
      <c r="Z1842" s="117"/>
      <c r="AA1842" s="117"/>
      <c r="AB1842" s="117"/>
      <c r="AC1842" s="117"/>
      <c r="AD1842" s="117"/>
      <c r="AE1842" s="117"/>
      <c r="AF1842" s="117"/>
      <c r="AG1842" s="117"/>
      <c r="AH1842" s="117"/>
      <c r="AI1842" s="117"/>
      <c r="AJ1842" s="117"/>
      <c r="AK1842" s="117"/>
      <c r="AL1842" s="117"/>
      <c r="AM1842" s="117"/>
      <c r="AN1842" s="117"/>
      <c r="AO1842" s="117"/>
      <c r="AP1842" s="117"/>
      <c r="AQ1842" s="117"/>
      <c r="AR1842" s="117"/>
      <c r="AS1842" s="117"/>
      <c r="AT1842" s="117"/>
      <c r="AU1842" s="117"/>
      <c r="AV1842" s="117"/>
      <c r="AW1842" s="117"/>
      <c r="AX1842" s="117"/>
      <c r="AY1842" s="117"/>
      <c r="AZ1842" s="117"/>
      <c r="BA1842" s="117"/>
      <c r="BB1842" s="117"/>
      <c r="BC1842" s="117"/>
      <c r="BD1842" s="117"/>
      <c r="BE1842" s="117"/>
      <c r="BF1842" s="117"/>
      <c r="BG1842" s="117"/>
    </row>
    <row r="1843" spans="1:59">
      <c r="A1843" s="117"/>
      <c r="B1843" s="117"/>
      <c r="C1843" s="117"/>
      <c r="D1843" s="117"/>
      <c r="E1843" s="117"/>
      <c r="F1843" s="117"/>
      <c r="G1843" s="117"/>
      <c r="H1843" s="117"/>
      <c r="I1843" s="117"/>
      <c r="J1843" s="118"/>
      <c r="K1843" s="118"/>
      <c r="L1843" s="118"/>
      <c r="M1843" s="118"/>
      <c r="N1843" s="117"/>
      <c r="O1843" s="117"/>
      <c r="P1843" s="117"/>
      <c r="Q1843" s="117"/>
      <c r="R1843" s="117"/>
      <c r="S1843" s="117"/>
      <c r="T1843" s="117"/>
      <c r="U1843" s="117"/>
      <c r="V1843" s="117"/>
      <c r="W1843" s="117"/>
      <c r="X1843" s="117"/>
      <c r="Y1843" s="117"/>
      <c r="Z1843" s="117"/>
      <c r="AA1843" s="117"/>
      <c r="AB1843" s="117"/>
      <c r="AC1843" s="117"/>
      <c r="AD1843" s="117"/>
      <c r="AE1843" s="117"/>
      <c r="AF1843" s="117"/>
      <c r="AG1843" s="117"/>
      <c r="AH1843" s="117"/>
      <c r="AI1843" s="117"/>
      <c r="AJ1843" s="117"/>
      <c r="AK1843" s="117"/>
      <c r="AL1843" s="117"/>
      <c r="AM1843" s="117"/>
      <c r="AN1843" s="117"/>
      <c r="AO1843" s="117"/>
      <c r="AP1843" s="117"/>
      <c r="AQ1843" s="117"/>
      <c r="AR1843" s="117"/>
      <c r="AS1843" s="117"/>
      <c r="AT1843" s="117"/>
      <c r="AU1843" s="117"/>
      <c r="AV1843" s="117"/>
      <c r="AW1843" s="117"/>
      <c r="AX1843" s="117"/>
      <c r="AY1843" s="117"/>
      <c r="AZ1843" s="117"/>
      <c r="BA1843" s="117"/>
      <c r="BB1843" s="117"/>
      <c r="BC1843" s="117"/>
      <c r="BD1843" s="117"/>
      <c r="BE1843" s="117"/>
      <c r="BF1843" s="117"/>
      <c r="BG1843" s="117"/>
    </row>
    <row r="1844" spans="1:59">
      <c r="A1844" s="117"/>
      <c r="B1844" s="117"/>
      <c r="C1844" s="117"/>
      <c r="D1844" s="117"/>
      <c r="E1844" s="117"/>
      <c r="F1844" s="117"/>
      <c r="G1844" s="117"/>
      <c r="H1844" s="117"/>
      <c r="I1844" s="117"/>
      <c r="J1844" s="118"/>
      <c r="K1844" s="118"/>
      <c r="L1844" s="118"/>
      <c r="M1844" s="118"/>
      <c r="N1844" s="117"/>
      <c r="O1844" s="117"/>
      <c r="P1844" s="117"/>
      <c r="Q1844" s="117"/>
      <c r="R1844" s="117"/>
      <c r="S1844" s="117"/>
      <c r="T1844" s="117"/>
      <c r="U1844" s="117"/>
      <c r="V1844" s="117"/>
      <c r="W1844" s="117"/>
      <c r="X1844" s="117"/>
      <c r="Y1844" s="117"/>
      <c r="Z1844" s="117"/>
      <c r="AA1844" s="117"/>
      <c r="AB1844" s="117"/>
      <c r="AC1844" s="117"/>
      <c r="AD1844" s="117"/>
      <c r="AE1844" s="117"/>
      <c r="AF1844" s="117"/>
      <c r="AG1844" s="117"/>
      <c r="AH1844" s="117"/>
      <c r="AI1844" s="117"/>
      <c r="AJ1844" s="117"/>
      <c r="AK1844" s="117"/>
      <c r="AL1844" s="117"/>
      <c r="AM1844" s="117"/>
      <c r="AN1844" s="117"/>
      <c r="AO1844" s="117"/>
      <c r="AP1844" s="117"/>
      <c r="AQ1844" s="117"/>
      <c r="AR1844" s="117"/>
      <c r="AS1844" s="117"/>
      <c r="AT1844" s="117"/>
      <c r="AU1844" s="117"/>
      <c r="AV1844" s="117"/>
      <c r="AW1844" s="117"/>
      <c r="AX1844" s="117"/>
      <c r="AY1844" s="117"/>
      <c r="AZ1844" s="117"/>
      <c r="BA1844" s="117"/>
      <c r="BB1844" s="117"/>
      <c r="BC1844" s="117"/>
      <c r="BD1844" s="117"/>
      <c r="BE1844" s="117"/>
      <c r="BF1844" s="117"/>
      <c r="BG1844" s="117"/>
    </row>
    <row r="1845" spans="1:59">
      <c r="A1845" s="117"/>
      <c r="B1845" s="117"/>
      <c r="C1845" s="117"/>
      <c r="D1845" s="117"/>
      <c r="E1845" s="117"/>
      <c r="F1845" s="117"/>
      <c r="G1845" s="117"/>
      <c r="H1845" s="117"/>
      <c r="I1845" s="117"/>
      <c r="J1845" s="118"/>
      <c r="K1845" s="118"/>
      <c r="L1845" s="118"/>
      <c r="M1845" s="118"/>
      <c r="N1845" s="117"/>
      <c r="O1845" s="117"/>
      <c r="P1845" s="117"/>
      <c r="Q1845" s="117"/>
      <c r="R1845" s="117"/>
      <c r="S1845" s="117"/>
      <c r="T1845" s="117"/>
      <c r="U1845" s="117"/>
      <c r="V1845" s="117"/>
      <c r="W1845" s="117"/>
      <c r="X1845" s="117"/>
      <c r="Y1845" s="117"/>
      <c r="Z1845" s="117"/>
      <c r="AA1845" s="117"/>
      <c r="AB1845" s="117"/>
      <c r="AC1845" s="117"/>
      <c r="AD1845" s="117"/>
      <c r="AE1845" s="117"/>
      <c r="AF1845" s="117"/>
      <c r="AG1845" s="117"/>
      <c r="AH1845" s="117"/>
      <c r="AI1845" s="117"/>
      <c r="AJ1845" s="117"/>
      <c r="AK1845" s="117"/>
      <c r="AL1845" s="117"/>
      <c r="AM1845" s="117"/>
      <c r="AN1845" s="117"/>
      <c r="AO1845" s="117"/>
      <c r="AP1845" s="117"/>
      <c r="AQ1845" s="117"/>
      <c r="AR1845" s="117"/>
      <c r="AS1845" s="117"/>
      <c r="AT1845" s="117"/>
      <c r="AU1845" s="117"/>
      <c r="AV1845" s="117"/>
      <c r="AW1845" s="117"/>
      <c r="AX1845" s="117"/>
      <c r="AY1845" s="117"/>
      <c r="AZ1845" s="117"/>
      <c r="BA1845" s="117"/>
      <c r="BB1845" s="117"/>
      <c r="BC1845" s="117"/>
      <c r="BD1845" s="117"/>
      <c r="BE1845" s="117"/>
      <c r="BF1845" s="117"/>
      <c r="BG1845" s="117"/>
    </row>
    <row r="1846" spans="1:59">
      <c r="A1846" s="117"/>
      <c r="B1846" s="117"/>
      <c r="C1846" s="117"/>
      <c r="D1846" s="117"/>
      <c r="E1846" s="117"/>
      <c r="F1846" s="117"/>
      <c r="G1846" s="117"/>
      <c r="H1846" s="117"/>
      <c r="I1846" s="117"/>
      <c r="J1846" s="118"/>
      <c r="K1846" s="118"/>
      <c r="L1846" s="118"/>
      <c r="M1846" s="118"/>
      <c r="N1846" s="117"/>
      <c r="O1846" s="117"/>
      <c r="P1846" s="117"/>
      <c r="Q1846" s="117"/>
      <c r="R1846" s="117"/>
      <c r="S1846" s="117"/>
      <c r="T1846" s="117"/>
      <c r="U1846" s="117"/>
      <c r="V1846" s="117"/>
      <c r="W1846" s="117"/>
      <c r="X1846" s="117"/>
      <c r="Y1846" s="117"/>
      <c r="Z1846" s="117"/>
      <c r="AA1846" s="117"/>
      <c r="AB1846" s="117"/>
      <c r="AC1846" s="117"/>
      <c r="AD1846" s="117"/>
      <c r="AE1846" s="117"/>
      <c r="AF1846" s="117"/>
      <c r="AG1846" s="117"/>
      <c r="AH1846" s="117"/>
      <c r="AI1846" s="117"/>
      <c r="AJ1846" s="117"/>
      <c r="AK1846" s="117"/>
      <c r="AL1846" s="117"/>
      <c r="AM1846" s="117"/>
      <c r="AN1846" s="117"/>
      <c r="AO1846" s="117"/>
      <c r="AP1846" s="117"/>
      <c r="AQ1846" s="117"/>
      <c r="AR1846" s="117"/>
      <c r="AS1846" s="117"/>
      <c r="AT1846" s="117"/>
      <c r="AU1846" s="117"/>
      <c r="AV1846" s="117"/>
      <c r="AW1846" s="117"/>
      <c r="AX1846" s="117"/>
      <c r="AY1846" s="117"/>
      <c r="AZ1846" s="117"/>
      <c r="BA1846" s="117"/>
      <c r="BB1846" s="117"/>
      <c r="BC1846" s="117"/>
      <c r="BD1846" s="117"/>
      <c r="BE1846" s="117"/>
      <c r="BF1846" s="117"/>
      <c r="BG1846" s="117"/>
    </row>
    <row r="1847" spans="1:59">
      <c r="A1847" s="117"/>
      <c r="B1847" s="117"/>
      <c r="C1847" s="117"/>
      <c r="D1847" s="117"/>
      <c r="E1847" s="117"/>
      <c r="F1847" s="117"/>
      <c r="G1847" s="117"/>
      <c r="H1847" s="117"/>
      <c r="I1847" s="117"/>
      <c r="J1847" s="118"/>
      <c r="K1847" s="118"/>
      <c r="L1847" s="118"/>
      <c r="M1847" s="118"/>
      <c r="N1847" s="117"/>
      <c r="O1847" s="117"/>
      <c r="P1847" s="117"/>
      <c r="Q1847" s="117"/>
      <c r="R1847" s="117"/>
      <c r="S1847" s="117"/>
      <c r="T1847" s="117"/>
      <c r="U1847" s="117"/>
      <c r="V1847" s="117"/>
      <c r="W1847" s="117"/>
      <c r="X1847" s="117"/>
      <c r="Y1847" s="117"/>
      <c r="Z1847" s="117"/>
      <c r="AA1847" s="117"/>
      <c r="AB1847" s="117"/>
      <c r="AC1847" s="117"/>
      <c r="AD1847" s="117"/>
      <c r="AE1847" s="117"/>
      <c r="AF1847" s="117"/>
      <c r="AG1847" s="117"/>
      <c r="AH1847" s="117"/>
      <c r="AI1847" s="117"/>
      <c r="AJ1847" s="117"/>
      <c r="AK1847" s="117"/>
      <c r="AL1847" s="117"/>
      <c r="AM1847" s="117"/>
      <c r="AN1847" s="117"/>
      <c r="AO1847" s="117"/>
      <c r="AP1847" s="117"/>
      <c r="AQ1847" s="117"/>
      <c r="AR1847" s="117"/>
      <c r="AS1847" s="117"/>
      <c r="AT1847" s="117"/>
      <c r="AU1847" s="117"/>
      <c r="AV1847" s="117"/>
      <c r="AW1847" s="117"/>
      <c r="AX1847" s="117"/>
      <c r="AY1847" s="117"/>
      <c r="AZ1847" s="117"/>
      <c r="BA1847" s="117"/>
      <c r="BB1847" s="117"/>
      <c r="BC1847" s="117"/>
      <c r="BD1847" s="117"/>
      <c r="BE1847" s="117"/>
      <c r="BF1847" s="117"/>
      <c r="BG1847" s="117"/>
    </row>
    <row r="1848" spans="1:59">
      <c r="A1848" s="117"/>
      <c r="B1848" s="117"/>
      <c r="C1848" s="117"/>
      <c r="D1848" s="117"/>
      <c r="E1848" s="117"/>
      <c r="F1848" s="117"/>
      <c r="G1848" s="117"/>
      <c r="H1848" s="117"/>
      <c r="I1848" s="117"/>
      <c r="J1848" s="118"/>
      <c r="K1848" s="118"/>
      <c r="L1848" s="118"/>
      <c r="M1848" s="118"/>
      <c r="N1848" s="117"/>
      <c r="O1848" s="117"/>
      <c r="P1848" s="117"/>
      <c r="Q1848" s="117"/>
      <c r="R1848" s="117"/>
      <c r="S1848" s="117"/>
      <c r="T1848" s="117"/>
      <c r="U1848" s="117"/>
      <c r="V1848" s="117"/>
      <c r="W1848" s="117"/>
      <c r="X1848" s="117"/>
      <c r="Y1848" s="117"/>
      <c r="Z1848" s="117"/>
      <c r="AA1848" s="117"/>
      <c r="AB1848" s="117"/>
      <c r="AC1848" s="117"/>
      <c r="AD1848" s="117"/>
      <c r="AE1848" s="117"/>
      <c r="AF1848" s="117"/>
      <c r="AG1848" s="117"/>
      <c r="AH1848" s="117"/>
      <c r="AI1848" s="117"/>
      <c r="AJ1848" s="117"/>
      <c r="AK1848" s="117"/>
      <c r="AL1848" s="117"/>
      <c r="AM1848" s="117"/>
      <c r="AN1848" s="117"/>
      <c r="AO1848" s="117"/>
      <c r="AP1848" s="117"/>
      <c r="AQ1848" s="117"/>
      <c r="AR1848" s="117"/>
      <c r="AS1848" s="117"/>
      <c r="AT1848" s="117"/>
      <c r="AU1848" s="117"/>
      <c r="AV1848" s="117"/>
      <c r="AW1848" s="117"/>
      <c r="AX1848" s="117"/>
      <c r="AY1848" s="117"/>
      <c r="AZ1848" s="117"/>
      <c r="BA1848" s="117"/>
      <c r="BB1848" s="117"/>
      <c r="BC1848" s="117"/>
      <c r="BD1848" s="117"/>
      <c r="BE1848" s="117"/>
      <c r="BF1848" s="117"/>
      <c r="BG1848" s="117"/>
    </row>
    <row r="1849" spans="1:59">
      <c r="A1849" s="117"/>
      <c r="B1849" s="117"/>
      <c r="C1849" s="117"/>
      <c r="D1849" s="117"/>
      <c r="E1849" s="117"/>
      <c r="F1849" s="117"/>
      <c r="G1849" s="117"/>
      <c r="H1849" s="117"/>
      <c r="I1849" s="117"/>
      <c r="J1849" s="118"/>
      <c r="K1849" s="118"/>
      <c r="L1849" s="118"/>
      <c r="M1849" s="118"/>
      <c r="N1849" s="117"/>
      <c r="O1849" s="117"/>
      <c r="P1849" s="117"/>
      <c r="Q1849" s="117"/>
      <c r="R1849" s="117"/>
      <c r="S1849" s="117"/>
      <c r="T1849" s="117"/>
      <c r="U1849" s="117"/>
      <c r="V1849" s="117"/>
      <c r="W1849" s="117"/>
      <c r="X1849" s="117"/>
      <c r="Y1849" s="117"/>
      <c r="Z1849" s="117"/>
      <c r="AA1849" s="117"/>
      <c r="AB1849" s="117"/>
      <c r="AC1849" s="117"/>
      <c r="AD1849" s="117"/>
      <c r="AE1849" s="117"/>
      <c r="AF1849" s="117"/>
      <c r="AG1849" s="117"/>
      <c r="AH1849" s="117"/>
      <c r="AI1849" s="117"/>
      <c r="AJ1849" s="117"/>
      <c r="AK1849" s="117"/>
      <c r="AL1849" s="117"/>
      <c r="AM1849" s="117"/>
      <c r="AN1849" s="117"/>
      <c r="AO1849" s="117"/>
      <c r="AP1849" s="117"/>
      <c r="AQ1849" s="117"/>
      <c r="AR1849" s="117"/>
      <c r="AS1849" s="117"/>
      <c r="AT1849" s="117"/>
      <c r="AU1849" s="117"/>
      <c r="AV1849" s="117"/>
      <c r="AW1849" s="117"/>
      <c r="AX1849" s="117"/>
      <c r="AY1849" s="117"/>
      <c r="AZ1849" s="117"/>
      <c r="BA1849" s="117"/>
      <c r="BB1849" s="117"/>
      <c r="BC1849" s="117"/>
      <c r="BD1849" s="117"/>
      <c r="BE1849" s="117"/>
      <c r="BF1849" s="117"/>
      <c r="BG1849" s="117"/>
    </row>
    <row r="1850" spans="1:59">
      <c r="A1850" s="117"/>
      <c r="B1850" s="117"/>
      <c r="C1850" s="117"/>
      <c r="D1850" s="117"/>
      <c r="E1850" s="117"/>
      <c r="F1850" s="117"/>
      <c r="G1850" s="117"/>
      <c r="H1850" s="117"/>
      <c r="I1850" s="117"/>
      <c r="J1850" s="118"/>
      <c r="K1850" s="118"/>
      <c r="L1850" s="118"/>
      <c r="M1850" s="118"/>
      <c r="N1850" s="117"/>
      <c r="O1850" s="117"/>
      <c r="P1850" s="117"/>
      <c r="Q1850" s="117"/>
      <c r="R1850" s="117"/>
      <c r="S1850" s="117"/>
      <c r="T1850" s="117"/>
      <c r="U1850" s="117"/>
      <c r="V1850" s="117"/>
      <c r="W1850" s="117"/>
      <c r="X1850" s="117"/>
      <c r="Y1850" s="117"/>
      <c r="Z1850" s="117"/>
      <c r="AA1850" s="117"/>
      <c r="AB1850" s="117"/>
      <c r="AC1850" s="117"/>
      <c r="AD1850" s="117"/>
      <c r="AE1850" s="117"/>
      <c r="AF1850" s="117"/>
      <c r="AG1850" s="117"/>
      <c r="AH1850" s="117"/>
      <c r="AI1850" s="117"/>
      <c r="AJ1850" s="117"/>
      <c r="AK1850" s="117"/>
      <c r="AL1850" s="117"/>
      <c r="AM1850" s="117"/>
      <c r="AN1850" s="117"/>
      <c r="AO1850" s="117"/>
      <c r="AP1850" s="117"/>
      <c r="AQ1850" s="117"/>
      <c r="AR1850" s="117"/>
      <c r="AS1850" s="117"/>
      <c r="AT1850" s="117"/>
      <c r="AU1850" s="117"/>
      <c r="AV1850" s="117"/>
      <c r="AW1850" s="117"/>
      <c r="AX1850" s="117"/>
      <c r="AY1850" s="117"/>
      <c r="AZ1850" s="117"/>
      <c r="BA1850" s="117"/>
      <c r="BB1850" s="117"/>
      <c r="BC1850" s="117"/>
      <c r="BD1850" s="117"/>
      <c r="BE1850" s="117"/>
      <c r="BF1850" s="117"/>
      <c r="BG1850" s="117"/>
    </row>
    <row r="1851" spans="1:59">
      <c r="A1851" s="117"/>
      <c r="B1851" s="117"/>
      <c r="C1851" s="117"/>
      <c r="D1851" s="117"/>
      <c r="E1851" s="117"/>
      <c r="F1851" s="117"/>
      <c r="G1851" s="117"/>
      <c r="H1851" s="117"/>
      <c r="I1851" s="117"/>
      <c r="J1851" s="118"/>
      <c r="K1851" s="118"/>
      <c r="L1851" s="118"/>
      <c r="M1851" s="118"/>
      <c r="N1851" s="117"/>
      <c r="O1851" s="117"/>
      <c r="P1851" s="117"/>
      <c r="Q1851" s="117"/>
      <c r="R1851" s="117"/>
      <c r="S1851" s="117"/>
      <c r="T1851" s="117"/>
      <c r="U1851" s="117"/>
      <c r="V1851" s="117"/>
      <c r="W1851" s="117"/>
      <c r="X1851" s="117"/>
      <c r="Y1851" s="117"/>
      <c r="Z1851" s="117"/>
      <c r="AA1851" s="117"/>
      <c r="AB1851" s="117"/>
      <c r="AC1851" s="117"/>
      <c r="AD1851" s="117"/>
      <c r="AE1851" s="117"/>
      <c r="AF1851" s="117"/>
      <c r="AG1851" s="117"/>
      <c r="AH1851" s="117"/>
      <c r="AI1851" s="117"/>
      <c r="AJ1851" s="117"/>
      <c r="AK1851" s="117"/>
      <c r="AL1851" s="117"/>
      <c r="AM1851" s="117"/>
      <c r="AN1851" s="117"/>
      <c r="AO1851" s="117"/>
      <c r="AP1851" s="117"/>
      <c r="AQ1851" s="117"/>
      <c r="AR1851" s="117"/>
      <c r="AS1851" s="117"/>
      <c r="AT1851" s="117"/>
      <c r="AU1851" s="117"/>
      <c r="AV1851" s="117"/>
      <c r="AW1851" s="117"/>
      <c r="AX1851" s="117"/>
      <c r="AY1851" s="117"/>
      <c r="AZ1851" s="117"/>
      <c r="BA1851" s="117"/>
      <c r="BB1851" s="117"/>
      <c r="BC1851" s="117"/>
      <c r="BD1851" s="117"/>
      <c r="BE1851" s="117"/>
      <c r="BF1851" s="117"/>
      <c r="BG1851" s="117"/>
    </row>
    <row r="1852" spans="1:59">
      <c r="A1852" s="117"/>
      <c r="B1852" s="117"/>
      <c r="C1852" s="117"/>
      <c r="D1852" s="117"/>
      <c r="E1852" s="117"/>
      <c r="F1852" s="117"/>
      <c r="G1852" s="117"/>
      <c r="H1852" s="117"/>
      <c r="I1852" s="117"/>
      <c r="J1852" s="118"/>
      <c r="K1852" s="118"/>
      <c r="L1852" s="118"/>
      <c r="M1852" s="118"/>
      <c r="N1852" s="117"/>
      <c r="O1852" s="117"/>
      <c r="P1852" s="117"/>
      <c r="Q1852" s="117"/>
      <c r="R1852" s="117"/>
      <c r="S1852" s="117"/>
      <c r="T1852" s="117"/>
      <c r="U1852" s="117"/>
      <c r="V1852" s="117"/>
      <c r="W1852" s="117"/>
      <c r="X1852" s="117"/>
      <c r="Y1852" s="117"/>
      <c r="Z1852" s="117"/>
      <c r="AA1852" s="117"/>
      <c r="AB1852" s="117"/>
      <c r="AC1852" s="117"/>
      <c r="AD1852" s="117"/>
      <c r="AE1852" s="117"/>
      <c r="AF1852" s="117"/>
      <c r="AG1852" s="117"/>
      <c r="AH1852" s="117"/>
      <c r="AI1852" s="117"/>
      <c r="AJ1852" s="117"/>
      <c r="AK1852" s="117"/>
      <c r="AL1852" s="117"/>
      <c r="AM1852" s="117"/>
      <c r="AN1852" s="117"/>
      <c r="AO1852" s="117"/>
      <c r="AP1852" s="117"/>
      <c r="AQ1852" s="117"/>
      <c r="AR1852" s="117"/>
      <c r="AS1852" s="117"/>
      <c r="AT1852" s="117"/>
      <c r="AU1852" s="117"/>
      <c r="AV1852" s="117"/>
      <c r="AW1852" s="117"/>
      <c r="AX1852" s="117"/>
      <c r="AY1852" s="117"/>
      <c r="AZ1852" s="117"/>
      <c r="BA1852" s="117"/>
      <c r="BB1852" s="117"/>
      <c r="BC1852" s="117"/>
      <c r="BD1852" s="117"/>
      <c r="BE1852" s="117"/>
      <c r="BF1852" s="117"/>
      <c r="BG1852" s="117"/>
    </row>
    <row r="1853" spans="1:59">
      <c r="A1853" s="117"/>
      <c r="B1853" s="117"/>
      <c r="C1853" s="117"/>
      <c r="D1853" s="117"/>
      <c r="E1853" s="117"/>
      <c r="F1853" s="117"/>
      <c r="G1853" s="117"/>
      <c r="H1853" s="117"/>
      <c r="I1853" s="117"/>
      <c r="J1853" s="118"/>
      <c r="K1853" s="118"/>
      <c r="L1853" s="118"/>
      <c r="M1853" s="118"/>
      <c r="N1853" s="117"/>
      <c r="O1853" s="117"/>
      <c r="P1853" s="117"/>
      <c r="Q1853" s="117"/>
      <c r="R1853" s="117"/>
      <c r="S1853" s="117"/>
      <c r="T1853" s="117"/>
      <c r="U1853" s="117"/>
      <c r="V1853" s="117"/>
      <c r="W1853" s="117"/>
      <c r="X1853" s="117"/>
      <c r="Y1853" s="117"/>
      <c r="Z1853" s="117"/>
      <c r="AA1853" s="117"/>
      <c r="AB1853" s="117"/>
      <c r="AC1853" s="117"/>
      <c r="AD1853" s="117"/>
      <c r="AE1853" s="117"/>
      <c r="AF1853" s="117"/>
      <c r="AG1853" s="117"/>
      <c r="AH1853" s="117"/>
      <c r="AI1853" s="117"/>
      <c r="AJ1853" s="117"/>
      <c r="AK1853" s="117"/>
      <c r="AL1853" s="117"/>
      <c r="AM1853" s="117"/>
      <c r="AN1853" s="117"/>
      <c r="AO1853" s="117"/>
      <c r="AP1853" s="117"/>
      <c r="AQ1853" s="117"/>
      <c r="AR1853" s="117"/>
      <c r="AS1853" s="117"/>
      <c r="AT1853" s="117"/>
      <c r="AU1853" s="117"/>
      <c r="AV1853" s="117"/>
      <c r="AW1853" s="117"/>
      <c r="AX1853" s="117"/>
      <c r="AY1853" s="117"/>
      <c r="AZ1853" s="117"/>
      <c r="BA1853" s="117"/>
      <c r="BB1853" s="117"/>
      <c r="BC1853" s="117"/>
      <c r="BD1853" s="117"/>
      <c r="BE1853" s="117"/>
      <c r="BF1853" s="117"/>
      <c r="BG1853" s="117"/>
    </row>
    <row r="1854" spans="1:59">
      <c r="A1854" s="117"/>
      <c r="B1854" s="117"/>
      <c r="C1854" s="117"/>
      <c r="D1854" s="117"/>
      <c r="E1854" s="117"/>
      <c r="F1854" s="117"/>
      <c r="G1854" s="117"/>
      <c r="H1854" s="117"/>
      <c r="I1854" s="117"/>
      <c r="J1854" s="118"/>
      <c r="K1854" s="118"/>
      <c r="L1854" s="118"/>
      <c r="M1854" s="118"/>
      <c r="N1854" s="117"/>
      <c r="O1854" s="117"/>
      <c r="P1854" s="117"/>
      <c r="Q1854" s="117"/>
      <c r="R1854" s="117"/>
      <c r="S1854" s="117"/>
      <c r="T1854" s="117"/>
      <c r="U1854" s="117"/>
      <c r="V1854" s="117"/>
      <c r="W1854" s="117"/>
      <c r="X1854" s="117"/>
      <c r="Y1854" s="117"/>
      <c r="Z1854" s="117"/>
      <c r="AA1854" s="117"/>
      <c r="AB1854" s="117"/>
      <c r="AC1854" s="117"/>
      <c r="AD1854" s="117"/>
      <c r="AE1854" s="117"/>
      <c r="AF1854" s="117"/>
      <c r="AG1854" s="117"/>
      <c r="AH1854" s="117"/>
      <c r="AI1854" s="117"/>
      <c r="AJ1854" s="117"/>
      <c r="AK1854" s="117"/>
      <c r="AL1854" s="117"/>
      <c r="AM1854" s="117"/>
      <c r="AN1854" s="117"/>
      <c r="AO1854" s="117"/>
      <c r="AP1854" s="117"/>
      <c r="AQ1854" s="117"/>
      <c r="AR1854" s="117"/>
      <c r="AS1854" s="117"/>
      <c r="AT1854" s="117"/>
      <c r="AU1854" s="117"/>
      <c r="AV1854" s="117"/>
      <c r="AW1854" s="117"/>
      <c r="AX1854" s="117"/>
      <c r="AY1854" s="117"/>
      <c r="AZ1854" s="117"/>
      <c r="BA1854" s="117"/>
      <c r="BB1854" s="117"/>
      <c r="BC1854" s="117"/>
      <c r="BD1854" s="117"/>
      <c r="BE1854" s="117"/>
      <c r="BF1854" s="117"/>
      <c r="BG1854" s="117"/>
    </row>
    <row r="1855" spans="1:59">
      <c r="A1855" s="117"/>
      <c r="B1855" s="117"/>
      <c r="C1855" s="117"/>
      <c r="D1855" s="117"/>
      <c r="E1855" s="117"/>
      <c r="F1855" s="117"/>
      <c r="G1855" s="117"/>
      <c r="H1855" s="117"/>
      <c r="I1855" s="117"/>
      <c r="J1855" s="118"/>
      <c r="K1855" s="118"/>
      <c r="L1855" s="118"/>
      <c r="M1855" s="118"/>
      <c r="N1855" s="117"/>
      <c r="O1855" s="117"/>
      <c r="P1855" s="117"/>
      <c r="Q1855" s="117"/>
      <c r="R1855" s="117"/>
      <c r="S1855" s="117"/>
      <c r="T1855" s="117"/>
      <c r="U1855" s="117"/>
      <c r="V1855" s="117"/>
      <c r="W1855" s="117"/>
      <c r="X1855" s="117"/>
      <c r="Y1855" s="117"/>
      <c r="Z1855" s="117"/>
      <c r="AA1855" s="117"/>
      <c r="AB1855" s="117"/>
      <c r="AC1855" s="117"/>
      <c r="AD1855" s="117"/>
      <c r="AE1855" s="117"/>
      <c r="AF1855" s="117"/>
      <c r="AG1855" s="117"/>
      <c r="AH1855" s="117"/>
      <c r="AI1855" s="117"/>
      <c r="AJ1855" s="117"/>
      <c r="AK1855" s="117"/>
      <c r="AL1855" s="117"/>
      <c r="AM1855" s="117"/>
      <c r="AN1855" s="117"/>
      <c r="AO1855" s="117"/>
      <c r="AP1855" s="117"/>
      <c r="AQ1855" s="117"/>
      <c r="AR1855" s="117"/>
      <c r="AS1855" s="117"/>
      <c r="AT1855" s="117"/>
      <c r="AU1855" s="117"/>
      <c r="AV1855" s="117"/>
      <c r="AW1855" s="117"/>
      <c r="AX1855" s="117"/>
      <c r="AY1855" s="117"/>
      <c r="AZ1855" s="117"/>
      <c r="BA1855" s="117"/>
      <c r="BB1855" s="117"/>
      <c r="BC1855" s="117"/>
      <c r="BD1855" s="117"/>
      <c r="BE1855" s="117"/>
      <c r="BF1855" s="117"/>
      <c r="BG1855" s="117"/>
    </row>
    <row r="1856" spans="1:59">
      <c r="A1856" s="117"/>
      <c r="B1856" s="117"/>
      <c r="C1856" s="117"/>
      <c r="D1856" s="117"/>
      <c r="E1856" s="117"/>
      <c r="F1856" s="117"/>
      <c r="G1856" s="117"/>
      <c r="H1856" s="117"/>
      <c r="I1856" s="117"/>
      <c r="J1856" s="118"/>
      <c r="K1856" s="118"/>
      <c r="L1856" s="118"/>
      <c r="M1856" s="118"/>
      <c r="N1856" s="117"/>
      <c r="O1856" s="117"/>
      <c r="P1856" s="117"/>
      <c r="Q1856" s="117"/>
      <c r="R1856" s="117"/>
      <c r="S1856" s="117"/>
      <c r="T1856" s="117"/>
      <c r="U1856" s="117"/>
      <c r="V1856" s="117"/>
      <c r="W1856" s="117"/>
      <c r="X1856" s="117"/>
      <c r="Y1856" s="117"/>
      <c r="Z1856" s="117"/>
      <c r="AA1856" s="117"/>
      <c r="AB1856" s="117"/>
      <c r="AC1856" s="117"/>
      <c r="AD1856" s="117"/>
      <c r="AE1856" s="117"/>
      <c r="AF1856" s="117"/>
      <c r="AG1856" s="117"/>
      <c r="AH1856" s="117"/>
      <c r="AI1856" s="117"/>
      <c r="AJ1856" s="117"/>
      <c r="AK1856" s="117"/>
      <c r="AL1856" s="117"/>
      <c r="AM1856" s="117"/>
      <c r="AN1856" s="117"/>
      <c r="AO1856" s="117"/>
      <c r="AP1856" s="117"/>
      <c r="AQ1856" s="117"/>
      <c r="AR1856" s="117"/>
      <c r="AS1856" s="117"/>
      <c r="AT1856" s="117"/>
      <c r="AU1856" s="117"/>
      <c r="AV1856" s="117"/>
      <c r="AW1856" s="117"/>
      <c r="AX1856" s="117"/>
      <c r="AY1856" s="117"/>
      <c r="AZ1856" s="117"/>
      <c r="BA1856" s="117"/>
      <c r="BB1856" s="117"/>
      <c r="BC1856" s="117"/>
      <c r="BD1856" s="117"/>
      <c r="BE1856" s="117"/>
      <c r="BF1856" s="117"/>
      <c r="BG1856" s="117"/>
    </row>
    <row r="1857" spans="1:59">
      <c r="A1857" s="117"/>
      <c r="B1857" s="117"/>
      <c r="C1857" s="117"/>
      <c r="D1857" s="117"/>
      <c r="E1857" s="117"/>
      <c r="F1857" s="117"/>
      <c r="G1857" s="117"/>
      <c r="H1857" s="117"/>
      <c r="I1857" s="117"/>
      <c r="J1857" s="118"/>
      <c r="K1857" s="118"/>
      <c r="L1857" s="118"/>
      <c r="M1857" s="118"/>
      <c r="N1857" s="117"/>
      <c r="O1857" s="117"/>
      <c r="P1857" s="117"/>
      <c r="Q1857" s="117"/>
      <c r="R1857" s="117"/>
      <c r="S1857" s="117"/>
      <c r="T1857" s="117"/>
      <c r="U1857" s="117"/>
      <c r="V1857" s="117"/>
      <c r="W1857" s="117"/>
      <c r="X1857" s="117"/>
      <c r="Y1857" s="117"/>
      <c r="Z1857" s="117"/>
      <c r="AA1857" s="117"/>
      <c r="AB1857" s="117"/>
      <c r="AC1857" s="117"/>
      <c r="AD1857" s="117"/>
      <c r="AE1857" s="117"/>
      <c r="AF1857" s="117"/>
      <c r="AG1857" s="117"/>
      <c r="AH1857" s="117"/>
      <c r="AI1857" s="117"/>
      <c r="AJ1857" s="117"/>
      <c r="AK1857" s="117"/>
      <c r="AL1857" s="117"/>
      <c r="AM1857" s="117"/>
      <c r="AN1857" s="117"/>
      <c r="AO1857" s="117"/>
      <c r="AP1857" s="117"/>
      <c r="AQ1857" s="117"/>
      <c r="AR1857" s="117"/>
      <c r="AS1857" s="117"/>
      <c r="AT1857" s="117"/>
      <c r="AU1857" s="117"/>
      <c r="AV1857" s="117"/>
      <c r="AW1857" s="117"/>
      <c r="AX1857" s="117"/>
      <c r="AY1857" s="117"/>
      <c r="AZ1857" s="117"/>
      <c r="BA1857" s="117"/>
      <c r="BB1857" s="117"/>
      <c r="BC1857" s="117"/>
      <c r="BD1857" s="117"/>
      <c r="BE1857" s="117"/>
      <c r="BF1857" s="117"/>
      <c r="BG1857" s="117"/>
    </row>
    <row r="1858" spans="1:59">
      <c r="A1858" s="117"/>
      <c r="B1858" s="117"/>
      <c r="C1858" s="117"/>
      <c r="D1858" s="117"/>
      <c r="E1858" s="117"/>
      <c r="F1858" s="117"/>
      <c r="G1858" s="117"/>
      <c r="H1858" s="117"/>
      <c r="I1858" s="117"/>
      <c r="J1858" s="118"/>
      <c r="K1858" s="118"/>
      <c r="L1858" s="118"/>
      <c r="M1858" s="118"/>
      <c r="N1858" s="117"/>
      <c r="O1858" s="117"/>
      <c r="P1858" s="117"/>
      <c r="Q1858" s="117"/>
      <c r="R1858" s="117"/>
      <c r="S1858" s="117"/>
      <c r="T1858" s="117"/>
      <c r="U1858" s="117"/>
      <c r="V1858" s="117"/>
      <c r="W1858" s="117"/>
      <c r="X1858" s="117"/>
      <c r="Y1858" s="117"/>
      <c r="Z1858" s="117"/>
      <c r="AA1858" s="117"/>
      <c r="AB1858" s="117"/>
      <c r="AC1858" s="117"/>
      <c r="AD1858" s="117"/>
      <c r="AE1858" s="117"/>
      <c r="AF1858" s="117"/>
      <c r="AG1858" s="117"/>
      <c r="AH1858" s="117"/>
      <c r="AI1858" s="117"/>
      <c r="AJ1858" s="117"/>
      <c r="AK1858" s="117"/>
      <c r="AL1858" s="117"/>
      <c r="AM1858" s="117"/>
      <c r="AN1858" s="117"/>
      <c r="AO1858" s="117"/>
      <c r="AP1858" s="117"/>
      <c r="AQ1858" s="117"/>
      <c r="AR1858" s="117"/>
      <c r="AS1858" s="117"/>
      <c r="AT1858" s="117"/>
      <c r="AU1858" s="117"/>
      <c r="AV1858" s="117"/>
      <c r="AW1858" s="117"/>
      <c r="AX1858" s="117"/>
      <c r="AY1858" s="117"/>
      <c r="AZ1858" s="117"/>
      <c r="BA1858" s="117"/>
      <c r="BB1858" s="117"/>
      <c r="BC1858" s="117"/>
      <c r="BD1858" s="117"/>
      <c r="BE1858" s="117"/>
      <c r="BF1858" s="117"/>
      <c r="BG1858" s="117"/>
    </row>
    <row r="1859" spans="1:59">
      <c r="A1859" s="117"/>
      <c r="B1859" s="117"/>
      <c r="C1859" s="117"/>
      <c r="D1859" s="117"/>
      <c r="E1859" s="117"/>
      <c r="F1859" s="117"/>
      <c r="G1859" s="117"/>
      <c r="H1859" s="117"/>
      <c r="I1859" s="117"/>
      <c r="J1859" s="118"/>
      <c r="K1859" s="118"/>
      <c r="L1859" s="118"/>
      <c r="M1859" s="118"/>
      <c r="N1859" s="117"/>
      <c r="O1859" s="117"/>
      <c r="P1859" s="117"/>
      <c r="Q1859" s="117"/>
      <c r="R1859" s="117"/>
      <c r="S1859" s="117"/>
      <c r="T1859" s="117"/>
      <c r="U1859" s="117"/>
      <c r="V1859" s="117"/>
      <c r="W1859" s="117"/>
      <c r="X1859" s="117"/>
      <c r="Y1859" s="117"/>
      <c r="Z1859" s="117"/>
      <c r="AA1859" s="117"/>
      <c r="AB1859" s="117"/>
      <c r="AC1859" s="117"/>
      <c r="AD1859" s="117"/>
      <c r="AE1859" s="117"/>
      <c r="AF1859" s="117"/>
      <c r="AG1859" s="117"/>
      <c r="AH1859" s="117"/>
      <c r="AI1859" s="117"/>
      <c r="AJ1859" s="117"/>
      <c r="AK1859" s="117"/>
      <c r="AL1859" s="117"/>
      <c r="AM1859" s="117"/>
      <c r="AN1859" s="117"/>
      <c r="AO1859" s="117"/>
      <c r="AP1859" s="117"/>
      <c r="AQ1859" s="117"/>
      <c r="AR1859" s="117"/>
      <c r="AS1859" s="117"/>
      <c r="AT1859" s="117"/>
      <c r="AU1859" s="117"/>
      <c r="AV1859" s="117"/>
      <c r="AW1859" s="117"/>
      <c r="AX1859" s="117"/>
      <c r="AY1859" s="117"/>
      <c r="AZ1859" s="117"/>
      <c r="BA1859" s="117"/>
      <c r="BB1859" s="117"/>
      <c r="BC1859" s="117"/>
      <c r="BD1859" s="117"/>
      <c r="BE1859" s="117"/>
      <c r="BF1859" s="117"/>
      <c r="BG1859" s="117"/>
    </row>
    <row r="1860" spans="1:59">
      <c r="A1860" s="117"/>
      <c r="B1860" s="117"/>
      <c r="C1860" s="117"/>
      <c r="D1860" s="117"/>
      <c r="E1860" s="117"/>
      <c r="F1860" s="117"/>
      <c r="G1860" s="117"/>
      <c r="H1860" s="117"/>
      <c r="I1860" s="117"/>
      <c r="J1860" s="118"/>
      <c r="K1860" s="118"/>
      <c r="L1860" s="118"/>
      <c r="M1860" s="118"/>
      <c r="N1860" s="117"/>
      <c r="O1860" s="117"/>
      <c r="P1860" s="117"/>
      <c r="Q1860" s="117"/>
      <c r="R1860" s="117"/>
      <c r="S1860" s="117"/>
      <c r="T1860" s="117"/>
      <c r="U1860" s="117"/>
      <c r="V1860" s="117"/>
      <c r="W1860" s="117"/>
      <c r="X1860" s="117"/>
      <c r="Y1860" s="117"/>
      <c r="Z1860" s="117"/>
      <c r="AA1860" s="117"/>
      <c r="AB1860" s="117"/>
      <c r="AC1860" s="117"/>
      <c r="AD1860" s="117"/>
      <c r="AE1860" s="117"/>
      <c r="AF1860" s="117"/>
      <c r="AG1860" s="117"/>
      <c r="AH1860" s="117"/>
      <c r="AI1860" s="117"/>
      <c r="AJ1860" s="117"/>
      <c r="AK1860" s="117"/>
      <c r="AL1860" s="117"/>
      <c r="AM1860" s="117"/>
      <c r="AN1860" s="117"/>
      <c r="AO1860" s="117"/>
      <c r="AP1860" s="117"/>
      <c r="AQ1860" s="117"/>
      <c r="AR1860" s="117"/>
      <c r="AS1860" s="117"/>
      <c r="AT1860" s="117"/>
      <c r="AU1860" s="117"/>
      <c r="AV1860" s="117"/>
      <c r="AW1860" s="117"/>
      <c r="AX1860" s="117"/>
      <c r="AY1860" s="117"/>
      <c r="AZ1860" s="117"/>
      <c r="BA1860" s="117"/>
      <c r="BB1860" s="117"/>
      <c r="BC1860" s="117"/>
      <c r="BD1860" s="117"/>
      <c r="BE1860" s="117"/>
      <c r="BF1860" s="117"/>
      <c r="BG1860" s="117"/>
    </row>
    <row r="1861" spans="1:59">
      <c r="A1861" s="117"/>
      <c r="B1861" s="117"/>
      <c r="C1861" s="117"/>
      <c r="D1861" s="117"/>
      <c r="E1861" s="117"/>
      <c r="F1861" s="117"/>
      <c r="G1861" s="117"/>
      <c r="H1861" s="117"/>
      <c r="I1861" s="117"/>
      <c r="J1861" s="118"/>
      <c r="K1861" s="118"/>
      <c r="L1861" s="118"/>
      <c r="M1861" s="118"/>
      <c r="N1861" s="117"/>
      <c r="O1861" s="117"/>
      <c r="P1861" s="117"/>
      <c r="Q1861" s="117"/>
      <c r="R1861" s="117"/>
      <c r="S1861" s="117"/>
      <c r="T1861" s="117"/>
      <c r="U1861" s="117"/>
      <c r="V1861" s="117"/>
      <c r="W1861" s="117"/>
      <c r="X1861" s="117"/>
      <c r="Y1861" s="117"/>
      <c r="Z1861" s="117"/>
      <c r="AA1861" s="117"/>
      <c r="AB1861" s="117"/>
      <c r="AC1861" s="117"/>
      <c r="AD1861" s="117"/>
      <c r="AE1861" s="117"/>
      <c r="AF1861" s="117"/>
      <c r="AG1861" s="117"/>
      <c r="AH1861" s="117"/>
      <c r="AI1861" s="117"/>
      <c r="AJ1861" s="117"/>
      <c r="AK1861" s="117"/>
      <c r="AL1861" s="117"/>
      <c r="AM1861" s="117"/>
      <c r="AN1861" s="117"/>
      <c r="AO1861" s="117"/>
      <c r="AP1861" s="117"/>
      <c r="AQ1861" s="117"/>
      <c r="AR1861" s="117"/>
      <c r="AS1861" s="117"/>
      <c r="AT1861" s="117"/>
      <c r="AU1861" s="117"/>
      <c r="AV1861" s="117"/>
      <c r="AW1861" s="117"/>
      <c r="AX1861" s="117"/>
      <c r="AY1861" s="117"/>
      <c r="AZ1861" s="117"/>
      <c r="BA1861" s="117"/>
      <c r="BB1861" s="117"/>
      <c r="BC1861" s="117"/>
      <c r="BD1861" s="117"/>
      <c r="BE1861" s="117"/>
      <c r="BF1861" s="117"/>
      <c r="BG1861" s="117"/>
    </row>
    <row r="1862" spans="1:59">
      <c r="A1862" s="117"/>
      <c r="B1862" s="117"/>
      <c r="C1862" s="117"/>
      <c r="D1862" s="117"/>
      <c r="E1862" s="117"/>
      <c r="F1862" s="117"/>
      <c r="G1862" s="117"/>
      <c r="H1862" s="117"/>
      <c r="I1862" s="117"/>
      <c r="J1862" s="118"/>
      <c r="K1862" s="118"/>
      <c r="L1862" s="118"/>
      <c r="M1862" s="118"/>
      <c r="N1862" s="117"/>
      <c r="O1862" s="117"/>
      <c r="P1862" s="117"/>
      <c r="Q1862" s="117"/>
      <c r="R1862" s="117"/>
      <c r="S1862" s="117"/>
      <c r="T1862" s="117"/>
      <c r="U1862" s="117"/>
      <c r="V1862" s="117"/>
      <c r="W1862" s="117"/>
      <c r="X1862" s="117"/>
      <c r="Y1862" s="117"/>
      <c r="Z1862" s="117"/>
      <c r="AA1862" s="117"/>
      <c r="AB1862" s="117"/>
      <c r="AC1862" s="117"/>
      <c r="AD1862" s="117"/>
      <c r="AE1862" s="117"/>
      <c r="AF1862" s="117"/>
      <c r="AG1862" s="117"/>
      <c r="AH1862" s="117"/>
      <c r="AI1862" s="117"/>
      <c r="AJ1862" s="117"/>
      <c r="AK1862" s="117"/>
      <c r="AL1862" s="117"/>
      <c r="AM1862" s="117"/>
      <c r="AN1862" s="117"/>
      <c r="AO1862" s="117"/>
      <c r="AP1862" s="117"/>
      <c r="AQ1862" s="117"/>
      <c r="AR1862" s="117"/>
      <c r="AS1862" s="117"/>
      <c r="AT1862" s="117"/>
      <c r="AU1862" s="117"/>
      <c r="AV1862" s="117"/>
      <c r="AW1862" s="117"/>
      <c r="AX1862" s="117"/>
      <c r="AY1862" s="117"/>
      <c r="AZ1862" s="117"/>
      <c r="BA1862" s="117"/>
      <c r="BB1862" s="117"/>
      <c r="BC1862" s="117"/>
      <c r="BD1862" s="117"/>
      <c r="BE1862" s="117"/>
      <c r="BF1862" s="117"/>
      <c r="BG1862" s="117"/>
    </row>
    <row r="1863" spans="1:59">
      <c r="A1863" s="117"/>
      <c r="B1863" s="117"/>
      <c r="C1863" s="117"/>
      <c r="D1863" s="117"/>
      <c r="E1863" s="117"/>
      <c r="F1863" s="117"/>
      <c r="G1863" s="117"/>
      <c r="H1863" s="117"/>
      <c r="I1863" s="117"/>
      <c r="J1863" s="118"/>
      <c r="K1863" s="118"/>
      <c r="L1863" s="118"/>
      <c r="M1863" s="118"/>
      <c r="N1863" s="117"/>
      <c r="O1863" s="117"/>
      <c r="P1863" s="117"/>
      <c r="Q1863" s="117"/>
      <c r="R1863" s="117"/>
      <c r="S1863" s="117"/>
      <c r="T1863" s="117"/>
      <c r="U1863" s="117"/>
      <c r="V1863" s="117"/>
      <c r="W1863" s="117"/>
      <c r="X1863" s="117"/>
      <c r="Y1863" s="117"/>
      <c r="Z1863" s="117"/>
      <c r="AA1863" s="117"/>
      <c r="AB1863" s="117"/>
      <c r="AC1863" s="117"/>
      <c r="AD1863" s="117"/>
      <c r="AE1863" s="117"/>
      <c r="AF1863" s="117"/>
      <c r="AG1863" s="117"/>
      <c r="AH1863" s="117"/>
      <c r="AI1863" s="117"/>
      <c r="AJ1863" s="117"/>
      <c r="AK1863" s="117"/>
      <c r="AL1863" s="117"/>
      <c r="AM1863" s="117"/>
      <c r="AN1863" s="117"/>
      <c r="AO1863" s="117"/>
      <c r="AP1863" s="117"/>
      <c r="AQ1863" s="117"/>
      <c r="AR1863" s="117"/>
      <c r="AS1863" s="117"/>
      <c r="AT1863" s="117"/>
      <c r="AU1863" s="117"/>
      <c r="AV1863" s="117"/>
      <c r="AW1863" s="117"/>
      <c r="AX1863" s="117"/>
      <c r="AY1863" s="117"/>
      <c r="AZ1863" s="117"/>
      <c r="BA1863" s="117"/>
      <c r="BB1863" s="117"/>
      <c r="BC1863" s="117"/>
      <c r="BD1863" s="117"/>
      <c r="BE1863" s="117"/>
      <c r="BF1863" s="117"/>
      <c r="BG1863" s="117"/>
    </row>
    <row r="1864" spans="1:59">
      <c r="A1864" s="117"/>
      <c r="B1864" s="117"/>
      <c r="C1864" s="117"/>
      <c r="D1864" s="117"/>
      <c r="E1864" s="117"/>
      <c r="F1864" s="117"/>
      <c r="G1864" s="117"/>
      <c r="H1864" s="117"/>
      <c r="I1864" s="117"/>
      <c r="J1864" s="118"/>
      <c r="K1864" s="118"/>
      <c r="L1864" s="118"/>
      <c r="M1864" s="118"/>
      <c r="N1864" s="117"/>
      <c r="O1864" s="117"/>
      <c r="P1864" s="117"/>
      <c r="Q1864" s="117"/>
      <c r="R1864" s="117"/>
      <c r="S1864" s="117"/>
      <c r="T1864" s="117"/>
      <c r="U1864" s="117"/>
      <c r="V1864" s="117"/>
      <c r="W1864" s="117"/>
      <c r="X1864" s="117"/>
      <c r="Y1864" s="117"/>
      <c r="Z1864" s="117"/>
      <c r="AA1864" s="117"/>
      <c r="AB1864" s="117"/>
      <c r="AC1864" s="117"/>
      <c r="AD1864" s="117"/>
      <c r="AE1864" s="117"/>
      <c r="AF1864" s="117"/>
      <c r="AG1864" s="117"/>
      <c r="AH1864" s="117"/>
      <c r="AI1864" s="117"/>
      <c r="AJ1864" s="117"/>
      <c r="AK1864" s="117"/>
      <c r="AL1864" s="117"/>
      <c r="AM1864" s="117"/>
      <c r="AN1864" s="117"/>
      <c r="AO1864" s="117"/>
      <c r="AP1864" s="117"/>
      <c r="AQ1864" s="117"/>
      <c r="AR1864" s="117"/>
      <c r="AS1864" s="117"/>
      <c r="AT1864" s="117"/>
      <c r="AU1864" s="117"/>
      <c r="AV1864" s="117"/>
      <c r="AW1864" s="117"/>
      <c r="AX1864" s="117"/>
      <c r="AY1864" s="117"/>
      <c r="AZ1864" s="117"/>
      <c r="BA1864" s="117"/>
      <c r="BB1864" s="117"/>
      <c r="BC1864" s="117"/>
      <c r="BD1864" s="117"/>
      <c r="BE1864" s="117"/>
      <c r="BF1864" s="117"/>
      <c r="BG1864" s="117"/>
    </row>
    <row r="1865" spans="1:59">
      <c r="A1865" s="117"/>
      <c r="B1865" s="117"/>
      <c r="C1865" s="117"/>
      <c r="D1865" s="117"/>
      <c r="E1865" s="117"/>
      <c r="F1865" s="117"/>
      <c r="G1865" s="117"/>
      <c r="H1865" s="117"/>
      <c r="I1865" s="117"/>
      <c r="J1865" s="118"/>
      <c r="K1865" s="118"/>
      <c r="L1865" s="118"/>
      <c r="M1865" s="118"/>
      <c r="N1865" s="117"/>
      <c r="O1865" s="117"/>
      <c r="P1865" s="117"/>
      <c r="Q1865" s="117"/>
      <c r="R1865" s="117"/>
      <c r="S1865" s="117"/>
      <c r="T1865" s="117"/>
      <c r="U1865" s="117"/>
      <c r="V1865" s="117"/>
      <c r="W1865" s="117"/>
      <c r="X1865" s="117"/>
      <c r="Y1865" s="117"/>
      <c r="Z1865" s="117"/>
      <c r="AA1865" s="117"/>
      <c r="AB1865" s="117"/>
      <c r="AC1865" s="117"/>
      <c r="AD1865" s="117"/>
      <c r="AE1865" s="117"/>
      <c r="AF1865" s="117"/>
      <c r="AG1865" s="117"/>
      <c r="AH1865" s="117"/>
      <c r="AI1865" s="117"/>
      <c r="AJ1865" s="117"/>
      <c r="AK1865" s="117"/>
      <c r="AL1865" s="117"/>
      <c r="AM1865" s="117"/>
      <c r="AN1865" s="117"/>
      <c r="AO1865" s="117"/>
      <c r="AP1865" s="117"/>
      <c r="AQ1865" s="117"/>
      <c r="AR1865" s="117"/>
      <c r="AS1865" s="117"/>
      <c r="AT1865" s="117"/>
      <c r="AU1865" s="117"/>
      <c r="AV1865" s="117"/>
      <c r="AW1865" s="117"/>
      <c r="AX1865" s="117"/>
      <c r="AY1865" s="117"/>
      <c r="AZ1865" s="117"/>
      <c r="BA1865" s="117"/>
      <c r="BB1865" s="117"/>
      <c r="BC1865" s="117"/>
      <c r="BD1865" s="117"/>
      <c r="BE1865" s="117"/>
      <c r="BF1865" s="117"/>
      <c r="BG1865" s="117"/>
    </row>
    <row r="1866" spans="1:59">
      <c r="A1866" s="117"/>
      <c r="B1866" s="117"/>
      <c r="C1866" s="117"/>
      <c r="D1866" s="117"/>
      <c r="E1866" s="117"/>
      <c r="F1866" s="117"/>
      <c r="G1866" s="117"/>
      <c r="H1866" s="117"/>
      <c r="I1866" s="117"/>
      <c r="J1866" s="118"/>
      <c r="K1866" s="118"/>
      <c r="L1866" s="118"/>
      <c r="M1866" s="118"/>
      <c r="N1866" s="117"/>
      <c r="O1866" s="117"/>
      <c r="P1866" s="117"/>
      <c r="Q1866" s="117"/>
      <c r="R1866" s="117"/>
      <c r="S1866" s="117"/>
      <c r="T1866" s="117"/>
      <c r="U1866" s="117"/>
      <c r="V1866" s="117"/>
      <c r="W1866" s="117"/>
      <c r="X1866" s="117"/>
      <c r="Y1866" s="117"/>
      <c r="Z1866" s="117"/>
      <c r="AA1866" s="117"/>
      <c r="AB1866" s="117"/>
      <c r="AC1866" s="117"/>
      <c r="AD1866" s="117"/>
      <c r="AE1866" s="117"/>
      <c r="AF1866" s="117"/>
      <c r="AG1866" s="117"/>
      <c r="AH1866" s="117"/>
      <c r="AI1866" s="117"/>
      <c r="AJ1866" s="117"/>
      <c r="AK1866" s="117"/>
      <c r="AL1866" s="117"/>
      <c r="AM1866" s="117"/>
      <c r="AN1866" s="117"/>
      <c r="AO1866" s="117"/>
      <c r="AP1866" s="117"/>
      <c r="AQ1866" s="117"/>
      <c r="AR1866" s="117"/>
      <c r="AS1866" s="117"/>
      <c r="AT1866" s="117"/>
      <c r="AU1866" s="117"/>
      <c r="AV1866" s="117"/>
      <c r="AW1866" s="117"/>
      <c r="AX1866" s="117"/>
      <c r="AY1866" s="117"/>
      <c r="AZ1866" s="117"/>
      <c r="BA1866" s="117"/>
      <c r="BB1866" s="117"/>
      <c r="BC1866" s="117"/>
      <c r="BD1866" s="117"/>
      <c r="BE1866" s="117"/>
      <c r="BF1866" s="117"/>
      <c r="BG1866" s="117"/>
    </row>
    <row r="1867" spans="1:59">
      <c r="A1867" s="117"/>
      <c r="B1867" s="117"/>
      <c r="C1867" s="117"/>
      <c r="D1867" s="117"/>
      <c r="E1867" s="117"/>
      <c r="F1867" s="117"/>
      <c r="G1867" s="117"/>
      <c r="H1867" s="117"/>
      <c r="I1867" s="117"/>
      <c r="J1867" s="118"/>
      <c r="K1867" s="118"/>
      <c r="L1867" s="118"/>
      <c r="M1867" s="118"/>
      <c r="N1867" s="117"/>
      <c r="O1867" s="117"/>
      <c r="P1867" s="117"/>
      <c r="Q1867" s="117"/>
      <c r="R1867" s="117"/>
      <c r="S1867" s="117"/>
      <c r="T1867" s="117"/>
      <c r="U1867" s="117"/>
      <c r="V1867" s="117"/>
      <c r="W1867" s="117"/>
      <c r="X1867" s="117"/>
      <c r="Y1867" s="117"/>
      <c r="Z1867" s="117"/>
      <c r="AA1867" s="117"/>
      <c r="AB1867" s="117"/>
      <c r="AC1867" s="117"/>
      <c r="AD1867" s="117"/>
      <c r="AE1867" s="117"/>
      <c r="AF1867" s="117"/>
      <c r="AG1867" s="117"/>
      <c r="AH1867" s="117"/>
      <c r="AI1867" s="117"/>
      <c r="AJ1867" s="117"/>
      <c r="AK1867" s="117"/>
      <c r="AL1867" s="117"/>
      <c r="AM1867" s="117"/>
      <c r="AN1867" s="117"/>
      <c r="AO1867" s="117"/>
      <c r="AP1867" s="117"/>
      <c r="AQ1867" s="117"/>
      <c r="AR1867" s="117"/>
      <c r="AS1867" s="117"/>
      <c r="AT1867" s="117"/>
      <c r="AU1867" s="117"/>
      <c r="AV1867" s="117"/>
      <c r="AW1867" s="117"/>
      <c r="AX1867" s="117"/>
      <c r="AY1867" s="117"/>
      <c r="AZ1867" s="117"/>
      <c r="BA1867" s="117"/>
      <c r="BB1867" s="117"/>
      <c r="BC1867" s="117"/>
      <c r="BD1867" s="117"/>
      <c r="BE1867" s="117"/>
      <c r="BF1867" s="117"/>
      <c r="BG1867" s="117"/>
    </row>
    <row r="1868" spans="1:59">
      <c r="A1868" s="117"/>
      <c r="B1868" s="117"/>
      <c r="C1868" s="117"/>
      <c r="D1868" s="117"/>
      <c r="E1868" s="117"/>
      <c r="F1868" s="117"/>
      <c r="G1868" s="117"/>
      <c r="H1868" s="117"/>
      <c r="I1868" s="117"/>
      <c r="J1868" s="118"/>
      <c r="K1868" s="118"/>
      <c r="L1868" s="118"/>
      <c r="M1868" s="118"/>
      <c r="N1868" s="117"/>
      <c r="O1868" s="117"/>
      <c r="P1868" s="117"/>
      <c r="Q1868" s="117"/>
      <c r="R1868" s="117"/>
      <c r="S1868" s="117"/>
      <c r="T1868" s="117"/>
      <c r="U1868" s="117"/>
      <c r="V1868" s="117"/>
      <c r="W1868" s="117"/>
      <c r="X1868" s="117"/>
      <c r="Y1868" s="117"/>
      <c r="Z1868" s="117"/>
      <c r="AA1868" s="117"/>
      <c r="AB1868" s="117"/>
      <c r="AC1868" s="117"/>
      <c r="AD1868" s="117"/>
      <c r="AE1868" s="117"/>
      <c r="AF1868" s="117"/>
      <c r="AG1868" s="117"/>
      <c r="AH1868" s="117"/>
      <c r="AI1868" s="117"/>
      <c r="AJ1868" s="117"/>
      <c r="AK1868" s="117"/>
      <c r="AL1868" s="117"/>
      <c r="AM1868" s="117"/>
      <c r="AN1868" s="117"/>
      <c r="AO1868" s="117"/>
      <c r="AP1868" s="117"/>
      <c r="AQ1868" s="117"/>
      <c r="AR1868" s="117"/>
      <c r="AS1868" s="117"/>
      <c r="AT1868" s="117"/>
      <c r="AU1868" s="117"/>
      <c r="AV1868" s="117"/>
      <c r="AW1868" s="117"/>
      <c r="AX1868" s="117"/>
      <c r="AY1868" s="117"/>
      <c r="AZ1868" s="117"/>
      <c r="BA1868" s="117"/>
      <c r="BB1868" s="117"/>
      <c r="BC1868" s="117"/>
      <c r="BD1868" s="117"/>
      <c r="BE1868" s="117"/>
      <c r="BF1868" s="117"/>
      <c r="BG1868" s="117"/>
    </row>
    <row r="1869" spans="1:59">
      <c r="A1869" s="117"/>
      <c r="B1869" s="117"/>
      <c r="C1869" s="117"/>
      <c r="D1869" s="117"/>
      <c r="E1869" s="117"/>
      <c r="F1869" s="117"/>
      <c r="G1869" s="117"/>
      <c r="H1869" s="117"/>
      <c r="I1869" s="117"/>
      <c r="J1869" s="118"/>
      <c r="K1869" s="118"/>
      <c r="L1869" s="118"/>
      <c r="M1869" s="118"/>
      <c r="N1869" s="117"/>
      <c r="O1869" s="117"/>
      <c r="P1869" s="117"/>
      <c r="Q1869" s="117"/>
      <c r="R1869" s="117"/>
      <c r="S1869" s="117"/>
      <c r="T1869" s="117"/>
      <c r="U1869" s="117"/>
      <c r="V1869" s="117"/>
      <c r="W1869" s="117"/>
      <c r="X1869" s="117"/>
      <c r="Y1869" s="117"/>
      <c r="Z1869" s="117"/>
      <c r="AA1869" s="117"/>
      <c r="AB1869" s="117"/>
      <c r="AC1869" s="117"/>
      <c r="AD1869" s="117"/>
      <c r="AE1869" s="117"/>
      <c r="AF1869" s="117"/>
      <c r="AG1869" s="117"/>
      <c r="AH1869" s="117"/>
      <c r="AI1869" s="117"/>
      <c r="AJ1869" s="117"/>
      <c r="AK1869" s="117"/>
      <c r="AL1869" s="117"/>
      <c r="AM1869" s="117"/>
      <c r="AN1869" s="117"/>
      <c r="AO1869" s="117"/>
      <c r="AP1869" s="117"/>
      <c r="AQ1869" s="117"/>
      <c r="AR1869" s="117"/>
      <c r="AS1869" s="117"/>
      <c r="AT1869" s="117"/>
      <c r="AU1869" s="117"/>
      <c r="AV1869" s="117"/>
      <c r="AW1869" s="117"/>
      <c r="AX1869" s="117"/>
      <c r="AY1869" s="117"/>
      <c r="AZ1869" s="117"/>
      <c r="BA1869" s="117"/>
      <c r="BB1869" s="117"/>
      <c r="BC1869" s="117"/>
      <c r="BD1869" s="117"/>
      <c r="BE1869" s="117"/>
      <c r="BF1869" s="117"/>
      <c r="BG1869" s="117"/>
    </row>
    <row r="1870" spans="1:59">
      <c r="A1870" s="117"/>
      <c r="B1870" s="117"/>
      <c r="C1870" s="117"/>
      <c r="D1870" s="117"/>
      <c r="E1870" s="117"/>
      <c r="F1870" s="117"/>
      <c r="G1870" s="117"/>
      <c r="H1870" s="117"/>
      <c r="I1870" s="117"/>
      <c r="J1870" s="118"/>
      <c r="K1870" s="118"/>
      <c r="L1870" s="118"/>
      <c r="M1870" s="118"/>
      <c r="N1870" s="117"/>
      <c r="O1870" s="117"/>
      <c r="P1870" s="117"/>
      <c r="Q1870" s="117"/>
      <c r="R1870" s="117"/>
      <c r="S1870" s="117"/>
      <c r="T1870" s="117"/>
      <c r="U1870" s="117"/>
      <c r="V1870" s="117"/>
      <c r="W1870" s="117"/>
      <c r="X1870" s="117"/>
      <c r="Y1870" s="117"/>
      <c r="Z1870" s="117"/>
      <c r="AA1870" s="117"/>
      <c r="AB1870" s="117"/>
      <c r="AC1870" s="117"/>
      <c r="AD1870" s="117"/>
      <c r="AE1870" s="117"/>
      <c r="AF1870" s="117"/>
      <c r="AG1870" s="117"/>
      <c r="AH1870" s="117"/>
      <c r="AI1870" s="117"/>
      <c r="AJ1870" s="117"/>
      <c r="AK1870" s="117"/>
      <c r="AL1870" s="117"/>
      <c r="AM1870" s="117"/>
      <c r="AN1870" s="117"/>
      <c r="AO1870" s="117"/>
      <c r="AP1870" s="117"/>
      <c r="AQ1870" s="117"/>
      <c r="AR1870" s="117"/>
      <c r="AS1870" s="117"/>
      <c r="AT1870" s="117"/>
      <c r="AU1870" s="117"/>
      <c r="AV1870" s="117"/>
      <c r="AW1870" s="117"/>
      <c r="AX1870" s="117"/>
      <c r="AY1870" s="117"/>
      <c r="AZ1870" s="117"/>
      <c r="BA1870" s="117"/>
      <c r="BB1870" s="117"/>
      <c r="BC1870" s="117"/>
      <c r="BD1870" s="117"/>
      <c r="BE1870" s="117"/>
      <c r="BF1870" s="117"/>
      <c r="BG1870" s="117"/>
    </row>
    <row r="1871" spans="1:59">
      <c r="A1871" s="117"/>
      <c r="B1871" s="117"/>
      <c r="C1871" s="117"/>
      <c r="D1871" s="117"/>
      <c r="E1871" s="117"/>
      <c r="F1871" s="117"/>
      <c r="G1871" s="117"/>
      <c r="H1871" s="117"/>
      <c r="I1871" s="117"/>
      <c r="J1871" s="118"/>
      <c r="K1871" s="118"/>
      <c r="L1871" s="118"/>
      <c r="M1871" s="118"/>
      <c r="N1871" s="117"/>
      <c r="O1871" s="117"/>
      <c r="P1871" s="117"/>
      <c r="Q1871" s="117"/>
      <c r="R1871" s="117"/>
      <c r="S1871" s="117"/>
      <c r="T1871" s="117"/>
      <c r="U1871" s="117"/>
      <c r="V1871" s="117"/>
      <c r="W1871" s="117"/>
      <c r="X1871" s="117"/>
      <c r="Y1871" s="117"/>
      <c r="Z1871" s="117"/>
      <c r="AA1871" s="117"/>
      <c r="AB1871" s="117"/>
      <c r="AC1871" s="117"/>
      <c r="AD1871" s="117"/>
      <c r="AE1871" s="117"/>
      <c r="AF1871" s="117"/>
      <c r="AG1871" s="117"/>
      <c r="AH1871" s="117"/>
      <c r="AI1871" s="117"/>
      <c r="AJ1871" s="117"/>
      <c r="AK1871" s="117"/>
      <c r="AL1871" s="117"/>
      <c r="AM1871" s="117"/>
      <c r="AN1871" s="117"/>
      <c r="AO1871" s="117"/>
      <c r="AP1871" s="117"/>
      <c r="AQ1871" s="117"/>
      <c r="AR1871" s="117"/>
      <c r="AS1871" s="117"/>
      <c r="AT1871" s="117"/>
      <c r="AU1871" s="117"/>
      <c r="AV1871" s="117"/>
      <c r="AW1871" s="117"/>
      <c r="AX1871" s="117"/>
      <c r="AY1871" s="117"/>
      <c r="AZ1871" s="117"/>
      <c r="BA1871" s="117"/>
      <c r="BB1871" s="117"/>
      <c r="BC1871" s="117"/>
      <c r="BD1871" s="117"/>
      <c r="BE1871" s="117"/>
      <c r="BF1871" s="117"/>
      <c r="BG1871" s="117"/>
    </row>
    <row r="1872" spans="1:59">
      <c r="A1872" s="117"/>
      <c r="B1872" s="117"/>
      <c r="C1872" s="117"/>
      <c r="D1872" s="117"/>
      <c r="E1872" s="117"/>
      <c r="F1872" s="117"/>
      <c r="G1872" s="117"/>
      <c r="H1872" s="117"/>
      <c r="I1872" s="117"/>
      <c r="J1872" s="118"/>
      <c r="K1872" s="118"/>
      <c r="L1872" s="118"/>
      <c r="M1872" s="118"/>
      <c r="N1872" s="117"/>
      <c r="O1872" s="117"/>
      <c r="P1872" s="117"/>
      <c r="Q1872" s="117"/>
      <c r="R1872" s="117"/>
      <c r="S1872" s="117"/>
      <c r="T1872" s="117"/>
      <c r="U1872" s="117"/>
      <c r="V1872" s="117"/>
      <c r="W1872" s="117"/>
      <c r="X1872" s="117"/>
      <c r="Y1872" s="117"/>
      <c r="Z1872" s="117"/>
      <c r="AA1872" s="117"/>
      <c r="AB1872" s="117"/>
      <c r="AC1872" s="117"/>
      <c r="AD1872" s="117"/>
      <c r="AE1872" s="117"/>
      <c r="AF1872" s="117"/>
      <c r="AG1872" s="117"/>
      <c r="AH1872" s="117"/>
      <c r="AI1872" s="117"/>
      <c r="AJ1872" s="117"/>
      <c r="AK1872" s="117"/>
      <c r="AL1872" s="117"/>
      <c r="AM1872" s="117"/>
      <c r="AN1872" s="117"/>
      <c r="AO1872" s="117"/>
      <c r="AP1872" s="117"/>
      <c r="AQ1872" s="117"/>
      <c r="AR1872" s="117"/>
      <c r="AS1872" s="117"/>
      <c r="AT1872" s="117"/>
      <c r="AU1872" s="117"/>
      <c r="AV1872" s="117"/>
      <c r="AW1872" s="117"/>
      <c r="AX1872" s="117"/>
      <c r="AY1872" s="117"/>
      <c r="AZ1872" s="117"/>
      <c r="BA1872" s="117"/>
      <c r="BB1872" s="117"/>
      <c r="BC1872" s="117"/>
      <c r="BD1872" s="117"/>
      <c r="BE1872" s="117"/>
      <c r="BF1872" s="117"/>
      <c r="BG1872" s="117"/>
    </row>
    <row r="1873" spans="1:59">
      <c r="A1873" s="117"/>
      <c r="B1873" s="117"/>
      <c r="C1873" s="117"/>
      <c r="D1873" s="117"/>
      <c r="E1873" s="117"/>
      <c r="F1873" s="117"/>
      <c r="G1873" s="117"/>
      <c r="H1873" s="117"/>
      <c r="I1873" s="117"/>
      <c r="J1873" s="118"/>
      <c r="K1873" s="118"/>
      <c r="L1873" s="118"/>
      <c r="M1873" s="118"/>
      <c r="N1873" s="117"/>
      <c r="O1873" s="117"/>
      <c r="P1873" s="117"/>
      <c r="Q1873" s="117"/>
      <c r="R1873" s="117"/>
      <c r="S1873" s="117"/>
      <c r="T1873" s="117"/>
      <c r="U1873" s="117"/>
      <c r="V1873" s="117"/>
      <c r="W1873" s="117"/>
      <c r="X1873" s="117"/>
      <c r="Y1873" s="117"/>
      <c r="Z1873" s="117"/>
      <c r="AA1873" s="117"/>
      <c r="AB1873" s="117"/>
      <c r="AC1873" s="117"/>
      <c r="AD1873" s="117"/>
      <c r="AE1873" s="117"/>
      <c r="AF1873" s="117"/>
      <c r="AG1873" s="117"/>
      <c r="AH1873" s="117"/>
      <c r="AI1873" s="117"/>
      <c r="AJ1873" s="117"/>
      <c r="AK1873" s="117"/>
      <c r="AL1873" s="117"/>
      <c r="AM1873" s="117"/>
      <c r="AN1873" s="117"/>
      <c r="AO1873" s="117"/>
      <c r="AP1873" s="117"/>
      <c r="AQ1873" s="117"/>
      <c r="AR1873" s="117"/>
      <c r="AS1873" s="117"/>
      <c r="AT1873" s="117"/>
      <c r="AU1873" s="117"/>
      <c r="AV1873" s="117"/>
      <c r="AW1873" s="117"/>
      <c r="AX1873" s="117"/>
      <c r="AY1873" s="117"/>
      <c r="AZ1873" s="117"/>
      <c r="BA1873" s="117"/>
      <c r="BB1873" s="117"/>
      <c r="BC1873" s="117"/>
      <c r="BD1873" s="117"/>
      <c r="BE1873" s="117"/>
      <c r="BF1873" s="117"/>
      <c r="BG1873" s="117"/>
    </row>
    <row r="1874" spans="1:59">
      <c r="A1874" s="117"/>
      <c r="B1874" s="117"/>
      <c r="C1874" s="117"/>
      <c r="D1874" s="117"/>
      <c r="E1874" s="117"/>
      <c r="F1874" s="117"/>
      <c r="G1874" s="117"/>
      <c r="H1874" s="117"/>
      <c r="I1874" s="117"/>
      <c r="J1874" s="118"/>
      <c r="K1874" s="118"/>
      <c r="L1874" s="118"/>
      <c r="M1874" s="118"/>
      <c r="N1874" s="117"/>
      <c r="O1874" s="117"/>
      <c r="P1874" s="117"/>
      <c r="Q1874" s="117"/>
      <c r="R1874" s="117"/>
      <c r="S1874" s="117"/>
      <c r="T1874" s="117"/>
      <c r="U1874" s="117"/>
      <c r="V1874" s="117"/>
      <c r="W1874" s="117"/>
      <c r="X1874" s="117"/>
      <c r="Y1874" s="117"/>
      <c r="Z1874" s="117"/>
      <c r="AA1874" s="117"/>
      <c r="AB1874" s="117"/>
      <c r="AC1874" s="117"/>
      <c r="AD1874" s="117"/>
      <c r="AE1874" s="117"/>
      <c r="AF1874" s="117"/>
      <c r="AG1874" s="117"/>
      <c r="AH1874" s="117"/>
      <c r="AI1874" s="117"/>
      <c r="AJ1874" s="117"/>
      <c r="AK1874" s="117"/>
      <c r="AL1874" s="117"/>
      <c r="AM1874" s="117"/>
      <c r="AN1874" s="117"/>
      <c r="AO1874" s="117"/>
      <c r="AP1874" s="117"/>
      <c r="AQ1874" s="117"/>
      <c r="AR1874" s="117"/>
      <c r="AS1874" s="117"/>
      <c r="AT1874" s="117"/>
      <c r="AU1874" s="117"/>
      <c r="AV1874" s="117"/>
      <c r="AW1874" s="117"/>
      <c r="AX1874" s="117"/>
      <c r="AY1874" s="117"/>
      <c r="AZ1874" s="117"/>
      <c r="BA1874" s="117"/>
      <c r="BB1874" s="117"/>
      <c r="BC1874" s="117"/>
      <c r="BD1874" s="117"/>
      <c r="BE1874" s="117"/>
      <c r="BF1874" s="117"/>
      <c r="BG1874" s="117"/>
    </row>
    <row r="1875" spans="1:59">
      <c r="A1875" s="117"/>
      <c r="B1875" s="117"/>
      <c r="C1875" s="117"/>
      <c r="D1875" s="117"/>
      <c r="E1875" s="117"/>
      <c r="F1875" s="117"/>
      <c r="G1875" s="117"/>
      <c r="H1875" s="117"/>
      <c r="I1875" s="117"/>
      <c r="J1875" s="118"/>
      <c r="K1875" s="118"/>
      <c r="L1875" s="118"/>
      <c r="M1875" s="118"/>
      <c r="N1875" s="117"/>
      <c r="O1875" s="117"/>
      <c r="P1875" s="117"/>
      <c r="Q1875" s="117"/>
      <c r="R1875" s="117"/>
      <c r="S1875" s="117"/>
      <c r="T1875" s="117"/>
      <c r="U1875" s="117"/>
      <c r="V1875" s="117"/>
      <c r="W1875" s="117"/>
      <c r="X1875" s="117"/>
      <c r="Y1875" s="117"/>
      <c r="Z1875" s="117"/>
      <c r="AA1875" s="117"/>
      <c r="AB1875" s="117"/>
      <c r="AC1875" s="117"/>
      <c r="AD1875" s="117"/>
      <c r="AE1875" s="117"/>
      <c r="AF1875" s="117"/>
      <c r="AG1875" s="117"/>
      <c r="AH1875" s="117"/>
      <c r="AI1875" s="117"/>
      <c r="AJ1875" s="117"/>
      <c r="AK1875" s="117"/>
      <c r="AL1875" s="117"/>
      <c r="AM1875" s="117"/>
      <c r="AN1875" s="117"/>
      <c r="AO1875" s="117"/>
      <c r="AP1875" s="117"/>
      <c r="AQ1875" s="117"/>
      <c r="AR1875" s="117"/>
      <c r="AS1875" s="117"/>
      <c r="AT1875" s="117"/>
      <c r="AU1875" s="117"/>
      <c r="AV1875" s="117"/>
      <c r="AW1875" s="117"/>
      <c r="AX1875" s="117"/>
      <c r="AY1875" s="117"/>
      <c r="AZ1875" s="117"/>
      <c r="BA1875" s="117"/>
      <c r="BB1875" s="117"/>
      <c r="BC1875" s="117"/>
      <c r="BD1875" s="117"/>
      <c r="BE1875" s="117"/>
      <c r="BF1875" s="117"/>
      <c r="BG1875" s="117"/>
    </row>
    <row r="1876" spans="1:59">
      <c r="A1876" s="117"/>
      <c r="B1876" s="117"/>
      <c r="C1876" s="117"/>
      <c r="D1876" s="117"/>
      <c r="E1876" s="117"/>
      <c r="F1876" s="117"/>
      <c r="G1876" s="117"/>
      <c r="H1876" s="117"/>
      <c r="I1876" s="117"/>
      <c r="J1876" s="118"/>
      <c r="K1876" s="118"/>
      <c r="L1876" s="118"/>
      <c r="M1876" s="118"/>
      <c r="N1876" s="117"/>
      <c r="O1876" s="117"/>
      <c r="P1876" s="117"/>
      <c r="Q1876" s="117"/>
      <c r="R1876" s="117"/>
      <c r="S1876" s="117"/>
      <c r="T1876" s="117"/>
      <c r="U1876" s="117"/>
      <c r="V1876" s="117"/>
      <c r="W1876" s="117"/>
      <c r="X1876" s="117"/>
      <c r="Y1876" s="117"/>
      <c r="Z1876" s="117"/>
      <c r="AA1876" s="117"/>
      <c r="AB1876" s="117"/>
      <c r="AC1876" s="117"/>
      <c r="AD1876" s="117"/>
      <c r="AE1876" s="117"/>
      <c r="AF1876" s="117"/>
      <c r="AG1876" s="117"/>
      <c r="AH1876" s="117"/>
      <c r="AI1876" s="117"/>
      <c r="AJ1876" s="117"/>
      <c r="AK1876" s="117"/>
      <c r="AL1876" s="117"/>
      <c r="AM1876" s="117"/>
      <c r="AN1876" s="117"/>
      <c r="AO1876" s="117"/>
      <c r="AP1876" s="117"/>
      <c r="AQ1876" s="117"/>
      <c r="AR1876" s="117"/>
      <c r="AS1876" s="117"/>
      <c r="AT1876" s="117"/>
      <c r="AU1876" s="117"/>
      <c r="AV1876" s="117"/>
      <c r="AW1876" s="117"/>
      <c r="AX1876" s="117"/>
      <c r="AY1876" s="117"/>
      <c r="AZ1876" s="117"/>
      <c r="BA1876" s="117"/>
      <c r="BB1876" s="117"/>
      <c r="BC1876" s="117"/>
      <c r="BD1876" s="117"/>
      <c r="BE1876" s="117"/>
      <c r="BF1876" s="117"/>
      <c r="BG1876" s="117"/>
    </row>
    <row r="1877" spans="1:59">
      <c r="A1877" s="117"/>
      <c r="B1877" s="117"/>
      <c r="C1877" s="117"/>
      <c r="D1877" s="117"/>
      <c r="E1877" s="117"/>
      <c r="F1877" s="117"/>
      <c r="G1877" s="117"/>
      <c r="H1877" s="117"/>
      <c r="I1877" s="117"/>
      <c r="J1877" s="118"/>
      <c r="K1877" s="118"/>
      <c r="L1877" s="118"/>
      <c r="M1877" s="118"/>
      <c r="N1877" s="117"/>
      <c r="O1877" s="117"/>
      <c r="P1877" s="117"/>
      <c r="Q1877" s="117"/>
      <c r="R1877" s="117"/>
      <c r="S1877" s="117"/>
      <c r="T1877" s="117"/>
      <c r="U1877" s="117"/>
      <c r="V1877" s="117"/>
      <c r="W1877" s="117"/>
      <c r="X1877" s="117"/>
      <c r="Y1877" s="117"/>
      <c r="Z1877" s="117"/>
      <c r="AA1877" s="117"/>
      <c r="AB1877" s="117"/>
      <c r="AC1877" s="117"/>
      <c r="AD1877" s="117"/>
      <c r="AE1877" s="117"/>
      <c r="AF1877" s="117"/>
      <c r="AG1877" s="117"/>
      <c r="AH1877" s="117"/>
      <c r="AI1877" s="117"/>
      <c r="AJ1877" s="117"/>
      <c r="AK1877" s="117"/>
      <c r="AL1877" s="117"/>
      <c r="AM1877" s="117"/>
      <c r="AN1877" s="117"/>
      <c r="AO1877" s="117"/>
      <c r="AP1877" s="117"/>
      <c r="AQ1877" s="117"/>
      <c r="AR1877" s="117"/>
      <c r="AS1877" s="117"/>
      <c r="AT1877" s="117"/>
      <c r="AU1877" s="117"/>
      <c r="AV1877" s="117"/>
      <c r="AW1877" s="117"/>
      <c r="AX1877" s="117"/>
      <c r="AY1877" s="117"/>
      <c r="AZ1877" s="117"/>
      <c r="BA1877" s="117"/>
      <c r="BB1877" s="117"/>
      <c r="BC1877" s="117"/>
      <c r="BD1877" s="117"/>
      <c r="BE1877" s="117"/>
      <c r="BF1877" s="117"/>
      <c r="BG1877" s="117"/>
    </row>
    <row r="1878" spans="1:59">
      <c r="A1878" s="117"/>
      <c r="B1878" s="117"/>
      <c r="C1878" s="117"/>
      <c r="D1878" s="117"/>
      <c r="E1878" s="117"/>
      <c r="F1878" s="117"/>
      <c r="G1878" s="117"/>
      <c r="H1878" s="117"/>
      <c r="I1878" s="117"/>
      <c r="J1878" s="118"/>
      <c r="K1878" s="118"/>
      <c r="L1878" s="118"/>
      <c r="M1878" s="118"/>
      <c r="N1878" s="117"/>
      <c r="O1878" s="117"/>
      <c r="P1878" s="117"/>
      <c r="Q1878" s="117"/>
      <c r="R1878" s="117"/>
      <c r="S1878" s="117"/>
      <c r="T1878" s="117"/>
      <c r="U1878" s="117"/>
      <c r="V1878" s="117"/>
      <c r="W1878" s="117"/>
      <c r="X1878" s="117"/>
      <c r="Y1878" s="117"/>
      <c r="Z1878" s="117"/>
      <c r="AA1878" s="117"/>
      <c r="AB1878" s="117"/>
      <c r="AC1878" s="117"/>
      <c r="AD1878" s="117"/>
      <c r="AE1878" s="117"/>
      <c r="AF1878" s="117"/>
      <c r="AG1878" s="117"/>
      <c r="AH1878" s="117"/>
      <c r="AI1878" s="117"/>
      <c r="AJ1878" s="117"/>
      <c r="AK1878" s="117"/>
      <c r="AL1878" s="117"/>
      <c r="AM1878" s="117"/>
      <c r="AN1878" s="117"/>
      <c r="AO1878" s="117"/>
      <c r="AP1878" s="117"/>
      <c r="AQ1878" s="117"/>
      <c r="AR1878" s="117"/>
      <c r="AS1878" s="117"/>
      <c r="AT1878" s="117"/>
      <c r="AU1878" s="117"/>
      <c r="AV1878" s="117"/>
      <c r="AW1878" s="117"/>
      <c r="AX1878" s="117"/>
      <c r="AY1878" s="117"/>
      <c r="AZ1878" s="117"/>
      <c r="BA1878" s="117"/>
      <c r="BB1878" s="117"/>
      <c r="BC1878" s="117"/>
      <c r="BD1878" s="117"/>
      <c r="BE1878" s="117"/>
      <c r="BF1878" s="117"/>
      <c r="BG1878" s="117"/>
    </row>
    <row r="1879" spans="1:59">
      <c r="A1879" s="117"/>
      <c r="B1879" s="117"/>
      <c r="C1879" s="117"/>
      <c r="D1879" s="117"/>
      <c r="E1879" s="117"/>
      <c r="F1879" s="117"/>
      <c r="G1879" s="117"/>
      <c r="H1879" s="117"/>
      <c r="I1879" s="117"/>
      <c r="J1879" s="118"/>
      <c r="K1879" s="118"/>
      <c r="L1879" s="118"/>
      <c r="M1879" s="118"/>
      <c r="N1879" s="117"/>
      <c r="O1879" s="117"/>
      <c r="P1879" s="117"/>
      <c r="Q1879" s="117"/>
      <c r="R1879" s="117"/>
      <c r="S1879" s="117"/>
      <c r="T1879" s="117"/>
      <c r="U1879" s="117"/>
      <c r="V1879" s="117"/>
      <c r="W1879" s="117"/>
      <c r="X1879" s="117"/>
      <c r="Y1879" s="117"/>
      <c r="Z1879" s="117"/>
      <c r="AA1879" s="117"/>
      <c r="AB1879" s="117"/>
      <c r="AC1879" s="117"/>
      <c r="AD1879" s="117"/>
      <c r="AE1879" s="117"/>
      <c r="AF1879" s="117"/>
      <c r="AG1879" s="117"/>
      <c r="AH1879" s="117"/>
      <c r="AI1879" s="117"/>
      <c r="AJ1879" s="117"/>
      <c r="AK1879" s="117"/>
      <c r="AL1879" s="117"/>
      <c r="AM1879" s="117"/>
      <c r="AN1879" s="117"/>
      <c r="AO1879" s="117"/>
      <c r="AP1879" s="117"/>
      <c r="AQ1879" s="117"/>
      <c r="AR1879" s="117"/>
      <c r="AS1879" s="117"/>
      <c r="AT1879" s="117"/>
      <c r="AU1879" s="117"/>
      <c r="AV1879" s="117"/>
      <c r="AW1879" s="117"/>
      <c r="AX1879" s="117"/>
      <c r="AY1879" s="117"/>
      <c r="AZ1879" s="117"/>
      <c r="BA1879" s="117"/>
      <c r="BB1879" s="117"/>
      <c r="BC1879" s="117"/>
      <c r="BD1879" s="117"/>
      <c r="BE1879" s="117"/>
      <c r="BF1879" s="117"/>
      <c r="BG1879" s="117"/>
    </row>
    <row r="1880" spans="1:59">
      <c r="A1880" s="117"/>
      <c r="B1880" s="117"/>
      <c r="C1880" s="117"/>
      <c r="D1880" s="117"/>
      <c r="E1880" s="117"/>
      <c r="F1880" s="117"/>
      <c r="G1880" s="117"/>
      <c r="H1880" s="117"/>
      <c r="I1880" s="117"/>
      <c r="J1880" s="118"/>
      <c r="K1880" s="118"/>
      <c r="L1880" s="118"/>
      <c r="M1880" s="118"/>
      <c r="N1880" s="117"/>
      <c r="O1880" s="117"/>
      <c r="P1880" s="117"/>
      <c r="Q1880" s="117"/>
      <c r="R1880" s="117"/>
      <c r="S1880" s="117"/>
      <c r="T1880" s="117"/>
      <c r="U1880" s="117"/>
      <c r="V1880" s="117"/>
      <c r="W1880" s="117"/>
      <c r="X1880" s="117"/>
      <c r="Y1880" s="117"/>
      <c r="Z1880" s="117"/>
      <c r="AA1880" s="117"/>
      <c r="AB1880" s="117"/>
      <c r="AC1880" s="117"/>
      <c r="AD1880" s="117"/>
      <c r="AE1880" s="117"/>
      <c r="AF1880" s="117"/>
      <c r="AG1880" s="117"/>
      <c r="AH1880" s="117"/>
      <c r="AI1880" s="117"/>
      <c r="AJ1880" s="117"/>
      <c r="AK1880" s="117"/>
      <c r="AL1880" s="117"/>
      <c r="AM1880" s="117"/>
      <c r="AN1880" s="117"/>
      <c r="AO1880" s="117"/>
      <c r="AP1880" s="117"/>
      <c r="AQ1880" s="117"/>
      <c r="AR1880" s="117"/>
      <c r="AS1880" s="117"/>
      <c r="AT1880" s="117"/>
      <c r="AU1880" s="117"/>
      <c r="AV1880" s="117"/>
      <c r="AW1880" s="117"/>
      <c r="AX1880" s="117"/>
      <c r="AY1880" s="117"/>
      <c r="AZ1880" s="117"/>
      <c r="BA1880" s="117"/>
      <c r="BB1880" s="117"/>
      <c r="BC1880" s="117"/>
      <c r="BD1880" s="117"/>
      <c r="BE1880" s="117"/>
      <c r="BF1880" s="117"/>
      <c r="BG1880" s="117"/>
    </row>
    <row r="1881" spans="1:59">
      <c r="A1881" s="117"/>
      <c r="B1881" s="117"/>
      <c r="C1881" s="117"/>
      <c r="D1881" s="117"/>
      <c r="E1881" s="117"/>
      <c r="F1881" s="117"/>
      <c r="G1881" s="117"/>
      <c r="H1881" s="117"/>
      <c r="I1881" s="117"/>
      <c r="J1881" s="118"/>
      <c r="K1881" s="118"/>
      <c r="L1881" s="118"/>
      <c r="M1881" s="118"/>
      <c r="N1881" s="117"/>
      <c r="O1881" s="117"/>
      <c r="P1881" s="117"/>
      <c r="Q1881" s="117"/>
      <c r="R1881" s="117"/>
      <c r="S1881" s="117"/>
      <c r="T1881" s="117"/>
      <c r="U1881" s="117"/>
      <c r="V1881" s="117"/>
      <c r="W1881" s="117"/>
      <c r="X1881" s="117"/>
      <c r="Y1881" s="117"/>
      <c r="Z1881" s="117"/>
      <c r="AA1881" s="117"/>
      <c r="AB1881" s="117"/>
      <c r="AC1881" s="117"/>
      <c r="AD1881" s="117"/>
      <c r="AE1881" s="117"/>
      <c r="AF1881" s="117"/>
      <c r="AG1881" s="117"/>
      <c r="AH1881" s="117"/>
      <c r="AI1881" s="117"/>
      <c r="AJ1881" s="117"/>
      <c r="AK1881" s="117"/>
      <c r="AL1881" s="117"/>
      <c r="AM1881" s="117"/>
      <c r="AN1881" s="117"/>
      <c r="AO1881" s="117"/>
      <c r="AP1881" s="117"/>
      <c r="AQ1881" s="117"/>
      <c r="AR1881" s="117"/>
      <c r="AS1881" s="117"/>
      <c r="AT1881" s="117"/>
      <c r="AU1881" s="117"/>
      <c r="AV1881" s="117"/>
      <c r="AW1881" s="117"/>
      <c r="AX1881" s="117"/>
      <c r="AY1881" s="117"/>
      <c r="AZ1881" s="117"/>
      <c r="BA1881" s="117"/>
      <c r="BB1881" s="117"/>
      <c r="BC1881" s="117"/>
      <c r="BD1881" s="117"/>
      <c r="BE1881" s="117"/>
      <c r="BF1881" s="117"/>
      <c r="BG1881" s="117"/>
    </row>
    <row r="1882" spans="1:59">
      <c r="A1882" s="117"/>
      <c r="B1882" s="117"/>
      <c r="C1882" s="117"/>
      <c r="D1882" s="117"/>
      <c r="E1882" s="117"/>
      <c r="F1882" s="117"/>
      <c r="G1882" s="117"/>
      <c r="H1882" s="117"/>
      <c r="I1882" s="117"/>
      <c r="J1882" s="118"/>
      <c r="K1882" s="118"/>
      <c r="L1882" s="118"/>
      <c r="M1882" s="118"/>
      <c r="N1882" s="117"/>
      <c r="O1882" s="117"/>
      <c r="P1882" s="117"/>
      <c r="Q1882" s="117"/>
      <c r="R1882" s="117"/>
      <c r="S1882" s="117"/>
      <c r="T1882" s="117"/>
      <c r="U1882" s="117"/>
      <c r="V1882" s="117"/>
      <c r="W1882" s="117"/>
      <c r="X1882" s="117"/>
      <c r="Y1882" s="117"/>
      <c r="Z1882" s="117"/>
      <c r="AA1882" s="117"/>
      <c r="AB1882" s="117"/>
      <c r="AC1882" s="117"/>
      <c r="AD1882" s="117"/>
      <c r="AE1882" s="117"/>
      <c r="AF1882" s="117"/>
      <c r="AG1882" s="117"/>
      <c r="AH1882" s="117"/>
      <c r="AI1882" s="117"/>
      <c r="AJ1882" s="117"/>
      <c r="AK1882" s="117"/>
      <c r="AL1882" s="117"/>
      <c r="AM1882" s="117"/>
      <c r="AN1882" s="117"/>
      <c r="AO1882" s="117"/>
      <c r="AP1882" s="117"/>
      <c r="AQ1882" s="117"/>
      <c r="AR1882" s="117"/>
      <c r="AS1882" s="117"/>
      <c r="AT1882" s="117"/>
      <c r="AU1882" s="117"/>
      <c r="AV1882" s="117"/>
      <c r="AW1882" s="117"/>
      <c r="AX1882" s="117"/>
      <c r="AY1882" s="117"/>
      <c r="AZ1882" s="117"/>
      <c r="BA1882" s="117"/>
      <c r="BB1882" s="117"/>
      <c r="BC1882" s="117"/>
      <c r="BD1882" s="117"/>
      <c r="BE1882" s="117"/>
      <c r="BF1882" s="117"/>
      <c r="BG1882" s="117"/>
    </row>
    <row r="1883" spans="1:59">
      <c r="A1883" s="117"/>
      <c r="B1883" s="117"/>
      <c r="C1883" s="117"/>
      <c r="D1883" s="117"/>
      <c r="E1883" s="117"/>
      <c r="F1883" s="117"/>
      <c r="G1883" s="117"/>
      <c r="H1883" s="117"/>
      <c r="I1883" s="117"/>
      <c r="J1883" s="118"/>
      <c r="K1883" s="118"/>
      <c r="L1883" s="118"/>
      <c r="M1883" s="118"/>
      <c r="N1883" s="117"/>
      <c r="O1883" s="117"/>
      <c r="P1883" s="117"/>
      <c r="Q1883" s="117"/>
      <c r="R1883" s="117"/>
      <c r="S1883" s="117"/>
      <c r="T1883" s="117"/>
      <c r="U1883" s="117"/>
      <c r="V1883" s="117"/>
      <c r="W1883" s="117"/>
      <c r="X1883" s="117"/>
      <c r="Y1883" s="117"/>
      <c r="Z1883" s="117"/>
      <c r="AA1883" s="117"/>
      <c r="AB1883" s="117"/>
      <c r="AC1883" s="117"/>
      <c r="AD1883" s="117"/>
      <c r="AE1883" s="117"/>
      <c r="AF1883" s="117"/>
      <c r="AG1883" s="117"/>
      <c r="AH1883" s="117"/>
      <c r="AI1883" s="117"/>
      <c r="AJ1883" s="117"/>
      <c r="AK1883" s="117"/>
      <c r="AL1883" s="117"/>
      <c r="AM1883" s="117"/>
      <c r="AN1883" s="117"/>
      <c r="AO1883" s="117"/>
      <c r="AP1883" s="117"/>
      <c r="AQ1883" s="117"/>
      <c r="AR1883" s="117"/>
      <c r="AS1883" s="117"/>
      <c r="AT1883" s="117"/>
      <c r="AU1883" s="117"/>
      <c r="AV1883" s="117"/>
      <c r="AW1883" s="117"/>
      <c r="AX1883" s="117"/>
      <c r="AY1883" s="117"/>
      <c r="AZ1883" s="117"/>
      <c r="BA1883" s="117"/>
      <c r="BB1883" s="117"/>
      <c r="BC1883" s="117"/>
      <c r="BD1883" s="117"/>
      <c r="BE1883" s="117"/>
      <c r="BF1883" s="117"/>
      <c r="BG1883" s="117"/>
    </row>
    <row r="1884" spans="1:59">
      <c r="A1884" s="117"/>
      <c r="B1884" s="117"/>
      <c r="C1884" s="117"/>
      <c r="D1884" s="117"/>
      <c r="E1884" s="117"/>
      <c r="F1884" s="117"/>
      <c r="G1884" s="117"/>
      <c r="H1884" s="117"/>
      <c r="I1884" s="117"/>
      <c r="J1884" s="118"/>
      <c r="K1884" s="118"/>
      <c r="L1884" s="118"/>
      <c r="M1884" s="118"/>
      <c r="N1884" s="117"/>
      <c r="O1884" s="117"/>
      <c r="P1884" s="117"/>
      <c r="Q1884" s="117"/>
      <c r="R1884" s="117"/>
      <c r="S1884" s="117"/>
      <c r="T1884" s="117"/>
      <c r="U1884" s="117"/>
      <c r="V1884" s="117"/>
      <c r="W1884" s="117"/>
      <c r="X1884" s="117"/>
      <c r="Y1884" s="117"/>
      <c r="Z1884" s="117"/>
      <c r="AA1884" s="117"/>
      <c r="AB1884" s="117"/>
      <c r="AC1884" s="117"/>
      <c r="AD1884" s="117"/>
      <c r="AE1884" s="117"/>
      <c r="AF1884" s="117"/>
      <c r="AG1884" s="117"/>
      <c r="AH1884" s="117"/>
      <c r="AI1884" s="117"/>
      <c r="AJ1884" s="117"/>
      <c r="AK1884" s="117"/>
      <c r="AL1884" s="117"/>
      <c r="AM1884" s="117"/>
      <c r="AN1884" s="117"/>
      <c r="AO1884" s="117"/>
      <c r="AP1884" s="117"/>
      <c r="AQ1884" s="117"/>
      <c r="AR1884" s="117"/>
      <c r="AS1884" s="117"/>
      <c r="AT1884" s="117"/>
      <c r="AU1884" s="117"/>
      <c r="AV1884" s="117"/>
      <c r="AW1884" s="117"/>
      <c r="AX1884" s="117"/>
      <c r="AY1884" s="117"/>
      <c r="AZ1884" s="117"/>
      <c r="BA1884" s="117"/>
      <c r="BB1884" s="117"/>
      <c r="BC1884" s="117"/>
      <c r="BD1884" s="117"/>
      <c r="BE1884" s="117"/>
      <c r="BF1884" s="117"/>
      <c r="BG1884" s="117"/>
    </row>
    <row r="1885" spans="1:59">
      <c r="A1885" s="117"/>
      <c r="B1885" s="117"/>
      <c r="C1885" s="117"/>
      <c r="D1885" s="117"/>
      <c r="E1885" s="117"/>
      <c r="F1885" s="117"/>
      <c r="G1885" s="117"/>
      <c r="H1885" s="117"/>
      <c r="I1885" s="117"/>
      <c r="J1885" s="118"/>
      <c r="K1885" s="118"/>
      <c r="L1885" s="118"/>
      <c r="M1885" s="118"/>
      <c r="N1885" s="117"/>
      <c r="O1885" s="117"/>
      <c r="P1885" s="117"/>
      <c r="Q1885" s="117"/>
      <c r="R1885" s="117"/>
      <c r="S1885" s="117"/>
      <c r="T1885" s="117"/>
      <c r="U1885" s="117"/>
      <c r="V1885" s="117"/>
      <c r="W1885" s="117"/>
      <c r="X1885" s="117"/>
      <c r="Y1885" s="117"/>
      <c r="Z1885" s="117"/>
      <c r="AA1885" s="117"/>
      <c r="AB1885" s="117"/>
      <c r="AC1885" s="117"/>
      <c r="AD1885" s="117"/>
      <c r="AE1885" s="117"/>
      <c r="AF1885" s="117"/>
      <c r="AG1885" s="117"/>
      <c r="AH1885" s="117"/>
      <c r="AI1885" s="117"/>
      <c r="AJ1885" s="117"/>
      <c r="AK1885" s="117"/>
      <c r="AL1885" s="117"/>
      <c r="AM1885" s="117"/>
      <c r="AN1885" s="117"/>
      <c r="AO1885" s="117"/>
      <c r="AP1885" s="117"/>
      <c r="AQ1885" s="117"/>
      <c r="AR1885" s="117"/>
      <c r="AS1885" s="117"/>
      <c r="AT1885" s="117"/>
      <c r="AU1885" s="117"/>
      <c r="AV1885" s="117"/>
      <c r="AW1885" s="117"/>
      <c r="AX1885" s="117"/>
      <c r="AY1885" s="117"/>
      <c r="AZ1885" s="117"/>
      <c r="BA1885" s="117"/>
      <c r="BB1885" s="117"/>
      <c r="BC1885" s="117"/>
      <c r="BD1885" s="117"/>
      <c r="BE1885" s="117"/>
      <c r="BF1885" s="117"/>
      <c r="BG1885" s="117"/>
    </row>
    <row r="1886" spans="1:59">
      <c r="A1886" s="117"/>
      <c r="B1886" s="117"/>
      <c r="C1886" s="117"/>
      <c r="D1886" s="117"/>
      <c r="E1886" s="117"/>
      <c r="F1886" s="117"/>
      <c r="G1886" s="117"/>
      <c r="H1886" s="117"/>
      <c r="I1886" s="117"/>
      <c r="J1886" s="118"/>
      <c r="K1886" s="118"/>
      <c r="L1886" s="118"/>
      <c r="M1886" s="118"/>
      <c r="N1886" s="117"/>
      <c r="O1886" s="117"/>
      <c r="P1886" s="117"/>
      <c r="Q1886" s="117"/>
      <c r="R1886" s="117"/>
      <c r="S1886" s="117"/>
      <c r="T1886" s="117"/>
      <c r="U1886" s="117"/>
      <c r="V1886" s="117"/>
      <c r="W1886" s="117"/>
      <c r="X1886" s="117"/>
      <c r="Y1886" s="117"/>
      <c r="Z1886" s="117"/>
      <c r="AA1886" s="117"/>
      <c r="AB1886" s="117"/>
      <c r="AC1886" s="117"/>
      <c r="AD1886" s="117"/>
      <c r="AE1886" s="117"/>
      <c r="AF1886" s="117"/>
      <c r="AG1886" s="117"/>
      <c r="AH1886" s="117"/>
      <c r="AI1886" s="117"/>
      <c r="AJ1886" s="117"/>
      <c r="AK1886" s="117"/>
      <c r="AL1886" s="117"/>
      <c r="AM1886" s="117"/>
      <c r="AN1886" s="117"/>
      <c r="AO1886" s="117"/>
      <c r="AP1886" s="117"/>
      <c r="AQ1886" s="117"/>
      <c r="AR1886" s="117"/>
      <c r="AS1886" s="117"/>
      <c r="AT1886" s="117"/>
      <c r="AU1886" s="117"/>
      <c r="AV1886" s="117"/>
      <c r="AW1886" s="117"/>
      <c r="AX1886" s="117"/>
      <c r="AY1886" s="117"/>
      <c r="AZ1886" s="117"/>
      <c r="BA1886" s="117"/>
      <c r="BB1886" s="117"/>
      <c r="BC1886" s="117"/>
      <c r="BD1886" s="117"/>
      <c r="BE1886" s="117"/>
      <c r="BF1886" s="117"/>
      <c r="BG1886" s="117"/>
    </row>
    <row r="1887" spans="1:59">
      <c r="A1887" s="117"/>
      <c r="B1887" s="117"/>
      <c r="C1887" s="117"/>
      <c r="D1887" s="117"/>
      <c r="E1887" s="117"/>
      <c r="F1887" s="117"/>
      <c r="G1887" s="117"/>
      <c r="H1887" s="117"/>
      <c r="I1887" s="117"/>
      <c r="J1887" s="118"/>
      <c r="K1887" s="118"/>
      <c r="L1887" s="118"/>
      <c r="M1887" s="118"/>
      <c r="N1887" s="117"/>
      <c r="O1887" s="117"/>
      <c r="P1887" s="117"/>
      <c r="Q1887" s="117"/>
      <c r="R1887" s="117"/>
      <c r="S1887" s="117"/>
      <c r="T1887" s="117"/>
      <c r="U1887" s="117"/>
      <c r="V1887" s="117"/>
      <c r="W1887" s="117"/>
      <c r="X1887" s="117"/>
      <c r="Y1887" s="117"/>
      <c r="Z1887" s="117"/>
      <c r="AA1887" s="117"/>
      <c r="AB1887" s="117"/>
      <c r="AC1887" s="117"/>
      <c r="AD1887" s="117"/>
      <c r="AE1887" s="117"/>
      <c r="AF1887" s="117"/>
      <c r="AG1887" s="117"/>
      <c r="AH1887" s="117"/>
      <c r="AI1887" s="117"/>
      <c r="AJ1887" s="117"/>
      <c r="AK1887" s="117"/>
      <c r="AL1887" s="117"/>
      <c r="AM1887" s="117"/>
      <c r="AN1887" s="117"/>
      <c r="AO1887" s="117"/>
      <c r="AP1887" s="117"/>
      <c r="AQ1887" s="117"/>
      <c r="AR1887" s="117"/>
      <c r="AS1887" s="117"/>
      <c r="AT1887" s="117"/>
      <c r="AU1887" s="117"/>
      <c r="AV1887" s="117"/>
      <c r="AW1887" s="117"/>
      <c r="AX1887" s="117"/>
      <c r="AY1887" s="117"/>
      <c r="AZ1887" s="117"/>
      <c r="BA1887" s="117"/>
      <c r="BB1887" s="117"/>
      <c r="BC1887" s="117"/>
      <c r="BD1887" s="117"/>
      <c r="BE1887" s="117"/>
      <c r="BF1887" s="117"/>
      <c r="BG1887" s="117"/>
    </row>
    <row r="1888" spans="1:59">
      <c r="A1888" s="117"/>
      <c r="B1888" s="117"/>
      <c r="C1888" s="117"/>
      <c r="D1888" s="117"/>
      <c r="E1888" s="117"/>
      <c r="F1888" s="117"/>
      <c r="G1888" s="117"/>
      <c r="H1888" s="117"/>
      <c r="I1888" s="117"/>
      <c r="J1888" s="118"/>
      <c r="K1888" s="118"/>
      <c r="L1888" s="118"/>
      <c r="M1888" s="118"/>
      <c r="N1888" s="117"/>
      <c r="O1888" s="117"/>
      <c r="P1888" s="117"/>
      <c r="Q1888" s="117"/>
      <c r="R1888" s="117"/>
      <c r="S1888" s="117"/>
      <c r="T1888" s="117"/>
      <c r="U1888" s="117"/>
      <c r="V1888" s="117"/>
      <c r="W1888" s="117"/>
      <c r="X1888" s="117"/>
      <c r="Y1888" s="117"/>
      <c r="Z1888" s="117"/>
      <c r="AA1888" s="117"/>
      <c r="AB1888" s="117"/>
      <c r="AC1888" s="117"/>
      <c r="AD1888" s="117"/>
      <c r="AE1888" s="117"/>
      <c r="AF1888" s="117"/>
      <c r="AG1888" s="117"/>
      <c r="AH1888" s="117"/>
      <c r="AI1888" s="117"/>
      <c r="AJ1888" s="117"/>
      <c r="AK1888" s="117"/>
      <c r="AL1888" s="117"/>
      <c r="AM1888" s="117"/>
      <c r="AN1888" s="117"/>
      <c r="AO1888" s="117"/>
      <c r="AP1888" s="117"/>
      <c r="AQ1888" s="117"/>
      <c r="AR1888" s="117"/>
      <c r="AS1888" s="117"/>
      <c r="AT1888" s="117"/>
      <c r="AU1888" s="117"/>
      <c r="AV1888" s="117"/>
      <c r="AW1888" s="117"/>
      <c r="AX1888" s="117"/>
      <c r="AY1888" s="117"/>
      <c r="AZ1888" s="117"/>
      <c r="BA1888" s="117"/>
      <c r="BB1888" s="117"/>
      <c r="BC1888" s="117"/>
      <c r="BD1888" s="117"/>
      <c r="BE1888" s="117"/>
      <c r="BF1888" s="117"/>
      <c r="BG1888" s="117"/>
    </row>
    <row r="1889" spans="1:59">
      <c r="A1889" s="117"/>
      <c r="B1889" s="117"/>
      <c r="C1889" s="117"/>
      <c r="D1889" s="117"/>
      <c r="E1889" s="117"/>
      <c r="F1889" s="117"/>
      <c r="G1889" s="117"/>
      <c r="H1889" s="117"/>
      <c r="I1889" s="117"/>
      <c r="J1889" s="118"/>
      <c r="K1889" s="118"/>
      <c r="L1889" s="118"/>
      <c r="M1889" s="118"/>
      <c r="N1889" s="117"/>
      <c r="O1889" s="117"/>
      <c r="P1889" s="117"/>
      <c r="Q1889" s="117"/>
      <c r="R1889" s="117"/>
      <c r="S1889" s="117"/>
      <c r="T1889" s="117"/>
      <c r="U1889" s="117"/>
      <c r="V1889" s="117"/>
      <c r="W1889" s="117"/>
      <c r="X1889" s="117"/>
      <c r="Y1889" s="117"/>
      <c r="Z1889" s="117"/>
      <c r="AA1889" s="117"/>
      <c r="AB1889" s="117"/>
      <c r="AC1889" s="117"/>
      <c r="AD1889" s="117"/>
      <c r="AE1889" s="117"/>
      <c r="AF1889" s="117"/>
      <c r="AG1889" s="117"/>
      <c r="AH1889" s="117"/>
      <c r="AI1889" s="117"/>
      <c r="AJ1889" s="117"/>
      <c r="AK1889" s="117"/>
      <c r="AL1889" s="117"/>
      <c r="AM1889" s="117"/>
      <c r="AN1889" s="117"/>
      <c r="AO1889" s="117"/>
      <c r="AP1889" s="117"/>
      <c r="AQ1889" s="117"/>
      <c r="AR1889" s="117"/>
      <c r="AS1889" s="117"/>
      <c r="AT1889" s="117"/>
      <c r="AU1889" s="117"/>
      <c r="AV1889" s="117"/>
      <c r="AW1889" s="117"/>
      <c r="AX1889" s="117"/>
      <c r="AY1889" s="117"/>
      <c r="AZ1889" s="117"/>
      <c r="BA1889" s="117"/>
      <c r="BB1889" s="117"/>
      <c r="BC1889" s="117"/>
      <c r="BD1889" s="117"/>
      <c r="BE1889" s="117"/>
      <c r="BF1889" s="117"/>
      <c r="BG1889" s="117"/>
    </row>
    <row r="1890" spans="1:59">
      <c r="A1890" s="117"/>
      <c r="B1890" s="117"/>
      <c r="C1890" s="117"/>
      <c r="D1890" s="117"/>
      <c r="E1890" s="117"/>
      <c r="F1890" s="117"/>
      <c r="G1890" s="117"/>
      <c r="H1890" s="117"/>
      <c r="I1890" s="117"/>
      <c r="J1890" s="118"/>
      <c r="K1890" s="118"/>
      <c r="L1890" s="118"/>
      <c r="M1890" s="118"/>
      <c r="N1890" s="117"/>
      <c r="O1890" s="117"/>
      <c r="P1890" s="117"/>
      <c r="Q1890" s="117"/>
      <c r="R1890" s="117"/>
      <c r="S1890" s="117"/>
      <c r="T1890" s="117"/>
      <c r="U1890" s="117"/>
      <c r="V1890" s="117"/>
      <c r="W1890" s="117"/>
      <c r="X1890" s="117"/>
      <c r="Y1890" s="117"/>
      <c r="Z1890" s="117"/>
      <c r="AA1890" s="117"/>
      <c r="AB1890" s="117"/>
      <c r="AC1890" s="117"/>
      <c r="AD1890" s="117"/>
      <c r="AE1890" s="117"/>
      <c r="AF1890" s="117"/>
      <c r="AG1890" s="117"/>
      <c r="AH1890" s="117"/>
      <c r="AI1890" s="117"/>
      <c r="AJ1890" s="117"/>
      <c r="AK1890" s="117"/>
      <c r="AL1890" s="117"/>
      <c r="AM1890" s="117"/>
      <c r="AN1890" s="117"/>
      <c r="AO1890" s="117"/>
      <c r="AP1890" s="117"/>
      <c r="AQ1890" s="117"/>
      <c r="AR1890" s="117"/>
      <c r="AS1890" s="117"/>
      <c r="AT1890" s="117"/>
      <c r="AU1890" s="117"/>
      <c r="AV1890" s="117"/>
      <c r="AW1890" s="117"/>
      <c r="AX1890" s="117"/>
      <c r="AY1890" s="117"/>
      <c r="AZ1890" s="117"/>
      <c r="BA1890" s="117"/>
      <c r="BB1890" s="117"/>
      <c r="BC1890" s="117"/>
      <c r="BD1890" s="117"/>
      <c r="BE1890" s="117"/>
      <c r="BF1890" s="117"/>
      <c r="BG1890" s="117"/>
    </row>
    <row r="1891" spans="1:59">
      <c r="A1891" s="117"/>
      <c r="B1891" s="117"/>
      <c r="C1891" s="117"/>
      <c r="D1891" s="117"/>
      <c r="E1891" s="117"/>
      <c r="F1891" s="117"/>
      <c r="G1891" s="117"/>
      <c r="H1891" s="117"/>
      <c r="I1891" s="117"/>
      <c r="J1891" s="118"/>
      <c r="K1891" s="118"/>
      <c r="L1891" s="118"/>
      <c r="M1891" s="118"/>
      <c r="N1891" s="117"/>
      <c r="O1891" s="117"/>
      <c r="P1891" s="117"/>
      <c r="Q1891" s="117"/>
      <c r="R1891" s="117"/>
      <c r="S1891" s="117"/>
      <c r="T1891" s="117"/>
      <c r="U1891" s="117"/>
      <c r="V1891" s="117"/>
      <c r="W1891" s="117"/>
      <c r="X1891" s="117"/>
      <c r="Y1891" s="117"/>
      <c r="Z1891" s="117"/>
      <c r="AA1891" s="117"/>
      <c r="AB1891" s="117"/>
      <c r="AC1891" s="117"/>
      <c r="AD1891" s="117"/>
      <c r="AE1891" s="117"/>
      <c r="AF1891" s="117"/>
      <c r="AG1891" s="117"/>
      <c r="AH1891" s="117"/>
      <c r="AI1891" s="117"/>
      <c r="AJ1891" s="117"/>
      <c r="AK1891" s="117"/>
      <c r="AL1891" s="117"/>
      <c r="AM1891" s="117"/>
      <c r="AN1891" s="117"/>
      <c r="AO1891" s="117"/>
      <c r="AP1891" s="117"/>
      <c r="AQ1891" s="117"/>
      <c r="AR1891" s="117"/>
      <c r="AS1891" s="117"/>
      <c r="AT1891" s="117"/>
      <c r="AU1891" s="117"/>
      <c r="AV1891" s="117"/>
      <c r="AW1891" s="117"/>
      <c r="AX1891" s="117"/>
      <c r="AY1891" s="117"/>
      <c r="AZ1891" s="117"/>
      <c r="BA1891" s="117"/>
      <c r="BB1891" s="117"/>
      <c r="BC1891" s="117"/>
      <c r="BD1891" s="117"/>
      <c r="BE1891" s="117"/>
      <c r="BF1891" s="117"/>
      <c r="BG1891" s="117"/>
    </row>
    <row r="1892" spans="1:59">
      <c r="A1892" s="117"/>
      <c r="B1892" s="117"/>
      <c r="C1892" s="117"/>
      <c r="D1892" s="117"/>
      <c r="E1892" s="117"/>
      <c r="F1892" s="117"/>
      <c r="G1892" s="117"/>
      <c r="H1892" s="117"/>
      <c r="I1892" s="117"/>
      <c r="J1892" s="118"/>
      <c r="K1892" s="118"/>
      <c r="L1892" s="118"/>
      <c r="M1892" s="118"/>
      <c r="N1892" s="117"/>
      <c r="O1892" s="117"/>
      <c r="P1892" s="117"/>
      <c r="Q1892" s="117"/>
      <c r="R1892" s="117"/>
      <c r="S1892" s="117"/>
      <c r="T1892" s="117"/>
      <c r="U1892" s="117"/>
      <c r="V1892" s="117"/>
      <c r="W1892" s="117"/>
      <c r="X1892" s="117"/>
      <c r="Y1892" s="117"/>
      <c r="Z1892" s="117"/>
      <c r="AA1892" s="117"/>
      <c r="AB1892" s="117"/>
      <c r="AC1892" s="117"/>
      <c r="AD1892" s="117"/>
      <c r="AE1892" s="117"/>
      <c r="AF1892" s="117"/>
      <c r="AG1892" s="117"/>
      <c r="AH1892" s="117"/>
      <c r="AI1892" s="117"/>
      <c r="AJ1892" s="117"/>
      <c r="AK1892" s="117"/>
      <c r="AL1892" s="117"/>
      <c r="AM1892" s="117"/>
      <c r="AN1892" s="117"/>
      <c r="AO1892" s="117"/>
      <c r="AP1892" s="117"/>
      <c r="AQ1892" s="117"/>
      <c r="AR1892" s="117"/>
      <c r="AS1892" s="117"/>
      <c r="AT1892" s="117"/>
      <c r="AU1892" s="117"/>
      <c r="AV1892" s="117"/>
      <c r="AW1892" s="117"/>
      <c r="AX1892" s="117"/>
      <c r="AY1892" s="117"/>
      <c r="AZ1892" s="117"/>
      <c r="BA1892" s="117"/>
      <c r="BB1892" s="117"/>
      <c r="BC1892" s="117"/>
      <c r="BD1892" s="117"/>
      <c r="BE1892" s="117"/>
      <c r="BF1892" s="117"/>
      <c r="BG1892" s="117"/>
    </row>
    <row r="1893" spans="1:59">
      <c r="A1893" s="117"/>
      <c r="B1893" s="117"/>
      <c r="C1893" s="117"/>
      <c r="D1893" s="117"/>
      <c r="E1893" s="117"/>
      <c r="F1893" s="117"/>
      <c r="G1893" s="117"/>
      <c r="H1893" s="117"/>
      <c r="I1893" s="117"/>
      <c r="J1893" s="118"/>
      <c r="K1893" s="118"/>
      <c r="L1893" s="118"/>
      <c r="M1893" s="118"/>
      <c r="N1893" s="117"/>
      <c r="O1893" s="117"/>
      <c r="P1893" s="117"/>
      <c r="Q1893" s="117"/>
      <c r="R1893" s="117"/>
      <c r="S1893" s="117"/>
      <c r="T1893" s="117"/>
      <c r="U1893" s="117"/>
      <c r="V1893" s="117"/>
      <c r="W1893" s="117"/>
      <c r="X1893" s="117"/>
      <c r="Y1893" s="117"/>
      <c r="Z1893" s="117"/>
      <c r="AA1893" s="117"/>
      <c r="AB1893" s="117"/>
      <c r="AC1893" s="117"/>
      <c r="AD1893" s="117"/>
      <c r="AE1893" s="117"/>
      <c r="AF1893" s="117"/>
      <c r="AG1893" s="117"/>
      <c r="AH1893" s="117"/>
      <c r="AI1893" s="117"/>
      <c r="AJ1893" s="117"/>
      <c r="AK1893" s="117"/>
      <c r="AL1893" s="117"/>
      <c r="AM1893" s="117"/>
      <c r="AN1893" s="117"/>
      <c r="AO1893" s="117"/>
      <c r="AP1893" s="117"/>
      <c r="AQ1893" s="117"/>
      <c r="AR1893" s="117"/>
      <c r="AS1893" s="117"/>
      <c r="AT1893" s="117"/>
      <c r="AU1893" s="117"/>
      <c r="AV1893" s="117"/>
      <c r="AW1893" s="117"/>
      <c r="AX1893" s="117"/>
      <c r="AY1893" s="117"/>
      <c r="AZ1893" s="117"/>
      <c r="BA1893" s="117"/>
      <c r="BB1893" s="117"/>
      <c r="BC1893" s="117"/>
      <c r="BD1893" s="117"/>
      <c r="BE1893" s="117"/>
      <c r="BF1893" s="117"/>
      <c r="BG1893" s="117"/>
    </row>
    <row r="1894" spans="1:59">
      <c r="A1894" s="117"/>
      <c r="B1894" s="117"/>
      <c r="C1894" s="117"/>
      <c r="D1894" s="117"/>
      <c r="E1894" s="117"/>
      <c r="F1894" s="117"/>
      <c r="G1894" s="117"/>
      <c r="H1894" s="117"/>
      <c r="I1894" s="117"/>
      <c r="J1894" s="118"/>
      <c r="K1894" s="118"/>
      <c r="L1894" s="118"/>
      <c r="M1894" s="118"/>
      <c r="N1894" s="117"/>
      <c r="O1894" s="117"/>
      <c r="P1894" s="117"/>
      <c r="Q1894" s="117"/>
      <c r="R1894" s="117"/>
      <c r="S1894" s="117"/>
      <c r="T1894" s="117"/>
      <c r="U1894" s="117"/>
      <c r="V1894" s="117"/>
      <c r="W1894" s="117"/>
      <c r="X1894" s="117"/>
      <c r="Y1894" s="117"/>
      <c r="Z1894" s="117"/>
      <c r="AA1894" s="117"/>
      <c r="AB1894" s="117"/>
      <c r="AC1894" s="117"/>
      <c r="AD1894" s="117"/>
      <c r="AE1894" s="117"/>
      <c r="AF1894" s="117"/>
      <c r="AG1894" s="117"/>
      <c r="AH1894" s="117"/>
      <c r="AI1894" s="117"/>
      <c r="AJ1894" s="117"/>
      <c r="AK1894" s="117"/>
      <c r="AL1894" s="117"/>
      <c r="AM1894" s="117"/>
      <c r="AN1894" s="117"/>
      <c r="AO1894" s="117"/>
      <c r="AP1894" s="117"/>
      <c r="AQ1894" s="117"/>
      <c r="AR1894" s="117"/>
      <c r="AS1894" s="117"/>
      <c r="AT1894" s="117"/>
      <c r="AU1894" s="117"/>
      <c r="AV1894" s="117"/>
      <c r="AW1894" s="117"/>
      <c r="AX1894" s="117"/>
      <c r="AY1894" s="117"/>
      <c r="AZ1894" s="117"/>
      <c r="BA1894" s="117"/>
      <c r="BB1894" s="117"/>
      <c r="BC1894" s="117"/>
      <c r="BD1894" s="117"/>
      <c r="BE1894" s="117"/>
      <c r="BF1894" s="117"/>
      <c r="BG1894" s="117"/>
    </row>
    <row r="1895" spans="1:59">
      <c r="A1895" s="117"/>
      <c r="B1895" s="117"/>
      <c r="C1895" s="117"/>
      <c r="D1895" s="117"/>
      <c r="E1895" s="117"/>
      <c r="F1895" s="117"/>
      <c r="G1895" s="117"/>
      <c r="H1895" s="117"/>
      <c r="I1895" s="117"/>
      <c r="J1895" s="118"/>
      <c r="K1895" s="118"/>
      <c r="L1895" s="118"/>
      <c r="M1895" s="118"/>
      <c r="N1895" s="117"/>
      <c r="O1895" s="117"/>
      <c r="P1895" s="117"/>
      <c r="Q1895" s="117"/>
      <c r="R1895" s="117"/>
      <c r="S1895" s="117"/>
      <c r="T1895" s="117"/>
      <c r="U1895" s="117"/>
      <c r="V1895" s="117"/>
      <c r="W1895" s="117"/>
      <c r="X1895" s="117"/>
      <c r="Y1895" s="117"/>
      <c r="Z1895" s="117"/>
      <c r="AA1895" s="117"/>
      <c r="AB1895" s="117"/>
      <c r="AC1895" s="117"/>
      <c r="AD1895" s="117"/>
      <c r="AE1895" s="117"/>
      <c r="AF1895" s="117"/>
      <c r="AG1895" s="117"/>
      <c r="AH1895" s="117"/>
      <c r="AI1895" s="117"/>
      <c r="AJ1895" s="117"/>
      <c r="AK1895" s="117"/>
      <c r="AL1895" s="117"/>
      <c r="AM1895" s="117"/>
      <c r="AN1895" s="117"/>
      <c r="AO1895" s="117"/>
      <c r="AP1895" s="117"/>
      <c r="AQ1895" s="117"/>
      <c r="AR1895" s="117"/>
      <c r="AS1895" s="117"/>
      <c r="AT1895" s="117"/>
      <c r="AU1895" s="117"/>
      <c r="AV1895" s="117"/>
      <c r="AW1895" s="117"/>
      <c r="AX1895" s="117"/>
      <c r="AY1895" s="117"/>
      <c r="AZ1895" s="117"/>
      <c r="BA1895" s="117"/>
      <c r="BB1895" s="117"/>
      <c r="BC1895" s="117"/>
      <c r="BD1895" s="117"/>
      <c r="BE1895" s="117"/>
      <c r="BF1895" s="117"/>
      <c r="BG1895" s="117"/>
    </row>
    <row r="1896" spans="1:59">
      <c r="A1896" s="117"/>
      <c r="B1896" s="117"/>
      <c r="C1896" s="117"/>
      <c r="D1896" s="117"/>
      <c r="E1896" s="117"/>
      <c r="F1896" s="117"/>
      <c r="G1896" s="117"/>
      <c r="H1896" s="117"/>
      <c r="I1896" s="117"/>
      <c r="J1896" s="118"/>
      <c r="K1896" s="118"/>
      <c r="L1896" s="118"/>
      <c r="M1896" s="118"/>
      <c r="N1896" s="117"/>
      <c r="O1896" s="117"/>
      <c r="P1896" s="117"/>
      <c r="Q1896" s="117"/>
      <c r="R1896" s="117"/>
      <c r="S1896" s="117"/>
      <c r="T1896" s="117"/>
      <c r="U1896" s="117"/>
      <c r="V1896" s="117"/>
      <c r="W1896" s="117"/>
      <c r="X1896" s="117"/>
      <c r="Y1896" s="117"/>
      <c r="Z1896" s="117"/>
      <c r="AA1896" s="117"/>
      <c r="AB1896" s="117"/>
      <c r="AC1896" s="117"/>
      <c r="AD1896" s="117"/>
      <c r="AE1896" s="117"/>
      <c r="AF1896" s="117"/>
      <c r="AG1896" s="117"/>
      <c r="AH1896" s="117"/>
      <c r="AI1896" s="117"/>
      <c r="AJ1896" s="117"/>
      <c r="AK1896" s="117"/>
      <c r="AL1896" s="117"/>
      <c r="AM1896" s="117"/>
      <c r="AN1896" s="117"/>
      <c r="AO1896" s="117"/>
      <c r="AP1896" s="117"/>
      <c r="AQ1896" s="117"/>
      <c r="AR1896" s="117"/>
      <c r="AS1896" s="117"/>
      <c r="AT1896" s="117"/>
      <c r="AU1896" s="117"/>
      <c r="AV1896" s="117"/>
      <c r="AW1896" s="117"/>
      <c r="AX1896" s="117"/>
      <c r="AY1896" s="117"/>
      <c r="AZ1896" s="117"/>
      <c r="BA1896" s="117"/>
      <c r="BB1896" s="117"/>
      <c r="BC1896" s="117"/>
      <c r="BD1896" s="117"/>
      <c r="BE1896" s="117"/>
      <c r="BF1896" s="117"/>
      <c r="BG1896" s="117"/>
    </row>
    <row r="1897" spans="1:59">
      <c r="A1897" s="117"/>
      <c r="B1897" s="117"/>
      <c r="C1897" s="117"/>
      <c r="D1897" s="117"/>
      <c r="E1897" s="117"/>
      <c r="F1897" s="117"/>
      <c r="G1897" s="117"/>
      <c r="H1897" s="117"/>
      <c r="I1897" s="117"/>
      <c r="J1897" s="118"/>
      <c r="K1897" s="118"/>
      <c r="L1897" s="118"/>
      <c r="M1897" s="118"/>
      <c r="N1897" s="117"/>
      <c r="O1897" s="117"/>
      <c r="P1897" s="117"/>
      <c r="Q1897" s="117"/>
      <c r="R1897" s="117"/>
      <c r="S1897" s="117"/>
      <c r="T1897" s="117"/>
      <c r="U1897" s="117"/>
      <c r="V1897" s="117"/>
      <c r="W1897" s="117"/>
      <c r="X1897" s="117"/>
      <c r="Y1897" s="117"/>
      <c r="Z1897" s="117"/>
      <c r="AA1897" s="117"/>
      <c r="AB1897" s="117"/>
      <c r="AC1897" s="117"/>
      <c r="AD1897" s="117"/>
      <c r="AE1897" s="117"/>
      <c r="AF1897" s="117"/>
      <c r="AG1897" s="117"/>
      <c r="AH1897" s="117"/>
      <c r="AI1897" s="117"/>
      <c r="AJ1897" s="117"/>
      <c r="AK1897" s="117"/>
      <c r="AL1897" s="117"/>
      <c r="AM1897" s="117"/>
      <c r="AN1897" s="117"/>
      <c r="AO1897" s="117"/>
      <c r="AP1897" s="117"/>
      <c r="AQ1897" s="117"/>
      <c r="AR1897" s="117"/>
      <c r="AS1897" s="117"/>
      <c r="AT1897" s="117"/>
      <c r="AU1897" s="117"/>
      <c r="AV1897" s="117"/>
      <c r="AW1897" s="117"/>
      <c r="AX1897" s="117"/>
      <c r="AY1897" s="117"/>
      <c r="AZ1897" s="117"/>
      <c r="BA1897" s="117"/>
      <c r="BB1897" s="117"/>
      <c r="BC1897" s="117"/>
      <c r="BD1897" s="117"/>
      <c r="BE1897" s="117"/>
      <c r="BF1897" s="117"/>
      <c r="BG1897" s="117"/>
    </row>
    <row r="1898" spans="1:59">
      <c r="A1898" s="117"/>
      <c r="B1898" s="117"/>
      <c r="C1898" s="117"/>
      <c r="D1898" s="117"/>
      <c r="E1898" s="117"/>
      <c r="F1898" s="117"/>
      <c r="G1898" s="117"/>
      <c r="H1898" s="117"/>
      <c r="I1898" s="117"/>
      <c r="J1898" s="118"/>
      <c r="K1898" s="118"/>
      <c r="L1898" s="118"/>
      <c r="M1898" s="118"/>
      <c r="N1898" s="117"/>
      <c r="O1898" s="117"/>
      <c r="P1898" s="117"/>
      <c r="Q1898" s="117"/>
      <c r="R1898" s="117"/>
      <c r="S1898" s="117"/>
      <c r="T1898" s="117"/>
      <c r="U1898" s="117"/>
      <c r="V1898" s="117"/>
      <c r="W1898" s="117"/>
      <c r="X1898" s="117"/>
      <c r="Y1898" s="117"/>
      <c r="Z1898" s="117"/>
      <c r="AA1898" s="117"/>
      <c r="AB1898" s="117"/>
      <c r="AC1898" s="117"/>
      <c r="AD1898" s="117"/>
      <c r="AE1898" s="117"/>
      <c r="AF1898" s="117"/>
      <c r="AG1898" s="117"/>
      <c r="AH1898" s="117"/>
      <c r="AI1898" s="117"/>
      <c r="AJ1898" s="117"/>
      <c r="AK1898" s="117"/>
      <c r="AL1898" s="117"/>
      <c r="AM1898" s="117"/>
      <c r="AN1898" s="117"/>
      <c r="AO1898" s="117"/>
      <c r="AP1898" s="117"/>
      <c r="AQ1898" s="117"/>
      <c r="AR1898" s="117"/>
      <c r="AS1898" s="117"/>
      <c r="AT1898" s="117"/>
      <c r="AU1898" s="117"/>
      <c r="AV1898" s="117"/>
      <c r="AW1898" s="117"/>
      <c r="AX1898" s="117"/>
      <c r="AY1898" s="117"/>
      <c r="AZ1898" s="117"/>
      <c r="BA1898" s="117"/>
      <c r="BB1898" s="117"/>
      <c r="BC1898" s="117"/>
      <c r="BD1898" s="117"/>
      <c r="BE1898" s="117"/>
      <c r="BF1898" s="117"/>
      <c r="BG1898" s="117"/>
    </row>
    <row r="1899" spans="1:59">
      <c r="A1899" s="117"/>
      <c r="B1899" s="117"/>
      <c r="C1899" s="117"/>
      <c r="D1899" s="117"/>
      <c r="E1899" s="117"/>
      <c r="F1899" s="117"/>
      <c r="G1899" s="117"/>
      <c r="H1899" s="117"/>
      <c r="I1899" s="117"/>
      <c r="J1899" s="118"/>
      <c r="K1899" s="118"/>
      <c r="L1899" s="118"/>
      <c r="M1899" s="118"/>
      <c r="N1899" s="117"/>
      <c r="O1899" s="117"/>
      <c r="P1899" s="117"/>
      <c r="Q1899" s="117"/>
      <c r="R1899" s="117"/>
      <c r="S1899" s="117"/>
      <c r="T1899" s="117"/>
      <c r="U1899" s="117"/>
      <c r="V1899" s="117"/>
      <c r="W1899" s="117"/>
      <c r="X1899" s="117"/>
      <c r="Y1899" s="117"/>
      <c r="Z1899" s="117"/>
      <c r="AA1899" s="117"/>
      <c r="AB1899" s="117"/>
      <c r="AC1899" s="117"/>
      <c r="AD1899" s="117"/>
      <c r="AE1899" s="117"/>
      <c r="AF1899" s="117"/>
      <c r="AG1899" s="117"/>
      <c r="AH1899" s="117"/>
      <c r="AI1899" s="117"/>
      <c r="AJ1899" s="117"/>
      <c r="AK1899" s="117"/>
      <c r="AL1899" s="117"/>
      <c r="AM1899" s="117"/>
      <c r="AN1899" s="117"/>
      <c r="AO1899" s="117"/>
      <c r="AP1899" s="117"/>
      <c r="AQ1899" s="117"/>
      <c r="AR1899" s="117"/>
      <c r="AS1899" s="117"/>
      <c r="AT1899" s="117"/>
      <c r="AU1899" s="117"/>
      <c r="AV1899" s="117"/>
      <c r="AW1899" s="117"/>
      <c r="AX1899" s="117"/>
      <c r="AY1899" s="117"/>
      <c r="AZ1899" s="117"/>
      <c r="BA1899" s="117"/>
      <c r="BB1899" s="117"/>
      <c r="BC1899" s="117"/>
      <c r="BD1899" s="117"/>
      <c r="BE1899" s="117"/>
      <c r="BF1899" s="117"/>
      <c r="BG1899" s="117"/>
    </row>
    <row r="1900" spans="1:59">
      <c r="A1900" s="117"/>
      <c r="B1900" s="117"/>
      <c r="C1900" s="117"/>
      <c r="D1900" s="117"/>
      <c r="E1900" s="117"/>
      <c r="F1900" s="117"/>
      <c r="G1900" s="117"/>
      <c r="H1900" s="117"/>
      <c r="I1900" s="117"/>
      <c r="J1900" s="118"/>
      <c r="K1900" s="118"/>
      <c r="L1900" s="118"/>
      <c r="M1900" s="118"/>
      <c r="N1900" s="117"/>
      <c r="O1900" s="117"/>
      <c r="P1900" s="117"/>
      <c r="Q1900" s="117"/>
      <c r="R1900" s="117"/>
      <c r="S1900" s="117"/>
      <c r="T1900" s="117"/>
      <c r="U1900" s="117"/>
      <c r="V1900" s="117"/>
      <c r="W1900" s="117"/>
      <c r="X1900" s="117"/>
      <c r="Y1900" s="117"/>
      <c r="Z1900" s="117"/>
      <c r="AA1900" s="117"/>
      <c r="AB1900" s="117"/>
      <c r="AC1900" s="117"/>
      <c r="AD1900" s="117"/>
      <c r="AE1900" s="117"/>
      <c r="AF1900" s="117"/>
      <c r="AG1900" s="117"/>
      <c r="AH1900" s="117"/>
      <c r="AI1900" s="117"/>
      <c r="AJ1900" s="117"/>
      <c r="AK1900" s="117"/>
      <c r="AL1900" s="117"/>
      <c r="AM1900" s="117"/>
      <c r="AN1900" s="117"/>
      <c r="AO1900" s="117"/>
      <c r="AP1900" s="117"/>
      <c r="AQ1900" s="117"/>
      <c r="AR1900" s="117"/>
      <c r="AS1900" s="117"/>
      <c r="AT1900" s="117"/>
      <c r="AU1900" s="117"/>
      <c r="AV1900" s="117"/>
      <c r="AW1900" s="117"/>
      <c r="AX1900" s="117"/>
      <c r="AY1900" s="117"/>
      <c r="AZ1900" s="117"/>
      <c r="BA1900" s="117"/>
      <c r="BB1900" s="117"/>
      <c r="BC1900" s="117"/>
      <c r="BD1900" s="117"/>
      <c r="BE1900" s="117"/>
      <c r="BF1900" s="117"/>
      <c r="BG1900" s="117"/>
    </row>
    <row r="1901" spans="1:59">
      <c r="A1901" s="117"/>
      <c r="B1901" s="117"/>
      <c r="C1901" s="117"/>
      <c r="D1901" s="117"/>
      <c r="E1901" s="117"/>
      <c r="F1901" s="117"/>
      <c r="G1901" s="117"/>
      <c r="H1901" s="117"/>
      <c r="I1901" s="117"/>
      <c r="J1901" s="118"/>
      <c r="K1901" s="118"/>
      <c r="L1901" s="118"/>
      <c r="M1901" s="118"/>
      <c r="N1901" s="117"/>
      <c r="O1901" s="117"/>
      <c r="P1901" s="117"/>
      <c r="Q1901" s="117"/>
      <c r="R1901" s="117"/>
      <c r="S1901" s="117"/>
      <c r="T1901" s="117"/>
      <c r="U1901" s="117"/>
      <c r="V1901" s="117"/>
      <c r="W1901" s="117"/>
      <c r="X1901" s="117"/>
      <c r="Y1901" s="117"/>
      <c r="Z1901" s="117"/>
      <c r="AA1901" s="117"/>
      <c r="AB1901" s="117"/>
      <c r="AC1901" s="117"/>
      <c r="AD1901" s="117"/>
      <c r="AE1901" s="117"/>
      <c r="AF1901" s="117"/>
      <c r="AG1901" s="117"/>
      <c r="AH1901" s="117"/>
      <c r="AI1901" s="117"/>
      <c r="AJ1901" s="117"/>
      <c r="AK1901" s="117"/>
      <c r="AL1901" s="117"/>
      <c r="AM1901" s="117"/>
      <c r="AN1901" s="117"/>
      <c r="AO1901" s="117"/>
      <c r="AP1901" s="117"/>
      <c r="AQ1901" s="117"/>
      <c r="AR1901" s="117"/>
      <c r="AS1901" s="117"/>
      <c r="AT1901" s="117"/>
      <c r="AU1901" s="117"/>
      <c r="AV1901" s="117"/>
      <c r="AW1901" s="117"/>
      <c r="AX1901" s="117"/>
      <c r="AY1901" s="117"/>
      <c r="AZ1901" s="117"/>
      <c r="BA1901" s="117"/>
      <c r="BB1901" s="117"/>
      <c r="BC1901" s="117"/>
      <c r="BD1901" s="117"/>
      <c r="BE1901" s="117"/>
      <c r="BF1901" s="117"/>
      <c r="BG1901" s="117"/>
    </row>
    <row r="1902" spans="1:59">
      <c r="A1902" s="117"/>
      <c r="B1902" s="117"/>
      <c r="C1902" s="117"/>
      <c r="D1902" s="117"/>
      <c r="E1902" s="117"/>
      <c r="F1902" s="117"/>
      <c r="G1902" s="117"/>
      <c r="H1902" s="117"/>
      <c r="I1902" s="117"/>
      <c r="J1902" s="118"/>
      <c r="K1902" s="118"/>
      <c r="L1902" s="118"/>
      <c r="M1902" s="118"/>
      <c r="N1902" s="117"/>
      <c r="O1902" s="117"/>
      <c r="P1902" s="117"/>
      <c r="Q1902" s="117"/>
      <c r="R1902" s="117"/>
      <c r="S1902" s="117"/>
      <c r="T1902" s="117"/>
      <c r="U1902" s="117"/>
      <c r="V1902" s="117"/>
      <c r="W1902" s="117"/>
      <c r="X1902" s="117"/>
      <c r="Y1902" s="117"/>
      <c r="Z1902" s="117"/>
      <c r="AA1902" s="117"/>
      <c r="AB1902" s="117"/>
      <c r="AC1902" s="117"/>
      <c r="AD1902" s="117"/>
      <c r="AE1902" s="117"/>
      <c r="AF1902" s="117"/>
      <c r="AG1902" s="117"/>
      <c r="AH1902" s="117"/>
      <c r="AI1902" s="117"/>
      <c r="AJ1902" s="117"/>
      <c r="AK1902" s="117"/>
      <c r="AL1902" s="117"/>
      <c r="AM1902" s="117"/>
      <c r="AN1902" s="117"/>
      <c r="AO1902" s="117"/>
      <c r="AP1902" s="117"/>
      <c r="AQ1902" s="117"/>
      <c r="AR1902" s="117"/>
      <c r="AS1902" s="117"/>
      <c r="AT1902" s="117"/>
      <c r="AU1902" s="117"/>
      <c r="AV1902" s="117"/>
      <c r="AW1902" s="117"/>
      <c r="AX1902" s="117"/>
      <c r="AY1902" s="117"/>
      <c r="AZ1902" s="117"/>
      <c r="BA1902" s="117"/>
      <c r="BB1902" s="117"/>
      <c r="BC1902" s="117"/>
      <c r="BD1902" s="117"/>
      <c r="BE1902" s="117"/>
      <c r="BF1902" s="117"/>
      <c r="BG1902" s="117"/>
    </row>
    <row r="1903" spans="1:59">
      <c r="A1903" s="117"/>
      <c r="B1903" s="117"/>
      <c r="C1903" s="117"/>
      <c r="D1903" s="117"/>
      <c r="E1903" s="117"/>
      <c r="F1903" s="117"/>
      <c r="G1903" s="117"/>
      <c r="H1903" s="117"/>
      <c r="I1903" s="117"/>
      <c r="J1903" s="118"/>
      <c r="K1903" s="118"/>
      <c r="L1903" s="118"/>
      <c r="M1903" s="118"/>
      <c r="N1903" s="117"/>
      <c r="O1903" s="117"/>
      <c r="P1903" s="117"/>
      <c r="Q1903" s="117"/>
      <c r="R1903" s="117"/>
      <c r="S1903" s="117"/>
      <c r="T1903" s="117"/>
      <c r="U1903" s="117"/>
      <c r="V1903" s="117"/>
      <c r="W1903" s="117"/>
      <c r="X1903" s="117"/>
      <c r="Y1903" s="117"/>
      <c r="Z1903" s="117"/>
      <c r="AA1903" s="117"/>
      <c r="AB1903" s="117"/>
      <c r="AC1903" s="117"/>
      <c r="AD1903" s="117"/>
      <c r="AE1903" s="117"/>
      <c r="AF1903" s="117"/>
      <c r="AG1903" s="117"/>
      <c r="AH1903" s="117"/>
      <c r="AI1903" s="117"/>
      <c r="AJ1903" s="117"/>
      <c r="AK1903" s="117"/>
      <c r="AL1903" s="117"/>
      <c r="AM1903" s="117"/>
      <c r="AN1903" s="117"/>
      <c r="AO1903" s="117"/>
      <c r="AP1903" s="117"/>
      <c r="AQ1903" s="117"/>
      <c r="AR1903" s="117"/>
      <c r="AS1903" s="117"/>
      <c r="AT1903" s="117"/>
      <c r="AU1903" s="117"/>
      <c r="AV1903" s="117"/>
      <c r="AW1903" s="117"/>
      <c r="AX1903" s="117"/>
      <c r="AY1903" s="117"/>
      <c r="AZ1903" s="117"/>
      <c r="BA1903" s="117"/>
      <c r="BB1903" s="117"/>
      <c r="BC1903" s="117"/>
      <c r="BD1903" s="117"/>
      <c r="BE1903" s="117"/>
      <c r="BF1903" s="117"/>
      <c r="BG1903" s="117"/>
    </row>
    <row r="1904" spans="1:59">
      <c r="A1904" s="117"/>
      <c r="B1904" s="117"/>
      <c r="C1904" s="117"/>
      <c r="D1904" s="117"/>
      <c r="E1904" s="117"/>
      <c r="F1904" s="117"/>
      <c r="G1904" s="117"/>
      <c r="H1904" s="117"/>
      <c r="I1904" s="117"/>
      <c r="J1904" s="118"/>
      <c r="K1904" s="118"/>
      <c r="L1904" s="118"/>
      <c r="M1904" s="118"/>
      <c r="N1904" s="117"/>
      <c r="O1904" s="117"/>
      <c r="P1904" s="117"/>
      <c r="Q1904" s="117"/>
      <c r="R1904" s="117"/>
      <c r="S1904" s="117"/>
      <c r="T1904" s="117"/>
      <c r="U1904" s="117"/>
      <c r="V1904" s="117"/>
      <c r="W1904" s="117"/>
      <c r="X1904" s="117"/>
      <c r="Y1904" s="117"/>
      <c r="Z1904" s="117"/>
      <c r="AA1904" s="117"/>
      <c r="AB1904" s="117"/>
      <c r="AC1904" s="117"/>
      <c r="AD1904" s="117"/>
      <c r="AE1904" s="117"/>
      <c r="AF1904" s="117"/>
      <c r="AG1904" s="117"/>
      <c r="AH1904" s="117"/>
      <c r="AI1904" s="117"/>
      <c r="AJ1904" s="117"/>
      <c r="AK1904" s="117"/>
      <c r="AL1904" s="117"/>
      <c r="AM1904" s="117"/>
      <c r="AN1904" s="117"/>
      <c r="AO1904" s="117"/>
      <c r="AP1904" s="117"/>
      <c r="AQ1904" s="117"/>
      <c r="AR1904" s="117"/>
      <c r="AS1904" s="117"/>
      <c r="AT1904" s="117"/>
      <c r="AU1904" s="117"/>
      <c r="AV1904" s="117"/>
      <c r="AW1904" s="117"/>
      <c r="AX1904" s="117"/>
      <c r="AY1904" s="117"/>
      <c r="AZ1904" s="117"/>
      <c r="BA1904" s="117"/>
      <c r="BB1904" s="117"/>
      <c r="BC1904" s="117"/>
      <c r="BD1904" s="117"/>
      <c r="BE1904" s="117"/>
      <c r="BF1904" s="117"/>
      <c r="BG1904" s="117"/>
    </row>
    <row r="1905" spans="1:59">
      <c r="A1905" s="117"/>
      <c r="B1905" s="117"/>
      <c r="C1905" s="117"/>
      <c r="D1905" s="117"/>
      <c r="E1905" s="117"/>
      <c r="F1905" s="117"/>
      <c r="G1905" s="117"/>
      <c r="H1905" s="117"/>
      <c r="I1905" s="117"/>
      <c r="J1905" s="118"/>
      <c r="K1905" s="118"/>
      <c r="L1905" s="118"/>
      <c r="M1905" s="118"/>
      <c r="N1905" s="117"/>
      <c r="O1905" s="117"/>
      <c r="P1905" s="117"/>
      <c r="Q1905" s="117"/>
      <c r="R1905" s="117"/>
      <c r="S1905" s="117"/>
      <c r="T1905" s="117"/>
      <c r="U1905" s="117"/>
      <c r="V1905" s="117"/>
      <c r="W1905" s="117"/>
      <c r="X1905" s="117"/>
      <c r="Y1905" s="117"/>
      <c r="Z1905" s="117"/>
      <c r="AA1905" s="117"/>
      <c r="AB1905" s="117"/>
      <c r="AC1905" s="117"/>
      <c r="AD1905" s="117"/>
      <c r="AE1905" s="117"/>
      <c r="AF1905" s="117"/>
      <c r="AG1905" s="117"/>
      <c r="AH1905" s="117"/>
      <c r="AI1905" s="117"/>
      <c r="AJ1905" s="117"/>
      <c r="AK1905" s="117"/>
      <c r="AL1905" s="117"/>
      <c r="AM1905" s="117"/>
      <c r="AN1905" s="117"/>
      <c r="AO1905" s="117"/>
      <c r="AP1905" s="117"/>
      <c r="AQ1905" s="117"/>
      <c r="AR1905" s="117"/>
      <c r="AS1905" s="117"/>
      <c r="AT1905" s="117"/>
      <c r="AU1905" s="117"/>
      <c r="AV1905" s="117"/>
      <c r="AW1905" s="117"/>
      <c r="AX1905" s="117"/>
      <c r="AY1905" s="117"/>
      <c r="AZ1905" s="117"/>
      <c r="BA1905" s="117"/>
      <c r="BB1905" s="117"/>
      <c r="BC1905" s="117"/>
      <c r="BD1905" s="117"/>
      <c r="BE1905" s="117"/>
      <c r="BF1905" s="117"/>
      <c r="BG1905" s="117"/>
    </row>
    <row r="1906" spans="1:59">
      <c r="A1906" s="117"/>
      <c r="B1906" s="117"/>
      <c r="C1906" s="117"/>
      <c r="D1906" s="117"/>
      <c r="E1906" s="117"/>
      <c r="F1906" s="117"/>
      <c r="G1906" s="117"/>
      <c r="H1906" s="117"/>
      <c r="I1906" s="117"/>
      <c r="J1906" s="118"/>
      <c r="K1906" s="118"/>
      <c r="L1906" s="118"/>
      <c r="M1906" s="118"/>
      <c r="N1906" s="117"/>
      <c r="O1906" s="117"/>
      <c r="P1906" s="117"/>
      <c r="Q1906" s="117"/>
      <c r="R1906" s="117"/>
      <c r="S1906" s="117"/>
      <c r="T1906" s="117"/>
      <c r="U1906" s="117"/>
      <c r="V1906" s="117"/>
      <c r="W1906" s="117"/>
      <c r="X1906" s="117"/>
      <c r="Y1906" s="117"/>
      <c r="Z1906" s="117"/>
      <c r="AA1906" s="117"/>
      <c r="AB1906" s="117"/>
      <c r="AC1906" s="117"/>
      <c r="AD1906" s="117"/>
      <c r="AE1906" s="117"/>
      <c r="AF1906" s="117"/>
      <c r="AG1906" s="117"/>
      <c r="AH1906" s="117"/>
      <c r="AI1906" s="117"/>
      <c r="AJ1906" s="117"/>
      <c r="AK1906" s="117"/>
      <c r="AL1906" s="117"/>
      <c r="AM1906" s="117"/>
      <c r="AN1906" s="117"/>
      <c r="AO1906" s="117"/>
      <c r="AP1906" s="117"/>
      <c r="AQ1906" s="117"/>
      <c r="AR1906" s="117"/>
      <c r="AS1906" s="117"/>
      <c r="AT1906" s="117"/>
      <c r="AU1906" s="117"/>
      <c r="AV1906" s="117"/>
      <c r="AW1906" s="117"/>
      <c r="AX1906" s="117"/>
      <c r="AY1906" s="117"/>
      <c r="AZ1906" s="117"/>
      <c r="BA1906" s="117"/>
      <c r="BB1906" s="117"/>
      <c r="BC1906" s="117"/>
      <c r="BD1906" s="117"/>
      <c r="BE1906" s="117"/>
      <c r="BF1906" s="117"/>
      <c r="BG1906" s="117"/>
    </row>
    <row r="1907" spans="1:59">
      <c r="A1907" s="117"/>
      <c r="B1907" s="117"/>
      <c r="C1907" s="117"/>
      <c r="D1907" s="117"/>
      <c r="E1907" s="117"/>
      <c r="F1907" s="117"/>
      <c r="G1907" s="117"/>
      <c r="H1907" s="117"/>
      <c r="I1907" s="117"/>
      <c r="J1907" s="118"/>
      <c r="K1907" s="118"/>
      <c r="L1907" s="118"/>
      <c r="M1907" s="118"/>
      <c r="N1907" s="117"/>
      <c r="O1907" s="117"/>
      <c r="P1907" s="117"/>
      <c r="Q1907" s="117"/>
      <c r="R1907" s="117"/>
      <c r="S1907" s="117"/>
      <c r="T1907" s="117"/>
      <c r="U1907" s="117"/>
      <c r="V1907" s="117"/>
      <c r="W1907" s="117"/>
      <c r="X1907" s="117"/>
      <c r="Y1907" s="117"/>
      <c r="Z1907" s="117"/>
      <c r="AA1907" s="117"/>
      <c r="AB1907" s="117"/>
      <c r="AC1907" s="117"/>
      <c r="AD1907" s="117"/>
      <c r="AE1907" s="117"/>
      <c r="AF1907" s="117"/>
      <c r="AG1907" s="117"/>
      <c r="AH1907" s="117"/>
      <c r="AI1907" s="117"/>
      <c r="AJ1907" s="117"/>
      <c r="AK1907" s="117"/>
      <c r="AL1907" s="117"/>
      <c r="AM1907" s="117"/>
      <c r="AN1907" s="117"/>
      <c r="AO1907" s="117"/>
      <c r="AP1907" s="117"/>
      <c r="AQ1907" s="117"/>
      <c r="AR1907" s="117"/>
      <c r="AS1907" s="117"/>
      <c r="AT1907" s="117"/>
      <c r="AU1907" s="117"/>
      <c r="AV1907" s="117"/>
      <c r="AW1907" s="117"/>
      <c r="AX1907" s="117"/>
      <c r="AY1907" s="117"/>
      <c r="AZ1907" s="117"/>
      <c r="BA1907" s="117"/>
      <c r="BB1907" s="117"/>
      <c r="BC1907" s="117"/>
      <c r="BD1907" s="117"/>
      <c r="BE1907" s="117"/>
      <c r="BF1907" s="117"/>
      <c r="BG1907" s="117"/>
    </row>
    <row r="1908" spans="1:59">
      <c r="A1908" s="117"/>
      <c r="B1908" s="117"/>
      <c r="C1908" s="117"/>
      <c r="D1908" s="117"/>
      <c r="E1908" s="117"/>
      <c r="F1908" s="117"/>
      <c r="G1908" s="117"/>
      <c r="H1908" s="117"/>
      <c r="I1908" s="117"/>
      <c r="J1908" s="118"/>
      <c r="K1908" s="118"/>
      <c r="L1908" s="118"/>
      <c r="M1908" s="118"/>
      <c r="N1908" s="117"/>
      <c r="O1908" s="117"/>
      <c r="P1908" s="117"/>
      <c r="Q1908" s="117"/>
      <c r="R1908" s="117"/>
      <c r="S1908" s="117"/>
      <c r="T1908" s="117"/>
      <c r="U1908" s="117"/>
      <c r="V1908" s="117"/>
      <c r="W1908" s="117"/>
      <c r="X1908" s="117"/>
      <c r="Y1908" s="117"/>
      <c r="Z1908" s="117"/>
      <c r="AA1908" s="117"/>
      <c r="AB1908" s="117"/>
      <c r="AC1908" s="117"/>
      <c r="AD1908" s="117"/>
      <c r="AE1908" s="117"/>
      <c r="AF1908" s="117"/>
      <c r="AG1908" s="117"/>
      <c r="AH1908" s="117"/>
      <c r="AI1908" s="117"/>
      <c r="AJ1908" s="117"/>
      <c r="AK1908" s="117"/>
      <c r="AL1908" s="117"/>
      <c r="AM1908" s="117"/>
      <c r="AN1908" s="117"/>
      <c r="AO1908" s="117"/>
      <c r="AP1908" s="117"/>
      <c r="AQ1908" s="117"/>
      <c r="AR1908" s="117"/>
      <c r="AS1908" s="117"/>
      <c r="AT1908" s="117"/>
      <c r="AU1908" s="117"/>
      <c r="AV1908" s="117"/>
      <c r="AW1908" s="117"/>
      <c r="AX1908" s="117"/>
      <c r="AY1908" s="117"/>
      <c r="AZ1908" s="117"/>
      <c r="BA1908" s="117"/>
      <c r="BB1908" s="117"/>
      <c r="BC1908" s="117"/>
      <c r="BD1908" s="117"/>
      <c r="BE1908" s="117"/>
      <c r="BF1908" s="117"/>
      <c r="BG1908" s="117"/>
    </row>
    <row r="1909" spans="1:59">
      <c r="A1909" s="117"/>
      <c r="B1909" s="117"/>
      <c r="C1909" s="117"/>
      <c r="D1909" s="117"/>
      <c r="E1909" s="117"/>
      <c r="F1909" s="117"/>
      <c r="G1909" s="117"/>
      <c r="H1909" s="117"/>
      <c r="I1909" s="117"/>
      <c r="J1909" s="118"/>
      <c r="K1909" s="118"/>
      <c r="L1909" s="118"/>
      <c r="M1909" s="118"/>
      <c r="N1909" s="117"/>
      <c r="O1909" s="117"/>
      <c r="P1909" s="117"/>
      <c r="Q1909" s="117"/>
      <c r="R1909" s="117"/>
      <c r="S1909" s="117"/>
      <c r="T1909" s="117"/>
      <c r="U1909" s="117"/>
      <c r="V1909" s="117"/>
      <c r="W1909" s="117"/>
      <c r="X1909" s="117"/>
      <c r="Y1909" s="117"/>
      <c r="Z1909" s="117"/>
      <c r="AA1909" s="117"/>
      <c r="AB1909" s="117"/>
      <c r="AC1909" s="117"/>
      <c r="AD1909" s="117"/>
      <c r="AE1909" s="117"/>
      <c r="AF1909" s="117"/>
      <c r="AG1909" s="117"/>
      <c r="AH1909" s="117"/>
      <c r="AI1909" s="117"/>
      <c r="AJ1909" s="117"/>
      <c r="AK1909" s="117"/>
      <c r="AL1909" s="117"/>
      <c r="AM1909" s="117"/>
      <c r="AN1909" s="117"/>
      <c r="AO1909" s="117"/>
      <c r="AP1909" s="117"/>
      <c r="AQ1909" s="117"/>
      <c r="AR1909" s="117"/>
      <c r="AS1909" s="117"/>
      <c r="AT1909" s="117"/>
      <c r="AU1909" s="117"/>
      <c r="AV1909" s="117"/>
      <c r="AW1909" s="117"/>
      <c r="AX1909" s="117"/>
      <c r="AY1909" s="117"/>
      <c r="AZ1909" s="117"/>
      <c r="BA1909" s="117"/>
      <c r="BB1909" s="117"/>
      <c r="BC1909" s="117"/>
      <c r="BD1909" s="117"/>
      <c r="BE1909" s="117"/>
      <c r="BF1909" s="117"/>
      <c r="BG1909" s="117"/>
    </row>
    <row r="1910" spans="1:59">
      <c r="A1910" s="117"/>
      <c r="B1910" s="117"/>
      <c r="C1910" s="117"/>
      <c r="D1910" s="117"/>
      <c r="E1910" s="117"/>
      <c r="F1910" s="117"/>
      <c r="G1910" s="117"/>
      <c r="H1910" s="117"/>
      <c r="I1910" s="117"/>
      <c r="J1910" s="118"/>
      <c r="K1910" s="118"/>
      <c r="L1910" s="118"/>
      <c r="M1910" s="118"/>
      <c r="N1910" s="117"/>
      <c r="O1910" s="117"/>
      <c r="P1910" s="117"/>
      <c r="Q1910" s="117"/>
      <c r="R1910" s="117"/>
      <c r="S1910" s="117"/>
      <c r="T1910" s="117"/>
      <c r="U1910" s="117"/>
      <c r="V1910" s="117"/>
      <c r="W1910" s="117"/>
      <c r="X1910" s="117"/>
      <c r="Y1910" s="117"/>
      <c r="Z1910" s="117"/>
      <c r="AA1910" s="117"/>
      <c r="AB1910" s="117"/>
      <c r="AC1910" s="117"/>
      <c r="AD1910" s="117"/>
      <c r="AE1910" s="117"/>
      <c r="AF1910" s="117"/>
      <c r="AG1910" s="117"/>
      <c r="AH1910" s="117"/>
      <c r="AI1910" s="117"/>
      <c r="AJ1910" s="117"/>
      <c r="AK1910" s="117"/>
      <c r="AL1910" s="117"/>
      <c r="AM1910" s="117"/>
      <c r="AN1910" s="117"/>
      <c r="AO1910" s="117"/>
      <c r="AP1910" s="117"/>
      <c r="AQ1910" s="117"/>
      <c r="AR1910" s="117"/>
      <c r="AS1910" s="117"/>
      <c r="AT1910" s="117"/>
      <c r="AU1910" s="117"/>
      <c r="AV1910" s="117"/>
      <c r="AW1910" s="117"/>
      <c r="AX1910" s="117"/>
      <c r="AY1910" s="117"/>
      <c r="AZ1910" s="117"/>
      <c r="BA1910" s="117"/>
      <c r="BB1910" s="117"/>
      <c r="BC1910" s="117"/>
      <c r="BD1910" s="117"/>
      <c r="BE1910" s="117"/>
      <c r="BF1910" s="117"/>
      <c r="BG1910" s="117"/>
    </row>
    <row r="1911" spans="1:59">
      <c r="A1911" s="117"/>
      <c r="B1911" s="117"/>
      <c r="C1911" s="117"/>
      <c r="D1911" s="117"/>
      <c r="E1911" s="117"/>
      <c r="F1911" s="117"/>
      <c r="G1911" s="117"/>
      <c r="H1911" s="117"/>
      <c r="I1911" s="117"/>
      <c r="J1911" s="118"/>
      <c r="K1911" s="118"/>
      <c r="L1911" s="118"/>
      <c r="M1911" s="118"/>
      <c r="N1911" s="117"/>
      <c r="O1911" s="117"/>
      <c r="P1911" s="117"/>
      <c r="Q1911" s="117"/>
      <c r="R1911" s="117"/>
      <c r="S1911" s="117"/>
      <c r="T1911" s="117"/>
      <c r="U1911" s="117"/>
      <c r="V1911" s="117"/>
      <c r="W1911" s="117"/>
      <c r="X1911" s="117"/>
      <c r="Y1911" s="117"/>
      <c r="Z1911" s="117"/>
      <c r="AA1911" s="117"/>
      <c r="AB1911" s="117"/>
      <c r="AC1911" s="117"/>
      <c r="AD1911" s="117"/>
      <c r="AE1911" s="117"/>
      <c r="AF1911" s="117"/>
      <c r="AG1911" s="117"/>
      <c r="AH1911" s="117"/>
      <c r="AI1911" s="117"/>
      <c r="AJ1911" s="117"/>
      <c r="AK1911" s="117"/>
      <c r="AL1911" s="117"/>
      <c r="AM1911" s="117"/>
      <c r="AN1911" s="117"/>
      <c r="AO1911" s="117"/>
      <c r="AP1911" s="117"/>
      <c r="AQ1911" s="117"/>
      <c r="AR1911" s="117"/>
      <c r="AS1911" s="117"/>
      <c r="AT1911" s="117"/>
      <c r="AU1911" s="117"/>
      <c r="AV1911" s="117"/>
      <c r="AW1911" s="117"/>
      <c r="AX1911" s="117"/>
      <c r="AY1911" s="117"/>
      <c r="AZ1911" s="117"/>
      <c r="BA1911" s="117"/>
      <c r="BB1911" s="117"/>
      <c r="BC1911" s="117"/>
      <c r="BD1911" s="117"/>
      <c r="BE1911" s="117"/>
      <c r="BF1911" s="117"/>
      <c r="BG1911" s="117"/>
    </row>
    <row r="1912" spans="1:59">
      <c r="A1912" s="117"/>
      <c r="B1912" s="117"/>
      <c r="C1912" s="117"/>
      <c r="D1912" s="117"/>
      <c r="E1912" s="117"/>
      <c r="F1912" s="117"/>
      <c r="G1912" s="117"/>
      <c r="H1912" s="117"/>
      <c r="I1912" s="117"/>
      <c r="J1912" s="118"/>
      <c r="K1912" s="118"/>
      <c r="L1912" s="118"/>
      <c r="M1912" s="118"/>
      <c r="N1912" s="117"/>
      <c r="O1912" s="117"/>
      <c r="P1912" s="117"/>
      <c r="Q1912" s="117"/>
      <c r="R1912" s="117"/>
      <c r="S1912" s="117"/>
      <c r="T1912" s="117"/>
      <c r="U1912" s="117"/>
      <c r="V1912" s="117"/>
      <c r="W1912" s="117"/>
      <c r="X1912" s="117"/>
      <c r="Y1912" s="117"/>
      <c r="Z1912" s="117"/>
      <c r="AA1912" s="117"/>
      <c r="AB1912" s="117"/>
      <c r="AC1912" s="117"/>
      <c r="AD1912" s="117"/>
      <c r="AE1912" s="117"/>
      <c r="AF1912" s="117"/>
      <c r="AG1912" s="117"/>
      <c r="AH1912" s="117"/>
      <c r="AI1912" s="117"/>
      <c r="AJ1912" s="117"/>
      <c r="AK1912" s="117"/>
      <c r="AL1912" s="117"/>
      <c r="AM1912" s="117"/>
      <c r="AN1912" s="117"/>
      <c r="AO1912" s="117"/>
      <c r="AP1912" s="117"/>
      <c r="AQ1912" s="117"/>
      <c r="AR1912" s="117"/>
      <c r="AS1912" s="117"/>
      <c r="AT1912" s="117"/>
      <c r="AU1912" s="117"/>
      <c r="AV1912" s="117"/>
      <c r="AW1912" s="117"/>
      <c r="AX1912" s="117"/>
      <c r="AY1912" s="117"/>
      <c r="AZ1912" s="117"/>
      <c r="BA1912" s="117"/>
      <c r="BB1912" s="117"/>
      <c r="BC1912" s="117"/>
      <c r="BD1912" s="117"/>
      <c r="BE1912" s="117"/>
      <c r="BF1912" s="117"/>
      <c r="BG1912" s="117"/>
    </row>
    <row r="1913" spans="1:59">
      <c r="A1913" s="117"/>
      <c r="B1913" s="117"/>
      <c r="C1913" s="117"/>
      <c r="D1913" s="117"/>
      <c r="E1913" s="117"/>
      <c r="F1913" s="117"/>
      <c r="G1913" s="117"/>
      <c r="H1913" s="117"/>
      <c r="I1913" s="117"/>
      <c r="J1913" s="118"/>
      <c r="K1913" s="118"/>
      <c r="L1913" s="118"/>
      <c r="M1913" s="118"/>
      <c r="N1913" s="117"/>
      <c r="O1913" s="117"/>
      <c r="P1913" s="117"/>
      <c r="Q1913" s="117"/>
      <c r="R1913" s="117"/>
      <c r="S1913" s="117"/>
      <c r="T1913" s="117"/>
      <c r="U1913" s="117"/>
      <c r="V1913" s="117"/>
      <c r="W1913" s="117"/>
      <c r="X1913" s="117"/>
      <c r="Y1913" s="117"/>
      <c r="Z1913" s="117"/>
      <c r="AA1913" s="117"/>
      <c r="AB1913" s="117"/>
      <c r="AC1913" s="117"/>
      <c r="AD1913" s="117"/>
      <c r="AE1913" s="117"/>
      <c r="AF1913" s="117"/>
      <c r="AG1913" s="117"/>
      <c r="AH1913" s="117"/>
      <c r="AI1913" s="117"/>
      <c r="AJ1913" s="117"/>
      <c r="AK1913" s="117"/>
      <c r="AL1913" s="117"/>
      <c r="AM1913" s="117"/>
      <c r="AN1913" s="117"/>
      <c r="AO1913" s="117"/>
      <c r="AP1913" s="117"/>
      <c r="AQ1913" s="117"/>
      <c r="AR1913" s="117"/>
      <c r="AS1913" s="117"/>
      <c r="AT1913" s="117"/>
      <c r="AU1913" s="117"/>
      <c r="AV1913" s="117"/>
      <c r="AW1913" s="117"/>
      <c r="AX1913" s="117"/>
      <c r="AY1913" s="117"/>
      <c r="AZ1913" s="117"/>
      <c r="BA1913" s="117"/>
      <c r="BB1913" s="117"/>
      <c r="BC1913" s="117"/>
      <c r="BD1913" s="117"/>
      <c r="BE1913" s="117"/>
      <c r="BF1913" s="117"/>
      <c r="BG1913" s="117"/>
    </row>
    <row r="1914" spans="1:59">
      <c r="A1914" s="117"/>
      <c r="B1914" s="117"/>
      <c r="C1914" s="117"/>
      <c r="D1914" s="117"/>
      <c r="E1914" s="117"/>
      <c r="F1914" s="117"/>
      <c r="G1914" s="117"/>
      <c r="H1914" s="117"/>
      <c r="I1914" s="117"/>
      <c r="J1914" s="118"/>
      <c r="K1914" s="118"/>
      <c r="L1914" s="118"/>
      <c r="M1914" s="118"/>
      <c r="N1914" s="117"/>
      <c r="O1914" s="117"/>
      <c r="P1914" s="117"/>
      <c r="Q1914" s="117"/>
      <c r="R1914" s="117"/>
      <c r="S1914" s="117"/>
      <c r="T1914" s="117"/>
      <c r="U1914" s="117"/>
      <c r="V1914" s="117"/>
      <c r="W1914" s="117"/>
      <c r="X1914" s="117"/>
      <c r="Y1914" s="117"/>
      <c r="Z1914" s="117"/>
      <c r="AA1914" s="117"/>
      <c r="AB1914" s="117"/>
      <c r="AC1914" s="117"/>
      <c r="AD1914" s="117"/>
      <c r="AE1914" s="117"/>
      <c r="AF1914" s="117"/>
      <c r="AG1914" s="117"/>
      <c r="AH1914" s="117"/>
      <c r="AI1914" s="117"/>
      <c r="AJ1914" s="117"/>
      <c r="AK1914" s="117"/>
      <c r="AL1914" s="117"/>
      <c r="AM1914" s="117"/>
      <c r="AN1914" s="117"/>
      <c r="AO1914" s="117"/>
      <c r="AP1914" s="117"/>
      <c r="AQ1914" s="117"/>
      <c r="AR1914" s="117"/>
      <c r="AS1914" s="117"/>
      <c r="AT1914" s="117"/>
      <c r="AU1914" s="117"/>
      <c r="AV1914" s="117"/>
      <c r="AW1914" s="117"/>
      <c r="AX1914" s="117"/>
      <c r="AY1914" s="117"/>
      <c r="AZ1914" s="117"/>
      <c r="BA1914" s="117"/>
      <c r="BB1914" s="117"/>
      <c r="BC1914" s="117"/>
      <c r="BD1914" s="117"/>
      <c r="BE1914" s="117"/>
      <c r="BF1914" s="117"/>
      <c r="BG1914" s="117"/>
    </row>
    <row r="1915" spans="1:59">
      <c r="A1915" s="117"/>
      <c r="B1915" s="117"/>
      <c r="C1915" s="117"/>
      <c r="D1915" s="117"/>
      <c r="E1915" s="117"/>
      <c r="F1915" s="117"/>
      <c r="G1915" s="117"/>
      <c r="H1915" s="117"/>
      <c r="I1915" s="117"/>
      <c r="J1915" s="118"/>
      <c r="K1915" s="118"/>
      <c r="L1915" s="118"/>
      <c r="M1915" s="118"/>
      <c r="N1915" s="117"/>
      <c r="O1915" s="117"/>
      <c r="P1915" s="117"/>
      <c r="Q1915" s="117"/>
      <c r="R1915" s="117"/>
      <c r="S1915" s="117"/>
      <c r="T1915" s="117"/>
      <c r="U1915" s="117"/>
      <c r="V1915" s="117"/>
      <c r="W1915" s="117"/>
      <c r="X1915" s="117"/>
      <c r="Y1915" s="117"/>
      <c r="Z1915" s="117"/>
      <c r="AA1915" s="117"/>
      <c r="AB1915" s="117"/>
      <c r="AC1915" s="117"/>
      <c r="AD1915" s="117"/>
      <c r="AE1915" s="117"/>
      <c r="AF1915" s="117"/>
      <c r="AG1915" s="117"/>
      <c r="AH1915" s="117"/>
      <c r="AI1915" s="117"/>
      <c r="AJ1915" s="117"/>
      <c r="AK1915" s="117"/>
      <c r="AL1915" s="117"/>
      <c r="AM1915" s="117"/>
      <c r="AN1915" s="117"/>
      <c r="AO1915" s="117"/>
      <c r="AP1915" s="117"/>
      <c r="AQ1915" s="117"/>
      <c r="AR1915" s="117"/>
      <c r="AS1915" s="117"/>
      <c r="AT1915" s="117"/>
      <c r="AU1915" s="117"/>
      <c r="AV1915" s="117"/>
      <c r="AW1915" s="117"/>
      <c r="AX1915" s="117"/>
      <c r="AY1915" s="117"/>
      <c r="AZ1915" s="117"/>
      <c r="BA1915" s="117"/>
      <c r="BB1915" s="117"/>
      <c r="BC1915" s="117"/>
      <c r="BD1915" s="117"/>
      <c r="BE1915" s="117"/>
      <c r="BF1915" s="117"/>
      <c r="BG1915" s="117"/>
    </row>
    <row r="1916" spans="1:59">
      <c r="A1916" s="117"/>
      <c r="B1916" s="117"/>
      <c r="C1916" s="117"/>
      <c r="D1916" s="117"/>
      <c r="E1916" s="117"/>
      <c r="F1916" s="117"/>
      <c r="G1916" s="117"/>
      <c r="H1916" s="117"/>
      <c r="I1916" s="117"/>
      <c r="J1916" s="118"/>
      <c r="K1916" s="118"/>
      <c r="L1916" s="118"/>
      <c r="M1916" s="118"/>
      <c r="N1916" s="117"/>
      <c r="O1916" s="117"/>
      <c r="P1916" s="117"/>
      <c r="Q1916" s="117"/>
      <c r="R1916" s="117"/>
      <c r="S1916" s="117"/>
      <c r="T1916" s="117"/>
      <c r="U1916" s="117"/>
      <c r="V1916" s="117"/>
      <c r="W1916" s="117"/>
      <c r="X1916" s="117"/>
      <c r="Y1916" s="117"/>
      <c r="Z1916" s="117"/>
      <c r="AA1916" s="117"/>
      <c r="AB1916" s="117"/>
      <c r="AC1916" s="117"/>
      <c r="AD1916" s="117"/>
      <c r="AE1916" s="117"/>
      <c r="AF1916" s="117"/>
      <c r="AG1916" s="117"/>
      <c r="AH1916" s="117"/>
      <c r="AI1916" s="117"/>
      <c r="AJ1916" s="117"/>
      <c r="AK1916" s="117"/>
      <c r="AL1916" s="117"/>
      <c r="AM1916" s="117"/>
      <c r="AN1916" s="117"/>
      <c r="AO1916" s="117"/>
      <c r="AP1916" s="117"/>
      <c r="AQ1916" s="117"/>
      <c r="AR1916" s="117"/>
      <c r="AS1916" s="117"/>
      <c r="AT1916" s="117"/>
      <c r="AU1916" s="117"/>
      <c r="AV1916" s="117"/>
      <c r="AW1916" s="117"/>
      <c r="AX1916" s="117"/>
      <c r="AY1916" s="117"/>
      <c r="AZ1916" s="117"/>
      <c r="BA1916" s="117"/>
      <c r="BB1916" s="117"/>
      <c r="BC1916" s="117"/>
      <c r="BD1916" s="117"/>
      <c r="BE1916" s="117"/>
      <c r="BF1916" s="117"/>
      <c r="BG1916" s="117"/>
    </row>
    <row r="1917" spans="1:59">
      <c r="A1917" s="117"/>
      <c r="B1917" s="117"/>
      <c r="C1917" s="117"/>
      <c r="D1917" s="117"/>
      <c r="E1917" s="117"/>
      <c r="F1917" s="117"/>
      <c r="G1917" s="117"/>
      <c r="H1917" s="117"/>
      <c r="I1917" s="117"/>
      <c r="J1917" s="118"/>
      <c r="K1917" s="118"/>
      <c r="L1917" s="118"/>
      <c r="M1917" s="118"/>
      <c r="N1917" s="117"/>
      <c r="O1917" s="117"/>
      <c r="P1917" s="117"/>
      <c r="Q1917" s="117"/>
      <c r="R1917" s="117"/>
      <c r="S1917" s="117"/>
      <c r="T1917" s="117"/>
      <c r="U1917" s="117"/>
      <c r="V1917" s="117"/>
      <c r="W1917" s="117"/>
      <c r="X1917" s="117"/>
      <c r="Y1917" s="117"/>
      <c r="Z1917" s="117"/>
      <c r="AA1917" s="117"/>
      <c r="AB1917" s="117"/>
      <c r="AC1917" s="117"/>
      <c r="AD1917" s="117"/>
      <c r="AE1917" s="117"/>
      <c r="AF1917" s="117"/>
      <c r="AG1917" s="117"/>
      <c r="AH1917" s="117"/>
      <c r="AI1917" s="117"/>
      <c r="AJ1917" s="117"/>
      <c r="AK1917" s="117"/>
      <c r="AL1917" s="117"/>
      <c r="AM1917" s="117"/>
      <c r="AN1917" s="117"/>
      <c r="AO1917" s="117"/>
      <c r="AP1917" s="117"/>
      <c r="AQ1917" s="117"/>
      <c r="AR1917" s="117"/>
      <c r="AS1917" s="117"/>
      <c r="AT1917" s="117"/>
      <c r="AU1917" s="117"/>
      <c r="AV1917" s="117"/>
      <c r="AW1917" s="117"/>
      <c r="AX1917" s="117"/>
      <c r="AY1917" s="117"/>
      <c r="AZ1917" s="117"/>
      <c r="BA1917" s="117"/>
      <c r="BB1917" s="117"/>
      <c r="BC1917" s="117"/>
      <c r="BD1917" s="117"/>
      <c r="BE1917" s="117"/>
      <c r="BF1917" s="117"/>
      <c r="BG1917" s="117"/>
    </row>
    <row r="1918" spans="1:59">
      <c r="A1918" s="117"/>
      <c r="B1918" s="117"/>
      <c r="C1918" s="117"/>
      <c r="D1918" s="117"/>
      <c r="E1918" s="117"/>
      <c r="F1918" s="117"/>
      <c r="G1918" s="117"/>
      <c r="H1918" s="117"/>
      <c r="I1918" s="117"/>
      <c r="J1918" s="118"/>
      <c r="K1918" s="118"/>
      <c r="L1918" s="118"/>
      <c r="M1918" s="118"/>
      <c r="N1918" s="117"/>
      <c r="O1918" s="117"/>
      <c r="P1918" s="117"/>
      <c r="Q1918" s="117"/>
      <c r="R1918" s="117"/>
      <c r="S1918" s="117"/>
      <c r="T1918" s="117"/>
      <c r="U1918" s="117"/>
      <c r="V1918" s="117"/>
      <c r="W1918" s="117"/>
      <c r="X1918" s="117"/>
      <c r="Y1918" s="117"/>
      <c r="Z1918" s="117"/>
      <c r="AA1918" s="117"/>
      <c r="AB1918" s="117"/>
      <c r="AC1918" s="117"/>
      <c r="AD1918" s="117"/>
      <c r="AE1918" s="117"/>
      <c r="AF1918" s="117"/>
      <c r="AG1918" s="117"/>
      <c r="AH1918" s="117"/>
      <c r="AI1918" s="117"/>
      <c r="AJ1918" s="117"/>
      <c r="AK1918" s="117"/>
      <c r="AL1918" s="117"/>
      <c r="AM1918" s="117"/>
      <c r="AN1918" s="117"/>
      <c r="AO1918" s="117"/>
      <c r="AP1918" s="117"/>
      <c r="AQ1918" s="117"/>
      <c r="AR1918" s="117"/>
      <c r="AS1918" s="117"/>
      <c r="AT1918" s="117"/>
      <c r="AU1918" s="117"/>
      <c r="AV1918" s="117"/>
      <c r="AW1918" s="117"/>
      <c r="AX1918" s="117"/>
      <c r="AY1918" s="117"/>
      <c r="AZ1918" s="117"/>
      <c r="BA1918" s="117"/>
      <c r="BB1918" s="117"/>
      <c r="BC1918" s="117"/>
      <c r="BD1918" s="117"/>
      <c r="BE1918" s="117"/>
      <c r="BF1918" s="117"/>
      <c r="BG1918" s="117"/>
    </row>
    <row r="1919" spans="1:59">
      <c r="A1919" s="117"/>
      <c r="B1919" s="117"/>
      <c r="C1919" s="117"/>
      <c r="D1919" s="117"/>
      <c r="E1919" s="117"/>
      <c r="F1919" s="117"/>
      <c r="G1919" s="117"/>
      <c r="H1919" s="117"/>
      <c r="I1919" s="117"/>
      <c r="J1919" s="118"/>
      <c r="K1919" s="118"/>
      <c r="L1919" s="118"/>
      <c r="M1919" s="118"/>
      <c r="N1919" s="117"/>
      <c r="O1919" s="117"/>
      <c r="P1919" s="117"/>
      <c r="Q1919" s="117"/>
      <c r="R1919" s="117"/>
      <c r="S1919" s="117"/>
      <c r="T1919" s="117"/>
      <c r="U1919" s="117"/>
      <c r="V1919" s="117"/>
      <c r="W1919" s="117"/>
      <c r="X1919" s="117"/>
      <c r="Y1919" s="117"/>
      <c r="Z1919" s="117"/>
      <c r="AA1919" s="117"/>
      <c r="AB1919" s="117"/>
      <c r="AC1919" s="117"/>
      <c r="AD1919" s="117"/>
      <c r="AE1919" s="117"/>
      <c r="AF1919" s="117"/>
      <c r="AG1919" s="117"/>
      <c r="AH1919" s="117"/>
      <c r="AI1919" s="117"/>
      <c r="AJ1919" s="117"/>
      <c r="AK1919" s="117"/>
      <c r="AL1919" s="117"/>
      <c r="AM1919" s="117"/>
      <c r="AN1919" s="117"/>
      <c r="AO1919" s="117"/>
      <c r="AP1919" s="117"/>
      <c r="AQ1919" s="117"/>
      <c r="AR1919" s="117"/>
      <c r="AS1919" s="117"/>
      <c r="AT1919" s="117"/>
      <c r="AU1919" s="117"/>
      <c r="AV1919" s="117"/>
      <c r="AW1919" s="117"/>
      <c r="AX1919" s="117"/>
      <c r="AY1919" s="117"/>
      <c r="AZ1919" s="117"/>
      <c r="BA1919" s="117"/>
      <c r="BB1919" s="117"/>
      <c r="BC1919" s="117"/>
      <c r="BD1919" s="117"/>
      <c r="BE1919" s="117"/>
      <c r="BF1919" s="117"/>
      <c r="BG1919" s="117"/>
    </row>
    <row r="1920" spans="1:59">
      <c r="A1920" s="117"/>
      <c r="B1920" s="117"/>
      <c r="C1920" s="117"/>
      <c r="D1920" s="117"/>
      <c r="E1920" s="117"/>
      <c r="F1920" s="117"/>
      <c r="G1920" s="117"/>
      <c r="H1920" s="117"/>
      <c r="I1920" s="117"/>
      <c r="J1920" s="118"/>
      <c r="K1920" s="118"/>
      <c r="L1920" s="118"/>
      <c r="M1920" s="118"/>
      <c r="N1920" s="117"/>
      <c r="O1920" s="117"/>
      <c r="P1920" s="117"/>
      <c r="Q1920" s="117"/>
      <c r="R1920" s="117"/>
      <c r="S1920" s="117"/>
      <c r="T1920" s="117"/>
      <c r="U1920" s="117"/>
      <c r="V1920" s="117"/>
      <c r="W1920" s="117"/>
      <c r="X1920" s="117"/>
      <c r="Y1920" s="117"/>
      <c r="Z1920" s="117"/>
      <c r="AA1920" s="117"/>
      <c r="AB1920" s="117"/>
      <c r="AC1920" s="117"/>
      <c r="AD1920" s="117"/>
      <c r="AE1920" s="117"/>
      <c r="AF1920" s="117"/>
      <c r="AG1920" s="117"/>
      <c r="AH1920" s="117"/>
      <c r="AI1920" s="117"/>
      <c r="AJ1920" s="117"/>
      <c r="AK1920" s="117"/>
      <c r="AL1920" s="117"/>
      <c r="AM1920" s="117"/>
      <c r="AN1920" s="117"/>
      <c r="AO1920" s="117"/>
      <c r="AP1920" s="117"/>
      <c r="AQ1920" s="117"/>
      <c r="AR1920" s="117"/>
      <c r="AS1920" s="117"/>
      <c r="AT1920" s="117"/>
      <c r="AU1920" s="117"/>
      <c r="AV1920" s="117"/>
      <c r="AW1920" s="117"/>
      <c r="AX1920" s="117"/>
      <c r="AY1920" s="117"/>
      <c r="AZ1920" s="117"/>
      <c r="BA1920" s="117"/>
      <c r="BB1920" s="117"/>
      <c r="BC1920" s="117"/>
      <c r="BD1920" s="117"/>
      <c r="BE1920" s="117"/>
      <c r="BF1920" s="117"/>
      <c r="BG1920" s="117"/>
    </row>
    <row r="1921" spans="1:59">
      <c r="A1921" s="117"/>
      <c r="B1921" s="117"/>
      <c r="C1921" s="117"/>
      <c r="D1921" s="117"/>
      <c r="E1921" s="117"/>
      <c r="F1921" s="117"/>
      <c r="G1921" s="117"/>
      <c r="H1921" s="117"/>
      <c r="I1921" s="117"/>
      <c r="J1921" s="118"/>
      <c r="K1921" s="118"/>
      <c r="L1921" s="118"/>
      <c r="M1921" s="118"/>
      <c r="N1921" s="117"/>
      <c r="O1921" s="117"/>
      <c r="P1921" s="117"/>
      <c r="Q1921" s="117"/>
      <c r="R1921" s="117"/>
      <c r="S1921" s="117"/>
      <c r="T1921" s="117"/>
      <c r="U1921" s="117"/>
      <c r="V1921" s="117"/>
      <c r="W1921" s="117"/>
      <c r="X1921" s="117"/>
      <c r="Y1921" s="117"/>
      <c r="Z1921" s="117"/>
      <c r="AA1921" s="117"/>
      <c r="AB1921" s="117"/>
      <c r="AC1921" s="117"/>
      <c r="AD1921" s="117"/>
      <c r="AE1921" s="117"/>
      <c r="AF1921" s="117"/>
      <c r="AG1921" s="117"/>
      <c r="AH1921" s="117"/>
      <c r="AI1921" s="117"/>
      <c r="AJ1921" s="117"/>
      <c r="AK1921" s="117"/>
      <c r="AL1921" s="117"/>
      <c r="AM1921" s="117"/>
      <c r="AN1921" s="117"/>
      <c r="AO1921" s="117"/>
      <c r="AP1921" s="117"/>
      <c r="AQ1921" s="117"/>
      <c r="AR1921" s="117"/>
      <c r="AS1921" s="117"/>
      <c r="AT1921" s="117"/>
      <c r="AU1921" s="117"/>
      <c r="AV1921" s="117"/>
      <c r="AW1921" s="117"/>
      <c r="AX1921" s="117"/>
      <c r="AY1921" s="117"/>
      <c r="AZ1921" s="117"/>
      <c r="BA1921" s="117"/>
      <c r="BB1921" s="117"/>
      <c r="BC1921" s="117"/>
      <c r="BD1921" s="117"/>
      <c r="BE1921" s="117"/>
      <c r="BF1921" s="117"/>
      <c r="BG1921" s="117"/>
    </row>
    <row r="1922" spans="1:59">
      <c r="A1922" s="117"/>
      <c r="B1922" s="117"/>
      <c r="C1922" s="117"/>
      <c r="D1922" s="117"/>
      <c r="E1922" s="117"/>
      <c r="F1922" s="117"/>
      <c r="G1922" s="117"/>
      <c r="H1922" s="117"/>
      <c r="I1922" s="117"/>
      <c r="J1922" s="118"/>
      <c r="K1922" s="118"/>
      <c r="L1922" s="118"/>
      <c r="M1922" s="118"/>
      <c r="N1922" s="117"/>
      <c r="O1922" s="117"/>
      <c r="P1922" s="117"/>
      <c r="Q1922" s="117"/>
      <c r="R1922" s="117"/>
      <c r="S1922" s="117"/>
      <c r="T1922" s="117"/>
      <c r="U1922" s="117"/>
      <c r="V1922" s="117"/>
      <c r="W1922" s="117"/>
      <c r="X1922" s="117"/>
      <c r="Y1922" s="117"/>
      <c r="Z1922" s="117"/>
      <c r="AA1922" s="117"/>
      <c r="AB1922" s="117"/>
      <c r="AC1922" s="117"/>
      <c r="AD1922" s="117"/>
      <c r="AE1922" s="117"/>
      <c r="AF1922" s="117"/>
      <c r="AG1922" s="117"/>
      <c r="AH1922" s="117"/>
      <c r="AI1922" s="117"/>
      <c r="AJ1922" s="117"/>
      <c r="AK1922" s="117"/>
      <c r="AL1922" s="117"/>
      <c r="AM1922" s="117"/>
      <c r="AN1922" s="117"/>
      <c r="AO1922" s="117"/>
      <c r="AP1922" s="117"/>
      <c r="AQ1922" s="117"/>
      <c r="AR1922" s="117"/>
      <c r="AS1922" s="117"/>
      <c r="AT1922" s="117"/>
      <c r="AU1922" s="117"/>
      <c r="AV1922" s="117"/>
      <c r="AW1922" s="117"/>
      <c r="AX1922" s="117"/>
      <c r="AY1922" s="117"/>
      <c r="AZ1922" s="117"/>
      <c r="BA1922" s="117"/>
      <c r="BB1922" s="117"/>
      <c r="BC1922" s="117"/>
      <c r="BD1922" s="117"/>
      <c r="BE1922" s="117"/>
      <c r="BF1922" s="117"/>
      <c r="BG1922" s="117"/>
    </row>
    <row r="1923" spans="1:59">
      <c r="A1923" s="117"/>
      <c r="B1923" s="117"/>
      <c r="C1923" s="117"/>
      <c r="D1923" s="117"/>
      <c r="E1923" s="117"/>
      <c r="F1923" s="117"/>
      <c r="G1923" s="117"/>
      <c r="H1923" s="117"/>
      <c r="I1923" s="117"/>
      <c r="J1923" s="118"/>
      <c r="K1923" s="118"/>
      <c r="L1923" s="118"/>
      <c r="M1923" s="118"/>
      <c r="N1923" s="117"/>
      <c r="O1923" s="117"/>
      <c r="P1923" s="117"/>
      <c r="Q1923" s="117"/>
      <c r="R1923" s="117"/>
      <c r="S1923" s="117"/>
      <c r="T1923" s="117"/>
      <c r="U1923" s="117"/>
      <c r="V1923" s="117"/>
      <c r="W1923" s="117"/>
      <c r="X1923" s="117"/>
      <c r="Y1923" s="117"/>
      <c r="Z1923" s="117"/>
      <c r="AA1923" s="117"/>
      <c r="AB1923" s="117"/>
      <c r="AC1923" s="117"/>
      <c r="AD1923" s="117"/>
      <c r="AE1923" s="117"/>
      <c r="AF1923" s="117"/>
      <c r="AG1923" s="117"/>
      <c r="AH1923" s="117"/>
      <c r="AI1923" s="117"/>
      <c r="AJ1923" s="117"/>
      <c r="AK1923" s="117"/>
      <c r="AL1923" s="117"/>
      <c r="AM1923" s="117"/>
      <c r="AN1923" s="117"/>
      <c r="AO1923" s="117"/>
      <c r="AP1923" s="117"/>
      <c r="AQ1923" s="117"/>
      <c r="AR1923" s="117"/>
      <c r="AS1923" s="117"/>
      <c r="AT1923" s="117"/>
      <c r="AU1923" s="117"/>
      <c r="AV1923" s="117"/>
      <c r="AW1923" s="117"/>
      <c r="AX1923" s="117"/>
      <c r="AY1923" s="117"/>
      <c r="AZ1923" s="117"/>
      <c r="BA1923" s="117"/>
      <c r="BB1923" s="117"/>
      <c r="BC1923" s="117"/>
      <c r="BD1923" s="117"/>
      <c r="BE1923" s="117"/>
      <c r="BF1923" s="117"/>
      <c r="BG1923" s="117"/>
    </row>
    <row r="1924" spans="1:59">
      <c r="A1924" s="117"/>
      <c r="B1924" s="117"/>
      <c r="C1924" s="117"/>
      <c r="D1924" s="117"/>
      <c r="E1924" s="117"/>
      <c r="F1924" s="117"/>
      <c r="G1924" s="117"/>
      <c r="H1924" s="117"/>
      <c r="I1924" s="117"/>
      <c r="J1924" s="118"/>
      <c r="K1924" s="118"/>
      <c r="L1924" s="118"/>
      <c r="M1924" s="118"/>
      <c r="N1924" s="117"/>
      <c r="O1924" s="117"/>
      <c r="P1924" s="117"/>
      <c r="Q1924" s="117"/>
      <c r="R1924" s="117"/>
      <c r="S1924" s="117"/>
      <c r="T1924" s="117"/>
      <c r="U1924" s="117"/>
      <c r="V1924" s="117"/>
      <c r="W1924" s="117"/>
      <c r="X1924" s="117"/>
      <c r="Y1924" s="117"/>
      <c r="Z1924" s="117"/>
      <c r="AA1924" s="117"/>
      <c r="AB1924" s="117"/>
      <c r="AC1924" s="117"/>
      <c r="AD1924" s="117"/>
      <c r="AE1924" s="117"/>
      <c r="AF1924" s="117"/>
      <c r="AG1924" s="117"/>
      <c r="AH1924" s="117"/>
      <c r="AI1924" s="117"/>
      <c r="AJ1924" s="117"/>
      <c r="AK1924" s="117"/>
      <c r="AL1924" s="117"/>
      <c r="AM1924" s="117"/>
      <c r="AN1924" s="117"/>
      <c r="AO1924" s="117"/>
      <c r="AP1924" s="117"/>
      <c r="AQ1924" s="117"/>
      <c r="AR1924" s="117"/>
      <c r="AS1924" s="117"/>
      <c r="AT1924" s="117"/>
      <c r="AU1924" s="117"/>
      <c r="AV1924" s="117"/>
      <c r="AW1924" s="117"/>
      <c r="AX1924" s="117"/>
      <c r="AY1924" s="117"/>
      <c r="AZ1924" s="117"/>
      <c r="BA1924" s="117"/>
      <c r="BB1924" s="117"/>
      <c r="BC1924" s="117"/>
      <c r="BD1924" s="117"/>
      <c r="BE1924" s="117"/>
      <c r="BF1924" s="117"/>
      <c r="BG1924" s="117"/>
    </row>
    <row r="1925" spans="1:59">
      <c r="A1925" s="117"/>
      <c r="B1925" s="117"/>
      <c r="C1925" s="117"/>
      <c r="D1925" s="117"/>
      <c r="E1925" s="117"/>
      <c r="F1925" s="117"/>
      <c r="G1925" s="117"/>
      <c r="H1925" s="117"/>
      <c r="I1925" s="117"/>
      <c r="J1925" s="118"/>
      <c r="K1925" s="118"/>
      <c r="L1925" s="118"/>
      <c r="M1925" s="118"/>
      <c r="N1925" s="117"/>
      <c r="O1925" s="117"/>
      <c r="P1925" s="117"/>
      <c r="Q1925" s="117"/>
      <c r="R1925" s="117"/>
      <c r="S1925" s="117"/>
      <c r="T1925" s="117"/>
      <c r="U1925" s="117"/>
      <c r="V1925" s="117"/>
      <c r="W1925" s="117"/>
      <c r="X1925" s="117"/>
      <c r="Y1925" s="117"/>
      <c r="Z1925" s="117"/>
      <c r="AA1925" s="117"/>
      <c r="AB1925" s="117"/>
      <c r="AC1925" s="117"/>
      <c r="AD1925" s="117"/>
      <c r="AE1925" s="117"/>
      <c r="AF1925" s="117"/>
      <c r="AG1925" s="117"/>
      <c r="AH1925" s="117"/>
      <c r="AI1925" s="117"/>
      <c r="AJ1925" s="117"/>
      <c r="AK1925" s="117"/>
      <c r="AL1925" s="117"/>
      <c r="AM1925" s="117"/>
      <c r="AN1925" s="117"/>
      <c r="AO1925" s="117"/>
      <c r="AP1925" s="117"/>
      <c r="AQ1925" s="117"/>
      <c r="AR1925" s="117"/>
      <c r="AS1925" s="117"/>
      <c r="AT1925" s="117"/>
      <c r="AU1925" s="117"/>
      <c r="AV1925" s="117"/>
      <c r="AW1925" s="117"/>
      <c r="AX1925" s="117"/>
      <c r="AY1925" s="117"/>
      <c r="AZ1925" s="117"/>
      <c r="BA1925" s="117"/>
      <c r="BB1925" s="117"/>
      <c r="BC1925" s="117"/>
      <c r="BD1925" s="117"/>
      <c r="BE1925" s="117"/>
      <c r="BF1925" s="117"/>
      <c r="BG1925" s="117"/>
    </row>
    <row r="1926" spans="1:59">
      <c r="A1926" s="117"/>
      <c r="B1926" s="117"/>
      <c r="C1926" s="117"/>
      <c r="D1926" s="117"/>
      <c r="E1926" s="117"/>
      <c r="F1926" s="117"/>
      <c r="G1926" s="117"/>
      <c r="H1926" s="117"/>
      <c r="I1926" s="117"/>
      <c r="J1926" s="118"/>
      <c r="K1926" s="118"/>
      <c r="L1926" s="118"/>
      <c r="M1926" s="118"/>
      <c r="N1926" s="117"/>
      <c r="O1926" s="117"/>
      <c r="P1926" s="117"/>
      <c r="Q1926" s="117"/>
      <c r="R1926" s="117"/>
      <c r="S1926" s="117"/>
      <c r="T1926" s="117"/>
      <c r="U1926" s="117"/>
      <c r="V1926" s="117"/>
      <c r="W1926" s="117"/>
      <c r="X1926" s="117"/>
      <c r="Y1926" s="117"/>
      <c r="Z1926" s="117"/>
      <c r="AA1926" s="117"/>
      <c r="AB1926" s="117"/>
      <c r="AC1926" s="117"/>
      <c r="AD1926" s="117"/>
      <c r="AE1926" s="117"/>
      <c r="AF1926" s="117"/>
      <c r="AG1926" s="117"/>
      <c r="AH1926" s="117"/>
      <c r="AI1926" s="117"/>
      <c r="AJ1926" s="117"/>
      <c r="AK1926" s="117"/>
      <c r="AL1926" s="117"/>
      <c r="AM1926" s="117"/>
      <c r="AN1926" s="117"/>
      <c r="AO1926" s="117"/>
      <c r="AP1926" s="117"/>
      <c r="AQ1926" s="117"/>
      <c r="AR1926" s="117"/>
      <c r="AS1926" s="117"/>
      <c r="AT1926" s="117"/>
      <c r="AU1926" s="117"/>
      <c r="AV1926" s="117"/>
      <c r="AW1926" s="117"/>
      <c r="AX1926" s="117"/>
      <c r="AY1926" s="117"/>
      <c r="AZ1926" s="117"/>
      <c r="BA1926" s="117"/>
      <c r="BB1926" s="117"/>
      <c r="BC1926" s="117"/>
      <c r="BD1926" s="117"/>
      <c r="BE1926" s="117"/>
      <c r="BF1926" s="117"/>
      <c r="BG1926" s="117"/>
    </row>
    <row r="1927" spans="1:59">
      <c r="A1927" s="117"/>
      <c r="B1927" s="117"/>
      <c r="C1927" s="117"/>
      <c r="D1927" s="117"/>
      <c r="E1927" s="117"/>
      <c r="F1927" s="117"/>
      <c r="G1927" s="117"/>
      <c r="H1927" s="117"/>
      <c r="I1927" s="117"/>
      <c r="J1927" s="118"/>
      <c r="K1927" s="118"/>
      <c r="L1927" s="118"/>
      <c r="M1927" s="118"/>
      <c r="N1927" s="117"/>
      <c r="O1927" s="117"/>
      <c r="P1927" s="117"/>
      <c r="Q1927" s="117"/>
      <c r="R1927" s="117"/>
      <c r="S1927" s="117"/>
      <c r="T1927" s="117"/>
      <c r="U1927" s="117"/>
      <c r="V1927" s="117"/>
      <c r="W1927" s="117"/>
      <c r="X1927" s="117"/>
      <c r="Y1927" s="117"/>
      <c r="Z1927" s="117"/>
      <c r="AA1927" s="117"/>
      <c r="AB1927" s="117"/>
      <c r="AC1927" s="117"/>
      <c r="AD1927" s="117"/>
      <c r="AE1927" s="117"/>
      <c r="AF1927" s="117"/>
      <c r="AG1927" s="117"/>
      <c r="AH1927" s="117"/>
      <c r="AI1927" s="117"/>
      <c r="AJ1927" s="117"/>
      <c r="AK1927" s="117"/>
      <c r="AL1927" s="117"/>
      <c r="AM1927" s="117"/>
      <c r="AN1927" s="117"/>
      <c r="AO1927" s="117"/>
      <c r="AP1927" s="117"/>
      <c r="AQ1927" s="117"/>
      <c r="AR1927" s="117"/>
      <c r="AS1927" s="117"/>
      <c r="AT1927" s="117"/>
      <c r="AU1927" s="117"/>
      <c r="AV1927" s="117"/>
      <c r="AW1927" s="117"/>
      <c r="AX1927" s="117"/>
      <c r="AY1927" s="117"/>
      <c r="AZ1927" s="117"/>
      <c r="BA1927" s="117"/>
      <c r="BB1927" s="117"/>
      <c r="BC1927" s="117"/>
      <c r="BD1927" s="117"/>
      <c r="BE1927" s="117"/>
      <c r="BF1927" s="117"/>
      <c r="BG1927" s="117"/>
    </row>
    <row r="1928" spans="1:59">
      <c r="A1928" s="117"/>
      <c r="B1928" s="117"/>
      <c r="C1928" s="117"/>
      <c r="D1928" s="117"/>
      <c r="E1928" s="117"/>
      <c r="F1928" s="117"/>
      <c r="G1928" s="117"/>
      <c r="H1928" s="117"/>
      <c r="I1928" s="117"/>
      <c r="J1928" s="118"/>
      <c r="K1928" s="118"/>
      <c r="L1928" s="118"/>
      <c r="M1928" s="118"/>
      <c r="N1928" s="117"/>
      <c r="O1928" s="117"/>
      <c r="P1928" s="117"/>
      <c r="Q1928" s="117"/>
      <c r="R1928" s="117"/>
      <c r="S1928" s="117"/>
      <c r="T1928" s="117"/>
      <c r="U1928" s="117"/>
      <c r="V1928" s="117"/>
      <c r="W1928" s="117"/>
      <c r="X1928" s="117"/>
      <c r="Y1928" s="117"/>
      <c r="Z1928" s="117"/>
      <c r="AA1928" s="117"/>
      <c r="AB1928" s="117"/>
      <c r="AC1928" s="117"/>
      <c r="AD1928" s="117"/>
      <c r="AE1928" s="117"/>
      <c r="AF1928" s="117"/>
      <c r="AG1928" s="117"/>
      <c r="AH1928" s="117"/>
      <c r="AI1928" s="117"/>
      <c r="AJ1928" s="117"/>
      <c r="AK1928" s="117"/>
      <c r="AL1928" s="117"/>
      <c r="AM1928" s="117"/>
      <c r="AN1928" s="117"/>
      <c r="AO1928" s="117"/>
      <c r="AP1928" s="117"/>
      <c r="AQ1928" s="117"/>
      <c r="AR1928" s="117"/>
      <c r="AS1928" s="117"/>
      <c r="AT1928" s="117"/>
      <c r="AU1928" s="117"/>
      <c r="AV1928" s="117"/>
      <c r="AW1928" s="117"/>
      <c r="AX1928" s="117"/>
      <c r="AY1928" s="117"/>
      <c r="AZ1928" s="117"/>
      <c r="BA1928" s="117"/>
      <c r="BB1928" s="117"/>
      <c r="BC1928" s="117"/>
      <c r="BD1928" s="117"/>
      <c r="BE1928" s="117"/>
      <c r="BF1928" s="117"/>
      <c r="BG1928" s="117"/>
    </row>
    <row r="1929" spans="1:59">
      <c r="A1929" s="117"/>
      <c r="B1929" s="117"/>
      <c r="C1929" s="117"/>
      <c r="D1929" s="117"/>
      <c r="E1929" s="117"/>
      <c r="F1929" s="117"/>
      <c r="G1929" s="117"/>
      <c r="H1929" s="117"/>
      <c r="I1929" s="117"/>
      <c r="J1929" s="118"/>
      <c r="K1929" s="118"/>
      <c r="L1929" s="118"/>
      <c r="M1929" s="118"/>
      <c r="N1929" s="117"/>
      <c r="O1929" s="117"/>
      <c r="P1929" s="117"/>
      <c r="Q1929" s="117"/>
      <c r="R1929" s="117"/>
      <c r="S1929" s="117"/>
      <c r="T1929" s="117"/>
      <c r="U1929" s="117"/>
      <c r="V1929" s="117"/>
      <c r="W1929" s="117"/>
      <c r="X1929" s="117"/>
      <c r="Y1929" s="117"/>
      <c r="Z1929" s="117"/>
      <c r="AA1929" s="117"/>
      <c r="AB1929" s="117"/>
      <c r="AC1929" s="117"/>
      <c r="AD1929" s="117"/>
      <c r="AE1929" s="117"/>
      <c r="AF1929" s="117"/>
      <c r="AG1929" s="117"/>
      <c r="AH1929" s="117"/>
      <c r="AI1929" s="117"/>
      <c r="AJ1929" s="117"/>
      <c r="AK1929" s="117"/>
      <c r="AL1929" s="117"/>
      <c r="AM1929" s="117"/>
      <c r="AN1929" s="117"/>
      <c r="AO1929" s="117"/>
      <c r="AP1929" s="117"/>
      <c r="AQ1929" s="117"/>
      <c r="AR1929" s="117"/>
      <c r="AS1929" s="117"/>
      <c r="AT1929" s="117"/>
      <c r="AU1929" s="117"/>
      <c r="AV1929" s="117"/>
      <c r="AW1929" s="117"/>
      <c r="AX1929" s="117"/>
      <c r="AY1929" s="117"/>
      <c r="AZ1929" s="117"/>
      <c r="BA1929" s="117"/>
      <c r="BB1929" s="117"/>
      <c r="BC1929" s="117"/>
      <c r="BD1929" s="117"/>
      <c r="BE1929" s="117"/>
      <c r="BF1929" s="117"/>
      <c r="BG1929" s="117"/>
    </row>
    <row r="1930" spans="1:59">
      <c r="A1930" s="117"/>
      <c r="B1930" s="117"/>
      <c r="C1930" s="117"/>
      <c r="D1930" s="117"/>
      <c r="E1930" s="117"/>
      <c r="F1930" s="117"/>
      <c r="G1930" s="117"/>
      <c r="H1930" s="117"/>
      <c r="I1930" s="117"/>
      <c r="J1930" s="118"/>
      <c r="K1930" s="118"/>
      <c r="L1930" s="118"/>
      <c r="M1930" s="118"/>
      <c r="N1930" s="117"/>
      <c r="O1930" s="117"/>
      <c r="P1930" s="117"/>
      <c r="Q1930" s="117"/>
      <c r="R1930" s="117"/>
      <c r="S1930" s="117"/>
      <c r="T1930" s="117"/>
      <c r="U1930" s="117"/>
      <c r="V1930" s="117"/>
      <c r="W1930" s="117"/>
      <c r="X1930" s="117"/>
      <c r="Y1930" s="117"/>
      <c r="Z1930" s="117"/>
      <c r="AA1930" s="117"/>
      <c r="AB1930" s="117"/>
      <c r="AC1930" s="117"/>
      <c r="AD1930" s="117"/>
      <c r="AE1930" s="117"/>
      <c r="AF1930" s="117"/>
      <c r="AG1930" s="117"/>
      <c r="AH1930" s="117"/>
      <c r="AI1930" s="117"/>
      <c r="AJ1930" s="117"/>
      <c r="AK1930" s="117"/>
      <c r="AL1930" s="117"/>
      <c r="AM1930" s="117"/>
      <c r="AN1930" s="117"/>
      <c r="AO1930" s="117"/>
      <c r="AP1930" s="117"/>
      <c r="AQ1930" s="117"/>
      <c r="AR1930" s="117"/>
      <c r="AS1930" s="117"/>
      <c r="AT1930" s="117"/>
      <c r="AU1930" s="117"/>
      <c r="AV1930" s="117"/>
      <c r="AW1930" s="117"/>
      <c r="AX1930" s="117"/>
      <c r="AY1930" s="117"/>
      <c r="AZ1930" s="117"/>
      <c r="BA1930" s="117"/>
      <c r="BB1930" s="117"/>
      <c r="BC1930" s="117"/>
      <c r="BD1930" s="117"/>
      <c r="BE1930" s="117"/>
      <c r="BF1930" s="117"/>
      <c r="BG1930" s="117"/>
    </row>
    <row r="1931" spans="1:59">
      <c r="A1931" s="117"/>
      <c r="B1931" s="117"/>
      <c r="C1931" s="117"/>
      <c r="D1931" s="117"/>
      <c r="E1931" s="117"/>
      <c r="F1931" s="117"/>
      <c r="G1931" s="117"/>
      <c r="H1931" s="117"/>
      <c r="I1931" s="117"/>
      <c r="J1931" s="118"/>
      <c r="K1931" s="118"/>
      <c r="L1931" s="118"/>
      <c r="M1931" s="118"/>
      <c r="N1931" s="117"/>
      <c r="O1931" s="117"/>
      <c r="P1931" s="117"/>
      <c r="Q1931" s="117"/>
      <c r="R1931" s="117"/>
      <c r="S1931" s="117"/>
      <c r="T1931" s="117"/>
      <c r="U1931" s="117"/>
      <c r="V1931" s="117"/>
      <c r="W1931" s="117"/>
      <c r="X1931" s="117"/>
      <c r="Y1931" s="117"/>
      <c r="Z1931" s="117"/>
      <c r="AA1931" s="117"/>
      <c r="AB1931" s="117"/>
      <c r="AC1931" s="117"/>
      <c r="AD1931" s="117"/>
      <c r="AE1931" s="117"/>
      <c r="AF1931" s="117"/>
      <c r="AG1931" s="117"/>
      <c r="AH1931" s="117"/>
      <c r="AI1931" s="117"/>
      <c r="AJ1931" s="117"/>
      <c r="AK1931" s="117"/>
      <c r="AL1931" s="117"/>
      <c r="AM1931" s="117"/>
      <c r="AN1931" s="117"/>
      <c r="AO1931" s="117"/>
      <c r="AP1931" s="117"/>
      <c r="AQ1931" s="117"/>
      <c r="AR1931" s="117"/>
      <c r="AS1931" s="117"/>
      <c r="AT1931" s="117"/>
      <c r="AU1931" s="117"/>
      <c r="AV1931" s="117"/>
      <c r="AW1931" s="117"/>
      <c r="AX1931" s="117"/>
      <c r="AY1931" s="117"/>
      <c r="AZ1931" s="117"/>
      <c r="BA1931" s="117"/>
      <c r="BB1931" s="117"/>
      <c r="BC1931" s="117"/>
      <c r="BD1931" s="117"/>
      <c r="BE1931" s="117"/>
      <c r="BF1931" s="117"/>
      <c r="BG1931" s="117"/>
    </row>
    <row r="1932" spans="1:59">
      <c r="A1932" s="117"/>
      <c r="B1932" s="117"/>
      <c r="C1932" s="117"/>
      <c r="D1932" s="117"/>
      <c r="E1932" s="117"/>
      <c r="F1932" s="117"/>
      <c r="G1932" s="117"/>
      <c r="H1932" s="117"/>
      <c r="I1932" s="117"/>
      <c r="J1932" s="118"/>
      <c r="K1932" s="118"/>
      <c r="L1932" s="118"/>
      <c r="M1932" s="118"/>
      <c r="N1932" s="117"/>
      <c r="O1932" s="117"/>
      <c r="P1932" s="117"/>
      <c r="Q1932" s="117"/>
      <c r="R1932" s="117"/>
      <c r="S1932" s="117"/>
      <c r="T1932" s="117"/>
      <c r="U1932" s="117"/>
      <c r="V1932" s="117"/>
      <c r="W1932" s="117"/>
      <c r="X1932" s="117"/>
      <c r="Y1932" s="117"/>
      <c r="Z1932" s="117"/>
      <c r="AA1932" s="117"/>
      <c r="AB1932" s="117"/>
      <c r="AC1932" s="117"/>
      <c r="AD1932" s="117"/>
      <c r="AE1932" s="117"/>
      <c r="AF1932" s="117"/>
      <c r="AG1932" s="117"/>
      <c r="AH1932" s="117"/>
      <c r="AI1932" s="117"/>
      <c r="AJ1932" s="117"/>
      <c r="AK1932" s="117"/>
      <c r="AL1932" s="117"/>
      <c r="AM1932" s="117"/>
      <c r="AN1932" s="117"/>
      <c r="AO1932" s="117"/>
      <c r="AP1932" s="117"/>
      <c r="AQ1932" s="117"/>
      <c r="AR1932" s="117"/>
      <c r="AS1932" s="117"/>
      <c r="AT1932" s="117"/>
      <c r="AU1932" s="117"/>
      <c r="AV1932" s="117"/>
      <c r="AW1932" s="117"/>
      <c r="AX1932" s="117"/>
      <c r="AY1932" s="117"/>
      <c r="AZ1932" s="117"/>
      <c r="BA1932" s="117"/>
      <c r="BB1932" s="117"/>
      <c r="BC1932" s="117"/>
      <c r="BD1932" s="117"/>
      <c r="BE1932" s="117"/>
      <c r="BF1932" s="117"/>
      <c r="BG1932" s="117"/>
    </row>
    <row r="1933" spans="1:59">
      <c r="A1933" s="117"/>
      <c r="B1933" s="117"/>
      <c r="C1933" s="117"/>
      <c r="D1933" s="117"/>
      <c r="E1933" s="117"/>
      <c r="F1933" s="117"/>
      <c r="G1933" s="117"/>
      <c r="H1933" s="117"/>
      <c r="I1933" s="117"/>
      <c r="J1933" s="118"/>
      <c r="K1933" s="118"/>
      <c r="L1933" s="118"/>
      <c r="M1933" s="118"/>
      <c r="N1933" s="117"/>
      <c r="O1933" s="117"/>
      <c r="P1933" s="117"/>
      <c r="Q1933" s="117"/>
      <c r="R1933" s="117"/>
      <c r="S1933" s="117"/>
      <c r="T1933" s="117"/>
      <c r="U1933" s="117"/>
      <c r="V1933" s="117"/>
      <c r="W1933" s="117"/>
      <c r="X1933" s="117"/>
      <c r="Y1933" s="117"/>
      <c r="Z1933" s="117"/>
      <c r="AA1933" s="117"/>
      <c r="AB1933" s="117"/>
      <c r="AC1933" s="117"/>
      <c r="AD1933" s="117"/>
      <c r="AE1933" s="117"/>
      <c r="AF1933" s="117"/>
      <c r="AG1933" s="117"/>
      <c r="AH1933" s="117"/>
      <c r="AI1933" s="117"/>
      <c r="AJ1933" s="117"/>
      <c r="AK1933" s="117"/>
      <c r="AL1933" s="117"/>
      <c r="AM1933" s="117"/>
      <c r="AN1933" s="117"/>
      <c r="AO1933" s="117"/>
      <c r="AP1933" s="117"/>
      <c r="AQ1933" s="117"/>
      <c r="AR1933" s="117"/>
      <c r="AS1933" s="117"/>
      <c r="AT1933" s="117"/>
      <c r="AU1933" s="117"/>
      <c r="AV1933" s="117"/>
      <c r="AW1933" s="117"/>
      <c r="AX1933" s="117"/>
      <c r="AY1933" s="117"/>
      <c r="AZ1933" s="117"/>
      <c r="BA1933" s="117"/>
      <c r="BB1933" s="117"/>
      <c r="BC1933" s="117"/>
      <c r="BD1933" s="117"/>
      <c r="BE1933" s="117"/>
      <c r="BF1933" s="117"/>
      <c r="BG1933" s="117"/>
    </row>
    <row r="1934" spans="1:59">
      <c r="A1934" s="117"/>
      <c r="B1934" s="117"/>
      <c r="C1934" s="117"/>
      <c r="D1934" s="117"/>
      <c r="E1934" s="117"/>
      <c r="F1934" s="117"/>
      <c r="G1934" s="117"/>
      <c r="H1934" s="117"/>
      <c r="I1934" s="117"/>
      <c r="J1934" s="118"/>
      <c r="K1934" s="118"/>
      <c r="L1934" s="118"/>
      <c r="M1934" s="118"/>
      <c r="N1934" s="117"/>
      <c r="O1934" s="117"/>
      <c r="P1934" s="117"/>
      <c r="Q1934" s="117"/>
      <c r="R1934" s="117"/>
      <c r="S1934" s="117"/>
      <c r="T1934" s="117"/>
      <c r="U1934" s="117"/>
      <c r="V1934" s="117"/>
      <c r="W1934" s="117"/>
      <c r="X1934" s="117"/>
      <c r="Y1934" s="117"/>
      <c r="Z1934" s="117"/>
      <c r="AA1934" s="117"/>
      <c r="AB1934" s="117"/>
      <c r="AC1934" s="117"/>
      <c r="AD1934" s="117"/>
      <c r="AE1934" s="117"/>
      <c r="AF1934" s="117"/>
      <c r="AG1934" s="117"/>
      <c r="AH1934" s="117"/>
      <c r="AI1934" s="117"/>
      <c r="AJ1934" s="117"/>
      <c r="AK1934" s="117"/>
      <c r="AL1934" s="117"/>
      <c r="AM1934" s="117"/>
      <c r="AN1934" s="117"/>
      <c r="AO1934" s="117"/>
      <c r="AP1934" s="117"/>
      <c r="AQ1934" s="117"/>
      <c r="AR1934" s="117"/>
      <c r="AS1934" s="117"/>
      <c r="AT1934" s="117"/>
      <c r="AU1934" s="117"/>
      <c r="AV1934" s="117"/>
      <c r="AW1934" s="117"/>
      <c r="AX1934" s="117"/>
      <c r="AY1934" s="117"/>
      <c r="AZ1934" s="117"/>
      <c r="BA1934" s="117"/>
      <c r="BB1934" s="117"/>
      <c r="BC1934" s="117"/>
      <c r="BD1934" s="117"/>
      <c r="BE1934" s="117"/>
      <c r="BF1934" s="117"/>
      <c r="BG1934" s="117"/>
    </row>
    <row r="1935" spans="1:59">
      <c r="A1935" s="117"/>
      <c r="B1935" s="117"/>
      <c r="C1935" s="117"/>
      <c r="D1935" s="117"/>
      <c r="E1935" s="117"/>
      <c r="F1935" s="117"/>
      <c r="G1935" s="117"/>
      <c r="H1935" s="117"/>
      <c r="I1935" s="117"/>
      <c r="J1935" s="118"/>
      <c r="K1935" s="118"/>
      <c r="L1935" s="118"/>
      <c r="M1935" s="118"/>
      <c r="N1935" s="117"/>
      <c r="O1935" s="117"/>
      <c r="P1935" s="117"/>
      <c r="Q1935" s="117"/>
      <c r="R1935" s="117"/>
      <c r="S1935" s="117"/>
      <c r="T1935" s="117"/>
      <c r="U1935" s="117"/>
      <c r="V1935" s="117"/>
      <c r="W1935" s="117"/>
      <c r="X1935" s="117"/>
      <c r="Y1935" s="117"/>
      <c r="Z1935" s="117"/>
      <c r="AA1935" s="117"/>
      <c r="AB1935" s="117"/>
      <c r="AC1935" s="117"/>
      <c r="AD1935" s="117"/>
      <c r="AE1935" s="117"/>
      <c r="AF1935" s="117"/>
      <c r="AG1935" s="117"/>
      <c r="AH1935" s="117"/>
      <c r="AI1935" s="117"/>
      <c r="AJ1935" s="117"/>
      <c r="AK1935" s="117"/>
      <c r="AL1935" s="117"/>
      <c r="AM1935" s="117"/>
      <c r="AN1935" s="117"/>
      <c r="AO1935" s="117"/>
      <c r="AP1935" s="117"/>
      <c r="AQ1935" s="117"/>
      <c r="AR1935" s="117"/>
      <c r="AS1935" s="117"/>
      <c r="AT1935" s="117"/>
      <c r="AU1935" s="117"/>
      <c r="AV1935" s="117"/>
      <c r="AW1935" s="117"/>
      <c r="AX1935" s="117"/>
      <c r="AY1935" s="117"/>
      <c r="AZ1935" s="117"/>
      <c r="BA1935" s="117"/>
      <c r="BB1935" s="117"/>
      <c r="BC1935" s="117"/>
      <c r="BD1935" s="117"/>
      <c r="BE1935" s="117"/>
      <c r="BF1935" s="117"/>
      <c r="BG1935" s="117"/>
    </row>
    <row r="1936" spans="1:59">
      <c r="A1936" s="117"/>
      <c r="B1936" s="117"/>
      <c r="C1936" s="117"/>
      <c r="D1936" s="117"/>
      <c r="E1936" s="117"/>
      <c r="F1936" s="117"/>
      <c r="G1936" s="117"/>
      <c r="H1936" s="117"/>
      <c r="I1936" s="117"/>
      <c r="J1936" s="118"/>
      <c r="K1936" s="118"/>
      <c r="L1936" s="118"/>
      <c r="M1936" s="118"/>
      <c r="N1936" s="117"/>
      <c r="O1936" s="117"/>
      <c r="P1936" s="117"/>
      <c r="Q1936" s="117"/>
      <c r="R1936" s="117"/>
      <c r="S1936" s="117"/>
      <c r="T1936" s="117"/>
      <c r="U1936" s="117"/>
      <c r="V1936" s="117"/>
      <c r="W1936" s="117"/>
      <c r="X1936" s="117"/>
      <c r="Y1936" s="117"/>
      <c r="Z1936" s="117"/>
      <c r="AA1936" s="117"/>
      <c r="AB1936" s="117"/>
      <c r="AC1936" s="117"/>
      <c r="AD1936" s="117"/>
      <c r="AE1936" s="117"/>
      <c r="AF1936" s="117"/>
      <c r="AG1936" s="117"/>
      <c r="AH1936" s="117"/>
      <c r="AI1936" s="117"/>
      <c r="AJ1936" s="117"/>
      <c r="AK1936" s="117"/>
      <c r="AL1936" s="117"/>
      <c r="AM1936" s="117"/>
      <c r="AN1936" s="117"/>
      <c r="AO1936" s="117"/>
      <c r="AP1936" s="117"/>
      <c r="AQ1936" s="117"/>
      <c r="AR1936" s="117"/>
      <c r="AS1936" s="117"/>
      <c r="AT1936" s="117"/>
      <c r="AU1936" s="117"/>
      <c r="AV1936" s="117"/>
      <c r="AW1936" s="117"/>
      <c r="AX1936" s="117"/>
      <c r="AY1936" s="117"/>
      <c r="AZ1936" s="117"/>
      <c r="BA1936" s="117"/>
      <c r="BB1936" s="117"/>
      <c r="BC1936" s="117"/>
      <c r="BD1936" s="117"/>
      <c r="BE1936" s="117"/>
      <c r="BF1936" s="117"/>
      <c r="BG1936" s="117"/>
    </row>
    <row r="1937" spans="1:59">
      <c r="A1937" s="117"/>
      <c r="B1937" s="117"/>
      <c r="C1937" s="117"/>
      <c r="D1937" s="117"/>
      <c r="E1937" s="117"/>
      <c r="F1937" s="117"/>
      <c r="G1937" s="117"/>
      <c r="H1937" s="117"/>
      <c r="I1937" s="117"/>
      <c r="J1937" s="118"/>
      <c r="K1937" s="118"/>
      <c r="L1937" s="118"/>
      <c r="M1937" s="118"/>
      <c r="N1937" s="117"/>
      <c r="O1937" s="117"/>
      <c r="P1937" s="117"/>
      <c r="Q1937" s="117"/>
      <c r="R1937" s="117"/>
      <c r="S1937" s="117"/>
      <c r="T1937" s="117"/>
      <c r="U1937" s="117"/>
      <c r="V1937" s="117"/>
      <c r="W1937" s="117"/>
      <c r="X1937" s="117"/>
      <c r="Y1937" s="117"/>
      <c r="Z1937" s="117"/>
      <c r="AA1937" s="117"/>
      <c r="AB1937" s="117"/>
      <c r="AC1937" s="117"/>
      <c r="AD1937" s="117"/>
      <c r="AE1937" s="117"/>
      <c r="AF1937" s="117"/>
      <c r="AG1937" s="117"/>
      <c r="AH1937" s="117"/>
      <c r="AI1937" s="117"/>
      <c r="AJ1937" s="117"/>
      <c r="AK1937" s="117"/>
      <c r="AL1937" s="117"/>
      <c r="AM1937" s="117"/>
      <c r="AN1937" s="117"/>
      <c r="AO1937" s="117"/>
      <c r="AP1937" s="117"/>
      <c r="AQ1937" s="117"/>
      <c r="AR1937" s="117"/>
      <c r="AS1937" s="117"/>
      <c r="AT1937" s="117"/>
      <c r="AU1937" s="117"/>
      <c r="AV1937" s="117"/>
      <c r="AW1937" s="117"/>
      <c r="AX1937" s="117"/>
      <c r="AY1937" s="117"/>
      <c r="AZ1937" s="117"/>
      <c r="BA1937" s="117"/>
      <c r="BB1937" s="117"/>
      <c r="BC1937" s="117"/>
      <c r="BD1937" s="117"/>
      <c r="BE1937" s="117"/>
      <c r="BF1937" s="117"/>
      <c r="BG1937" s="117"/>
    </row>
    <row r="1938" spans="1:59">
      <c r="A1938" s="117"/>
      <c r="B1938" s="117"/>
      <c r="C1938" s="117"/>
      <c r="D1938" s="117"/>
      <c r="E1938" s="117"/>
      <c r="F1938" s="117"/>
      <c r="G1938" s="117"/>
      <c r="H1938" s="117"/>
      <c r="I1938" s="117"/>
      <c r="J1938" s="118"/>
      <c r="K1938" s="118"/>
      <c r="L1938" s="118"/>
      <c r="M1938" s="118"/>
      <c r="N1938" s="117"/>
      <c r="O1938" s="117"/>
      <c r="P1938" s="117"/>
      <c r="Q1938" s="117"/>
      <c r="R1938" s="117"/>
      <c r="S1938" s="117"/>
      <c r="T1938" s="117"/>
      <c r="U1938" s="117"/>
      <c r="V1938" s="117"/>
      <c r="W1938" s="117"/>
      <c r="X1938" s="117"/>
      <c r="Y1938" s="117"/>
      <c r="Z1938" s="117"/>
      <c r="AA1938" s="117"/>
      <c r="AB1938" s="117"/>
      <c r="AC1938" s="117"/>
      <c r="AD1938" s="117"/>
      <c r="AE1938" s="117"/>
      <c r="AF1938" s="117"/>
      <c r="AG1938" s="117"/>
      <c r="AH1938" s="117"/>
      <c r="AI1938" s="117"/>
      <c r="AJ1938" s="117"/>
      <c r="AK1938" s="117"/>
      <c r="AL1938" s="117"/>
      <c r="AM1938" s="117"/>
      <c r="AN1938" s="117"/>
      <c r="AO1938" s="117"/>
      <c r="AP1938" s="117"/>
      <c r="AQ1938" s="117"/>
      <c r="AR1938" s="117"/>
      <c r="AS1938" s="117"/>
      <c r="AT1938" s="117"/>
      <c r="AU1938" s="117"/>
      <c r="AV1938" s="117"/>
      <c r="AW1938" s="117"/>
      <c r="AX1938" s="117"/>
      <c r="AY1938" s="117"/>
      <c r="AZ1938" s="117"/>
      <c r="BA1938" s="117"/>
      <c r="BB1938" s="117"/>
      <c r="BC1938" s="117"/>
      <c r="BD1938" s="117"/>
      <c r="BE1938" s="117"/>
      <c r="BF1938" s="117"/>
      <c r="BG1938" s="117"/>
    </row>
    <row r="1939" spans="1:59">
      <c r="A1939" s="117"/>
      <c r="B1939" s="117"/>
      <c r="C1939" s="117"/>
      <c r="D1939" s="117"/>
      <c r="E1939" s="117"/>
      <c r="F1939" s="117"/>
      <c r="G1939" s="117"/>
      <c r="H1939" s="117"/>
      <c r="I1939" s="117"/>
      <c r="J1939" s="118"/>
      <c r="K1939" s="118"/>
      <c r="L1939" s="118"/>
      <c r="M1939" s="118"/>
      <c r="N1939" s="117"/>
      <c r="O1939" s="117"/>
      <c r="P1939" s="117"/>
      <c r="Q1939" s="117"/>
      <c r="R1939" s="117"/>
      <c r="S1939" s="117"/>
      <c r="T1939" s="117"/>
      <c r="U1939" s="117"/>
      <c r="V1939" s="117"/>
      <c r="W1939" s="117"/>
      <c r="X1939" s="117"/>
      <c r="Y1939" s="117"/>
      <c r="Z1939" s="117"/>
      <c r="AA1939" s="117"/>
      <c r="AB1939" s="117"/>
      <c r="AC1939" s="117"/>
      <c r="AD1939" s="117"/>
      <c r="AE1939" s="117"/>
      <c r="AF1939" s="117"/>
      <c r="AG1939" s="117"/>
      <c r="AH1939" s="117"/>
      <c r="AI1939" s="117"/>
      <c r="AJ1939" s="117"/>
      <c r="AK1939" s="117"/>
      <c r="AL1939" s="117"/>
      <c r="AM1939" s="117"/>
      <c r="AN1939" s="117"/>
      <c r="AO1939" s="117"/>
      <c r="AP1939" s="117"/>
      <c r="AQ1939" s="117"/>
      <c r="AR1939" s="117"/>
      <c r="AS1939" s="117"/>
      <c r="AT1939" s="117"/>
      <c r="AU1939" s="117"/>
      <c r="AV1939" s="117"/>
      <c r="AW1939" s="117"/>
      <c r="AX1939" s="117"/>
      <c r="AY1939" s="117"/>
      <c r="AZ1939" s="117"/>
      <c r="BA1939" s="117"/>
      <c r="BB1939" s="117"/>
      <c r="BC1939" s="117"/>
      <c r="BD1939" s="117"/>
      <c r="BE1939" s="117"/>
      <c r="BF1939" s="117"/>
      <c r="BG1939" s="117"/>
    </row>
    <row r="1940" spans="1:59">
      <c r="A1940" s="117"/>
      <c r="B1940" s="117"/>
      <c r="C1940" s="117"/>
      <c r="D1940" s="117"/>
      <c r="E1940" s="117"/>
      <c r="F1940" s="117"/>
      <c r="G1940" s="117"/>
      <c r="H1940" s="117"/>
      <c r="I1940" s="117"/>
      <c r="J1940" s="118"/>
      <c r="K1940" s="118"/>
      <c r="L1940" s="118"/>
      <c r="M1940" s="118"/>
      <c r="N1940" s="117"/>
      <c r="O1940" s="117"/>
      <c r="P1940" s="117"/>
      <c r="Q1940" s="117"/>
      <c r="R1940" s="117"/>
      <c r="S1940" s="117"/>
      <c r="T1940" s="117"/>
      <c r="U1940" s="117"/>
      <c r="V1940" s="117"/>
      <c r="W1940" s="117"/>
      <c r="X1940" s="117"/>
      <c r="Y1940" s="117"/>
      <c r="Z1940" s="117"/>
      <c r="AA1940" s="117"/>
      <c r="AB1940" s="117"/>
      <c r="AC1940" s="117"/>
      <c r="AD1940" s="117"/>
      <c r="AE1940" s="117"/>
      <c r="AF1940" s="117"/>
      <c r="AG1940" s="117"/>
      <c r="AH1940" s="117"/>
      <c r="AI1940" s="117"/>
      <c r="AJ1940" s="117"/>
      <c r="AK1940" s="117"/>
      <c r="AL1940" s="117"/>
      <c r="AM1940" s="117"/>
      <c r="AN1940" s="117"/>
      <c r="AO1940" s="117"/>
      <c r="AP1940" s="117"/>
      <c r="AQ1940" s="117"/>
      <c r="AR1940" s="117"/>
      <c r="AS1940" s="117"/>
      <c r="AT1940" s="117"/>
      <c r="AU1940" s="117"/>
      <c r="AV1940" s="117"/>
      <c r="AW1940" s="117"/>
      <c r="AX1940" s="117"/>
      <c r="AY1940" s="117"/>
      <c r="AZ1940" s="117"/>
      <c r="BA1940" s="117"/>
      <c r="BB1940" s="117"/>
      <c r="BC1940" s="117"/>
      <c r="BD1940" s="117"/>
      <c r="BE1940" s="117"/>
      <c r="BF1940" s="117"/>
      <c r="BG1940" s="117"/>
    </row>
    <row r="1941" spans="1:59">
      <c r="A1941" s="117"/>
      <c r="B1941" s="117"/>
      <c r="C1941" s="117"/>
      <c r="D1941" s="117"/>
      <c r="E1941" s="117"/>
      <c r="F1941" s="117"/>
      <c r="G1941" s="117"/>
      <c r="H1941" s="117"/>
      <c r="I1941" s="117"/>
      <c r="J1941" s="118"/>
      <c r="K1941" s="118"/>
      <c r="L1941" s="118"/>
      <c r="M1941" s="118"/>
      <c r="N1941" s="117"/>
      <c r="O1941" s="117"/>
      <c r="P1941" s="117"/>
      <c r="Q1941" s="117"/>
      <c r="R1941" s="117"/>
      <c r="S1941" s="117"/>
      <c r="T1941" s="117"/>
      <c r="U1941" s="117"/>
      <c r="V1941" s="117"/>
      <c r="W1941" s="117"/>
      <c r="X1941" s="117"/>
      <c r="Y1941" s="117"/>
      <c r="Z1941" s="117"/>
      <c r="AA1941" s="117"/>
      <c r="AB1941" s="117"/>
      <c r="AC1941" s="117"/>
      <c r="AD1941" s="117"/>
      <c r="AE1941" s="117"/>
      <c r="AF1941" s="117"/>
      <c r="AG1941" s="117"/>
      <c r="AH1941" s="117"/>
      <c r="AI1941" s="117"/>
      <c r="AJ1941" s="117"/>
      <c r="AK1941" s="117"/>
      <c r="AL1941" s="117"/>
      <c r="AM1941" s="117"/>
      <c r="AN1941" s="117"/>
      <c r="AO1941" s="117"/>
      <c r="AP1941" s="117"/>
      <c r="AQ1941" s="117"/>
      <c r="AR1941" s="117"/>
      <c r="AS1941" s="117"/>
      <c r="AT1941" s="117"/>
      <c r="AU1941" s="117"/>
      <c r="AV1941" s="117"/>
      <c r="AW1941" s="117"/>
      <c r="AX1941" s="117"/>
      <c r="AY1941" s="117"/>
      <c r="AZ1941" s="117"/>
      <c r="BA1941" s="117"/>
      <c r="BB1941" s="117"/>
      <c r="BC1941" s="117"/>
      <c r="BD1941" s="117"/>
      <c r="BE1941" s="117"/>
      <c r="BF1941" s="117"/>
      <c r="BG1941" s="117"/>
    </row>
    <row r="1942" spans="1:59">
      <c r="A1942" s="117"/>
      <c r="B1942" s="117"/>
      <c r="C1942" s="117"/>
      <c r="D1942" s="117"/>
      <c r="E1942" s="117"/>
      <c r="F1942" s="117"/>
      <c r="G1942" s="117"/>
      <c r="H1942" s="117"/>
      <c r="I1942" s="117"/>
      <c r="J1942" s="118"/>
      <c r="K1942" s="118"/>
      <c r="L1942" s="118"/>
      <c r="M1942" s="118"/>
      <c r="N1942" s="117"/>
      <c r="O1942" s="117"/>
      <c r="P1942" s="117"/>
      <c r="Q1942" s="117"/>
      <c r="R1942" s="117"/>
      <c r="S1942" s="117"/>
      <c r="T1942" s="117"/>
      <c r="U1942" s="117"/>
      <c r="V1942" s="117"/>
      <c r="W1942" s="117"/>
      <c r="X1942" s="117"/>
      <c r="Y1942" s="117"/>
      <c r="Z1942" s="117"/>
      <c r="AA1942" s="117"/>
      <c r="AB1942" s="117"/>
      <c r="AC1942" s="117"/>
      <c r="AD1942" s="117"/>
      <c r="AE1942" s="117"/>
      <c r="AF1942" s="117"/>
      <c r="AG1942" s="117"/>
      <c r="AH1942" s="117"/>
      <c r="AI1942" s="117"/>
      <c r="AJ1942" s="117"/>
      <c r="AK1942" s="117"/>
      <c r="AL1942" s="117"/>
      <c r="AM1942" s="117"/>
      <c r="AN1942" s="117"/>
      <c r="AO1942" s="117"/>
      <c r="AP1942" s="117"/>
      <c r="AQ1942" s="117"/>
      <c r="AR1942" s="117"/>
      <c r="AS1942" s="117"/>
      <c r="AT1942" s="117"/>
      <c r="AU1942" s="117"/>
      <c r="AV1942" s="117"/>
      <c r="AW1942" s="117"/>
      <c r="AX1942" s="117"/>
      <c r="AY1942" s="117"/>
      <c r="AZ1942" s="117"/>
      <c r="BA1942" s="117"/>
      <c r="BB1942" s="117"/>
      <c r="BC1942" s="117"/>
      <c r="BD1942" s="117"/>
      <c r="BE1942" s="117"/>
      <c r="BF1942" s="117"/>
      <c r="BG1942" s="117"/>
    </row>
    <row r="1943" spans="1:59">
      <c r="A1943" s="117"/>
      <c r="B1943" s="117"/>
      <c r="C1943" s="117"/>
      <c r="D1943" s="117"/>
      <c r="E1943" s="117"/>
      <c r="F1943" s="117"/>
      <c r="G1943" s="117"/>
      <c r="H1943" s="117"/>
      <c r="I1943" s="117"/>
      <c r="J1943" s="118"/>
      <c r="K1943" s="118"/>
      <c r="L1943" s="118"/>
      <c r="M1943" s="118"/>
      <c r="N1943" s="117"/>
      <c r="O1943" s="117"/>
      <c r="P1943" s="117"/>
      <c r="Q1943" s="117"/>
      <c r="R1943" s="117"/>
      <c r="S1943" s="117"/>
      <c r="T1943" s="117"/>
      <c r="U1943" s="117"/>
      <c r="V1943" s="117"/>
      <c r="W1943" s="117"/>
      <c r="X1943" s="117"/>
      <c r="Y1943" s="117"/>
      <c r="Z1943" s="117"/>
      <c r="AA1943" s="117"/>
      <c r="AB1943" s="117"/>
      <c r="AC1943" s="117"/>
      <c r="AD1943" s="117"/>
      <c r="AE1943" s="117"/>
      <c r="AF1943" s="117"/>
      <c r="AG1943" s="117"/>
      <c r="AH1943" s="117"/>
      <c r="AI1943" s="117"/>
      <c r="AJ1943" s="117"/>
      <c r="AK1943" s="117"/>
      <c r="AL1943" s="117"/>
      <c r="AM1943" s="117"/>
      <c r="AN1943" s="117"/>
      <c r="AO1943" s="117"/>
      <c r="AP1943" s="117"/>
      <c r="AQ1943" s="117"/>
      <c r="AR1943" s="117"/>
      <c r="AS1943" s="117"/>
      <c r="AT1943" s="117"/>
      <c r="AU1943" s="117"/>
      <c r="AV1943" s="117"/>
      <c r="AW1943" s="117"/>
      <c r="AX1943" s="117"/>
      <c r="AY1943" s="117"/>
      <c r="AZ1943" s="117"/>
      <c r="BA1943" s="117"/>
      <c r="BB1943" s="117"/>
      <c r="BC1943" s="117"/>
      <c r="BD1943" s="117"/>
      <c r="BE1943" s="117"/>
      <c r="BF1943" s="117"/>
      <c r="BG1943" s="117"/>
    </row>
    <row r="1944" spans="1:59">
      <c r="A1944" s="117"/>
      <c r="B1944" s="117"/>
      <c r="C1944" s="117"/>
      <c r="D1944" s="117"/>
      <c r="E1944" s="117"/>
      <c r="F1944" s="117"/>
      <c r="G1944" s="117"/>
      <c r="H1944" s="117"/>
      <c r="I1944" s="117"/>
      <c r="J1944" s="118"/>
      <c r="K1944" s="118"/>
      <c r="L1944" s="118"/>
      <c r="M1944" s="118"/>
      <c r="N1944" s="117"/>
      <c r="O1944" s="117"/>
      <c r="P1944" s="117"/>
      <c r="Q1944" s="117"/>
      <c r="R1944" s="117"/>
      <c r="S1944" s="117"/>
      <c r="T1944" s="117"/>
      <c r="U1944" s="117"/>
      <c r="V1944" s="117"/>
      <c r="W1944" s="117"/>
      <c r="X1944" s="117"/>
      <c r="Y1944" s="117"/>
      <c r="Z1944" s="117"/>
      <c r="AA1944" s="117"/>
      <c r="AB1944" s="117"/>
      <c r="AC1944" s="117"/>
      <c r="AD1944" s="117"/>
      <c r="AE1944" s="117"/>
      <c r="AF1944" s="117"/>
      <c r="AG1944" s="117"/>
      <c r="AH1944" s="117"/>
      <c r="AI1944" s="117"/>
      <c r="AJ1944" s="117"/>
      <c r="AK1944" s="117"/>
      <c r="AL1944" s="117"/>
      <c r="AM1944" s="117"/>
      <c r="AN1944" s="117"/>
      <c r="AO1944" s="117"/>
      <c r="AP1944" s="117"/>
      <c r="AQ1944" s="117"/>
      <c r="AR1944" s="117"/>
      <c r="AS1944" s="117"/>
      <c r="AT1944" s="117"/>
      <c r="AU1944" s="117"/>
      <c r="AV1944" s="117"/>
      <c r="AW1944" s="117"/>
      <c r="AX1944" s="117"/>
      <c r="AY1944" s="117"/>
      <c r="AZ1944" s="117"/>
      <c r="BA1944" s="117"/>
      <c r="BB1944" s="117"/>
      <c r="BC1944" s="117"/>
      <c r="BD1944" s="117"/>
      <c r="BE1944" s="117"/>
      <c r="BF1944" s="117"/>
      <c r="BG1944" s="117"/>
    </row>
    <row r="1945" spans="1:59">
      <c r="A1945" s="117"/>
      <c r="B1945" s="117"/>
      <c r="C1945" s="117"/>
      <c r="D1945" s="117"/>
      <c r="E1945" s="117"/>
      <c r="F1945" s="117"/>
      <c r="G1945" s="117"/>
      <c r="H1945" s="117"/>
      <c r="I1945" s="117"/>
      <c r="J1945" s="118"/>
      <c r="K1945" s="118"/>
      <c r="L1945" s="118"/>
      <c r="M1945" s="118"/>
      <c r="N1945" s="117"/>
      <c r="O1945" s="117"/>
      <c r="P1945" s="117"/>
      <c r="Q1945" s="117"/>
      <c r="R1945" s="117"/>
      <c r="S1945" s="117"/>
      <c r="T1945" s="117"/>
      <c r="U1945" s="117"/>
      <c r="V1945" s="117"/>
      <c r="W1945" s="117"/>
      <c r="X1945" s="117"/>
      <c r="Y1945" s="117"/>
      <c r="Z1945" s="117"/>
      <c r="AA1945" s="117"/>
      <c r="AB1945" s="117"/>
      <c r="AC1945" s="117"/>
      <c r="AD1945" s="117"/>
      <c r="AE1945" s="117"/>
      <c r="AF1945" s="117"/>
      <c r="AG1945" s="117"/>
      <c r="AH1945" s="117"/>
      <c r="AI1945" s="117"/>
      <c r="AJ1945" s="117"/>
      <c r="AK1945" s="117"/>
      <c r="AL1945" s="117"/>
      <c r="AM1945" s="117"/>
      <c r="AN1945" s="117"/>
      <c r="AO1945" s="117"/>
      <c r="AP1945" s="117"/>
      <c r="AQ1945" s="117"/>
      <c r="AR1945" s="117"/>
      <c r="AS1945" s="117"/>
      <c r="AT1945" s="117"/>
      <c r="AU1945" s="117"/>
      <c r="AV1945" s="117"/>
      <c r="AW1945" s="117"/>
      <c r="AX1945" s="117"/>
      <c r="AY1945" s="117"/>
      <c r="AZ1945" s="117"/>
      <c r="BA1945" s="117"/>
      <c r="BB1945" s="117"/>
      <c r="BC1945" s="117"/>
      <c r="BD1945" s="117"/>
      <c r="BE1945" s="117"/>
      <c r="BF1945" s="117"/>
      <c r="BG1945" s="117"/>
    </row>
    <row r="1946" spans="1:59">
      <c r="A1946" s="117"/>
      <c r="B1946" s="117"/>
      <c r="C1946" s="117"/>
      <c r="D1946" s="117"/>
      <c r="E1946" s="117"/>
      <c r="F1946" s="117"/>
      <c r="G1946" s="117"/>
      <c r="H1946" s="117"/>
      <c r="I1946" s="117"/>
      <c r="J1946" s="118"/>
      <c r="K1946" s="118"/>
      <c r="L1946" s="118"/>
      <c r="M1946" s="118"/>
      <c r="N1946" s="117"/>
      <c r="O1946" s="117"/>
      <c r="P1946" s="117"/>
      <c r="Q1946" s="117"/>
      <c r="R1946" s="117"/>
      <c r="S1946" s="117"/>
      <c r="T1946" s="117"/>
      <c r="U1946" s="117"/>
      <c r="V1946" s="117"/>
      <c r="W1946" s="117"/>
      <c r="X1946" s="117"/>
      <c r="Y1946" s="117"/>
      <c r="Z1946" s="117"/>
      <c r="AA1946" s="117"/>
      <c r="AB1946" s="117"/>
      <c r="AC1946" s="117"/>
      <c r="AD1946" s="117"/>
      <c r="AE1946" s="117"/>
      <c r="AF1946" s="117"/>
      <c r="AG1946" s="117"/>
      <c r="AH1946" s="117"/>
      <c r="AI1946" s="117"/>
      <c r="AJ1946" s="117"/>
      <c r="AK1946" s="117"/>
      <c r="AL1946" s="117"/>
      <c r="AM1946" s="117"/>
      <c r="AN1946" s="117"/>
      <c r="AO1946" s="117"/>
      <c r="AP1946" s="117"/>
      <c r="AQ1946" s="117"/>
      <c r="AR1946" s="117"/>
      <c r="AS1946" s="117"/>
      <c r="AT1946" s="117"/>
      <c r="AU1946" s="117"/>
      <c r="AV1946" s="117"/>
      <c r="AW1946" s="117"/>
      <c r="AX1946" s="117"/>
      <c r="AY1946" s="117"/>
      <c r="AZ1946" s="117"/>
      <c r="BA1946" s="117"/>
      <c r="BB1946" s="117"/>
      <c r="BC1946" s="117"/>
      <c r="BD1946" s="117"/>
      <c r="BE1946" s="117"/>
      <c r="BF1946" s="117"/>
      <c r="BG1946" s="117"/>
    </row>
    <row r="1947" spans="1:59">
      <c r="A1947" s="117"/>
      <c r="B1947" s="117"/>
      <c r="C1947" s="117"/>
      <c r="D1947" s="117"/>
      <c r="E1947" s="117"/>
      <c r="F1947" s="117"/>
      <c r="G1947" s="117"/>
      <c r="H1947" s="117"/>
      <c r="I1947" s="117"/>
      <c r="J1947" s="118"/>
      <c r="K1947" s="118"/>
      <c r="L1947" s="118"/>
      <c r="M1947" s="118"/>
      <c r="N1947" s="117"/>
      <c r="O1947" s="117"/>
      <c r="P1947" s="117"/>
      <c r="Q1947" s="117"/>
      <c r="R1947" s="117"/>
      <c r="S1947" s="117"/>
      <c r="T1947" s="117"/>
      <c r="U1947" s="117"/>
      <c r="V1947" s="117"/>
      <c r="W1947" s="117"/>
      <c r="X1947" s="117"/>
      <c r="Y1947" s="117"/>
      <c r="Z1947" s="117"/>
      <c r="AA1947" s="117"/>
      <c r="AB1947" s="117"/>
      <c r="AC1947" s="117"/>
      <c r="AD1947" s="117"/>
      <c r="AE1947" s="117"/>
      <c r="AF1947" s="117"/>
      <c r="AG1947" s="117"/>
      <c r="AH1947" s="117"/>
      <c r="AI1947" s="117"/>
      <c r="AJ1947" s="117"/>
      <c r="AK1947" s="117"/>
      <c r="AL1947" s="117"/>
      <c r="AM1947" s="117"/>
      <c r="AN1947" s="117"/>
      <c r="AO1947" s="117"/>
      <c r="AP1947" s="117"/>
      <c r="AQ1947" s="117"/>
      <c r="AR1947" s="117"/>
      <c r="AS1947" s="117"/>
      <c r="AT1947" s="117"/>
      <c r="AU1947" s="117"/>
      <c r="AV1947" s="117"/>
      <c r="AW1947" s="117"/>
      <c r="AX1947" s="117"/>
      <c r="AY1947" s="117"/>
      <c r="AZ1947" s="117"/>
      <c r="BA1947" s="117"/>
      <c r="BB1947" s="117"/>
      <c r="BC1947" s="117"/>
      <c r="BD1947" s="117"/>
      <c r="BE1947" s="117"/>
      <c r="BF1947" s="117"/>
      <c r="BG1947" s="117"/>
    </row>
    <row r="1948" spans="1:59">
      <c r="A1948" s="117"/>
      <c r="B1948" s="117"/>
      <c r="C1948" s="117"/>
      <c r="D1948" s="117"/>
      <c r="E1948" s="117"/>
      <c r="F1948" s="117"/>
      <c r="G1948" s="117"/>
      <c r="H1948" s="117"/>
      <c r="I1948" s="117"/>
      <c r="J1948" s="118"/>
      <c r="K1948" s="118"/>
      <c r="L1948" s="118"/>
      <c r="M1948" s="118"/>
      <c r="N1948" s="117"/>
      <c r="O1948" s="117"/>
      <c r="P1948" s="117"/>
      <c r="Q1948" s="117"/>
      <c r="R1948" s="117"/>
      <c r="S1948" s="117"/>
      <c r="T1948" s="117"/>
      <c r="U1948" s="117"/>
      <c r="V1948" s="117"/>
      <c r="W1948" s="117"/>
      <c r="X1948" s="117"/>
      <c r="Y1948" s="117"/>
      <c r="Z1948" s="117"/>
      <c r="AA1948" s="117"/>
      <c r="AB1948" s="117"/>
      <c r="AC1948" s="117"/>
      <c r="AD1948" s="117"/>
      <c r="AE1948" s="117"/>
      <c r="AF1948" s="117"/>
      <c r="AG1948" s="117"/>
      <c r="AH1948" s="117"/>
      <c r="AI1948" s="117"/>
      <c r="AJ1948" s="117"/>
      <c r="AK1948" s="117"/>
      <c r="AL1948" s="117"/>
      <c r="AM1948" s="117"/>
      <c r="AN1948" s="117"/>
      <c r="AO1948" s="117"/>
      <c r="AP1948" s="117"/>
      <c r="AQ1948" s="117"/>
      <c r="AR1948" s="117"/>
      <c r="AS1948" s="117"/>
      <c r="AT1948" s="117"/>
      <c r="AU1948" s="117"/>
      <c r="AV1948" s="117"/>
      <c r="AW1948" s="117"/>
      <c r="AX1948" s="117"/>
      <c r="AY1948" s="117"/>
      <c r="AZ1948" s="117"/>
      <c r="BA1948" s="117"/>
      <c r="BB1948" s="117"/>
      <c r="BC1948" s="117"/>
      <c r="BD1948" s="117"/>
      <c r="BE1948" s="117"/>
      <c r="BF1948" s="117"/>
      <c r="BG1948" s="117"/>
    </row>
    <row r="1949" spans="1:59">
      <c r="A1949" s="117"/>
      <c r="B1949" s="117"/>
      <c r="C1949" s="117"/>
      <c r="D1949" s="117"/>
      <c r="E1949" s="117"/>
      <c r="F1949" s="117"/>
      <c r="G1949" s="117"/>
      <c r="H1949" s="117"/>
      <c r="I1949" s="117"/>
      <c r="J1949" s="118"/>
      <c r="K1949" s="118"/>
      <c r="L1949" s="118"/>
      <c r="M1949" s="118"/>
      <c r="N1949" s="117"/>
      <c r="O1949" s="117"/>
      <c r="P1949" s="117"/>
      <c r="Q1949" s="117"/>
      <c r="R1949" s="117"/>
      <c r="S1949" s="117"/>
      <c r="T1949" s="117"/>
      <c r="U1949" s="117"/>
      <c r="V1949" s="117"/>
      <c r="W1949" s="117"/>
      <c r="X1949" s="117"/>
      <c r="Y1949" s="117"/>
      <c r="Z1949" s="117"/>
      <c r="AA1949" s="117"/>
      <c r="AB1949" s="117"/>
      <c r="AC1949" s="117"/>
      <c r="AD1949" s="117"/>
      <c r="AE1949" s="117"/>
      <c r="AF1949" s="117"/>
      <c r="AG1949" s="117"/>
      <c r="AH1949" s="117"/>
      <c r="AI1949" s="117"/>
      <c r="AJ1949" s="117"/>
      <c r="AK1949" s="117"/>
      <c r="AL1949" s="117"/>
      <c r="AM1949" s="117"/>
      <c r="AN1949" s="117"/>
      <c r="AO1949" s="117"/>
      <c r="AP1949" s="117"/>
      <c r="AQ1949" s="117"/>
      <c r="AR1949" s="117"/>
      <c r="AS1949" s="117"/>
      <c r="AT1949" s="117"/>
      <c r="AU1949" s="117"/>
      <c r="AV1949" s="117"/>
      <c r="AW1949" s="117"/>
      <c r="AX1949" s="117"/>
      <c r="AY1949" s="117"/>
      <c r="AZ1949" s="117"/>
      <c r="BA1949" s="117"/>
      <c r="BB1949" s="117"/>
      <c r="BC1949" s="117"/>
      <c r="BD1949" s="117"/>
      <c r="BE1949" s="117"/>
      <c r="BF1949" s="117"/>
      <c r="BG1949" s="117"/>
    </row>
    <row r="1950" spans="1:59">
      <c r="A1950" s="117"/>
      <c r="B1950" s="117"/>
      <c r="C1950" s="117"/>
      <c r="D1950" s="117"/>
      <c r="E1950" s="117"/>
      <c r="F1950" s="117"/>
      <c r="G1950" s="117"/>
      <c r="H1950" s="117"/>
      <c r="I1950" s="117"/>
      <c r="J1950" s="118"/>
      <c r="K1950" s="118"/>
      <c r="L1950" s="118"/>
      <c r="M1950" s="118"/>
      <c r="N1950" s="117"/>
      <c r="O1950" s="117"/>
      <c r="P1950" s="117"/>
      <c r="Q1950" s="117"/>
      <c r="R1950" s="117"/>
      <c r="S1950" s="117"/>
      <c r="T1950" s="117"/>
      <c r="U1950" s="117"/>
      <c r="V1950" s="117"/>
      <c r="W1950" s="117"/>
      <c r="X1950" s="117"/>
      <c r="Y1950" s="117"/>
      <c r="Z1950" s="117"/>
      <c r="AA1950" s="117"/>
      <c r="AB1950" s="117"/>
      <c r="AC1950" s="117"/>
      <c r="AD1950" s="117"/>
      <c r="AE1950" s="117"/>
      <c r="AF1950" s="117"/>
      <c r="AG1950" s="117"/>
      <c r="AH1950" s="117"/>
      <c r="AI1950" s="117"/>
      <c r="AJ1950" s="117"/>
      <c r="AK1950" s="117"/>
      <c r="AL1950" s="117"/>
      <c r="AM1950" s="117"/>
      <c r="AN1950" s="117"/>
      <c r="AO1950" s="117"/>
      <c r="AP1950" s="117"/>
      <c r="AQ1950" s="117"/>
      <c r="AR1950" s="117"/>
      <c r="AS1950" s="117"/>
      <c r="AT1950" s="117"/>
      <c r="AU1950" s="117"/>
      <c r="AV1950" s="117"/>
      <c r="AW1950" s="117"/>
      <c r="AX1950" s="117"/>
      <c r="AY1950" s="117"/>
      <c r="AZ1950" s="117"/>
      <c r="BA1950" s="117"/>
      <c r="BB1950" s="117"/>
      <c r="BC1950" s="117"/>
      <c r="BD1950" s="117"/>
      <c r="BE1950" s="117"/>
      <c r="BF1950" s="117"/>
      <c r="BG1950" s="117"/>
    </row>
    <row r="1951" spans="1:59">
      <c r="A1951" s="117"/>
      <c r="B1951" s="117"/>
      <c r="C1951" s="117"/>
      <c r="D1951" s="117"/>
      <c r="E1951" s="117"/>
      <c r="F1951" s="117"/>
      <c r="G1951" s="117"/>
      <c r="H1951" s="117"/>
      <c r="I1951" s="117"/>
      <c r="J1951" s="118"/>
      <c r="K1951" s="118"/>
      <c r="L1951" s="118"/>
      <c r="M1951" s="118"/>
      <c r="N1951" s="117"/>
      <c r="O1951" s="117"/>
      <c r="P1951" s="117"/>
      <c r="Q1951" s="117"/>
      <c r="R1951" s="117"/>
      <c r="S1951" s="117"/>
      <c r="T1951" s="117"/>
      <c r="U1951" s="117"/>
      <c r="V1951" s="117"/>
      <c r="W1951" s="117"/>
      <c r="X1951" s="117"/>
      <c r="Y1951" s="117"/>
      <c r="Z1951" s="117"/>
      <c r="AA1951" s="117"/>
      <c r="AB1951" s="117"/>
      <c r="AC1951" s="117"/>
      <c r="AD1951" s="117"/>
      <c r="AE1951" s="117"/>
      <c r="AF1951" s="117"/>
      <c r="AG1951" s="117"/>
      <c r="AH1951" s="117"/>
      <c r="AI1951" s="117"/>
      <c r="AJ1951" s="117"/>
      <c r="AK1951" s="117"/>
      <c r="AL1951" s="117"/>
      <c r="AM1951" s="117"/>
      <c r="AN1951" s="117"/>
      <c r="AO1951" s="117"/>
      <c r="AP1951" s="117"/>
      <c r="AQ1951" s="117"/>
      <c r="AR1951" s="117"/>
      <c r="AS1951" s="117"/>
      <c r="AT1951" s="117"/>
      <c r="AU1951" s="117"/>
      <c r="AV1951" s="117"/>
      <c r="AW1951" s="117"/>
      <c r="AX1951" s="117"/>
      <c r="AY1951" s="117"/>
      <c r="AZ1951" s="117"/>
      <c r="BA1951" s="117"/>
      <c r="BB1951" s="117"/>
      <c r="BC1951" s="117"/>
      <c r="BD1951" s="117"/>
      <c r="BE1951" s="117"/>
      <c r="BF1951" s="117"/>
      <c r="BG1951" s="117"/>
    </row>
    <row r="1952" spans="1:59">
      <c r="A1952" s="117"/>
      <c r="B1952" s="117"/>
      <c r="C1952" s="117"/>
      <c r="D1952" s="117"/>
      <c r="E1952" s="117"/>
      <c r="F1952" s="117"/>
      <c r="G1952" s="117"/>
      <c r="H1952" s="117"/>
      <c r="I1952" s="117"/>
      <c r="J1952" s="118"/>
      <c r="K1952" s="118"/>
      <c r="L1952" s="118"/>
      <c r="M1952" s="118"/>
      <c r="N1952" s="117"/>
      <c r="O1952" s="117"/>
      <c r="P1952" s="117"/>
      <c r="Q1952" s="117"/>
      <c r="R1952" s="117"/>
      <c r="S1952" s="117"/>
      <c r="T1952" s="117"/>
      <c r="U1952" s="117"/>
      <c r="V1952" s="117"/>
      <c r="W1952" s="117"/>
      <c r="X1952" s="117"/>
      <c r="Y1952" s="117"/>
      <c r="Z1952" s="117"/>
      <c r="AA1952" s="117"/>
      <c r="AB1952" s="117"/>
      <c r="AC1952" s="117"/>
      <c r="AD1952" s="117"/>
      <c r="AE1952" s="117"/>
      <c r="AF1952" s="117"/>
      <c r="AG1952" s="117"/>
      <c r="AH1952" s="117"/>
      <c r="AI1952" s="117"/>
      <c r="AJ1952" s="117"/>
      <c r="AK1952" s="117"/>
      <c r="AL1952" s="117"/>
      <c r="AM1952" s="117"/>
      <c r="AN1952" s="117"/>
      <c r="AO1952" s="117"/>
      <c r="AP1952" s="117"/>
      <c r="AQ1952" s="117"/>
      <c r="AR1952" s="117"/>
      <c r="AS1952" s="117"/>
      <c r="AT1952" s="117"/>
      <c r="AU1952" s="117"/>
      <c r="AV1952" s="117"/>
      <c r="AW1952" s="117"/>
      <c r="AX1952" s="117"/>
      <c r="AY1952" s="117"/>
      <c r="AZ1952" s="117"/>
      <c r="BA1952" s="117"/>
      <c r="BB1952" s="117"/>
      <c r="BC1952" s="117"/>
      <c r="BD1952" s="117"/>
      <c r="BE1952" s="117"/>
      <c r="BF1952" s="117"/>
      <c r="BG1952" s="117"/>
    </row>
    <row r="1953" spans="1:59">
      <c r="A1953" s="117"/>
      <c r="B1953" s="117"/>
      <c r="C1953" s="117"/>
      <c r="D1953" s="117"/>
      <c r="E1953" s="117"/>
      <c r="F1953" s="117"/>
      <c r="G1953" s="117"/>
      <c r="H1953" s="117"/>
      <c r="I1953" s="117"/>
      <c r="J1953" s="118"/>
      <c r="K1953" s="118"/>
      <c r="L1953" s="118"/>
      <c r="M1953" s="118"/>
      <c r="N1953" s="117"/>
      <c r="O1953" s="117"/>
      <c r="P1953" s="117"/>
      <c r="Q1953" s="117"/>
      <c r="R1953" s="117"/>
      <c r="S1953" s="117"/>
      <c r="T1953" s="117"/>
      <c r="U1953" s="117"/>
      <c r="V1953" s="117"/>
      <c r="W1953" s="117"/>
      <c r="X1953" s="117"/>
      <c r="Y1953" s="117"/>
      <c r="Z1953" s="117"/>
      <c r="AA1953" s="117"/>
      <c r="AB1953" s="117"/>
      <c r="AC1953" s="117"/>
      <c r="AD1953" s="117"/>
      <c r="AE1953" s="117"/>
      <c r="AF1953" s="117"/>
      <c r="AG1953" s="117"/>
      <c r="AH1953" s="117"/>
      <c r="AI1953" s="117"/>
      <c r="AJ1953" s="117"/>
      <c r="AK1953" s="117"/>
      <c r="AL1953" s="117"/>
      <c r="AM1953" s="117"/>
      <c r="AN1953" s="117"/>
      <c r="AO1953" s="117"/>
      <c r="AP1953" s="117"/>
      <c r="AQ1953" s="117"/>
      <c r="AR1953" s="117"/>
      <c r="AS1953" s="117"/>
      <c r="AT1953" s="117"/>
      <c r="AU1953" s="117"/>
      <c r="AV1953" s="117"/>
      <c r="AW1953" s="117"/>
      <c r="AX1953" s="117"/>
      <c r="AY1953" s="117"/>
      <c r="AZ1953" s="117"/>
      <c r="BA1953" s="117"/>
      <c r="BB1953" s="117"/>
      <c r="BC1953" s="117"/>
      <c r="BD1953" s="117"/>
      <c r="BE1953" s="117"/>
      <c r="BF1953" s="117"/>
      <c r="BG1953" s="117"/>
    </row>
    <row r="1954" spans="1:59">
      <c r="A1954" s="117"/>
      <c r="B1954" s="117"/>
      <c r="C1954" s="117"/>
      <c r="D1954" s="117"/>
      <c r="E1954" s="117"/>
      <c r="F1954" s="117"/>
      <c r="G1954" s="117"/>
      <c r="H1954" s="117"/>
      <c r="I1954" s="117"/>
      <c r="J1954" s="118"/>
      <c r="K1954" s="118"/>
      <c r="L1954" s="118"/>
      <c r="M1954" s="118"/>
      <c r="N1954" s="117"/>
      <c r="O1954" s="117"/>
      <c r="P1954" s="117"/>
      <c r="Q1954" s="117"/>
      <c r="R1954" s="117"/>
      <c r="S1954" s="117"/>
      <c r="T1954" s="117"/>
      <c r="U1954" s="117"/>
      <c r="V1954" s="117"/>
      <c r="W1954" s="117"/>
      <c r="X1954" s="117"/>
      <c r="Y1954" s="117"/>
      <c r="Z1954" s="117"/>
      <c r="AA1954" s="117"/>
      <c r="AB1954" s="117"/>
      <c r="AC1954" s="117"/>
      <c r="AD1954" s="117"/>
      <c r="AE1954" s="117"/>
      <c r="AF1954" s="117"/>
      <c r="AG1954" s="117"/>
      <c r="AH1954" s="117"/>
      <c r="AI1954" s="117"/>
      <c r="AJ1954" s="117"/>
      <c r="AK1954" s="117"/>
      <c r="AL1954" s="117"/>
      <c r="AM1954" s="117"/>
      <c r="AN1954" s="117"/>
      <c r="AO1954" s="117"/>
      <c r="AP1954" s="117"/>
      <c r="AQ1954" s="117"/>
      <c r="AR1954" s="117"/>
      <c r="AS1954" s="117"/>
      <c r="AT1954" s="117"/>
      <c r="AU1954" s="117"/>
      <c r="AV1954" s="117"/>
      <c r="AW1954" s="117"/>
      <c r="AX1954" s="117"/>
      <c r="AY1954" s="117"/>
      <c r="AZ1954" s="117"/>
      <c r="BA1954" s="117"/>
      <c r="BB1954" s="117"/>
      <c r="BC1954" s="117"/>
      <c r="BD1954" s="117"/>
      <c r="BE1954" s="117"/>
      <c r="BF1954" s="117"/>
      <c r="BG1954" s="117"/>
    </row>
    <row r="1955" spans="1:59">
      <c r="A1955" s="117"/>
      <c r="B1955" s="117"/>
      <c r="C1955" s="117"/>
      <c r="D1955" s="117"/>
      <c r="E1955" s="117"/>
      <c r="F1955" s="117"/>
      <c r="G1955" s="117"/>
      <c r="H1955" s="117"/>
      <c r="I1955" s="117"/>
      <c r="J1955" s="118"/>
      <c r="K1955" s="118"/>
      <c r="L1955" s="118"/>
      <c r="M1955" s="118"/>
      <c r="N1955" s="117"/>
      <c r="O1955" s="117"/>
      <c r="P1955" s="117"/>
      <c r="Q1955" s="117"/>
      <c r="R1955" s="117"/>
      <c r="S1955" s="117"/>
      <c r="T1955" s="117"/>
      <c r="U1955" s="117"/>
      <c r="V1955" s="117"/>
      <c r="W1955" s="117"/>
      <c r="X1955" s="117"/>
      <c r="Y1955" s="117"/>
      <c r="Z1955" s="117"/>
      <c r="AA1955" s="117"/>
      <c r="AB1955" s="117"/>
      <c r="AC1955" s="117"/>
      <c r="AD1955" s="117"/>
      <c r="AE1955" s="117"/>
      <c r="AF1955" s="117"/>
      <c r="AG1955" s="117"/>
      <c r="AH1955" s="117"/>
      <c r="AI1955" s="117"/>
      <c r="AJ1955" s="117"/>
      <c r="AK1955" s="117"/>
      <c r="AL1955" s="117"/>
      <c r="AM1955" s="117"/>
      <c r="AN1955" s="117"/>
      <c r="AO1955" s="117"/>
      <c r="AP1955" s="117"/>
      <c r="AQ1955" s="117"/>
      <c r="AR1955" s="117"/>
      <c r="AS1955" s="117"/>
      <c r="AT1955" s="117"/>
      <c r="AU1955" s="117"/>
      <c r="AV1955" s="117"/>
      <c r="AW1955" s="117"/>
      <c r="AX1955" s="117"/>
      <c r="AY1955" s="117"/>
      <c r="AZ1955" s="117"/>
      <c r="BA1955" s="117"/>
      <c r="BB1955" s="117"/>
      <c r="BC1955" s="117"/>
      <c r="BD1955" s="117"/>
      <c r="BE1955" s="117"/>
      <c r="BF1955" s="117"/>
      <c r="BG1955" s="117"/>
    </row>
    <row r="1956" spans="1:59">
      <c r="A1956" s="117"/>
      <c r="B1956" s="117"/>
      <c r="C1956" s="117"/>
      <c r="D1956" s="117"/>
      <c r="E1956" s="117"/>
      <c r="F1956" s="117"/>
      <c r="G1956" s="117"/>
      <c r="H1956" s="117"/>
      <c r="I1956" s="117"/>
      <c r="J1956" s="118"/>
      <c r="K1956" s="118"/>
      <c r="L1956" s="118"/>
      <c r="M1956" s="118"/>
      <c r="N1956" s="117"/>
      <c r="O1956" s="117"/>
      <c r="P1956" s="117"/>
      <c r="Q1956" s="117"/>
      <c r="R1956" s="117"/>
      <c r="S1956" s="117"/>
      <c r="T1956" s="117"/>
      <c r="U1956" s="117"/>
      <c r="V1956" s="117"/>
      <c r="W1956" s="117"/>
      <c r="X1956" s="117"/>
      <c r="Y1956" s="117"/>
      <c r="Z1956" s="117"/>
      <c r="AA1956" s="117"/>
      <c r="AB1956" s="117"/>
      <c r="AC1956" s="117"/>
      <c r="AD1956" s="117"/>
      <c r="AE1956" s="117"/>
      <c r="AF1956" s="117"/>
      <c r="AG1956" s="117"/>
      <c r="AH1956" s="117"/>
      <c r="AI1956" s="117"/>
      <c r="AJ1956" s="117"/>
      <c r="AK1956" s="117"/>
      <c r="AL1956" s="117"/>
      <c r="AM1956" s="117"/>
      <c r="AN1956" s="117"/>
      <c r="AO1956" s="117"/>
      <c r="AP1956" s="117"/>
      <c r="AQ1956" s="117"/>
      <c r="AR1956" s="117"/>
      <c r="AS1956" s="117"/>
      <c r="AT1956" s="117"/>
      <c r="AU1956" s="117"/>
      <c r="AV1956" s="117"/>
      <c r="AW1956" s="117"/>
      <c r="AX1956" s="117"/>
      <c r="AY1956" s="117"/>
      <c r="AZ1956" s="117"/>
      <c r="BA1956" s="117"/>
      <c r="BB1956" s="117"/>
      <c r="BC1956" s="117"/>
      <c r="BD1956" s="117"/>
      <c r="BE1956" s="117"/>
      <c r="BF1956" s="117"/>
      <c r="BG1956" s="117"/>
    </row>
    <row r="1957" spans="1:59">
      <c r="A1957" s="117"/>
      <c r="B1957" s="117"/>
      <c r="C1957" s="117"/>
      <c r="D1957" s="117"/>
      <c r="E1957" s="117"/>
      <c r="F1957" s="117"/>
      <c r="G1957" s="117"/>
      <c r="H1957" s="117"/>
      <c r="I1957" s="117"/>
      <c r="J1957" s="118"/>
      <c r="K1957" s="118"/>
      <c r="L1957" s="118"/>
      <c r="M1957" s="118"/>
      <c r="N1957" s="117"/>
      <c r="O1957" s="117"/>
      <c r="P1957" s="117"/>
      <c r="Q1957" s="117"/>
      <c r="R1957" s="117"/>
      <c r="S1957" s="117"/>
      <c r="T1957" s="117"/>
      <c r="U1957" s="117"/>
      <c r="V1957" s="117"/>
      <c r="W1957" s="117"/>
      <c r="X1957" s="117"/>
      <c r="Y1957" s="117"/>
      <c r="Z1957" s="117"/>
      <c r="AA1957" s="117"/>
      <c r="AB1957" s="117"/>
      <c r="AC1957" s="117"/>
      <c r="AD1957" s="117"/>
      <c r="AE1957" s="117"/>
      <c r="AF1957" s="117"/>
      <c r="AG1957" s="117"/>
      <c r="AH1957" s="117"/>
      <c r="AI1957" s="117"/>
      <c r="AJ1957" s="117"/>
      <c r="AK1957" s="117"/>
      <c r="AL1957" s="117"/>
      <c r="AM1957" s="117"/>
      <c r="AN1957" s="117"/>
      <c r="AO1957" s="117"/>
      <c r="AP1957" s="117"/>
      <c r="AQ1957" s="117"/>
      <c r="AR1957" s="117"/>
      <c r="AS1957" s="117"/>
      <c r="AT1957" s="117"/>
      <c r="AU1957" s="117"/>
      <c r="AV1957" s="117"/>
      <c r="AW1957" s="117"/>
      <c r="AX1957" s="117"/>
      <c r="AY1957" s="117"/>
      <c r="AZ1957" s="117"/>
      <c r="BA1957" s="117"/>
      <c r="BB1957" s="117"/>
      <c r="BC1957" s="117"/>
      <c r="BD1957" s="117"/>
      <c r="BE1957" s="117"/>
      <c r="BF1957" s="117"/>
      <c r="BG1957" s="117"/>
    </row>
    <row r="1958" spans="1:59">
      <c r="A1958" s="117"/>
      <c r="B1958" s="117"/>
      <c r="C1958" s="117"/>
      <c r="D1958" s="117"/>
      <c r="E1958" s="117"/>
      <c r="F1958" s="117"/>
      <c r="G1958" s="117"/>
      <c r="H1958" s="117"/>
      <c r="I1958" s="117"/>
      <c r="J1958" s="118"/>
      <c r="K1958" s="118"/>
      <c r="L1958" s="118"/>
      <c r="M1958" s="118"/>
      <c r="N1958" s="117"/>
      <c r="O1958" s="117"/>
      <c r="P1958" s="117"/>
      <c r="Q1958" s="117"/>
      <c r="R1958" s="117"/>
      <c r="S1958" s="117"/>
      <c r="T1958" s="117"/>
      <c r="U1958" s="117"/>
      <c r="V1958" s="117"/>
      <c r="W1958" s="117"/>
      <c r="X1958" s="117"/>
      <c r="Y1958" s="117"/>
      <c r="Z1958" s="117"/>
      <c r="AA1958" s="117"/>
      <c r="AB1958" s="117"/>
      <c r="AC1958" s="117"/>
      <c r="AD1958" s="117"/>
      <c r="AE1958" s="117"/>
      <c r="AF1958" s="117"/>
      <c r="AG1958" s="117"/>
      <c r="AH1958" s="117"/>
      <c r="AI1958" s="117"/>
      <c r="AJ1958" s="117"/>
      <c r="AK1958" s="117"/>
      <c r="AL1958" s="117"/>
      <c r="AM1958" s="117"/>
      <c r="AN1958" s="117"/>
      <c r="AO1958" s="117"/>
      <c r="AP1958" s="117"/>
      <c r="AQ1958" s="117"/>
      <c r="AR1958" s="117"/>
      <c r="AS1958" s="117"/>
      <c r="AT1958" s="117"/>
      <c r="AU1958" s="117"/>
      <c r="AV1958" s="117"/>
      <c r="AW1958" s="117"/>
      <c r="AX1958" s="117"/>
      <c r="AY1958" s="117"/>
      <c r="AZ1958" s="117"/>
      <c r="BA1958" s="117"/>
      <c r="BB1958" s="117"/>
      <c r="BC1958" s="117"/>
      <c r="BD1958" s="117"/>
      <c r="BE1958" s="117"/>
      <c r="BF1958" s="117"/>
      <c r="BG1958" s="117"/>
    </row>
    <row r="1959" spans="1:59">
      <c r="A1959" s="117"/>
      <c r="B1959" s="117"/>
      <c r="C1959" s="117"/>
      <c r="D1959" s="117"/>
      <c r="E1959" s="117"/>
      <c r="F1959" s="117"/>
      <c r="G1959" s="117"/>
      <c r="H1959" s="117"/>
      <c r="I1959" s="117"/>
      <c r="J1959" s="118"/>
      <c r="K1959" s="118"/>
      <c r="L1959" s="118"/>
      <c r="M1959" s="118"/>
      <c r="N1959" s="117"/>
      <c r="O1959" s="117"/>
      <c r="P1959" s="117"/>
      <c r="Q1959" s="117"/>
      <c r="R1959" s="117"/>
      <c r="S1959" s="117"/>
      <c r="T1959" s="117"/>
      <c r="U1959" s="117"/>
      <c r="V1959" s="117"/>
      <c r="W1959" s="117"/>
      <c r="X1959" s="117"/>
      <c r="Y1959" s="117"/>
      <c r="Z1959" s="117"/>
      <c r="AA1959" s="117"/>
      <c r="AB1959" s="117"/>
      <c r="AC1959" s="117"/>
      <c r="AD1959" s="117"/>
      <c r="AE1959" s="117"/>
      <c r="AF1959" s="117"/>
      <c r="AG1959" s="117"/>
      <c r="AH1959" s="117"/>
      <c r="AI1959" s="117"/>
      <c r="AJ1959" s="117"/>
      <c r="AK1959" s="117"/>
      <c r="AL1959" s="117"/>
      <c r="AM1959" s="117"/>
      <c r="AN1959" s="117"/>
      <c r="AO1959" s="117"/>
      <c r="AP1959" s="117"/>
      <c r="AQ1959" s="117"/>
      <c r="AR1959" s="117"/>
      <c r="AS1959" s="117"/>
      <c r="AT1959" s="117"/>
      <c r="AU1959" s="117"/>
      <c r="AV1959" s="117"/>
      <c r="AW1959" s="117"/>
      <c r="AX1959" s="117"/>
      <c r="AY1959" s="117"/>
      <c r="AZ1959" s="117"/>
      <c r="BA1959" s="117"/>
      <c r="BB1959" s="117"/>
      <c r="BC1959" s="117"/>
      <c r="BD1959" s="117"/>
      <c r="BE1959" s="117"/>
      <c r="BF1959" s="117"/>
      <c r="BG1959" s="117"/>
    </row>
    <row r="1960" spans="1:59">
      <c r="A1960" s="117"/>
      <c r="B1960" s="117"/>
      <c r="C1960" s="117"/>
      <c r="D1960" s="117"/>
      <c r="E1960" s="117"/>
      <c r="F1960" s="117"/>
      <c r="G1960" s="117"/>
      <c r="H1960" s="117"/>
      <c r="I1960" s="117"/>
      <c r="J1960" s="118"/>
      <c r="K1960" s="118"/>
      <c r="L1960" s="118"/>
      <c r="M1960" s="118"/>
      <c r="N1960" s="117"/>
      <c r="O1960" s="117"/>
      <c r="P1960" s="117"/>
      <c r="Q1960" s="117"/>
      <c r="R1960" s="117"/>
      <c r="S1960" s="117"/>
      <c r="T1960" s="117"/>
      <c r="U1960" s="117"/>
      <c r="V1960" s="117"/>
      <c r="W1960" s="117"/>
      <c r="X1960" s="117"/>
      <c r="Y1960" s="117"/>
      <c r="Z1960" s="117"/>
      <c r="AA1960" s="117"/>
      <c r="AB1960" s="117"/>
      <c r="AC1960" s="117"/>
      <c r="AD1960" s="117"/>
      <c r="AE1960" s="117"/>
      <c r="AF1960" s="117"/>
      <c r="AG1960" s="117"/>
      <c r="AH1960" s="117"/>
      <c r="AI1960" s="117"/>
      <c r="AJ1960" s="117"/>
      <c r="AK1960" s="117"/>
      <c r="AL1960" s="117"/>
      <c r="AM1960" s="117"/>
      <c r="AN1960" s="117"/>
      <c r="AO1960" s="117"/>
      <c r="AP1960" s="117"/>
      <c r="AQ1960" s="117"/>
      <c r="AR1960" s="117"/>
      <c r="AS1960" s="117"/>
      <c r="AT1960" s="117"/>
      <c r="AU1960" s="117"/>
      <c r="AV1960" s="117"/>
      <c r="AW1960" s="117"/>
      <c r="AX1960" s="117"/>
      <c r="AY1960" s="117"/>
      <c r="AZ1960" s="117"/>
      <c r="BA1960" s="117"/>
      <c r="BB1960" s="117"/>
      <c r="BC1960" s="117"/>
      <c r="BD1960" s="117"/>
      <c r="BE1960" s="117"/>
      <c r="BF1960" s="117"/>
      <c r="BG1960" s="117"/>
    </row>
    <row r="1961" spans="1:59">
      <c r="A1961" s="117"/>
      <c r="B1961" s="117"/>
      <c r="C1961" s="117"/>
      <c r="D1961" s="117"/>
      <c r="E1961" s="117"/>
      <c r="F1961" s="117"/>
      <c r="G1961" s="117"/>
      <c r="H1961" s="117"/>
      <c r="I1961" s="117"/>
      <c r="J1961" s="118"/>
      <c r="K1961" s="118"/>
      <c r="L1961" s="118"/>
      <c r="M1961" s="118"/>
      <c r="N1961" s="117"/>
      <c r="O1961" s="117"/>
      <c r="P1961" s="117"/>
      <c r="Q1961" s="117"/>
      <c r="R1961" s="117"/>
      <c r="S1961" s="117"/>
      <c r="T1961" s="117"/>
      <c r="U1961" s="117"/>
      <c r="V1961" s="117"/>
      <c r="W1961" s="117"/>
      <c r="X1961" s="117"/>
      <c r="Y1961" s="117"/>
      <c r="Z1961" s="117"/>
      <c r="AA1961" s="117"/>
      <c r="AB1961" s="117"/>
      <c r="AC1961" s="117"/>
      <c r="AD1961" s="117"/>
      <c r="AE1961" s="117"/>
      <c r="AF1961" s="117"/>
      <c r="AG1961" s="117"/>
      <c r="AH1961" s="117"/>
      <c r="AI1961" s="117"/>
      <c r="AJ1961" s="117"/>
      <c r="AK1961" s="117"/>
      <c r="AL1961" s="117"/>
      <c r="AM1961" s="117"/>
      <c r="AN1961" s="117"/>
      <c r="AO1961" s="117"/>
      <c r="AP1961" s="117"/>
      <c r="AQ1961" s="117"/>
      <c r="AR1961" s="117"/>
      <c r="AS1961" s="117"/>
      <c r="AT1961" s="117"/>
      <c r="AU1961" s="117"/>
      <c r="AV1961" s="117"/>
      <c r="AW1961" s="117"/>
      <c r="AX1961" s="117"/>
      <c r="AY1961" s="117"/>
      <c r="AZ1961" s="117"/>
      <c r="BA1961" s="117"/>
      <c r="BB1961" s="117"/>
      <c r="BC1961" s="117"/>
      <c r="BD1961" s="117"/>
      <c r="BE1961" s="117"/>
      <c r="BF1961" s="117"/>
      <c r="BG1961" s="117"/>
    </row>
    <row r="1962" spans="1:59">
      <c r="A1962" s="117"/>
      <c r="B1962" s="117"/>
      <c r="C1962" s="117"/>
      <c r="D1962" s="117"/>
      <c r="E1962" s="117"/>
      <c r="F1962" s="117"/>
      <c r="G1962" s="117"/>
      <c r="H1962" s="117"/>
      <c r="I1962" s="117"/>
      <c r="J1962" s="118"/>
      <c r="K1962" s="118"/>
      <c r="L1962" s="118"/>
      <c r="M1962" s="118"/>
      <c r="N1962" s="117"/>
      <c r="O1962" s="117"/>
      <c r="P1962" s="117"/>
      <c r="Q1962" s="117"/>
      <c r="R1962" s="117"/>
      <c r="S1962" s="117"/>
      <c r="T1962" s="117"/>
      <c r="U1962" s="117"/>
      <c r="V1962" s="117"/>
      <c r="W1962" s="117"/>
      <c r="X1962" s="117"/>
      <c r="Y1962" s="117"/>
      <c r="Z1962" s="117"/>
      <c r="AA1962" s="117"/>
      <c r="AB1962" s="117"/>
      <c r="AC1962" s="117"/>
      <c r="AD1962" s="117"/>
      <c r="AE1962" s="117"/>
      <c r="AF1962" s="117"/>
      <c r="AG1962" s="117"/>
      <c r="AH1962" s="117"/>
      <c r="AI1962" s="117"/>
      <c r="AJ1962" s="117"/>
      <c r="AK1962" s="117"/>
      <c r="AL1962" s="117"/>
      <c r="AM1962" s="117"/>
      <c r="AN1962" s="117"/>
      <c r="AO1962" s="117"/>
      <c r="AP1962" s="117"/>
      <c r="AQ1962" s="117"/>
      <c r="AR1962" s="117"/>
      <c r="AS1962" s="117"/>
      <c r="AT1962" s="117"/>
      <c r="AU1962" s="117"/>
      <c r="AV1962" s="117"/>
      <c r="AW1962" s="117"/>
      <c r="AX1962" s="117"/>
      <c r="AY1962" s="117"/>
      <c r="AZ1962" s="117"/>
      <c r="BA1962" s="117"/>
      <c r="BB1962" s="117"/>
      <c r="BC1962" s="117"/>
      <c r="BD1962" s="117"/>
      <c r="BE1962" s="117"/>
      <c r="BF1962" s="117"/>
      <c r="BG1962" s="117"/>
    </row>
    <row r="1963" spans="1:59">
      <c r="A1963" s="117"/>
      <c r="B1963" s="117"/>
      <c r="C1963" s="117"/>
      <c r="D1963" s="117"/>
      <c r="E1963" s="117"/>
      <c r="F1963" s="117"/>
      <c r="G1963" s="117"/>
      <c r="H1963" s="117"/>
      <c r="I1963" s="117"/>
      <c r="J1963" s="118"/>
      <c r="K1963" s="118"/>
      <c r="L1963" s="118"/>
      <c r="M1963" s="118"/>
      <c r="N1963" s="117"/>
      <c r="O1963" s="117"/>
      <c r="P1963" s="117"/>
      <c r="Q1963" s="117"/>
      <c r="R1963" s="117"/>
      <c r="S1963" s="117"/>
      <c r="T1963" s="117"/>
      <c r="U1963" s="117"/>
      <c r="V1963" s="117"/>
      <c r="W1963" s="117"/>
      <c r="X1963" s="117"/>
      <c r="Y1963" s="117"/>
      <c r="Z1963" s="117"/>
      <c r="AA1963" s="117"/>
      <c r="AB1963" s="117"/>
      <c r="AC1963" s="117"/>
      <c r="AD1963" s="117"/>
      <c r="AE1963" s="117"/>
      <c r="AF1963" s="117"/>
      <c r="AG1963" s="117"/>
      <c r="AH1963" s="117"/>
      <c r="AI1963" s="117"/>
      <c r="AJ1963" s="117"/>
      <c r="AK1963" s="117"/>
      <c r="AL1963" s="117"/>
      <c r="AM1963" s="117"/>
      <c r="AN1963" s="117"/>
      <c r="AO1963" s="117"/>
      <c r="AP1963" s="117"/>
      <c r="AQ1963" s="117"/>
      <c r="AR1963" s="117"/>
      <c r="AS1963" s="117"/>
      <c r="AT1963" s="117"/>
      <c r="AU1963" s="117"/>
      <c r="AV1963" s="117"/>
      <c r="AW1963" s="117"/>
      <c r="AX1963" s="117"/>
      <c r="AY1963" s="117"/>
      <c r="AZ1963" s="117"/>
      <c r="BA1963" s="117"/>
      <c r="BB1963" s="117"/>
      <c r="BC1963" s="117"/>
      <c r="BD1963" s="117"/>
      <c r="BE1963" s="117"/>
      <c r="BF1963" s="117"/>
      <c r="BG1963" s="117"/>
    </row>
    <row r="1964" spans="1:59">
      <c r="A1964" s="117"/>
      <c r="B1964" s="117"/>
      <c r="C1964" s="117"/>
      <c r="D1964" s="117"/>
      <c r="E1964" s="117"/>
      <c r="F1964" s="117"/>
      <c r="G1964" s="117"/>
      <c r="H1964" s="117"/>
      <c r="I1964" s="117"/>
      <c r="J1964" s="118"/>
      <c r="K1964" s="118"/>
      <c r="L1964" s="118"/>
      <c r="M1964" s="118"/>
      <c r="N1964" s="117"/>
      <c r="O1964" s="117"/>
      <c r="P1964" s="117"/>
      <c r="Q1964" s="117"/>
      <c r="R1964" s="117"/>
      <c r="S1964" s="117"/>
      <c r="T1964" s="117"/>
      <c r="U1964" s="117"/>
      <c r="V1964" s="117"/>
      <c r="W1964" s="117"/>
      <c r="X1964" s="117"/>
      <c r="Y1964" s="117"/>
      <c r="Z1964" s="117"/>
      <c r="AA1964" s="117"/>
      <c r="AB1964" s="117"/>
      <c r="AC1964" s="117"/>
      <c r="AD1964" s="117"/>
      <c r="AE1964" s="117"/>
      <c r="AF1964" s="117"/>
      <c r="AG1964" s="117"/>
      <c r="AH1964" s="117"/>
      <c r="AI1964" s="117"/>
      <c r="AJ1964" s="117"/>
      <c r="AK1964" s="117"/>
      <c r="AL1964" s="117"/>
      <c r="AM1964" s="117"/>
      <c r="AN1964" s="117"/>
      <c r="AO1964" s="117"/>
      <c r="AP1964" s="117"/>
      <c r="AQ1964" s="117"/>
      <c r="AR1964" s="117"/>
      <c r="AS1964" s="117"/>
      <c r="AT1964" s="117"/>
      <c r="AU1964" s="117"/>
      <c r="AV1964" s="117"/>
      <c r="AW1964" s="117"/>
      <c r="AX1964" s="117"/>
      <c r="AY1964" s="117"/>
      <c r="AZ1964" s="117"/>
      <c r="BA1964" s="117"/>
      <c r="BB1964" s="117"/>
      <c r="BC1964" s="117"/>
      <c r="BD1964" s="117"/>
      <c r="BE1964" s="117"/>
      <c r="BF1964" s="117"/>
      <c r="BG1964" s="117"/>
    </row>
    <row r="1965" spans="1:59">
      <c r="A1965" s="117"/>
      <c r="B1965" s="117"/>
      <c r="C1965" s="117"/>
      <c r="D1965" s="117"/>
      <c r="E1965" s="117"/>
      <c r="F1965" s="117"/>
      <c r="G1965" s="117"/>
      <c r="H1965" s="117"/>
      <c r="I1965" s="117"/>
      <c r="J1965" s="118"/>
      <c r="K1965" s="118"/>
      <c r="L1965" s="118"/>
      <c r="M1965" s="118"/>
      <c r="N1965" s="117"/>
      <c r="O1965" s="117"/>
      <c r="P1965" s="117"/>
      <c r="Q1965" s="117"/>
      <c r="R1965" s="117"/>
      <c r="S1965" s="117"/>
      <c r="T1965" s="117"/>
      <c r="U1965" s="117"/>
      <c r="V1965" s="117"/>
      <c r="W1965" s="117"/>
      <c r="X1965" s="117"/>
      <c r="Y1965" s="117"/>
      <c r="Z1965" s="117"/>
      <c r="AA1965" s="117"/>
      <c r="AB1965" s="117"/>
      <c r="AC1965" s="117"/>
      <c r="AD1965" s="117"/>
      <c r="AE1965" s="117"/>
      <c r="AF1965" s="117"/>
      <c r="AG1965" s="117"/>
      <c r="AH1965" s="117"/>
      <c r="AI1965" s="117"/>
      <c r="AJ1965" s="117"/>
      <c r="AK1965" s="117"/>
      <c r="AL1965" s="117"/>
      <c r="AM1965" s="117"/>
      <c r="AN1965" s="117"/>
      <c r="AO1965" s="117"/>
      <c r="AP1965" s="117"/>
      <c r="AQ1965" s="117"/>
      <c r="AR1965" s="117"/>
      <c r="AS1965" s="117"/>
      <c r="AT1965" s="117"/>
      <c r="AU1965" s="117"/>
      <c r="AV1965" s="117"/>
      <c r="AW1965" s="117"/>
      <c r="AX1965" s="117"/>
      <c r="AY1965" s="117"/>
      <c r="AZ1965" s="117"/>
      <c r="BA1965" s="117"/>
      <c r="BB1965" s="117"/>
      <c r="BC1965" s="117"/>
      <c r="BD1965" s="117"/>
      <c r="BE1965" s="117"/>
      <c r="BF1965" s="117"/>
      <c r="BG1965" s="117"/>
    </row>
    <row r="1966" spans="1:59">
      <c r="A1966" s="117"/>
      <c r="B1966" s="117"/>
      <c r="C1966" s="117"/>
      <c r="D1966" s="117"/>
      <c r="E1966" s="117"/>
      <c r="F1966" s="117"/>
      <c r="G1966" s="117"/>
      <c r="H1966" s="117"/>
      <c r="I1966" s="117"/>
      <c r="J1966" s="118"/>
      <c r="K1966" s="118"/>
      <c r="L1966" s="118"/>
      <c r="M1966" s="118"/>
      <c r="N1966" s="117"/>
      <c r="O1966" s="117"/>
      <c r="P1966" s="117"/>
      <c r="Q1966" s="117"/>
      <c r="R1966" s="117"/>
      <c r="S1966" s="117"/>
      <c r="T1966" s="117"/>
      <c r="U1966" s="117"/>
      <c r="V1966" s="117"/>
      <c r="W1966" s="117"/>
      <c r="X1966" s="117"/>
      <c r="Y1966" s="117"/>
      <c r="Z1966" s="117"/>
      <c r="AA1966" s="117"/>
      <c r="AB1966" s="117"/>
      <c r="AC1966" s="117"/>
      <c r="AD1966" s="117"/>
      <c r="AE1966" s="117"/>
      <c r="AF1966" s="117"/>
      <c r="AG1966" s="117"/>
      <c r="AH1966" s="117"/>
      <c r="AI1966" s="117"/>
      <c r="AJ1966" s="117"/>
      <c r="AK1966" s="117"/>
      <c r="AL1966" s="117"/>
      <c r="AM1966" s="117"/>
      <c r="AN1966" s="117"/>
      <c r="AO1966" s="117"/>
      <c r="AP1966" s="117"/>
      <c r="AQ1966" s="117"/>
      <c r="AR1966" s="117"/>
      <c r="AS1966" s="117"/>
      <c r="AT1966" s="117"/>
      <c r="AU1966" s="117"/>
      <c r="AV1966" s="117"/>
      <c r="AW1966" s="117"/>
      <c r="AX1966" s="117"/>
      <c r="AY1966" s="117"/>
      <c r="AZ1966" s="117"/>
      <c r="BA1966" s="117"/>
      <c r="BB1966" s="117"/>
      <c r="BC1966" s="117"/>
      <c r="BD1966" s="117"/>
      <c r="BE1966" s="117"/>
      <c r="BF1966" s="117"/>
      <c r="BG1966" s="117"/>
    </row>
    <row r="1967" spans="1:59">
      <c r="A1967" s="117"/>
      <c r="B1967" s="117"/>
      <c r="C1967" s="117"/>
      <c r="D1967" s="117"/>
      <c r="E1967" s="117"/>
      <c r="F1967" s="117"/>
      <c r="G1967" s="117"/>
      <c r="H1967" s="117"/>
      <c r="I1967" s="117"/>
      <c r="J1967" s="118"/>
      <c r="K1967" s="118"/>
      <c r="L1967" s="118"/>
      <c r="M1967" s="118"/>
      <c r="N1967" s="117"/>
      <c r="O1967" s="117"/>
      <c r="P1967" s="117"/>
      <c r="Q1967" s="117"/>
      <c r="R1967" s="117"/>
      <c r="S1967" s="117"/>
      <c r="T1967" s="117"/>
      <c r="U1967" s="117"/>
      <c r="V1967" s="117"/>
      <c r="W1967" s="117"/>
      <c r="X1967" s="117"/>
      <c r="Y1967" s="117"/>
      <c r="Z1967" s="117"/>
      <c r="AA1967" s="117"/>
      <c r="AB1967" s="117"/>
      <c r="AC1967" s="117"/>
      <c r="AD1967" s="117"/>
      <c r="AE1967" s="117"/>
      <c r="AF1967" s="117"/>
      <c r="AG1967" s="117"/>
      <c r="AH1967" s="117"/>
      <c r="AI1967" s="117"/>
      <c r="AJ1967" s="117"/>
      <c r="AK1967" s="117"/>
      <c r="AL1967" s="117"/>
      <c r="AM1967" s="117"/>
      <c r="AN1967" s="117"/>
      <c r="AO1967" s="117"/>
      <c r="AP1967" s="117"/>
      <c r="AQ1967" s="117"/>
      <c r="AR1967" s="117"/>
      <c r="AS1967" s="117"/>
      <c r="AT1967" s="117"/>
      <c r="AU1967" s="117"/>
      <c r="AV1967" s="117"/>
      <c r="AW1967" s="117"/>
      <c r="AX1967" s="117"/>
      <c r="AY1967" s="117"/>
      <c r="AZ1967" s="117"/>
      <c r="BA1967" s="117"/>
      <c r="BB1967" s="117"/>
      <c r="BC1967" s="117"/>
      <c r="BD1967" s="117"/>
      <c r="BE1967" s="117"/>
      <c r="BF1967" s="117"/>
      <c r="BG1967" s="117"/>
    </row>
    <row r="1968" spans="1:59">
      <c r="A1968" s="117"/>
      <c r="B1968" s="117"/>
      <c r="C1968" s="117"/>
      <c r="D1968" s="117"/>
      <c r="E1968" s="117"/>
      <c r="F1968" s="117"/>
      <c r="G1968" s="117"/>
      <c r="H1968" s="117"/>
      <c r="I1968" s="117"/>
      <c r="J1968" s="118"/>
      <c r="K1968" s="118"/>
      <c r="L1968" s="118"/>
      <c r="M1968" s="118"/>
      <c r="N1968" s="117"/>
      <c r="O1968" s="117"/>
      <c r="P1968" s="117"/>
      <c r="Q1968" s="117"/>
      <c r="R1968" s="117"/>
      <c r="S1968" s="117"/>
      <c r="T1968" s="117"/>
      <c r="U1968" s="117"/>
      <c r="V1968" s="117"/>
      <c r="W1968" s="117"/>
      <c r="X1968" s="117"/>
      <c r="Y1968" s="117"/>
      <c r="Z1968" s="117"/>
      <c r="AA1968" s="117"/>
      <c r="AB1968" s="117"/>
      <c r="AC1968" s="117"/>
      <c r="AD1968" s="117"/>
      <c r="AE1968" s="117"/>
      <c r="AF1968" s="117"/>
      <c r="AG1968" s="117"/>
      <c r="AH1968" s="117"/>
      <c r="AI1968" s="117"/>
      <c r="AJ1968" s="117"/>
      <c r="AK1968" s="117"/>
      <c r="AL1968" s="117"/>
      <c r="AM1968" s="117"/>
      <c r="AN1968" s="117"/>
      <c r="AO1968" s="117"/>
      <c r="AP1968" s="117"/>
      <c r="AQ1968" s="117"/>
      <c r="AR1968" s="117"/>
      <c r="AS1968" s="117"/>
      <c r="AT1968" s="117"/>
      <c r="AU1968" s="117"/>
      <c r="AV1968" s="117"/>
      <c r="AW1968" s="117"/>
      <c r="AX1968" s="117"/>
      <c r="AY1968" s="117"/>
      <c r="AZ1968" s="117"/>
      <c r="BA1968" s="117"/>
      <c r="BB1968" s="117"/>
      <c r="BC1968" s="117"/>
      <c r="BD1968" s="117"/>
      <c r="BE1968" s="117"/>
      <c r="BF1968" s="117"/>
      <c r="BG1968" s="117"/>
    </row>
    <row r="1969" spans="1:59">
      <c r="A1969" s="117"/>
      <c r="B1969" s="117"/>
      <c r="C1969" s="117"/>
      <c r="D1969" s="117"/>
      <c r="E1969" s="117"/>
      <c r="F1969" s="117"/>
      <c r="G1969" s="117"/>
      <c r="H1969" s="117"/>
      <c r="I1969" s="117"/>
      <c r="J1969" s="118"/>
      <c r="K1969" s="118"/>
      <c r="L1969" s="118"/>
      <c r="M1969" s="118"/>
      <c r="N1969" s="117"/>
      <c r="O1969" s="117"/>
      <c r="P1969" s="117"/>
      <c r="Q1969" s="117"/>
      <c r="R1969" s="117"/>
      <c r="S1969" s="117"/>
      <c r="T1969" s="117"/>
      <c r="U1969" s="117"/>
      <c r="V1969" s="117"/>
      <c r="W1969" s="117"/>
      <c r="X1969" s="117"/>
      <c r="Y1969" s="117"/>
      <c r="Z1969" s="117"/>
      <c r="AA1969" s="117"/>
      <c r="AB1969" s="117"/>
      <c r="AC1969" s="117"/>
      <c r="AD1969" s="117"/>
      <c r="AE1969" s="117"/>
      <c r="AF1969" s="117"/>
      <c r="AG1969" s="117"/>
      <c r="AH1969" s="117"/>
      <c r="AI1969" s="117"/>
      <c r="AJ1969" s="117"/>
      <c r="AK1969" s="117"/>
      <c r="AL1969" s="117"/>
      <c r="AM1969" s="117"/>
      <c r="AN1969" s="117"/>
      <c r="AO1969" s="117"/>
      <c r="AP1969" s="117"/>
      <c r="AQ1969" s="117"/>
      <c r="AR1969" s="117"/>
      <c r="AS1969" s="117"/>
      <c r="AT1969" s="117"/>
      <c r="AU1969" s="117"/>
      <c r="AV1969" s="117"/>
      <c r="AW1969" s="117"/>
      <c r="AX1969" s="117"/>
      <c r="AY1969" s="117"/>
      <c r="AZ1969" s="117"/>
      <c r="BA1969" s="117"/>
      <c r="BB1969" s="117"/>
      <c r="BC1969" s="117"/>
      <c r="BD1969" s="117"/>
      <c r="BE1969" s="117"/>
      <c r="BF1969" s="117"/>
      <c r="BG1969" s="117"/>
    </row>
    <row r="1970" spans="1:59">
      <c r="A1970" s="117"/>
      <c r="B1970" s="117"/>
      <c r="C1970" s="117"/>
      <c r="D1970" s="117"/>
      <c r="E1970" s="117"/>
      <c r="F1970" s="117"/>
      <c r="G1970" s="117"/>
      <c r="H1970" s="117"/>
      <c r="I1970" s="117"/>
      <c r="J1970" s="118"/>
      <c r="K1970" s="118"/>
      <c r="L1970" s="118"/>
      <c r="M1970" s="118"/>
      <c r="N1970" s="117"/>
      <c r="O1970" s="117"/>
      <c r="P1970" s="117"/>
      <c r="Q1970" s="117"/>
      <c r="R1970" s="117"/>
      <c r="S1970" s="117"/>
      <c r="T1970" s="117"/>
      <c r="U1970" s="117"/>
      <c r="V1970" s="117"/>
      <c r="W1970" s="117"/>
      <c r="X1970" s="117"/>
      <c r="Y1970" s="117"/>
      <c r="Z1970" s="117"/>
      <c r="AA1970" s="117"/>
      <c r="AB1970" s="117"/>
      <c r="AC1970" s="117"/>
      <c r="AD1970" s="117"/>
      <c r="AE1970" s="117"/>
      <c r="AF1970" s="117"/>
      <c r="AG1970" s="117"/>
      <c r="AH1970" s="117"/>
      <c r="AI1970" s="117"/>
      <c r="AJ1970" s="117"/>
      <c r="AK1970" s="117"/>
      <c r="AL1970" s="117"/>
      <c r="AM1970" s="117"/>
      <c r="AN1970" s="117"/>
      <c r="AO1970" s="117"/>
      <c r="AP1970" s="117"/>
      <c r="AQ1970" s="117"/>
      <c r="AR1970" s="117"/>
      <c r="AS1970" s="117"/>
      <c r="AT1970" s="117"/>
      <c r="AU1970" s="117"/>
      <c r="AV1970" s="117"/>
      <c r="AW1970" s="117"/>
      <c r="AX1970" s="117"/>
      <c r="AY1970" s="117"/>
      <c r="AZ1970" s="117"/>
      <c r="BA1970" s="117"/>
      <c r="BB1970" s="117"/>
      <c r="BC1970" s="117"/>
      <c r="BD1970" s="117"/>
      <c r="BE1970" s="117"/>
      <c r="BF1970" s="117"/>
      <c r="BG1970" s="117"/>
    </row>
    <row r="1971" spans="1:59">
      <c r="A1971" s="117"/>
      <c r="B1971" s="117"/>
      <c r="C1971" s="117"/>
      <c r="D1971" s="117"/>
      <c r="E1971" s="117"/>
      <c r="F1971" s="117"/>
      <c r="G1971" s="117"/>
      <c r="H1971" s="117"/>
      <c r="I1971" s="117"/>
      <c r="J1971" s="118"/>
      <c r="K1971" s="118"/>
      <c r="L1971" s="118"/>
      <c r="M1971" s="118"/>
      <c r="N1971" s="117"/>
      <c r="O1971" s="117"/>
      <c r="P1971" s="117"/>
      <c r="Q1971" s="117"/>
      <c r="R1971" s="117"/>
      <c r="S1971" s="117"/>
      <c r="T1971" s="117"/>
      <c r="U1971" s="117"/>
      <c r="V1971" s="117"/>
      <c r="W1971" s="117"/>
      <c r="X1971" s="117"/>
      <c r="Y1971" s="117"/>
      <c r="Z1971" s="117"/>
      <c r="AA1971" s="117"/>
      <c r="AB1971" s="117"/>
      <c r="AC1971" s="117"/>
      <c r="AD1971" s="117"/>
      <c r="AE1971" s="117"/>
      <c r="AF1971" s="117"/>
      <c r="AG1971" s="117"/>
      <c r="AH1971" s="117"/>
      <c r="AI1971" s="117"/>
      <c r="AJ1971" s="117"/>
      <c r="AK1971" s="117"/>
      <c r="AL1971" s="117"/>
      <c r="AM1971" s="117"/>
      <c r="AN1971" s="117"/>
      <c r="AO1971" s="117"/>
      <c r="AP1971" s="117"/>
      <c r="AQ1971" s="117"/>
      <c r="AR1971" s="117"/>
      <c r="AS1971" s="117"/>
      <c r="AT1971" s="117"/>
      <c r="AU1971" s="117"/>
      <c r="AV1971" s="117"/>
      <c r="AW1971" s="117"/>
      <c r="AX1971" s="117"/>
      <c r="AY1971" s="117"/>
      <c r="AZ1971" s="117"/>
      <c r="BA1971" s="117"/>
      <c r="BB1971" s="117"/>
      <c r="BC1971" s="117"/>
      <c r="BD1971" s="117"/>
      <c r="BE1971" s="117"/>
      <c r="BF1971" s="117"/>
      <c r="BG1971" s="117"/>
    </row>
    <row r="1972" spans="1:59">
      <c r="A1972" s="117"/>
      <c r="B1972" s="117"/>
      <c r="C1972" s="117"/>
      <c r="D1972" s="117"/>
      <c r="E1972" s="117"/>
      <c r="F1972" s="117"/>
      <c r="G1972" s="117"/>
      <c r="H1972" s="117"/>
      <c r="I1972" s="117"/>
      <c r="J1972" s="118"/>
      <c r="K1972" s="118"/>
      <c r="L1972" s="118"/>
      <c r="M1972" s="118"/>
      <c r="N1972" s="117"/>
      <c r="O1972" s="117"/>
      <c r="P1972" s="117"/>
      <c r="Q1972" s="117"/>
      <c r="R1972" s="117"/>
      <c r="S1972" s="117"/>
      <c r="T1972" s="117"/>
      <c r="U1972" s="117"/>
      <c r="V1972" s="117"/>
      <c r="W1972" s="117"/>
      <c r="X1972" s="117"/>
      <c r="Y1972" s="117"/>
      <c r="Z1972" s="117"/>
      <c r="AA1972" s="117"/>
      <c r="AB1972" s="117"/>
      <c r="AC1972" s="117"/>
      <c r="AD1972" s="117"/>
      <c r="AE1972" s="117"/>
      <c r="AF1972" s="117"/>
      <c r="AG1972" s="117"/>
      <c r="AH1972" s="117"/>
      <c r="AI1972" s="117"/>
      <c r="AJ1972" s="117"/>
      <c r="AK1972" s="117"/>
      <c r="AL1972" s="117"/>
      <c r="AM1972" s="117"/>
      <c r="AN1972" s="117"/>
      <c r="AO1972" s="117"/>
      <c r="AP1972" s="117"/>
      <c r="AQ1972" s="117"/>
      <c r="AR1972" s="117"/>
      <c r="AS1972" s="117"/>
      <c r="AT1972" s="117"/>
      <c r="AU1972" s="117"/>
      <c r="AV1972" s="117"/>
      <c r="AW1972" s="117"/>
      <c r="AX1972" s="117"/>
      <c r="AY1972" s="117"/>
      <c r="AZ1972" s="117"/>
      <c r="BA1972" s="117"/>
      <c r="BB1972" s="117"/>
      <c r="BC1972" s="117"/>
      <c r="BD1972" s="117"/>
      <c r="BE1972" s="117"/>
      <c r="BF1972" s="117"/>
      <c r="BG1972" s="117"/>
    </row>
    <row r="1973" spans="1:59">
      <c r="A1973" s="117"/>
      <c r="B1973" s="117"/>
      <c r="C1973" s="117"/>
      <c r="D1973" s="117"/>
      <c r="E1973" s="117"/>
      <c r="F1973" s="117"/>
      <c r="G1973" s="117"/>
      <c r="H1973" s="117"/>
      <c r="I1973" s="117"/>
      <c r="J1973" s="118"/>
      <c r="K1973" s="118"/>
      <c r="L1973" s="118"/>
      <c r="M1973" s="118"/>
      <c r="N1973" s="117"/>
      <c r="O1973" s="117"/>
      <c r="P1973" s="117"/>
      <c r="Q1973" s="117"/>
      <c r="R1973" s="117"/>
      <c r="S1973" s="117"/>
      <c r="T1973" s="117"/>
      <c r="U1973" s="117"/>
      <c r="V1973" s="117"/>
      <c r="W1973" s="117"/>
      <c r="X1973" s="117"/>
      <c r="Y1973" s="117"/>
      <c r="Z1973" s="117"/>
      <c r="AA1973" s="117"/>
      <c r="AB1973" s="117"/>
      <c r="AC1973" s="117"/>
      <c r="AD1973" s="117"/>
      <c r="AE1973" s="117"/>
      <c r="AF1973" s="117"/>
      <c r="AG1973" s="117"/>
      <c r="AH1973" s="117"/>
      <c r="AI1973" s="117"/>
      <c r="AJ1973" s="117"/>
      <c r="AK1973" s="117"/>
      <c r="AL1973" s="117"/>
      <c r="AM1973" s="117"/>
      <c r="AN1973" s="117"/>
      <c r="AO1973" s="117"/>
      <c r="AP1973" s="117"/>
      <c r="AQ1973" s="117"/>
      <c r="AR1973" s="117"/>
      <c r="AS1973" s="117"/>
      <c r="AT1973" s="117"/>
      <c r="AU1973" s="117"/>
      <c r="AV1973" s="117"/>
      <c r="AW1973" s="117"/>
      <c r="AX1973" s="117"/>
      <c r="AY1973" s="117"/>
      <c r="AZ1973" s="117"/>
      <c r="BA1973" s="117"/>
      <c r="BB1973" s="117"/>
      <c r="BC1973" s="117"/>
      <c r="BD1973" s="117"/>
      <c r="BE1973" s="117"/>
      <c r="BF1973" s="117"/>
      <c r="BG1973" s="117"/>
    </row>
    <row r="1974" spans="1:59">
      <c r="A1974" s="117"/>
      <c r="B1974" s="117"/>
      <c r="C1974" s="117"/>
      <c r="D1974" s="117"/>
      <c r="E1974" s="117"/>
      <c r="F1974" s="117"/>
      <c r="G1974" s="117"/>
      <c r="H1974" s="117"/>
      <c r="I1974" s="117"/>
      <c r="J1974" s="118"/>
      <c r="K1974" s="118"/>
      <c r="L1974" s="118"/>
      <c r="M1974" s="118"/>
      <c r="N1974" s="117"/>
      <c r="O1974" s="117"/>
      <c r="P1974" s="117"/>
      <c r="Q1974" s="117"/>
      <c r="R1974" s="117"/>
      <c r="S1974" s="117"/>
      <c r="T1974" s="117"/>
      <c r="U1974" s="117"/>
      <c r="V1974" s="117"/>
      <c r="W1974" s="117"/>
      <c r="X1974" s="117"/>
      <c r="Y1974" s="117"/>
      <c r="Z1974" s="117"/>
      <c r="AA1974" s="117"/>
      <c r="AB1974" s="117"/>
      <c r="AC1974" s="117"/>
      <c r="AD1974" s="117"/>
      <c r="AE1974" s="117"/>
      <c r="AF1974" s="117"/>
      <c r="AG1974" s="117"/>
      <c r="AH1974" s="117"/>
      <c r="AI1974" s="117"/>
      <c r="AJ1974" s="117"/>
      <c r="AK1974" s="117"/>
      <c r="AL1974" s="117"/>
      <c r="AM1974" s="117"/>
      <c r="AN1974" s="117"/>
      <c r="AO1974" s="117"/>
      <c r="AP1974" s="117"/>
      <c r="AQ1974" s="117"/>
      <c r="AR1974" s="117"/>
      <c r="AS1974" s="117"/>
      <c r="AT1974" s="117"/>
      <c r="AU1974" s="117"/>
      <c r="AV1974" s="117"/>
      <c r="AW1974" s="117"/>
      <c r="AX1974" s="117"/>
      <c r="AY1974" s="117"/>
      <c r="AZ1974" s="117"/>
      <c r="BA1974" s="117"/>
      <c r="BB1974" s="117"/>
      <c r="BC1974" s="117"/>
      <c r="BD1974" s="117"/>
      <c r="BE1974" s="117"/>
      <c r="BF1974" s="117"/>
      <c r="BG1974" s="117"/>
    </row>
    <row r="1975" spans="1:59">
      <c r="A1975" s="117"/>
      <c r="B1975" s="117"/>
      <c r="C1975" s="117"/>
      <c r="D1975" s="117"/>
      <c r="E1975" s="117"/>
      <c r="F1975" s="117"/>
      <c r="G1975" s="117"/>
      <c r="H1975" s="117"/>
      <c r="I1975" s="117"/>
      <c r="J1975" s="118"/>
      <c r="K1975" s="118"/>
      <c r="L1975" s="118"/>
      <c r="M1975" s="118"/>
      <c r="N1975" s="117"/>
      <c r="O1975" s="117"/>
      <c r="P1975" s="117"/>
      <c r="Q1975" s="117"/>
      <c r="R1975" s="117"/>
      <c r="S1975" s="117"/>
      <c r="T1975" s="117"/>
      <c r="U1975" s="117"/>
      <c r="V1975" s="117"/>
      <c r="W1975" s="117"/>
      <c r="X1975" s="117"/>
      <c r="Y1975" s="117"/>
      <c r="Z1975" s="117"/>
      <c r="AA1975" s="117"/>
      <c r="AB1975" s="117"/>
      <c r="AC1975" s="117"/>
      <c r="AD1975" s="117"/>
      <c r="AE1975" s="117"/>
      <c r="AF1975" s="117"/>
      <c r="AG1975" s="117"/>
      <c r="AH1975" s="117"/>
      <c r="AI1975" s="117"/>
      <c r="AJ1975" s="117"/>
      <c r="AK1975" s="117"/>
      <c r="AL1975" s="117"/>
      <c r="AM1975" s="117"/>
      <c r="AN1975" s="117"/>
      <c r="AO1975" s="117"/>
      <c r="AP1975" s="117"/>
      <c r="AQ1975" s="117"/>
      <c r="AR1975" s="117"/>
      <c r="AS1975" s="117"/>
      <c r="AT1975" s="117"/>
      <c r="AU1975" s="117"/>
      <c r="AV1975" s="117"/>
      <c r="AW1975" s="117"/>
      <c r="AX1975" s="117"/>
      <c r="AY1975" s="117"/>
      <c r="AZ1975" s="117"/>
      <c r="BA1975" s="117"/>
      <c r="BB1975" s="117"/>
      <c r="BC1975" s="117"/>
      <c r="BD1975" s="117"/>
      <c r="BE1975" s="117"/>
      <c r="BF1975" s="117"/>
      <c r="BG1975" s="117"/>
    </row>
    <row r="1976" spans="1:59">
      <c r="A1976" s="117"/>
      <c r="B1976" s="117"/>
      <c r="C1976" s="117"/>
      <c r="D1976" s="117"/>
      <c r="E1976" s="117"/>
      <c r="F1976" s="117"/>
      <c r="G1976" s="117"/>
      <c r="H1976" s="117"/>
      <c r="I1976" s="117"/>
      <c r="J1976" s="118"/>
      <c r="K1976" s="118"/>
      <c r="L1976" s="118"/>
      <c r="M1976" s="118"/>
      <c r="N1976" s="117"/>
      <c r="O1976" s="117"/>
      <c r="P1976" s="117"/>
      <c r="Q1976" s="117"/>
      <c r="R1976" s="117"/>
      <c r="S1976" s="117"/>
      <c r="T1976" s="117"/>
      <c r="U1976" s="117"/>
      <c r="V1976" s="117"/>
      <c r="W1976" s="117"/>
      <c r="X1976" s="117"/>
      <c r="Y1976" s="117"/>
      <c r="Z1976" s="117"/>
      <c r="AA1976" s="117"/>
      <c r="AB1976" s="117"/>
      <c r="AC1976" s="117"/>
      <c r="AD1976" s="117"/>
      <c r="AE1976" s="117"/>
      <c r="AF1976" s="117"/>
      <c r="AG1976" s="117"/>
      <c r="AH1976" s="117"/>
      <c r="AI1976" s="117"/>
      <c r="AJ1976" s="117"/>
      <c r="AK1976" s="117"/>
      <c r="AL1976" s="117"/>
      <c r="AM1976" s="117"/>
      <c r="AN1976" s="117"/>
      <c r="AO1976" s="117"/>
      <c r="AP1976" s="117"/>
      <c r="AQ1976" s="117"/>
      <c r="AR1976" s="117"/>
      <c r="AS1976" s="117"/>
      <c r="AT1976" s="117"/>
      <c r="AU1976" s="117"/>
      <c r="AV1976" s="117"/>
      <c r="AW1976" s="117"/>
      <c r="AX1976" s="117"/>
      <c r="AY1976" s="117"/>
      <c r="AZ1976" s="117"/>
      <c r="BA1976" s="117"/>
      <c r="BB1976" s="117"/>
      <c r="BC1976" s="117"/>
      <c r="BD1976" s="117"/>
      <c r="BE1976" s="117"/>
      <c r="BF1976" s="117"/>
      <c r="BG1976" s="117"/>
    </row>
    <row r="1977" spans="1:59">
      <c r="A1977" s="117"/>
      <c r="B1977" s="117"/>
      <c r="C1977" s="117"/>
      <c r="D1977" s="117"/>
      <c r="E1977" s="117"/>
      <c r="F1977" s="117"/>
      <c r="G1977" s="117"/>
      <c r="H1977" s="117"/>
      <c r="I1977" s="117"/>
      <c r="J1977" s="118"/>
      <c r="K1977" s="118"/>
      <c r="L1977" s="118"/>
      <c r="M1977" s="118"/>
      <c r="N1977" s="117"/>
      <c r="O1977" s="117"/>
      <c r="P1977" s="117"/>
      <c r="Q1977" s="117"/>
      <c r="R1977" s="117"/>
      <c r="S1977" s="117"/>
      <c r="T1977" s="117"/>
      <c r="U1977" s="117"/>
      <c r="V1977" s="117"/>
      <c r="W1977" s="117"/>
      <c r="X1977" s="117"/>
      <c r="Y1977" s="117"/>
      <c r="Z1977" s="117"/>
      <c r="AA1977" s="117"/>
      <c r="AB1977" s="117"/>
      <c r="AC1977" s="117"/>
      <c r="AD1977" s="117"/>
      <c r="AE1977" s="117"/>
      <c r="AF1977" s="117"/>
      <c r="AG1977" s="117"/>
      <c r="AH1977" s="117"/>
      <c r="AI1977" s="117"/>
      <c r="AJ1977" s="117"/>
      <c r="AK1977" s="117"/>
      <c r="AL1977" s="117"/>
      <c r="AM1977" s="117"/>
      <c r="AN1977" s="117"/>
      <c r="AO1977" s="117"/>
      <c r="AP1977" s="117"/>
      <c r="AQ1977" s="117"/>
      <c r="AR1977" s="117"/>
      <c r="AS1977" s="117"/>
      <c r="AT1977" s="117"/>
      <c r="AU1977" s="117"/>
      <c r="AV1977" s="117"/>
      <c r="AW1977" s="117"/>
      <c r="AX1977" s="117"/>
      <c r="AY1977" s="117"/>
      <c r="AZ1977" s="117"/>
      <c r="BA1977" s="117"/>
      <c r="BB1977" s="117"/>
      <c r="BC1977" s="117"/>
      <c r="BD1977" s="117"/>
      <c r="BE1977" s="117"/>
      <c r="BF1977" s="117"/>
      <c r="BG1977" s="117"/>
    </row>
    <row r="1978" spans="1:59">
      <c r="A1978" s="117"/>
      <c r="B1978" s="117"/>
      <c r="C1978" s="117"/>
      <c r="D1978" s="117"/>
      <c r="E1978" s="117"/>
      <c r="F1978" s="117"/>
      <c r="G1978" s="117"/>
      <c r="H1978" s="117"/>
      <c r="I1978" s="117"/>
      <c r="J1978" s="118"/>
      <c r="K1978" s="118"/>
      <c r="L1978" s="118"/>
      <c r="M1978" s="118"/>
      <c r="N1978" s="117"/>
      <c r="O1978" s="117"/>
      <c r="P1978" s="117"/>
      <c r="Q1978" s="117"/>
      <c r="R1978" s="117"/>
      <c r="S1978" s="117"/>
      <c r="T1978" s="117"/>
      <c r="U1978" s="117"/>
      <c r="V1978" s="117"/>
      <c r="W1978" s="117"/>
      <c r="X1978" s="117"/>
      <c r="Y1978" s="117"/>
      <c r="Z1978" s="117"/>
      <c r="AA1978" s="117"/>
      <c r="AB1978" s="117"/>
      <c r="AC1978" s="117"/>
      <c r="AD1978" s="117"/>
      <c r="AE1978" s="117"/>
      <c r="AF1978" s="117"/>
      <c r="AG1978" s="117"/>
      <c r="AH1978" s="117"/>
      <c r="AI1978" s="117"/>
      <c r="AJ1978" s="117"/>
      <c r="AK1978" s="117"/>
      <c r="AL1978" s="117"/>
      <c r="AM1978" s="117"/>
      <c r="AN1978" s="117"/>
      <c r="AO1978" s="117"/>
      <c r="AP1978" s="117"/>
      <c r="AQ1978" s="117"/>
      <c r="AR1978" s="117"/>
      <c r="AS1978" s="117"/>
      <c r="AT1978" s="117"/>
      <c r="AU1978" s="117"/>
      <c r="AV1978" s="117"/>
      <c r="AW1978" s="117"/>
      <c r="AX1978" s="117"/>
      <c r="AY1978" s="117"/>
      <c r="AZ1978" s="117"/>
      <c r="BA1978" s="117"/>
      <c r="BB1978" s="117"/>
      <c r="BC1978" s="117"/>
      <c r="BD1978" s="117"/>
      <c r="BE1978" s="117"/>
      <c r="BF1978" s="117"/>
      <c r="BG1978" s="117"/>
    </row>
    <row r="1979" spans="1:59">
      <c r="A1979" s="117"/>
      <c r="B1979" s="117"/>
      <c r="C1979" s="117"/>
      <c r="D1979" s="117"/>
      <c r="E1979" s="117"/>
      <c r="F1979" s="117"/>
      <c r="G1979" s="117"/>
      <c r="H1979" s="117"/>
      <c r="I1979" s="117"/>
      <c r="J1979" s="118"/>
      <c r="K1979" s="118"/>
      <c r="L1979" s="118"/>
      <c r="M1979" s="118"/>
      <c r="N1979" s="117"/>
      <c r="O1979" s="117"/>
      <c r="P1979" s="117"/>
      <c r="Q1979" s="117"/>
      <c r="R1979" s="117"/>
      <c r="S1979" s="117"/>
      <c r="T1979" s="117"/>
      <c r="U1979" s="117"/>
      <c r="V1979" s="117"/>
      <c r="W1979" s="117"/>
      <c r="X1979" s="117"/>
      <c r="Y1979" s="117"/>
      <c r="Z1979" s="117"/>
      <c r="AA1979" s="117"/>
      <c r="AB1979" s="117"/>
      <c r="AC1979" s="117"/>
      <c r="AD1979" s="117"/>
      <c r="AE1979" s="117"/>
      <c r="AF1979" s="117"/>
      <c r="AG1979" s="117"/>
      <c r="AH1979" s="117"/>
      <c r="AI1979" s="117"/>
      <c r="AJ1979" s="117"/>
      <c r="AK1979" s="117"/>
      <c r="AL1979" s="117"/>
      <c r="AM1979" s="117"/>
      <c r="AN1979" s="117"/>
      <c r="AO1979" s="117"/>
      <c r="AP1979" s="117"/>
      <c r="AQ1979" s="117"/>
      <c r="AR1979" s="117"/>
      <c r="AS1979" s="117"/>
      <c r="AT1979" s="117"/>
      <c r="AU1979" s="117"/>
      <c r="AV1979" s="117"/>
      <c r="AW1979" s="117"/>
      <c r="AX1979" s="117"/>
      <c r="AY1979" s="117"/>
      <c r="AZ1979" s="117"/>
      <c r="BA1979" s="117"/>
      <c r="BB1979" s="117"/>
      <c r="BC1979" s="117"/>
      <c r="BD1979" s="117"/>
      <c r="BE1979" s="117"/>
      <c r="BF1979" s="117"/>
      <c r="BG1979" s="117"/>
    </row>
    <row r="1980" spans="1:59">
      <c r="A1980" s="117"/>
      <c r="B1980" s="117"/>
      <c r="C1980" s="117"/>
      <c r="D1980" s="117"/>
      <c r="E1980" s="117"/>
      <c r="F1980" s="117"/>
      <c r="G1980" s="117"/>
      <c r="H1980" s="117"/>
      <c r="I1980" s="117"/>
      <c r="J1980" s="118"/>
      <c r="K1980" s="118"/>
      <c r="L1980" s="118"/>
      <c r="M1980" s="118"/>
      <c r="N1980" s="117"/>
      <c r="O1980" s="117"/>
      <c r="P1980" s="117"/>
      <c r="Q1980" s="117"/>
      <c r="R1980" s="117"/>
      <c r="S1980" s="117"/>
      <c r="T1980" s="117"/>
      <c r="U1980" s="117"/>
      <c r="V1980" s="117"/>
      <c r="W1980" s="117"/>
      <c r="X1980" s="117"/>
      <c r="Y1980" s="117"/>
      <c r="Z1980" s="117"/>
      <c r="AA1980" s="117"/>
      <c r="AB1980" s="117"/>
      <c r="AC1980" s="117"/>
      <c r="AD1980" s="117"/>
      <c r="AE1980" s="117"/>
      <c r="AF1980" s="117"/>
      <c r="AG1980" s="117"/>
      <c r="AH1980" s="117"/>
      <c r="AI1980" s="117"/>
      <c r="AJ1980" s="117"/>
      <c r="AK1980" s="117"/>
      <c r="AL1980" s="117"/>
      <c r="AM1980" s="117"/>
      <c r="AN1980" s="117"/>
      <c r="AO1980" s="117"/>
      <c r="AP1980" s="117"/>
      <c r="AQ1980" s="117"/>
      <c r="AR1980" s="117"/>
      <c r="AS1980" s="117"/>
      <c r="AT1980" s="117"/>
      <c r="AU1980" s="117"/>
      <c r="AV1980" s="117"/>
      <c r="AW1980" s="117"/>
      <c r="AX1980" s="117"/>
      <c r="AY1980" s="117"/>
      <c r="AZ1980" s="117"/>
      <c r="BA1980" s="117"/>
      <c r="BB1980" s="117"/>
      <c r="BC1980" s="117"/>
      <c r="BD1980" s="117"/>
      <c r="BE1980" s="117"/>
      <c r="BF1980" s="117"/>
      <c r="BG1980" s="117"/>
    </row>
    <row r="1981" spans="1:59">
      <c r="A1981" s="117"/>
      <c r="B1981" s="117"/>
      <c r="C1981" s="117"/>
      <c r="D1981" s="117"/>
      <c r="E1981" s="117"/>
      <c r="F1981" s="117"/>
      <c r="G1981" s="117"/>
      <c r="H1981" s="117"/>
      <c r="I1981" s="117"/>
      <c r="J1981" s="118"/>
      <c r="K1981" s="118"/>
      <c r="L1981" s="118"/>
      <c r="M1981" s="118"/>
      <c r="N1981" s="117"/>
      <c r="O1981" s="117"/>
      <c r="P1981" s="117"/>
      <c r="Q1981" s="117"/>
      <c r="R1981" s="117"/>
      <c r="S1981" s="117"/>
      <c r="T1981" s="117"/>
      <c r="U1981" s="117"/>
      <c r="V1981" s="117"/>
      <c r="W1981" s="117"/>
      <c r="X1981" s="117"/>
      <c r="Y1981" s="117"/>
      <c r="Z1981" s="117"/>
      <c r="AA1981" s="117"/>
      <c r="AB1981" s="117"/>
      <c r="AC1981" s="117"/>
      <c r="AD1981" s="117"/>
      <c r="AE1981" s="117"/>
      <c r="AF1981" s="117"/>
      <c r="AG1981" s="117"/>
      <c r="AH1981" s="117"/>
      <c r="AI1981" s="117"/>
      <c r="AJ1981" s="117"/>
      <c r="AK1981" s="117"/>
      <c r="AL1981" s="117"/>
      <c r="AM1981" s="117"/>
      <c r="AN1981" s="117"/>
      <c r="AO1981" s="117"/>
      <c r="AP1981" s="117"/>
      <c r="AQ1981" s="117"/>
      <c r="AR1981" s="117"/>
      <c r="AS1981" s="117"/>
      <c r="AT1981" s="117"/>
      <c r="AU1981" s="117"/>
      <c r="AV1981" s="117"/>
      <c r="AW1981" s="117"/>
      <c r="AX1981" s="117"/>
      <c r="AY1981" s="117"/>
      <c r="AZ1981" s="117"/>
      <c r="BA1981" s="117"/>
      <c r="BB1981" s="117"/>
      <c r="BC1981" s="117"/>
      <c r="BD1981" s="117"/>
      <c r="BE1981" s="117"/>
      <c r="BF1981" s="117"/>
      <c r="BG1981" s="117"/>
    </row>
    <row r="1982" spans="1:59">
      <c r="A1982" s="117"/>
      <c r="B1982" s="117"/>
      <c r="C1982" s="117"/>
      <c r="D1982" s="117"/>
      <c r="E1982" s="117"/>
      <c r="F1982" s="117"/>
      <c r="G1982" s="117"/>
      <c r="H1982" s="117"/>
      <c r="I1982" s="117"/>
      <c r="J1982" s="118"/>
      <c r="K1982" s="118"/>
      <c r="L1982" s="118"/>
      <c r="M1982" s="118"/>
      <c r="N1982" s="117"/>
      <c r="O1982" s="117"/>
      <c r="P1982" s="117"/>
      <c r="Q1982" s="117"/>
      <c r="R1982" s="117"/>
      <c r="S1982" s="117"/>
      <c r="T1982" s="117"/>
      <c r="U1982" s="117"/>
      <c r="V1982" s="117"/>
      <c r="W1982" s="117"/>
      <c r="X1982" s="117"/>
      <c r="Y1982" s="117"/>
      <c r="Z1982" s="117"/>
      <c r="AA1982" s="117"/>
      <c r="AB1982" s="117"/>
      <c r="AC1982" s="117"/>
      <c r="AD1982" s="117"/>
      <c r="AE1982" s="117"/>
      <c r="AF1982" s="117"/>
      <c r="AG1982" s="117"/>
      <c r="AH1982" s="117"/>
      <c r="AI1982" s="117"/>
      <c r="AJ1982" s="117"/>
      <c r="AK1982" s="117"/>
      <c r="AL1982" s="117"/>
      <c r="AM1982" s="117"/>
      <c r="AN1982" s="117"/>
      <c r="AO1982" s="117"/>
      <c r="AP1982" s="117"/>
      <c r="AQ1982" s="117"/>
      <c r="AR1982" s="117"/>
      <c r="AS1982" s="117"/>
      <c r="AT1982" s="117"/>
      <c r="AU1982" s="117"/>
      <c r="AV1982" s="117"/>
      <c r="AW1982" s="117"/>
      <c r="AX1982" s="117"/>
      <c r="AY1982" s="117"/>
      <c r="AZ1982" s="117"/>
      <c r="BA1982" s="117"/>
      <c r="BB1982" s="117"/>
      <c r="BC1982" s="117"/>
      <c r="BD1982" s="117"/>
      <c r="BE1982" s="117"/>
      <c r="BF1982" s="117"/>
      <c r="BG1982" s="117"/>
    </row>
    <row r="1983" spans="1:59">
      <c r="A1983" s="117"/>
      <c r="B1983" s="117"/>
      <c r="C1983" s="117"/>
      <c r="D1983" s="117"/>
      <c r="E1983" s="117"/>
      <c r="F1983" s="117"/>
      <c r="G1983" s="117"/>
      <c r="H1983" s="117"/>
      <c r="I1983" s="117"/>
      <c r="J1983" s="118"/>
      <c r="K1983" s="118"/>
      <c r="L1983" s="118"/>
      <c r="M1983" s="118"/>
      <c r="N1983" s="117"/>
      <c r="O1983" s="117"/>
      <c r="P1983" s="117"/>
      <c r="Q1983" s="117"/>
      <c r="R1983" s="117"/>
      <c r="S1983" s="117"/>
      <c r="T1983" s="117"/>
      <c r="U1983" s="117"/>
      <c r="V1983" s="117"/>
      <c r="W1983" s="117"/>
      <c r="X1983" s="117"/>
      <c r="Y1983" s="117"/>
      <c r="Z1983" s="117"/>
      <c r="AA1983" s="117"/>
      <c r="AB1983" s="117"/>
      <c r="AC1983" s="117"/>
      <c r="AD1983" s="117"/>
      <c r="AE1983" s="117"/>
      <c r="AF1983" s="117"/>
      <c r="AG1983" s="117"/>
      <c r="AH1983" s="117"/>
      <c r="AI1983" s="117"/>
      <c r="AJ1983" s="117"/>
      <c r="AK1983" s="117"/>
      <c r="AL1983" s="117"/>
      <c r="AM1983" s="117"/>
      <c r="AN1983" s="117"/>
      <c r="AO1983" s="117"/>
      <c r="AP1983" s="117"/>
      <c r="AQ1983" s="117"/>
      <c r="AR1983" s="117"/>
      <c r="AS1983" s="117"/>
      <c r="AT1983" s="117"/>
      <c r="AU1983" s="117"/>
      <c r="AV1983" s="117"/>
      <c r="AW1983" s="117"/>
      <c r="AX1983" s="117"/>
      <c r="AY1983" s="117"/>
      <c r="AZ1983" s="117"/>
      <c r="BA1983" s="117"/>
      <c r="BB1983" s="117"/>
      <c r="BC1983" s="117"/>
      <c r="BD1983" s="117"/>
      <c r="BE1983" s="117"/>
      <c r="BF1983" s="117"/>
      <c r="BG1983" s="117"/>
    </row>
    <row r="1984" spans="1:59">
      <c r="A1984" s="117"/>
      <c r="B1984" s="117"/>
      <c r="C1984" s="117"/>
      <c r="D1984" s="117"/>
      <c r="E1984" s="117"/>
      <c r="F1984" s="117"/>
      <c r="G1984" s="117"/>
      <c r="H1984" s="117"/>
      <c r="I1984" s="117"/>
      <c r="J1984" s="118"/>
      <c r="K1984" s="118"/>
      <c r="L1984" s="118"/>
      <c r="M1984" s="118"/>
      <c r="N1984" s="117"/>
      <c r="O1984" s="117"/>
      <c r="P1984" s="117"/>
      <c r="Q1984" s="117"/>
      <c r="R1984" s="117"/>
      <c r="S1984" s="117"/>
      <c r="T1984" s="117"/>
      <c r="U1984" s="117"/>
      <c r="V1984" s="117"/>
      <c r="W1984" s="117"/>
      <c r="X1984" s="117"/>
      <c r="Y1984" s="117"/>
      <c r="Z1984" s="117"/>
      <c r="AA1984" s="117"/>
      <c r="AB1984" s="117"/>
      <c r="AC1984" s="117"/>
      <c r="AD1984" s="117"/>
      <c r="AE1984" s="117"/>
      <c r="AF1984" s="117"/>
      <c r="AG1984" s="117"/>
      <c r="AH1984" s="117"/>
      <c r="AI1984" s="117"/>
      <c r="AJ1984" s="117"/>
      <c r="AK1984" s="117"/>
      <c r="AL1984" s="117"/>
      <c r="AM1984" s="117"/>
      <c r="AN1984" s="117"/>
      <c r="AO1984" s="117"/>
      <c r="AP1984" s="117"/>
      <c r="AQ1984" s="117"/>
      <c r="AR1984" s="117"/>
      <c r="AS1984" s="117"/>
      <c r="AT1984" s="117"/>
      <c r="AU1984" s="117"/>
      <c r="AV1984" s="117"/>
      <c r="AW1984" s="117"/>
      <c r="AX1984" s="117"/>
      <c r="AY1984" s="117"/>
      <c r="AZ1984" s="117"/>
      <c r="BA1984" s="117"/>
      <c r="BB1984" s="117"/>
      <c r="BC1984" s="117"/>
      <c r="BD1984" s="117"/>
      <c r="BE1984" s="117"/>
      <c r="BF1984" s="117"/>
      <c r="BG1984" s="117"/>
    </row>
    <row r="1985" spans="1:59">
      <c r="A1985" s="117"/>
      <c r="B1985" s="117"/>
      <c r="C1985" s="117"/>
      <c r="D1985" s="117"/>
      <c r="E1985" s="117"/>
      <c r="F1985" s="117"/>
      <c r="G1985" s="117"/>
      <c r="H1985" s="117"/>
      <c r="I1985" s="117"/>
      <c r="J1985" s="118"/>
      <c r="K1985" s="118"/>
      <c r="L1985" s="118"/>
      <c r="M1985" s="118"/>
      <c r="N1985" s="117"/>
      <c r="O1985" s="117"/>
      <c r="P1985" s="117"/>
      <c r="Q1985" s="117"/>
      <c r="R1985" s="117"/>
      <c r="S1985" s="117"/>
      <c r="T1985" s="117"/>
      <c r="U1985" s="117"/>
      <c r="V1985" s="117"/>
      <c r="W1985" s="117"/>
      <c r="X1985" s="117"/>
      <c r="Y1985" s="117"/>
      <c r="Z1985" s="117"/>
      <c r="AA1985" s="117"/>
      <c r="AB1985" s="117"/>
      <c r="AC1985" s="117"/>
      <c r="AD1985" s="117"/>
      <c r="AE1985" s="117"/>
      <c r="AF1985" s="117"/>
      <c r="AG1985" s="117"/>
      <c r="AH1985" s="117"/>
      <c r="AI1985" s="117"/>
      <c r="AJ1985" s="117"/>
      <c r="AK1985" s="117"/>
      <c r="AL1985" s="117"/>
      <c r="AM1985" s="117"/>
      <c r="AN1985" s="117"/>
      <c r="AO1985" s="117"/>
      <c r="AP1985" s="117"/>
      <c r="AQ1985" s="117"/>
      <c r="AR1985" s="117"/>
      <c r="AS1985" s="117"/>
      <c r="AT1985" s="117"/>
      <c r="AU1985" s="117"/>
      <c r="AV1985" s="117"/>
      <c r="AW1985" s="117"/>
      <c r="AX1985" s="117"/>
      <c r="AY1985" s="117"/>
      <c r="AZ1985" s="117"/>
      <c r="BA1985" s="117"/>
      <c r="BB1985" s="117"/>
      <c r="BC1985" s="117"/>
      <c r="BD1985" s="117"/>
      <c r="BE1985" s="117"/>
      <c r="BF1985" s="117"/>
      <c r="BG1985" s="117"/>
    </row>
    <row r="1986" spans="1:59">
      <c r="A1986" s="117"/>
      <c r="B1986" s="117"/>
      <c r="C1986" s="117"/>
      <c r="D1986" s="117"/>
      <c r="E1986" s="117"/>
      <c r="F1986" s="117"/>
      <c r="G1986" s="117"/>
      <c r="H1986" s="117"/>
      <c r="I1986" s="117"/>
      <c r="J1986" s="118"/>
      <c r="K1986" s="118"/>
      <c r="L1986" s="118"/>
      <c r="M1986" s="118"/>
      <c r="N1986" s="117"/>
      <c r="O1986" s="117"/>
      <c r="P1986" s="117"/>
      <c r="Q1986" s="117"/>
      <c r="R1986" s="117"/>
      <c r="S1986" s="117"/>
      <c r="T1986" s="117"/>
      <c r="U1986" s="117"/>
      <c r="V1986" s="117"/>
      <c r="W1986" s="117"/>
      <c r="X1986" s="117"/>
      <c r="Y1986" s="117"/>
      <c r="Z1986" s="117"/>
      <c r="AA1986" s="117"/>
      <c r="AB1986" s="117"/>
      <c r="AC1986" s="117"/>
      <c r="AD1986" s="117"/>
      <c r="AE1986" s="117"/>
      <c r="AF1986" s="117"/>
      <c r="AG1986" s="117"/>
      <c r="AH1986" s="117"/>
      <c r="AI1986" s="117"/>
      <c r="AJ1986" s="117"/>
      <c r="AK1986" s="117"/>
      <c r="AL1986" s="117"/>
      <c r="AM1986" s="117"/>
      <c r="AN1986" s="117"/>
      <c r="AO1986" s="117"/>
      <c r="AP1986" s="117"/>
      <c r="AQ1986" s="117"/>
      <c r="AR1986" s="117"/>
      <c r="AS1986" s="117"/>
      <c r="AT1986" s="117"/>
      <c r="AU1986" s="117"/>
      <c r="AV1986" s="117"/>
      <c r="AW1986" s="117"/>
      <c r="AX1986" s="117"/>
      <c r="AY1986" s="117"/>
      <c r="AZ1986" s="117"/>
      <c r="BA1986" s="117"/>
      <c r="BB1986" s="117"/>
      <c r="BC1986" s="117"/>
      <c r="BD1986" s="117"/>
      <c r="BE1986" s="117"/>
      <c r="BF1986" s="117"/>
      <c r="BG1986" s="117"/>
    </row>
    <row r="1987" spans="1:59">
      <c r="A1987" s="117"/>
      <c r="B1987" s="117"/>
      <c r="C1987" s="117"/>
      <c r="D1987" s="117"/>
      <c r="E1987" s="117"/>
      <c r="F1987" s="117"/>
      <c r="G1987" s="117"/>
      <c r="H1987" s="117"/>
      <c r="I1987" s="117"/>
      <c r="J1987" s="118"/>
      <c r="K1987" s="118"/>
      <c r="L1987" s="118"/>
      <c r="M1987" s="118"/>
      <c r="N1987" s="117"/>
      <c r="O1987" s="117"/>
      <c r="P1987" s="117"/>
      <c r="Q1987" s="117"/>
      <c r="R1987" s="117"/>
      <c r="S1987" s="117"/>
      <c r="T1987" s="117"/>
      <c r="U1987" s="117"/>
      <c r="V1987" s="117"/>
      <c r="W1987" s="117"/>
      <c r="X1987" s="117"/>
      <c r="Y1987" s="117"/>
      <c r="Z1987" s="117"/>
      <c r="AA1987" s="117"/>
      <c r="AB1987" s="117"/>
      <c r="AC1987" s="117"/>
      <c r="AD1987" s="117"/>
      <c r="AE1987" s="117"/>
      <c r="AF1987" s="117"/>
      <c r="AG1987" s="117"/>
      <c r="AH1987" s="117"/>
      <c r="AI1987" s="117"/>
      <c r="AJ1987" s="117"/>
      <c r="AK1987" s="117"/>
      <c r="AL1987" s="117"/>
      <c r="AM1987" s="117"/>
      <c r="AN1987" s="117"/>
      <c r="AO1987" s="117"/>
      <c r="AP1987" s="117"/>
      <c r="AQ1987" s="117"/>
      <c r="AR1987" s="117"/>
      <c r="AS1987" s="117"/>
      <c r="AT1987" s="117"/>
      <c r="AU1987" s="117"/>
      <c r="AV1987" s="117"/>
      <c r="AW1987" s="117"/>
      <c r="AX1987" s="117"/>
      <c r="AY1987" s="117"/>
      <c r="AZ1987" s="117"/>
      <c r="BA1987" s="117"/>
      <c r="BB1987" s="117"/>
      <c r="BC1987" s="117"/>
      <c r="BD1987" s="117"/>
      <c r="BE1987" s="117"/>
      <c r="BF1987" s="117"/>
      <c r="BG1987" s="117"/>
    </row>
    <row r="1988" spans="1:59">
      <c r="A1988" s="117"/>
      <c r="B1988" s="117"/>
      <c r="C1988" s="117"/>
      <c r="D1988" s="117"/>
      <c r="E1988" s="117"/>
      <c r="F1988" s="117"/>
      <c r="G1988" s="117"/>
      <c r="H1988" s="117"/>
      <c r="I1988" s="117"/>
      <c r="J1988" s="118"/>
      <c r="K1988" s="118"/>
      <c r="L1988" s="118"/>
      <c r="M1988" s="118"/>
      <c r="N1988" s="117"/>
      <c r="O1988" s="117"/>
      <c r="P1988" s="117"/>
      <c r="Q1988" s="117"/>
      <c r="R1988" s="117"/>
      <c r="S1988" s="117"/>
      <c r="T1988" s="117"/>
      <c r="U1988" s="117"/>
      <c r="V1988" s="117"/>
      <c r="W1988" s="117"/>
      <c r="X1988" s="117"/>
      <c r="Y1988" s="117"/>
      <c r="Z1988" s="117"/>
      <c r="AA1988" s="117"/>
      <c r="AB1988" s="117"/>
      <c r="AC1988" s="117"/>
      <c r="AD1988" s="117"/>
      <c r="AE1988" s="117"/>
      <c r="AF1988" s="117"/>
      <c r="AG1988" s="117"/>
      <c r="AH1988" s="117"/>
      <c r="AI1988" s="117"/>
      <c r="AJ1988" s="117"/>
      <c r="AK1988" s="117"/>
      <c r="AL1988" s="117"/>
      <c r="AM1988" s="117"/>
      <c r="AN1988" s="117"/>
      <c r="AO1988" s="117"/>
      <c r="AP1988" s="117"/>
      <c r="AQ1988" s="117"/>
      <c r="AR1988" s="117"/>
      <c r="AS1988" s="117"/>
      <c r="AT1988" s="117"/>
      <c r="AU1988" s="117"/>
      <c r="AV1988" s="117"/>
      <c r="AW1988" s="117"/>
      <c r="AX1988" s="117"/>
      <c r="AY1988" s="117"/>
      <c r="AZ1988" s="117"/>
      <c r="BA1988" s="117"/>
      <c r="BB1988" s="117"/>
      <c r="BC1988" s="117"/>
      <c r="BD1988" s="117"/>
      <c r="BE1988" s="117"/>
      <c r="BF1988" s="117"/>
      <c r="BG1988" s="117"/>
    </row>
    <row r="1989" spans="1:59">
      <c r="A1989" s="117"/>
      <c r="B1989" s="117"/>
      <c r="C1989" s="117"/>
      <c r="D1989" s="117"/>
      <c r="E1989" s="117"/>
      <c r="F1989" s="117"/>
      <c r="G1989" s="117"/>
      <c r="H1989" s="117"/>
      <c r="I1989" s="117"/>
      <c r="J1989" s="118"/>
      <c r="K1989" s="118"/>
      <c r="L1989" s="118"/>
      <c r="M1989" s="118"/>
      <c r="N1989" s="117"/>
      <c r="O1989" s="117"/>
      <c r="P1989" s="117"/>
      <c r="Q1989" s="117"/>
      <c r="R1989" s="117"/>
      <c r="S1989" s="117"/>
      <c r="T1989" s="117"/>
      <c r="U1989" s="117"/>
      <c r="V1989" s="117"/>
      <c r="W1989" s="117"/>
      <c r="X1989" s="117"/>
      <c r="Y1989" s="117"/>
      <c r="Z1989" s="117"/>
      <c r="AA1989" s="117"/>
      <c r="AB1989" s="117"/>
      <c r="AC1989" s="117"/>
      <c r="AD1989" s="117"/>
      <c r="AE1989" s="117"/>
      <c r="AF1989" s="117"/>
      <c r="AG1989" s="117"/>
      <c r="AH1989" s="117"/>
      <c r="AI1989" s="117"/>
      <c r="AJ1989" s="117"/>
      <c r="AK1989" s="117"/>
      <c r="AL1989" s="117"/>
      <c r="AM1989" s="117"/>
      <c r="AN1989" s="117"/>
      <c r="AO1989" s="117"/>
      <c r="AP1989" s="117"/>
      <c r="AQ1989" s="117"/>
      <c r="AR1989" s="117"/>
      <c r="AS1989" s="117"/>
      <c r="AT1989" s="117"/>
      <c r="AU1989" s="117"/>
      <c r="AV1989" s="117"/>
      <c r="AW1989" s="117"/>
      <c r="AX1989" s="117"/>
      <c r="AY1989" s="117"/>
      <c r="AZ1989" s="117"/>
      <c r="BA1989" s="117"/>
      <c r="BB1989" s="117"/>
      <c r="BC1989" s="117"/>
      <c r="BD1989" s="117"/>
      <c r="BE1989" s="117"/>
      <c r="BF1989" s="117"/>
      <c r="BG1989" s="117"/>
    </row>
    <row r="1990" spans="1:59">
      <c r="A1990" s="117"/>
      <c r="B1990" s="117"/>
      <c r="C1990" s="117"/>
      <c r="D1990" s="117"/>
      <c r="E1990" s="117"/>
      <c r="F1990" s="117"/>
      <c r="G1990" s="117"/>
      <c r="H1990" s="117"/>
      <c r="I1990" s="117"/>
      <c r="J1990" s="118"/>
      <c r="K1990" s="118"/>
      <c r="L1990" s="118"/>
      <c r="M1990" s="118"/>
      <c r="N1990" s="117"/>
      <c r="O1990" s="117"/>
      <c r="P1990" s="117"/>
      <c r="Q1990" s="117"/>
      <c r="R1990" s="117"/>
      <c r="S1990" s="117"/>
      <c r="T1990" s="117"/>
      <c r="U1990" s="117"/>
      <c r="V1990" s="117"/>
      <c r="W1990" s="117"/>
      <c r="X1990" s="117"/>
      <c r="Y1990" s="117"/>
      <c r="Z1990" s="117"/>
      <c r="AA1990" s="117"/>
      <c r="AB1990" s="117"/>
      <c r="AC1990" s="117"/>
      <c r="AD1990" s="117"/>
      <c r="AE1990" s="117"/>
      <c r="AF1990" s="117"/>
      <c r="AG1990" s="117"/>
      <c r="AH1990" s="117"/>
      <c r="AI1990" s="117"/>
      <c r="AJ1990" s="117"/>
      <c r="AK1990" s="117"/>
      <c r="AL1990" s="117"/>
      <c r="AM1990" s="117"/>
      <c r="AN1990" s="117"/>
      <c r="AO1990" s="117"/>
      <c r="AP1990" s="117"/>
      <c r="AQ1990" s="117"/>
      <c r="AR1990" s="117"/>
      <c r="AS1990" s="117"/>
      <c r="AT1990" s="117"/>
      <c r="AU1990" s="117"/>
      <c r="AV1990" s="117"/>
      <c r="AW1990" s="117"/>
      <c r="AX1990" s="117"/>
      <c r="AY1990" s="117"/>
      <c r="AZ1990" s="117"/>
      <c r="BA1990" s="117"/>
      <c r="BB1990" s="117"/>
      <c r="BC1990" s="117"/>
      <c r="BD1990" s="117"/>
      <c r="BE1990" s="117"/>
      <c r="BF1990" s="117"/>
      <c r="BG1990" s="117"/>
    </row>
    <row r="1991" spans="1:59">
      <c r="A1991" s="117"/>
      <c r="B1991" s="117"/>
      <c r="C1991" s="117"/>
      <c r="D1991" s="117"/>
      <c r="E1991" s="117"/>
      <c r="F1991" s="117"/>
      <c r="G1991" s="117"/>
      <c r="H1991" s="117"/>
      <c r="I1991" s="117"/>
      <c r="J1991" s="118"/>
      <c r="K1991" s="118"/>
      <c r="L1991" s="118"/>
      <c r="M1991" s="118"/>
      <c r="N1991" s="117"/>
      <c r="O1991" s="117"/>
      <c r="P1991" s="117"/>
      <c r="Q1991" s="117"/>
      <c r="R1991" s="117"/>
      <c r="S1991" s="117"/>
      <c r="T1991" s="117"/>
      <c r="U1991" s="117"/>
      <c r="V1991" s="117"/>
      <c r="W1991" s="117"/>
      <c r="X1991" s="117"/>
      <c r="Y1991" s="117"/>
      <c r="Z1991" s="117"/>
      <c r="AA1991" s="117"/>
      <c r="AB1991" s="117"/>
      <c r="AC1991" s="117"/>
      <c r="AD1991" s="117"/>
      <c r="AE1991" s="117"/>
      <c r="AF1991" s="117"/>
      <c r="AG1991" s="117"/>
      <c r="AH1991" s="117"/>
      <c r="AI1991" s="117"/>
      <c r="AJ1991" s="117"/>
      <c r="AK1991" s="117"/>
      <c r="AL1991" s="117"/>
      <c r="AM1991" s="117"/>
      <c r="AN1991" s="117"/>
      <c r="AO1991" s="117"/>
      <c r="AP1991" s="117"/>
      <c r="AQ1991" s="117"/>
      <c r="AR1991" s="117"/>
      <c r="AS1991" s="117"/>
      <c r="AT1991" s="117"/>
      <c r="AU1991" s="117"/>
      <c r="AV1991" s="117"/>
      <c r="AW1991" s="117"/>
      <c r="AX1991" s="117"/>
      <c r="AY1991" s="117"/>
      <c r="AZ1991" s="117"/>
      <c r="BA1991" s="117"/>
      <c r="BB1991" s="117"/>
      <c r="BC1991" s="117"/>
      <c r="BD1991" s="117"/>
      <c r="BE1991" s="117"/>
      <c r="BF1991" s="117"/>
      <c r="BG1991" s="117"/>
    </row>
    <row r="1992" spans="1:59">
      <c r="A1992" s="117"/>
      <c r="B1992" s="117"/>
      <c r="C1992" s="117"/>
      <c r="D1992" s="117"/>
      <c r="E1992" s="117"/>
      <c r="F1992" s="117"/>
      <c r="G1992" s="117"/>
      <c r="H1992" s="117"/>
      <c r="I1992" s="117"/>
      <c r="J1992" s="118"/>
      <c r="K1992" s="118"/>
      <c r="L1992" s="118"/>
      <c r="M1992" s="118"/>
      <c r="N1992" s="117"/>
      <c r="O1992" s="117"/>
      <c r="P1992" s="117"/>
      <c r="Q1992" s="117"/>
      <c r="R1992" s="117"/>
      <c r="S1992" s="117"/>
      <c r="T1992" s="117"/>
      <c r="U1992" s="117"/>
      <c r="V1992" s="117"/>
      <c r="W1992" s="117"/>
      <c r="X1992" s="117"/>
      <c r="Y1992" s="117"/>
      <c r="Z1992" s="117"/>
      <c r="AA1992" s="117"/>
      <c r="AB1992" s="117"/>
      <c r="AC1992" s="117"/>
      <c r="AD1992" s="117"/>
      <c r="AE1992" s="117"/>
      <c r="AF1992" s="117"/>
      <c r="AG1992" s="117"/>
      <c r="AH1992" s="117"/>
      <c r="AI1992" s="117"/>
      <c r="AJ1992" s="117"/>
      <c r="AK1992" s="117"/>
      <c r="AL1992" s="117"/>
      <c r="AM1992" s="117"/>
      <c r="AN1992" s="117"/>
      <c r="AO1992" s="117"/>
      <c r="AP1992" s="117"/>
      <c r="AQ1992" s="117"/>
      <c r="AR1992" s="117"/>
      <c r="AS1992" s="117"/>
      <c r="AT1992" s="117"/>
      <c r="AU1992" s="117"/>
      <c r="AV1992" s="117"/>
      <c r="AW1992" s="117"/>
      <c r="AX1992" s="117"/>
      <c r="AY1992" s="117"/>
      <c r="AZ1992" s="117"/>
      <c r="BA1992" s="117"/>
      <c r="BB1992" s="117"/>
      <c r="BC1992" s="117"/>
      <c r="BD1992" s="117"/>
      <c r="BE1992" s="117"/>
      <c r="BF1992" s="117"/>
      <c r="BG1992" s="117"/>
    </row>
    <row r="1993" spans="1:59">
      <c r="A1993" s="117"/>
      <c r="B1993" s="117"/>
      <c r="C1993" s="117"/>
      <c r="D1993" s="117"/>
      <c r="E1993" s="117"/>
      <c r="F1993" s="117"/>
      <c r="G1993" s="117"/>
      <c r="H1993" s="117"/>
      <c r="I1993" s="117"/>
      <c r="J1993" s="118"/>
      <c r="K1993" s="118"/>
      <c r="L1993" s="118"/>
      <c r="M1993" s="118"/>
      <c r="N1993" s="117"/>
      <c r="O1993" s="117"/>
      <c r="P1993" s="117"/>
      <c r="Q1993" s="117"/>
      <c r="R1993" s="117"/>
      <c r="S1993" s="117"/>
      <c r="T1993" s="117"/>
      <c r="U1993" s="117"/>
      <c r="V1993" s="117"/>
      <c r="W1993" s="117"/>
      <c r="X1993" s="117"/>
      <c r="Y1993" s="117"/>
      <c r="Z1993" s="117"/>
      <c r="AA1993" s="117"/>
      <c r="AB1993" s="117"/>
      <c r="AC1993" s="117"/>
      <c r="AD1993" s="117"/>
      <c r="AE1993" s="117"/>
      <c r="AF1993" s="117"/>
      <c r="AG1993" s="117"/>
      <c r="AH1993" s="117"/>
      <c r="AI1993" s="117"/>
      <c r="AJ1993" s="117"/>
      <c r="AK1993" s="117"/>
      <c r="AL1993" s="117"/>
      <c r="AM1993" s="117"/>
      <c r="AN1993" s="117"/>
      <c r="AO1993" s="117"/>
      <c r="AP1993" s="117"/>
      <c r="AQ1993" s="117"/>
      <c r="AR1993" s="117"/>
      <c r="AS1993" s="117"/>
      <c r="AT1993" s="117"/>
      <c r="AU1993" s="117"/>
      <c r="AV1993" s="117"/>
      <c r="AW1993" s="117"/>
      <c r="AX1993" s="117"/>
      <c r="AY1993" s="117"/>
      <c r="AZ1993" s="117"/>
      <c r="BA1993" s="117"/>
      <c r="BB1993" s="117"/>
      <c r="BC1993" s="117"/>
      <c r="BD1993" s="117"/>
      <c r="BE1993" s="117"/>
      <c r="BF1993" s="117"/>
      <c r="BG1993" s="117"/>
    </row>
    <row r="1994" spans="1:59">
      <c r="A1994" s="117"/>
      <c r="B1994" s="117"/>
      <c r="C1994" s="117"/>
      <c r="D1994" s="117"/>
      <c r="E1994" s="117"/>
      <c r="F1994" s="117"/>
      <c r="G1994" s="117"/>
      <c r="H1994" s="117"/>
      <c r="I1994" s="117"/>
      <c r="J1994" s="118"/>
      <c r="K1994" s="118"/>
      <c r="L1994" s="118"/>
      <c r="M1994" s="118"/>
      <c r="N1994" s="117"/>
      <c r="O1994" s="117"/>
      <c r="P1994" s="117"/>
      <c r="Q1994" s="117"/>
      <c r="R1994" s="117"/>
      <c r="S1994" s="117"/>
      <c r="T1994" s="117"/>
      <c r="U1994" s="117"/>
      <c r="V1994" s="117"/>
      <c r="W1994" s="117"/>
      <c r="X1994" s="117"/>
      <c r="Y1994" s="117"/>
      <c r="Z1994" s="117"/>
      <c r="AA1994" s="117"/>
      <c r="AB1994" s="117"/>
      <c r="AC1994" s="117"/>
      <c r="AD1994" s="117"/>
      <c r="AE1994" s="117"/>
      <c r="AF1994" s="117"/>
      <c r="AG1994" s="117"/>
      <c r="AH1994" s="117"/>
      <c r="AI1994" s="117"/>
      <c r="AJ1994" s="117"/>
      <c r="AK1994" s="117"/>
      <c r="AL1994" s="117"/>
      <c r="AM1994" s="117"/>
      <c r="AN1994" s="117"/>
      <c r="AO1994" s="117"/>
      <c r="AP1994" s="117"/>
      <c r="AQ1994" s="117"/>
      <c r="AR1994" s="117"/>
      <c r="AS1994" s="117"/>
      <c r="AT1994" s="117"/>
      <c r="AU1994" s="117"/>
      <c r="AV1994" s="117"/>
      <c r="AW1994" s="117"/>
      <c r="AX1994" s="117"/>
      <c r="AY1994" s="117"/>
      <c r="AZ1994" s="117"/>
      <c r="BA1994" s="117"/>
      <c r="BB1994" s="117"/>
      <c r="BC1994" s="117"/>
      <c r="BD1994" s="117"/>
      <c r="BE1994" s="117"/>
      <c r="BF1994" s="117"/>
      <c r="BG1994" s="117"/>
    </row>
    <row r="1995" spans="1:59">
      <c r="A1995" s="117"/>
      <c r="B1995" s="117"/>
      <c r="C1995" s="117"/>
      <c r="D1995" s="117"/>
      <c r="E1995" s="117"/>
      <c r="F1995" s="117"/>
      <c r="G1995" s="117"/>
      <c r="H1995" s="117"/>
      <c r="I1995" s="117"/>
      <c r="J1995" s="118"/>
      <c r="K1995" s="118"/>
      <c r="L1995" s="118"/>
      <c r="M1995" s="118"/>
      <c r="N1995" s="117"/>
      <c r="O1995" s="117"/>
      <c r="P1995" s="117"/>
      <c r="Q1995" s="117"/>
      <c r="R1995" s="117"/>
      <c r="S1995" s="117"/>
      <c r="T1995" s="117"/>
      <c r="U1995" s="117"/>
      <c r="V1995" s="117"/>
      <c r="W1995" s="117"/>
      <c r="X1995" s="117"/>
      <c r="Y1995" s="117"/>
      <c r="Z1995" s="117"/>
      <c r="AA1995" s="117"/>
      <c r="AB1995" s="117"/>
      <c r="AC1995" s="117"/>
      <c r="AD1995" s="117"/>
      <c r="AE1995" s="117"/>
      <c r="AF1995" s="117"/>
      <c r="AG1995" s="117"/>
      <c r="AH1995" s="117"/>
      <c r="AI1995" s="117"/>
      <c r="AJ1995" s="117"/>
      <c r="AK1995" s="117"/>
      <c r="AL1995" s="117"/>
      <c r="AM1995" s="117"/>
      <c r="AN1995" s="117"/>
      <c r="AO1995" s="117"/>
      <c r="AP1995" s="117"/>
      <c r="AQ1995" s="117"/>
      <c r="AR1995" s="117"/>
      <c r="AS1995" s="117"/>
      <c r="AT1995" s="117"/>
      <c r="AU1995" s="117"/>
      <c r="AV1995" s="117"/>
      <c r="AW1995" s="117"/>
      <c r="AX1995" s="117"/>
      <c r="AY1995" s="117"/>
      <c r="AZ1995" s="117"/>
      <c r="BA1995" s="117"/>
      <c r="BB1995" s="117"/>
      <c r="BC1995" s="117"/>
      <c r="BD1995" s="117"/>
      <c r="BE1995" s="117"/>
      <c r="BF1995" s="117"/>
      <c r="BG1995" s="117"/>
    </row>
    <row r="1996" spans="1:59">
      <c r="A1996" s="117"/>
      <c r="B1996" s="117"/>
      <c r="C1996" s="117"/>
      <c r="D1996" s="117"/>
      <c r="E1996" s="117"/>
      <c r="F1996" s="117"/>
      <c r="G1996" s="117"/>
      <c r="H1996" s="117"/>
      <c r="I1996" s="117"/>
      <c r="J1996" s="118"/>
      <c r="K1996" s="118"/>
      <c r="L1996" s="118"/>
      <c r="M1996" s="118"/>
      <c r="N1996" s="117"/>
      <c r="O1996" s="117"/>
      <c r="P1996" s="117"/>
      <c r="Q1996" s="117"/>
      <c r="R1996" s="117"/>
      <c r="S1996" s="117"/>
      <c r="T1996" s="117"/>
      <c r="U1996" s="117"/>
      <c r="V1996" s="117"/>
      <c r="W1996" s="117"/>
      <c r="X1996" s="117"/>
      <c r="Y1996" s="117"/>
      <c r="Z1996" s="117"/>
      <c r="AA1996" s="117"/>
      <c r="AB1996" s="117"/>
      <c r="AC1996" s="117"/>
      <c r="AD1996" s="117"/>
      <c r="AE1996" s="117"/>
      <c r="AF1996" s="117"/>
      <c r="AG1996" s="117"/>
      <c r="AH1996" s="117"/>
      <c r="AI1996" s="117"/>
      <c r="AJ1996" s="117"/>
      <c r="AK1996" s="117"/>
      <c r="AL1996" s="117"/>
      <c r="AM1996" s="117"/>
      <c r="AN1996" s="117"/>
      <c r="AO1996" s="117"/>
      <c r="AP1996" s="117"/>
      <c r="AQ1996" s="117"/>
      <c r="AR1996" s="117"/>
      <c r="AS1996" s="117"/>
      <c r="AT1996" s="117"/>
      <c r="AU1996" s="117"/>
      <c r="AV1996" s="117"/>
      <c r="AW1996" s="117"/>
      <c r="AX1996" s="117"/>
      <c r="AY1996" s="117"/>
      <c r="AZ1996" s="117"/>
      <c r="BA1996" s="117"/>
      <c r="BB1996" s="117"/>
      <c r="BC1996" s="117"/>
      <c r="BD1996" s="117"/>
      <c r="BE1996" s="117"/>
      <c r="BF1996" s="117"/>
      <c r="BG1996" s="117"/>
    </row>
    <row r="1997" spans="1:59">
      <c r="A1997" s="117"/>
      <c r="B1997" s="117"/>
      <c r="C1997" s="117"/>
      <c r="D1997" s="117"/>
      <c r="E1997" s="117"/>
      <c r="F1997" s="117"/>
      <c r="G1997" s="117"/>
      <c r="H1997" s="117"/>
      <c r="I1997" s="117"/>
      <c r="J1997" s="118"/>
      <c r="K1997" s="118"/>
      <c r="L1997" s="118"/>
      <c r="M1997" s="118"/>
      <c r="N1997" s="117"/>
      <c r="O1997" s="117"/>
      <c r="P1997" s="117"/>
      <c r="Q1997" s="117"/>
      <c r="R1997" s="117"/>
      <c r="S1997" s="117"/>
      <c r="T1997" s="117"/>
      <c r="U1997" s="117"/>
      <c r="V1997" s="117"/>
      <c r="W1997" s="117"/>
      <c r="X1997" s="117"/>
      <c r="Y1997" s="117"/>
      <c r="Z1997" s="117"/>
      <c r="AA1997" s="117"/>
      <c r="AB1997" s="117"/>
      <c r="AC1997" s="117"/>
      <c r="AD1997" s="117"/>
      <c r="AE1997" s="117"/>
      <c r="AF1997" s="117"/>
      <c r="AG1997" s="117"/>
      <c r="AH1997" s="117"/>
      <c r="AI1997" s="117"/>
      <c r="AJ1997" s="117"/>
      <c r="AK1997" s="117"/>
      <c r="AL1997" s="117"/>
      <c r="AM1997" s="117"/>
      <c r="AN1997" s="117"/>
      <c r="AO1997" s="117"/>
      <c r="AP1997" s="117"/>
      <c r="AQ1997" s="117"/>
      <c r="AR1997" s="117"/>
      <c r="AS1997" s="117"/>
      <c r="AT1997" s="117"/>
      <c r="AU1997" s="117"/>
      <c r="AV1997" s="117"/>
      <c r="AW1997" s="117"/>
      <c r="AX1997" s="117"/>
      <c r="AY1997" s="117"/>
      <c r="AZ1997" s="117"/>
      <c r="BA1997" s="117"/>
      <c r="BB1997" s="117"/>
      <c r="BC1997" s="117"/>
      <c r="BD1997" s="117"/>
      <c r="BE1997" s="117"/>
      <c r="BF1997" s="117"/>
      <c r="BG1997" s="117"/>
    </row>
    <row r="1998" spans="1:59">
      <c r="A1998" s="117"/>
      <c r="B1998" s="117"/>
      <c r="C1998" s="117"/>
      <c r="D1998" s="117"/>
      <c r="E1998" s="117"/>
      <c r="F1998" s="117"/>
      <c r="G1998" s="117"/>
      <c r="H1998" s="117"/>
      <c r="I1998" s="117"/>
      <c r="J1998" s="118"/>
      <c r="K1998" s="118"/>
      <c r="L1998" s="118"/>
      <c r="M1998" s="118"/>
      <c r="N1998" s="117"/>
      <c r="O1998" s="117"/>
      <c r="P1998" s="117"/>
      <c r="Q1998" s="117"/>
      <c r="R1998" s="117"/>
      <c r="S1998" s="117"/>
      <c r="T1998" s="117"/>
      <c r="U1998" s="117"/>
      <c r="V1998" s="117"/>
      <c r="W1998" s="117"/>
      <c r="X1998" s="117"/>
      <c r="Y1998" s="117"/>
      <c r="Z1998" s="117"/>
      <c r="AA1998" s="117"/>
      <c r="AB1998" s="117"/>
      <c r="AC1998" s="117"/>
      <c r="AD1998" s="117"/>
      <c r="AE1998" s="117"/>
      <c r="AF1998" s="117"/>
      <c r="AG1998" s="117"/>
      <c r="AH1998" s="117"/>
      <c r="AI1998" s="117"/>
      <c r="AJ1998" s="117"/>
      <c r="AK1998" s="117"/>
      <c r="AL1998" s="117"/>
      <c r="AM1998" s="117"/>
      <c r="AN1998" s="117"/>
      <c r="AO1998" s="117"/>
      <c r="AP1998" s="117"/>
      <c r="AQ1998" s="117"/>
      <c r="AR1998" s="117"/>
      <c r="AS1998" s="117"/>
      <c r="AT1998" s="117"/>
      <c r="AU1998" s="117"/>
      <c r="AV1998" s="117"/>
      <c r="AW1998" s="117"/>
      <c r="AX1998" s="117"/>
      <c r="AY1998" s="117"/>
      <c r="AZ1998" s="117"/>
      <c r="BA1998" s="117"/>
      <c r="BB1998" s="117"/>
      <c r="BC1998" s="117"/>
      <c r="BD1998" s="117"/>
      <c r="BE1998" s="117"/>
      <c r="BF1998" s="117"/>
      <c r="BG1998" s="117"/>
    </row>
    <row r="1999" spans="1:59">
      <c r="A1999" s="117"/>
      <c r="B1999" s="117"/>
      <c r="C1999" s="117"/>
      <c r="D1999" s="117"/>
      <c r="E1999" s="117"/>
      <c r="F1999" s="117"/>
      <c r="G1999" s="117"/>
      <c r="H1999" s="117"/>
      <c r="I1999" s="117"/>
      <c r="J1999" s="118"/>
      <c r="K1999" s="118"/>
      <c r="L1999" s="118"/>
      <c r="M1999" s="118"/>
      <c r="N1999" s="117"/>
      <c r="O1999" s="117"/>
      <c r="P1999" s="117"/>
      <c r="Q1999" s="117"/>
      <c r="R1999" s="117"/>
      <c r="S1999" s="117"/>
      <c r="T1999" s="117"/>
      <c r="U1999" s="117"/>
      <c r="V1999" s="117"/>
      <c r="W1999" s="117"/>
      <c r="X1999" s="117"/>
      <c r="Y1999" s="117"/>
      <c r="Z1999" s="117"/>
      <c r="AA1999" s="117"/>
      <c r="AB1999" s="117"/>
      <c r="AC1999" s="117"/>
      <c r="AD1999" s="117"/>
      <c r="AE1999" s="117"/>
      <c r="AF1999" s="117"/>
      <c r="AG1999" s="117"/>
      <c r="AH1999" s="117"/>
      <c r="AI1999" s="117"/>
      <c r="AJ1999" s="117"/>
      <c r="AK1999" s="117"/>
      <c r="AL1999" s="117"/>
      <c r="AM1999" s="117"/>
      <c r="AN1999" s="117"/>
      <c r="AO1999" s="117"/>
      <c r="AP1999" s="117"/>
      <c r="AQ1999" s="117"/>
      <c r="AR1999" s="117"/>
      <c r="AS1999" s="117"/>
      <c r="AT1999" s="117"/>
      <c r="AU1999" s="117"/>
      <c r="AV1999" s="117"/>
      <c r="AW1999" s="117"/>
      <c r="AX1999" s="117"/>
      <c r="AY1999" s="117"/>
      <c r="AZ1999" s="117"/>
      <c r="BA1999" s="117"/>
      <c r="BB1999" s="117"/>
      <c r="BC1999" s="117"/>
      <c r="BD1999" s="117"/>
      <c r="BE1999" s="117"/>
      <c r="BF1999" s="117"/>
      <c r="BG1999" s="117"/>
    </row>
    <row r="2000" spans="1:59">
      <c r="A2000" s="117"/>
      <c r="B2000" s="117"/>
      <c r="C2000" s="117"/>
      <c r="D2000" s="117"/>
      <c r="E2000" s="117"/>
      <c r="F2000" s="117"/>
      <c r="G2000" s="117"/>
      <c r="H2000" s="117"/>
      <c r="I2000" s="117"/>
      <c r="J2000" s="118"/>
      <c r="K2000" s="118"/>
      <c r="L2000" s="118"/>
      <c r="M2000" s="118"/>
      <c r="N2000" s="117"/>
      <c r="O2000" s="117"/>
      <c r="P2000" s="117"/>
      <c r="Q2000" s="117"/>
      <c r="R2000" s="117"/>
      <c r="S2000" s="117"/>
      <c r="T2000" s="117"/>
      <c r="U2000" s="117"/>
      <c r="V2000" s="117"/>
      <c r="W2000" s="117"/>
      <c r="X2000" s="117"/>
      <c r="Y2000" s="117"/>
      <c r="Z2000" s="117"/>
      <c r="AA2000" s="117"/>
      <c r="AB2000" s="117"/>
      <c r="AC2000" s="117"/>
      <c r="AD2000" s="117"/>
      <c r="AE2000" s="117"/>
      <c r="AF2000" s="117"/>
      <c r="AG2000" s="117"/>
      <c r="AH2000" s="117"/>
      <c r="AI2000" s="117"/>
      <c r="AJ2000" s="117"/>
      <c r="AK2000" s="117"/>
      <c r="AL2000" s="117"/>
      <c r="AM2000" s="117"/>
      <c r="AN2000" s="117"/>
      <c r="AO2000" s="117"/>
      <c r="AP2000" s="117"/>
      <c r="AQ2000" s="117"/>
      <c r="AR2000" s="117"/>
      <c r="AS2000" s="117"/>
      <c r="AT2000" s="117"/>
      <c r="AU2000" s="117"/>
      <c r="AV2000" s="117"/>
      <c r="AW2000" s="117"/>
      <c r="AX2000" s="117"/>
      <c r="AY2000" s="117"/>
      <c r="AZ2000" s="117"/>
      <c r="BA2000" s="117"/>
      <c r="BB2000" s="117"/>
      <c r="BC2000" s="117"/>
      <c r="BD2000" s="117"/>
      <c r="BE2000" s="117"/>
      <c r="BF2000" s="117"/>
      <c r="BG2000" s="117"/>
    </row>
    <row r="2001" spans="1:59">
      <c r="A2001" s="117"/>
      <c r="B2001" s="117"/>
      <c r="C2001" s="117"/>
      <c r="D2001" s="117"/>
      <c r="E2001" s="117"/>
      <c r="F2001" s="117"/>
      <c r="G2001" s="117"/>
      <c r="H2001" s="117"/>
      <c r="I2001" s="117"/>
      <c r="J2001" s="118"/>
      <c r="K2001" s="118"/>
      <c r="L2001" s="118"/>
      <c r="M2001" s="118"/>
      <c r="N2001" s="117"/>
      <c r="O2001" s="117"/>
      <c r="P2001" s="117"/>
      <c r="Q2001" s="117"/>
      <c r="R2001" s="117"/>
      <c r="S2001" s="117"/>
      <c r="T2001" s="117"/>
      <c r="U2001" s="117"/>
      <c r="V2001" s="117"/>
      <c r="W2001" s="117"/>
      <c r="X2001" s="117"/>
      <c r="Y2001" s="117"/>
      <c r="Z2001" s="117"/>
      <c r="AA2001" s="117"/>
      <c r="AB2001" s="117"/>
      <c r="AC2001" s="117"/>
      <c r="AD2001" s="117"/>
      <c r="AE2001" s="117"/>
      <c r="AF2001" s="117"/>
      <c r="AG2001" s="117"/>
      <c r="AH2001" s="117"/>
      <c r="AI2001" s="117"/>
      <c r="AJ2001" s="117"/>
      <c r="AK2001" s="117"/>
      <c r="AL2001" s="117"/>
      <c r="AM2001" s="117"/>
      <c r="AN2001" s="117"/>
      <c r="AO2001" s="117"/>
      <c r="AP2001" s="117"/>
      <c r="AQ2001" s="117"/>
      <c r="AR2001" s="117"/>
      <c r="AS2001" s="117"/>
      <c r="AT2001" s="117"/>
      <c r="AU2001" s="117"/>
      <c r="AV2001" s="117"/>
      <c r="AW2001" s="117"/>
      <c r="AX2001" s="117"/>
      <c r="AY2001" s="117"/>
      <c r="AZ2001" s="117"/>
      <c r="BA2001" s="117"/>
      <c r="BB2001" s="117"/>
      <c r="BC2001" s="117"/>
      <c r="BD2001" s="117"/>
      <c r="BE2001" s="117"/>
      <c r="BF2001" s="117"/>
      <c r="BG2001" s="117"/>
    </row>
    <row r="2002" spans="1:59">
      <c r="A2002" s="117"/>
      <c r="B2002" s="117"/>
      <c r="C2002" s="117"/>
      <c r="D2002" s="117"/>
      <c r="E2002" s="117"/>
      <c r="F2002" s="117"/>
      <c r="G2002" s="117"/>
      <c r="H2002" s="117"/>
      <c r="I2002" s="117"/>
      <c r="J2002" s="118"/>
      <c r="K2002" s="118"/>
      <c r="L2002" s="118"/>
      <c r="M2002" s="118"/>
      <c r="N2002" s="117"/>
      <c r="O2002" s="117"/>
      <c r="P2002" s="117"/>
      <c r="Q2002" s="117"/>
      <c r="R2002" s="117"/>
      <c r="S2002" s="117"/>
      <c r="T2002" s="117"/>
      <c r="U2002" s="117"/>
      <c r="V2002" s="117"/>
      <c r="W2002" s="117"/>
      <c r="X2002" s="117"/>
      <c r="Y2002" s="117"/>
      <c r="Z2002" s="117"/>
      <c r="AA2002" s="117"/>
      <c r="AB2002" s="117"/>
      <c r="AC2002" s="117"/>
      <c r="AD2002" s="117"/>
      <c r="AE2002" s="117"/>
      <c r="AF2002" s="117"/>
      <c r="AG2002" s="117"/>
      <c r="AH2002" s="117"/>
      <c r="AI2002" s="117"/>
      <c r="AJ2002" s="117"/>
      <c r="AK2002" s="117"/>
      <c r="AL2002" s="117"/>
      <c r="AM2002" s="117"/>
      <c r="AN2002" s="117"/>
      <c r="AO2002" s="117"/>
      <c r="AP2002" s="117"/>
      <c r="AQ2002" s="117"/>
      <c r="AR2002" s="117"/>
      <c r="AS2002" s="117"/>
      <c r="AT2002" s="117"/>
      <c r="AU2002" s="117"/>
      <c r="AV2002" s="117"/>
      <c r="AW2002" s="117"/>
      <c r="AX2002" s="117"/>
      <c r="AY2002" s="117"/>
      <c r="AZ2002" s="117"/>
      <c r="BA2002" s="117"/>
      <c r="BB2002" s="117"/>
      <c r="BC2002" s="117"/>
      <c r="BD2002" s="117"/>
      <c r="BE2002" s="117"/>
      <c r="BF2002" s="117"/>
      <c r="BG2002" s="117"/>
    </row>
    <row r="2003" spans="1:59">
      <c r="A2003" s="117"/>
      <c r="B2003" s="117"/>
      <c r="C2003" s="117"/>
      <c r="D2003" s="117"/>
      <c r="E2003" s="117"/>
      <c r="F2003" s="117"/>
      <c r="G2003" s="117"/>
      <c r="H2003" s="117"/>
      <c r="I2003" s="117"/>
      <c r="J2003" s="118"/>
      <c r="K2003" s="118"/>
      <c r="L2003" s="118"/>
      <c r="M2003" s="118"/>
      <c r="N2003" s="117"/>
      <c r="O2003" s="117"/>
      <c r="P2003" s="117"/>
      <c r="Q2003" s="117"/>
      <c r="R2003" s="117"/>
      <c r="S2003" s="117"/>
      <c r="T2003" s="117"/>
      <c r="U2003" s="117"/>
      <c r="V2003" s="117"/>
      <c r="W2003" s="117"/>
      <c r="X2003" s="117"/>
      <c r="Y2003" s="117"/>
      <c r="Z2003" s="117"/>
      <c r="AA2003" s="117"/>
      <c r="AB2003" s="117"/>
      <c r="AC2003" s="117"/>
      <c r="AD2003" s="117"/>
      <c r="AE2003" s="117"/>
      <c r="AF2003" s="117"/>
      <c r="AG2003" s="117"/>
      <c r="AH2003" s="117"/>
      <c r="AI2003" s="117"/>
      <c r="AJ2003" s="117"/>
      <c r="AK2003" s="117"/>
      <c r="AL2003" s="117"/>
      <c r="AM2003" s="117"/>
      <c r="AN2003" s="117"/>
      <c r="AO2003" s="117"/>
      <c r="AP2003" s="117"/>
      <c r="AQ2003" s="117"/>
      <c r="AR2003" s="117"/>
      <c r="AS2003" s="117"/>
      <c r="AT2003" s="117"/>
      <c r="AU2003" s="117"/>
      <c r="AV2003" s="117"/>
      <c r="AW2003" s="117"/>
      <c r="AX2003" s="117"/>
      <c r="AY2003" s="117"/>
      <c r="AZ2003" s="117"/>
      <c r="BA2003" s="117"/>
      <c r="BB2003" s="117"/>
      <c r="BC2003" s="117"/>
      <c r="BD2003" s="117"/>
      <c r="BE2003" s="117"/>
      <c r="BF2003" s="117"/>
      <c r="BG2003" s="117"/>
    </row>
    <row r="2004" spans="1:59">
      <c r="A2004" s="117"/>
      <c r="B2004" s="117"/>
      <c r="C2004" s="117"/>
      <c r="D2004" s="117"/>
      <c r="E2004" s="117"/>
      <c r="F2004" s="117"/>
      <c r="G2004" s="117"/>
      <c r="H2004" s="117"/>
      <c r="I2004" s="117"/>
      <c r="J2004" s="118"/>
      <c r="K2004" s="118"/>
      <c r="L2004" s="118"/>
      <c r="M2004" s="118"/>
      <c r="N2004" s="117"/>
      <c r="O2004" s="117"/>
      <c r="P2004" s="117"/>
      <c r="Q2004" s="117"/>
      <c r="R2004" s="117"/>
      <c r="S2004" s="117"/>
      <c r="T2004" s="117"/>
      <c r="U2004" s="117"/>
      <c r="V2004" s="117"/>
      <c r="W2004" s="117"/>
      <c r="X2004" s="117"/>
      <c r="Y2004" s="117"/>
      <c r="Z2004" s="117"/>
      <c r="AA2004" s="117"/>
      <c r="AB2004" s="117"/>
      <c r="AC2004" s="117"/>
      <c r="AD2004" s="117"/>
      <c r="AE2004" s="117"/>
      <c r="AF2004" s="117"/>
      <c r="AG2004" s="117"/>
      <c r="AH2004" s="117"/>
      <c r="AI2004" s="117"/>
      <c r="AJ2004" s="117"/>
      <c r="AK2004" s="117"/>
      <c r="AL2004" s="117"/>
      <c r="AM2004" s="117"/>
      <c r="AN2004" s="117"/>
      <c r="AO2004" s="117"/>
      <c r="AP2004" s="117"/>
      <c r="AQ2004" s="117"/>
      <c r="AR2004" s="117"/>
      <c r="AS2004" s="117"/>
      <c r="AT2004" s="117"/>
      <c r="AU2004" s="117"/>
      <c r="AV2004" s="117"/>
      <c r="AW2004" s="117"/>
      <c r="AX2004" s="117"/>
      <c r="AY2004" s="117"/>
      <c r="AZ2004" s="117"/>
      <c r="BA2004" s="117"/>
      <c r="BB2004" s="117"/>
      <c r="BC2004" s="117"/>
      <c r="BD2004" s="117"/>
      <c r="BE2004" s="117"/>
      <c r="BF2004" s="117"/>
      <c r="BG2004" s="117"/>
    </row>
    <row r="2005" spans="1:59">
      <c r="A2005" s="117"/>
      <c r="B2005" s="117"/>
      <c r="C2005" s="117"/>
      <c r="D2005" s="117"/>
      <c r="E2005" s="117"/>
      <c r="F2005" s="117"/>
      <c r="G2005" s="117"/>
      <c r="H2005" s="117"/>
      <c r="I2005" s="117"/>
      <c r="J2005" s="118"/>
      <c r="K2005" s="118"/>
      <c r="L2005" s="118"/>
      <c r="M2005" s="118"/>
      <c r="N2005" s="117"/>
      <c r="O2005" s="117"/>
      <c r="P2005" s="117"/>
      <c r="Q2005" s="117"/>
      <c r="R2005" s="117"/>
      <c r="S2005" s="117"/>
      <c r="T2005" s="117"/>
      <c r="U2005" s="117"/>
      <c r="V2005" s="117"/>
      <c r="W2005" s="117"/>
      <c r="X2005" s="117"/>
      <c r="Y2005" s="117"/>
      <c r="Z2005" s="117"/>
      <c r="AA2005" s="117"/>
      <c r="AB2005" s="117"/>
      <c r="AC2005" s="117"/>
      <c r="AD2005" s="117"/>
      <c r="AE2005" s="117"/>
      <c r="AF2005" s="117"/>
      <c r="AG2005" s="117"/>
      <c r="AH2005" s="117"/>
      <c r="AI2005" s="117"/>
      <c r="AJ2005" s="117"/>
      <c r="AK2005" s="117"/>
      <c r="AL2005" s="117"/>
      <c r="AM2005" s="117"/>
      <c r="AN2005" s="117"/>
      <c r="AO2005" s="117"/>
      <c r="AP2005" s="117"/>
      <c r="AQ2005" s="117"/>
      <c r="AR2005" s="117"/>
      <c r="AS2005" s="117"/>
      <c r="AT2005" s="117"/>
      <c r="AU2005" s="117"/>
      <c r="AV2005" s="117"/>
      <c r="AW2005" s="117"/>
      <c r="AX2005" s="117"/>
      <c r="AY2005" s="117"/>
      <c r="AZ2005" s="117"/>
      <c r="BA2005" s="117"/>
      <c r="BB2005" s="117"/>
      <c r="BC2005" s="117"/>
      <c r="BD2005" s="117"/>
      <c r="BE2005" s="117"/>
      <c r="BF2005" s="117"/>
      <c r="BG2005" s="117"/>
    </row>
    <row r="2006" spans="1:59">
      <c r="A2006" s="117"/>
      <c r="B2006" s="117"/>
      <c r="C2006" s="117"/>
      <c r="D2006" s="117"/>
      <c r="E2006" s="117"/>
      <c r="F2006" s="117"/>
      <c r="G2006" s="117"/>
      <c r="H2006" s="117"/>
      <c r="I2006" s="117"/>
      <c r="J2006" s="118"/>
      <c r="K2006" s="118"/>
      <c r="L2006" s="118"/>
      <c r="M2006" s="118"/>
      <c r="N2006" s="117"/>
      <c r="O2006" s="117"/>
      <c r="P2006" s="117"/>
      <c r="Q2006" s="117"/>
      <c r="R2006" s="117"/>
      <c r="S2006" s="117"/>
      <c r="T2006" s="117"/>
      <c r="U2006" s="117"/>
      <c r="V2006" s="117"/>
      <c r="W2006" s="117"/>
      <c r="X2006" s="117"/>
      <c r="Y2006" s="117"/>
      <c r="Z2006" s="117"/>
      <c r="AA2006" s="117"/>
      <c r="AB2006" s="117"/>
      <c r="AC2006" s="117"/>
      <c r="AD2006" s="117"/>
      <c r="AE2006" s="117"/>
      <c r="AF2006" s="117"/>
      <c r="AG2006" s="117"/>
      <c r="AH2006" s="117"/>
      <c r="AI2006" s="117"/>
      <c r="AJ2006" s="117"/>
      <c r="AK2006" s="117"/>
      <c r="AL2006" s="117"/>
      <c r="AM2006" s="117"/>
      <c r="AN2006" s="117"/>
      <c r="AO2006" s="117"/>
      <c r="AP2006" s="117"/>
      <c r="AQ2006" s="117"/>
      <c r="AR2006" s="117"/>
      <c r="AS2006" s="117"/>
      <c r="AT2006" s="117"/>
      <c r="AU2006" s="117"/>
      <c r="AV2006" s="117"/>
      <c r="AW2006" s="117"/>
      <c r="AX2006" s="117"/>
      <c r="AY2006" s="117"/>
      <c r="AZ2006" s="117"/>
      <c r="BA2006" s="117"/>
      <c r="BB2006" s="117"/>
      <c r="BC2006" s="117"/>
      <c r="BD2006" s="117"/>
      <c r="BE2006" s="117"/>
      <c r="BF2006" s="117"/>
      <c r="BG2006" s="117"/>
    </row>
    <row r="2007" spans="1:59">
      <c r="A2007" s="117"/>
      <c r="B2007" s="117"/>
      <c r="C2007" s="117"/>
      <c r="D2007" s="117"/>
      <c r="E2007" s="117"/>
      <c r="F2007" s="117"/>
      <c r="G2007" s="117"/>
      <c r="H2007" s="117"/>
      <c r="I2007" s="117"/>
      <c r="J2007" s="118"/>
      <c r="K2007" s="118"/>
      <c r="L2007" s="118"/>
      <c r="M2007" s="118"/>
      <c r="N2007" s="117"/>
      <c r="O2007" s="117"/>
      <c r="P2007" s="117"/>
      <c r="Q2007" s="117"/>
      <c r="R2007" s="117"/>
      <c r="S2007" s="117"/>
      <c r="T2007" s="117"/>
      <c r="U2007" s="117"/>
      <c r="V2007" s="117"/>
      <c r="W2007" s="117"/>
      <c r="X2007" s="117"/>
      <c r="Y2007" s="117"/>
      <c r="Z2007" s="117"/>
      <c r="AA2007" s="117"/>
      <c r="AB2007" s="117"/>
      <c r="AC2007" s="117"/>
      <c r="AD2007" s="117"/>
      <c r="AE2007" s="117"/>
      <c r="AF2007" s="117"/>
      <c r="AG2007" s="117"/>
      <c r="AH2007" s="117"/>
      <c r="AI2007" s="117"/>
      <c r="AJ2007" s="117"/>
      <c r="AK2007" s="117"/>
      <c r="AL2007" s="117"/>
      <c r="AM2007" s="117"/>
      <c r="AN2007" s="117"/>
      <c r="AO2007" s="117"/>
      <c r="AP2007" s="117"/>
      <c r="AQ2007" s="117"/>
      <c r="AR2007" s="117"/>
      <c r="AS2007" s="117"/>
      <c r="AT2007" s="117"/>
      <c r="AU2007" s="117"/>
      <c r="AV2007" s="117"/>
      <c r="AW2007" s="117"/>
      <c r="AX2007" s="117"/>
      <c r="AY2007" s="117"/>
      <c r="AZ2007" s="117"/>
      <c r="BA2007" s="117"/>
      <c r="BB2007" s="117"/>
      <c r="BC2007" s="117"/>
      <c r="BD2007" s="117"/>
      <c r="BE2007" s="117"/>
      <c r="BF2007" s="117"/>
      <c r="BG2007" s="117"/>
    </row>
    <row r="2008" spans="1:59">
      <c r="A2008" s="117"/>
      <c r="B2008" s="117"/>
      <c r="C2008" s="117"/>
      <c r="D2008" s="117"/>
      <c r="E2008" s="117"/>
      <c r="F2008" s="117"/>
      <c r="G2008" s="117"/>
      <c r="H2008" s="117"/>
      <c r="I2008" s="117"/>
      <c r="J2008" s="118"/>
      <c r="K2008" s="118"/>
      <c r="L2008" s="118"/>
      <c r="M2008" s="118"/>
      <c r="N2008" s="117"/>
      <c r="O2008" s="117"/>
      <c r="P2008" s="117"/>
      <c r="Q2008" s="117"/>
      <c r="R2008" s="117"/>
      <c r="S2008" s="117"/>
      <c r="T2008" s="117"/>
      <c r="U2008" s="117"/>
      <c r="V2008" s="117"/>
      <c r="W2008" s="117"/>
      <c r="X2008" s="117"/>
      <c r="Y2008" s="117"/>
      <c r="Z2008" s="117"/>
      <c r="AA2008" s="117"/>
      <c r="AB2008" s="117"/>
      <c r="AC2008" s="117"/>
      <c r="AD2008" s="117"/>
      <c r="AE2008" s="117"/>
      <c r="AF2008" s="117"/>
      <c r="AG2008" s="117"/>
      <c r="AH2008" s="117"/>
      <c r="AI2008" s="117"/>
      <c r="AJ2008" s="117"/>
      <c r="AK2008" s="117"/>
      <c r="AL2008" s="117"/>
      <c r="AM2008" s="117"/>
      <c r="AN2008" s="117"/>
      <c r="AO2008" s="117"/>
      <c r="AP2008" s="117"/>
      <c r="AQ2008" s="117"/>
      <c r="AR2008" s="117"/>
      <c r="AS2008" s="117"/>
      <c r="AT2008" s="117"/>
      <c r="AU2008" s="117"/>
      <c r="AV2008" s="117"/>
      <c r="AW2008" s="117"/>
      <c r="AX2008" s="117"/>
      <c r="AY2008" s="117"/>
      <c r="AZ2008" s="117"/>
      <c r="BA2008" s="117"/>
      <c r="BB2008" s="117"/>
      <c r="BC2008" s="117"/>
      <c r="BD2008" s="117"/>
      <c r="BE2008" s="117"/>
      <c r="BF2008" s="117"/>
      <c r="BG2008" s="117"/>
    </row>
    <row r="2009" spans="1:59">
      <c r="A2009" s="117"/>
      <c r="B2009" s="117"/>
      <c r="C2009" s="117"/>
      <c r="D2009" s="117"/>
      <c r="E2009" s="117"/>
      <c r="F2009" s="117"/>
      <c r="G2009" s="117"/>
      <c r="H2009" s="117"/>
      <c r="I2009" s="117"/>
      <c r="J2009" s="118"/>
      <c r="K2009" s="118"/>
      <c r="L2009" s="118"/>
      <c r="M2009" s="118"/>
      <c r="N2009" s="117"/>
      <c r="O2009" s="117"/>
      <c r="P2009" s="117"/>
      <c r="Q2009" s="117"/>
      <c r="R2009" s="117"/>
      <c r="S2009" s="117"/>
      <c r="T2009" s="117"/>
      <c r="U2009" s="117"/>
      <c r="V2009" s="117"/>
      <c r="W2009" s="117"/>
      <c r="X2009" s="117"/>
      <c r="Y2009" s="117"/>
      <c r="Z2009" s="117"/>
      <c r="AA2009" s="117"/>
      <c r="AB2009" s="117"/>
      <c r="AC2009" s="117"/>
      <c r="AD2009" s="117"/>
      <c r="AE2009" s="117"/>
      <c r="AF2009" s="117"/>
      <c r="AG2009" s="117"/>
      <c r="AH2009" s="117"/>
      <c r="AI2009" s="117"/>
      <c r="AJ2009" s="117"/>
      <c r="AK2009" s="117"/>
      <c r="AL2009" s="117"/>
      <c r="AM2009" s="117"/>
      <c r="AN2009" s="117"/>
      <c r="AO2009" s="117"/>
      <c r="AP2009" s="117"/>
      <c r="AQ2009" s="117"/>
      <c r="AR2009" s="117"/>
      <c r="AS2009" s="117"/>
      <c r="AT2009" s="117"/>
      <c r="AU2009" s="117"/>
      <c r="AV2009" s="117"/>
      <c r="AW2009" s="117"/>
      <c r="AX2009" s="117"/>
      <c r="AY2009" s="117"/>
      <c r="AZ2009" s="117"/>
      <c r="BA2009" s="117"/>
      <c r="BB2009" s="117"/>
      <c r="BC2009" s="117"/>
      <c r="BD2009" s="117"/>
      <c r="BE2009" s="117"/>
      <c r="BF2009" s="117"/>
      <c r="BG2009" s="117"/>
    </row>
    <row r="2010" spans="1:59">
      <c r="A2010" s="117"/>
      <c r="B2010" s="117"/>
      <c r="C2010" s="117"/>
      <c r="D2010" s="117"/>
      <c r="E2010" s="117"/>
      <c r="F2010" s="117"/>
      <c r="G2010" s="117"/>
      <c r="H2010" s="117"/>
      <c r="I2010" s="117"/>
      <c r="J2010" s="118"/>
      <c r="K2010" s="118"/>
      <c r="L2010" s="118"/>
      <c r="M2010" s="118"/>
      <c r="N2010" s="117"/>
      <c r="O2010" s="117"/>
      <c r="P2010" s="117"/>
      <c r="Q2010" s="117"/>
      <c r="R2010" s="117"/>
      <c r="S2010" s="117"/>
      <c r="T2010" s="117"/>
      <c r="U2010" s="117"/>
      <c r="V2010" s="117"/>
      <c r="W2010" s="117"/>
      <c r="X2010" s="117"/>
      <c r="Y2010" s="117"/>
      <c r="Z2010" s="117"/>
      <c r="AA2010" s="117"/>
      <c r="AB2010" s="117"/>
      <c r="AC2010" s="117"/>
      <c r="AD2010" s="117"/>
      <c r="AE2010" s="117"/>
      <c r="AF2010" s="117"/>
      <c r="AG2010" s="117"/>
      <c r="AH2010" s="117"/>
      <c r="AI2010" s="117"/>
      <c r="AJ2010" s="117"/>
      <c r="AK2010" s="117"/>
      <c r="AL2010" s="117"/>
      <c r="AM2010" s="117"/>
      <c r="AN2010" s="117"/>
      <c r="AO2010" s="117"/>
      <c r="AP2010" s="117"/>
      <c r="AQ2010" s="117"/>
      <c r="AR2010" s="117"/>
      <c r="AS2010" s="117"/>
      <c r="AT2010" s="117"/>
      <c r="AU2010" s="117"/>
      <c r="AV2010" s="117"/>
      <c r="AW2010" s="117"/>
      <c r="AX2010" s="117"/>
      <c r="AY2010" s="117"/>
      <c r="AZ2010" s="117"/>
      <c r="BA2010" s="117"/>
      <c r="BB2010" s="117"/>
      <c r="BC2010" s="117"/>
      <c r="BD2010" s="117"/>
      <c r="BE2010" s="117"/>
      <c r="BF2010" s="117"/>
      <c r="BG2010" s="117"/>
    </row>
    <row r="2011" spans="1:59">
      <c r="A2011" s="117"/>
      <c r="B2011" s="117"/>
      <c r="C2011" s="117"/>
      <c r="D2011" s="117"/>
      <c r="E2011" s="117"/>
      <c r="F2011" s="117"/>
      <c r="G2011" s="117"/>
      <c r="H2011" s="117"/>
      <c r="I2011" s="117"/>
      <c r="J2011" s="118"/>
      <c r="K2011" s="118"/>
      <c r="L2011" s="118"/>
      <c r="M2011" s="118"/>
      <c r="N2011" s="117"/>
      <c r="O2011" s="117"/>
      <c r="P2011" s="117"/>
      <c r="Q2011" s="117"/>
      <c r="R2011" s="117"/>
      <c r="S2011" s="117"/>
      <c r="T2011" s="117"/>
      <c r="U2011" s="117"/>
      <c r="V2011" s="117"/>
      <c r="W2011" s="117"/>
      <c r="X2011" s="117"/>
      <c r="Y2011" s="117"/>
      <c r="Z2011" s="117"/>
      <c r="AA2011" s="117"/>
      <c r="AB2011" s="117"/>
      <c r="AC2011" s="117"/>
      <c r="AD2011" s="117"/>
      <c r="AE2011" s="117"/>
      <c r="AF2011" s="117"/>
      <c r="AG2011" s="117"/>
      <c r="AH2011" s="117"/>
      <c r="AI2011" s="117"/>
      <c r="AJ2011" s="117"/>
      <c r="AK2011" s="117"/>
      <c r="AL2011" s="117"/>
      <c r="AM2011" s="117"/>
      <c r="AN2011" s="117"/>
      <c r="AO2011" s="117"/>
      <c r="AP2011" s="117"/>
      <c r="AQ2011" s="117"/>
      <c r="AR2011" s="117"/>
      <c r="AS2011" s="117"/>
      <c r="AT2011" s="117"/>
      <c r="AU2011" s="117"/>
      <c r="AV2011" s="117"/>
      <c r="AW2011" s="117"/>
      <c r="AX2011" s="117"/>
      <c r="AY2011" s="117"/>
      <c r="AZ2011" s="117"/>
      <c r="BA2011" s="117"/>
      <c r="BB2011" s="117"/>
      <c r="BC2011" s="117"/>
      <c r="BD2011" s="117"/>
      <c r="BE2011" s="117"/>
      <c r="BF2011" s="117"/>
      <c r="BG2011" s="117"/>
    </row>
    <row r="2012" spans="1:59">
      <c r="A2012" s="117"/>
      <c r="B2012" s="117"/>
      <c r="C2012" s="117"/>
      <c r="D2012" s="117"/>
      <c r="E2012" s="117"/>
      <c r="F2012" s="117"/>
      <c r="G2012" s="117"/>
      <c r="H2012" s="117"/>
      <c r="I2012" s="117"/>
      <c r="J2012" s="118"/>
      <c r="K2012" s="118"/>
      <c r="L2012" s="118"/>
      <c r="M2012" s="118"/>
      <c r="N2012" s="117"/>
      <c r="O2012" s="117"/>
      <c r="P2012" s="117"/>
      <c r="Q2012" s="117"/>
      <c r="R2012" s="117"/>
      <c r="S2012" s="117"/>
      <c r="T2012" s="117"/>
      <c r="U2012" s="117"/>
      <c r="V2012" s="117"/>
      <c r="W2012" s="117"/>
      <c r="X2012" s="117"/>
      <c r="Y2012" s="117"/>
      <c r="Z2012" s="117"/>
      <c r="AA2012" s="117"/>
      <c r="AB2012" s="117"/>
      <c r="AC2012" s="117"/>
      <c r="AD2012" s="117"/>
      <c r="AE2012" s="117"/>
      <c r="AF2012" s="117"/>
      <c r="AG2012" s="117"/>
      <c r="AH2012" s="117"/>
      <c r="AI2012" s="117"/>
      <c r="AJ2012" s="117"/>
      <c r="AK2012" s="117"/>
      <c r="AL2012" s="117"/>
      <c r="AM2012" s="117"/>
      <c r="AN2012" s="117"/>
      <c r="AO2012" s="117"/>
      <c r="AP2012" s="117"/>
      <c r="AQ2012" s="117"/>
      <c r="AR2012" s="117"/>
      <c r="AS2012" s="117"/>
      <c r="AT2012" s="117"/>
      <c r="AU2012" s="117"/>
      <c r="AV2012" s="117"/>
      <c r="AW2012" s="117"/>
      <c r="AX2012" s="117"/>
      <c r="AY2012" s="117"/>
      <c r="AZ2012" s="117"/>
      <c r="BA2012" s="117"/>
      <c r="BB2012" s="117"/>
      <c r="BC2012" s="117"/>
      <c r="BD2012" s="117"/>
      <c r="BE2012" s="117"/>
      <c r="BF2012" s="117"/>
      <c r="BG2012" s="117"/>
    </row>
    <row r="2013" spans="1:59">
      <c r="A2013" s="117"/>
      <c r="B2013" s="117"/>
      <c r="C2013" s="117"/>
      <c r="D2013" s="117"/>
      <c r="E2013" s="117"/>
      <c r="F2013" s="117"/>
      <c r="G2013" s="117"/>
      <c r="H2013" s="117"/>
      <c r="I2013" s="117"/>
      <c r="J2013" s="118"/>
      <c r="K2013" s="118"/>
      <c r="L2013" s="118"/>
      <c r="M2013" s="118"/>
      <c r="N2013" s="117"/>
      <c r="O2013" s="117"/>
      <c r="P2013" s="117"/>
      <c r="Q2013" s="117"/>
      <c r="R2013" s="117"/>
      <c r="S2013" s="117"/>
      <c r="T2013" s="117"/>
      <c r="U2013" s="117"/>
      <c r="V2013" s="117"/>
      <c r="W2013" s="117"/>
      <c r="X2013" s="117"/>
      <c r="Y2013" s="117"/>
      <c r="Z2013" s="117"/>
      <c r="AA2013" s="117"/>
      <c r="AB2013" s="117"/>
      <c r="AC2013" s="117"/>
      <c r="AD2013" s="117"/>
      <c r="AE2013" s="117"/>
      <c r="AF2013" s="117"/>
      <c r="AG2013" s="117"/>
      <c r="AH2013" s="117"/>
      <c r="AI2013" s="117"/>
      <c r="AJ2013" s="117"/>
      <c r="AK2013" s="117"/>
      <c r="AL2013" s="117"/>
      <c r="AM2013" s="117"/>
      <c r="AN2013" s="117"/>
      <c r="AO2013" s="117"/>
      <c r="AP2013" s="117"/>
      <c r="AQ2013" s="117"/>
      <c r="AR2013" s="117"/>
      <c r="AS2013" s="117"/>
      <c r="AT2013" s="117"/>
      <c r="AU2013" s="117"/>
      <c r="AV2013" s="117"/>
      <c r="AW2013" s="117"/>
      <c r="AX2013" s="117"/>
      <c r="AY2013" s="117"/>
      <c r="AZ2013" s="117"/>
      <c r="BA2013" s="117"/>
      <c r="BB2013" s="117"/>
      <c r="BC2013" s="117"/>
      <c r="BD2013" s="117"/>
      <c r="BE2013" s="117"/>
      <c r="BF2013" s="117"/>
      <c r="BG2013" s="117"/>
    </row>
    <row r="2014" spans="1:59">
      <c r="A2014" s="117"/>
      <c r="B2014" s="117"/>
      <c r="C2014" s="117"/>
      <c r="D2014" s="117"/>
      <c r="E2014" s="117"/>
      <c r="F2014" s="117"/>
      <c r="G2014" s="117"/>
      <c r="H2014" s="117"/>
      <c r="I2014" s="117"/>
      <c r="J2014" s="118"/>
      <c r="K2014" s="118"/>
      <c r="L2014" s="118"/>
      <c r="M2014" s="118"/>
      <c r="N2014" s="117"/>
      <c r="O2014" s="117"/>
      <c r="P2014" s="117"/>
      <c r="Q2014" s="117"/>
      <c r="R2014" s="117"/>
      <c r="S2014" s="117"/>
      <c r="T2014" s="117"/>
      <c r="U2014" s="117"/>
      <c r="V2014" s="117"/>
      <c r="W2014" s="117"/>
      <c r="X2014" s="117"/>
      <c r="Y2014" s="117"/>
      <c r="Z2014" s="117"/>
      <c r="AA2014" s="117"/>
      <c r="AB2014" s="117"/>
      <c r="AC2014" s="117"/>
      <c r="AD2014" s="117"/>
      <c r="AE2014" s="117"/>
      <c r="AF2014" s="117"/>
      <c r="AG2014" s="117"/>
      <c r="AH2014" s="117"/>
      <c r="AI2014" s="117"/>
      <c r="AJ2014" s="117"/>
      <c r="AK2014" s="117"/>
      <c r="AL2014" s="117"/>
      <c r="AM2014" s="117"/>
      <c r="AN2014" s="117"/>
      <c r="AO2014" s="117"/>
      <c r="AP2014" s="117"/>
      <c r="AQ2014" s="117"/>
      <c r="AR2014" s="117"/>
      <c r="AS2014" s="117"/>
      <c r="AT2014" s="117"/>
      <c r="AU2014" s="117"/>
      <c r="AV2014" s="117"/>
      <c r="AW2014" s="117"/>
      <c r="AX2014" s="117"/>
      <c r="AY2014" s="117"/>
      <c r="AZ2014" s="117"/>
      <c r="BA2014" s="117"/>
      <c r="BB2014" s="117"/>
      <c r="BC2014" s="117"/>
      <c r="BD2014" s="117"/>
      <c r="BE2014" s="117"/>
      <c r="BF2014" s="117"/>
      <c r="BG2014" s="117"/>
    </row>
    <row r="2015" spans="1:59">
      <c r="A2015" s="117"/>
      <c r="B2015" s="117"/>
      <c r="C2015" s="117"/>
      <c r="D2015" s="117"/>
      <c r="E2015" s="117"/>
      <c r="F2015" s="117"/>
      <c r="G2015" s="117"/>
      <c r="H2015" s="117"/>
      <c r="I2015" s="117"/>
      <c r="J2015" s="118"/>
      <c r="K2015" s="118"/>
      <c r="L2015" s="118"/>
      <c r="M2015" s="118"/>
      <c r="N2015" s="117"/>
      <c r="O2015" s="117"/>
      <c r="P2015" s="117"/>
      <c r="Q2015" s="117"/>
      <c r="R2015" s="117"/>
      <c r="S2015" s="117"/>
      <c r="T2015" s="117"/>
      <c r="U2015" s="117"/>
      <c r="V2015" s="117"/>
      <c r="W2015" s="117"/>
      <c r="X2015" s="117"/>
      <c r="Y2015" s="117"/>
      <c r="Z2015" s="117"/>
      <c r="AA2015" s="117"/>
      <c r="AB2015" s="117"/>
      <c r="AC2015" s="117"/>
      <c r="AD2015" s="117"/>
      <c r="AE2015" s="117"/>
      <c r="AF2015" s="117"/>
      <c r="AG2015" s="117"/>
      <c r="AH2015" s="117"/>
      <c r="AI2015" s="117"/>
      <c r="AJ2015" s="117"/>
      <c r="AK2015" s="117"/>
      <c r="AL2015" s="117"/>
      <c r="AM2015" s="117"/>
      <c r="AN2015" s="117"/>
      <c r="AO2015" s="117"/>
      <c r="AP2015" s="117"/>
      <c r="AQ2015" s="117"/>
      <c r="AR2015" s="117"/>
      <c r="AS2015" s="117"/>
      <c r="AT2015" s="117"/>
      <c r="AU2015" s="117"/>
      <c r="AV2015" s="117"/>
      <c r="AW2015" s="117"/>
      <c r="AX2015" s="117"/>
      <c r="AY2015" s="117"/>
      <c r="AZ2015" s="117"/>
      <c r="BA2015" s="117"/>
      <c r="BB2015" s="117"/>
      <c r="BC2015" s="117"/>
      <c r="BD2015" s="117"/>
      <c r="BE2015" s="117"/>
      <c r="BF2015" s="117"/>
      <c r="BG2015" s="117"/>
    </row>
    <row r="2016" spans="1:59">
      <c r="A2016" s="117"/>
      <c r="B2016" s="117"/>
      <c r="C2016" s="117"/>
      <c r="D2016" s="117"/>
      <c r="E2016" s="117"/>
      <c r="F2016" s="117"/>
      <c r="G2016" s="117"/>
      <c r="H2016" s="117"/>
      <c r="I2016" s="117"/>
      <c r="J2016" s="118"/>
      <c r="K2016" s="118"/>
      <c r="L2016" s="118"/>
      <c r="M2016" s="118"/>
      <c r="N2016" s="117"/>
      <c r="O2016" s="117"/>
      <c r="P2016" s="117"/>
      <c r="Q2016" s="117"/>
      <c r="R2016" s="117"/>
      <c r="S2016" s="117"/>
      <c r="T2016" s="117"/>
      <c r="U2016" s="117"/>
      <c r="V2016" s="117"/>
      <c r="W2016" s="117"/>
      <c r="X2016" s="117"/>
      <c r="Y2016" s="117"/>
      <c r="Z2016" s="117"/>
      <c r="AA2016" s="117"/>
      <c r="AB2016" s="117"/>
      <c r="AC2016" s="117"/>
      <c r="AD2016" s="117"/>
      <c r="AE2016" s="117"/>
      <c r="AF2016" s="117"/>
      <c r="AG2016" s="117"/>
      <c r="AH2016" s="117"/>
      <c r="AI2016" s="117"/>
      <c r="AJ2016" s="117"/>
      <c r="AK2016" s="117"/>
      <c r="AL2016" s="117"/>
      <c r="AM2016" s="117"/>
      <c r="AN2016" s="117"/>
      <c r="AO2016" s="117"/>
      <c r="AP2016" s="117"/>
      <c r="AQ2016" s="117"/>
      <c r="AR2016" s="117"/>
      <c r="AS2016" s="117"/>
      <c r="AT2016" s="117"/>
      <c r="AU2016" s="117"/>
      <c r="AV2016" s="117"/>
      <c r="AW2016" s="117"/>
      <c r="AX2016" s="117"/>
      <c r="AY2016" s="117"/>
      <c r="AZ2016" s="117"/>
      <c r="BA2016" s="117"/>
      <c r="BB2016" s="117"/>
      <c r="BC2016" s="117"/>
      <c r="BD2016" s="117"/>
      <c r="BE2016" s="117"/>
      <c r="BF2016" s="117"/>
      <c r="BG2016" s="117"/>
    </row>
    <row r="2017" spans="1:59">
      <c r="A2017" s="117"/>
      <c r="B2017" s="117"/>
      <c r="C2017" s="117"/>
      <c r="D2017" s="117"/>
      <c r="E2017" s="117"/>
      <c r="F2017" s="117"/>
      <c r="G2017" s="117"/>
      <c r="H2017" s="117"/>
      <c r="I2017" s="117"/>
      <c r="J2017" s="118"/>
      <c r="K2017" s="118"/>
      <c r="L2017" s="118"/>
      <c r="M2017" s="118"/>
      <c r="N2017" s="117"/>
      <c r="O2017" s="117"/>
      <c r="P2017" s="117"/>
      <c r="Q2017" s="117"/>
      <c r="R2017" s="117"/>
      <c r="S2017" s="117"/>
      <c r="T2017" s="117"/>
      <c r="U2017" s="117"/>
      <c r="V2017" s="117"/>
      <c r="W2017" s="117"/>
      <c r="X2017" s="117"/>
      <c r="Y2017" s="117"/>
      <c r="Z2017" s="117"/>
      <c r="AA2017" s="117"/>
      <c r="AB2017" s="117"/>
      <c r="AC2017" s="117"/>
      <c r="AD2017" s="117"/>
      <c r="AE2017" s="117"/>
      <c r="AF2017" s="117"/>
      <c r="AG2017" s="117"/>
      <c r="AH2017" s="117"/>
      <c r="AI2017" s="117"/>
      <c r="AJ2017" s="117"/>
      <c r="AK2017" s="117"/>
      <c r="AL2017" s="117"/>
      <c r="AM2017" s="117"/>
      <c r="AN2017" s="117"/>
      <c r="AO2017" s="117"/>
      <c r="AP2017" s="117"/>
      <c r="AQ2017" s="117"/>
      <c r="AR2017" s="117"/>
      <c r="AS2017" s="117"/>
      <c r="AT2017" s="117"/>
      <c r="AU2017" s="117"/>
      <c r="AV2017" s="117"/>
      <c r="AW2017" s="117"/>
      <c r="AX2017" s="117"/>
      <c r="AY2017" s="117"/>
      <c r="AZ2017" s="117"/>
      <c r="BA2017" s="117"/>
      <c r="BB2017" s="117"/>
      <c r="BC2017" s="117"/>
      <c r="BD2017" s="117"/>
      <c r="BE2017" s="117"/>
      <c r="BF2017" s="117"/>
      <c r="BG2017" s="117"/>
    </row>
    <row r="2018" spans="1:59">
      <c r="A2018" s="117"/>
      <c r="B2018" s="117"/>
      <c r="C2018" s="117"/>
      <c r="D2018" s="117"/>
      <c r="E2018" s="117"/>
      <c r="F2018" s="117"/>
      <c r="G2018" s="117"/>
      <c r="H2018" s="117"/>
      <c r="I2018" s="117"/>
      <c r="J2018" s="118"/>
      <c r="K2018" s="118"/>
      <c r="L2018" s="118"/>
      <c r="M2018" s="118"/>
      <c r="N2018" s="117"/>
      <c r="O2018" s="117"/>
      <c r="P2018" s="117"/>
      <c r="Q2018" s="117"/>
      <c r="R2018" s="117"/>
      <c r="S2018" s="117"/>
      <c r="T2018" s="117"/>
      <c r="U2018" s="117"/>
      <c r="V2018" s="117"/>
      <c r="W2018" s="117"/>
      <c r="X2018" s="117"/>
      <c r="Y2018" s="117"/>
      <c r="Z2018" s="117"/>
      <c r="AA2018" s="117"/>
      <c r="AB2018" s="117"/>
      <c r="AC2018" s="117"/>
      <c r="AD2018" s="117"/>
      <c r="AE2018" s="117"/>
      <c r="AF2018" s="117"/>
      <c r="AG2018" s="117"/>
      <c r="AH2018" s="117"/>
      <c r="AI2018" s="117"/>
      <c r="AJ2018" s="117"/>
      <c r="AK2018" s="117"/>
      <c r="AL2018" s="117"/>
      <c r="AM2018" s="117"/>
      <c r="AN2018" s="117"/>
      <c r="AO2018" s="117"/>
      <c r="AP2018" s="117"/>
      <c r="AQ2018" s="117"/>
      <c r="AR2018" s="117"/>
      <c r="AS2018" s="117"/>
      <c r="AT2018" s="117"/>
      <c r="AU2018" s="117"/>
      <c r="AV2018" s="117"/>
      <c r="AW2018" s="117"/>
      <c r="AX2018" s="117"/>
      <c r="AY2018" s="117"/>
      <c r="AZ2018" s="117"/>
      <c r="BA2018" s="117"/>
      <c r="BB2018" s="117"/>
      <c r="BC2018" s="117"/>
      <c r="BD2018" s="117"/>
      <c r="BE2018" s="117"/>
      <c r="BF2018" s="117"/>
      <c r="BG2018" s="117"/>
    </row>
    <row r="2019" spans="1:59">
      <c r="A2019" s="117"/>
      <c r="B2019" s="117"/>
      <c r="C2019" s="117"/>
      <c r="D2019" s="117"/>
      <c r="E2019" s="117"/>
      <c r="F2019" s="117"/>
      <c r="G2019" s="117"/>
      <c r="H2019" s="117"/>
      <c r="I2019" s="117"/>
      <c r="J2019" s="118"/>
      <c r="K2019" s="118"/>
      <c r="L2019" s="118"/>
      <c r="M2019" s="118"/>
      <c r="N2019" s="117"/>
      <c r="O2019" s="117"/>
      <c r="P2019" s="117"/>
      <c r="Q2019" s="117"/>
      <c r="R2019" s="117"/>
      <c r="S2019" s="117"/>
      <c r="T2019" s="117"/>
      <c r="U2019" s="117"/>
      <c r="V2019" s="117"/>
      <c r="W2019" s="117"/>
      <c r="X2019" s="117"/>
      <c r="Y2019" s="117"/>
      <c r="Z2019" s="117"/>
      <c r="AA2019" s="117"/>
      <c r="AB2019" s="117"/>
      <c r="AC2019" s="117"/>
      <c r="AD2019" s="117"/>
      <c r="AE2019" s="117"/>
      <c r="AF2019" s="117"/>
      <c r="AG2019" s="117"/>
      <c r="AH2019" s="117"/>
      <c r="AI2019" s="117"/>
      <c r="AJ2019" s="117"/>
      <c r="AK2019" s="117"/>
      <c r="AL2019" s="117"/>
      <c r="AM2019" s="117"/>
      <c r="AN2019" s="117"/>
      <c r="AO2019" s="117"/>
      <c r="AP2019" s="117"/>
      <c r="AQ2019" s="117"/>
      <c r="AR2019" s="117"/>
      <c r="AS2019" s="117"/>
      <c r="AT2019" s="117"/>
      <c r="AU2019" s="117"/>
      <c r="AV2019" s="117"/>
      <c r="AW2019" s="117"/>
      <c r="AX2019" s="117"/>
      <c r="AY2019" s="117"/>
      <c r="AZ2019" s="117"/>
      <c r="BA2019" s="117"/>
      <c r="BB2019" s="117"/>
      <c r="BC2019" s="117"/>
      <c r="BD2019" s="117"/>
      <c r="BE2019" s="117"/>
      <c r="BF2019" s="117"/>
      <c r="BG2019" s="117"/>
    </row>
    <row r="2020" spans="1:59">
      <c r="A2020" s="117"/>
      <c r="B2020" s="117"/>
      <c r="C2020" s="117"/>
      <c r="D2020" s="117"/>
      <c r="E2020" s="117"/>
      <c r="F2020" s="117"/>
      <c r="G2020" s="117"/>
      <c r="H2020" s="117"/>
      <c r="I2020" s="117"/>
      <c r="J2020" s="118"/>
      <c r="K2020" s="118"/>
      <c r="L2020" s="118"/>
      <c r="M2020" s="118"/>
      <c r="N2020" s="117"/>
      <c r="O2020" s="117"/>
      <c r="P2020" s="117"/>
      <c r="Q2020" s="117"/>
      <c r="R2020" s="117"/>
      <c r="S2020" s="117"/>
      <c r="T2020" s="117"/>
      <c r="U2020" s="117"/>
      <c r="V2020" s="117"/>
      <c r="W2020" s="117"/>
      <c r="X2020" s="117"/>
      <c r="Y2020" s="117"/>
      <c r="Z2020" s="117"/>
      <c r="AA2020" s="117"/>
      <c r="AB2020" s="117"/>
      <c r="AC2020" s="117"/>
      <c r="AD2020" s="117"/>
      <c r="AE2020" s="117"/>
      <c r="AF2020" s="117"/>
      <c r="AG2020" s="117"/>
      <c r="AH2020" s="117"/>
      <c r="AI2020" s="117"/>
      <c r="AJ2020" s="117"/>
      <c r="AK2020" s="117"/>
      <c r="AL2020" s="117"/>
      <c r="AM2020" s="117"/>
      <c r="AN2020" s="117"/>
      <c r="AO2020" s="117"/>
      <c r="AP2020" s="117"/>
      <c r="AQ2020" s="117"/>
      <c r="AR2020" s="117"/>
      <c r="AS2020" s="117"/>
      <c r="AT2020" s="117"/>
      <c r="AU2020" s="117"/>
      <c r="AV2020" s="117"/>
      <c r="AW2020" s="117"/>
      <c r="AX2020" s="117"/>
      <c r="AY2020" s="117"/>
      <c r="AZ2020" s="117"/>
      <c r="BA2020" s="117"/>
      <c r="BB2020" s="117"/>
      <c r="BC2020" s="117"/>
      <c r="BD2020" s="117"/>
      <c r="BE2020" s="117"/>
      <c r="BF2020" s="117"/>
      <c r="BG2020" s="117"/>
    </row>
    <row r="2021" spans="1:59">
      <c r="A2021" s="117"/>
      <c r="B2021" s="117"/>
      <c r="C2021" s="117"/>
      <c r="D2021" s="117"/>
      <c r="E2021" s="117"/>
      <c r="F2021" s="117"/>
      <c r="G2021" s="117"/>
      <c r="H2021" s="117"/>
      <c r="I2021" s="117"/>
      <c r="J2021" s="118"/>
      <c r="K2021" s="118"/>
      <c r="L2021" s="118"/>
      <c r="M2021" s="118"/>
      <c r="N2021" s="117"/>
      <c r="O2021" s="117"/>
      <c r="P2021" s="117"/>
      <c r="Q2021" s="117"/>
      <c r="R2021" s="117"/>
      <c r="S2021" s="117"/>
      <c r="T2021" s="117"/>
      <c r="U2021" s="117"/>
      <c r="V2021" s="117"/>
      <c r="W2021" s="117"/>
      <c r="X2021" s="117"/>
      <c r="Y2021" s="117"/>
      <c r="Z2021" s="117"/>
      <c r="AA2021" s="117"/>
      <c r="AB2021" s="117"/>
      <c r="AC2021" s="117"/>
      <c r="AD2021" s="117"/>
      <c r="AE2021" s="117"/>
      <c r="AF2021" s="117"/>
      <c r="AG2021" s="117"/>
      <c r="AH2021" s="117"/>
      <c r="AI2021" s="117"/>
      <c r="AJ2021" s="117"/>
      <c r="AK2021" s="117"/>
      <c r="AL2021" s="117"/>
      <c r="AM2021" s="117"/>
      <c r="AN2021" s="117"/>
      <c r="AO2021" s="117"/>
      <c r="AP2021" s="117"/>
      <c r="AQ2021" s="117"/>
      <c r="AR2021" s="117"/>
      <c r="AS2021" s="117"/>
      <c r="AT2021" s="117"/>
      <c r="AU2021" s="117"/>
      <c r="AV2021" s="117"/>
      <c r="AW2021" s="117"/>
      <c r="AX2021" s="117"/>
      <c r="AY2021" s="117"/>
      <c r="AZ2021" s="117"/>
      <c r="BA2021" s="117"/>
      <c r="BB2021" s="117"/>
      <c r="BC2021" s="117"/>
      <c r="BD2021" s="117"/>
      <c r="BE2021" s="117"/>
      <c r="BF2021" s="117"/>
      <c r="BG2021" s="117"/>
    </row>
    <row r="2022" spans="1:59">
      <c r="A2022" s="117"/>
      <c r="B2022" s="117"/>
      <c r="C2022" s="117"/>
      <c r="D2022" s="117"/>
      <c r="E2022" s="117"/>
      <c r="F2022" s="117"/>
      <c r="G2022" s="117"/>
      <c r="H2022" s="117"/>
      <c r="I2022" s="117"/>
      <c r="J2022" s="118"/>
      <c r="K2022" s="118"/>
      <c r="L2022" s="118"/>
      <c r="M2022" s="118"/>
      <c r="N2022" s="117"/>
      <c r="O2022" s="117"/>
      <c r="P2022" s="117"/>
      <c r="Q2022" s="117"/>
      <c r="R2022" s="117"/>
      <c r="S2022" s="117"/>
      <c r="T2022" s="117"/>
      <c r="U2022" s="117"/>
      <c r="V2022" s="117"/>
      <c r="W2022" s="117"/>
      <c r="X2022" s="117"/>
      <c r="Y2022" s="117"/>
      <c r="Z2022" s="117"/>
      <c r="AA2022" s="117"/>
      <c r="AB2022" s="117"/>
      <c r="AC2022" s="117"/>
      <c r="AD2022" s="117"/>
      <c r="AE2022" s="117"/>
      <c r="AF2022" s="117"/>
      <c r="AG2022" s="117"/>
      <c r="AH2022" s="117"/>
      <c r="AI2022" s="117"/>
      <c r="AJ2022" s="117"/>
      <c r="AK2022" s="117"/>
      <c r="AL2022" s="117"/>
      <c r="AM2022" s="117"/>
      <c r="AN2022" s="117"/>
      <c r="AO2022" s="117"/>
      <c r="AP2022" s="117"/>
      <c r="AQ2022" s="117"/>
      <c r="AR2022" s="117"/>
      <c r="AS2022" s="117"/>
      <c r="AT2022" s="117"/>
      <c r="AU2022" s="117"/>
      <c r="AV2022" s="117"/>
      <c r="AW2022" s="117"/>
      <c r="AX2022" s="117"/>
      <c r="AY2022" s="117"/>
      <c r="AZ2022" s="117"/>
      <c r="BA2022" s="117"/>
      <c r="BB2022" s="117"/>
      <c r="BC2022" s="117"/>
      <c r="BD2022" s="117"/>
      <c r="BE2022" s="117"/>
      <c r="BF2022" s="117"/>
      <c r="BG2022" s="117"/>
    </row>
    <row r="2023" spans="1:59">
      <c r="A2023" s="117"/>
      <c r="B2023" s="117"/>
      <c r="C2023" s="117"/>
      <c r="D2023" s="117"/>
      <c r="E2023" s="117"/>
      <c r="F2023" s="117"/>
      <c r="G2023" s="117"/>
      <c r="H2023" s="117"/>
      <c r="I2023" s="117"/>
      <c r="J2023" s="118"/>
      <c r="K2023" s="118"/>
      <c r="L2023" s="118"/>
      <c r="M2023" s="118"/>
      <c r="N2023" s="117"/>
      <c r="O2023" s="117"/>
      <c r="P2023" s="117"/>
      <c r="Q2023" s="117"/>
      <c r="R2023" s="117"/>
      <c r="S2023" s="117"/>
      <c r="T2023" s="117"/>
      <c r="U2023" s="117"/>
      <c r="V2023" s="117"/>
      <c r="W2023" s="117"/>
      <c r="X2023" s="117"/>
      <c r="Y2023" s="117"/>
      <c r="Z2023" s="117"/>
      <c r="AA2023" s="117"/>
      <c r="AB2023" s="117"/>
      <c r="AC2023" s="117"/>
      <c r="AD2023" s="117"/>
      <c r="AE2023" s="117"/>
      <c r="AF2023" s="117"/>
      <c r="AG2023" s="117"/>
      <c r="AH2023" s="117"/>
      <c r="AI2023" s="117"/>
      <c r="AJ2023" s="117"/>
      <c r="AK2023" s="117"/>
      <c r="AL2023" s="117"/>
      <c r="AM2023" s="117"/>
      <c r="AN2023" s="117"/>
      <c r="AO2023" s="117"/>
      <c r="AP2023" s="117"/>
      <c r="AQ2023" s="117"/>
      <c r="AR2023" s="117"/>
      <c r="AS2023" s="117"/>
      <c r="AT2023" s="117"/>
      <c r="AU2023" s="117"/>
      <c r="AV2023" s="117"/>
      <c r="AW2023" s="117"/>
      <c r="AX2023" s="117"/>
      <c r="AY2023" s="117"/>
      <c r="AZ2023" s="117"/>
      <c r="BA2023" s="117"/>
      <c r="BB2023" s="117"/>
      <c r="BC2023" s="117"/>
      <c r="BD2023" s="117"/>
      <c r="BE2023" s="117"/>
      <c r="BF2023" s="117"/>
      <c r="BG2023" s="117"/>
    </row>
    <row r="2024" spans="1:59">
      <c r="A2024" s="117"/>
      <c r="B2024" s="117"/>
      <c r="C2024" s="117"/>
      <c r="D2024" s="117"/>
      <c r="E2024" s="117"/>
      <c r="F2024" s="117"/>
      <c r="G2024" s="117"/>
      <c r="H2024" s="117"/>
      <c r="I2024" s="117"/>
      <c r="J2024" s="118"/>
      <c r="K2024" s="118"/>
      <c r="L2024" s="118"/>
      <c r="M2024" s="118"/>
      <c r="N2024" s="117"/>
      <c r="O2024" s="117"/>
      <c r="P2024" s="117"/>
      <c r="Q2024" s="117"/>
      <c r="R2024" s="117"/>
      <c r="S2024" s="117"/>
      <c r="T2024" s="117"/>
      <c r="U2024" s="117"/>
      <c r="V2024" s="117"/>
      <c r="W2024" s="117"/>
      <c r="X2024" s="117"/>
      <c r="Y2024" s="117"/>
      <c r="Z2024" s="117"/>
      <c r="AA2024" s="117"/>
      <c r="AB2024" s="117"/>
      <c r="AC2024" s="117"/>
      <c r="AD2024" s="117"/>
      <c r="AE2024" s="117"/>
      <c r="AF2024" s="117"/>
      <c r="AG2024" s="117"/>
      <c r="AH2024" s="117"/>
      <c r="AI2024" s="117"/>
      <c r="AJ2024" s="117"/>
      <c r="AK2024" s="117"/>
      <c r="AL2024" s="117"/>
      <c r="AM2024" s="117"/>
      <c r="AN2024" s="117"/>
      <c r="AO2024" s="117"/>
      <c r="AP2024" s="117"/>
      <c r="AQ2024" s="117"/>
      <c r="AR2024" s="117"/>
      <c r="AS2024" s="117"/>
      <c r="AT2024" s="117"/>
      <c r="AU2024" s="117"/>
      <c r="AV2024" s="117"/>
      <c r="AW2024" s="117"/>
      <c r="AX2024" s="117"/>
      <c r="AY2024" s="117"/>
      <c r="AZ2024" s="117"/>
      <c r="BA2024" s="117"/>
      <c r="BB2024" s="117"/>
      <c r="BC2024" s="117"/>
      <c r="BD2024" s="117"/>
      <c r="BE2024" s="117"/>
      <c r="BF2024" s="117"/>
      <c r="BG2024" s="117"/>
    </row>
    <row r="2025" spans="1:59">
      <c r="A2025" s="117"/>
      <c r="B2025" s="117"/>
      <c r="C2025" s="117"/>
      <c r="D2025" s="117"/>
      <c r="E2025" s="117"/>
      <c r="F2025" s="117"/>
      <c r="G2025" s="117"/>
      <c r="H2025" s="117"/>
      <c r="I2025" s="117"/>
      <c r="J2025" s="118"/>
      <c r="K2025" s="118"/>
      <c r="L2025" s="118"/>
      <c r="M2025" s="118"/>
      <c r="N2025" s="117"/>
      <c r="O2025" s="117"/>
      <c r="P2025" s="117"/>
      <c r="Q2025" s="117"/>
      <c r="R2025" s="117"/>
      <c r="S2025" s="117"/>
      <c r="T2025" s="117"/>
      <c r="U2025" s="117"/>
      <c r="V2025" s="117"/>
      <c r="W2025" s="117"/>
      <c r="X2025" s="117"/>
      <c r="Y2025" s="117"/>
      <c r="Z2025" s="117"/>
      <c r="AA2025" s="117"/>
      <c r="AB2025" s="117"/>
      <c r="AC2025" s="117"/>
      <c r="AD2025" s="117"/>
      <c r="AE2025" s="117"/>
      <c r="AF2025" s="117"/>
      <c r="AG2025" s="117"/>
      <c r="AH2025" s="117"/>
      <c r="AI2025" s="117"/>
      <c r="AJ2025" s="117"/>
      <c r="AK2025" s="117"/>
      <c r="AL2025" s="117"/>
      <c r="AM2025" s="117"/>
      <c r="AN2025" s="117"/>
      <c r="AO2025" s="117"/>
      <c r="AP2025" s="117"/>
      <c r="AQ2025" s="117"/>
      <c r="AR2025" s="117"/>
      <c r="AS2025" s="117"/>
      <c r="AT2025" s="117"/>
      <c r="AU2025" s="117"/>
      <c r="AV2025" s="117"/>
      <c r="AW2025" s="117"/>
      <c r="AX2025" s="117"/>
      <c r="AY2025" s="117"/>
      <c r="AZ2025" s="117"/>
      <c r="BA2025" s="117"/>
      <c r="BB2025" s="117"/>
      <c r="BC2025" s="117"/>
      <c r="BD2025" s="117"/>
      <c r="BE2025" s="117"/>
      <c r="BF2025" s="117"/>
      <c r="BG2025" s="117"/>
    </row>
    <row r="2026" spans="1:59">
      <c r="A2026" s="117"/>
      <c r="B2026" s="117"/>
      <c r="C2026" s="117"/>
      <c r="D2026" s="117"/>
      <c r="E2026" s="117"/>
      <c r="F2026" s="117"/>
      <c r="G2026" s="117"/>
      <c r="H2026" s="117"/>
      <c r="I2026" s="117"/>
      <c r="J2026" s="118"/>
      <c r="K2026" s="118"/>
      <c r="L2026" s="118"/>
      <c r="M2026" s="118"/>
      <c r="N2026" s="117"/>
      <c r="O2026" s="117"/>
      <c r="P2026" s="117"/>
      <c r="Q2026" s="117"/>
      <c r="R2026" s="117"/>
      <c r="S2026" s="117"/>
      <c r="T2026" s="117"/>
      <c r="U2026" s="117"/>
      <c r="V2026" s="117"/>
      <c r="W2026" s="117"/>
      <c r="X2026" s="117"/>
      <c r="Y2026" s="117"/>
      <c r="Z2026" s="117"/>
      <c r="AA2026" s="117"/>
      <c r="AB2026" s="117"/>
      <c r="AC2026" s="117"/>
      <c r="AD2026" s="117"/>
      <c r="AE2026" s="117"/>
      <c r="AF2026" s="117"/>
      <c r="AG2026" s="117"/>
      <c r="AH2026" s="117"/>
      <c r="AI2026" s="117"/>
      <c r="AJ2026" s="117"/>
      <c r="AK2026" s="117"/>
      <c r="AL2026" s="117"/>
      <c r="AM2026" s="117"/>
      <c r="AN2026" s="117"/>
      <c r="AO2026" s="117"/>
      <c r="AP2026" s="117"/>
      <c r="AQ2026" s="117"/>
      <c r="AR2026" s="117"/>
      <c r="AS2026" s="117"/>
      <c r="AT2026" s="117"/>
      <c r="AU2026" s="117"/>
      <c r="AV2026" s="117"/>
      <c r="AW2026" s="117"/>
      <c r="AX2026" s="117"/>
      <c r="AY2026" s="117"/>
      <c r="AZ2026" s="117"/>
      <c r="BA2026" s="117"/>
      <c r="BB2026" s="117"/>
      <c r="BC2026" s="117"/>
      <c r="BD2026" s="117"/>
      <c r="BE2026" s="117"/>
      <c r="BF2026" s="117"/>
      <c r="BG2026" s="117"/>
    </row>
    <row r="2027" spans="1:59">
      <c r="A2027" s="117"/>
      <c r="B2027" s="117"/>
      <c r="C2027" s="117"/>
      <c r="D2027" s="117"/>
      <c r="E2027" s="117"/>
      <c r="F2027" s="117"/>
      <c r="G2027" s="117"/>
      <c r="H2027" s="117"/>
      <c r="I2027" s="117"/>
      <c r="J2027" s="118"/>
      <c r="K2027" s="118"/>
      <c r="L2027" s="118"/>
      <c r="M2027" s="118"/>
      <c r="N2027" s="117"/>
      <c r="O2027" s="117"/>
      <c r="P2027" s="117"/>
      <c r="Q2027" s="117"/>
      <c r="R2027" s="117"/>
      <c r="S2027" s="117"/>
      <c r="T2027" s="117"/>
      <c r="U2027" s="117"/>
      <c r="V2027" s="117"/>
      <c r="W2027" s="117"/>
      <c r="X2027" s="117"/>
      <c r="Y2027" s="117"/>
      <c r="Z2027" s="117"/>
      <c r="AA2027" s="117"/>
      <c r="AB2027" s="117"/>
      <c r="AC2027" s="117"/>
      <c r="AD2027" s="117"/>
      <c r="AE2027" s="117"/>
      <c r="AF2027" s="117"/>
      <c r="AG2027" s="117"/>
      <c r="AH2027" s="117"/>
      <c r="AI2027" s="117"/>
      <c r="AJ2027" s="117"/>
      <c r="AK2027" s="117"/>
      <c r="AL2027" s="117"/>
      <c r="AM2027" s="117"/>
      <c r="AN2027" s="117"/>
      <c r="AO2027" s="117"/>
      <c r="AP2027" s="117"/>
      <c r="AQ2027" s="117"/>
      <c r="AR2027" s="117"/>
      <c r="AS2027" s="117"/>
      <c r="AT2027" s="117"/>
      <c r="AU2027" s="117"/>
      <c r="AV2027" s="117"/>
      <c r="AW2027" s="117"/>
      <c r="AX2027" s="117"/>
      <c r="AY2027" s="117"/>
      <c r="AZ2027" s="117"/>
      <c r="BA2027" s="117"/>
      <c r="BB2027" s="117"/>
      <c r="BC2027" s="117"/>
      <c r="BD2027" s="117"/>
      <c r="BE2027" s="117"/>
      <c r="BF2027" s="117"/>
      <c r="BG2027" s="117"/>
    </row>
    <row r="2028" spans="1:59">
      <c r="A2028" s="117"/>
      <c r="B2028" s="117"/>
      <c r="C2028" s="117"/>
      <c r="D2028" s="117"/>
      <c r="E2028" s="117"/>
      <c r="F2028" s="117"/>
      <c r="G2028" s="117"/>
      <c r="H2028" s="117"/>
      <c r="I2028" s="117"/>
      <c r="J2028" s="118"/>
      <c r="K2028" s="118"/>
      <c r="L2028" s="118"/>
      <c r="M2028" s="118"/>
      <c r="N2028" s="117"/>
      <c r="O2028" s="117"/>
      <c r="P2028" s="117"/>
      <c r="Q2028" s="117"/>
      <c r="R2028" s="117"/>
      <c r="S2028" s="117"/>
      <c r="T2028" s="117"/>
      <c r="U2028" s="117"/>
      <c r="V2028" s="117"/>
      <c r="W2028" s="117"/>
      <c r="X2028" s="117"/>
      <c r="Y2028" s="117"/>
      <c r="Z2028" s="117"/>
      <c r="AA2028" s="117"/>
      <c r="AB2028" s="117"/>
      <c r="AC2028" s="117"/>
      <c r="AD2028" s="117"/>
      <c r="AE2028" s="117"/>
      <c r="AF2028" s="117"/>
      <c r="AG2028" s="117"/>
      <c r="AH2028" s="117"/>
      <c r="AI2028" s="117"/>
      <c r="AJ2028" s="117"/>
      <c r="AK2028" s="117"/>
      <c r="AL2028" s="117"/>
      <c r="AM2028" s="117"/>
      <c r="AN2028" s="117"/>
      <c r="AO2028" s="117"/>
      <c r="AP2028" s="117"/>
      <c r="AQ2028" s="117"/>
      <c r="AR2028" s="117"/>
      <c r="AS2028" s="117"/>
      <c r="AT2028" s="117"/>
      <c r="AU2028" s="117"/>
      <c r="AV2028" s="117"/>
      <c r="AW2028" s="117"/>
      <c r="AX2028" s="117"/>
      <c r="AY2028" s="117"/>
      <c r="AZ2028" s="117"/>
      <c r="BA2028" s="117"/>
      <c r="BB2028" s="117"/>
      <c r="BC2028" s="117"/>
      <c r="BD2028" s="117"/>
      <c r="BE2028" s="117"/>
      <c r="BF2028" s="117"/>
      <c r="BG2028" s="117"/>
    </row>
    <row r="2029" spans="1:59">
      <c r="A2029" s="117"/>
      <c r="B2029" s="117"/>
      <c r="C2029" s="117"/>
      <c r="D2029" s="117"/>
      <c r="E2029" s="117"/>
      <c r="F2029" s="117"/>
      <c r="G2029" s="117"/>
      <c r="H2029" s="117"/>
      <c r="I2029" s="117"/>
      <c r="J2029" s="118"/>
      <c r="K2029" s="118"/>
      <c r="L2029" s="118"/>
      <c r="M2029" s="118"/>
      <c r="N2029" s="117"/>
      <c r="O2029" s="117"/>
      <c r="P2029" s="117"/>
      <c r="Q2029" s="117"/>
      <c r="R2029" s="117"/>
      <c r="S2029" s="117"/>
      <c r="T2029" s="117"/>
      <c r="U2029" s="117"/>
      <c r="V2029" s="117"/>
      <c r="W2029" s="117"/>
      <c r="X2029" s="117"/>
      <c r="Y2029" s="117"/>
      <c r="Z2029" s="117"/>
      <c r="AA2029" s="117"/>
      <c r="AB2029" s="117"/>
      <c r="AC2029" s="117"/>
      <c r="AD2029" s="117"/>
      <c r="AE2029" s="117"/>
      <c r="AF2029" s="117"/>
      <c r="AG2029" s="117"/>
      <c r="AH2029" s="117"/>
      <c r="AI2029" s="117"/>
      <c r="AJ2029" s="117"/>
      <c r="AK2029" s="117"/>
      <c r="AL2029" s="117"/>
      <c r="AM2029" s="117"/>
      <c r="AN2029" s="117"/>
      <c r="AO2029" s="117"/>
      <c r="AP2029" s="117"/>
      <c r="AQ2029" s="117"/>
      <c r="AR2029" s="117"/>
      <c r="AS2029" s="117"/>
      <c r="AT2029" s="117"/>
      <c r="AU2029" s="117"/>
      <c r="AV2029" s="117"/>
      <c r="AW2029" s="117"/>
      <c r="AX2029" s="117"/>
      <c r="AY2029" s="117"/>
      <c r="AZ2029" s="117"/>
      <c r="BA2029" s="117"/>
      <c r="BB2029" s="117"/>
      <c r="BC2029" s="117"/>
      <c r="BD2029" s="117"/>
      <c r="BE2029" s="117"/>
      <c r="BF2029" s="117"/>
      <c r="BG2029" s="117"/>
    </row>
    <row r="2030" spans="1:59">
      <c r="A2030" s="117"/>
      <c r="B2030" s="117"/>
      <c r="C2030" s="117"/>
      <c r="D2030" s="117"/>
      <c r="E2030" s="117"/>
      <c r="F2030" s="117"/>
      <c r="G2030" s="117"/>
      <c r="H2030" s="117"/>
      <c r="I2030" s="117"/>
      <c r="J2030" s="118"/>
      <c r="K2030" s="118"/>
      <c r="L2030" s="118"/>
      <c r="M2030" s="118"/>
      <c r="N2030" s="117"/>
      <c r="O2030" s="117"/>
      <c r="P2030" s="117"/>
      <c r="Q2030" s="117"/>
      <c r="R2030" s="117"/>
      <c r="S2030" s="117"/>
      <c r="T2030" s="117"/>
      <c r="U2030" s="117"/>
      <c r="V2030" s="117"/>
      <c r="W2030" s="117"/>
      <c r="X2030" s="117"/>
      <c r="Y2030" s="117"/>
      <c r="Z2030" s="117"/>
      <c r="AA2030" s="117"/>
      <c r="AB2030" s="117"/>
      <c r="AC2030" s="117"/>
      <c r="AD2030" s="117"/>
      <c r="AE2030" s="117"/>
      <c r="AF2030" s="117"/>
      <c r="AG2030" s="117"/>
      <c r="AH2030" s="117"/>
      <c r="AI2030" s="117"/>
      <c r="AJ2030" s="117"/>
      <c r="AK2030" s="117"/>
      <c r="AL2030" s="117"/>
      <c r="AM2030" s="117"/>
      <c r="AN2030" s="117"/>
      <c r="AO2030" s="117"/>
      <c r="AP2030" s="117"/>
      <c r="AQ2030" s="117"/>
      <c r="AR2030" s="117"/>
      <c r="AS2030" s="117"/>
      <c r="AT2030" s="117"/>
      <c r="AU2030" s="117"/>
      <c r="AV2030" s="117"/>
      <c r="AW2030" s="117"/>
      <c r="AX2030" s="117"/>
      <c r="AY2030" s="117"/>
      <c r="AZ2030" s="117"/>
      <c r="BA2030" s="117"/>
      <c r="BB2030" s="117"/>
      <c r="BC2030" s="117"/>
      <c r="BD2030" s="117"/>
      <c r="BE2030" s="117"/>
      <c r="BF2030" s="117"/>
      <c r="BG2030" s="117"/>
    </row>
    <row r="2031" spans="1:59">
      <c r="A2031" s="117"/>
      <c r="B2031" s="117"/>
      <c r="C2031" s="117"/>
      <c r="D2031" s="117"/>
      <c r="E2031" s="117"/>
      <c r="F2031" s="117"/>
      <c r="G2031" s="117"/>
      <c r="H2031" s="117"/>
      <c r="I2031" s="117"/>
      <c r="J2031" s="118"/>
      <c r="K2031" s="118"/>
      <c r="L2031" s="118"/>
      <c r="M2031" s="118"/>
      <c r="N2031" s="117"/>
      <c r="O2031" s="117"/>
      <c r="P2031" s="117"/>
      <c r="Q2031" s="117"/>
      <c r="R2031" s="117"/>
      <c r="S2031" s="117"/>
      <c r="T2031" s="117"/>
      <c r="U2031" s="117"/>
      <c r="V2031" s="117"/>
      <c r="W2031" s="117"/>
      <c r="X2031" s="117"/>
      <c r="Y2031" s="117"/>
      <c r="Z2031" s="117"/>
      <c r="AA2031" s="117"/>
      <c r="AB2031" s="117"/>
      <c r="AC2031" s="117"/>
      <c r="AD2031" s="117"/>
      <c r="AE2031" s="117"/>
      <c r="AF2031" s="117"/>
      <c r="AG2031" s="117"/>
      <c r="AH2031" s="117"/>
      <c r="AI2031" s="117"/>
      <c r="AJ2031" s="117"/>
      <c r="AK2031" s="117"/>
      <c r="AL2031" s="117"/>
      <c r="AM2031" s="117"/>
      <c r="AN2031" s="117"/>
      <c r="AO2031" s="117"/>
      <c r="AP2031" s="117"/>
      <c r="AQ2031" s="117"/>
      <c r="AR2031" s="117"/>
      <c r="AS2031" s="117"/>
      <c r="AT2031" s="117"/>
      <c r="AU2031" s="117"/>
      <c r="AV2031" s="117"/>
      <c r="AW2031" s="117"/>
      <c r="AX2031" s="117"/>
      <c r="AY2031" s="117"/>
      <c r="AZ2031" s="117"/>
      <c r="BA2031" s="117"/>
      <c r="BB2031" s="117"/>
      <c r="BC2031" s="117"/>
      <c r="BD2031" s="117"/>
      <c r="BE2031" s="117"/>
      <c r="BF2031" s="117"/>
      <c r="BG2031" s="117"/>
    </row>
    <row r="2032" spans="1:59">
      <c r="A2032" s="117"/>
      <c r="B2032" s="117"/>
      <c r="C2032" s="117"/>
      <c r="D2032" s="117"/>
      <c r="E2032" s="117"/>
      <c r="F2032" s="117"/>
      <c r="G2032" s="117"/>
      <c r="H2032" s="117"/>
      <c r="I2032" s="117"/>
      <c r="J2032" s="118"/>
      <c r="K2032" s="118"/>
      <c r="L2032" s="118"/>
      <c r="M2032" s="118"/>
      <c r="N2032" s="117"/>
      <c r="O2032" s="117"/>
      <c r="P2032" s="117"/>
      <c r="Q2032" s="117"/>
      <c r="R2032" s="117"/>
      <c r="S2032" s="117"/>
      <c r="T2032" s="117"/>
      <c r="U2032" s="117"/>
      <c r="V2032" s="117"/>
      <c r="W2032" s="117"/>
      <c r="X2032" s="117"/>
      <c r="Y2032" s="117"/>
      <c r="Z2032" s="117"/>
      <c r="AA2032" s="117"/>
      <c r="AB2032" s="117"/>
      <c r="AC2032" s="117"/>
      <c r="AD2032" s="117"/>
      <c r="AE2032" s="117"/>
      <c r="AF2032" s="117"/>
      <c r="AG2032" s="117"/>
      <c r="AH2032" s="117"/>
      <c r="AI2032" s="117"/>
      <c r="AJ2032" s="117"/>
      <c r="AK2032" s="117"/>
      <c r="AL2032" s="117"/>
      <c r="AM2032" s="117"/>
      <c r="AN2032" s="117"/>
      <c r="AO2032" s="117"/>
      <c r="AP2032" s="117"/>
      <c r="AQ2032" s="117"/>
      <c r="AR2032" s="117"/>
      <c r="AS2032" s="117"/>
      <c r="AT2032" s="117"/>
      <c r="AU2032" s="117"/>
      <c r="AV2032" s="117"/>
      <c r="AW2032" s="117"/>
      <c r="AX2032" s="117"/>
      <c r="AY2032" s="117"/>
      <c r="AZ2032" s="117"/>
      <c r="BA2032" s="117"/>
      <c r="BB2032" s="117"/>
      <c r="BC2032" s="117"/>
      <c r="BD2032" s="117"/>
      <c r="BE2032" s="117"/>
      <c r="BF2032" s="117"/>
      <c r="BG2032" s="117"/>
    </row>
    <row r="2033" spans="1:59">
      <c r="A2033" s="117"/>
      <c r="B2033" s="117"/>
      <c r="C2033" s="117"/>
      <c r="D2033" s="117"/>
      <c r="E2033" s="117"/>
      <c r="F2033" s="117"/>
      <c r="G2033" s="117"/>
      <c r="H2033" s="117"/>
      <c r="I2033" s="117"/>
      <c r="J2033" s="118"/>
      <c r="K2033" s="118"/>
      <c r="L2033" s="118"/>
      <c r="M2033" s="118"/>
      <c r="N2033" s="117"/>
      <c r="O2033" s="117"/>
      <c r="P2033" s="117"/>
      <c r="Q2033" s="117"/>
      <c r="R2033" s="117"/>
      <c r="S2033" s="117"/>
      <c r="T2033" s="117"/>
      <c r="U2033" s="117"/>
      <c r="V2033" s="117"/>
      <c r="W2033" s="117"/>
      <c r="X2033" s="117"/>
      <c r="Y2033" s="117"/>
      <c r="Z2033" s="117"/>
      <c r="AA2033" s="117"/>
      <c r="AB2033" s="117"/>
      <c r="AC2033" s="117"/>
      <c r="AD2033" s="117"/>
      <c r="AE2033" s="117"/>
      <c r="AF2033" s="117"/>
      <c r="AG2033" s="117"/>
      <c r="AH2033" s="117"/>
      <c r="AI2033" s="117"/>
      <c r="AJ2033" s="117"/>
      <c r="AK2033" s="117"/>
      <c r="AL2033" s="117"/>
      <c r="AM2033" s="117"/>
      <c r="AN2033" s="117"/>
      <c r="AO2033" s="117"/>
      <c r="AP2033" s="117"/>
      <c r="AQ2033" s="117"/>
      <c r="AR2033" s="117"/>
      <c r="AS2033" s="117"/>
      <c r="AT2033" s="117"/>
      <c r="AU2033" s="117"/>
      <c r="AV2033" s="117"/>
      <c r="AW2033" s="117"/>
      <c r="AX2033" s="117"/>
      <c r="AY2033" s="117"/>
      <c r="AZ2033" s="117"/>
      <c r="BA2033" s="117"/>
      <c r="BB2033" s="117"/>
      <c r="BC2033" s="117"/>
      <c r="BD2033" s="117"/>
      <c r="BE2033" s="117"/>
      <c r="BF2033" s="117"/>
      <c r="BG2033" s="117"/>
    </row>
    <row r="2034" spans="1:59">
      <c r="A2034" s="117"/>
      <c r="B2034" s="117"/>
      <c r="C2034" s="117"/>
      <c r="D2034" s="117"/>
      <c r="E2034" s="117"/>
      <c r="F2034" s="117"/>
      <c r="G2034" s="117"/>
      <c r="H2034" s="117"/>
      <c r="I2034" s="117"/>
      <c r="J2034" s="118"/>
      <c r="K2034" s="118"/>
      <c r="L2034" s="118"/>
      <c r="M2034" s="118"/>
      <c r="N2034" s="117"/>
      <c r="O2034" s="117"/>
      <c r="P2034" s="117"/>
      <c r="Q2034" s="117"/>
      <c r="R2034" s="117"/>
      <c r="S2034" s="117"/>
      <c r="T2034" s="117"/>
      <c r="U2034" s="117"/>
      <c r="V2034" s="117"/>
      <c r="W2034" s="117"/>
      <c r="X2034" s="117"/>
      <c r="Y2034" s="117"/>
      <c r="Z2034" s="117"/>
      <c r="AA2034" s="117"/>
      <c r="AB2034" s="117"/>
      <c r="AC2034" s="117"/>
      <c r="AD2034" s="117"/>
      <c r="AE2034" s="117"/>
      <c r="AF2034" s="117"/>
      <c r="AG2034" s="117"/>
      <c r="AH2034" s="117"/>
      <c r="AI2034" s="117"/>
      <c r="AJ2034" s="117"/>
      <c r="AK2034" s="117"/>
      <c r="AL2034" s="117"/>
      <c r="AM2034" s="117"/>
      <c r="AN2034" s="117"/>
      <c r="AO2034" s="117"/>
      <c r="AP2034" s="117"/>
      <c r="AQ2034" s="117"/>
      <c r="AR2034" s="117"/>
      <c r="AS2034" s="117"/>
      <c r="AT2034" s="117"/>
      <c r="AU2034" s="117"/>
      <c r="AV2034" s="117"/>
      <c r="AW2034" s="117"/>
      <c r="AX2034" s="117"/>
      <c r="AY2034" s="117"/>
      <c r="AZ2034" s="117"/>
      <c r="BA2034" s="117"/>
      <c r="BB2034" s="117"/>
      <c r="BC2034" s="117"/>
      <c r="BD2034" s="117"/>
      <c r="BE2034" s="117"/>
      <c r="BF2034" s="117"/>
      <c r="BG2034" s="117"/>
    </row>
    <row r="2035" spans="1:59">
      <c r="A2035" s="117"/>
      <c r="B2035" s="117"/>
      <c r="C2035" s="117"/>
      <c r="D2035" s="117"/>
      <c r="E2035" s="117"/>
      <c r="F2035" s="117"/>
      <c r="G2035" s="117"/>
      <c r="H2035" s="117"/>
      <c r="I2035" s="117"/>
      <c r="J2035" s="118"/>
      <c r="K2035" s="118"/>
      <c r="L2035" s="118"/>
      <c r="M2035" s="118"/>
      <c r="N2035" s="117"/>
      <c r="O2035" s="117"/>
      <c r="P2035" s="117"/>
      <c r="Q2035" s="117"/>
      <c r="R2035" s="117"/>
      <c r="S2035" s="117"/>
      <c r="T2035" s="117"/>
      <c r="U2035" s="117"/>
      <c r="V2035" s="117"/>
      <c r="W2035" s="117"/>
      <c r="X2035" s="117"/>
      <c r="Y2035" s="117"/>
      <c r="Z2035" s="117"/>
      <c r="AA2035" s="117"/>
      <c r="AB2035" s="117"/>
      <c r="AC2035" s="117"/>
      <c r="AD2035" s="117"/>
      <c r="AE2035" s="117"/>
      <c r="AF2035" s="117"/>
      <c r="AG2035" s="117"/>
      <c r="AH2035" s="117"/>
      <c r="AI2035" s="117"/>
      <c r="AJ2035" s="117"/>
      <c r="AK2035" s="117"/>
      <c r="AL2035" s="117"/>
      <c r="AM2035" s="117"/>
      <c r="AN2035" s="117"/>
      <c r="AO2035" s="117"/>
      <c r="AP2035" s="117"/>
      <c r="AQ2035" s="117"/>
      <c r="AR2035" s="117"/>
      <c r="AS2035" s="117"/>
      <c r="AT2035" s="117"/>
      <c r="AU2035" s="117"/>
      <c r="AV2035" s="117"/>
      <c r="AW2035" s="117"/>
      <c r="AX2035" s="117"/>
      <c r="AY2035" s="117"/>
      <c r="AZ2035" s="117"/>
      <c r="BA2035" s="117"/>
      <c r="BB2035" s="117"/>
      <c r="BC2035" s="117"/>
      <c r="BD2035" s="117"/>
      <c r="BE2035" s="117"/>
      <c r="BF2035" s="117"/>
      <c r="BG2035" s="117"/>
    </row>
    <row r="2036" spans="1:59">
      <c r="A2036" s="117"/>
      <c r="B2036" s="117"/>
      <c r="C2036" s="117"/>
      <c r="D2036" s="117"/>
      <c r="E2036" s="117"/>
      <c r="F2036" s="117"/>
      <c r="G2036" s="117"/>
      <c r="H2036" s="117"/>
      <c r="I2036" s="117"/>
      <c r="J2036" s="118"/>
      <c r="K2036" s="118"/>
      <c r="L2036" s="118"/>
      <c r="M2036" s="118"/>
      <c r="N2036" s="117"/>
      <c r="O2036" s="117"/>
      <c r="P2036" s="117"/>
      <c r="Q2036" s="117"/>
      <c r="R2036" s="117"/>
      <c r="S2036" s="117"/>
      <c r="T2036" s="117"/>
      <c r="U2036" s="117"/>
      <c r="V2036" s="117"/>
      <c r="W2036" s="117"/>
      <c r="X2036" s="117"/>
      <c r="Y2036" s="117"/>
      <c r="Z2036" s="117"/>
      <c r="AA2036" s="117"/>
      <c r="AB2036" s="117"/>
      <c r="AC2036" s="117"/>
      <c r="AD2036" s="117"/>
      <c r="AE2036" s="117"/>
      <c r="AF2036" s="117"/>
      <c r="AG2036" s="117"/>
      <c r="AH2036" s="117"/>
      <c r="AI2036" s="117"/>
      <c r="AJ2036" s="117"/>
      <c r="AK2036" s="117"/>
      <c r="AL2036" s="117"/>
      <c r="AM2036" s="117"/>
      <c r="AN2036" s="117"/>
      <c r="AO2036" s="117"/>
      <c r="AP2036" s="117"/>
      <c r="AQ2036" s="117"/>
      <c r="AR2036" s="117"/>
      <c r="AS2036" s="117"/>
      <c r="AT2036" s="117"/>
      <c r="AU2036" s="117"/>
      <c r="AV2036" s="117"/>
      <c r="AW2036" s="117"/>
      <c r="AX2036" s="117"/>
      <c r="AY2036" s="117"/>
      <c r="AZ2036" s="117"/>
      <c r="BA2036" s="117"/>
      <c r="BB2036" s="117"/>
      <c r="BC2036" s="117"/>
      <c r="BD2036" s="117"/>
      <c r="BE2036" s="117"/>
      <c r="BF2036" s="117"/>
      <c r="BG2036" s="117"/>
    </row>
    <row r="2037" spans="1:59">
      <c r="A2037" s="117"/>
      <c r="B2037" s="117"/>
      <c r="C2037" s="117"/>
      <c r="D2037" s="117"/>
      <c r="E2037" s="117"/>
      <c r="F2037" s="117"/>
      <c r="G2037" s="117"/>
      <c r="H2037" s="117"/>
      <c r="I2037" s="117"/>
      <c r="J2037" s="118"/>
      <c r="K2037" s="118"/>
      <c r="L2037" s="118"/>
      <c r="M2037" s="118"/>
      <c r="N2037" s="117"/>
      <c r="O2037" s="117"/>
      <c r="P2037" s="117"/>
      <c r="Q2037" s="117"/>
      <c r="R2037" s="117"/>
      <c r="S2037" s="117"/>
      <c r="T2037" s="117"/>
      <c r="U2037" s="117"/>
      <c r="V2037" s="117"/>
      <c r="W2037" s="117"/>
      <c r="X2037" s="117"/>
      <c r="Y2037" s="117"/>
      <c r="Z2037" s="117"/>
      <c r="AA2037" s="117"/>
      <c r="AB2037" s="117"/>
      <c r="AC2037" s="117"/>
      <c r="AD2037" s="117"/>
      <c r="AE2037" s="117"/>
      <c r="AF2037" s="117"/>
      <c r="AG2037" s="117"/>
      <c r="AH2037" s="117"/>
      <c r="AI2037" s="117"/>
      <c r="AJ2037" s="117"/>
      <c r="AK2037" s="117"/>
      <c r="AL2037" s="117"/>
      <c r="AM2037" s="117"/>
      <c r="AN2037" s="117"/>
      <c r="AO2037" s="117"/>
      <c r="AP2037" s="117"/>
      <c r="AQ2037" s="117"/>
      <c r="AR2037" s="117"/>
      <c r="AS2037" s="117"/>
      <c r="AT2037" s="117"/>
      <c r="AU2037" s="117"/>
      <c r="AV2037" s="117"/>
      <c r="AW2037" s="117"/>
      <c r="AX2037" s="117"/>
      <c r="AY2037" s="117"/>
      <c r="AZ2037" s="117"/>
      <c r="BA2037" s="117"/>
      <c r="BB2037" s="117"/>
      <c r="BC2037" s="117"/>
      <c r="BD2037" s="117"/>
      <c r="BE2037" s="117"/>
      <c r="BF2037" s="117"/>
      <c r="BG2037" s="117"/>
    </row>
    <row r="2038" spans="1:59">
      <c r="A2038" s="117"/>
      <c r="B2038" s="117"/>
      <c r="C2038" s="117"/>
      <c r="D2038" s="117"/>
      <c r="E2038" s="117"/>
      <c r="F2038" s="117"/>
      <c r="G2038" s="117"/>
      <c r="H2038" s="117"/>
      <c r="I2038" s="117"/>
      <c r="J2038" s="118"/>
      <c r="K2038" s="118"/>
      <c r="L2038" s="118"/>
      <c r="M2038" s="118"/>
      <c r="N2038" s="117"/>
      <c r="O2038" s="117"/>
      <c r="P2038" s="117"/>
      <c r="Q2038" s="117"/>
      <c r="R2038" s="117"/>
      <c r="S2038" s="117"/>
      <c r="T2038" s="117"/>
      <c r="U2038" s="117"/>
      <c r="V2038" s="117"/>
      <c r="W2038" s="117"/>
      <c r="X2038" s="117"/>
      <c r="Y2038" s="117"/>
      <c r="Z2038" s="117"/>
      <c r="AA2038" s="117"/>
      <c r="AB2038" s="117"/>
      <c r="AC2038" s="117"/>
      <c r="AD2038" s="117"/>
      <c r="AE2038" s="117"/>
      <c r="AF2038" s="117"/>
      <c r="AG2038" s="117"/>
      <c r="AH2038" s="117"/>
      <c r="AI2038" s="117"/>
      <c r="AJ2038" s="117"/>
      <c r="AK2038" s="117"/>
      <c r="AL2038" s="117"/>
      <c r="AM2038" s="117"/>
      <c r="AN2038" s="117"/>
      <c r="AO2038" s="117"/>
      <c r="AP2038" s="117"/>
      <c r="AQ2038" s="117"/>
      <c r="AR2038" s="117"/>
      <c r="AS2038" s="117"/>
      <c r="AT2038" s="117"/>
      <c r="AU2038" s="117"/>
      <c r="AV2038" s="117"/>
      <c r="AW2038" s="117"/>
      <c r="AX2038" s="117"/>
      <c r="AY2038" s="117"/>
      <c r="AZ2038" s="117"/>
      <c r="BA2038" s="117"/>
      <c r="BB2038" s="117"/>
      <c r="BC2038" s="117"/>
      <c r="BD2038" s="117"/>
      <c r="BE2038" s="117"/>
      <c r="BF2038" s="117"/>
      <c r="BG2038" s="117"/>
    </row>
    <row r="2039" spans="1:59">
      <c r="A2039" s="117"/>
      <c r="B2039" s="117"/>
      <c r="C2039" s="117"/>
      <c r="D2039" s="117"/>
      <c r="E2039" s="117"/>
      <c r="F2039" s="117"/>
      <c r="G2039" s="117"/>
      <c r="H2039" s="117"/>
      <c r="I2039" s="117"/>
      <c r="J2039" s="118"/>
      <c r="K2039" s="118"/>
      <c r="L2039" s="118"/>
      <c r="M2039" s="118"/>
      <c r="N2039" s="117"/>
      <c r="O2039" s="117"/>
      <c r="P2039" s="117"/>
      <c r="Q2039" s="117"/>
      <c r="R2039" s="117"/>
      <c r="S2039" s="117"/>
      <c r="T2039" s="117"/>
      <c r="U2039" s="117"/>
      <c r="V2039" s="117"/>
      <c r="W2039" s="117"/>
      <c r="X2039" s="117"/>
      <c r="Y2039" s="117"/>
      <c r="Z2039" s="117"/>
      <c r="AA2039" s="117"/>
      <c r="AB2039" s="117"/>
      <c r="AC2039" s="117"/>
      <c r="AD2039" s="117"/>
      <c r="AE2039" s="117"/>
      <c r="AF2039" s="117"/>
      <c r="AG2039" s="117"/>
      <c r="AH2039" s="117"/>
      <c r="AI2039" s="117"/>
      <c r="AJ2039" s="117"/>
      <c r="AK2039" s="117"/>
      <c r="AL2039" s="117"/>
      <c r="AM2039" s="117"/>
      <c r="AN2039" s="117"/>
      <c r="AO2039" s="117"/>
      <c r="AP2039" s="117"/>
      <c r="AQ2039" s="117"/>
      <c r="AR2039" s="117"/>
      <c r="AS2039" s="117"/>
      <c r="AT2039" s="117"/>
      <c r="AU2039" s="117"/>
      <c r="AV2039" s="117"/>
      <c r="AW2039" s="117"/>
      <c r="AX2039" s="117"/>
      <c r="AY2039" s="117"/>
      <c r="AZ2039" s="117"/>
      <c r="BA2039" s="117"/>
      <c r="BB2039" s="117"/>
      <c r="BC2039" s="117"/>
      <c r="BD2039" s="117"/>
      <c r="BE2039" s="117"/>
      <c r="BF2039" s="117"/>
      <c r="BG2039" s="117"/>
    </row>
    <row r="2040" spans="1:59">
      <c r="A2040" s="117"/>
      <c r="B2040" s="117"/>
      <c r="C2040" s="117"/>
      <c r="D2040" s="117"/>
      <c r="E2040" s="117"/>
      <c r="F2040" s="117"/>
      <c r="G2040" s="117"/>
      <c r="H2040" s="117"/>
      <c r="I2040" s="117"/>
      <c r="J2040" s="118"/>
      <c r="K2040" s="118"/>
      <c r="L2040" s="118"/>
      <c r="M2040" s="118"/>
      <c r="N2040" s="117"/>
      <c r="O2040" s="117"/>
      <c r="P2040" s="117"/>
      <c r="Q2040" s="117"/>
      <c r="R2040" s="117"/>
      <c r="S2040" s="117"/>
      <c r="T2040" s="117"/>
      <c r="U2040" s="117"/>
      <c r="V2040" s="117"/>
      <c r="W2040" s="117"/>
      <c r="X2040" s="117"/>
      <c r="Y2040" s="117"/>
      <c r="Z2040" s="117"/>
      <c r="AA2040" s="117"/>
      <c r="AB2040" s="117"/>
      <c r="AC2040" s="117"/>
      <c r="AD2040" s="117"/>
      <c r="AE2040" s="117"/>
      <c r="AF2040" s="117"/>
      <c r="AG2040" s="117"/>
      <c r="AH2040" s="117"/>
      <c r="AI2040" s="117"/>
      <c r="AJ2040" s="117"/>
      <c r="AK2040" s="117"/>
      <c r="AL2040" s="117"/>
      <c r="AM2040" s="117"/>
      <c r="AN2040" s="117"/>
      <c r="AO2040" s="117"/>
      <c r="AP2040" s="117"/>
      <c r="AQ2040" s="117"/>
      <c r="AR2040" s="117"/>
      <c r="AS2040" s="117"/>
      <c r="AT2040" s="117"/>
      <c r="AU2040" s="117"/>
      <c r="AV2040" s="117"/>
      <c r="AW2040" s="117"/>
      <c r="AX2040" s="117"/>
      <c r="AY2040" s="117"/>
      <c r="AZ2040" s="117"/>
      <c r="BA2040" s="117"/>
      <c r="BB2040" s="117"/>
      <c r="BC2040" s="117"/>
      <c r="BD2040" s="117"/>
      <c r="BE2040" s="117"/>
      <c r="BF2040" s="117"/>
      <c r="BG2040" s="117"/>
    </row>
    <row r="2041" spans="1:59">
      <c r="A2041" s="117"/>
      <c r="B2041" s="117"/>
      <c r="C2041" s="117"/>
      <c r="D2041" s="117"/>
      <c r="E2041" s="117"/>
      <c r="F2041" s="117"/>
      <c r="G2041" s="117"/>
      <c r="H2041" s="117"/>
      <c r="I2041" s="117"/>
      <c r="J2041" s="118"/>
      <c r="K2041" s="118"/>
      <c r="L2041" s="118"/>
      <c r="M2041" s="118"/>
      <c r="N2041" s="117"/>
      <c r="O2041" s="117"/>
      <c r="P2041" s="117"/>
      <c r="Q2041" s="117"/>
      <c r="R2041" s="117"/>
      <c r="S2041" s="117"/>
      <c r="T2041" s="117"/>
      <c r="U2041" s="117"/>
      <c r="V2041" s="117"/>
      <c r="W2041" s="117"/>
      <c r="X2041" s="117"/>
      <c r="Y2041" s="117"/>
      <c r="Z2041" s="117"/>
      <c r="AA2041" s="117"/>
      <c r="AB2041" s="117"/>
      <c r="AC2041" s="117"/>
      <c r="AD2041" s="117"/>
      <c r="AE2041" s="117"/>
      <c r="AF2041" s="117"/>
      <c r="AG2041" s="117"/>
      <c r="AH2041" s="117"/>
      <c r="AI2041" s="117"/>
      <c r="AJ2041" s="117"/>
      <c r="AK2041" s="117"/>
      <c r="AL2041" s="117"/>
      <c r="AM2041" s="117"/>
      <c r="AN2041" s="117"/>
      <c r="AO2041" s="117"/>
      <c r="AP2041" s="117"/>
      <c r="AQ2041" s="117"/>
      <c r="AR2041" s="117"/>
      <c r="AS2041" s="117"/>
      <c r="AT2041" s="117"/>
      <c r="AU2041" s="117"/>
      <c r="AV2041" s="117"/>
      <c r="AW2041" s="117"/>
      <c r="AX2041" s="117"/>
      <c r="AY2041" s="117"/>
      <c r="AZ2041" s="117"/>
      <c r="BA2041" s="117"/>
      <c r="BB2041" s="117"/>
      <c r="BC2041" s="117"/>
      <c r="BD2041" s="117"/>
      <c r="BE2041" s="117"/>
      <c r="BF2041" s="117"/>
      <c r="BG2041" s="117"/>
    </row>
    <row r="2042" spans="1:59">
      <c r="A2042" s="117"/>
      <c r="B2042" s="117"/>
      <c r="C2042" s="117"/>
      <c r="D2042" s="117"/>
      <c r="E2042" s="117"/>
      <c r="F2042" s="117"/>
      <c r="G2042" s="117"/>
      <c r="H2042" s="117"/>
      <c r="I2042" s="117"/>
      <c r="J2042" s="118"/>
      <c r="K2042" s="118"/>
      <c r="L2042" s="118"/>
      <c r="M2042" s="118"/>
      <c r="N2042" s="117"/>
      <c r="O2042" s="117"/>
      <c r="P2042" s="117"/>
      <c r="Q2042" s="117"/>
      <c r="R2042" s="117"/>
      <c r="S2042" s="117"/>
      <c r="T2042" s="117"/>
      <c r="U2042" s="117"/>
      <c r="V2042" s="117"/>
      <c r="W2042" s="117"/>
      <c r="X2042" s="117"/>
      <c r="Y2042" s="117"/>
      <c r="Z2042" s="117"/>
      <c r="AA2042" s="117"/>
      <c r="AB2042" s="117"/>
      <c r="AC2042" s="117"/>
      <c r="AD2042" s="117"/>
      <c r="AE2042" s="117"/>
      <c r="AF2042" s="117"/>
      <c r="AG2042" s="117"/>
      <c r="AH2042" s="117"/>
      <c r="AI2042" s="117"/>
      <c r="AJ2042" s="117"/>
      <c r="AK2042" s="117"/>
      <c r="AL2042" s="117"/>
      <c r="AM2042" s="117"/>
      <c r="AN2042" s="117"/>
      <c r="AO2042" s="117"/>
      <c r="AP2042" s="117"/>
      <c r="AQ2042" s="117"/>
      <c r="AR2042" s="117"/>
      <c r="AS2042" s="117"/>
      <c r="AT2042" s="117"/>
      <c r="AU2042" s="117"/>
      <c r="AV2042" s="117"/>
      <c r="AW2042" s="117"/>
      <c r="AX2042" s="117"/>
      <c r="AY2042" s="117"/>
      <c r="AZ2042" s="117"/>
      <c r="BA2042" s="117"/>
      <c r="BB2042" s="117"/>
      <c r="BC2042" s="117"/>
      <c r="BD2042" s="117"/>
      <c r="BE2042" s="117"/>
      <c r="BF2042" s="117"/>
      <c r="BG2042" s="117"/>
    </row>
    <row r="2043" spans="1:59">
      <c r="A2043" s="117"/>
      <c r="B2043" s="117"/>
      <c r="C2043" s="117"/>
      <c r="D2043" s="117"/>
      <c r="E2043" s="117"/>
      <c r="F2043" s="117"/>
      <c r="G2043" s="117"/>
      <c r="H2043" s="117"/>
      <c r="I2043" s="117"/>
      <c r="J2043" s="118"/>
      <c r="K2043" s="118"/>
      <c r="L2043" s="118"/>
      <c r="M2043" s="118"/>
      <c r="N2043" s="117"/>
      <c r="O2043" s="117"/>
      <c r="P2043" s="117"/>
      <c r="Q2043" s="117"/>
      <c r="R2043" s="117"/>
      <c r="S2043" s="117"/>
      <c r="T2043" s="117"/>
      <c r="U2043" s="117"/>
      <c r="V2043" s="117"/>
      <c r="W2043" s="117"/>
      <c r="X2043" s="117"/>
      <c r="Y2043" s="117"/>
      <c r="Z2043" s="117"/>
      <c r="AA2043" s="117"/>
      <c r="AB2043" s="117"/>
      <c r="AC2043" s="117"/>
      <c r="AD2043" s="117"/>
      <c r="AE2043" s="117"/>
      <c r="AF2043" s="117"/>
      <c r="AG2043" s="117"/>
      <c r="AH2043" s="117"/>
      <c r="AI2043" s="117"/>
      <c r="AJ2043" s="117"/>
      <c r="AK2043" s="117"/>
      <c r="AL2043" s="117"/>
      <c r="AM2043" s="117"/>
      <c r="AN2043" s="117"/>
      <c r="AO2043" s="117"/>
      <c r="AP2043" s="117"/>
      <c r="AQ2043" s="117"/>
      <c r="AR2043" s="117"/>
      <c r="AS2043" s="117"/>
      <c r="AT2043" s="117"/>
      <c r="AU2043" s="117"/>
      <c r="AV2043" s="117"/>
      <c r="AW2043" s="117"/>
      <c r="AX2043" s="117"/>
      <c r="AY2043" s="117"/>
      <c r="AZ2043" s="117"/>
      <c r="BA2043" s="117"/>
      <c r="BB2043" s="117"/>
      <c r="BC2043" s="117"/>
      <c r="BD2043" s="117"/>
      <c r="BE2043" s="117"/>
      <c r="BF2043" s="117"/>
      <c r="BG2043" s="117"/>
    </row>
    <row r="2044" spans="1:59">
      <c r="A2044" s="117"/>
      <c r="B2044" s="117"/>
      <c r="C2044" s="117"/>
      <c r="D2044" s="117"/>
      <c r="E2044" s="117"/>
      <c r="F2044" s="117"/>
      <c r="G2044" s="117"/>
      <c r="H2044" s="117"/>
      <c r="I2044" s="117"/>
      <c r="J2044" s="118"/>
      <c r="K2044" s="118"/>
      <c r="L2044" s="118"/>
      <c r="M2044" s="118"/>
      <c r="N2044" s="117"/>
      <c r="O2044" s="117"/>
      <c r="P2044" s="117"/>
      <c r="Q2044" s="117"/>
      <c r="R2044" s="117"/>
      <c r="S2044" s="117"/>
      <c r="T2044" s="117"/>
      <c r="U2044" s="117"/>
      <c r="V2044" s="117"/>
      <c r="W2044" s="117"/>
      <c r="X2044" s="117"/>
      <c r="Y2044" s="117"/>
      <c r="Z2044" s="117"/>
      <c r="AA2044" s="117"/>
      <c r="AB2044" s="117"/>
      <c r="AC2044" s="117"/>
      <c r="AD2044" s="117"/>
      <c r="AE2044" s="117"/>
      <c r="AF2044" s="117"/>
      <c r="AG2044" s="117"/>
      <c r="AH2044" s="117"/>
      <c r="AI2044" s="117"/>
      <c r="AJ2044" s="117"/>
      <c r="AK2044" s="117"/>
      <c r="AL2044" s="117"/>
      <c r="AM2044" s="117"/>
      <c r="AN2044" s="117"/>
      <c r="AO2044" s="117"/>
      <c r="AP2044" s="117"/>
      <c r="AQ2044" s="117"/>
      <c r="AR2044" s="117"/>
      <c r="AS2044" s="117"/>
      <c r="AT2044" s="117"/>
      <c r="AU2044" s="117"/>
      <c r="AV2044" s="117"/>
      <c r="AW2044" s="117"/>
      <c r="AX2044" s="117"/>
      <c r="AY2044" s="117"/>
      <c r="AZ2044" s="117"/>
      <c r="BA2044" s="117"/>
      <c r="BB2044" s="117"/>
      <c r="BC2044" s="117"/>
      <c r="BD2044" s="117"/>
      <c r="BE2044" s="117"/>
      <c r="BF2044" s="117"/>
      <c r="BG2044" s="117"/>
    </row>
    <row r="2045" spans="1:59">
      <c r="A2045" s="117"/>
      <c r="B2045" s="117"/>
      <c r="C2045" s="117"/>
      <c r="D2045" s="117"/>
      <c r="E2045" s="117"/>
      <c r="F2045" s="117"/>
      <c r="G2045" s="117"/>
      <c r="H2045" s="117"/>
      <c r="I2045" s="117"/>
      <c r="J2045" s="118"/>
      <c r="K2045" s="118"/>
      <c r="L2045" s="118"/>
      <c r="M2045" s="118"/>
      <c r="N2045" s="117"/>
      <c r="O2045" s="117"/>
      <c r="P2045" s="117"/>
      <c r="Q2045" s="117"/>
      <c r="R2045" s="117"/>
      <c r="S2045" s="117"/>
      <c r="T2045" s="117"/>
      <c r="U2045" s="117"/>
      <c r="V2045" s="117"/>
      <c r="W2045" s="117"/>
      <c r="X2045" s="117"/>
      <c r="Y2045" s="117"/>
      <c r="Z2045" s="117"/>
      <c r="AA2045" s="117"/>
      <c r="AB2045" s="117"/>
      <c r="AC2045" s="117"/>
      <c r="AD2045" s="117"/>
      <c r="AE2045" s="117"/>
      <c r="AF2045" s="117"/>
      <c r="AG2045" s="117"/>
      <c r="AH2045" s="117"/>
      <c r="AI2045" s="117"/>
      <c r="AJ2045" s="117"/>
      <c r="AK2045" s="117"/>
      <c r="AL2045" s="117"/>
      <c r="AM2045" s="117"/>
      <c r="AN2045" s="117"/>
      <c r="AO2045" s="117"/>
      <c r="AP2045" s="117"/>
      <c r="AQ2045" s="117"/>
      <c r="AR2045" s="117"/>
      <c r="AS2045" s="117"/>
      <c r="AT2045" s="117"/>
      <c r="AU2045" s="117"/>
      <c r="AV2045" s="117"/>
      <c r="AW2045" s="117"/>
      <c r="AX2045" s="117"/>
      <c r="AY2045" s="117"/>
      <c r="AZ2045" s="117"/>
      <c r="BA2045" s="117"/>
      <c r="BB2045" s="117"/>
      <c r="BC2045" s="117"/>
      <c r="BD2045" s="117"/>
      <c r="BE2045" s="117"/>
      <c r="BF2045" s="117"/>
      <c r="BG2045" s="117"/>
    </row>
    <row r="2046" spans="1:59">
      <c r="A2046" s="117"/>
      <c r="B2046" s="117"/>
      <c r="C2046" s="117"/>
      <c r="D2046" s="117"/>
      <c r="E2046" s="117"/>
      <c r="F2046" s="117"/>
      <c r="G2046" s="117"/>
      <c r="H2046" s="117"/>
      <c r="I2046" s="117"/>
      <c r="J2046" s="118"/>
      <c r="K2046" s="118"/>
      <c r="L2046" s="118"/>
      <c r="M2046" s="118"/>
      <c r="N2046" s="117"/>
      <c r="O2046" s="117"/>
      <c r="P2046" s="117"/>
      <c r="Q2046" s="117"/>
      <c r="R2046" s="117"/>
      <c r="S2046" s="117"/>
      <c r="T2046" s="117"/>
      <c r="U2046" s="117"/>
      <c r="V2046" s="117"/>
      <c r="W2046" s="117"/>
      <c r="X2046" s="117"/>
      <c r="Y2046" s="117"/>
      <c r="Z2046" s="117"/>
      <c r="AA2046" s="117"/>
      <c r="AB2046" s="117"/>
      <c r="AC2046" s="117"/>
      <c r="AD2046" s="117"/>
      <c r="AE2046" s="117"/>
      <c r="AF2046" s="117"/>
      <c r="AG2046" s="117"/>
      <c r="AH2046" s="117"/>
      <c r="AI2046" s="117"/>
      <c r="AJ2046" s="117"/>
      <c r="AK2046" s="117"/>
      <c r="AL2046" s="117"/>
      <c r="AM2046" s="117"/>
      <c r="AN2046" s="117"/>
      <c r="AO2046" s="117"/>
      <c r="AP2046" s="117"/>
      <c r="AQ2046" s="117"/>
      <c r="AR2046" s="117"/>
      <c r="AS2046" s="117"/>
      <c r="AT2046" s="117"/>
      <c r="AU2046" s="117"/>
      <c r="AV2046" s="117"/>
      <c r="AW2046" s="117"/>
      <c r="AX2046" s="117"/>
      <c r="AY2046" s="117"/>
      <c r="AZ2046" s="117"/>
      <c r="BA2046" s="117"/>
      <c r="BB2046" s="117"/>
      <c r="BC2046" s="117"/>
      <c r="BD2046" s="117"/>
      <c r="BE2046" s="117"/>
      <c r="BF2046" s="117"/>
      <c r="BG2046" s="117"/>
    </row>
    <row r="2047" spans="1:59">
      <c r="A2047" s="117"/>
      <c r="B2047" s="117"/>
      <c r="C2047" s="117"/>
      <c r="D2047" s="117"/>
      <c r="E2047" s="117"/>
      <c r="F2047" s="117"/>
      <c r="G2047" s="117"/>
      <c r="H2047" s="117"/>
      <c r="I2047" s="117"/>
      <c r="J2047" s="118"/>
      <c r="K2047" s="118"/>
      <c r="L2047" s="118"/>
      <c r="M2047" s="118"/>
      <c r="N2047" s="117"/>
      <c r="O2047" s="117"/>
      <c r="P2047" s="117"/>
      <c r="Q2047" s="117"/>
      <c r="R2047" s="117"/>
      <c r="S2047" s="117"/>
      <c r="T2047" s="117"/>
      <c r="U2047" s="117"/>
      <c r="V2047" s="117"/>
      <c r="W2047" s="117"/>
      <c r="X2047" s="117"/>
      <c r="Y2047" s="117"/>
      <c r="Z2047" s="117"/>
      <c r="AA2047" s="117"/>
      <c r="AB2047" s="117"/>
      <c r="AC2047" s="117"/>
      <c r="AD2047" s="117"/>
      <c r="AE2047" s="117"/>
      <c r="AF2047" s="117"/>
      <c r="AG2047" s="117"/>
      <c r="AH2047" s="117"/>
      <c r="AI2047" s="117"/>
      <c r="AJ2047" s="117"/>
      <c r="AK2047" s="117"/>
      <c r="AL2047" s="117"/>
      <c r="AM2047" s="117"/>
      <c r="AN2047" s="117"/>
      <c r="AO2047" s="117"/>
      <c r="AP2047" s="117"/>
      <c r="AQ2047" s="117"/>
      <c r="AR2047" s="117"/>
      <c r="AS2047" s="117"/>
      <c r="AT2047" s="117"/>
      <c r="AU2047" s="117"/>
      <c r="AV2047" s="117"/>
      <c r="AW2047" s="117"/>
      <c r="AX2047" s="117"/>
      <c r="AY2047" s="117"/>
      <c r="AZ2047" s="117"/>
      <c r="BA2047" s="117"/>
      <c r="BB2047" s="117"/>
      <c r="BC2047" s="117"/>
      <c r="BD2047" s="117"/>
      <c r="BE2047" s="117"/>
      <c r="BF2047" s="117"/>
      <c r="BG2047" s="117"/>
    </row>
    <row r="2048" spans="1:59">
      <c r="A2048" s="117"/>
      <c r="B2048" s="117"/>
      <c r="C2048" s="117"/>
      <c r="D2048" s="117"/>
      <c r="E2048" s="117"/>
      <c r="F2048" s="117"/>
      <c r="G2048" s="117"/>
      <c r="H2048" s="117"/>
      <c r="I2048" s="117"/>
      <c r="J2048" s="118"/>
      <c r="K2048" s="118"/>
      <c r="L2048" s="118"/>
      <c r="M2048" s="118"/>
      <c r="N2048" s="117"/>
      <c r="O2048" s="117"/>
      <c r="P2048" s="117"/>
      <c r="Q2048" s="117"/>
      <c r="R2048" s="117"/>
      <c r="S2048" s="117"/>
      <c r="T2048" s="117"/>
      <c r="U2048" s="117"/>
      <c r="V2048" s="117"/>
      <c r="W2048" s="117"/>
      <c r="X2048" s="117"/>
      <c r="Y2048" s="117"/>
      <c r="Z2048" s="117"/>
      <c r="AA2048" s="117"/>
      <c r="AB2048" s="117"/>
      <c r="AC2048" s="117"/>
      <c r="AD2048" s="117"/>
      <c r="AE2048" s="117"/>
      <c r="AF2048" s="117"/>
      <c r="AG2048" s="117"/>
      <c r="AH2048" s="117"/>
      <c r="AI2048" s="117"/>
      <c r="AJ2048" s="117"/>
      <c r="AK2048" s="117"/>
      <c r="AL2048" s="117"/>
      <c r="AM2048" s="117"/>
      <c r="AN2048" s="117"/>
      <c r="AO2048" s="117"/>
      <c r="AP2048" s="117"/>
      <c r="AQ2048" s="117"/>
      <c r="AR2048" s="117"/>
      <c r="AS2048" s="117"/>
      <c r="AT2048" s="117"/>
      <c r="AU2048" s="117"/>
      <c r="AV2048" s="117"/>
      <c r="AW2048" s="117"/>
      <c r="AX2048" s="117"/>
      <c r="AY2048" s="117"/>
      <c r="AZ2048" s="117"/>
      <c r="BA2048" s="117"/>
      <c r="BB2048" s="117"/>
      <c r="BC2048" s="117"/>
      <c r="BD2048" s="117"/>
      <c r="BE2048" s="117"/>
      <c r="BF2048" s="117"/>
      <c r="BG2048" s="117"/>
    </row>
    <row r="2049" spans="1:59">
      <c r="A2049" s="117"/>
      <c r="B2049" s="117"/>
      <c r="C2049" s="117"/>
      <c r="D2049" s="117"/>
      <c r="E2049" s="117"/>
      <c r="F2049" s="117"/>
      <c r="G2049" s="117"/>
      <c r="H2049" s="117"/>
      <c r="I2049" s="117"/>
      <c r="J2049" s="118"/>
      <c r="K2049" s="118"/>
      <c r="L2049" s="118"/>
      <c r="M2049" s="118"/>
      <c r="N2049" s="117"/>
      <c r="O2049" s="117"/>
      <c r="P2049" s="117"/>
      <c r="Q2049" s="117"/>
      <c r="R2049" s="117"/>
      <c r="S2049" s="117"/>
      <c r="T2049" s="117"/>
      <c r="U2049" s="117"/>
      <c r="V2049" s="117"/>
      <c r="W2049" s="117"/>
      <c r="X2049" s="117"/>
      <c r="Y2049" s="117"/>
      <c r="Z2049" s="117"/>
      <c r="AA2049" s="117"/>
      <c r="AB2049" s="117"/>
      <c r="AC2049" s="117"/>
      <c r="AD2049" s="117"/>
      <c r="AE2049" s="117"/>
      <c r="AF2049" s="117"/>
      <c r="AG2049" s="117"/>
      <c r="AH2049" s="117"/>
      <c r="AI2049" s="117"/>
      <c r="AJ2049" s="117"/>
      <c r="AK2049" s="117"/>
      <c r="AL2049" s="117"/>
      <c r="AM2049" s="117"/>
      <c r="AN2049" s="117"/>
      <c r="AO2049" s="117"/>
      <c r="AP2049" s="117"/>
      <c r="AQ2049" s="117"/>
      <c r="AR2049" s="117"/>
      <c r="AS2049" s="117"/>
      <c r="AT2049" s="117"/>
      <c r="AU2049" s="117"/>
      <c r="AV2049" s="117"/>
      <c r="AW2049" s="117"/>
      <c r="AX2049" s="117"/>
      <c r="AY2049" s="117"/>
      <c r="AZ2049" s="117"/>
      <c r="BA2049" s="117"/>
      <c r="BB2049" s="117"/>
      <c r="BC2049" s="117"/>
      <c r="BD2049" s="117"/>
      <c r="BE2049" s="117"/>
      <c r="BF2049" s="117"/>
      <c r="BG2049" s="117"/>
    </row>
    <row r="2050" spans="1:59">
      <c r="A2050" s="117"/>
      <c r="B2050" s="117"/>
      <c r="C2050" s="117"/>
      <c r="D2050" s="117"/>
      <c r="E2050" s="117"/>
      <c r="F2050" s="117"/>
      <c r="G2050" s="117"/>
      <c r="H2050" s="117"/>
      <c r="I2050" s="117"/>
      <c r="J2050" s="118"/>
      <c r="K2050" s="118"/>
      <c r="L2050" s="118"/>
      <c r="M2050" s="118"/>
      <c r="N2050" s="117"/>
      <c r="O2050" s="117"/>
      <c r="P2050" s="117"/>
      <c r="Q2050" s="117"/>
      <c r="R2050" s="117"/>
      <c r="S2050" s="117"/>
      <c r="T2050" s="117"/>
      <c r="U2050" s="117"/>
      <c r="V2050" s="117"/>
      <c r="W2050" s="117"/>
      <c r="X2050" s="117"/>
      <c r="Y2050" s="117"/>
      <c r="Z2050" s="117"/>
      <c r="AA2050" s="117"/>
      <c r="AB2050" s="117"/>
      <c r="AC2050" s="117"/>
      <c r="AD2050" s="117"/>
      <c r="AE2050" s="117"/>
      <c r="AF2050" s="117"/>
      <c r="AG2050" s="117"/>
      <c r="AH2050" s="117"/>
      <c r="AI2050" s="117"/>
      <c r="AJ2050" s="117"/>
      <c r="AK2050" s="117"/>
      <c r="AL2050" s="117"/>
      <c r="AM2050" s="117"/>
      <c r="AN2050" s="117"/>
      <c r="AO2050" s="117"/>
      <c r="AP2050" s="117"/>
      <c r="AQ2050" s="117"/>
      <c r="AR2050" s="117"/>
      <c r="AS2050" s="117"/>
      <c r="AT2050" s="117"/>
      <c r="AU2050" s="117"/>
      <c r="AV2050" s="117"/>
      <c r="AW2050" s="117"/>
      <c r="AX2050" s="117"/>
      <c r="AY2050" s="117"/>
      <c r="AZ2050" s="117"/>
      <c r="BA2050" s="117"/>
      <c r="BB2050" s="117"/>
      <c r="BC2050" s="117"/>
      <c r="BD2050" s="117"/>
      <c r="BE2050" s="117"/>
      <c r="BF2050" s="117"/>
      <c r="BG2050" s="117"/>
    </row>
    <row r="2051" spans="1:59">
      <c r="A2051" s="117"/>
      <c r="B2051" s="117"/>
      <c r="C2051" s="117"/>
      <c r="D2051" s="117"/>
      <c r="E2051" s="117"/>
      <c r="F2051" s="117"/>
      <c r="G2051" s="117"/>
      <c r="H2051" s="117"/>
      <c r="I2051" s="117"/>
      <c r="J2051" s="118"/>
      <c r="K2051" s="118"/>
      <c r="L2051" s="118"/>
      <c r="M2051" s="118"/>
      <c r="N2051" s="117"/>
      <c r="O2051" s="117"/>
      <c r="P2051" s="117"/>
      <c r="Q2051" s="117"/>
      <c r="R2051" s="117"/>
      <c r="S2051" s="117"/>
      <c r="T2051" s="117"/>
      <c r="U2051" s="117"/>
      <c r="V2051" s="117"/>
      <c r="W2051" s="117"/>
      <c r="X2051" s="117"/>
      <c r="Y2051" s="117"/>
      <c r="Z2051" s="117"/>
      <c r="AA2051" s="117"/>
      <c r="AB2051" s="117"/>
      <c r="AC2051" s="117"/>
      <c r="AD2051" s="117"/>
      <c r="AE2051" s="117"/>
      <c r="AF2051" s="117"/>
      <c r="AG2051" s="117"/>
      <c r="AH2051" s="117"/>
      <c r="AI2051" s="117"/>
      <c r="AJ2051" s="117"/>
      <c r="AK2051" s="117"/>
      <c r="AL2051" s="117"/>
      <c r="AM2051" s="117"/>
      <c r="AN2051" s="117"/>
      <c r="AO2051" s="117"/>
      <c r="AP2051" s="117"/>
      <c r="AQ2051" s="117"/>
      <c r="AR2051" s="117"/>
      <c r="AS2051" s="117"/>
      <c r="AT2051" s="117"/>
      <c r="AU2051" s="117"/>
      <c r="AV2051" s="117"/>
      <c r="AW2051" s="117"/>
      <c r="AX2051" s="117"/>
      <c r="AY2051" s="117"/>
      <c r="AZ2051" s="117"/>
      <c r="BA2051" s="117"/>
      <c r="BB2051" s="117"/>
      <c r="BC2051" s="117"/>
      <c r="BD2051" s="117"/>
      <c r="BE2051" s="117"/>
      <c r="BF2051" s="117"/>
      <c r="BG2051" s="117"/>
    </row>
    <row r="2052" spans="1:59">
      <c r="A2052" s="117"/>
      <c r="B2052" s="117"/>
      <c r="C2052" s="117"/>
      <c r="D2052" s="117"/>
      <c r="E2052" s="117"/>
      <c r="F2052" s="117"/>
      <c r="G2052" s="117"/>
      <c r="H2052" s="117"/>
      <c r="I2052" s="117"/>
      <c r="J2052" s="118"/>
      <c r="K2052" s="118"/>
      <c r="L2052" s="118"/>
      <c r="M2052" s="118"/>
      <c r="N2052" s="117"/>
      <c r="O2052" s="117"/>
      <c r="P2052" s="117"/>
      <c r="Q2052" s="117"/>
      <c r="R2052" s="117"/>
      <c r="S2052" s="117"/>
      <c r="T2052" s="117"/>
      <c r="U2052" s="117"/>
      <c r="V2052" s="117"/>
      <c r="W2052" s="117"/>
      <c r="X2052" s="117"/>
      <c r="Y2052" s="117"/>
      <c r="Z2052" s="117"/>
      <c r="AA2052" s="117"/>
      <c r="AB2052" s="117"/>
      <c r="AC2052" s="117"/>
      <c r="AD2052" s="117"/>
      <c r="AE2052" s="117"/>
      <c r="AF2052" s="117"/>
      <c r="AG2052" s="117"/>
      <c r="AH2052" s="117"/>
      <c r="AI2052" s="117"/>
      <c r="AJ2052" s="117"/>
      <c r="AK2052" s="117"/>
      <c r="AL2052" s="117"/>
      <c r="AM2052" s="117"/>
      <c r="AN2052" s="117"/>
      <c r="AO2052" s="117"/>
      <c r="AP2052" s="117"/>
      <c r="AQ2052" s="117"/>
      <c r="AR2052" s="117"/>
      <c r="AS2052" s="117"/>
      <c r="AT2052" s="117"/>
      <c r="AU2052" s="117"/>
      <c r="AV2052" s="117"/>
      <c r="AW2052" s="117"/>
      <c r="AX2052" s="117"/>
      <c r="AY2052" s="117"/>
      <c r="AZ2052" s="117"/>
      <c r="BA2052" s="117"/>
      <c r="BB2052" s="117"/>
      <c r="BC2052" s="117"/>
      <c r="BD2052" s="117"/>
      <c r="BE2052" s="117"/>
      <c r="BF2052" s="117"/>
      <c r="BG2052" s="117"/>
    </row>
    <row r="2053" spans="1:59">
      <c r="A2053" s="117"/>
      <c r="B2053" s="117"/>
      <c r="C2053" s="117"/>
      <c r="D2053" s="117"/>
      <c r="E2053" s="117"/>
      <c r="F2053" s="117"/>
      <c r="G2053" s="117"/>
      <c r="H2053" s="117"/>
      <c r="I2053" s="117"/>
      <c r="J2053" s="118"/>
      <c r="K2053" s="118"/>
      <c r="L2053" s="118"/>
      <c r="M2053" s="118"/>
      <c r="N2053" s="117"/>
      <c r="O2053" s="117"/>
      <c r="P2053" s="117"/>
      <c r="Q2053" s="117"/>
      <c r="R2053" s="117"/>
      <c r="S2053" s="117"/>
      <c r="T2053" s="117"/>
      <c r="U2053" s="117"/>
      <c r="V2053" s="117"/>
      <c r="W2053" s="117"/>
      <c r="X2053" s="117"/>
      <c r="Y2053" s="117"/>
      <c r="Z2053" s="117"/>
      <c r="AA2053" s="117"/>
      <c r="AB2053" s="117"/>
      <c r="AC2053" s="117"/>
      <c r="AD2053" s="117"/>
      <c r="AE2053" s="117"/>
      <c r="AF2053" s="117"/>
      <c r="AG2053" s="117"/>
      <c r="AH2053" s="117"/>
      <c r="AI2053" s="117"/>
      <c r="AJ2053" s="117"/>
      <c r="AK2053" s="117"/>
      <c r="AL2053" s="117"/>
      <c r="AM2053" s="117"/>
      <c r="AN2053" s="117"/>
      <c r="AO2053" s="117"/>
      <c r="AP2053" s="117"/>
      <c r="AQ2053" s="117"/>
      <c r="AR2053" s="117"/>
      <c r="AS2053" s="117"/>
      <c r="AT2053" s="117"/>
      <c r="AU2053" s="117"/>
      <c r="AV2053" s="117"/>
      <c r="AW2053" s="117"/>
      <c r="AX2053" s="117"/>
      <c r="AY2053" s="117"/>
      <c r="AZ2053" s="117"/>
      <c r="BA2053" s="117"/>
      <c r="BB2053" s="117"/>
      <c r="BC2053" s="117"/>
      <c r="BD2053" s="117"/>
      <c r="BE2053" s="117"/>
      <c r="BF2053" s="117"/>
      <c r="BG2053" s="117"/>
    </row>
    <row r="2054" spans="1:59">
      <c r="A2054" s="117"/>
      <c r="B2054" s="117"/>
      <c r="C2054" s="117"/>
      <c r="D2054" s="117"/>
      <c r="E2054" s="117"/>
      <c r="F2054" s="117"/>
      <c r="G2054" s="117"/>
      <c r="H2054" s="117"/>
      <c r="I2054" s="117"/>
      <c r="J2054" s="118"/>
      <c r="K2054" s="118"/>
      <c r="L2054" s="118"/>
      <c r="M2054" s="118"/>
      <c r="N2054" s="117"/>
      <c r="O2054" s="117"/>
      <c r="P2054" s="117"/>
      <c r="Q2054" s="117"/>
      <c r="R2054" s="117"/>
      <c r="S2054" s="117"/>
      <c r="T2054" s="117"/>
      <c r="U2054" s="117"/>
      <c r="V2054" s="117"/>
      <c r="W2054" s="117"/>
      <c r="X2054" s="117"/>
      <c r="Y2054" s="117"/>
      <c r="Z2054" s="117"/>
      <c r="AA2054" s="117"/>
      <c r="AB2054" s="117"/>
      <c r="AC2054" s="117"/>
      <c r="AD2054" s="117"/>
      <c r="AE2054" s="117"/>
      <c r="AF2054" s="117"/>
      <c r="AG2054" s="117"/>
      <c r="AH2054" s="117"/>
      <c r="AI2054" s="117"/>
      <c r="AJ2054" s="117"/>
      <c r="AK2054" s="117"/>
      <c r="AL2054" s="117"/>
      <c r="AM2054" s="117"/>
      <c r="AN2054" s="117"/>
      <c r="AO2054" s="117"/>
      <c r="AP2054" s="117"/>
      <c r="AQ2054" s="117"/>
      <c r="AR2054" s="117"/>
      <c r="AS2054" s="117"/>
      <c r="AT2054" s="117"/>
      <c r="AU2054" s="117"/>
      <c r="AV2054" s="117"/>
      <c r="AW2054" s="117"/>
      <c r="AX2054" s="117"/>
      <c r="AY2054" s="117"/>
      <c r="AZ2054" s="117"/>
      <c r="BA2054" s="117"/>
      <c r="BB2054" s="117"/>
      <c r="BC2054" s="117"/>
      <c r="BD2054" s="117"/>
      <c r="BE2054" s="117"/>
      <c r="BF2054" s="117"/>
      <c r="BG2054" s="117"/>
    </row>
    <row r="2055" spans="1:59">
      <c r="A2055" s="117"/>
      <c r="B2055" s="117"/>
      <c r="C2055" s="117"/>
      <c r="D2055" s="117"/>
      <c r="E2055" s="117"/>
      <c r="F2055" s="117"/>
      <c r="G2055" s="117"/>
      <c r="H2055" s="117"/>
      <c r="I2055" s="117"/>
      <c r="J2055" s="118"/>
      <c r="K2055" s="118"/>
      <c r="L2055" s="118"/>
      <c r="M2055" s="118"/>
      <c r="N2055" s="117"/>
      <c r="O2055" s="117"/>
      <c r="P2055" s="117"/>
      <c r="Q2055" s="117"/>
      <c r="R2055" s="117"/>
      <c r="S2055" s="117"/>
      <c r="T2055" s="117"/>
      <c r="U2055" s="117"/>
      <c r="V2055" s="117"/>
      <c r="W2055" s="117"/>
      <c r="X2055" s="117"/>
      <c r="Y2055" s="117"/>
      <c r="Z2055" s="117"/>
      <c r="AA2055" s="117"/>
      <c r="AB2055" s="117"/>
      <c r="AC2055" s="117"/>
      <c r="AD2055" s="117"/>
      <c r="AE2055" s="117"/>
      <c r="AF2055" s="117"/>
      <c r="AG2055" s="117"/>
      <c r="AH2055" s="117"/>
      <c r="AI2055" s="117"/>
      <c r="AJ2055" s="117"/>
      <c r="AK2055" s="117"/>
      <c r="AL2055" s="117"/>
      <c r="AM2055" s="117"/>
      <c r="AN2055" s="117"/>
      <c r="AO2055" s="117"/>
      <c r="AP2055" s="117"/>
      <c r="AQ2055" s="117"/>
      <c r="AR2055" s="117"/>
      <c r="AS2055" s="117"/>
      <c r="AT2055" s="117"/>
      <c r="AU2055" s="117"/>
      <c r="AV2055" s="117"/>
      <c r="AW2055" s="117"/>
      <c r="AX2055" s="117"/>
      <c r="AY2055" s="117"/>
      <c r="AZ2055" s="117"/>
      <c r="BA2055" s="117"/>
      <c r="BB2055" s="117"/>
      <c r="BC2055" s="117"/>
      <c r="BD2055" s="117"/>
      <c r="BE2055" s="117"/>
      <c r="BF2055" s="117"/>
      <c r="BG2055" s="117"/>
    </row>
    <row r="2056" spans="1:59">
      <c r="A2056" s="117"/>
      <c r="B2056" s="117"/>
      <c r="C2056" s="117"/>
      <c r="D2056" s="117"/>
      <c r="E2056" s="117"/>
      <c r="F2056" s="117"/>
      <c r="G2056" s="117"/>
      <c r="H2056" s="117"/>
      <c r="I2056" s="117"/>
      <c r="J2056" s="118"/>
      <c r="K2056" s="118"/>
      <c r="L2056" s="118"/>
      <c r="M2056" s="118"/>
      <c r="N2056" s="117"/>
      <c r="O2056" s="117"/>
      <c r="P2056" s="117"/>
      <c r="Q2056" s="117"/>
      <c r="R2056" s="117"/>
      <c r="S2056" s="117"/>
      <c r="T2056" s="117"/>
      <c r="U2056" s="117"/>
      <c r="V2056" s="117"/>
      <c r="W2056" s="117"/>
      <c r="X2056" s="117"/>
      <c r="Y2056" s="117"/>
      <c r="Z2056" s="117"/>
      <c r="AA2056" s="117"/>
      <c r="AB2056" s="117"/>
      <c r="AC2056" s="117"/>
      <c r="AD2056" s="117"/>
      <c r="AE2056" s="117"/>
      <c r="AF2056" s="117"/>
      <c r="AG2056" s="117"/>
      <c r="AH2056" s="117"/>
      <c r="AI2056" s="117"/>
      <c r="AJ2056" s="117"/>
      <c r="AK2056" s="117"/>
      <c r="AL2056" s="117"/>
      <c r="AM2056" s="117"/>
      <c r="AN2056" s="117"/>
      <c r="AO2056" s="117"/>
      <c r="AP2056" s="117"/>
      <c r="AQ2056" s="117"/>
      <c r="AR2056" s="117"/>
      <c r="AS2056" s="117"/>
      <c r="AT2056" s="117"/>
      <c r="AU2056" s="117"/>
      <c r="AV2056" s="117"/>
      <c r="AW2056" s="117"/>
      <c r="AX2056" s="117"/>
      <c r="AY2056" s="117"/>
      <c r="AZ2056" s="117"/>
      <c r="BA2056" s="117"/>
      <c r="BB2056" s="117"/>
      <c r="BC2056" s="117"/>
      <c r="BD2056" s="117"/>
      <c r="BE2056" s="117"/>
      <c r="BF2056" s="117"/>
      <c r="BG2056" s="117"/>
    </row>
    <row r="2057" spans="1:59">
      <c r="A2057" s="117"/>
      <c r="B2057" s="117"/>
      <c r="C2057" s="117"/>
      <c r="D2057" s="117"/>
      <c r="E2057" s="117"/>
      <c r="F2057" s="117"/>
      <c r="G2057" s="117"/>
      <c r="H2057" s="117"/>
      <c r="I2057" s="117"/>
      <c r="J2057" s="118"/>
      <c r="K2057" s="118"/>
      <c r="L2057" s="118"/>
      <c r="M2057" s="118"/>
      <c r="N2057" s="117"/>
      <c r="O2057" s="117"/>
      <c r="P2057" s="117"/>
      <c r="Q2057" s="117"/>
      <c r="R2057" s="117"/>
      <c r="S2057" s="117"/>
      <c r="T2057" s="117"/>
      <c r="U2057" s="117"/>
      <c r="V2057" s="117"/>
      <c r="W2057" s="117"/>
      <c r="X2057" s="117"/>
      <c r="Y2057" s="117"/>
      <c r="Z2057" s="117"/>
      <c r="AA2057" s="117"/>
      <c r="AB2057" s="117"/>
      <c r="AC2057" s="117"/>
      <c r="AD2057" s="117"/>
      <c r="AE2057" s="117"/>
      <c r="AF2057" s="117"/>
      <c r="AG2057" s="117"/>
      <c r="AH2057" s="117"/>
      <c r="AI2057" s="117"/>
      <c r="AJ2057" s="117"/>
      <c r="AK2057" s="117"/>
      <c r="AL2057" s="117"/>
      <c r="AM2057" s="117"/>
      <c r="AN2057" s="117"/>
      <c r="AO2057" s="117"/>
      <c r="AP2057" s="117"/>
      <c r="AQ2057" s="117"/>
      <c r="AR2057" s="117"/>
      <c r="AS2057" s="117"/>
      <c r="AT2057" s="117"/>
      <c r="AU2057" s="117"/>
      <c r="AV2057" s="117"/>
      <c r="AW2057" s="117"/>
      <c r="AX2057" s="117"/>
      <c r="AY2057" s="117"/>
      <c r="AZ2057" s="117"/>
      <c r="BA2057" s="117"/>
      <c r="BB2057" s="117"/>
      <c r="BC2057" s="117"/>
      <c r="BD2057" s="117"/>
      <c r="BE2057" s="117"/>
      <c r="BF2057" s="117"/>
      <c r="BG2057" s="117"/>
    </row>
    <row r="2058" spans="1:59">
      <c r="A2058" s="117"/>
      <c r="B2058" s="117"/>
      <c r="C2058" s="117"/>
      <c r="D2058" s="117"/>
      <c r="E2058" s="117"/>
      <c r="F2058" s="117"/>
      <c r="G2058" s="117"/>
      <c r="H2058" s="117"/>
      <c r="I2058" s="117"/>
      <c r="J2058" s="118"/>
      <c r="K2058" s="118"/>
      <c r="L2058" s="118"/>
      <c r="M2058" s="118"/>
      <c r="N2058" s="117"/>
      <c r="O2058" s="117"/>
      <c r="P2058" s="117"/>
      <c r="Q2058" s="117"/>
      <c r="R2058" s="117"/>
      <c r="S2058" s="117"/>
      <c r="T2058" s="117"/>
      <c r="U2058" s="117"/>
      <c r="V2058" s="117"/>
      <c r="W2058" s="117"/>
      <c r="X2058" s="117"/>
      <c r="Y2058" s="117"/>
      <c r="Z2058" s="117"/>
      <c r="AA2058" s="117"/>
      <c r="AB2058" s="117"/>
      <c r="AC2058" s="117"/>
      <c r="AD2058" s="117"/>
      <c r="AE2058" s="117"/>
      <c r="AF2058" s="117"/>
      <c r="AG2058" s="117"/>
      <c r="AH2058" s="117"/>
      <c r="AI2058" s="117"/>
      <c r="AJ2058" s="117"/>
      <c r="AK2058" s="117"/>
      <c r="AL2058" s="117"/>
      <c r="AM2058" s="117"/>
      <c r="AN2058" s="117"/>
      <c r="AO2058" s="117"/>
      <c r="AP2058" s="117"/>
      <c r="AQ2058" s="117"/>
      <c r="AR2058" s="117"/>
      <c r="AS2058" s="117"/>
      <c r="AT2058" s="117"/>
      <c r="AU2058" s="117"/>
      <c r="AV2058" s="117"/>
      <c r="AW2058" s="117"/>
      <c r="AX2058" s="117"/>
      <c r="AY2058" s="117"/>
      <c r="AZ2058" s="117"/>
      <c r="BA2058" s="117"/>
      <c r="BB2058" s="117"/>
      <c r="BC2058" s="117"/>
      <c r="BD2058" s="117"/>
      <c r="BE2058" s="117"/>
      <c r="BF2058" s="117"/>
      <c r="BG2058" s="117"/>
    </row>
    <row r="2059" spans="1:59">
      <c r="A2059" s="117"/>
      <c r="B2059" s="117"/>
      <c r="C2059" s="117"/>
      <c r="D2059" s="117"/>
      <c r="E2059" s="117"/>
      <c r="F2059" s="117"/>
      <c r="G2059" s="117"/>
      <c r="H2059" s="117"/>
      <c r="I2059" s="117"/>
      <c r="J2059" s="118"/>
      <c r="K2059" s="118"/>
      <c r="L2059" s="118"/>
      <c r="M2059" s="118"/>
      <c r="N2059" s="117"/>
      <c r="O2059" s="117"/>
      <c r="P2059" s="117"/>
      <c r="Q2059" s="117"/>
      <c r="R2059" s="117"/>
      <c r="S2059" s="117"/>
      <c r="T2059" s="117"/>
      <c r="U2059" s="117"/>
      <c r="V2059" s="117"/>
      <c r="W2059" s="117"/>
      <c r="X2059" s="117"/>
      <c r="Y2059" s="117"/>
      <c r="Z2059" s="117"/>
      <c r="AA2059" s="117"/>
      <c r="AB2059" s="117"/>
      <c r="AC2059" s="117"/>
      <c r="AD2059" s="117"/>
      <c r="AE2059" s="117"/>
      <c r="AF2059" s="117"/>
      <c r="AG2059" s="117"/>
      <c r="AH2059" s="117"/>
      <c r="AI2059" s="117"/>
      <c r="AJ2059" s="117"/>
      <c r="AK2059" s="117"/>
      <c r="AL2059" s="117"/>
      <c r="AM2059" s="117"/>
      <c r="AN2059" s="117"/>
      <c r="AO2059" s="117"/>
      <c r="AP2059" s="117"/>
      <c r="AQ2059" s="117"/>
      <c r="AR2059" s="117"/>
      <c r="AS2059" s="117"/>
      <c r="AT2059" s="117"/>
      <c r="AU2059" s="117"/>
      <c r="AV2059" s="117"/>
      <c r="AW2059" s="117"/>
      <c r="AX2059" s="117"/>
      <c r="AY2059" s="117"/>
      <c r="AZ2059" s="117"/>
      <c r="BA2059" s="117"/>
      <c r="BB2059" s="117"/>
      <c r="BC2059" s="117"/>
      <c r="BD2059" s="117"/>
      <c r="BE2059" s="117"/>
      <c r="BF2059" s="117"/>
      <c r="BG2059" s="117"/>
    </row>
    <row r="2060" spans="1:59">
      <c r="A2060" s="117"/>
      <c r="B2060" s="117"/>
      <c r="C2060" s="117"/>
      <c r="D2060" s="117"/>
      <c r="E2060" s="117"/>
      <c r="F2060" s="117"/>
      <c r="G2060" s="117"/>
      <c r="H2060" s="117"/>
      <c r="I2060" s="117"/>
      <c r="J2060" s="118"/>
      <c r="K2060" s="118"/>
      <c r="L2060" s="118"/>
      <c r="M2060" s="118"/>
      <c r="N2060" s="117"/>
      <c r="O2060" s="117"/>
      <c r="P2060" s="117"/>
      <c r="Q2060" s="117"/>
      <c r="R2060" s="117"/>
      <c r="S2060" s="117"/>
      <c r="T2060" s="117"/>
      <c r="U2060" s="117"/>
      <c r="V2060" s="117"/>
      <c r="W2060" s="117"/>
      <c r="X2060" s="117"/>
      <c r="Y2060" s="117"/>
      <c r="Z2060" s="117"/>
      <c r="AA2060" s="117"/>
      <c r="AB2060" s="117"/>
      <c r="AC2060" s="117"/>
      <c r="AD2060" s="117"/>
      <c r="AE2060" s="117"/>
      <c r="AF2060" s="117"/>
      <c r="AG2060" s="117"/>
      <c r="AH2060" s="117"/>
      <c r="AI2060" s="117"/>
      <c r="AJ2060" s="117"/>
      <c r="AK2060" s="117"/>
      <c r="AL2060" s="117"/>
      <c r="AM2060" s="117"/>
      <c r="AN2060" s="117"/>
      <c r="AO2060" s="117"/>
      <c r="AP2060" s="117"/>
      <c r="AQ2060" s="117"/>
      <c r="AR2060" s="117"/>
      <c r="AS2060" s="117"/>
      <c r="AT2060" s="117"/>
      <c r="AU2060" s="117"/>
      <c r="AV2060" s="117"/>
      <c r="AW2060" s="117"/>
      <c r="AX2060" s="117"/>
      <c r="AY2060" s="117"/>
      <c r="AZ2060" s="117"/>
      <c r="BA2060" s="117"/>
      <c r="BB2060" s="117"/>
      <c r="BC2060" s="117"/>
      <c r="BD2060" s="117"/>
      <c r="BE2060" s="117"/>
      <c r="BF2060" s="117"/>
      <c r="BG2060" s="117"/>
    </row>
    <row r="2061" spans="1:59">
      <c r="A2061" s="117"/>
      <c r="B2061" s="117"/>
      <c r="C2061" s="117"/>
      <c r="D2061" s="117"/>
      <c r="E2061" s="117"/>
      <c r="F2061" s="117"/>
      <c r="G2061" s="117"/>
      <c r="H2061" s="117"/>
      <c r="I2061" s="117"/>
      <c r="J2061" s="118"/>
      <c r="K2061" s="118"/>
      <c r="L2061" s="118"/>
      <c r="M2061" s="118"/>
      <c r="N2061" s="117"/>
      <c r="O2061" s="117"/>
      <c r="P2061" s="117"/>
      <c r="Q2061" s="117"/>
      <c r="R2061" s="117"/>
      <c r="S2061" s="117"/>
      <c r="T2061" s="117"/>
      <c r="U2061" s="117"/>
      <c r="V2061" s="117"/>
      <c r="W2061" s="117"/>
      <c r="X2061" s="117"/>
      <c r="Y2061" s="117"/>
      <c r="Z2061" s="117"/>
      <c r="AA2061" s="117"/>
      <c r="AB2061" s="117"/>
      <c r="AC2061" s="117"/>
      <c r="AD2061" s="117"/>
      <c r="AE2061" s="117"/>
      <c r="AF2061" s="117"/>
      <c r="AG2061" s="117"/>
      <c r="AH2061" s="117"/>
      <c r="AI2061" s="117"/>
      <c r="AJ2061" s="117"/>
      <c r="AK2061" s="117"/>
      <c r="AL2061" s="117"/>
      <c r="AM2061" s="117"/>
      <c r="AN2061" s="117"/>
      <c r="AO2061" s="117"/>
      <c r="AP2061" s="117"/>
      <c r="AQ2061" s="117"/>
      <c r="AR2061" s="117"/>
      <c r="AS2061" s="117"/>
      <c r="AT2061" s="117"/>
      <c r="AU2061" s="117"/>
      <c r="AV2061" s="117"/>
      <c r="AW2061" s="117"/>
      <c r="AX2061" s="117"/>
      <c r="AY2061" s="117"/>
      <c r="AZ2061" s="117"/>
      <c r="BA2061" s="117"/>
      <c r="BB2061" s="117"/>
      <c r="BC2061" s="117"/>
      <c r="BD2061" s="117"/>
      <c r="BE2061" s="117"/>
      <c r="BF2061" s="117"/>
      <c r="BG2061" s="117"/>
    </row>
    <row r="2062" spans="1:59">
      <c r="A2062" s="117"/>
      <c r="B2062" s="117"/>
      <c r="C2062" s="117"/>
      <c r="D2062" s="117"/>
      <c r="E2062" s="117"/>
      <c r="F2062" s="117"/>
      <c r="G2062" s="117"/>
      <c r="H2062" s="117"/>
      <c r="I2062" s="117"/>
      <c r="J2062" s="118"/>
      <c r="K2062" s="118"/>
      <c r="L2062" s="118"/>
      <c r="M2062" s="118"/>
      <c r="N2062" s="117"/>
      <c r="O2062" s="117"/>
      <c r="P2062" s="117"/>
      <c r="Q2062" s="117"/>
      <c r="R2062" s="117"/>
      <c r="S2062" s="117"/>
      <c r="T2062" s="117"/>
      <c r="U2062" s="117"/>
      <c r="V2062" s="117"/>
      <c r="W2062" s="117"/>
      <c r="X2062" s="117"/>
      <c r="Y2062" s="117"/>
      <c r="Z2062" s="117"/>
      <c r="AA2062" s="117"/>
      <c r="AB2062" s="117"/>
      <c r="AC2062" s="117"/>
      <c r="AD2062" s="117"/>
      <c r="AE2062" s="117"/>
      <c r="AF2062" s="117"/>
      <c r="AG2062" s="117"/>
      <c r="AH2062" s="117"/>
      <c r="AI2062" s="117"/>
      <c r="AJ2062" s="117"/>
      <c r="AK2062" s="117"/>
      <c r="AL2062" s="117"/>
      <c r="AM2062" s="117"/>
      <c r="AN2062" s="117"/>
      <c r="AO2062" s="117"/>
      <c r="AP2062" s="117"/>
      <c r="AQ2062" s="117"/>
      <c r="AR2062" s="117"/>
      <c r="AS2062" s="117"/>
      <c r="AT2062" s="117"/>
      <c r="AU2062" s="117"/>
      <c r="AV2062" s="117"/>
      <c r="AW2062" s="117"/>
      <c r="AX2062" s="117"/>
      <c r="AY2062" s="117"/>
      <c r="AZ2062" s="117"/>
      <c r="BA2062" s="117"/>
      <c r="BB2062" s="117"/>
      <c r="BC2062" s="117"/>
      <c r="BD2062" s="117"/>
      <c r="BE2062" s="117"/>
      <c r="BF2062" s="117"/>
      <c r="BG2062" s="117"/>
    </row>
    <row r="2063" spans="1:59">
      <c r="A2063" s="117"/>
      <c r="B2063" s="117"/>
      <c r="C2063" s="117"/>
      <c r="D2063" s="117"/>
      <c r="E2063" s="117"/>
      <c r="F2063" s="117"/>
      <c r="G2063" s="117"/>
      <c r="H2063" s="117"/>
      <c r="I2063" s="117"/>
      <c r="J2063" s="118"/>
      <c r="K2063" s="118"/>
      <c r="L2063" s="118"/>
      <c r="M2063" s="118"/>
      <c r="N2063" s="117"/>
      <c r="O2063" s="117"/>
      <c r="P2063" s="117"/>
      <c r="Q2063" s="117"/>
      <c r="R2063" s="117"/>
      <c r="S2063" s="117"/>
      <c r="T2063" s="117"/>
      <c r="U2063" s="117"/>
      <c r="V2063" s="117"/>
      <c r="W2063" s="117"/>
      <c r="X2063" s="117"/>
      <c r="Y2063" s="117"/>
      <c r="Z2063" s="117"/>
      <c r="AA2063" s="117"/>
      <c r="AB2063" s="117"/>
      <c r="AC2063" s="117"/>
      <c r="AD2063" s="117"/>
      <c r="AE2063" s="117"/>
      <c r="AF2063" s="117"/>
      <c r="AG2063" s="117"/>
      <c r="AH2063" s="117"/>
      <c r="AI2063" s="117"/>
      <c r="AJ2063" s="117"/>
      <c r="AK2063" s="117"/>
      <c r="AL2063" s="117"/>
      <c r="AM2063" s="117"/>
      <c r="AN2063" s="117"/>
      <c r="AO2063" s="117"/>
      <c r="AP2063" s="117"/>
      <c r="AQ2063" s="117"/>
      <c r="AR2063" s="117"/>
      <c r="AS2063" s="117"/>
      <c r="AT2063" s="117"/>
      <c r="AU2063" s="117"/>
      <c r="AV2063" s="117"/>
      <c r="AW2063" s="117"/>
      <c r="AX2063" s="117"/>
      <c r="AY2063" s="117"/>
      <c r="AZ2063" s="117"/>
      <c r="BA2063" s="117"/>
      <c r="BB2063" s="117"/>
      <c r="BC2063" s="117"/>
      <c r="BD2063" s="117"/>
      <c r="BE2063" s="117"/>
      <c r="BF2063" s="117"/>
      <c r="BG2063" s="117"/>
    </row>
    <row r="2064" spans="1:59">
      <c r="A2064" s="117"/>
      <c r="B2064" s="117"/>
      <c r="C2064" s="117"/>
      <c r="D2064" s="117"/>
      <c r="E2064" s="117"/>
      <c r="F2064" s="117"/>
      <c r="G2064" s="117"/>
      <c r="H2064" s="117"/>
      <c r="I2064" s="117"/>
      <c r="J2064" s="118"/>
      <c r="K2064" s="118"/>
      <c r="L2064" s="118"/>
      <c r="M2064" s="118"/>
      <c r="N2064" s="117"/>
      <c r="O2064" s="117"/>
      <c r="P2064" s="117"/>
      <c r="Q2064" s="117"/>
      <c r="R2064" s="117"/>
      <c r="S2064" s="117"/>
      <c r="T2064" s="117"/>
      <c r="U2064" s="117"/>
      <c r="V2064" s="117"/>
      <c r="W2064" s="117"/>
      <c r="X2064" s="117"/>
      <c r="Y2064" s="117"/>
      <c r="Z2064" s="117"/>
      <c r="AA2064" s="117"/>
      <c r="AB2064" s="117"/>
      <c r="AC2064" s="117"/>
      <c r="AD2064" s="117"/>
      <c r="AE2064" s="117"/>
      <c r="AF2064" s="117"/>
      <c r="AG2064" s="117"/>
      <c r="AH2064" s="117"/>
      <c r="AI2064" s="117"/>
      <c r="AJ2064" s="117"/>
      <c r="AK2064" s="117"/>
      <c r="AL2064" s="117"/>
      <c r="AM2064" s="117"/>
      <c r="AN2064" s="117"/>
      <c r="AO2064" s="117"/>
      <c r="AP2064" s="117"/>
      <c r="AQ2064" s="117"/>
      <c r="AR2064" s="117"/>
      <c r="AS2064" s="117"/>
      <c r="AT2064" s="117"/>
      <c r="AU2064" s="117"/>
      <c r="AV2064" s="117"/>
      <c r="AW2064" s="117"/>
      <c r="AX2064" s="117"/>
      <c r="AY2064" s="117"/>
      <c r="AZ2064" s="117"/>
      <c r="BA2064" s="117"/>
      <c r="BB2064" s="117"/>
      <c r="BC2064" s="117"/>
      <c r="BD2064" s="117"/>
      <c r="BE2064" s="117"/>
      <c r="BF2064" s="117"/>
      <c r="BG2064" s="117"/>
    </row>
    <row r="2065" spans="1:59">
      <c r="A2065" s="117"/>
      <c r="B2065" s="117"/>
      <c r="C2065" s="117"/>
      <c r="D2065" s="117"/>
      <c r="E2065" s="117"/>
      <c r="F2065" s="117"/>
      <c r="G2065" s="117"/>
      <c r="H2065" s="117"/>
      <c r="I2065" s="117"/>
      <c r="J2065" s="118"/>
      <c r="K2065" s="118"/>
      <c r="L2065" s="118"/>
      <c r="M2065" s="118"/>
      <c r="N2065" s="117"/>
      <c r="O2065" s="117"/>
      <c r="P2065" s="117"/>
      <c r="Q2065" s="117"/>
      <c r="R2065" s="117"/>
      <c r="S2065" s="117"/>
      <c r="T2065" s="117"/>
      <c r="U2065" s="117"/>
      <c r="V2065" s="117"/>
      <c r="W2065" s="117"/>
      <c r="X2065" s="117"/>
      <c r="Y2065" s="117"/>
      <c r="Z2065" s="117"/>
      <c r="AA2065" s="117"/>
      <c r="AB2065" s="117"/>
      <c r="AC2065" s="117"/>
      <c r="AD2065" s="117"/>
      <c r="AE2065" s="117"/>
      <c r="AF2065" s="117"/>
      <c r="AG2065" s="117"/>
      <c r="AH2065" s="117"/>
      <c r="AI2065" s="117"/>
      <c r="AJ2065" s="117"/>
      <c r="AK2065" s="117"/>
      <c r="AL2065" s="117"/>
      <c r="AM2065" s="117"/>
      <c r="AN2065" s="117"/>
      <c r="AO2065" s="117"/>
      <c r="AP2065" s="117"/>
      <c r="AQ2065" s="117"/>
      <c r="AR2065" s="117"/>
      <c r="AS2065" s="117"/>
      <c r="AT2065" s="117"/>
      <c r="AU2065" s="117"/>
      <c r="AV2065" s="117"/>
      <c r="AW2065" s="117"/>
      <c r="AX2065" s="117"/>
      <c r="AY2065" s="117"/>
      <c r="AZ2065" s="117"/>
      <c r="BA2065" s="117"/>
      <c r="BB2065" s="117"/>
      <c r="BC2065" s="117"/>
      <c r="BD2065" s="117"/>
      <c r="BE2065" s="117"/>
      <c r="BF2065" s="117"/>
      <c r="BG2065" s="117"/>
    </row>
    <row r="2066" spans="1:59">
      <c r="A2066" s="117"/>
      <c r="B2066" s="117"/>
      <c r="C2066" s="117"/>
      <c r="D2066" s="117"/>
      <c r="E2066" s="117"/>
      <c r="F2066" s="117"/>
      <c r="G2066" s="117"/>
      <c r="H2066" s="117"/>
      <c r="I2066" s="117"/>
      <c r="J2066" s="118"/>
      <c r="K2066" s="118"/>
      <c r="L2066" s="118"/>
      <c r="M2066" s="118"/>
      <c r="N2066" s="117"/>
      <c r="O2066" s="117"/>
      <c r="P2066" s="117"/>
      <c r="Q2066" s="117"/>
      <c r="R2066" s="117"/>
      <c r="S2066" s="117"/>
      <c r="T2066" s="117"/>
      <c r="U2066" s="117"/>
      <c r="V2066" s="117"/>
      <c r="W2066" s="117"/>
      <c r="X2066" s="117"/>
      <c r="Y2066" s="117"/>
      <c r="Z2066" s="117"/>
      <c r="AA2066" s="117"/>
      <c r="AB2066" s="117"/>
      <c r="AC2066" s="117"/>
      <c r="AD2066" s="117"/>
      <c r="AE2066" s="117"/>
      <c r="AF2066" s="117"/>
      <c r="AG2066" s="117"/>
      <c r="AH2066" s="117"/>
      <c r="AI2066" s="117"/>
      <c r="AJ2066" s="117"/>
      <c r="AK2066" s="117"/>
      <c r="AL2066" s="117"/>
      <c r="AM2066" s="117"/>
      <c r="AN2066" s="117"/>
      <c r="AO2066" s="117"/>
      <c r="AP2066" s="117"/>
      <c r="AQ2066" s="117"/>
      <c r="AR2066" s="117"/>
      <c r="AS2066" s="117"/>
      <c r="AT2066" s="117"/>
      <c r="AU2066" s="117"/>
      <c r="AV2066" s="117"/>
      <c r="AW2066" s="117"/>
      <c r="AX2066" s="117"/>
      <c r="AY2066" s="117"/>
      <c r="AZ2066" s="117"/>
      <c r="BA2066" s="117"/>
      <c r="BB2066" s="117"/>
      <c r="BC2066" s="117"/>
      <c r="BD2066" s="117"/>
      <c r="BE2066" s="117"/>
      <c r="BF2066" s="117"/>
      <c r="BG2066" s="117"/>
    </row>
    <row r="2067" spans="1:59">
      <c r="A2067" s="117"/>
      <c r="B2067" s="117"/>
      <c r="C2067" s="117"/>
      <c r="D2067" s="117"/>
      <c r="E2067" s="117"/>
      <c r="F2067" s="117"/>
      <c r="G2067" s="117"/>
      <c r="H2067" s="117"/>
      <c r="I2067" s="117"/>
      <c r="J2067" s="118"/>
      <c r="K2067" s="118"/>
      <c r="L2067" s="118"/>
      <c r="M2067" s="118"/>
      <c r="N2067" s="117"/>
      <c r="O2067" s="117"/>
      <c r="P2067" s="117"/>
      <c r="Q2067" s="117"/>
      <c r="R2067" s="117"/>
      <c r="S2067" s="117"/>
      <c r="T2067" s="117"/>
      <c r="U2067" s="117"/>
      <c r="V2067" s="117"/>
      <c r="W2067" s="117"/>
      <c r="X2067" s="117"/>
      <c r="Y2067" s="117"/>
      <c r="Z2067" s="117"/>
      <c r="AA2067" s="117"/>
      <c r="AB2067" s="117"/>
      <c r="AC2067" s="117"/>
      <c r="AD2067" s="117"/>
      <c r="AE2067" s="117"/>
      <c r="AF2067" s="117"/>
      <c r="AG2067" s="117"/>
      <c r="AH2067" s="117"/>
      <c r="AI2067" s="117"/>
      <c r="AJ2067" s="117"/>
      <c r="AK2067" s="117"/>
      <c r="AL2067" s="117"/>
      <c r="AM2067" s="117"/>
      <c r="AN2067" s="117"/>
      <c r="AO2067" s="117"/>
      <c r="AP2067" s="117"/>
      <c r="AQ2067" s="117"/>
      <c r="AR2067" s="117"/>
      <c r="AS2067" s="117"/>
      <c r="AT2067" s="117"/>
      <c r="AU2067" s="117"/>
      <c r="AV2067" s="117"/>
      <c r="AW2067" s="117"/>
      <c r="AX2067" s="117"/>
      <c r="AY2067" s="117"/>
      <c r="AZ2067" s="117"/>
      <c r="BA2067" s="117"/>
      <c r="BB2067" s="117"/>
      <c r="BC2067" s="117"/>
      <c r="BD2067" s="117"/>
      <c r="BE2067" s="117"/>
      <c r="BF2067" s="117"/>
      <c r="BG2067" s="117"/>
    </row>
    <row r="2068" spans="1:59">
      <c r="A2068" s="117"/>
      <c r="B2068" s="117"/>
      <c r="C2068" s="117"/>
      <c r="D2068" s="117"/>
      <c r="E2068" s="117"/>
      <c r="F2068" s="117"/>
      <c r="G2068" s="117"/>
      <c r="H2068" s="117"/>
      <c r="I2068" s="117"/>
      <c r="J2068" s="118"/>
      <c r="K2068" s="118"/>
      <c r="L2068" s="118"/>
      <c r="M2068" s="118"/>
      <c r="N2068" s="117"/>
      <c r="O2068" s="117"/>
      <c r="P2068" s="117"/>
      <c r="Q2068" s="117"/>
      <c r="R2068" s="117"/>
      <c r="S2068" s="117"/>
      <c r="T2068" s="117"/>
      <c r="U2068" s="117"/>
      <c r="V2068" s="117"/>
      <c r="W2068" s="117"/>
      <c r="X2068" s="117"/>
      <c r="Y2068" s="117"/>
      <c r="Z2068" s="117"/>
      <c r="AA2068" s="117"/>
      <c r="AB2068" s="117"/>
      <c r="AC2068" s="117"/>
      <c r="AD2068" s="117"/>
      <c r="AE2068" s="117"/>
      <c r="AF2068" s="117"/>
      <c r="AG2068" s="117"/>
      <c r="AH2068" s="117"/>
      <c r="AI2068" s="117"/>
      <c r="AJ2068" s="117"/>
      <c r="AK2068" s="117"/>
      <c r="AL2068" s="117"/>
      <c r="AM2068" s="117"/>
      <c r="AN2068" s="117"/>
      <c r="AO2068" s="117"/>
      <c r="AP2068" s="117"/>
      <c r="AQ2068" s="117"/>
      <c r="AR2068" s="117"/>
      <c r="AS2068" s="117"/>
      <c r="AT2068" s="117"/>
      <c r="AU2068" s="117"/>
      <c r="AV2068" s="117"/>
      <c r="AW2068" s="117"/>
      <c r="AX2068" s="117"/>
      <c r="AY2068" s="117"/>
      <c r="AZ2068" s="117"/>
      <c r="BA2068" s="117"/>
      <c r="BB2068" s="117"/>
      <c r="BC2068" s="117"/>
      <c r="BD2068" s="117"/>
      <c r="BE2068" s="117"/>
      <c r="BF2068" s="117"/>
      <c r="BG2068" s="117"/>
    </row>
    <row r="2069" spans="1:59">
      <c r="A2069" s="117"/>
      <c r="B2069" s="117"/>
      <c r="C2069" s="117"/>
      <c r="D2069" s="117"/>
      <c r="E2069" s="117"/>
      <c r="F2069" s="117"/>
      <c r="G2069" s="117"/>
      <c r="H2069" s="117"/>
      <c r="I2069" s="117"/>
      <c r="J2069" s="118"/>
      <c r="K2069" s="118"/>
      <c r="L2069" s="118"/>
      <c r="M2069" s="118"/>
      <c r="N2069" s="117"/>
      <c r="O2069" s="117"/>
      <c r="P2069" s="117"/>
      <c r="Q2069" s="117"/>
      <c r="R2069" s="117"/>
      <c r="S2069" s="117"/>
      <c r="T2069" s="117"/>
      <c r="U2069" s="117"/>
      <c r="V2069" s="117"/>
      <c r="W2069" s="117"/>
      <c r="X2069" s="117"/>
      <c r="Y2069" s="117"/>
      <c r="Z2069" s="117"/>
      <c r="AA2069" s="117"/>
      <c r="AB2069" s="117"/>
      <c r="AC2069" s="117"/>
      <c r="AD2069" s="117"/>
      <c r="AE2069" s="117"/>
      <c r="AF2069" s="117"/>
      <c r="AG2069" s="117"/>
      <c r="AH2069" s="117"/>
      <c r="AI2069" s="117"/>
      <c r="AJ2069" s="117"/>
      <c r="AK2069" s="117"/>
      <c r="AL2069" s="117"/>
      <c r="AM2069" s="117"/>
      <c r="AN2069" s="117"/>
      <c r="AO2069" s="117"/>
      <c r="AP2069" s="117"/>
      <c r="AQ2069" s="117"/>
      <c r="AR2069" s="117"/>
      <c r="AS2069" s="117"/>
      <c r="AT2069" s="117"/>
      <c r="AU2069" s="117"/>
      <c r="AV2069" s="117"/>
      <c r="AW2069" s="117"/>
      <c r="AX2069" s="117"/>
      <c r="AY2069" s="117"/>
      <c r="AZ2069" s="117"/>
      <c r="BA2069" s="117"/>
      <c r="BB2069" s="117"/>
      <c r="BC2069" s="117"/>
      <c r="BD2069" s="117"/>
      <c r="BE2069" s="117"/>
      <c r="BF2069" s="117"/>
      <c r="BG2069" s="117"/>
    </row>
    <row r="2070" spans="1:59">
      <c r="A2070" s="117"/>
      <c r="B2070" s="117"/>
      <c r="C2070" s="117"/>
      <c r="D2070" s="117"/>
      <c r="E2070" s="117"/>
      <c r="F2070" s="117"/>
      <c r="G2070" s="117"/>
      <c r="H2070" s="117"/>
      <c r="I2070" s="117"/>
      <c r="J2070" s="118"/>
      <c r="K2070" s="118"/>
      <c r="L2070" s="118"/>
      <c r="M2070" s="118"/>
      <c r="N2070" s="117"/>
      <c r="O2070" s="117"/>
      <c r="P2070" s="117"/>
      <c r="Q2070" s="117"/>
      <c r="R2070" s="117"/>
      <c r="S2070" s="117"/>
      <c r="T2070" s="117"/>
      <c r="U2070" s="117"/>
      <c r="V2070" s="117"/>
      <c r="W2070" s="117"/>
      <c r="X2070" s="117"/>
      <c r="Y2070" s="117"/>
      <c r="Z2070" s="117"/>
      <c r="AA2070" s="117"/>
      <c r="AB2070" s="117"/>
      <c r="AC2070" s="117"/>
      <c r="AD2070" s="117"/>
      <c r="AE2070" s="117"/>
      <c r="AF2070" s="117"/>
      <c r="AG2070" s="117"/>
      <c r="AH2070" s="117"/>
      <c r="AI2070" s="117"/>
      <c r="AJ2070" s="117"/>
      <c r="AK2070" s="117"/>
      <c r="AL2070" s="117"/>
      <c r="AM2070" s="117"/>
      <c r="AN2070" s="117"/>
      <c r="AO2070" s="117"/>
      <c r="AP2070" s="117"/>
      <c r="AQ2070" s="117"/>
      <c r="AR2070" s="117"/>
      <c r="AS2070" s="117"/>
      <c r="AT2070" s="117"/>
      <c r="AU2070" s="117"/>
      <c r="AV2070" s="117"/>
      <c r="AW2070" s="117"/>
      <c r="AX2070" s="117"/>
      <c r="AY2070" s="117"/>
      <c r="AZ2070" s="117"/>
      <c r="BA2070" s="117"/>
      <c r="BB2070" s="117"/>
      <c r="BC2070" s="117"/>
      <c r="BD2070" s="117"/>
      <c r="BE2070" s="117"/>
      <c r="BF2070" s="117"/>
      <c r="BG2070" s="117"/>
    </row>
    <row r="2071" spans="1:59">
      <c r="A2071" s="117"/>
      <c r="B2071" s="117"/>
      <c r="C2071" s="117"/>
      <c r="D2071" s="117"/>
      <c r="E2071" s="117"/>
      <c r="F2071" s="117"/>
      <c r="G2071" s="117"/>
      <c r="H2071" s="117"/>
      <c r="I2071" s="117"/>
      <c r="J2071" s="118"/>
      <c r="K2071" s="118"/>
      <c r="L2071" s="118"/>
      <c r="M2071" s="118"/>
      <c r="N2071" s="117"/>
      <c r="O2071" s="117"/>
      <c r="P2071" s="117"/>
      <c r="Q2071" s="117"/>
      <c r="R2071" s="117"/>
      <c r="S2071" s="117"/>
      <c r="T2071" s="117"/>
      <c r="U2071" s="117"/>
      <c r="V2071" s="117"/>
      <c r="W2071" s="117"/>
      <c r="X2071" s="117"/>
      <c r="Y2071" s="117"/>
      <c r="Z2071" s="117"/>
      <c r="AA2071" s="117"/>
      <c r="AB2071" s="117"/>
      <c r="AC2071" s="117"/>
      <c r="AD2071" s="117"/>
      <c r="AE2071" s="117"/>
      <c r="AF2071" s="117"/>
      <c r="AG2071" s="117"/>
      <c r="AH2071" s="117"/>
      <c r="AI2071" s="117"/>
      <c r="AJ2071" s="117"/>
      <c r="AK2071" s="117"/>
      <c r="AL2071" s="117"/>
      <c r="AM2071" s="117"/>
      <c r="AN2071" s="117"/>
      <c r="AO2071" s="117"/>
      <c r="AP2071" s="117"/>
      <c r="AQ2071" s="117"/>
      <c r="AR2071" s="117"/>
      <c r="AS2071" s="117"/>
      <c r="AT2071" s="117"/>
      <c r="AU2071" s="117"/>
      <c r="AV2071" s="117"/>
      <c r="AW2071" s="117"/>
      <c r="AX2071" s="117"/>
      <c r="AY2071" s="117"/>
      <c r="AZ2071" s="117"/>
      <c r="BA2071" s="117"/>
      <c r="BB2071" s="117"/>
      <c r="BC2071" s="117"/>
      <c r="BD2071" s="117"/>
      <c r="BE2071" s="117"/>
      <c r="BF2071" s="117"/>
      <c r="BG2071" s="117"/>
    </row>
    <row r="2072" spans="1:59">
      <c r="A2072" s="117"/>
      <c r="B2072" s="117"/>
      <c r="C2072" s="117"/>
      <c r="D2072" s="117"/>
      <c r="E2072" s="117"/>
      <c r="F2072" s="117"/>
      <c r="G2072" s="117"/>
      <c r="H2072" s="117"/>
      <c r="I2072" s="117"/>
      <c r="J2072" s="118"/>
      <c r="K2072" s="118"/>
      <c r="L2072" s="118"/>
      <c r="M2072" s="118"/>
      <c r="N2072" s="117"/>
      <c r="O2072" s="117"/>
      <c r="P2072" s="117"/>
      <c r="Q2072" s="117"/>
      <c r="R2072" s="117"/>
      <c r="S2072" s="117"/>
      <c r="T2072" s="117"/>
      <c r="U2072" s="117"/>
      <c r="V2072" s="117"/>
      <c r="W2072" s="117"/>
      <c r="X2072" s="117"/>
      <c r="Y2072" s="117"/>
      <c r="Z2072" s="117"/>
      <c r="AA2072" s="117"/>
      <c r="AB2072" s="117"/>
      <c r="AC2072" s="117"/>
      <c r="AD2072" s="117"/>
      <c r="AE2072" s="117"/>
      <c r="AF2072" s="117"/>
      <c r="AG2072" s="117"/>
      <c r="AH2072" s="117"/>
      <c r="AI2072" s="117"/>
      <c r="AJ2072" s="117"/>
      <c r="AK2072" s="117"/>
      <c r="AL2072" s="117"/>
      <c r="AM2072" s="117"/>
      <c r="AN2072" s="117"/>
      <c r="AO2072" s="117"/>
      <c r="AP2072" s="117"/>
      <c r="AQ2072" s="117"/>
      <c r="AR2072" s="117"/>
      <c r="AS2072" s="117"/>
      <c r="AT2072" s="117"/>
      <c r="AU2072" s="117"/>
      <c r="AV2072" s="117"/>
      <c r="AW2072" s="117"/>
      <c r="AX2072" s="117"/>
      <c r="AY2072" s="117"/>
      <c r="AZ2072" s="117"/>
      <c r="BA2072" s="117"/>
      <c r="BB2072" s="117"/>
      <c r="BC2072" s="117"/>
      <c r="BD2072" s="117"/>
      <c r="BE2072" s="117"/>
      <c r="BF2072" s="117"/>
      <c r="BG2072" s="117"/>
    </row>
    <row r="2073" spans="1:59">
      <c r="A2073" s="117"/>
      <c r="B2073" s="117"/>
      <c r="C2073" s="117"/>
      <c r="D2073" s="117"/>
      <c r="E2073" s="117"/>
      <c r="F2073" s="117"/>
      <c r="G2073" s="117"/>
      <c r="H2073" s="117"/>
      <c r="I2073" s="117"/>
      <c r="J2073" s="118"/>
      <c r="K2073" s="118"/>
      <c r="L2073" s="118"/>
      <c r="M2073" s="118"/>
      <c r="N2073" s="117"/>
      <c r="O2073" s="117"/>
      <c r="P2073" s="117"/>
      <c r="Q2073" s="117"/>
      <c r="R2073" s="117"/>
      <c r="S2073" s="117"/>
      <c r="T2073" s="117"/>
      <c r="U2073" s="117"/>
      <c r="V2073" s="117"/>
      <c r="W2073" s="117"/>
      <c r="X2073" s="117"/>
      <c r="Y2073" s="117"/>
      <c r="Z2073" s="117"/>
      <c r="AA2073" s="117"/>
      <c r="AB2073" s="117"/>
      <c r="AC2073" s="117"/>
      <c r="AD2073" s="117"/>
      <c r="AE2073" s="117"/>
      <c r="AF2073" s="117"/>
      <c r="AG2073" s="117"/>
      <c r="AH2073" s="117"/>
      <c r="AI2073" s="117"/>
      <c r="AJ2073" s="117"/>
      <c r="AK2073" s="117"/>
      <c r="AL2073" s="117"/>
      <c r="AM2073" s="117"/>
      <c r="AN2073" s="117"/>
      <c r="AO2073" s="117"/>
      <c r="AP2073" s="117"/>
      <c r="AQ2073" s="117"/>
      <c r="AR2073" s="117"/>
      <c r="AS2073" s="117"/>
      <c r="AT2073" s="117"/>
      <c r="AU2073" s="117"/>
      <c r="AV2073" s="117"/>
      <c r="AW2073" s="117"/>
      <c r="AX2073" s="117"/>
      <c r="AY2073" s="117"/>
      <c r="AZ2073" s="117"/>
      <c r="BA2073" s="117"/>
      <c r="BB2073" s="117"/>
      <c r="BC2073" s="117"/>
      <c r="BD2073" s="117"/>
      <c r="BE2073" s="117"/>
      <c r="BF2073" s="117"/>
      <c r="BG2073" s="117"/>
    </row>
    <row r="2074" spans="1:59">
      <c r="A2074" s="117"/>
      <c r="B2074" s="117"/>
      <c r="C2074" s="117"/>
      <c r="D2074" s="117"/>
      <c r="E2074" s="117"/>
      <c r="F2074" s="117"/>
      <c r="G2074" s="117"/>
      <c r="H2074" s="117"/>
      <c r="I2074" s="117"/>
      <c r="J2074" s="118"/>
      <c r="K2074" s="118"/>
      <c r="L2074" s="118"/>
      <c r="M2074" s="118"/>
      <c r="N2074" s="117"/>
      <c r="O2074" s="117"/>
      <c r="P2074" s="117"/>
      <c r="Q2074" s="117"/>
      <c r="R2074" s="117"/>
      <c r="S2074" s="117"/>
      <c r="T2074" s="117"/>
      <c r="U2074" s="117"/>
      <c r="V2074" s="117"/>
      <c r="W2074" s="117"/>
      <c r="X2074" s="117"/>
      <c r="Y2074" s="117"/>
      <c r="Z2074" s="117"/>
      <c r="AA2074" s="117"/>
      <c r="AB2074" s="117"/>
      <c r="AC2074" s="117"/>
      <c r="AD2074" s="117"/>
      <c r="AE2074" s="117"/>
      <c r="AF2074" s="117"/>
      <c r="AG2074" s="117"/>
      <c r="AH2074" s="117"/>
      <c r="AI2074" s="117"/>
      <c r="AJ2074" s="117"/>
      <c r="AK2074" s="117"/>
      <c r="AL2074" s="117"/>
      <c r="AM2074" s="117"/>
      <c r="AN2074" s="117"/>
      <c r="AO2074" s="117"/>
      <c r="AP2074" s="117"/>
      <c r="AQ2074" s="117"/>
      <c r="AR2074" s="117"/>
      <c r="AS2074" s="117"/>
      <c r="AT2074" s="117"/>
      <c r="AU2074" s="117"/>
      <c r="AV2074" s="117"/>
      <c r="AW2074" s="117"/>
      <c r="AX2074" s="117"/>
      <c r="AY2074" s="117"/>
      <c r="AZ2074" s="117"/>
      <c r="BA2074" s="117"/>
      <c r="BB2074" s="117"/>
      <c r="BC2074" s="117"/>
      <c r="BD2074" s="117"/>
      <c r="BE2074" s="117"/>
      <c r="BF2074" s="117"/>
      <c r="BG2074" s="117"/>
    </row>
    <row r="2075" spans="1:59">
      <c r="A2075" s="117"/>
      <c r="B2075" s="117"/>
      <c r="C2075" s="117"/>
      <c r="D2075" s="117"/>
      <c r="E2075" s="117"/>
      <c r="F2075" s="117"/>
      <c r="G2075" s="117"/>
      <c r="H2075" s="117"/>
      <c r="I2075" s="117"/>
      <c r="J2075" s="118"/>
      <c r="K2075" s="118"/>
      <c r="L2075" s="118"/>
      <c r="M2075" s="118"/>
      <c r="N2075" s="117"/>
      <c r="O2075" s="117"/>
      <c r="P2075" s="117"/>
      <c r="Q2075" s="117"/>
      <c r="R2075" s="117"/>
      <c r="S2075" s="117"/>
      <c r="T2075" s="117"/>
      <c r="U2075" s="117"/>
      <c r="V2075" s="117"/>
      <c r="W2075" s="117"/>
      <c r="X2075" s="117"/>
      <c r="Y2075" s="117"/>
      <c r="Z2075" s="117"/>
      <c r="AA2075" s="117"/>
      <c r="AB2075" s="117"/>
      <c r="AC2075" s="117"/>
      <c r="AD2075" s="117"/>
      <c r="AE2075" s="117"/>
      <c r="AF2075" s="117"/>
      <c r="AG2075" s="117"/>
      <c r="AH2075" s="117"/>
      <c r="AI2075" s="117"/>
      <c r="AJ2075" s="117"/>
      <c r="AK2075" s="117"/>
      <c r="AL2075" s="117"/>
      <c r="AM2075" s="117"/>
      <c r="AN2075" s="117"/>
      <c r="AO2075" s="117"/>
      <c r="AP2075" s="117"/>
      <c r="AQ2075" s="117"/>
      <c r="AR2075" s="117"/>
      <c r="AS2075" s="117"/>
      <c r="AT2075" s="117"/>
      <c r="AU2075" s="117"/>
      <c r="AV2075" s="117"/>
      <c r="AW2075" s="117"/>
      <c r="AX2075" s="117"/>
      <c r="AY2075" s="117"/>
      <c r="AZ2075" s="117"/>
      <c r="BA2075" s="117"/>
      <c r="BB2075" s="117"/>
      <c r="BC2075" s="117"/>
      <c r="BD2075" s="117"/>
      <c r="BE2075" s="117"/>
      <c r="BF2075" s="117"/>
      <c r="BG2075" s="117"/>
    </row>
    <row r="2076" spans="1:59">
      <c r="A2076" s="117"/>
      <c r="B2076" s="117"/>
      <c r="C2076" s="117"/>
      <c r="D2076" s="117"/>
      <c r="E2076" s="117"/>
      <c r="F2076" s="117"/>
      <c r="G2076" s="117"/>
      <c r="H2076" s="117"/>
      <c r="I2076" s="117"/>
      <c r="J2076" s="118"/>
      <c r="K2076" s="118"/>
      <c r="L2076" s="118"/>
      <c r="M2076" s="118"/>
      <c r="N2076" s="117"/>
      <c r="O2076" s="117"/>
      <c r="P2076" s="117"/>
      <c r="Q2076" s="117"/>
      <c r="R2076" s="117"/>
      <c r="S2076" s="117"/>
      <c r="T2076" s="117"/>
      <c r="U2076" s="117"/>
      <c r="V2076" s="117"/>
      <c r="W2076" s="117"/>
      <c r="X2076" s="117"/>
      <c r="Y2076" s="117"/>
      <c r="Z2076" s="117"/>
      <c r="AA2076" s="117"/>
      <c r="AB2076" s="117"/>
      <c r="AC2076" s="117"/>
      <c r="AD2076" s="117"/>
      <c r="AE2076" s="117"/>
      <c r="AF2076" s="117"/>
      <c r="AG2076" s="117"/>
      <c r="AH2076" s="117"/>
      <c r="AI2076" s="117"/>
      <c r="AJ2076" s="117"/>
      <c r="AK2076" s="117"/>
      <c r="AL2076" s="117"/>
      <c r="AM2076" s="117"/>
      <c r="AN2076" s="117"/>
      <c r="AO2076" s="117"/>
      <c r="AP2076" s="117"/>
      <c r="AQ2076" s="117"/>
      <c r="AR2076" s="117"/>
      <c r="AS2076" s="117"/>
      <c r="AT2076" s="117"/>
      <c r="AU2076" s="117"/>
      <c r="AV2076" s="117"/>
      <c r="AW2076" s="117"/>
      <c r="AX2076" s="117"/>
      <c r="AY2076" s="117"/>
      <c r="AZ2076" s="117"/>
      <c r="BA2076" s="117"/>
      <c r="BB2076" s="117"/>
      <c r="BC2076" s="117"/>
      <c r="BD2076" s="117"/>
      <c r="BE2076" s="117"/>
      <c r="BF2076" s="117"/>
      <c r="BG2076" s="117"/>
    </row>
    <row r="2077" spans="1:59">
      <c r="A2077" s="117"/>
      <c r="B2077" s="117"/>
      <c r="C2077" s="117"/>
      <c r="D2077" s="117"/>
      <c r="E2077" s="117"/>
      <c r="F2077" s="117"/>
      <c r="G2077" s="117"/>
      <c r="H2077" s="117"/>
      <c r="I2077" s="117"/>
      <c r="J2077" s="118"/>
      <c r="K2077" s="118"/>
      <c r="L2077" s="118"/>
      <c r="M2077" s="118"/>
      <c r="N2077" s="117"/>
      <c r="O2077" s="117"/>
      <c r="P2077" s="117"/>
      <c r="Q2077" s="117"/>
      <c r="R2077" s="117"/>
      <c r="S2077" s="117"/>
      <c r="T2077" s="117"/>
      <c r="U2077" s="117"/>
      <c r="V2077" s="117"/>
      <c r="W2077" s="117"/>
      <c r="X2077" s="117"/>
      <c r="Y2077" s="117"/>
      <c r="Z2077" s="117"/>
      <c r="AA2077" s="117"/>
      <c r="AB2077" s="117"/>
      <c r="AC2077" s="117"/>
      <c r="AD2077" s="117"/>
      <c r="AE2077" s="117"/>
      <c r="AF2077" s="117"/>
      <c r="AG2077" s="117"/>
      <c r="AH2077" s="117"/>
      <c r="AI2077" s="117"/>
      <c r="AJ2077" s="117"/>
      <c r="AK2077" s="117"/>
      <c r="AL2077" s="117"/>
      <c r="AM2077" s="117"/>
      <c r="AN2077" s="117"/>
      <c r="AO2077" s="117"/>
      <c r="AP2077" s="117"/>
      <c r="AQ2077" s="117"/>
      <c r="AR2077" s="117"/>
      <c r="AS2077" s="117"/>
      <c r="AT2077" s="117"/>
      <c r="AU2077" s="117"/>
      <c r="AV2077" s="117"/>
      <c r="AW2077" s="117"/>
      <c r="AX2077" s="117"/>
      <c r="AY2077" s="117"/>
      <c r="AZ2077" s="117"/>
      <c r="BA2077" s="117"/>
      <c r="BB2077" s="117"/>
      <c r="BC2077" s="117"/>
      <c r="BD2077" s="117"/>
      <c r="BE2077" s="117"/>
      <c r="BF2077" s="117"/>
      <c r="BG2077" s="117"/>
    </row>
    <row r="2078" spans="1:59">
      <c r="A2078" s="117"/>
      <c r="B2078" s="117"/>
      <c r="C2078" s="117"/>
      <c r="D2078" s="117"/>
      <c r="E2078" s="117"/>
      <c r="F2078" s="117"/>
      <c r="G2078" s="117"/>
      <c r="H2078" s="117"/>
      <c r="I2078" s="117"/>
      <c r="J2078" s="118"/>
      <c r="K2078" s="118"/>
      <c r="L2078" s="118"/>
      <c r="M2078" s="118"/>
      <c r="N2078" s="117"/>
      <c r="O2078" s="117"/>
      <c r="P2078" s="117"/>
      <c r="Q2078" s="117"/>
      <c r="R2078" s="117"/>
      <c r="S2078" s="117"/>
      <c r="T2078" s="117"/>
      <c r="U2078" s="117"/>
      <c r="V2078" s="117"/>
      <c r="W2078" s="117"/>
      <c r="X2078" s="117"/>
      <c r="Y2078" s="117"/>
      <c r="Z2078" s="117"/>
      <c r="AA2078" s="117"/>
      <c r="AB2078" s="117"/>
      <c r="AC2078" s="117"/>
      <c r="AD2078" s="117"/>
      <c r="AE2078" s="117"/>
      <c r="AF2078" s="117"/>
      <c r="AG2078" s="117"/>
      <c r="AH2078" s="117"/>
      <c r="AI2078" s="117"/>
      <c r="AJ2078" s="117"/>
      <c r="AK2078" s="117"/>
      <c r="AL2078" s="117"/>
      <c r="AM2078" s="117"/>
      <c r="AN2078" s="117"/>
      <c r="AO2078" s="117"/>
      <c r="AP2078" s="117"/>
      <c r="AQ2078" s="117"/>
      <c r="AR2078" s="117"/>
      <c r="AS2078" s="117"/>
      <c r="AT2078" s="117"/>
      <c r="AU2078" s="117"/>
      <c r="AV2078" s="117"/>
      <c r="AW2078" s="117"/>
      <c r="AX2078" s="117"/>
      <c r="AY2078" s="117"/>
      <c r="AZ2078" s="117"/>
      <c r="BA2078" s="117"/>
      <c r="BB2078" s="117"/>
      <c r="BC2078" s="117"/>
      <c r="BD2078" s="117"/>
      <c r="BE2078" s="117"/>
      <c r="BF2078" s="117"/>
      <c r="BG2078" s="117"/>
    </row>
    <row r="2079" spans="1:59">
      <c r="A2079" s="117"/>
      <c r="B2079" s="117"/>
      <c r="C2079" s="117"/>
      <c r="D2079" s="117"/>
      <c r="E2079" s="117"/>
      <c r="F2079" s="117"/>
      <c r="G2079" s="117"/>
      <c r="H2079" s="117"/>
      <c r="I2079" s="117"/>
      <c r="J2079" s="118"/>
      <c r="K2079" s="118"/>
      <c r="L2079" s="118"/>
      <c r="M2079" s="118"/>
      <c r="N2079" s="117"/>
      <c r="O2079" s="117"/>
      <c r="P2079" s="117"/>
      <c r="Q2079" s="117"/>
      <c r="R2079" s="117"/>
      <c r="S2079" s="117"/>
      <c r="T2079" s="117"/>
      <c r="U2079" s="117"/>
      <c r="V2079" s="117"/>
      <c r="W2079" s="117"/>
      <c r="X2079" s="117"/>
      <c r="Y2079" s="117"/>
      <c r="Z2079" s="117"/>
      <c r="AA2079" s="117"/>
      <c r="AB2079" s="117"/>
      <c r="AC2079" s="117"/>
      <c r="AD2079" s="117"/>
      <c r="AE2079" s="117"/>
      <c r="AF2079" s="117"/>
      <c r="AG2079" s="117"/>
      <c r="AH2079" s="117"/>
      <c r="AI2079" s="117"/>
      <c r="AJ2079" s="117"/>
      <c r="AK2079" s="117"/>
      <c r="AL2079" s="117"/>
      <c r="AM2079" s="117"/>
      <c r="AN2079" s="117"/>
      <c r="AO2079" s="117"/>
      <c r="AP2079" s="117"/>
      <c r="AQ2079" s="117"/>
      <c r="AR2079" s="117"/>
      <c r="AS2079" s="117"/>
      <c r="AT2079" s="117"/>
      <c r="AU2079" s="117"/>
      <c r="AV2079" s="117"/>
      <c r="AW2079" s="117"/>
      <c r="AX2079" s="117"/>
      <c r="AY2079" s="117"/>
      <c r="AZ2079" s="117"/>
      <c r="BA2079" s="117"/>
      <c r="BB2079" s="117"/>
      <c r="BC2079" s="117"/>
      <c r="BD2079" s="117"/>
      <c r="BE2079" s="117"/>
      <c r="BF2079" s="117"/>
      <c r="BG2079" s="117"/>
    </row>
    <row r="2080" spans="1:59">
      <c r="A2080" s="117"/>
      <c r="B2080" s="117"/>
      <c r="C2080" s="117"/>
      <c r="D2080" s="117"/>
      <c r="E2080" s="117"/>
      <c r="F2080" s="117"/>
      <c r="G2080" s="117"/>
      <c r="H2080" s="117"/>
      <c r="I2080" s="117"/>
      <c r="J2080" s="118"/>
      <c r="K2080" s="118"/>
      <c r="L2080" s="118"/>
      <c r="M2080" s="118"/>
      <c r="N2080" s="117"/>
      <c r="O2080" s="117"/>
      <c r="P2080" s="117"/>
      <c r="Q2080" s="117"/>
      <c r="R2080" s="117"/>
      <c r="S2080" s="117"/>
      <c r="T2080" s="117"/>
      <c r="U2080" s="117"/>
      <c r="V2080" s="117"/>
      <c r="W2080" s="117"/>
      <c r="X2080" s="117"/>
      <c r="Y2080" s="117"/>
      <c r="Z2080" s="117"/>
      <c r="AA2080" s="117"/>
      <c r="AB2080" s="117"/>
      <c r="AC2080" s="117"/>
      <c r="AD2080" s="117"/>
      <c r="AE2080" s="117"/>
      <c r="AF2080" s="117"/>
      <c r="AG2080" s="117"/>
      <c r="AH2080" s="117"/>
      <c r="AI2080" s="117"/>
      <c r="AJ2080" s="117"/>
      <c r="AK2080" s="117"/>
      <c r="AL2080" s="117"/>
      <c r="AM2080" s="117"/>
      <c r="AN2080" s="117"/>
      <c r="AO2080" s="117"/>
      <c r="AP2080" s="117"/>
      <c r="AQ2080" s="117"/>
      <c r="AR2080" s="117"/>
      <c r="AS2080" s="117"/>
      <c r="AT2080" s="117"/>
      <c r="AU2080" s="117"/>
      <c r="AV2080" s="117"/>
      <c r="AW2080" s="117"/>
      <c r="AX2080" s="117"/>
      <c r="AY2080" s="117"/>
      <c r="AZ2080" s="117"/>
      <c r="BA2080" s="117"/>
      <c r="BB2080" s="117"/>
      <c r="BC2080" s="117"/>
      <c r="BD2080" s="117"/>
      <c r="BE2080" s="117"/>
      <c r="BF2080" s="117"/>
      <c r="BG2080" s="117"/>
    </row>
    <row r="2081" spans="1:59">
      <c r="A2081" s="117"/>
      <c r="B2081" s="117"/>
      <c r="C2081" s="117"/>
      <c r="D2081" s="117"/>
      <c r="E2081" s="117"/>
      <c r="F2081" s="117"/>
      <c r="G2081" s="117"/>
      <c r="H2081" s="117"/>
      <c r="I2081" s="117"/>
      <c r="J2081" s="118"/>
      <c r="K2081" s="118"/>
      <c r="L2081" s="118"/>
      <c r="M2081" s="118"/>
      <c r="N2081" s="117"/>
      <c r="O2081" s="117"/>
      <c r="P2081" s="117"/>
      <c r="Q2081" s="117"/>
      <c r="R2081" s="117"/>
      <c r="S2081" s="117"/>
      <c r="T2081" s="117"/>
      <c r="U2081" s="117"/>
      <c r="V2081" s="117"/>
      <c r="W2081" s="117"/>
      <c r="X2081" s="117"/>
      <c r="Y2081" s="117"/>
      <c r="Z2081" s="117"/>
      <c r="AA2081" s="117"/>
      <c r="AB2081" s="117"/>
      <c r="AC2081" s="117"/>
      <c r="AD2081" s="117"/>
      <c r="AE2081" s="117"/>
      <c r="AF2081" s="117"/>
      <c r="AG2081" s="117"/>
      <c r="AH2081" s="117"/>
      <c r="AI2081" s="117"/>
      <c r="AJ2081" s="117"/>
      <c r="AK2081" s="117"/>
      <c r="AL2081" s="117"/>
      <c r="AM2081" s="117"/>
      <c r="AN2081" s="117"/>
      <c r="AO2081" s="117"/>
      <c r="AP2081" s="117"/>
      <c r="AQ2081" s="117"/>
      <c r="AR2081" s="117"/>
      <c r="AS2081" s="117"/>
      <c r="AT2081" s="117"/>
      <c r="AU2081" s="117"/>
      <c r="AV2081" s="117"/>
      <c r="AW2081" s="117"/>
      <c r="AX2081" s="117"/>
      <c r="AY2081" s="117"/>
      <c r="AZ2081" s="117"/>
      <c r="BA2081" s="117"/>
      <c r="BB2081" s="117"/>
      <c r="BC2081" s="117"/>
      <c r="BD2081" s="117"/>
      <c r="BE2081" s="117"/>
      <c r="BF2081" s="117"/>
      <c r="BG2081" s="117"/>
    </row>
    <row r="2082" spans="1:59">
      <c r="A2082" s="117"/>
      <c r="B2082" s="117"/>
      <c r="C2082" s="117"/>
      <c r="D2082" s="117"/>
      <c r="E2082" s="117"/>
      <c r="F2082" s="117"/>
      <c r="G2082" s="117"/>
      <c r="H2082" s="117"/>
      <c r="I2082" s="117"/>
      <c r="J2082" s="118"/>
      <c r="K2082" s="118"/>
      <c r="L2082" s="118"/>
      <c r="M2082" s="118"/>
      <c r="N2082" s="117"/>
      <c r="O2082" s="117"/>
      <c r="P2082" s="117"/>
      <c r="Q2082" s="117"/>
      <c r="R2082" s="117"/>
      <c r="S2082" s="117"/>
      <c r="T2082" s="117"/>
      <c r="U2082" s="117"/>
      <c r="V2082" s="117"/>
      <c r="W2082" s="117"/>
      <c r="X2082" s="117"/>
      <c r="Y2082" s="117"/>
      <c r="Z2082" s="117"/>
      <c r="AA2082" s="117"/>
      <c r="AB2082" s="117"/>
      <c r="AC2082" s="117"/>
      <c r="AD2082" s="117"/>
      <c r="AE2082" s="117"/>
      <c r="AF2082" s="117"/>
      <c r="AG2082" s="117"/>
      <c r="AH2082" s="117"/>
      <c r="AI2082" s="117"/>
      <c r="AJ2082" s="117"/>
      <c r="AK2082" s="117"/>
      <c r="AL2082" s="117"/>
      <c r="AM2082" s="117"/>
      <c r="AN2082" s="117"/>
      <c r="AO2082" s="117"/>
      <c r="AP2082" s="117"/>
      <c r="AQ2082" s="117"/>
      <c r="AR2082" s="117"/>
      <c r="AS2082" s="117"/>
      <c r="AT2082" s="117"/>
      <c r="AU2082" s="117"/>
      <c r="AV2082" s="117"/>
      <c r="AW2082" s="117"/>
      <c r="AX2082" s="117"/>
      <c r="AY2082" s="117"/>
      <c r="AZ2082" s="117"/>
      <c r="BA2082" s="117"/>
      <c r="BB2082" s="117"/>
      <c r="BC2082" s="117"/>
      <c r="BD2082" s="117"/>
      <c r="BE2082" s="117"/>
      <c r="BF2082" s="117"/>
      <c r="BG2082" s="117"/>
    </row>
    <row r="2083" spans="1:59">
      <c r="A2083" s="117"/>
      <c r="B2083" s="117"/>
      <c r="C2083" s="117"/>
      <c r="D2083" s="117"/>
      <c r="E2083" s="117"/>
      <c r="F2083" s="117"/>
      <c r="G2083" s="117"/>
      <c r="H2083" s="117"/>
      <c r="I2083" s="117"/>
      <c r="J2083" s="118"/>
      <c r="K2083" s="118"/>
      <c r="L2083" s="118"/>
      <c r="M2083" s="118"/>
      <c r="N2083" s="117"/>
      <c r="O2083" s="117"/>
      <c r="P2083" s="117"/>
      <c r="Q2083" s="117"/>
      <c r="R2083" s="117"/>
      <c r="S2083" s="117"/>
      <c r="T2083" s="117"/>
      <c r="U2083" s="117"/>
      <c r="V2083" s="117"/>
      <c r="W2083" s="117"/>
      <c r="X2083" s="117"/>
      <c r="Y2083" s="117"/>
      <c r="Z2083" s="117"/>
      <c r="AA2083" s="117"/>
      <c r="AB2083" s="117"/>
      <c r="AC2083" s="117"/>
      <c r="AD2083" s="117"/>
      <c r="AE2083" s="117"/>
      <c r="AF2083" s="117"/>
      <c r="AG2083" s="117"/>
      <c r="AH2083" s="117"/>
      <c r="AI2083" s="117"/>
      <c r="AJ2083" s="117"/>
      <c r="AK2083" s="117"/>
      <c r="AL2083" s="117"/>
      <c r="AM2083" s="117"/>
      <c r="AN2083" s="117"/>
      <c r="AO2083" s="117"/>
      <c r="AP2083" s="117"/>
      <c r="AQ2083" s="117"/>
      <c r="AR2083" s="117"/>
      <c r="AS2083" s="117"/>
      <c r="AT2083" s="117"/>
      <c r="AU2083" s="117"/>
      <c r="AV2083" s="117"/>
      <c r="AW2083" s="117"/>
      <c r="AX2083" s="117"/>
      <c r="AY2083" s="117"/>
      <c r="AZ2083" s="117"/>
      <c r="BA2083" s="117"/>
      <c r="BB2083" s="117"/>
      <c r="BC2083" s="117"/>
      <c r="BD2083" s="117"/>
      <c r="BE2083" s="117"/>
      <c r="BF2083" s="117"/>
      <c r="BG2083" s="117"/>
    </row>
    <row r="2084" spans="1:59">
      <c r="A2084" s="117"/>
      <c r="B2084" s="117"/>
      <c r="C2084" s="117"/>
      <c r="D2084" s="117"/>
      <c r="E2084" s="117"/>
      <c r="F2084" s="117"/>
      <c r="G2084" s="117"/>
      <c r="H2084" s="117"/>
      <c r="I2084" s="117"/>
      <c r="J2084" s="118"/>
      <c r="K2084" s="118"/>
      <c r="L2084" s="118"/>
      <c r="M2084" s="118"/>
      <c r="N2084" s="117"/>
      <c r="O2084" s="117"/>
      <c r="P2084" s="117"/>
      <c r="Q2084" s="117"/>
      <c r="R2084" s="117"/>
      <c r="S2084" s="117"/>
      <c r="T2084" s="117"/>
      <c r="U2084" s="117"/>
      <c r="V2084" s="117"/>
      <c r="W2084" s="117"/>
      <c r="X2084" s="117"/>
      <c r="Y2084" s="117"/>
      <c r="Z2084" s="117"/>
      <c r="AA2084" s="117"/>
      <c r="AB2084" s="117"/>
      <c r="AC2084" s="117"/>
      <c r="AD2084" s="117"/>
      <c r="AE2084" s="117"/>
      <c r="AF2084" s="117"/>
      <c r="AG2084" s="117"/>
      <c r="AH2084" s="117"/>
      <c r="AI2084" s="117"/>
      <c r="AJ2084" s="117"/>
      <c r="AK2084" s="117"/>
      <c r="AL2084" s="117"/>
      <c r="AM2084" s="117"/>
      <c r="AN2084" s="117"/>
      <c r="AO2084" s="117"/>
      <c r="AP2084" s="117"/>
      <c r="AQ2084" s="117"/>
      <c r="AR2084" s="117"/>
      <c r="AS2084" s="117"/>
      <c r="AT2084" s="117"/>
      <c r="AU2084" s="117"/>
      <c r="AV2084" s="117"/>
      <c r="AW2084" s="117"/>
      <c r="AX2084" s="117"/>
      <c r="AY2084" s="117"/>
      <c r="AZ2084" s="117"/>
      <c r="BA2084" s="117"/>
      <c r="BB2084" s="117"/>
      <c r="BC2084" s="117"/>
      <c r="BD2084" s="117"/>
      <c r="BE2084" s="117"/>
      <c r="BF2084" s="117"/>
      <c r="BG2084" s="117"/>
    </row>
    <row r="2085" spans="1:59">
      <c r="A2085" s="117"/>
      <c r="B2085" s="117"/>
      <c r="C2085" s="117"/>
      <c r="D2085" s="117"/>
      <c r="E2085" s="117"/>
      <c r="F2085" s="117"/>
      <c r="G2085" s="117"/>
      <c r="H2085" s="117"/>
      <c r="I2085" s="117"/>
      <c r="J2085" s="118"/>
      <c r="K2085" s="118"/>
      <c r="L2085" s="118"/>
      <c r="M2085" s="118"/>
      <c r="N2085" s="117"/>
      <c r="O2085" s="117"/>
      <c r="P2085" s="117"/>
      <c r="Q2085" s="117"/>
      <c r="R2085" s="117"/>
      <c r="S2085" s="117"/>
      <c r="T2085" s="117"/>
      <c r="U2085" s="117"/>
      <c r="V2085" s="117"/>
      <c r="W2085" s="117"/>
      <c r="X2085" s="117"/>
      <c r="Y2085" s="117"/>
      <c r="Z2085" s="117"/>
      <c r="AA2085" s="117"/>
      <c r="AB2085" s="117"/>
      <c r="AC2085" s="117"/>
      <c r="AD2085" s="117"/>
      <c r="AE2085" s="117"/>
      <c r="AF2085" s="117"/>
      <c r="AG2085" s="117"/>
      <c r="AH2085" s="117"/>
      <c r="AI2085" s="117"/>
      <c r="AJ2085" s="117"/>
      <c r="AK2085" s="117"/>
      <c r="AL2085" s="117"/>
      <c r="AM2085" s="117"/>
      <c r="AN2085" s="117"/>
      <c r="AO2085" s="117"/>
      <c r="AP2085" s="117"/>
      <c r="AQ2085" s="117"/>
      <c r="AR2085" s="117"/>
      <c r="AS2085" s="117"/>
      <c r="AT2085" s="117"/>
      <c r="AU2085" s="117"/>
      <c r="AV2085" s="117"/>
      <c r="AW2085" s="117"/>
      <c r="AX2085" s="117"/>
      <c r="AY2085" s="117"/>
      <c r="AZ2085" s="117"/>
      <c r="BA2085" s="117"/>
      <c r="BB2085" s="117"/>
      <c r="BC2085" s="117"/>
      <c r="BD2085" s="117"/>
      <c r="BE2085" s="117"/>
      <c r="BF2085" s="117"/>
      <c r="BG2085" s="117"/>
    </row>
    <row r="2086" spans="1:59">
      <c r="A2086" s="117"/>
      <c r="B2086" s="117"/>
      <c r="C2086" s="117"/>
      <c r="D2086" s="117"/>
      <c r="E2086" s="117"/>
      <c r="F2086" s="117"/>
      <c r="G2086" s="117"/>
      <c r="H2086" s="117"/>
      <c r="I2086" s="117"/>
      <c r="J2086" s="118"/>
      <c r="K2086" s="118"/>
      <c r="L2086" s="118"/>
      <c r="M2086" s="118"/>
      <c r="N2086" s="117"/>
      <c r="O2086" s="117"/>
      <c r="P2086" s="117"/>
      <c r="Q2086" s="117"/>
      <c r="R2086" s="117"/>
      <c r="S2086" s="117"/>
      <c r="T2086" s="117"/>
      <c r="U2086" s="117"/>
      <c r="V2086" s="117"/>
      <c r="W2086" s="117"/>
      <c r="X2086" s="117"/>
      <c r="Y2086" s="117"/>
      <c r="Z2086" s="117"/>
      <c r="AA2086" s="117"/>
      <c r="AB2086" s="117"/>
      <c r="AC2086" s="117"/>
      <c r="AD2086" s="117"/>
      <c r="AE2086" s="117"/>
      <c r="AF2086" s="117"/>
      <c r="AG2086" s="117"/>
      <c r="AH2086" s="117"/>
      <c r="AI2086" s="117"/>
      <c r="AJ2086" s="117"/>
      <c r="AK2086" s="117"/>
      <c r="AL2086" s="117"/>
      <c r="AM2086" s="117"/>
      <c r="AN2086" s="117"/>
      <c r="AO2086" s="117"/>
      <c r="AP2086" s="117"/>
      <c r="AQ2086" s="117"/>
      <c r="AR2086" s="117"/>
      <c r="AS2086" s="117"/>
      <c r="AT2086" s="117"/>
      <c r="AU2086" s="117"/>
      <c r="AV2086" s="117"/>
      <c r="AW2086" s="117"/>
      <c r="AX2086" s="117"/>
      <c r="AY2086" s="117"/>
      <c r="AZ2086" s="117"/>
      <c r="BA2086" s="117"/>
      <c r="BB2086" s="117"/>
      <c r="BC2086" s="117"/>
      <c r="BD2086" s="117"/>
      <c r="BE2086" s="117"/>
      <c r="BF2086" s="117"/>
      <c r="BG2086" s="117"/>
    </row>
    <row r="2087" spans="1:59">
      <c r="A2087" s="117"/>
      <c r="B2087" s="117"/>
      <c r="C2087" s="117"/>
      <c r="D2087" s="117"/>
      <c r="E2087" s="117"/>
      <c r="F2087" s="117"/>
      <c r="G2087" s="117"/>
      <c r="H2087" s="117"/>
      <c r="I2087" s="117"/>
      <c r="J2087" s="118"/>
      <c r="K2087" s="118"/>
      <c r="L2087" s="118"/>
      <c r="M2087" s="118"/>
      <c r="N2087" s="117"/>
      <c r="O2087" s="117"/>
      <c r="P2087" s="117"/>
      <c r="Q2087" s="117"/>
      <c r="R2087" s="117"/>
      <c r="S2087" s="117"/>
      <c r="T2087" s="117"/>
      <c r="U2087" s="117"/>
      <c r="V2087" s="117"/>
      <c r="W2087" s="117"/>
      <c r="X2087" s="117"/>
      <c r="Y2087" s="117"/>
      <c r="Z2087" s="117"/>
      <c r="AA2087" s="117"/>
      <c r="AB2087" s="117"/>
      <c r="AC2087" s="117"/>
      <c r="AD2087" s="117"/>
      <c r="AE2087" s="117"/>
      <c r="AF2087" s="117"/>
      <c r="AG2087" s="117"/>
      <c r="AH2087" s="117"/>
      <c r="AI2087" s="117"/>
      <c r="AJ2087" s="117"/>
      <c r="AK2087" s="117"/>
      <c r="AL2087" s="117"/>
      <c r="AM2087" s="117"/>
      <c r="AN2087" s="117"/>
      <c r="AO2087" s="117"/>
      <c r="AP2087" s="117"/>
      <c r="AQ2087" s="117"/>
      <c r="AR2087" s="117"/>
      <c r="AS2087" s="117"/>
      <c r="AT2087" s="117"/>
      <c r="AU2087" s="117"/>
      <c r="AV2087" s="117"/>
      <c r="AW2087" s="117"/>
      <c r="AX2087" s="117"/>
      <c r="AY2087" s="117"/>
      <c r="AZ2087" s="117"/>
      <c r="BA2087" s="117"/>
      <c r="BB2087" s="117"/>
      <c r="BC2087" s="117"/>
      <c r="BD2087" s="117"/>
      <c r="BE2087" s="117"/>
      <c r="BF2087" s="117"/>
      <c r="BG2087" s="117"/>
    </row>
    <row r="2088" spans="1:59">
      <c r="A2088" s="117"/>
      <c r="B2088" s="117"/>
      <c r="C2088" s="117"/>
      <c r="D2088" s="117"/>
      <c r="E2088" s="117"/>
      <c r="F2088" s="117"/>
      <c r="G2088" s="117"/>
      <c r="H2088" s="117"/>
      <c r="I2088" s="117"/>
      <c r="J2088" s="118"/>
      <c r="K2088" s="118"/>
      <c r="L2088" s="118"/>
      <c r="M2088" s="118"/>
      <c r="N2088" s="117"/>
      <c r="O2088" s="117"/>
      <c r="P2088" s="117"/>
      <c r="Q2088" s="117"/>
      <c r="R2088" s="117"/>
      <c r="S2088" s="117"/>
      <c r="T2088" s="117"/>
      <c r="U2088" s="117"/>
      <c r="V2088" s="117"/>
      <c r="W2088" s="117"/>
      <c r="X2088" s="117"/>
      <c r="Y2088" s="117"/>
      <c r="Z2088" s="117"/>
      <c r="AA2088" s="117"/>
      <c r="AB2088" s="117"/>
      <c r="AC2088" s="117"/>
      <c r="AD2088" s="117"/>
      <c r="AE2088" s="117"/>
      <c r="AF2088" s="117"/>
      <c r="AG2088" s="117"/>
      <c r="AH2088" s="117"/>
      <c r="AI2088" s="117"/>
      <c r="AJ2088" s="117"/>
      <c r="AK2088" s="117"/>
      <c r="AL2088" s="117"/>
      <c r="AM2088" s="117"/>
      <c r="AN2088" s="117"/>
      <c r="AO2088" s="117"/>
      <c r="AP2088" s="117"/>
      <c r="AQ2088" s="117"/>
      <c r="AR2088" s="117"/>
      <c r="AS2088" s="117"/>
      <c r="AT2088" s="117"/>
      <c r="AU2088" s="117"/>
      <c r="AV2088" s="117"/>
      <c r="AW2088" s="117"/>
      <c r="AX2088" s="117"/>
      <c r="AY2088" s="117"/>
      <c r="AZ2088" s="117"/>
      <c r="BA2088" s="117"/>
      <c r="BB2088" s="117"/>
      <c r="BC2088" s="117"/>
      <c r="BD2088" s="117"/>
      <c r="BE2088" s="117"/>
      <c r="BF2088" s="117"/>
      <c r="BG2088" s="117"/>
    </row>
    <row r="2089" spans="1:59">
      <c r="A2089" s="117"/>
      <c r="B2089" s="117"/>
      <c r="C2089" s="117"/>
      <c r="D2089" s="117"/>
      <c r="E2089" s="117"/>
      <c r="F2089" s="117"/>
      <c r="G2089" s="117"/>
      <c r="H2089" s="117"/>
      <c r="I2089" s="117"/>
      <c r="J2089" s="118"/>
      <c r="K2089" s="118"/>
      <c r="L2089" s="118"/>
      <c r="M2089" s="118"/>
      <c r="N2089" s="117"/>
      <c r="O2089" s="117"/>
      <c r="P2089" s="117"/>
      <c r="Q2089" s="117"/>
      <c r="R2089" s="117"/>
      <c r="S2089" s="117"/>
      <c r="T2089" s="117"/>
      <c r="U2089" s="117"/>
      <c r="V2089" s="117"/>
      <c r="W2089" s="117"/>
      <c r="X2089" s="117"/>
      <c r="Y2089" s="117"/>
      <c r="Z2089" s="117"/>
      <c r="AA2089" s="117"/>
      <c r="AB2089" s="117"/>
      <c r="AC2089" s="117"/>
      <c r="AD2089" s="117"/>
      <c r="AE2089" s="117"/>
      <c r="AF2089" s="117"/>
      <c r="AG2089" s="117"/>
      <c r="AH2089" s="117"/>
      <c r="AI2089" s="117"/>
      <c r="AJ2089" s="117"/>
      <c r="AK2089" s="117"/>
      <c r="AL2089" s="117"/>
      <c r="AM2089" s="117"/>
      <c r="AN2089" s="117"/>
      <c r="AO2089" s="117"/>
      <c r="AP2089" s="117"/>
      <c r="AQ2089" s="117"/>
      <c r="AR2089" s="117"/>
      <c r="AS2089" s="117"/>
      <c r="AT2089" s="117"/>
      <c r="AU2089" s="117"/>
      <c r="AV2089" s="117"/>
      <c r="AW2089" s="117"/>
      <c r="AX2089" s="117"/>
      <c r="AY2089" s="117"/>
      <c r="AZ2089" s="117"/>
      <c r="BA2089" s="117"/>
      <c r="BB2089" s="117"/>
      <c r="BC2089" s="117"/>
      <c r="BD2089" s="117"/>
      <c r="BE2089" s="117"/>
      <c r="BF2089" s="117"/>
      <c r="BG2089" s="117"/>
    </row>
    <row r="2090" spans="1:59">
      <c r="A2090" s="117"/>
      <c r="B2090" s="117"/>
      <c r="C2090" s="117"/>
      <c r="D2090" s="117"/>
      <c r="E2090" s="117"/>
      <c r="F2090" s="117"/>
      <c r="G2090" s="117"/>
      <c r="H2090" s="117"/>
      <c r="I2090" s="117"/>
      <c r="J2090" s="118"/>
      <c r="K2090" s="118"/>
      <c r="L2090" s="118"/>
      <c r="M2090" s="118"/>
      <c r="N2090" s="117"/>
      <c r="O2090" s="117"/>
      <c r="P2090" s="117"/>
      <c r="Q2090" s="117"/>
      <c r="R2090" s="117"/>
      <c r="S2090" s="117"/>
      <c r="T2090" s="117"/>
      <c r="U2090" s="117"/>
      <c r="V2090" s="117"/>
      <c r="W2090" s="117"/>
      <c r="X2090" s="117"/>
      <c r="Y2090" s="117"/>
      <c r="Z2090" s="117"/>
      <c r="AA2090" s="117"/>
      <c r="AB2090" s="117"/>
      <c r="AC2090" s="117"/>
      <c r="AD2090" s="117"/>
      <c r="AE2090" s="117"/>
      <c r="AF2090" s="117"/>
      <c r="AG2090" s="117"/>
      <c r="AH2090" s="117"/>
      <c r="AI2090" s="117"/>
      <c r="AJ2090" s="117"/>
      <c r="AK2090" s="117"/>
      <c r="AL2090" s="117"/>
      <c r="AM2090" s="117"/>
      <c r="AN2090" s="117"/>
      <c r="AO2090" s="117"/>
      <c r="AP2090" s="117"/>
      <c r="AQ2090" s="117"/>
      <c r="AR2090" s="117"/>
      <c r="AS2090" s="117"/>
      <c r="AT2090" s="117"/>
      <c r="AU2090" s="117"/>
      <c r="AV2090" s="117"/>
      <c r="AW2090" s="117"/>
      <c r="AX2090" s="117"/>
      <c r="AY2090" s="117"/>
      <c r="AZ2090" s="117"/>
      <c r="BA2090" s="117"/>
      <c r="BB2090" s="117"/>
      <c r="BC2090" s="117"/>
      <c r="BD2090" s="117"/>
      <c r="BE2090" s="117"/>
      <c r="BF2090" s="117"/>
      <c r="BG2090" s="117"/>
    </row>
    <row r="2091" spans="1:59">
      <c r="A2091" s="117"/>
      <c r="B2091" s="117"/>
      <c r="C2091" s="117"/>
      <c r="D2091" s="117"/>
      <c r="E2091" s="117"/>
      <c r="F2091" s="117"/>
      <c r="G2091" s="117"/>
      <c r="H2091" s="117"/>
      <c r="I2091" s="117"/>
      <c r="J2091" s="118"/>
      <c r="K2091" s="118"/>
      <c r="L2091" s="118"/>
      <c r="M2091" s="118"/>
      <c r="N2091" s="117"/>
      <c r="O2091" s="117"/>
      <c r="P2091" s="117"/>
      <c r="Q2091" s="117"/>
      <c r="R2091" s="117"/>
      <c r="S2091" s="117"/>
      <c r="T2091" s="117"/>
      <c r="U2091" s="117"/>
      <c r="V2091" s="117"/>
      <c r="W2091" s="117"/>
      <c r="X2091" s="117"/>
      <c r="Y2091" s="117"/>
      <c r="Z2091" s="117"/>
      <c r="AA2091" s="117"/>
      <c r="AB2091" s="117"/>
      <c r="AC2091" s="117"/>
      <c r="AD2091" s="117"/>
      <c r="AE2091" s="117"/>
      <c r="AF2091" s="117"/>
      <c r="AG2091" s="117"/>
      <c r="AH2091" s="117"/>
      <c r="AI2091" s="117"/>
      <c r="AJ2091" s="117"/>
      <c r="AK2091" s="117"/>
      <c r="AL2091" s="117"/>
      <c r="AM2091" s="117"/>
      <c r="AN2091" s="117"/>
      <c r="AO2091" s="117"/>
      <c r="AP2091" s="117"/>
      <c r="AQ2091" s="117"/>
      <c r="AR2091" s="117"/>
      <c r="AS2091" s="117"/>
      <c r="AT2091" s="117"/>
      <c r="AU2091" s="117"/>
      <c r="AV2091" s="117"/>
      <c r="AW2091" s="117"/>
      <c r="AX2091" s="117"/>
      <c r="AY2091" s="117"/>
      <c r="AZ2091" s="117"/>
      <c r="BA2091" s="117"/>
      <c r="BB2091" s="117"/>
      <c r="BC2091" s="117"/>
      <c r="BD2091" s="117"/>
      <c r="BE2091" s="117"/>
      <c r="BF2091" s="117"/>
      <c r="BG2091" s="117"/>
    </row>
    <row r="2092" spans="1:59">
      <c r="A2092" s="117"/>
      <c r="B2092" s="117"/>
      <c r="C2092" s="117"/>
      <c r="D2092" s="117"/>
      <c r="E2092" s="117"/>
      <c r="F2092" s="117"/>
      <c r="G2092" s="117"/>
      <c r="H2092" s="117"/>
      <c r="I2092" s="117"/>
      <c r="J2092" s="118"/>
      <c r="K2092" s="118"/>
      <c r="L2092" s="118"/>
      <c r="M2092" s="118"/>
      <c r="N2092" s="117"/>
      <c r="O2092" s="117"/>
      <c r="P2092" s="117"/>
      <c r="Q2092" s="117"/>
      <c r="R2092" s="117"/>
      <c r="S2092" s="117"/>
      <c r="T2092" s="117"/>
      <c r="U2092" s="117"/>
      <c r="V2092" s="117"/>
      <c r="W2092" s="117"/>
      <c r="X2092" s="117"/>
      <c r="Y2092" s="117"/>
      <c r="Z2092" s="117"/>
      <c r="AA2092" s="117"/>
      <c r="AB2092" s="117"/>
      <c r="AC2092" s="117"/>
      <c r="AD2092" s="117"/>
      <c r="AE2092" s="117"/>
      <c r="AF2092" s="117"/>
      <c r="AG2092" s="117"/>
      <c r="AH2092" s="117"/>
      <c r="AI2092" s="117"/>
      <c r="AJ2092" s="117"/>
      <c r="AK2092" s="117"/>
      <c r="AL2092" s="117"/>
      <c r="AM2092" s="117"/>
      <c r="AN2092" s="117"/>
      <c r="AO2092" s="117"/>
      <c r="AP2092" s="117"/>
      <c r="AQ2092" s="117"/>
      <c r="AR2092" s="117"/>
      <c r="AS2092" s="117"/>
      <c r="AT2092" s="117"/>
      <c r="AU2092" s="117"/>
      <c r="AV2092" s="117"/>
      <c r="AW2092" s="117"/>
      <c r="AX2092" s="117"/>
      <c r="AY2092" s="117"/>
      <c r="AZ2092" s="117"/>
      <c r="BA2092" s="117"/>
      <c r="BB2092" s="117"/>
      <c r="BC2092" s="117"/>
      <c r="BD2092" s="117"/>
      <c r="BE2092" s="117"/>
      <c r="BF2092" s="117"/>
      <c r="BG2092" s="117"/>
    </row>
    <row r="2093" spans="1:59">
      <c r="A2093" s="117"/>
      <c r="B2093" s="117"/>
      <c r="C2093" s="117"/>
      <c r="D2093" s="117"/>
      <c r="E2093" s="117"/>
      <c r="F2093" s="117"/>
      <c r="G2093" s="117"/>
      <c r="H2093" s="117"/>
      <c r="I2093" s="117"/>
      <c r="J2093" s="118"/>
      <c r="K2093" s="118"/>
      <c r="L2093" s="118"/>
      <c r="M2093" s="118"/>
      <c r="N2093" s="117"/>
      <c r="O2093" s="117"/>
      <c r="P2093" s="117"/>
      <c r="Q2093" s="117"/>
      <c r="R2093" s="117"/>
      <c r="S2093" s="117"/>
      <c r="T2093" s="117"/>
      <c r="U2093" s="117"/>
      <c r="V2093" s="117"/>
      <c r="W2093" s="117"/>
      <c r="X2093" s="117"/>
      <c r="Y2093" s="117"/>
      <c r="Z2093" s="117"/>
      <c r="AA2093" s="117"/>
      <c r="AB2093" s="117"/>
      <c r="AC2093" s="117"/>
      <c r="AD2093" s="117"/>
      <c r="AE2093" s="117"/>
      <c r="AF2093" s="117"/>
      <c r="AG2093" s="117"/>
      <c r="AH2093" s="117"/>
      <c r="AI2093" s="117"/>
      <c r="AJ2093" s="117"/>
      <c r="AK2093" s="117"/>
      <c r="AL2093" s="117"/>
      <c r="AM2093" s="117"/>
      <c r="AN2093" s="117"/>
      <c r="AO2093" s="117"/>
      <c r="AP2093" s="117"/>
      <c r="AQ2093" s="117"/>
      <c r="AR2093" s="117"/>
      <c r="AS2093" s="117"/>
      <c r="AT2093" s="117"/>
      <c r="AU2093" s="117"/>
      <c r="AV2093" s="117"/>
      <c r="AW2093" s="117"/>
      <c r="AX2093" s="117"/>
      <c r="AY2093" s="117"/>
      <c r="AZ2093" s="117"/>
      <c r="BA2093" s="117"/>
      <c r="BB2093" s="117"/>
      <c r="BC2093" s="117"/>
      <c r="BD2093" s="117"/>
      <c r="BE2093" s="117"/>
      <c r="BF2093" s="117"/>
      <c r="BG2093" s="117"/>
    </row>
    <row r="2094" spans="1:59">
      <c r="A2094" s="117"/>
      <c r="B2094" s="117"/>
      <c r="C2094" s="117"/>
      <c r="D2094" s="117"/>
      <c r="E2094" s="117"/>
      <c r="F2094" s="117"/>
      <c r="G2094" s="117"/>
      <c r="H2094" s="117"/>
      <c r="I2094" s="117"/>
      <c r="J2094" s="118"/>
      <c r="K2094" s="118"/>
      <c r="L2094" s="118"/>
      <c r="M2094" s="118"/>
      <c r="N2094" s="117"/>
      <c r="O2094" s="117"/>
      <c r="P2094" s="117"/>
      <c r="Q2094" s="117"/>
      <c r="R2094" s="117"/>
      <c r="S2094" s="117"/>
      <c r="T2094" s="117"/>
      <c r="U2094" s="117"/>
      <c r="V2094" s="117"/>
      <c r="W2094" s="117"/>
      <c r="X2094" s="117"/>
      <c r="Y2094" s="117"/>
      <c r="Z2094" s="117"/>
      <c r="AA2094" s="117"/>
      <c r="AB2094" s="117"/>
      <c r="AC2094" s="117"/>
      <c r="AD2094" s="117"/>
      <c r="AE2094" s="117"/>
      <c r="AF2094" s="117"/>
      <c r="AG2094" s="117"/>
      <c r="AH2094" s="117"/>
      <c r="AI2094" s="117"/>
      <c r="AJ2094" s="117"/>
      <c r="AK2094" s="117"/>
      <c r="AL2094" s="117"/>
      <c r="AM2094" s="117"/>
      <c r="AN2094" s="117"/>
      <c r="AO2094" s="117"/>
      <c r="AP2094" s="117"/>
      <c r="AQ2094" s="117"/>
      <c r="AR2094" s="117"/>
      <c r="AS2094" s="117"/>
      <c r="AT2094" s="117"/>
      <c r="AU2094" s="117"/>
      <c r="AV2094" s="117"/>
      <c r="AW2094" s="117"/>
      <c r="AX2094" s="117"/>
      <c r="AY2094" s="117"/>
      <c r="AZ2094" s="117"/>
      <c r="BA2094" s="117"/>
      <c r="BB2094" s="117"/>
      <c r="BC2094" s="117"/>
      <c r="BD2094" s="117"/>
      <c r="BE2094" s="117"/>
      <c r="BF2094" s="117"/>
      <c r="BG2094" s="117"/>
    </row>
    <row r="2095" spans="1:59">
      <c r="A2095" s="117"/>
      <c r="B2095" s="117"/>
      <c r="C2095" s="117"/>
      <c r="D2095" s="117"/>
      <c r="E2095" s="117"/>
      <c r="F2095" s="117"/>
      <c r="G2095" s="117"/>
      <c r="H2095" s="117"/>
      <c r="I2095" s="117"/>
      <c r="J2095" s="118"/>
      <c r="K2095" s="118"/>
      <c r="L2095" s="118"/>
      <c r="M2095" s="118"/>
      <c r="N2095" s="117"/>
      <c r="O2095" s="117"/>
      <c r="P2095" s="117"/>
      <c r="Q2095" s="117"/>
      <c r="R2095" s="117"/>
      <c r="S2095" s="117"/>
      <c r="T2095" s="117"/>
      <c r="U2095" s="117"/>
      <c r="V2095" s="117"/>
      <c r="W2095" s="117"/>
      <c r="X2095" s="117"/>
      <c r="Y2095" s="117"/>
      <c r="Z2095" s="117"/>
      <c r="AA2095" s="117"/>
      <c r="AB2095" s="117"/>
      <c r="AC2095" s="117"/>
      <c r="AD2095" s="117"/>
      <c r="AE2095" s="117"/>
      <c r="AF2095" s="117"/>
      <c r="AG2095" s="117"/>
      <c r="AH2095" s="117"/>
      <c r="AI2095" s="117"/>
      <c r="AJ2095" s="117"/>
      <c r="AK2095" s="117"/>
      <c r="AL2095" s="117"/>
      <c r="AM2095" s="117"/>
      <c r="AN2095" s="117"/>
      <c r="AO2095" s="117"/>
      <c r="AP2095" s="117"/>
      <c r="AQ2095" s="117"/>
      <c r="AR2095" s="117"/>
      <c r="AS2095" s="117"/>
      <c r="AT2095" s="117"/>
      <c r="AU2095" s="117"/>
      <c r="AV2095" s="117"/>
      <c r="AW2095" s="117"/>
      <c r="AX2095" s="117"/>
      <c r="AY2095" s="117"/>
      <c r="AZ2095" s="117"/>
      <c r="BA2095" s="117"/>
      <c r="BB2095" s="117"/>
      <c r="BC2095" s="117"/>
      <c r="BD2095" s="117"/>
      <c r="BE2095" s="117"/>
      <c r="BF2095" s="117"/>
      <c r="BG2095" s="117"/>
    </row>
    <row r="2096" spans="1:59">
      <c r="A2096" s="117"/>
      <c r="B2096" s="117"/>
      <c r="C2096" s="117"/>
      <c r="D2096" s="117"/>
      <c r="E2096" s="117"/>
      <c r="F2096" s="117"/>
      <c r="G2096" s="117"/>
      <c r="H2096" s="117"/>
      <c r="I2096" s="117"/>
      <c r="J2096" s="118"/>
      <c r="K2096" s="118"/>
      <c r="L2096" s="118"/>
      <c r="M2096" s="118"/>
      <c r="N2096" s="117"/>
      <c r="O2096" s="117"/>
      <c r="P2096" s="117"/>
      <c r="Q2096" s="117"/>
      <c r="R2096" s="117"/>
      <c r="S2096" s="117"/>
      <c r="T2096" s="117"/>
      <c r="U2096" s="117"/>
      <c r="V2096" s="117"/>
      <c r="W2096" s="117"/>
      <c r="X2096" s="117"/>
      <c r="Y2096" s="117"/>
      <c r="Z2096" s="117"/>
      <c r="AA2096" s="117"/>
      <c r="AB2096" s="117"/>
      <c r="AC2096" s="117"/>
      <c r="AD2096" s="117"/>
      <c r="AE2096" s="117"/>
      <c r="AF2096" s="117"/>
      <c r="AG2096" s="117"/>
      <c r="AH2096" s="117"/>
      <c r="AI2096" s="117"/>
      <c r="AJ2096" s="117"/>
      <c r="AK2096" s="117"/>
      <c r="AL2096" s="117"/>
      <c r="AM2096" s="117"/>
      <c r="AN2096" s="117"/>
      <c r="AO2096" s="117"/>
      <c r="AP2096" s="117"/>
      <c r="AQ2096" s="117"/>
      <c r="AR2096" s="117"/>
      <c r="AS2096" s="117"/>
      <c r="AT2096" s="117"/>
      <c r="AU2096" s="117"/>
      <c r="AV2096" s="117"/>
      <c r="AW2096" s="117"/>
      <c r="AX2096" s="117"/>
      <c r="AY2096" s="117"/>
      <c r="AZ2096" s="117"/>
      <c r="BA2096" s="117"/>
      <c r="BB2096" s="117"/>
      <c r="BC2096" s="117"/>
      <c r="BD2096" s="117"/>
      <c r="BE2096" s="117"/>
      <c r="BF2096" s="117"/>
      <c r="BG2096" s="117"/>
    </row>
    <row r="2097" spans="1:59">
      <c r="A2097" s="117"/>
      <c r="B2097" s="117"/>
      <c r="C2097" s="117"/>
      <c r="D2097" s="117"/>
      <c r="E2097" s="117"/>
      <c r="F2097" s="117"/>
      <c r="G2097" s="117"/>
      <c r="H2097" s="117"/>
      <c r="I2097" s="117"/>
      <c r="J2097" s="118"/>
      <c r="K2097" s="118"/>
      <c r="L2097" s="118"/>
      <c r="M2097" s="118"/>
      <c r="N2097" s="117"/>
      <c r="O2097" s="117"/>
      <c r="P2097" s="117"/>
      <c r="Q2097" s="117"/>
      <c r="R2097" s="117"/>
      <c r="S2097" s="117"/>
      <c r="T2097" s="117"/>
      <c r="U2097" s="117"/>
      <c r="V2097" s="117"/>
      <c r="W2097" s="117"/>
      <c r="X2097" s="117"/>
      <c r="Y2097" s="117"/>
      <c r="Z2097" s="117"/>
      <c r="AA2097" s="117"/>
      <c r="AB2097" s="117"/>
      <c r="AC2097" s="117"/>
      <c r="AD2097" s="117"/>
      <c r="AE2097" s="117"/>
      <c r="AF2097" s="117"/>
      <c r="AG2097" s="117"/>
      <c r="AH2097" s="117"/>
      <c r="AI2097" s="117"/>
      <c r="AJ2097" s="117"/>
      <c r="AK2097" s="117"/>
      <c r="AL2097" s="117"/>
      <c r="AM2097" s="117"/>
      <c r="AN2097" s="117"/>
      <c r="AO2097" s="117"/>
      <c r="AP2097" s="117"/>
      <c r="AQ2097" s="117"/>
      <c r="AR2097" s="117"/>
      <c r="AS2097" s="117"/>
      <c r="AT2097" s="117"/>
      <c r="AU2097" s="117"/>
      <c r="AV2097" s="117"/>
      <c r="AW2097" s="117"/>
      <c r="AX2097" s="117"/>
      <c r="AY2097" s="117"/>
      <c r="AZ2097" s="117"/>
      <c r="BA2097" s="117"/>
      <c r="BB2097" s="117"/>
      <c r="BC2097" s="117"/>
      <c r="BD2097" s="117"/>
      <c r="BE2097" s="117"/>
      <c r="BF2097" s="117"/>
      <c r="BG2097" s="117"/>
    </row>
    <row r="2098" spans="1:59">
      <c r="A2098" s="117"/>
      <c r="B2098" s="117"/>
      <c r="C2098" s="117"/>
      <c r="D2098" s="117"/>
      <c r="E2098" s="117"/>
      <c r="F2098" s="117"/>
      <c r="G2098" s="117"/>
      <c r="H2098" s="117"/>
      <c r="I2098" s="117"/>
      <c r="J2098" s="118"/>
      <c r="K2098" s="118"/>
      <c r="L2098" s="118"/>
      <c r="M2098" s="118"/>
      <c r="N2098" s="117"/>
      <c r="O2098" s="117"/>
      <c r="P2098" s="117"/>
      <c r="Q2098" s="117"/>
      <c r="R2098" s="117"/>
      <c r="S2098" s="117"/>
      <c r="T2098" s="117"/>
      <c r="U2098" s="117"/>
      <c r="V2098" s="117"/>
      <c r="W2098" s="117"/>
      <c r="X2098" s="117"/>
      <c r="Y2098" s="117"/>
      <c r="Z2098" s="117"/>
      <c r="AA2098" s="117"/>
      <c r="AB2098" s="117"/>
      <c r="AC2098" s="117"/>
      <c r="AD2098" s="117"/>
      <c r="AE2098" s="117"/>
      <c r="AF2098" s="117"/>
      <c r="AG2098" s="117"/>
      <c r="AH2098" s="117"/>
      <c r="AI2098" s="117"/>
      <c r="AJ2098" s="117"/>
      <c r="AK2098" s="117"/>
      <c r="AL2098" s="117"/>
      <c r="AM2098" s="117"/>
      <c r="AN2098" s="117"/>
      <c r="AO2098" s="117"/>
      <c r="AP2098" s="117"/>
      <c r="AQ2098" s="117"/>
      <c r="AR2098" s="117"/>
      <c r="AS2098" s="117"/>
      <c r="AT2098" s="117"/>
      <c r="AU2098" s="117"/>
      <c r="AV2098" s="117"/>
      <c r="AW2098" s="117"/>
      <c r="AX2098" s="117"/>
      <c r="AY2098" s="117"/>
      <c r="AZ2098" s="117"/>
      <c r="BA2098" s="117"/>
      <c r="BB2098" s="117"/>
      <c r="BC2098" s="117"/>
      <c r="BD2098" s="117"/>
      <c r="BE2098" s="117"/>
      <c r="BF2098" s="117"/>
      <c r="BG2098" s="117"/>
    </row>
    <row r="2099" spans="1:59">
      <c r="A2099" s="117"/>
      <c r="B2099" s="117"/>
      <c r="C2099" s="117"/>
      <c r="D2099" s="117"/>
      <c r="E2099" s="117"/>
      <c r="F2099" s="117"/>
      <c r="G2099" s="117"/>
      <c r="H2099" s="117"/>
      <c r="I2099" s="117"/>
      <c r="J2099" s="118"/>
      <c r="K2099" s="118"/>
      <c r="L2099" s="118"/>
      <c r="M2099" s="118"/>
      <c r="N2099" s="117"/>
      <c r="O2099" s="117"/>
      <c r="P2099" s="117"/>
      <c r="Q2099" s="117"/>
      <c r="R2099" s="117"/>
      <c r="S2099" s="117"/>
      <c r="T2099" s="117"/>
      <c r="U2099" s="117"/>
      <c r="V2099" s="117"/>
      <c r="W2099" s="117"/>
      <c r="X2099" s="117"/>
      <c r="Y2099" s="117"/>
      <c r="Z2099" s="117"/>
      <c r="AA2099" s="117"/>
      <c r="AB2099" s="117"/>
      <c r="AC2099" s="117"/>
      <c r="AD2099" s="117"/>
      <c r="AE2099" s="117"/>
      <c r="AF2099" s="117"/>
      <c r="AG2099" s="117"/>
      <c r="AH2099" s="117"/>
      <c r="AI2099" s="117"/>
      <c r="AJ2099" s="117"/>
      <c r="AK2099" s="117"/>
      <c r="AL2099" s="117"/>
      <c r="AM2099" s="117"/>
      <c r="AN2099" s="117"/>
      <c r="AO2099" s="117"/>
      <c r="AP2099" s="117"/>
      <c r="AQ2099" s="117"/>
      <c r="AR2099" s="117"/>
      <c r="AS2099" s="117"/>
      <c r="AT2099" s="117"/>
      <c r="AU2099" s="117"/>
      <c r="AV2099" s="117"/>
      <c r="AW2099" s="117"/>
      <c r="AX2099" s="117"/>
      <c r="AY2099" s="117"/>
      <c r="AZ2099" s="117"/>
      <c r="BA2099" s="117"/>
      <c r="BB2099" s="117"/>
      <c r="BC2099" s="117"/>
      <c r="BD2099" s="117"/>
      <c r="BE2099" s="117"/>
      <c r="BF2099" s="117"/>
      <c r="BG2099" s="117"/>
    </row>
    <row r="2100" spans="1:59">
      <c r="A2100" s="117"/>
      <c r="B2100" s="117"/>
      <c r="C2100" s="117"/>
      <c r="D2100" s="117"/>
      <c r="E2100" s="117"/>
      <c r="F2100" s="117"/>
      <c r="G2100" s="117"/>
      <c r="H2100" s="117"/>
      <c r="I2100" s="117"/>
      <c r="J2100" s="118"/>
      <c r="K2100" s="118"/>
      <c r="L2100" s="118"/>
      <c r="M2100" s="118"/>
      <c r="N2100" s="117"/>
      <c r="O2100" s="117"/>
      <c r="P2100" s="117"/>
      <c r="Q2100" s="117"/>
      <c r="R2100" s="117"/>
      <c r="S2100" s="117"/>
      <c r="T2100" s="117"/>
      <c r="U2100" s="117"/>
      <c r="V2100" s="117"/>
      <c r="W2100" s="117"/>
      <c r="X2100" s="117"/>
      <c r="Y2100" s="117"/>
      <c r="Z2100" s="117"/>
      <c r="AA2100" s="117"/>
      <c r="AB2100" s="117"/>
      <c r="AC2100" s="117"/>
      <c r="AD2100" s="117"/>
      <c r="AE2100" s="117"/>
      <c r="AF2100" s="117"/>
      <c r="AG2100" s="117"/>
      <c r="AH2100" s="117"/>
      <c r="AI2100" s="117"/>
      <c r="AJ2100" s="117"/>
      <c r="AK2100" s="117"/>
      <c r="AL2100" s="117"/>
      <c r="AM2100" s="117"/>
      <c r="AN2100" s="117"/>
      <c r="AO2100" s="117"/>
      <c r="AP2100" s="117"/>
      <c r="AQ2100" s="117"/>
      <c r="AR2100" s="117"/>
      <c r="AS2100" s="117"/>
      <c r="AT2100" s="117"/>
      <c r="AU2100" s="117"/>
      <c r="AV2100" s="117"/>
      <c r="AW2100" s="117"/>
      <c r="AX2100" s="117"/>
      <c r="AY2100" s="117"/>
      <c r="AZ2100" s="117"/>
      <c r="BA2100" s="117"/>
      <c r="BB2100" s="117"/>
      <c r="BC2100" s="117"/>
      <c r="BD2100" s="117"/>
      <c r="BE2100" s="117"/>
      <c r="BF2100" s="117"/>
      <c r="BG2100" s="117"/>
    </row>
    <row r="2101" spans="1:59">
      <c r="A2101" s="117"/>
      <c r="B2101" s="117"/>
      <c r="C2101" s="117"/>
      <c r="D2101" s="117"/>
      <c r="E2101" s="117"/>
      <c r="F2101" s="117"/>
      <c r="G2101" s="117"/>
      <c r="H2101" s="117"/>
      <c r="I2101" s="117"/>
      <c r="J2101" s="118"/>
      <c r="K2101" s="118"/>
      <c r="L2101" s="118"/>
      <c r="M2101" s="118"/>
      <c r="N2101" s="117"/>
      <c r="O2101" s="117"/>
      <c r="P2101" s="117"/>
      <c r="Q2101" s="117"/>
      <c r="R2101" s="117"/>
      <c r="S2101" s="117"/>
      <c r="T2101" s="117"/>
      <c r="U2101" s="117"/>
      <c r="V2101" s="117"/>
      <c r="W2101" s="117"/>
      <c r="X2101" s="117"/>
      <c r="Y2101" s="117"/>
      <c r="Z2101" s="117"/>
      <c r="AA2101" s="117"/>
      <c r="AB2101" s="117"/>
      <c r="AC2101" s="117"/>
      <c r="AD2101" s="117"/>
      <c r="AE2101" s="117"/>
      <c r="AF2101" s="117"/>
      <c r="AG2101" s="117"/>
      <c r="AH2101" s="117"/>
      <c r="AI2101" s="117"/>
      <c r="AJ2101" s="117"/>
      <c r="AK2101" s="117"/>
      <c r="AL2101" s="117"/>
      <c r="AM2101" s="117"/>
      <c r="AN2101" s="117"/>
      <c r="AO2101" s="117"/>
      <c r="AP2101" s="117"/>
      <c r="AQ2101" s="117"/>
      <c r="AR2101" s="117"/>
      <c r="AS2101" s="117"/>
      <c r="AT2101" s="117"/>
      <c r="AU2101" s="117"/>
      <c r="AV2101" s="117"/>
      <c r="AW2101" s="117"/>
      <c r="AX2101" s="117"/>
      <c r="AY2101" s="117"/>
      <c r="AZ2101" s="117"/>
      <c r="BA2101" s="117"/>
      <c r="BB2101" s="117"/>
      <c r="BC2101" s="117"/>
      <c r="BD2101" s="117"/>
      <c r="BE2101" s="117"/>
      <c r="BF2101" s="117"/>
      <c r="BG2101" s="117"/>
    </row>
    <row r="2102" spans="1:59">
      <c r="A2102" s="117"/>
      <c r="B2102" s="117"/>
      <c r="C2102" s="117"/>
      <c r="D2102" s="117"/>
      <c r="E2102" s="117"/>
      <c r="F2102" s="117"/>
      <c r="G2102" s="117"/>
      <c r="H2102" s="117"/>
      <c r="I2102" s="117"/>
      <c r="J2102" s="118"/>
      <c r="K2102" s="118"/>
      <c r="L2102" s="118"/>
      <c r="M2102" s="118"/>
      <c r="N2102" s="117"/>
      <c r="O2102" s="117"/>
      <c r="P2102" s="117"/>
      <c r="Q2102" s="117"/>
      <c r="R2102" s="117"/>
      <c r="S2102" s="117"/>
      <c r="T2102" s="117"/>
      <c r="U2102" s="117"/>
      <c r="V2102" s="117"/>
      <c r="W2102" s="117"/>
      <c r="X2102" s="117"/>
      <c r="Y2102" s="117"/>
      <c r="Z2102" s="117"/>
      <c r="AA2102" s="117"/>
      <c r="AB2102" s="117"/>
      <c r="AC2102" s="117"/>
      <c r="AD2102" s="117"/>
      <c r="AE2102" s="117"/>
      <c r="AF2102" s="117"/>
      <c r="AG2102" s="117"/>
      <c r="AH2102" s="117"/>
      <c r="AI2102" s="117"/>
      <c r="AJ2102" s="117"/>
      <c r="AK2102" s="117"/>
      <c r="AL2102" s="117"/>
      <c r="AM2102" s="117"/>
      <c r="AN2102" s="117"/>
      <c r="AO2102" s="117"/>
      <c r="AP2102" s="117"/>
      <c r="AQ2102" s="117"/>
      <c r="AR2102" s="117"/>
      <c r="AS2102" s="117"/>
      <c r="AT2102" s="117"/>
      <c r="AU2102" s="117"/>
      <c r="AV2102" s="117"/>
      <c r="AW2102" s="117"/>
      <c r="AX2102" s="117"/>
      <c r="AY2102" s="117"/>
      <c r="AZ2102" s="117"/>
      <c r="BA2102" s="117"/>
      <c r="BB2102" s="117"/>
      <c r="BC2102" s="117"/>
      <c r="BD2102" s="117"/>
      <c r="BE2102" s="117"/>
      <c r="BF2102" s="117"/>
      <c r="BG2102" s="117"/>
    </row>
    <row r="2103" spans="1:59">
      <c r="A2103" s="117"/>
      <c r="B2103" s="117"/>
      <c r="C2103" s="117"/>
      <c r="D2103" s="117"/>
      <c r="E2103" s="117"/>
      <c r="F2103" s="117"/>
      <c r="G2103" s="117"/>
      <c r="H2103" s="117"/>
      <c r="I2103" s="117"/>
      <c r="J2103" s="118"/>
      <c r="K2103" s="118"/>
      <c r="L2103" s="118"/>
      <c r="M2103" s="118"/>
      <c r="N2103" s="117"/>
      <c r="O2103" s="117"/>
      <c r="P2103" s="117"/>
      <c r="Q2103" s="117"/>
      <c r="R2103" s="117"/>
      <c r="S2103" s="117"/>
      <c r="T2103" s="117"/>
      <c r="U2103" s="117"/>
      <c r="V2103" s="117"/>
      <c r="W2103" s="117"/>
      <c r="X2103" s="117"/>
      <c r="Y2103" s="117"/>
      <c r="Z2103" s="117"/>
      <c r="AA2103" s="117"/>
      <c r="AB2103" s="117"/>
      <c r="AC2103" s="117"/>
      <c r="AD2103" s="117"/>
      <c r="AE2103" s="117"/>
      <c r="AF2103" s="117"/>
      <c r="AG2103" s="117"/>
      <c r="AH2103" s="117"/>
      <c r="AI2103" s="117"/>
      <c r="AJ2103" s="117"/>
      <c r="AK2103" s="117"/>
      <c r="AL2103" s="117"/>
      <c r="AM2103" s="117"/>
      <c r="AN2103" s="117"/>
      <c r="AO2103" s="117"/>
      <c r="AP2103" s="117"/>
      <c r="AQ2103" s="117"/>
      <c r="AR2103" s="117"/>
      <c r="AS2103" s="117"/>
      <c r="AT2103" s="117"/>
      <c r="AU2103" s="117"/>
      <c r="AV2103" s="117"/>
      <c r="AW2103" s="117"/>
      <c r="AX2103" s="117"/>
      <c r="AY2103" s="117"/>
      <c r="AZ2103" s="117"/>
      <c r="BA2103" s="117"/>
      <c r="BB2103" s="117"/>
      <c r="BC2103" s="117"/>
      <c r="BD2103" s="117"/>
      <c r="BE2103" s="117"/>
      <c r="BF2103" s="117"/>
      <c r="BG2103" s="117"/>
    </row>
    <row r="2104" spans="1:59">
      <c r="A2104" s="117"/>
      <c r="B2104" s="117"/>
      <c r="C2104" s="117"/>
      <c r="D2104" s="117"/>
      <c r="E2104" s="117"/>
      <c r="F2104" s="117"/>
      <c r="G2104" s="117"/>
      <c r="H2104" s="117"/>
      <c r="I2104" s="117"/>
      <c r="J2104" s="118"/>
      <c r="K2104" s="118"/>
      <c r="L2104" s="118"/>
      <c r="M2104" s="118"/>
      <c r="N2104" s="117"/>
      <c r="O2104" s="117"/>
      <c r="P2104" s="117"/>
      <c r="Q2104" s="117"/>
      <c r="R2104" s="117"/>
      <c r="S2104" s="117"/>
      <c r="T2104" s="117"/>
      <c r="U2104" s="117"/>
      <c r="V2104" s="117"/>
      <c r="W2104" s="117"/>
      <c r="X2104" s="117"/>
      <c r="Y2104" s="117"/>
      <c r="Z2104" s="117"/>
      <c r="AA2104" s="117"/>
      <c r="AB2104" s="117"/>
      <c r="AC2104" s="117"/>
      <c r="AD2104" s="117"/>
      <c r="AE2104" s="117"/>
      <c r="AF2104" s="117"/>
      <c r="AG2104" s="117"/>
      <c r="AH2104" s="117"/>
      <c r="AI2104" s="117"/>
      <c r="AJ2104" s="117"/>
      <c r="AK2104" s="117"/>
      <c r="AL2104" s="117"/>
      <c r="AM2104" s="117"/>
      <c r="AN2104" s="117"/>
      <c r="AO2104" s="117"/>
      <c r="AP2104" s="117"/>
      <c r="AQ2104" s="117"/>
      <c r="AR2104" s="117"/>
      <c r="AS2104" s="117"/>
      <c r="AT2104" s="117"/>
      <c r="AU2104" s="117"/>
      <c r="AV2104" s="117"/>
      <c r="AW2104" s="117"/>
      <c r="AX2104" s="117"/>
      <c r="AY2104" s="117"/>
      <c r="AZ2104" s="117"/>
      <c r="BA2104" s="117"/>
      <c r="BB2104" s="117"/>
      <c r="BC2104" s="117"/>
      <c r="BD2104" s="117"/>
      <c r="BE2104" s="117"/>
      <c r="BF2104" s="117"/>
      <c r="BG2104" s="117"/>
    </row>
    <row r="2105" spans="1:59">
      <c r="A2105" s="117"/>
      <c r="B2105" s="117"/>
      <c r="C2105" s="117"/>
      <c r="D2105" s="117"/>
      <c r="E2105" s="117"/>
      <c r="F2105" s="117"/>
      <c r="G2105" s="117"/>
      <c r="H2105" s="117"/>
      <c r="I2105" s="117"/>
      <c r="J2105" s="118"/>
      <c r="K2105" s="118"/>
      <c r="L2105" s="118"/>
      <c r="M2105" s="118"/>
      <c r="N2105" s="117"/>
      <c r="O2105" s="117"/>
      <c r="P2105" s="117"/>
      <c r="Q2105" s="117"/>
      <c r="R2105" s="117"/>
      <c r="S2105" s="117"/>
      <c r="T2105" s="117"/>
      <c r="U2105" s="117"/>
      <c r="V2105" s="117"/>
      <c r="W2105" s="117"/>
      <c r="X2105" s="117"/>
      <c r="Y2105" s="117"/>
      <c r="Z2105" s="117"/>
      <c r="AA2105" s="117"/>
      <c r="AB2105" s="117"/>
      <c r="AC2105" s="117"/>
      <c r="AD2105" s="117"/>
      <c r="AE2105" s="117"/>
      <c r="AF2105" s="117"/>
      <c r="AG2105" s="117"/>
      <c r="AH2105" s="117"/>
      <c r="AI2105" s="117"/>
      <c r="AJ2105" s="117"/>
      <c r="AK2105" s="117"/>
      <c r="AL2105" s="117"/>
      <c r="AM2105" s="117"/>
      <c r="AN2105" s="117"/>
      <c r="AO2105" s="117"/>
      <c r="AP2105" s="117"/>
      <c r="AQ2105" s="117"/>
      <c r="AR2105" s="117"/>
      <c r="AS2105" s="117"/>
      <c r="AT2105" s="117"/>
      <c r="AU2105" s="117"/>
      <c r="AV2105" s="117"/>
      <c r="AW2105" s="117"/>
      <c r="AX2105" s="117"/>
      <c r="AY2105" s="117"/>
      <c r="AZ2105" s="117"/>
      <c r="BA2105" s="117"/>
      <c r="BB2105" s="117"/>
      <c r="BC2105" s="117"/>
      <c r="BD2105" s="117"/>
      <c r="BE2105" s="117"/>
      <c r="BF2105" s="117"/>
      <c r="BG2105" s="117"/>
    </row>
    <row r="2106" spans="1:59">
      <c r="A2106" s="117"/>
      <c r="B2106" s="117"/>
      <c r="C2106" s="117"/>
      <c r="D2106" s="117"/>
      <c r="E2106" s="117"/>
      <c r="F2106" s="117"/>
      <c r="G2106" s="117"/>
      <c r="H2106" s="117"/>
      <c r="I2106" s="117"/>
      <c r="J2106" s="118"/>
      <c r="K2106" s="118"/>
      <c r="L2106" s="118"/>
      <c r="M2106" s="118"/>
      <c r="N2106" s="117"/>
      <c r="O2106" s="117"/>
      <c r="P2106" s="117"/>
      <c r="Q2106" s="117"/>
      <c r="R2106" s="117"/>
      <c r="S2106" s="117"/>
      <c r="T2106" s="117"/>
      <c r="U2106" s="117"/>
      <c r="V2106" s="117"/>
      <c r="W2106" s="117"/>
      <c r="X2106" s="117"/>
      <c r="Y2106" s="117"/>
      <c r="Z2106" s="117"/>
      <c r="AA2106" s="117"/>
      <c r="AB2106" s="117"/>
      <c r="AC2106" s="117"/>
      <c r="AD2106" s="117"/>
      <c r="AE2106" s="117"/>
      <c r="AF2106" s="117"/>
      <c r="AG2106" s="117"/>
      <c r="AH2106" s="117"/>
      <c r="AI2106" s="117"/>
      <c r="AJ2106" s="117"/>
      <c r="AK2106" s="117"/>
      <c r="AL2106" s="117"/>
      <c r="AM2106" s="117"/>
      <c r="AN2106" s="117"/>
      <c r="AO2106" s="117"/>
      <c r="AP2106" s="117"/>
      <c r="AQ2106" s="117"/>
      <c r="AR2106" s="117"/>
      <c r="AS2106" s="117"/>
      <c r="AT2106" s="117"/>
      <c r="AU2106" s="117"/>
      <c r="AV2106" s="117"/>
      <c r="AW2106" s="117"/>
      <c r="AX2106" s="117"/>
      <c r="AY2106" s="117"/>
      <c r="AZ2106" s="117"/>
      <c r="BA2106" s="117"/>
      <c r="BB2106" s="117"/>
      <c r="BC2106" s="117"/>
      <c r="BD2106" s="117"/>
      <c r="BE2106" s="117"/>
      <c r="BF2106" s="117"/>
      <c r="BG2106" s="117"/>
    </row>
    <row r="2107" spans="1:59">
      <c r="A2107" s="117"/>
      <c r="B2107" s="117"/>
      <c r="C2107" s="117"/>
      <c r="D2107" s="117"/>
      <c r="E2107" s="117"/>
      <c r="F2107" s="117"/>
      <c r="G2107" s="117"/>
      <c r="H2107" s="117"/>
      <c r="I2107" s="117"/>
      <c r="J2107" s="118"/>
      <c r="K2107" s="118"/>
      <c r="L2107" s="118"/>
      <c r="M2107" s="118"/>
      <c r="N2107" s="117"/>
      <c r="O2107" s="117"/>
      <c r="P2107" s="117"/>
      <c r="Q2107" s="117"/>
      <c r="R2107" s="117"/>
      <c r="S2107" s="117"/>
      <c r="T2107" s="117"/>
      <c r="U2107" s="117"/>
      <c r="V2107" s="117"/>
      <c r="W2107" s="117"/>
      <c r="X2107" s="117"/>
      <c r="Y2107" s="117"/>
      <c r="Z2107" s="117"/>
      <c r="AA2107" s="117"/>
      <c r="AB2107" s="117"/>
      <c r="AC2107" s="117"/>
      <c r="AD2107" s="117"/>
      <c r="AE2107" s="117"/>
      <c r="AF2107" s="117"/>
      <c r="AG2107" s="117"/>
      <c r="AH2107" s="117"/>
      <c r="AI2107" s="117"/>
      <c r="AJ2107" s="117"/>
      <c r="AK2107" s="117"/>
      <c r="AL2107" s="117"/>
      <c r="AM2107" s="117"/>
      <c r="AN2107" s="117"/>
      <c r="AO2107" s="117"/>
      <c r="AP2107" s="117"/>
      <c r="AQ2107" s="117"/>
      <c r="AR2107" s="117"/>
      <c r="AS2107" s="117"/>
      <c r="AT2107" s="117"/>
      <c r="AU2107" s="117"/>
      <c r="AV2107" s="117"/>
      <c r="AW2107" s="117"/>
      <c r="AX2107" s="117"/>
      <c r="AY2107" s="117"/>
      <c r="AZ2107" s="117"/>
      <c r="BA2107" s="117"/>
      <c r="BB2107" s="117"/>
      <c r="BC2107" s="117"/>
      <c r="BD2107" s="117"/>
      <c r="BE2107" s="117"/>
      <c r="BF2107" s="117"/>
      <c r="BG2107" s="117"/>
    </row>
    <row r="2108" spans="1:59">
      <c r="A2108" s="117"/>
      <c r="B2108" s="117"/>
      <c r="C2108" s="117"/>
      <c r="D2108" s="117"/>
      <c r="E2108" s="117"/>
      <c r="F2108" s="117"/>
      <c r="G2108" s="117"/>
      <c r="H2108" s="117"/>
      <c r="I2108" s="117"/>
      <c r="J2108" s="118"/>
      <c r="K2108" s="118"/>
      <c r="L2108" s="118"/>
      <c r="M2108" s="118"/>
      <c r="N2108" s="117"/>
      <c r="O2108" s="117"/>
      <c r="P2108" s="117"/>
      <c r="Q2108" s="117"/>
      <c r="R2108" s="117"/>
      <c r="S2108" s="117"/>
      <c r="T2108" s="117"/>
      <c r="U2108" s="117"/>
      <c r="V2108" s="117"/>
      <c r="W2108" s="117"/>
      <c r="X2108" s="117"/>
      <c r="Y2108" s="117"/>
      <c r="Z2108" s="117"/>
      <c r="AA2108" s="117"/>
      <c r="AB2108" s="117"/>
      <c r="AC2108" s="117"/>
      <c r="AD2108" s="117"/>
      <c r="AE2108" s="117"/>
      <c r="AF2108" s="117"/>
      <c r="AG2108" s="117"/>
      <c r="AH2108" s="117"/>
      <c r="AI2108" s="117"/>
      <c r="AJ2108" s="117"/>
      <c r="AK2108" s="117"/>
      <c r="AL2108" s="117"/>
      <c r="AM2108" s="117"/>
      <c r="AN2108" s="117"/>
      <c r="AO2108" s="117"/>
      <c r="AP2108" s="117"/>
      <c r="AQ2108" s="117"/>
      <c r="AR2108" s="117"/>
      <c r="AS2108" s="117"/>
      <c r="AT2108" s="117"/>
      <c r="AU2108" s="117"/>
      <c r="AV2108" s="117"/>
      <c r="AW2108" s="117"/>
      <c r="AX2108" s="117"/>
      <c r="AY2108" s="117"/>
      <c r="AZ2108" s="117"/>
      <c r="BA2108" s="117"/>
      <c r="BB2108" s="117"/>
      <c r="BC2108" s="117"/>
      <c r="BD2108" s="117"/>
      <c r="BE2108" s="117"/>
      <c r="BF2108" s="117"/>
      <c r="BG2108" s="117"/>
    </row>
    <row r="2109" spans="1:59">
      <c r="A2109" s="117"/>
      <c r="B2109" s="117"/>
      <c r="C2109" s="117"/>
      <c r="D2109" s="117"/>
      <c r="E2109" s="117"/>
      <c r="F2109" s="117"/>
      <c r="G2109" s="117"/>
      <c r="H2109" s="117"/>
      <c r="I2109" s="117"/>
      <c r="J2109" s="118"/>
      <c r="K2109" s="118"/>
      <c r="L2109" s="118"/>
      <c r="M2109" s="118"/>
      <c r="N2109" s="117"/>
      <c r="O2109" s="117"/>
      <c r="P2109" s="117"/>
      <c r="Q2109" s="117"/>
      <c r="R2109" s="117"/>
      <c r="S2109" s="117"/>
      <c r="T2109" s="117"/>
      <c r="U2109" s="117"/>
      <c r="V2109" s="117"/>
      <c r="W2109" s="117"/>
      <c r="X2109" s="117"/>
      <c r="Y2109" s="117"/>
      <c r="Z2109" s="117"/>
      <c r="AA2109" s="117"/>
      <c r="AB2109" s="117"/>
      <c r="AC2109" s="117"/>
      <c r="AD2109" s="117"/>
      <c r="AE2109" s="117"/>
      <c r="AF2109" s="117"/>
      <c r="AG2109" s="117"/>
      <c r="AH2109" s="117"/>
      <c r="AI2109" s="117"/>
      <c r="AJ2109" s="117"/>
      <c r="AK2109" s="117"/>
      <c r="AL2109" s="117"/>
      <c r="AM2109" s="117"/>
      <c r="AN2109" s="117"/>
      <c r="AO2109" s="117"/>
      <c r="AP2109" s="117"/>
      <c r="AQ2109" s="117"/>
      <c r="AR2109" s="117"/>
      <c r="AS2109" s="117"/>
      <c r="AT2109" s="117"/>
      <c r="AU2109" s="117"/>
      <c r="AV2109" s="117"/>
      <c r="AW2109" s="117"/>
      <c r="AX2109" s="117"/>
      <c r="AY2109" s="117"/>
      <c r="AZ2109" s="117"/>
      <c r="BA2109" s="117"/>
      <c r="BB2109" s="117"/>
      <c r="BC2109" s="117"/>
      <c r="BD2109" s="117"/>
      <c r="BE2109" s="117"/>
      <c r="BF2109" s="117"/>
      <c r="BG2109" s="117"/>
    </row>
    <row r="2110" spans="1:59">
      <c r="A2110" s="117"/>
      <c r="B2110" s="117"/>
      <c r="C2110" s="117"/>
      <c r="D2110" s="117"/>
      <c r="E2110" s="117"/>
      <c r="F2110" s="117"/>
      <c r="G2110" s="117"/>
      <c r="H2110" s="117"/>
      <c r="I2110" s="117"/>
      <c r="J2110" s="118"/>
      <c r="K2110" s="118"/>
      <c r="L2110" s="118"/>
      <c r="M2110" s="118"/>
      <c r="N2110" s="117"/>
      <c r="O2110" s="117"/>
      <c r="P2110" s="117"/>
      <c r="Q2110" s="117"/>
      <c r="R2110" s="117"/>
      <c r="S2110" s="117"/>
      <c r="T2110" s="117"/>
      <c r="U2110" s="117"/>
      <c r="V2110" s="117"/>
      <c r="W2110" s="117"/>
      <c r="X2110" s="117"/>
      <c r="Y2110" s="117"/>
      <c r="Z2110" s="117"/>
      <c r="AA2110" s="117"/>
      <c r="AB2110" s="117"/>
      <c r="AC2110" s="117"/>
      <c r="AD2110" s="117"/>
      <c r="AE2110" s="117"/>
      <c r="AF2110" s="117"/>
      <c r="AG2110" s="117"/>
      <c r="AH2110" s="117"/>
      <c r="AI2110" s="117"/>
      <c r="AJ2110" s="117"/>
      <c r="AK2110" s="117"/>
      <c r="AL2110" s="117"/>
      <c r="AM2110" s="117"/>
      <c r="AN2110" s="117"/>
      <c r="AO2110" s="117"/>
      <c r="AP2110" s="117"/>
      <c r="AQ2110" s="117"/>
      <c r="AR2110" s="117"/>
      <c r="AS2110" s="117"/>
      <c r="AT2110" s="117"/>
      <c r="AU2110" s="117"/>
      <c r="AV2110" s="117"/>
      <c r="AW2110" s="117"/>
      <c r="AX2110" s="117"/>
      <c r="AY2110" s="117"/>
      <c r="AZ2110" s="117"/>
      <c r="BA2110" s="117"/>
      <c r="BB2110" s="117"/>
      <c r="BC2110" s="117"/>
      <c r="BD2110" s="117"/>
      <c r="BE2110" s="117"/>
      <c r="BF2110" s="117"/>
      <c r="BG2110" s="117"/>
    </row>
    <row r="2111" spans="1:59">
      <c r="A2111" s="117"/>
      <c r="B2111" s="117"/>
      <c r="C2111" s="117"/>
      <c r="D2111" s="117"/>
      <c r="E2111" s="117"/>
      <c r="F2111" s="117"/>
      <c r="G2111" s="117"/>
      <c r="H2111" s="117"/>
      <c r="I2111" s="117"/>
      <c r="J2111" s="118"/>
      <c r="K2111" s="118"/>
      <c r="L2111" s="118"/>
      <c r="M2111" s="118"/>
      <c r="N2111" s="117"/>
      <c r="O2111" s="117"/>
      <c r="P2111" s="117"/>
      <c r="Q2111" s="117"/>
      <c r="R2111" s="117"/>
      <c r="S2111" s="117"/>
      <c r="T2111" s="117"/>
      <c r="U2111" s="117"/>
      <c r="V2111" s="117"/>
      <c r="W2111" s="117"/>
      <c r="X2111" s="117"/>
      <c r="Y2111" s="117"/>
      <c r="Z2111" s="117"/>
      <c r="AA2111" s="117"/>
      <c r="AB2111" s="117"/>
      <c r="AC2111" s="117"/>
      <c r="AD2111" s="117"/>
      <c r="AE2111" s="117"/>
      <c r="AF2111" s="117"/>
      <c r="AG2111" s="117"/>
      <c r="AH2111" s="117"/>
      <c r="AI2111" s="117"/>
      <c r="AJ2111" s="117"/>
      <c r="AK2111" s="117"/>
      <c r="AL2111" s="117"/>
      <c r="AM2111" s="117"/>
      <c r="AN2111" s="117"/>
      <c r="AO2111" s="117"/>
      <c r="AP2111" s="117"/>
      <c r="AQ2111" s="117"/>
      <c r="AR2111" s="117"/>
      <c r="AS2111" s="117"/>
      <c r="AT2111" s="117"/>
      <c r="AU2111" s="117"/>
      <c r="AV2111" s="117"/>
      <c r="AW2111" s="117"/>
      <c r="AX2111" s="117"/>
      <c r="AY2111" s="117"/>
      <c r="AZ2111" s="117"/>
      <c r="BA2111" s="117"/>
      <c r="BB2111" s="117"/>
      <c r="BC2111" s="117"/>
      <c r="BD2111" s="117"/>
      <c r="BE2111" s="117"/>
      <c r="BF2111" s="117"/>
      <c r="BG2111" s="117"/>
    </row>
    <row r="2112" spans="1:59">
      <c r="A2112" s="117"/>
      <c r="B2112" s="117"/>
      <c r="C2112" s="117"/>
      <c r="D2112" s="117"/>
      <c r="E2112" s="117"/>
      <c r="F2112" s="117"/>
      <c r="G2112" s="117"/>
      <c r="H2112" s="117"/>
      <c r="I2112" s="117"/>
      <c r="J2112" s="118"/>
      <c r="K2112" s="118"/>
      <c r="L2112" s="118"/>
      <c r="M2112" s="118"/>
      <c r="N2112" s="117"/>
      <c r="O2112" s="117"/>
      <c r="P2112" s="117"/>
      <c r="Q2112" s="117"/>
      <c r="R2112" s="117"/>
      <c r="S2112" s="117"/>
      <c r="T2112" s="117"/>
      <c r="U2112" s="117"/>
      <c r="V2112" s="117"/>
      <c r="W2112" s="117"/>
      <c r="X2112" s="117"/>
      <c r="Y2112" s="117"/>
      <c r="Z2112" s="117"/>
      <c r="AA2112" s="117"/>
      <c r="AB2112" s="117"/>
      <c r="AC2112" s="117"/>
      <c r="AD2112" s="117"/>
      <c r="AE2112" s="117"/>
      <c r="AF2112" s="117"/>
      <c r="AG2112" s="117"/>
      <c r="AH2112" s="117"/>
      <c r="AI2112" s="117"/>
      <c r="AJ2112" s="117"/>
      <c r="AK2112" s="117"/>
      <c r="AL2112" s="117"/>
      <c r="AM2112" s="117"/>
      <c r="AN2112" s="117"/>
      <c r="AO2112" s="117"/>
      <c r="AP2112" s="117"/>
      <c r="AQ2112" s="117"/>
      <c r="AR2112" s="117"/>
      <c r="AS2112" s="117"/>
      <c r="AT2112" s="117"/>
      <c r="AU2112" s="117"/>
      <c r="AV2112" s="117"/>
      <c r="AW2112" s="117"/>
      <c r="AX2112" s="117"/>
      <c r="AY2112" s="117"/>
      <c r="AZ2112" s="117"/>
      <c r="BA2112" s="117"/>
      <c r="BB2112" s="117"/>
      <c r="BC2112" s="117"/>
      <c r="BD2112" s="117"/>
      <c r="BE2112" s="117"/>
      <c r="BF2112" s="117"/>
      <c r="BG2112" s="117"/>
    </row>
    <row r="2113" spans="1:59">
      <c r="A2113" s="117"/>
      <c r="B2113" s="117"/>
      <c r="C2113" s="117"/>
      <c r="D2113" s="117"/>
      <c r="E2113" s="117"/>
      <c r="F2113" s="117"/>
      <c r="G2113" s="117"/>
      <c r="H2113" s="117"/>
      <c r="I2113" s="117"/>
      <c r="J2113" s="118"/>
      <c r="K2113" s="118"/>
      <c r="L2113" s="118"/>
      <c r="M2113" s="118"/>
      <c r="N2113" s="117"/>
      <c r="O2113" s="117"/>
      <c r="P2113" s="117"/>
      <c r="Q2113" s="117"/>
      <c r="R2113" s="117"/>
      <c r="S2113" s="117"/>
      <c r="T2113" s="117"/>
      <c r="U2113" s="117"/>
      <c r="V2113" s="117"/>
      <c r="W2113" s="117"/>
      <c r="X2113" s="117"/>
      <c r="Y2113" s="117"/>
      <c r="Z2113" s="117"/>
      <c r="AA2113" s="117"/>
      <c r="AB2113" s="117"/>
      <c r="AC2113" s="117"/>
      <c r="AD2113" s="117"/>
      <c r="AE2113" s="117"/>
      <c r="AF2113" s="117"/>
      <c r="AG2113" s="117"/>
      <c r="AH2113" s="117"/>
      <c r="AI2113" s="117"/>
      <c r="AJ2113" s="117"/>
      <c r="AK2113" s="117"/>
      <c r="AL2113" s="117"/>
      <c r="AM2113" s="117"/>
      <c r="AN2113" s="117"/>
      <c r="AO2113" s="117"/>
      <c r="AP2113" s="117"/>
      <c r="AQ2113" s="117"/>
      <c r="AR2113" s="117"/>
      <c r="AS2113" s="117"/>
      <c r="AT2113" s="117"/>
      <c r="AU2113" s="117"/>
      <c r="AV2113" s="117"/>
      <c r="AW2113" s="117"/>
      <c r="AX2113" s="117"/>
      <c r="AY2113" s="117"/>
      <c r="AZ2113" s="117"/>
      <c r="BA2113" s="117"/>
      <c r="BB2113" s="117"/>
      <c r="BC2113" s="117"/>
      <c r="BD2113" s="117"/>
      <c r="BE2113" s="117"/>
      <c r="BF2113" s="117"/>
      <c r="BG2113" s="117"/>
    </row>
    <row r="2114" spans="1:59">
      <c r="A2114" s="117"/>
      <c r="B2114" s="117"/>
      <c r="C2114" s="117"/>
      <c r="D2114" s="117"/>
      <c r="E2114" s="117"/>
      <c r="F2114" s="117"/>
      <c r="G2114" s="117"/>
      <c r="H2114" s="117"/>
      <c r="I2114" s="117"/>
      <c r="J2114" s="118"/>
      <c r="K2114" s="118"/>
      <c r="L2114" s="118"/>
      <c r="M2114" s="118"/>
      <c r="N2114" s="117"/>
      <c r="O2114" s="117"/>
      <c r="P2114" s="117"/>
      <c r="Q2114" s="117"/>
      <c r="R2114" s="117"/>
      <c r="S2114" s="117"/>
      <c r="T2114" s="117"/>
      <c r="U2114" s="117"/>
      <c r="V2114" s="117"/>
      <c r="W2114" s="117"/>
      <c r="X2114" s="117"/>
      <c r="Y2114" s="117"/>
      <c r="Z2114" s="117"/>
      <c r="AA2114" s="117"/>
      <c r="AB2114" s="117"/>
      <c r="AC2114" s="117"/>
      <c r="AD2114" s="117"/>
      <c r="AE2114" s="117"/>
      <c r="AF2114" s="117"/>
      <c r="AG2114" s="117"/>
      <c r="AH2114" s="117"/>
      <c r="AI2114" s="117"/>
      <c r="AJ2114" s="117"/>
      <c r="AK2114" s="117"/>
      <c r="AL2114" s="117"/>
      <c r="AM2114" s="117"/>
      <c r="AN2114" s="117"/>
      <c r="AO2114" s="117"/>
      <c r="AP2114" s="117"/>
      <c r="AQ2114" s="117"/>
      <c r="AR2114" s="117"/>
      <c r="AS2114" s="117"/>
      <c r="AT2114" s="117"/>
      <c r="AU2114" s="117"/>
      <c r="AV2114" s="117"/>
      <c r="AW2114" s="117"/>
      <c r="AX2114" s="117"/>
      <c r="AY2114" s="117"/>
      <c r="AZ2114" s="117"/>
      <c r="BA2114" s="117"/>
      <c r="BB2114" s="117"/>
      <c r="BC2114" s="117"/>
      <c r="BD2114" s="117"/>
      <c r="BE2114" s="117"/>
      <c r="BF2114" s="117"/>
      <c r="BG2114" s="117"/>
    </row>
    <row r="2115" spans="1:59">
      <c r="A2115" s="117"/>
      <c r="B2115" s="117"/>
      <c r="C2115" s="117"/>
      <c r="D2115" s="117"/>
      <c r="E2115" s="117"/>
      <c r="F2115" s="117"/>
      <c r="G2115" s="117"/>
      <c r="H2115" s="117"/>
      <c r="I2115" s="117"/>
      <c r="J2115" s="118"/>
      <c r="K2115" s="118"/>
      <c r="L2115" s="118"/>
      <c r="M2115" s="118"/>
      <c r="N2115" s="117"/>
      <c r="O2115" s="117"/>
      <c r="P2115" s="117"/>
      <c r="Q2115" s="117"/>
      <c r="R2115" s="117"/>
      <c r="S2115" s="117"/>
      <c r="T2115" s="117"/>
      <c r="U2115" s="117"/>
      <c r="V2115" s="117"/>
      <c r="W2115" s="117"/>
      <c r="X2115" s="117"/>
      <c r="Y2115" s="117"/>
      <c r="Z2115" s="117"/>
      <c r="AA2115" s="117"/>
      <c r="AB2115" s="117"/>
      <c r="AC2115" s="117"/>
      <c r="AD2115" s="117"/>
      <c r="AE2115" s="117"/>
      <c r="AF2115" s="117"/>
      <c r="AG2115" s="117"/>
      <c r="AH2115" s="117"/>
      <c r="AI2115" s="117"/>
      <c r="AJ2115" s="117"/>
      <c r="AK2115" s="117"/>
      <c r="AL2115" s="117"/>
      <c r="AM2115" s="117"/>
      <c r="AN2115" s="117"/>
      <c r="AO2115" s="117"/>
      <c r="AP2115" s="117"/>
      <c r="AQ2115" s="117"/>
      <c r="AR2115" s="117"/>
      <c r="AS2115" s="117"/>
      <c r="AT2115" s="117"/>
      <c r="AU2115" s="117"/>
      <c r="AV2115" s="117"/>
      <c r="AW2115" s="117"/>
      <c r="AX2115" s="117"/>
      <c r="AY2115" s="117"/>
      <c r="AZ2115" s="117"/>
      <c r="BA2115" s="117"/>
      <c r="BB2115" s="117"/>
      <c r="BC2115" s="117"/>
      <c r="BD2115" s="117"/>
      <c r="BE2115" s="117"/>
      <c r="BF2115" s="117"/>
      <c r="BG2115" s="117"/>
    </row>
    <row r="2116" spans="1:59">
      <c r="A2116" s="117"/>
      <c r="B2116" s="117"/>
      <c r="C2116" s="117"/>
      <c r="D2116" s="117"/>
      <c r="E2116" s="117"/>
      <c r="F2116" s="117"/>
      <c r="G2116" s="117"/>
      <c r="H2116" s="117"/>
      <c r="I2116" s="117"/>
      <c r="J2116" s="118"/>
      <c r="K2116" s="118"/>
      <c r="L2116" s="118"/>
      <c r="M2116" s="118"/>
      <c r="N2116" s="117"/>
      <c r="O2116" s="117"/>
      <c r="P2116" s="117"/>
      <c r="Q2116" s="117"/>
      <c r="R2116" s="117"/>
      <c r="S2116" s="117"/>
      <c r="T2116" s="117"/>
      <c r="U2116" s="117"/>
      <c r="V2116" s="117"/>
      <c r="W2116" s="117"/>
      <c r="X2116" s="117"/>
      <c r="Y2116" s="117"/>
      <c r="Z2116" s="117"/>
      <c r="AA2116" s="117"/>
      <c r="AB2116" s="117"/>
      <c r="AC2116" s="117"/>
      <c r="AD2116" s="117"/>
      <c r="AE2116" s="117"/>
      <c r="AF2116" s="117"/>
      <c r="AG2116" s="117"/>
      <c r="AH2116" s="117"/>
      <c r="AI2116" s="117"/>
      <c r="AJ2116" s="117"/>
      <c r="AK2116" s="117"/>
      <c r="AL2116" s="117"/>
      <c r="AM2116" s="117"/>
      <c r="AN2116" s="117"/>
      <c r="AO2116" s="117"/>
      <c r="AP2116" s="117"/>
      <c r="AQ2116" s="117"/>
      <c r="AR2116" s="117"/>
      <c r="AS2116" s="117"/>
      <c r="AT2116" s="117"/>
      <c r="AU2116" s="117"/>
      <c r="AV2116" s="117"/>
      <c r="AW2116" s="117"/>
      <c r="AX2116" s="117"/>
      <c r="AY2116" s="117"/>
      <c r="AZ2116" s="117"/>
      <c r="BA2116" s="117"/>
      <c r="BB2116" s="117"/>
      <c r="BC2116" s="117"/>
      <c r="BD2116" s="117"/>
      <c r="BE2116" s="117"/>
      <c r="BF2116" s="117"/>
      <c r="BG2116" s="117"/>
    </row>
    <row r="2117" spans="1:59">
      <c r="A2117" s="117"/>
      <c r="B2117" s="117"/>
      <c r="C2117" s="117"/>
      <c r="D2117" s="117"/>
      <c r="E2117" s="117"/>
      <c r="F2117" s="117"/>
      <c r="G2117" s="117"/>
      <c r="H2117" s="117"/>
      <c r="I2117" s="117"/>
      <c r="J2117" s="118"/>
      <c r="K2117" s="118"/>
      <c r="L2117" s="118"/>
      <c r="M2117" s="118"/>
      <c r="N2117" s="117"/>
      <c r="O2117" s="117"/>
      <c r="P2117" s="117"/>
      <c r="Q2117" s="117"/>
      <c r="R2117" s="117"/>
      <c r="S2117" s="117"/>
      <c r="T2117" s="117"/>
      <c r="U2117" s="117"/>
      <c r="V2117" s="117"/>
      <c r="W2117" s="117"/>
      <c r="X2117" s="117"/>
      <c r="Y2117" s="117"/>
      <c r="Z2117" s="117"/>
      <c r="AA2117" s="117"/>
      <c r="AB2117" s="117"/>
      <c r="AC2117" s="117"/>
      <c r="AD2117" s="117"/>
      <c r="AE2117" s="117"/>
      <c r="AF2117" s="117"/>
      <c r="AG2117" s="117"/>
      <c r="AH2117" s="117"/>
      <c r="AI2117" s="117"/>
      <c r="AJ2117" s="117"/>
      <c r="AK2117" s="117"/>
      <c r="AL2117" s="117"/>
      <c r="AM2117" s="117"/>
      <c r="AN2117" s="117"/>
      <c r="AO2117" s="117"/>
      <c r="AP2117" s="117"/>
      <c r="AQ2117" s="117"/>
      <c r="AR2117" s="117"/>
      <c r="AS2117" s="117"/>
      <c r="AT2117" s="117"/>
      <c r="AU2117" s="117"/>
      <c r="AV2117" s="117"/>
      <c r="AW2117" s="117"/>
      <c r="AX2117" s="117"/>
      <c r="AY2117" s="117"/>
      <c r="AZ2117" s="117"/>
      <c r="BA2117" s="117"/>
      <c r="BB2117" s="117"/>
      <c r="BC2117" s="117"/>
      <c r="BD2117" s="117"/>
      <c r="BE2117" s="117"/>
      <c r="BF2117" s="117"/>
      <c r="BG2117" s="117"/>
    </row>
    <row r="2118" spans="1:59">
      <c r="A2118" s="117"/>
      <c r="B2118" s="117"/>
      <c r="C2118" s="117"/>
      <c r="D2118" s="117"/>
      <c r="E2118" s="117"/>
      <c r="F2118" s="117"/>
      <c r="G2118" s="117"/>
      <c r="H2118" s="117"/>
      <c r="I2118" s="117"/>
      <c r="J2118" s="118"/>
      <c r="K2118" s="118"/>
      <c r="L2118" s="118"/>
      <c r="M2118" s="118"/>
      <c r="N2118" s="117"/>
      <c r="O2118" s="117"/>
      <c r="P2118" s="117"/>
      <c r="Q2118" s="117"/>
      <c r="R2118" s="117"/>
      <c r="S2118" s="117"/>
      <c r="T2118" s="117"/>
      <c r="U2118" s="117"/>
      <c r="V2118" s="117"/>
      <c r="W2118" s="117"/>
      <c r="X2118" s="117"/>
      <c r="Y2118" s="117"/>
      <c r="Z2118" s="117"/>
      <c r="AA2118" s="117"/>
      <c r="AB2118" s="117"/>
      <c r="AC2118" s="117"/>
      <c r="AD2118" s="117"/>
      <c r="AE2118" s="117"/>
      <c r="AF2118" s="117"/>
      <c r="AG2118" s="117"/>
      <c r="AH2118" s="117"/>
      <c r="AI2118" s="117"/>
      <c r="AJ2118" s="117"/>
      <c r="AK2118" s="117"/>
      <c r="AL2118" s="117"/>
      <c r="AM2118" s="117"/>
      <c r="AN2118" s="117"/>
      <c r="AO2118" s="117"/>
      <c r="AP2118" s="117"/>
      <c r="AQ2118" s="117"/>
      <c r="AR2118" s="117"/>
      <c r="AS2118" s="117"/>
      <c r="AT2118" s="117"/>
      <c r="AU2118" s="117"/>
      <c r="AV2118" s="117"/>
      <c r="AW2118" s="117"/>
      <c r="AX2118" s="117"/>
      <c r="AY2118" s="117"/>
      <c r="AZ2118" s="117"/>
      <c r="BA2118" s="117"/>
      <c r="BB2118" s="117"/>
      <c r="BC2118" s="117"/>
      <c r="BD2118" s="117"/>
      <c r="BE2118" s="117"/>
      <c r="BF2118" s="117"/>
      <c r="BG2118" s="117"/>
    </row>
    <row r="2119" spans="1:59">
      <c r="A2119" s="117"/>
      <c r="B2119" s="117"/>
      <c r="C2119" s="117"/>
      <c r="D2119" s="117"/>
      <c r="E2119" s="117"/>
      <c r="F2119" s="117"/>
      <c r="G2119" s="117"/>
      <c r="H2119" s="117"/>
      <c r="I2119" s="117"/>
      <c r="J2119" s="118"/>
      <c r="K2119" s="118"/>
      <c r="L2119" s="118"/>
      <c r="M2119" s="118"/>
      <c r="N2119" s="117"/>
      <c r="O2119" s="117"/>
      <c r="P2119" s="117"/>
      <c r="Q2119" s="117"/>
      <c r="R2119" s="117"/>
      <c r="S2119" s="117"/>
      <c r="T2119" s="117"/>
      <c r="U2119" s="117"/>
      <c r="V2119" s="117"/>
      <c r="W2119" s="117"/>
      <c r="X2119" s="117"/>
      <c r="Y2119" s="117"/>
      <c r="Z2119" s="117"/>
      <c r="AA2119" s="117"/>
      <c r="AB2119" s="117"/>
      <c r="AC2119" s="117"/>
      <c r="AD2119" s="117"/>
      <c r="AE2119" s="117"/>
      <c r="AF2119" s="117"/>
      <c r="AG2119" s="117"/>
      <c r="AH2119" s="117"/>
      <c r="AI2119" s="117"/>
      <c r="AJ2119" s="117"/>
      <c r="AK2119" s="117"/>
      <c r="AL2119" s="117"/>
      <c r="AM2119" s="117"/>
      <c r="AN2119" s="117"/>
      <c r="AO2119" s="117"/>
      <c r="AP2119" s="117"/>
      <c r="AQ2119" s="117"/>
      <c r="AR2119" s="117"/>
      <c r="AS2119" s="117"/>
      <c r="AT2119" s="117"/>
      <c r="AU2119" s="117"/>
      <c r="AV2119" s="117"/>
      <c r="AW2119" s="117"/>
      <c r="AX2119" s="117"/>
      <c r="AY2119" s="117"/>
      <c r="AZ2119" s="117"/>
      <c r="BA2119" s="117"/>
      <c r="BB2119" s="117"/>
      <c r="BC2119" s="117"/>
      <c r="BD2119" s="117"/>
      <c r="BE2119" s="117"/>
      <c r="BF2119" s="117"/>
      <c r="BG2119" s="117"/>
    </row>
    <row r="2120" spans="1:59">
      <c r="A2120" s="117"/>
      <c r="B2120" s="117"/>
      <c r="C2120" s="117"/>
      <c r="D2120" s="117"/>
      <c r="E2120" s="117"/>
      <c r="F2120" s="117"/>
      <c r="G2120" s="117"/>
      <c r="H2120" s="117"/>
      <c r="I2120" s="117"/>
      <c r="J2120" s="118"/>
      <c r="K2120" s="118"/>
      <c r="L2120" s="118"/>
      <c r="M2120" s="118"/>
      <c r="N2120" s="117"/>
      <c r="O2120" s="117"/>
      <c r="P2120" s="117"/>
      <c r="Q2120" s="117"/>
      <c r="R2120" s="117"/>
      <c r="S2120" s="117"/>
      <c r="T2120" s="117"/>
      <c r="U2120" s="117"/>
      <c r="V2120" s="117"/>
      <c r="W2120" s="117"/>
      <c r="X2120" s="117"/>
      <c r="Y2120" s="117"/>
      <c r="Z2120" s="117"/>
      <c r="AA2120" s="117"/>
      <c r="AB2120" s="117"/>
      <c r="AC2120" s="117"/>
      <c r="AD2120" s="117"/>
      <c r="AE2120" s="117"/>
      <c r="AF2120" s="117"/>
      <c r="AG2120" s="117"/>
      <c r="AH2120" s="117"/>
      <c r="AI2120" s="117"/>
      <c r="AJ2120" s="117"/>
      <c r="AK2120" s="117"/>
      <c r="AL2120" s="117"/>
      <c r="AM2120" s="117"/>
      <c r="AN2120" s="117"/>
      <c r="AO2120" s="117"/>
      <c r="AP2120" s="117"/>
      <c r="AQ2120" s="117"/>
      <c r="AR2120" s="117"/>
      <c r="AS2120" s="117"/>
      <c r="AT2120" s="117"/>
      <c r="AU2120" s="117"/>
      <c r="AV2120" s="117"/>
      <c r="AW2120" s="117"/>
      <c r="AX2120" s="117"/>
      <c r="AY2120" s="117"/>
      <c r="AZ2120" s="117"/>
      <c r="BA2120" s="117"/>
      <c r="BB2120" s="117"/>
      <c r="BC2120" s="117"/>
      <c r="BD2120" s="117"/>
      <c r="BE2120" s="117"/>
      <c r="BF2120" s="117"/>
      <c r="BG2120" s="117"/>
    </row>
    <row r="2121" spans="1:59">
      <c r="A2121" s="117"/>
      <c r="B2121" s="117"/>
      <c r="C2121" s="117"/>
      <c r="D2121" s="117"/>
      <c r="E2121" s="117"/>
      <c r="F2121" s="117"/>
      <c r="G2121" s="117"/>
      <c r="H2121" s="117"/>
      <c r="I2121" s="117"/>
      <c r="J2121" s="118"/>
      <c r="K2121" s="118"/>
      <c r="L2121" s="118"/>
      <c r="M2121" s="118"/>
      <c r="N2121" s="117"/>
      <c r="O2121" s="117"/>
      <c r="P2121" s="117"/>
      <c r="Q2121" s="117"/>
      <c r="R2121" s="117"/>
      <c r="S2121" s="117"/>
      <c r="T2121" s="117"/>
      <c r="U2121" s="117"/>
      <c r="V2121" s="117"/>
      <c r="W2121" s="117"/>
      <c r="X2121" s="117"/>
      <c r="Y2121" s="117"/>
      <c r="Z2121" s="117"/>
      <c r="AA2121" s="117"/>
      <c r="AB2121" s="117"/>
      <c r="AC2121" s="117"/>
      <c r="AD2121" s="117"/>
      <c r="AE2121" s="117"/>
      <c r="AF2121" s="117"/>
      <c r="AG2121" s="117"/>
      <c r="AH2121" s="117"/>
      <c r="AI2121" s="117"/>
      <c r="AJ2121" s="117"/>
      <c r="AK2121" s="117"/>
      <c r="AL2121" s="117"/>
      <c r="AM2121" s="117"/>
      <c r="AN2121" s="117"/>
      <c r="AO2121" s="117"/>
      <c r="AP2121" s="117"/>
      <c r="AQ2121" s="117"/>
      <c r="AR2121" s="117"/>
      <c r="AS2121" s="117"/>
      <c r="AT2121" s="117"/>
      <c r="AU2121" s="117"/>
      <c r="AV2121" s="117"/>
      <c r="AW2121" s="117"/>
      <c r="AX2121" s="117"/>
      <c r="AY2121" s="117"/>
      <c r="AZ2121" s="117"/>
      <c r="BA2121" s="117"/>
      <c r="BB2121" s="117"/>
      <c r="BC2121" s="117"/>
      <c r="BD2121" s="117"/>
      <c r="BE2121" s="117"/>
      <c r="BF2121" s="117"/>
      <c r="BG2121" s="117"/>
    </row>
    <row r="2122" spans="1:59">
      <c r="A2122" s="117"/>
      <c r="B2122" s="117"/>
      <c r="C2122" s="117"/>
      <c r="D2122" s="117"/>
      <c r="E2122" s="117"/>
      <c r="F2122" s="117"/>
      <c r="G2122" s="117"/>
      <c r="H2122" s="117"/>
      <c r="I2122" s="117"/>
      <c r="J2122" s="118"/>
      <c r="K2122" s="118"/>
      <c r="L2122" s="118"/>
      <c r="M2122" s="118"/>
      <c r="N2122" s="117"/>
      <c r="O2122" s="117"/>
      <c r="P2122" s="117"/>
      <c r="Q2122" s="117"/>
      <c r="R2122" s="117"/>
      <c r="S2122" s="117"/>
      <c r="T2122" s="117"/>
      <c r="U2122" s="117"/>
      <c r="V2122" s="117"/>
      <c r="W2122" s="117"/>
      <c r="X2122" s="117"/>
      <c r="Y2122" s="117"/>
      <c r="Z2122" s="117"/>
      <c r="AA2122" s="117"/>
      <c r="AB2122" s="117"/>
      <c r="AC2122" s="117"/>
      <c r="AD2122" s="117"/>
      <c r="AE2122" s="117"/>
      <c r="AF2122" s="117"/>
      <c r="AG2122" s="117"/>
      <c r="AH2122" s="117"/>
      <c r="AI2122" s="117"/>
      <c r="AJ2122" s="117"/>
      <c r="AK2122" s="117"/>
      <c r="AL2122" s="117"/>
      <c r="AM2122" s="117"/>
      <c r="AN2122" s="117"/>
      <c r="AO2122" s="117"/>
      <c r="AP2122" s="117"/>
      <c r="AQ2122" s="117"/>
      <c r="AR2122" s="117"/>
      <c r="AS2122" s="117"/>
      <c r="AT2122" s="117"/>
      <c r="AU2122" s="117"/>
      <c r="AV2122" s="117"/>
      <c r="AW2122" s="117"/>
      <c r="AX2122" s="117"/>
      <c r="AY2122" s="117"/>
      <c r="AZ2122" s="117"/>
      <c r="BA2122" s="117"/>
      <c r="BB2122" s="117"/>
      <c r="BC2122" s="117"/>
      <c r="BD2122" s="117"/>
      <c r="BE2122" s="117"/>
      <c r="BF2122" s="117"/>
      <c r="BG2122" s="117"/>
    </row>
    <row r="2123" spans="1:59">
      <c r="A2123" s="117"/>
      <c r="B2123" s="117"/>
      <c r="C2123" s="117"/>
      <c r="D2123" s="117"/>
      <c r="E2123" s="117"/>
      <c r="F2123" s="117"/>
      <c r="G2123" s="117"/>
      <c r="H2123" s="117"/>
      <c r="I2123" s="117"/>
      <c r="J2123" s="118"/>
      <c r="K2123" s="118"/>
      <c r="L2123" s="118"/>
      <c r="M2123" s="118"/>
      <c r="N2123" s="117"/>
      <c r="O2123" s="117"/>
      <c r="P2123" s="117"/>
      <c r="Q2123" s="117"/>
      <c r="R2123" s="117"/>
      <c r="S2123" s="117"/>
      <c r="T2123" s="117"/>
      <c r="U2123" s="117"/>
      <c r="V2123" s="117"/>
      <c r="W2123" s="117"/>
      <c r="X2123" s="117"/>
      <c r="Y2123" s="117"/>
      <c r="Z2123" s="117"/>
      <c r="AA2123" s="117"/>
      <c r="AB2123" s="117"/>
      <c r="AC2123" s="117"/>
      <c r="AD2123" s="117"/>
      <c r="AE2123" s="117"/>
      <c r="AF2123" s="117"/>
      <c r="AG2123" s="117"/>
      <c r="AH2123" s="117"/>
      <c r="AI2123" s="117"/>
      <c r="AJ2123" s="117"/>
      <c r="AK2123" s="117"/>
      <c r="AL2123" s="117"/>
      <c r="AM2123" s="117"/>
      <c r="AN2123" s="117"/>
      <c r="AO2123" s="117"/>
      <c r="AP2123" s="117"/>
      <c r="AQ2123" s="117"/>
      <c r="AR2123" s="117"/>
      <c r="AS2123" s="117"/>
      <c r="AT2123" s="117"/>
      <c r="AU2123" s="117"/>
      <c r="AV2123" s="117"/>
      <c r="AW2123" s="117"/>
      <c r="AX2123" s="117"/>
      <c r="AY2123" s="117"/>
      <c r="AZ2123" s="117"/>
      <c r="BA2123" s="117"/>
      <c r="BB2123" s="117"/>
      <c r="BC2123" s="117"/>
      <c r="BD2123" s="117"/>
      <c r="BE2123" s="117"/>
      <c r="BF2123" s="117"/>
      <c r="BG2123" s="117"/>
    </row>
    <row r="2124" spans="1:59">
      <c r="A2124" s="117"/>
      <c r="B2124" s="117"/>
      <c r="C2124" s="117"/>
      <c r="D2124" s="117"/>
      <c r="E2124" s="117"/>
      <c r="F2124" s="117"/>
      <c r="G2124" s="117"/>
      <c r="H2124" s="117"/>
      <c r="I2124" s="117"/>
      <c r="J2124" s="118"/>
      <c r="K2124" s="118"/>
      <c r="L2124" s="118"/>
      <c r="M2124" s="118"/>
      <c r="N2124" s="117"/>
      <c r="O2124" s="117"/>
      <c r="P2124" s="117"/>
      <c r="Q2124" s="117"/>
      <c r="R2124" s="117"/>
      <c r="S2124" s="117"/>
      <c r="T2124" s="117"/>
      <c r="U2124" s="117"/>
      <c r="V2124" s="117"/>
      <c r="W2124" s="117"/>
      <c r="X2124" s="117"/>
      <c r="Y2124" s="117"/>
      <c r="Z2124" s="117"/>
      <c r="AA2124" s="117"/>
      <c r="AB2124" s="117"/>
      <c r="AC2124" s="117"/>
      <c r="AD2124" s="117"/>
      <c r="AE2124" s="117"/>
      <c r="AF2124" s="117"/>
      <c r="AG2124" s="117"/>
      <c r="AH2124" s="117"/>
      <c r="AI2124" s="117"/>
      <c r="AJ2124" s="117"/>
      <c r="AK2124" s="117"/>
      <c r="AL2124" s="117"/>
      <c r="AM2124" s="117"/>
      <c r="AN2124" s="117"/>
      <c r="AO2124" s="117"/>
      <c r="AP2124" s="117"/>
      <c r="AQ2124" s="117"/>
      <c r="AR2124" s="117"/>
      <c r="AS2124" s="117"/>
      <c r="AT2124" s="117"/>
      <c r="AU2124" s="117"/>
      <c r="AV2124" s="117"/>
      <c r="AW2124" s="117"/>
      <c r="AX2124" s="117"/>
      <c r="AY2124" s="117"/>
      <c r="AZ2124" s="117"/>
      <c r="BA2124" s="117"/>
      <c r="BB2124" s="117"/>
      <c r="BC2124" s="117"/>
      <c r="BD2124" s="117"/>
      <c r="BE2124" s="117"/>
      <c r="BF2124" s="117"/>
      <c r="BG2124" s="117"/>
    </row>
    <row r="2125" spans="1:59">
      <c r="A2125" s="117"/>
      <c r="B2125" s="117"/>
      <c r="C2125" s="117"/>
      <c r="D2125" s="117"/>
      <c r="E2125" s="117"/>
      <c r="F2125" s="117"/>
      <c r="G2125" s="117"/>
      <c r="H2125" s="117"/>
      <c r="I2125" s="117"/>
      <c r="J2125" s="118"/>
      <c r="K2125" s="118"/>
      <c r="L2125" s="118"/>
      <c r="M2125" s="118"/>
      <c r="N2125" s="117"/>
      <c r="O2125" s="117"/>
      <c r="P2125" s="117"/>
      <c r="Q2125" s="117"/>
      <c r="R2125" s="117"/>
      <c r="S2125" s="117"/>
      <c r="T2125" s="117"/>
      <c r="U2125" s="117"/>
      <c r="V2125" s="117"/>
      <c r="W2125" s="117"/>
      <c r="X2125" s="117"/>
      <c r="Y2125" s="117"/>
      <c r="Z2125" s="117"/>
      <c r="AA2125" s="117"/>
      <c r="AB2125" s="117"/>
      <c r="AC2125" s="117"/>
      <c r="AD2125" s="117"/>
      <c r="AE2125" s="117"/>
      <c r="AF2125" s="117"/>
      <c r="AG2125" s="117"/>
      <c r="AH2125" s="117"/>
      <c r="AI2125" s="117"/>
      <c r="AJ2125" s="117"/>
      <c r="AK2125" s="117"/>
      <c r="AL2125" s="117"/>
      <c r="AM2125" s="117"/>
      <c r="AN2125" s="117"/>
      <c r="AO2125" s="117"/>
      <c r="AP2125" s="117"/>
      <c r="AQ2125" s="117"/>
      <c r="AR2125" s="117"/>
      <c r="AS2125" s="117"/>
      <c r="AT2125" s="117"/>
      <c r="AU2125" s="117"/>
      <c r="AV2125" s="117"/>
      <c r="AW2125" s="117"/>
      <c r="AX2125" s="117"/>
      <c r="AY2125" s="117"/>
      <c r="AZ2125" s="117"/>
      <c r="BA2125" s="117"/>
      <c r="BB2125" s="117"/>
      <c r="BC2125" s="117"/>
      <c r="BD2125" s="117"/>
      <c r="BE2125" s="117"/>
      <c r="BF2125" s="117"/>
      <c r="BG2125" s="117"/>
    </row>
    <row r="2126" spans="1:59">
      <c r="A2126" s="117"/>
      <c r="B2126" s="117"/>
      <c r="C2126" s="117"/>
      <c r="D2126" s="117"/>
      <c r="E2126" s="117"/>
      <c r="F2126" s="117"/>
      <c r="G2126" s="117"/>
      <c r="H2126" s="117"/>
      <c r="I2126" s="117"/>
      <c r="J2126" s="118"/>
      <c r="K2126" s="118"/>
      <c r="L2126" s="118"/>
      <c r="M2126" s="118"/>
      <c r="N2126" s="117"/>
      <c r="O2126" s="117"/>
      <c r="P2126" s="117"/>
      <c r="Q2126" s="117"/>
      <c r="R2126" s="117"/>
      <c r="S2126" s="117"/>
      <c r="T2126" s="117"/>
      <c r="U2126" s="117"/>
      <c r="V2126" s="117"/>
      <c r="W2126" s="117"/>
      <c r="X2126" s="117"/>
      <c r="Y2126" s="117"/>
      <c r="Z2126" s="117"/>
      <c r="AA2126" s="117"/>
      <c r="AB2126" s="117"/>
      <c r="AC2126" s="117"/>
      <c r="AD2126" s="117"/>
      <c r="AE2126" s="117"/>
      <c r="AF2126" s="117"/>
      <c r="AG2126" s="117"/>
      <c r="AH2126" s="117"/>
      <c r="AI2126" s="117"/>
      <c r="AJ2126" s="117"/>
      <c r="AK2126" s="117"/>
      <c r="AL2126" s="117"/>
      <c r="AM2126" s="117"/>
      <c r="AN2126" s="117"/>
      <c r="AO2126" s="117"/>
      <c r="AP2126" s="117"/>
      <c r="AQ2126" s="117"/>
      <c r="AR2126" s="117"/>
      <c r="AS2126" s="117"/>
      <c r="AT2126" s="117"/>
      <c r="AU2126" s="117"/>
      <c r="AV2126" s="117"/>
      <c r="AW2126" s="117"/>
      <c r="AX2126" s="117"/>
      <c r="AY2126" s="117"/>
      <c r="AZ2126" s="117"/>
      <c r="BA2126" s="117"/>
      <c r="BB2126" s="117"/>
      <c r="BC2126" s="117"/>
      <c r="BD2126" s="117"/>
      <c r="BE2126" s="117"/>
      <c r="BF2126" s="117"/>
      <c r="BG2126" s="117"/>
    </row>
    <row r="2127" spans="1:59">
      <c r="A2127" s="117"/>
      <c r="B2127" s="117"/>
      <c r="C2127" s="117"/>
      <c r="D2127" s="117"/>
      <c r="E2127" s="117"/>
      <c r="F2127" s="117"/>
      <c r="G2127" s="117"/>
      <c r="H2127" s="117"/>
      <c r="I2127" s="117"/>
      <c r="J2127" s="118"/>
      <c r="K2127" s="118"/>
      <c r="L2127" s="118"/>
      <c r="M2127" s="118"/>
      <c r="N2127" s="117"/>
      <c r="O2127" s="117"/>
      <c r="P2127" s="117"/>
      <c r="Q2127" s="117"/>
      <c r="R2127" s="117"/>
      <c r="S2127" s="117"/>
      <c r="T2127" s="117"/>
      <c r="U2127" s="117"/>
      <c r="V2127" s="117"/>
      <c r="W2127" s="117"/>
      <c r="X2127" s="117"/>
      <c r="Y2127" s="117"/>
      <c r="Z2127" s="117"/>
      <c r="AA2127" s="117"/>
      <c r="AB2127" s="117"/>
      <c r="AC2127" s="117"/>
      <c r="AD2127" s="117"/>
      <c r="AE2127" s="117"/>
      <c r="AF2127" s="117"/>
      <c r="AG2127" s="117"/>
      <c r="AH2127" s="117"/>
      <c r="AI2127" s="117"/>
      <c r="AJ2127" s="117"/>
      <c r="AK2127" s="117"/>
      <c r="AL2127" s="117"/>
      <c r="AM2127" s="117"/>
      <c r="AN2127" s="117"/>
      <c r="AO2127" s="117"/>
      <c r="AP2127" s="117"/>
      <c r="AQ2127" s="117"/>
      <c r="AR2127" s="117"/>
      <c r="AS2127" s="117"/>
      <c r="AT2127" s="117"/>
      <c r="AU2127" s="117"/>
      <c r="AV2127" s="117"/>
      <c r="AW2127" s="117"/>
      <c r="AX2127" s="117"/>
      <c r="AY2127" s="117"/>
      <c r="AZ2127" s="117"/>
      <c r="BA2127" s="117"/>
      <c r="BB2127" s="117"/>
      <c r="BC2127" s="117"/>
      <c r="BD2127" s="117"/>
      <c r="BE2127" s="117"/>
      <c r="BF2127" s="117"/>
      <c r="BG2127" s="117"/>
    </row>
    <row r="2128" spans="1:59">
      <c r="A2128" s="117"/>
      <c r="B2128" s="117"/>
      <c r="C2128" s="117"/>
      <c r="D2128" s="117"/>
      <c r="E2128" s="117"/>
      <c r="F2128" s="117"/>
      <c r="G2128" s="117"/>
      <c r="H2128" s="117"/>
      <c r="I2128" s="117"/>
      <c r="J2128" s="118"/>
      <c r="K2128" s="118"/>
      <c r="L2128" s="118"/>
      <c r="M2128" s="118"/>
      <c r="N2128" s="117"/>
      <c r="O2128" s="117"/>
      <c r="P2128" s="117"/>
      <c r="Q2128" s="117"/>
      <c r="R2128" s="117"/>
      <c r="S2128" s="117"/>
      <c r="T2128" s="117"/>
      <c r="U2128" s="117"/>
      <c r="V2128" s="117"/>
      <c r="W2128" s="117"/>
      <c r="X2128" s="117"/>
      <c r="Y2128" s="117"/>
      <c r="Z2128" s="117"/>
      <c r="AA2128" s="117"/>
      <c r="AB2128" s="117"/>
      <c r="AC2128" s="117"/>
      <c r="AD2128" s="117"/>
      <c r="AE2128" s="117"/>
      <c r="AF2128" s="117"/>
      <c r="AG2128" s="117"/>
      <c r="AH2128" s="117"/>
      <c r="AI2128" s="117"/>
      <c r="AJ2128" s="117"/>
      <c r="AK2128" s="117"/>
      <c r="AL2128" s="117"/>
      <c r="AM2128" s="117"/>
      <c r="AN2128" s="117"/>
      <c r="AO2128" s="117"/>
      <c r="AP2128" s="117"/>
      <c r="AQ2128" s="117"/>
      <c r="AR2128" s="117"/>
      <c r="AS2128" s="117"/>
      <c r="AT2128" s="117"/>
      <c r="AU2128" s="117"/>
      <c r="AV2128" s="117"/>
      <c r="AW2128" s="117"/>
      <c r="AX2128" s="117"/>
      <c r="AY2128" s="117"/>
      <c r="AZ2128" s="117"/>
      <c r="BA2128" s="117"/>
      <c r="BB2128" s="117"/>
      <c r="BC2128" s="117"/>
      <c r="BD2128" s="117"/>
      <c r="BE2128" s="117"/>
      <c r="BF2128" s="117"/>
      <c r="BG2128" s="117"/>
    </row>
    <row r="2129" spans="1:59">
      <c r="A2129" s="117"/>
      <c r="B2129" s="117"/>
      <c r="C2129" s="117"/>
      <c r="D2129" s="117"/>
      <c r="E2129" s="117"/>
      <c r="F2129" s="117"/>
      <c r="G2129" s="117"/>
      <c r="H2129" s="117"/>
      <c r="I2129" s="117"/>
      <c r="J2129" s="118"/>
      <c r="K2129" s="118"/>
      <c r="L2129" s="118"/>
      <c r="M2129" s="118"/>
      <c r="N2129" s="117"/>
      <c r="O2129" s="117"/>
      <c r="P2129" s="117"/>
      <c r="Q2129" s="117"/>
      <c r="R2129" s="117"/>
      <c r="S2129" s="117"/>
      <c r="T2129" s="117"/>
      <c r="U2129" s="117"/>
      <c r="V2129" s="117"/>
      <c r="W2129" s="117"/>
      <c r="X2129" s="117"/>
      <c r="Y2129" s="117"/>
      <c r="Z2129" s="117"/>
      <c r="AA2129" s="117"/>
      <c r="AB2129" s="117"/>
      <c r="AC2129" s="117"/>
      <c r="AD2129" s="117"/>
      <c r="AE2129" s="117"/>
      <c r="AF2129" s="117"/>
      <c r="AG2129" s="117"/>
      <c r="AH2129" s="117"/>
      <c r="AI2129" s="117"/>
      <c r="AJ2129" s="117"/>
      <c r="AK2129" s="117"/>
      <c r="AL2129" s="117"/>
      <c r="AM2129" s="117"/>
      <c r="AN2129" s="117"/>
      <c r="AO2129" s="117"/>
      <c r="AP2129" s="117"/>
      <c r="AQ2129" s="117"/>
      <c r="AR2129" s="117"/>
      <c r="AS2129" s="117"/>
      <c r="AT2129" s="117"/>
      <c r="AU2129" s="117"/>
      <c r="AV2129" s="117"/>
      <c r="AW2129" s="117"/>
      <c r="AX2129" s="117"/>
      <c r="AY2129" s="117"/>
      <c r="AZ2129" s="117"/>
      <c r="BA2129" s="117"/>
      <c r="BB2129" s="117"/>
      <c r="BC2129" s="117"/>
      <c r="BD2129" s="117"/>
      <c r="BE2129" s="117"/>
      <c r="BF2129" s="117"/>
      <c r="BG2129" s="117"/>
    </row>
    <row r="2130" spans="1:59">
      <c r="A2130" s="117"/>
      <c r="B2130" s="117"/>
      <c r="C2130" s="117"/>
      <c r="D2130" s="117"/>
      <c r="E2130" s="117"/>
      <c r="F2130" s="117"/>
      <c r="G2130" s="117"/>
      <c r="H2130" s="117"/>
      <c r="I2130" s="117"/>
      <c r="J2130" s="118"/>
      <c r="K2130" s="118"/>
      <c r="L2130" s="118"/>
      <c r="M2130" s="118"/>
      <c r="N2130" s="117"/>
      <c r="O2130" s="117"/>
      <c r="P2130" s="117"/>
      <c r="Q2130" s="117"/>
      <c r="R2130" s="117"/>
      <c r="S2130" s="117"/>
      <c r="T2130" s="117"/>
      <c r="U2130" s="117"/>
      <c r="V2130" s="117"/>
      <c r="W2130" s="117"/>
      <c r="X2130" s="117"/>
      <c r="Y2130" s="117"/>
      <c r="Z2130" s="117"/>
      <c r="AA2130" s="117"/>
      <c r="AB2130" s="117"/>
      <c r="AC2130" s="117"/>
      <c r="AD2130" s="117"/>
      <c r="AE2130" s="117"/>
      <c r="AF2130" s="117"/>
      <c r="AG2130" s="117"/>
      <c r="AH2130" s="117"/>
      <c r="AI2130" s="117"/>
      <c r="AJ2130" s="117"/>
      <c r="AK2130" s="117"/>
      <c r="AL2130" s="117"/>
      <c r="AM2130" s="117"/>
      <c r="AN2130" s="117"/>
      <c r="AO2130" s="117"/>
      <c r="AP2130" s="117"/>
      <c r="AQ2130" s="117"/>
      <c r="AR2130" s="117"/>
      <c r="AS2130" s="117"/>
      <c r="AT2130" s="117"/>
      <c r="AU2130" s="117"/>
      <c r="AV2130" s="117"/>
      <c r="AW2130" s="117"/>
      <c r="AX2130" s="117"/>
      <c r="AY2130" s="117"/>
      <c r="AZ2130" s="117"/>
      <c r="BA2130" s="117"/>
      <c r="BB2130" s="117"/>
      <c r="BC2130" s="117"/>
      <c r="BD2130" s="117"/>
      <c r="BE2130" s="117"/>
      <c r="BF2130" s="117"/>
      <c r="BG2130" s="117"/>
    </row>
    <row r="2131" spans="1:59">
      <c r="A2131" s="117"/>
      <c r="B2131" s="117"/>
      <c r="C2131" s="117"/>
      <c r="D2131" s="117"/>
      <c r="E2131" s="117"/>
      <c r="F2131" s="117"/>
      <c r="G2131" s="117"/>
      <c r="H2131" s="117"/>
      <c r="I2131" s="117"/>
      <c r="J2131" s="118"/>
      <c r="K2131" s="118"/>
      <c r="L2131" s="118"/>
      <c r="M2131" s="118"/>
      <c r="N2131" s="117"/>
      <c r="O2131" s="117"/>
      <c r="P2131" s="117"/>
      <c r="Q2131" s="117"/>
      <c r="R2131" s="117"/>
      <c r="S2131" s="117"/>
      <c r="T2131" s="117"/>
      <c r="U2131" s="117"/>
      <c r="V2131" s="117"/>
      <c r="W2131" s="117"/>
      <c r="X2131" s="117"/>
      <c r="Y2131" s="117"/>
      <c r="Z2131" s="117"/>
      <c r="AA2131" s="117"/>
      <c r="AB2131" s="117"/>
      <c r="AC2131" s="117"/>
      <c r="AD2131" s="117"/>
      <c r="AE2131" s="117"/>
      <c r="AF2131" s="117"/>
      <c r="AG2131" s="117"/>
      <c r="AH2131" s="117"/>
      <c r="AI2131" s="117"/>
      <c r="AJ2131" s="117"/>
      <c r="AK2131" s="117"/>
      <c r="AL2131" s="117"/>
      <c r="AM2131" s="117"/>
      <c r="AN2131" s="117"/>
      <c r="AO2131" s="117"/>
      <c r="AP2131" s="117"/>
      <c r="AQ2131" s="117"/>
      <c r="AR2131" s="117"/>
      <c r="AS2131" s="117"/>
      <c r="AT2131" s="117"/>
      <c r="AU2131" s="117"/>
      <c r="AV2131" s="117"/>
      <c r="AW2131" s="117"/>
      <c r="AX2131" s="117"/>
      <c r="AY2131" s="117"/>
      <c r="AZ2131" s="117"/>
      <c r="BA2131" s="117"/>
      <c r="BB2131" s="117"/>
      <c r="BC2131" s="117"/>
      <c r="BD2131" s="117"/>
      <c r="BE2131" s="117"/>
      <c r="BF2131" s="117"/>
      <c r="BG2131" s="117"/>
    </row>
    <row r="2132" spans="1:59">
      <c r="A2132" s="117"/>
      <c r="B2132" s="117"/>
      <c r="C2132" s="117"/>
      <c r="D2132" s="117"/>
      <c r="E2132" s="117"/>
      <c r="F2132" s="117"/>
      <c r="G2132" s="117"/>
      <c r="H2132" s="117"/>
      <c r="I2132" s="117"/>
      <c r="J2132" s="118"/>
      <c r="K2132" s="118"/>
      <c r="L2132" s="118"/>
      <c r="M2132" s="118"/>
      <c r="N2132" s="117"/>
      <c r="O2132" s="117"/>
      <c r="P2132" s="117"/>
      <c r="Q2132" s="117"/>
      <c r="R2132" s="117"/>
      <c r="S2132" s="117"/>
      <c r="T2132" s="117"/>
      <c r="U2132" s="117"/>
      <c r="V2132" s="117"/>
      <c r="W2132" s="117"/>
      <c r="X2132" s="117"/>
      <c r="Y2132" s="117"/>
      <c r="Z2132" s="117"/>
      <c r="AA2132" s="117"/>
      <c r="AB2132" s="117"/>
      <c r="AC2132" s="117"/>
      <c r="AD2132" s="117"/>
      <c r="AE2132" s="117"/>
      <c r="AF2132" s="117"/>
      <c r="AG2132" s="117"/>
      <c r="AH2132" s="117"/>
      <c r="AI2132" s="117"/>
      <c r="AJ2132" s="117"/>
      <c r="AK2132" s="117"/>
      <c r="AL2132" s="117"/>
      <c r="AM2132" s="117"/>
      <c r="AN2132" s="117"/>
      <c r="AO2132" s="117"/>
      <c r="AP2132" s="117"/>
      <c r="AQ2132" s="117"/>
      <c r="AR2132" s="117"/>
      <c r="AS2132" s="117"/>
      <c r="AT2132" s="117"/>
      <c r="AU2132" s="117"/>
      <c r="AV2132" s="117"/>
      <c r="AW2132" s="117"/>
      <c r="AX2132" s="117"/>
      <c r="AY2132" s="117"/>
      <c r="AZ2132" s="117"/>
      <c r="BA2132" s="117"/>
      <c r="BB2132" s="117"/>
      <c r="BC2132" s="117"/>
      <c r="BD2132" s="117"/>
      <c r="BE2132" s="117"/>
      <c r="BF2132" s="117"/>
      <c r="BG2132" s="117"/>
    </row>
    <row r="2133" spans="1:59">
      <c r="A2133" s="117"/>
      <c r="B2133" s="117"/>
      <c r="C2133" s="117"/>
      <c r="D2133" s="117"/>
      <c r="E2133" s="117"/>
      <c r="F2133" s="117"/>
      <c r="G2133" s="117"/>
      <c r="H2133" s="117"/>
      <c r="I2133" s="117"/>
      <c r="J2133" s="118"/>
      <c r="K2133" s="118"/>
      <c r="L2133" s="118"/>
      <c r="M2133" s="118"/>
      <c r="N2133" s="117"/>
      <c r="O2133" s="117"/>
      <c r="P2133" s="117"/>
      <c r="Q2133" s="117"/>
      <c r="R2133" s="117"/>
      <c r="S2133" s="117"/>
      <c r="T2133" s="117"/>
      <c r="U2133" s="117"/>
      <c r="V2133" s="117"/>
      <c r="W2133" s="117"/>
      <c r="X2133" s="117"/>
      <c r="Y2133" s="117"/>
      <c r="Z2133" s="117"/>
      <c r="AA2133" s="117"/>
      <c r="AB2133" s="117"/>
      <c r="AC2133" s="117"/>
      <c r="AD2133" s="117"/>
      <c r="AE2133" s="117"/>
      <c r="AF2133" s="117"/>
      <c r="AG2133" s="117"/>
      <c r="AH2133" s="117"/>
      <c r="AI2133" s="117"/>
      <c r="AJ2133" s="117"/>
      <c r="AK2133" s="117"/>
      <c r="AL2133" s="117"/>
      <c r="AM2133" s="117"/>
      <c r="AN2133" s="117"/>
      <c r="AO2133" s="117"/>
      <c r="AP2133" s="117"/>
      <c r="AQ2133" s="117"/>
      <c r="AR2133" s="117"/>
      <c r="AS2133" s="117"/>
      <c r="AT2133" s="117"/>
      <c r="AU2133" s="117"/>
      <c r="AV2133" s="117"/>
      <c r="AW2133" s="117"/>
      <c r="AX2133" s="117"/>
      <c r="AY2133" s="117"/>
      <c r="AZ2133" s="117"/>
      <c r="BA2133" s="117"/>
      <c r="BB2133" s="117"/>
      <c r="BC2133" s="117"/>
      <c r="BD2133" s="117"/>
      <c r="BE2133" s="117"/>
      <c r="BF2133" s="117"/>
      <c r="BG2133" s="117"/>
    </row>
    <row r="2134" spans="1:59">
      <c r="A2134" s="117"/>
      <c r="B2134" s="117"/>
      <c r="C2134" s="117"/>
      <c r="D2134" s="117"/>
      <c r="E2134" s="117"/>
      <c r="F2134" s="117"/>
      <c r="G2134" s="117"/>
      <c r="H2134" s="117"/>
      <c r="I2134" s="117"/>
      <c r="J2134" s="118"/>
      <c r="K2134" s="118"/>
      <c r="L2134" s="118"/>
      <c r="M2134" s="118"/>
      <c r="N2134" s="117"/>
      <c r="O2134" s="117"/>
      <c r="P2134" s="117"/>
      <c r="Q2134" s="117"/>
      <c r="R2134" s="117"/>
      <c r="S2134" s="117"/>
      <c r="T2134" s="117"/>
      <c r="U2134" s="117"/>
      <c r="V2134" s="117"/>
      <c r="W2134" s="117"/>
      <c r="X2134" s="117"/>
      <c r="Y2134" s="117"/>
      <c r="Z2134" s="117"/>
      <c r="AA2134" s="117"/>
      <c r="AB2134" s="117"/>
      <c r="AC2134" s="117"/>
      <c r="AD2134" s="117"/>
      <c r="AE2134" s="117"/>
      <c r="AF2134" s="117"/>
      <c r="AG2134" s="117"/>
      <c r="AH2134" s="117"/>
      <c r="AI2134" s="117"/>
      <c r="AJ2134" s="117"/>
      <c r="AK2134" s="117"/>
      <c r="AL2134" s="117"/>
      <c r="AM2134" s="117"/>
      <c r="AN2134" s="117"/>
      <c r="AO2134" s="117"/>
      <c r="AP2134" s="117"/>
      <c r="AQ2134" s="117"/>
      <c r="AR2134" s="117"/>
      <c r="AS2134" s="117"/>
      <c r="AT2134" s="117"/>
      <c r="AU2134" s="117"/>
      <c r="AV2134" s="117"/>
      <c r="AW2134" s="117"/>
      <c r="AX2134" s="117"/>
      <c r="AY2134" s="117"/>
      <c r="AZ2134" s="117"/>
      <c r="BA2134" s="117"/>
      <c r="BB2134" s="117"/>
      <c r="BC2134" s="117"/>
      <c r="BD2134" s="117"/>
      <c r="BE2134" s="117"/>
      <c r="BF2134" s="117"/>
      <c r="BG2134" s="117"/>
    </row>
    <row r="2135" spans="1:59">
      <c r="A2135" s="117"/>
      <c r="B2135" s="117"/>
      <c r="C2135" s="117"/>
      <c r="D2135" s="117"/>
      <c r="E2135" s="117"/>
      <c r="F2135" s="117"/>
      <c r="G2135" s="117"/>
      <c r="H2135" s="117"/>
      <c r="I2135" s="117"/>
      <c r="J2135" s="118"/>
      <c r="K2135" s="118"/>
      <c r="L2135" s="118"/>
      <c r="M2135" s="118"/>
      <c r="N2135" s="117"/>
      <c r="O2135" s="117"/>
      <c r="P2135" s="117"/>
      <c r="Q2135" s="117"/>
      <c r="R2135" s="117"/>
      <c r="S2135" s="117"/>
      <c r="T2135" s="117"/>
      <c r="U2135" s="117"/>
      <c r="V2135" s="117"/>
      <c r="W2135" s="117"/>
      <c r="X2135" s="117"/>
      <c r="Y2135" s="117"/>
      <c r="Z2135" s="117"/>
      <c r="AA2135" s="117"/>
      <c r="AB2135" s="117"/>
      <c r="AC2135" s="117"/>
      <c r="AD2135" s="117"/>
      <c r="AE2135" s="117"/>
      <c r="AF2135" s="117"/>
      <c r="AG2135" s="117"/>
      <c r="AH2135" s="117"/>
      <c r="AI2135" s="117"/>
      <c r="AJ2135" s="117"/>
      <c r="AK2135" s="117"/>
      <c r="AL2135" s="117"/>
      <c r="AM2135" s="117"/>
      <c r="AN2135" s="117"/>
      <c r="AO2135" s="117"/>
      <c r="AP2135" s="117"/>
      <c r="AQ2135" s="117"/>
      <c r="AR2135" s="117"/>
      <c r="AS2135" s="117"/>
      <c r="AT2135" s="117"/>
      <c r="AU2135" s="117"/>
      <c r="AV2135" s="117"/>
      <c r="AW2135" s="117"/>
      <c r="AX2135" s="117"/>
      <c r="AY2135" s="117"/>
      <c r="AZ2135" s="117"/>
      <c r="BA2135" s="117"/>
      <c r="BB2135" s="117"/>
      <c r="BC2135" s="117"/>
      <c r="BD2135" s="117"/>
      <c r="BE2135" s="117"/>
      <c r="BF2135" s="117"/>
      <c r="BG2135" s="117"/>
    </row>
    <row r="2136" spans="1:59">
      <c r="A2136" s="117"/>
      <c r="B2136" s="117"/>
      <c r="C2136" s="117"/>
      <c r="D2136" s="117"/>
      <c r="E2136" s="117"/>
      <c r="F2136" s="117"/>
      <c r="G2136" s="117"/>
      <c r="H2136" s="117"/>
      <c r="I2136" s="117"/>
      <c r="J2136" s="118"/>
      <c r="K2136" s="118"/>
      <c r="L2136" s="118"/>
      <c r="M2136" s="118"/>
      <c r="N2136" s="117"/>
      <c r="O2136" s="117"/>
      <c r="P2136" s="117"/>
      <c r="Q2136" s="117"/>
      <c r="R2136" s="117"/>
      <c r="S2136" s="117"/>
      <c r="T2136" s="117"/>
      <c r="U2136" s="117"/>
      <c r="V2136" s="117"/>
      <c r="W2136" s="117"/>
      <c r="X2136" s="117"/>
      <c r="Y2136" s="117"/>
      <c r="Z2136" s="117"/>
      <c r="AA2136" s="117"/>
      <c r="AB2136" s="117"/>
      <c r="AC2136" s="117"/>
      <c r="AD2136" s="117"/>
      <c r="AE2136" s="117"/>
      <c r="AF2136" s="117"/>
      <c r="AG2136" s="117"/>
      <c r="AH2136" s="117"/>
      <c r="AI2136" s="117"/>
      <c r="AJ2136" s="117"/>
      <c r="AK2136" s="117"/>
      <c r="AL2136" s="117"/>
      <c r="AM2136" s="117"/>
      <c r="AN2136" s="117"/>
      <c r="AO2136" s="117"/>
      <c r="AP2136" s="117"/>
      <c r="AQ2136" s="117"/>
      <c r="AR2136" s="117"/>
      <c r="AS2136" s="117"/>
      <c r="AT2136" s="117"/>
      <c r="AU2136" s="117"/>
      <c r="AV2136" s="117"/>
      <c r="AW2136" s="117"/>
      <c r="AX2136" s="117"/>
      <c r="AY2136" s="117"/>
      <c r="AZ2136" s="117"/>
      <c r="BA2136" s="117"/>
      <c r="BB2136" s="117"/>
      <c r="BC2136" s="117"/>
      <c r="BD2136" s="117"/>
      <c r="BE2136" s="117"/>
      <c r="BF2136" s="117"/>
      <c r="BG2136" s="117"/>
    </row>
    <row r="2137" spans="1:59">
      <c r="A2137" s="117"/>
      <c r="B2137" s="117"/>
      <c r="C2137" s="117"/>
      <c r="D2137" s="117"/>
      <c r="E2137" s="117"/>
      <c r="F2137" s="117"/>
      <c r="G2137" s="117"/>
      <c r="H2137" s="117"/>
      <c r="I2137" s="117"/>
      <c r="J2137" s="118"/>
      <c r="K2137" s="118"/>
      <c r="L2137" s="118"/>
      <c r="M2137" s="118"/>
      <c r="N2137" s="117"/>
      <c r="O2137" s="117"/>
      <c r="P2137" s="117"/>
      <c r="Q2137" s="117"/>
      <c r="R2137" s="117"/>
      <c r="S2137" s="117"/>
      <c r="T2137" s="117"/>
      <c r="U2137" s="117"/>
      <c r="V2137" s="117"/>
      <c r="W2137" s="117"/>
      <c r="X2137" s="117"/>
      <c r="Y2137" s="117"/>
      <c r="Z2137" s="117"/>
      <c r="AA2137" s="117"/>
      <c r="AB2137" s="117"/>
      <c r="AC2137" s="117"/>
      <c r="AD2137" s="117"/>
      <c r="AE2137" s="117"/>
      <c r="AF2137" s="117"/>
      <c r="AG2137" s="117"/>
      <c r="AH2137" s="117"/>
      <c r="AI2137" s="117"/>
      <c r="AJ2137" s="117"/>
      <c r="AK2137" s="117"/>
      <c r="AL2137" s="117"/>
      <c r="AM2137" s="117"/>
      <c r="AN2137" s="117"/>
      <c r="AO2137" s="117"/>
      <c r="AP2137" s="117"/>
      <c r="AQ2137" s="117"/>
      <c r="AR2137" s="117"/>
      <c r="AS2137" s="117"/>
      <c r="AT2137" s="117"/>
      <c r="AU2137" s="117"/>
      <c r="AV2137" s="117"/>
      <c r="AW2137" s="117"/>
      <c r="AX2137" s="117"/>
      <c r="AY2137" s="117"/>
      <c r="AZ2137" s="117"/>
      <c r="BA2137" s="117"/>
      <c r="BB2137" s="117"/>
      <c r="BC2137" s="117"/>
      <c r="BD2137" s="117"/>
      <c r="BE2137" s="117"/>
      <c r="BF2137" s="117"/>
      <c r="BG2137" s="117"/>
    </row>
    <row r="2138" spans="1:59">
      <c r="A2138" s="117"/>
      <c r="B2138" s="117"/>
      <c r="C2138" s="117"/>
      <c r="D2138" s="117"/>
      <c r="E2138" s="117"/>
      <c r="F2138" s="117"/>
      <c r="G2138" s="117"/>
      <c r="H2138" s="117"/>
      <c r="I2138" s="117"/>
      <c r="J2138" s="118"/>
      <c r="K2138" s="118"/>
      <c r="L2138" s="118"/>
      <c r="M2138" s="118"/>
      <c r="N2138" s="117"/>
      <c r="O2138" s="117"/>
      <c r="P2138" s="117"/>
      <c r="Q2138" s="117"/>
      <c r="R2138" s="117"/>
      <c r="S2138" s="117"/>
      <c r="T2138" s="117"/>
      <c r="U2138" s="117"/>
      <c r="V2138" s="117"/>
      <c r="W2138" s="117"/>
      <c r="X2138" s="117"/>
      <c r="Y2138" s="117"/>
      <c r="Z2138" s="117"/>
      <c r="AA2138" s="117"/>
      <c r="AB2138" s="117"/>
      <c r="AC2138" s="117"/>
      <c r="AD2138" s="117"/>
      <c r="AE2138" s="117"/>
      <c r="AF2138" s="117"/>
      <c r="AG2138" s="117"/>
      <c r="AH2138" s="117"/>
      <c r="AI2138" s="117"/>
      <c r="AJ2138" s="117"/>
      <c r="AK2138" s="117"/>
      <c r="AL2138" s="117"/>
      <c r="AM2138" s="117"/>
      <c r="AN2138" s="117"/>
      <c r="AO2138" s="117"/>
      <c r="AP2138" s="117"/>
      <c r="AQ2138" s="117"/>
      <c r="AR2138" s="117"/>
      <c r="AS2138" s="117"/>
      <c r="AT2138" s="117"/>
      <c r="AU2138" s="117"/>
      <c r="AV2138" s="117"/>
      <c r="AW2138" s="117"/>
      <c r="AX2138" s="117"/>
      <c r="AY2138" s="117"/>
      <c r="AZ2138" s="117"/>
      <c r="BA2138" s="117"/>
      <c r="BB2138" s="117"/>
      <c r="BC2138" s="117"/>
      <c r="BD2138" s="117"/>
      <c r="BE2138" s="117"/>
      <c r="BF2138" s="117"/>
      <c r="BG2138" s="117"/>
    </row>
    <row r="2139" spans="1:59">
      <c r="A2139" s="117"/>
      <c r="B2139" s="117"/>
      <c r="C2139" s="117"/>
      <c r="D2139" s="117"/>
      <c r="E2139" s="117"/>
      <c r="F2139" s="117"/>
      <c r="G2139" s="117"/>
      <c r="H2139" s="117"/>
      <c r="I2139" s="117"/>
      <c r="J2139" s="118"/>
      <c r="K2139" s="118"/>
      <c r="L2139" s="118"/>
      <c r="M2139" s="118"/>
      <c r="N2139" s="117"/>
      <c r="O2139" s="117"/>
      <c r="P2139" s="117"/>
      <c r="Q2139" s="117"/>
      <c r="R2139" s="117"/>
      <c r="S2139" s="117"/>
      <c r="T2139" s="117"/>
      <c r="U2139" s="117"/>
      <c r="V2139" s="117"/>
      <c r="W2139" s="117"/>
      <c r="X2139" s="117"/>
      <c r="Y2139" s="117"/>
      <c r="Z2139" s="117"/>
      <c r="AA2139" s="117"/>
      <c r="AB2139" s="117"/>
      <c r="AC2139" s="117"/>
      <c r="AD2139" s="117"/>
      <c r="AE2139" s="117"/>
      <c r="AF2139" s="117"/>
      <c r="AG2139" s="117"/>
      <c r="AH2139" s="117"/>
      <c r="AI2139" s="117"/>
      <c r="AJ2139" s="117"/>
      <c r="AK2139" s="117"/>
      <c r="AL2139" s="117"/>
      <c r="AM2139" s="117"/>
      <c r="AN2139" s="117"/>
      <c r="AO2139" s="117"/>
      <c r="AP2139" s="117"/>
      <c r="AQ2139" s="117"/>
      <c r="AR2139" s="117"/>
      <c r="AS2139" s="117"/>
      <c r="AT2139" s="117"/>
      <c r="AU2139" s="117"/>
      <c r="AV2139" s="117"/>
      <c r="AW2139" s="117"/>
      <c r="AX2139" s="117"/>
      <c r="AY2139" s="117"/>
      <c r="AZ2139" s="117"/>
      <c r="BA2139" s="117"/>
      <c r="BB2139" s="117"/>
      <c r="BC2139" s="117"/>
      <c r="BD2139" s="117"/>
      <c r="BE2139" s="117"/>
      <c r="BF2139" s="117"/>
      <c r="BG2139" s="117"/>
    </row>
    <row r="2140" spans="1:59">
      <c r="A2140" s="117"/>
      <c r="B2140" s="117"/>
      <c r="C2140" s="117"/>
      <c r="D2140" s="117"/>
      <c r="E2140" s="117"/>
      <c r="F2140" s="117"/>
      <c r="G2140" s="117"/>
      <c r="H2140" s="117"/>
      <c r="I2140" s="117"/>
      <c r="J2140" s="118"/>
      <c r="K2140" s="118"/>
      <c r="L2140" s="118"/>
      <c r="M2140" s="118"/>
      <c r="N2140" s="117"/>
      <c r="O2140" s="117"/>
      <c r="P2140" s="117"/>
      <c r="Q2140" s="117"/>
      <c r="R2140" s="117"/>
      <c r="S2140" s="117"/>
      <c r="T2140" s="117"/>
      <c r="U2140" s="117"/>
      <c r="V2140" s="117"/>
      <c r="W2140" s="117"/>
      <c r="X2140" s="117"/>
      <c r="Y2140" s="117"/>
      <c r="Z2140" s="117"/>
      <c r="AA2140" s="117"/>
      <c r="AB2140" s="117"/>
      <c r="AC2140" s="117"/>
      <c r="AD2140" s="117"/>
      <c r="AE2140" s="117"/>
      <c r="AF2140" s="117"/>
      <c r="AG2140" s="117"/>
      <c r="AH2140" s="117"/>
      <c r="AI2140" s="117"/>
      <c r="AJ2140" s="117"/>
      <c r="AK2140" s="117"/>
      <c r="AL2140" s="117"/>
      <c r="AM2140" s="117"/>
      <c r="AN2140" s="117"/>
      <c r="AO2140" s="117"/>
      <c r="AP2140" s="117"/>
      <c r="AQ2140" s="117"/>
      <c r="AR2140" s="117"/>
      <c r="AS2140" s="117"/>
      <c r="AT2140" s="117"/>
      <c r="AU2140" s="117"/>
      <c r="AV2140" s="117"/>
      <c r="AW2140" s="117"/>
      <c r="AX2140" s="117"/>
      <c r="AY2140" s="117"/>
      <c r="AZ2140" s="117"/>
      <c r="BA2140" s="117"/>
      <c r="BB2140" s="117"/>
      <c r="BC2140" s="117"/>
      <c r="BD2140" s="117"/>
      <c r="BE2140" s="117"/>
      <c r="BF2140" s="117"/>
      <c r="BG2140" s="117"/>
    </row>
    <row r="2141" spans="1:59">
      <c r="A2141" s="117"/>
      <c r="B2141" s="117"/>
      <c r="C2141" s="117"/>
      <c r="D2141" s="117"/>
      <c r="E2141" s="117"/>
      <c r="F2141" s="117"/>
      <c r="G2141" s="117"/>
      <c r="H2141" s="117"/>
      <c r="I2141" s="117"/>
      <c r="J2141" s="118"/>
      <c r="K2141" s="118"/>
      <c r="L2141" s="118"/>
      <c r="M2141" s="118"/>
      <c r="N2141" s="117"/>
      <c r="O2141" s="117"/>
      <c r="P2141" s="117"/>
      <c r="Q2141" s="117"/>
      <c r="R2141" s="117"/>
      <c r="S2141" s="117"/>
      <c r="T2141" s="117"/>
      <c r="U2141" s="117"/>
      <c r="V2141" s="117"/>
      <c r="W2141" s="117"/>
      <c r="X2141" s="117"/>
      <c r="Y2141" s="117"/>
      <c r="Z2141" s="117"/>
      <c r="AA2141" s="117"/>
      <c r="AB2141" s="117"/>
      <c r="AC2141" s="117"/>
      <c r="AD2141" s="117"/>
      <c r="AE2141" s="117"/>
      <c r="AF2141" s="117"/>
      <c r="AG2141" s="117"/>
      <c r="AH2141" s="117"/>
      <c r="AI2141" s="117"/>
      <c r="AJ2141" s="117"/>
      <c r="AK2141" s="117"/>
      <c r="AL2141" s="117"/>
      <c r="AM2141" s="117"/>
      <c r="AN2141" s="117"/>
      <c r="AO2141" s="117"/>
      <c r="AP2141" s="117"/>
      <c r="AQ2141" s="117"/>
      <c r="AR2141" s="117"/>
      <c r="AS2141" s="117"/>
      <c r="AT2141" s="117"/>
      <c r="AU2141" s="117"/>
      <c r="AV2141" s="117"/>
      <c r="AW2141" s="117"/>
      <c r="AX2141" s="117"/>
      <c r="AY2141" s="117"/>
      <c r="AZ2141" s="117"/>
      <c r="BA2141" s="117"/>
      <c r="BB2141" s="117"/>
      <c r="BC2141" s="117"/>
      <c r="BD2141" s="117"/>
      <c r="BE2141" s="117"/>
      <c r="BF2141" s="117"/>
      <c r="BG2141" s="117"/>
    </row>
    <row r="2142" spans="1:59">
      <c r="A2142" s="117"/>
      <c r="B2142" s="117"/>
      <c r="C2142" s="117"/>
      <c r="D2142" s="117"/>
      <c r="E2142" s="117"/>
      <c r="F2142" s="117"/>
      <c r="G2142" s="117"/>
      <c r="H2142" s="117"/>
      <c r="I2142" s="117"/>
      <c r="J2142" s="118"/>
      <c r="K2142" s="118"/>
      <c r="L2142" s="118"/>
      <c r="M2142" s="118"/>
      <c r="N2142" s="117"/>
      <c r="O2142" s="117"/>
      <c r="P2142" s="117"/>
      <c r="Q2142" s="117"/>
      <c r="R2142" s="117"/>
      <c r="S2142" s="117"/>
      <c r="T2142" s="117"/>
      <c r="U2142" s="117"/>
      <c r="V2142" s="117"/>
      <c r="W2142" s="117"/>
      <c r="X2142" s="117"/>
      <c r="Y2142" s="117"/>
      <c r="Z2142" s="117"/>
      <c r="AA2142" s="117"/>
      <c r="AB2142" s="117"/>
      <c r="AC2142" s="117"/>
      <c r="AD2142" s="117"/>
      <c r="AE2142" s="117"/>
      <c r="AF2142" s="117"/>
      <c r="AG2142" s="117"/>
      <c r="AH2142" s="117"/>
      <c r="AI2142" s="117"/>
      <c r="AJ2142" s="117"/>
      <c r="AK2142" s="117"/>
      <c r="AL2142" s="117"/>
      <c r="AM2142" s="117"/>
      <c r="AN2142" s="117"/>
      <c r="AO2142" s="117"/>
      <c r="AP2142" s="117"/>
      <c r="AQ2142" s="117"/>
      <c r="AR2142" s="117"/>
      <c r="AS2142" s="117"/>
      <c r="AT2142" s="117"/>
      <c r="AU2142" s="117"/>
      <c r="AV2142" s="117"/>
      <c r="AW2142" s="117"/>
      <c r="AX2142" s="117"/>
      <c r="AY2142" s="117"/>
      <c r="AZ2142" s="117"/>
      <c r="BA2142" s="117"/>
      <c r="BB2142" s="117"/>
      <c r="BC2142" s="117"/>
      <c r="BD2142" s="117"/>
      <c r="BE2142" s="117"/>
      <c r="BF2142" s="117"/>
      <c r="BG2142" s="117"/>
    </row>
    <row r="2143" spans="1:59">
      <c r="A2143" s="117"/>
      <c r="B2143" s="117"/>
      <c r="C2143" s="117"/>
      <c r="D2143" s="117"/>
      <c r="E2143" s="117"/>
      <c r="F2143" s="117"/>
      <c r="G2143" s="117"/>
      <c r="H2143" s="117"/>
      <c r="I2143" s="117"/>
      <c r="J2143" s="118"/>
      <c r="K2143" s="118"/>
      <c r="L2143" s="118"/>
      <c r="M2143" s="118"/>
      <c r="N2143" s="117"/>
      <c r="O2143" s="117"/>
      <c r="P2143" s="117"/>
      <c r="Q2143" s="117"/>
      <c r="R2143" s="117"/>
      <c r="S2143" s="117"/>
      <c r="T2143" s="117"/>
      <c r="U2143" s="117"/>
      <c r="V2143" s="117"/>
      <c r="W2143" s="117"/>
      <c r="X2143" s="117"/>
      <c r="Y2143" s="117"/>
      <c r="Z2143" s="117"/>
      <c r="AA2143" s="117"/>
      <c r="AB2143" s="117"/>
      <c r="AC2143" s="117"/>
      <c r="AD2143" s="117"/>
      <c r="AE2143" s="117"/>
      <c r="AF2143" s="117"/>
      <c r="AG2143" s="117"/>
      <c r="AH2143" s="117"/>
      <c r="AI2143" s="117"/>
      <c r="AJ2143" s="117"/>
      <c r="AK2143" s="117"/>
      <c r="AL2143" s="117"/>
      <c r="AM2143" s="117"/>
      <c r="AN2143" s="117"/>
      <c r="AO2143" s="117"/>
      <c r="AP2143" s="117"/>
      <c r="AQ2143" s="117"/>
      <c r="AR2143" s="117"/>
      <c r="AS2143" s="117"/>
      <c r="AT2143" s="117"/>
      <c r="AU2143" s="117"/>
      <c r="AV2143" s="117"/>
      <c r="AW2143" s="117"/>
      <c r="AX2143" s="117"/>
      <c r="AY2143" s="117"/>
      <c r="AZ2143" s="117"/>
      <c r="BA2143" s="117"/>
      <c r="BB2143" s="117"/>
      <c r="BC2143" s="117"/>
      <c r="BD2143" s="117"/>
      <c r="BE2143" s="117"/>
      <c r="BF2143" s="117"/>
      <c r="BG2143" s="117"/>
    </row>
    <row r="2144" spans="1:59">
      <c r="A2144" s="117"/>
      <c r="B2144" s="117"/>
      <c r="C2144" s="117"/>
      <c r="D2144" s="117"/>
      <c r="E2144" s="117"/>
      <c r="F2144" s="117"/>
      <c r="G2144" s="117"/>
      <c r="H2144" s="117"/>
      <c r="I2144" s="117"/>
      <c r="J2144" s="118"/>
      <c r="K2144" s="118"/>
      <c r="L2144" s="118"/>
      <c r="M2144" s="118"/>
      <c r="N2144" s="117"/>
      <c r="O2144" s="117"/>
      <c r="P2144" s="117"/>
      <c r="Q2144" s="117"/>
      <c r="R2144" s="117"/>
      <c r="S2144" s="117"/>
      <c r="T2144" s="117"/>
      <c r="U2144" s="117"/>
      <c r="V2144" s="117"/>
      <c r="W2144" s="117"/>
      <c r="X2144" s="117"/>
      <c r="Y2144" s="117"/>
      <c r="Z2144" s="117"/>
      <c r="AA2144" s="117"/>
      <c r="AB2144" s="117"/>
      <c r="AC2144" s="117"/>
      <c r="AD2144" s="117"/>
      <c r="AE2144" s="117"/>
      <c r="AF2144" s="117"/>
      <c r="AG2144" s="117"/>
      <c r="AH2144" s="117"/>
      <c r="AI2144" s="117"/>
      <c r="AJ2144" s="117"/>
      <c r="AK2144" s="117"/>
      <c r="AL2144" s="117"/>
      <c r="AM2144" s="117"/>
      <c r="AN2144" s="117"/>
      <c r="AO2144" s="117"/>
      <c r="AP2144" s="117"/>
      <c r="AQ2144" s="117"/>
      <c r="AR2144" s="117"/>
      <c r="AS2144" s="117"/>
      <c r="AT2144" s="117"/>
      <c r="AU2144" s="117"/>
      <c r="AV2144" s="117"/>
      <c r="AW2144" s="117"/>
      <c r="AX2144" s="117"/>
      <c r="AY2144" s="117"/>
      <c r="AZ2144" s="117"/>
      <c r="BA2144" s="117"/>
      <c r="BB2144" s="117"/>
      <c r="BC2144" s="117"/>
      <c r="BD2144" s="117"/>
      <c r="BE2144" s="117"/>
      <c r="BF2144" s="117"/>
      <c r="BG2144" s="117"/>
    </row>
    <row r="2145" spans="1:59">
      <c r="A2145" s="117"/>
      <c r="B2145" s="117"/>
      <c r="C2145" s="117"/>
      <c r="D2145" s="117"/>
      <c r="E2145" s="117"/>
      <c r="F2145" s="117"/>
      <c r="G2145" s="117"/>
      <c r="H2145" s="117"/>
      <c r="I2145" s="117"/>
      <c r="J2145" s="118"/>
      <c r="K2145" s="118"/>
      <c r="L2145" s="118"/>
      <c r="M2145" s="118"/>
      <c r="N2145" s="117"/>
      <c r="O2145" s="117"/>
      <c r="P2145" s="117"/>
      <c r="Q2145" s="117"/>
      <c r="R2145" s="117"/>
      <c r="S2145" s="117"/>
      <c r="T2145" s="117"/>
      <c r="U2145" s="117"/>
      <c r="V2145" s="117"/>
      <c r="W2145" s="117"/>
      <c r="X2145" s="117"/>
      <c r="Y2145" s="117"/>
      <c r="Z2145" s="117"/>
      <c r="AA2145" s="117"/>
      <c r="AB2145" s="117"/>
      <c r="AC2145" s="117"/>
      <c r="AD2145" s="117"/>
      <c r="AE2145" s="117"/>
      <c r="AF2145" s="117"/>
      <c r="AG2145" s="117"/>
      <c r="AH2145" s="117"/>
      <c r="AI2145" s="117"/>
      <c r="AJ2145" s="117"/>
      <c r="AK2145" s="117"/>
      <c r="AL2145" s="117"/>
      <c r="AM2145" s="117"/>
      <c r="AN2145" s="117"/>
      <c r="AO2145" s="117"/>
      <c r="AP2145" s="117"/>
      <c r="AQ2145" s="117"/>
      <c r="AR2145" s="117"/>
      <c r="AS2145" s="117"/>
      <c r="AT2145" s="117"/>
      <c r="AU2145" s="117"/>
      <c r="AV2145" s="117"/>
      <c r="AW2145" s="117"/>
      <c r="AX2145" s="117"/>
      <c r="AY2145" s="117"/>
      <c r="AZ2145" s="117"/>
      <c r="BA2145" s="117"/>
      <c r="BB2145" s="117"/>
      <c r="BC2145" s="117"/>
      <c r="BD2145" s="117"/>
      <c r="BE2145" s="117"/>
      <c r="BF2145" s="117"/>
      <c r="BG2145" s="117"/>
    </row>
    <row r="2146" spans="1:59">
      <c r="A2146" s="117"/>
      <c r="B2146" s="117"/>
      <c r="C2146" s="117"/>
      <c r="D2146" s="117"/>
      <c r="E2146" s="117"/>
      <c r="F2146" s="117"/>
      <c r="G2146" s="117"/>
      <c r="H2146" s="117"/>
      <c r="I2146" s="117"/>
      <c r="J2146" s="118"/>
      <c r="K2146" s="118"/>
      <c r="L2146" s="118"/>
      <c r="M2146" s="118"/>
      <c r="N2146" s="117"/>
      <c r="O2146" s="117"/>
      <c r="P2146" s="117"/>
      <c r="Q2146" s="117"/>
      <c r="R2146" s="117"/>
      <c r="S2146" s="117"/>
      <c r="T2146" s="117"/>
      <c r="U2146" s="117"/>
      <c r="V2146" s="117"/>
      <c r="W2146" s="117"/>
      <c r="X2146" s="117"/>
      <c r="Y2146" s="117"/>
      <c r="Z2146" s="117"/>
      <c r="AA2146" s="117"/>
      <c r="AB2146" s="117"/>
      <c r="AC2146" s="117"/>
      <c r="AD2146" s="117"/>
      <c r="AE2146" s="117"/>
      <c r="AF2146" s="117"/>
      <c r="AG2146" s="117"/>
      <c r="AH2146" s="117"/>
      <c r="AI2146" s="117"/>
      <c r="AJ2146" s="117"/>
      <c r="AK2146" s="117"/>
      <c r="AL2146" s="117"/>
      <c r="AM2146" s="117"/>
      <c r="AN2146" s="117"/>
      <c r="AO2146" s="117"/>
      <c r="AP2146" s="117"/>
      <c r="AQ2146" s="117"/>
      <c r="AR2146" s="117"/>
      <c r="AS2146" s="117"/>
      <c r="AT2146" s="117"/>
      <c r="AU2146" s="117"/>
      <c r="AV2146" s="117"/>
      <c r="AW2146" s="117"/>
      <c r="AX2146" s="117"/>
      <c r="AY2146" s="117"/>
      <c r="AZ2146" s="117"/>
      <c r="BA2146" s="117"/>
      <c r="BB2146" s="117"/>
      <c r="BC2146" s="117"/>
      <c r="BD2146" s="117"/>
      <c r="BE2146" s="117"/>
      <c r="BF2146" s="117"/>
      <c r="BG2146" s="117"/>
    </row>
    <row r="2147" spans="1:59">
      <c r="A2147" s="117"/>
      <c r="B2147" s="117"/>
      <c r="C2147" s="117"/>
      <c r="D2147" s="117"/>
      <c r="E2147" s="117"/>
      <c r="F2147" s="117"/>
      <c r="G2147" s="117"/>
      <c r="H2147" s="117"/>
      <c r="I2147" s="117"/>
      <c r="J2147" s="118"/>
      <c r="K2147" s="118"/>
      <c r="L2147" s="118"/>
      <c r="M2147" s="118"/>
      <c r="N2147" s="117"/>
      <c r="O2147" s="117"/>
      <c r="P2147" s="117"/>
      <c r="Q2147" s="117"/>
      <c r="R2147" s="117"/>
      <c r="S2147" s="117"/>
      <c r="T2147" s="117"/>
      <c r="U2147" s="117"/>
      <c r="V2147" s="117"/>
      <c r="W2147" s="117"/>
      <c r="X2147" s="117"/>
      <c r="Y2147" s="117"/>
      <c r="Z2147" s="117"/>
      <c r="AA2147" s="117"/>
      <c r="AB2147" s="117"/>
      <c r="AC2147" s="117"/>
      <c r="AD2147" s="117"/>
      <c r="AE2147" s="117"/>
      <c r="AF2147" s="117"/>
      <c r="AG2147" s="117"/>
      <c r="AH2147" s="117"/>
      <c r="AI2147" s="117"/>
      <c r="AJ2147" s="117"/>
      <c r="AK2147" s="117"/>
      <c r="AL2147" s="117"/>
      <c r="AM2147" s="117"/>
      <c r="AN2147" s="117"/>
      <c r="AO2147" s="117"/>
      <c r="AP2147" s="117"/>
      <c r="AQ2147" s="117"/>
      <c r="AR2147" s="117"/>
      <c r="AS2147" s="117"/>
      <c r="AT2147" s="117"/>
      <c r="AU2147" s="117"/>
      <c r="AV2147" s="117"/>
      <c r="AW2147" s="117"/>
      <c r="AX2147" s="117"/>
      <c r="AY2147" s="117"/>
      <c r="AZ2147" s="117"/>
      <c r="BA2147" s="117"/>
      <c r="BB2147" s="117"/>
      <c r="BC2147" s="117"/>
      <c r="BD2147" s="117"/>
      <c r="BE2147" s="117"/>
      <c r="BF2147" s="117"/>
      <c r="BG2147" s="117"/>
    </row>
    <row r="2148" spans="1:59">
      <c r="A2148" s="117"/>
      <c r="B2148" s="117"/>
      <c r="C2148" s="117"/>
      <c r="D2148" s="117"/>
      <c r="E2148" s="117"/>
      <c r="F2148" s="117"/>
      <c r="G2148" s="117"/>
      <c r="H2148" s="117"/>
      <c r="I2148" s="117"/>
      <c r="J2148" s="118"/>
      <c r="K2148" s="118"/>
      <c r="L2148" s="118"/>
      <c r="M2148" s="118"/>
      <c r="N2148" s="117"/>
      <c r="O2148" s="117"/>
      <c r="P2148" s="117"/>
      <c r="Q2148" s="117"/>
      <c r="R2148" s="117"/>
      <c r="S2148" s="117"/>
      <c r="T2148" s="117"/>
      <c r="U2148" s="117"/>
      <c r="V2148" s="117"/>
      <c r="W2148" s="117"/>
      <c r="X2148" s="117"/>
      <c r="Y2148" s="117"/>
      <c r="Z2148" s="117"/>
      <c r="AA2148" s="117"/>
      <c r="AB2148" s="117"/>
      <c r="AC2148" s="117"/>
      <c r="AD2148" s="117"/>
      <c r="AE2148" s="117"/>
      <c r="AF2148" s="117"/>
      <c r="AG2148" s="117"/>
      <c r="AH2148" s="117"/>
      <c r="AI2148" s="117"/>
      <c r="AJ2148" s="117"/>
      <c r="AK2148" s="117"/>
      <c r="AL2148" s="117"/>
      <c r="AM2148" s="117"/>
      <c r="AN2148" s="117"/>
      <c r="AO2148" s="117"/>
      <c r="AP2148" s="117"/>
      <c r="AQ2148" s="117"/>
      <c r="AR2148" s="117"/>
      <c r="AS2148" s="117"/>
      <c r="AT2148" s="117"/>
      <c r="AU2148" s="117"/>
      <c r="AV2148" s="117"/>
      <c r="AW2148" s="117"/>
      <c r="AX2148" s="117"/>
      <c r="AY2148" s="117"/>
      <c r="AZ2148" s="117"/>
      <c r="BA2148" s="117"/>
      <c r="BB2148" s="117"/>
      <c r="BC2148" s="117"/>
      <c r="BD2148" s="117"/>
      <c r="BE2148" s="117"/>
      <c r="BF2148" s="117"/>
      <c r="BG2148" s="117"/>
    </row>
    <row r="2149" spans="1:59">
      <c r="A2149" s="117"/>
      <c r="B2149" s="117"/>
      <c r="C2149" s="117"/>
      <c r="D2149" s="117"/>
      <c r="E2149" s="117"/>
      <c r="F2149" s="117"/>
      <c r="G2149" s="117"/>
      <c r="H2149" s="117"/>
      <c r="I2149" s="117"/>
      <c r="J2149" s="118"/>
      <c r="K2149" s="118"/>
      <c r="L2149" s="118"/>
      <c r="M2149" s="118"/>
      <c r="N2149" s="117"/>
      <c r="O2149" s="117"/>
      <c r="P2149" s="117"/>
      <c r="Q2149" s="117"/>
      <c r="R2149" s="117"/>
      <c r="S2149" s="117"/>
      <c r="T2149" s="117"/>
      <c r="U2149" s="117"/>
      <c r="V2149" s="117"/>
      <c r="W2149" s="117"/>
      <c r="X2149" s="117"/>
      <c r="Y2149" s="117"/>
      <c r="Z2149" s="117"/>
      <c r="AA2149" s="117"/>
      <c r="AB2149" s="117"/>
      <c r="AC2149" s="117"/>
      <c r="AD2149" s="117"/>
      <c r="AE2149" s="117"/>
      <c r="AF2149" s="117"/>
      <c r="AG2149" s="117"/>
      <c r="AH2149" s="117"/>
      <c r="AI2149" s="117"/>
      <c r="AJ2149" s="117"/>
      <c r="AK2149" s="117"/>
      <c r="AL2149" s="117"/>
      <c r="AM2149" s="117"/>
      <c r="AN2149" s="117"/>
      <c r="AO2149" s="117"/>
      <c r="AP2149" s="117"/>
      <c r="AQ2149" s="117"/>
      <c r="AR2149" s="117"/>
      <c r="AS2149" s="117"/>
      <c r="AT2149" s="117"/>
      <c r="AU2149" s="117"/>
      <c r="AV2149" s="117"/>
      <c r="AW2149" s="117"/>
      <c r="AX2149" s="117"/>
      <c r="AY2149" s="117"/>
      <c r="AZ2149" s="117"/>
      <c r="BA2149" s="117"/>
      <c r="BB2149" s="117"/>
      <c r="BC2149" s="117"/>
      <c r="BD2149" s="117"/>
      <c r="BE2149" s="117"/>
      <c r="BF2149" s="117"/>
      <c r="BG2149" s="117"/>
    </row>
    <row r="2150" spans="1:59">
      <c r="A2150" s="117"/>
      <c r="B2150" s="117"/>
      <c r="C2150" s="117"/>
      <c r="D2150" s="117"/>
      <c r="E2150" s="117"/>
      <c r="F2150" s="117"/>
      <c r="G2150" s="117"/>
      <c r="H2150" s="117"/>
      <c r="I2150" s="117"/>
      <c r="J2150" s="118"/>
      <c r="K2150" s="118"/>
      <c r="L2150" s="118"/>
      <c r="M2150" s="118"/>
      <c r="N2150" s="117"/>
      <c r="O2150" s="117"/>
      <c r="P2150" s="117"/>
      <c r="Q2150" s="117"/>
      <c r="R2150" s="117"/>
      <c r="S2150" s="117"/>
      <c r="T2150" s="117"/>
      <c r="U2150" s="117"/>
      <c r="V2150" s="117"/>
      <c r="W2150" s="117"/>
      <c r="X2150" s="117"/>
      <c r="Y2150" s="117"/>
      <c r="Z2150" s="117"/>
      <c r="AA2150" s="117"/>
      <c r="AB2150" s="117"/>
      <c r="AC2150" s="117"/>
      <c r="AD2150" s="117"/>
      <c r="AE2150" s="117"/>
      <c r="AF2150" s="117"/>
      <c r="AG2150" s="117"/>
      <c r="AH2150" s="117"/>
      <c r="AI2150" s="117"/>
      <c r="AJ2150" s="117"/>
      <c r="AK2150" s="117"/>
      <c r="AL2150" s="117"/>
      <c r="AM2150" s="117"/>
      <c r="AN2150" s="117"/>
      <c r="AO2150" s="117"/>
      <c r="AP2150" s="117"/>
      <c r="AQ2150" s="117"/>
      <c r="AR2150" s="117"/>
      <c r="AS2150" s="117"/>
      <c r="AT2150" s="117"/>
      <c r="AU2150" s="117"/>
      <c r="AV2150" s="117"/>
      <c r="AW2150" s="117"/>
      <c r="AX2150" s="117"/>
      <c r="AY2150" s="117"/>
      <c r="AZ2150" s="117"/>
      <c r="BA2150" s="117"/>
      <c r="BB2150" s="117"/>
      <c r="BC2150" s="117"/>
      <c r="BD2150" s="117"/>
      <c r="BE2150" s="117"/>
      <c r="BF2150" s="117"/>
      <c r="BG2150" s="117"/>
    </row>
    <row r="2151" spans="1:59">
      <c r="A2151" s="117"/>
      <c r="B2151" s="117"/>
      <c r="C2151" s="117"/>
      <c r="D2151" s="117"/>
      <c r="E2151" s="117"/>
      <c r="F2151" s="117"/>
      <c r="G2151" s="117"/>
      <c r="H2151" s="117"/>
      <c r="I2151" s="117"/>
      <c r="J2151" s="118"/>
      <c r="K2151" s="118"/>
      <c r="L2151" s="118"/>
      <c r="M2151" s="118"/>
      <c r="N2151" s="117"/>
      <c r="O2151" s="117"/>
      <c r="P2151" s="117"/>
      <c r="Q2151" s="117"/>
      <c r="R2151" s="117"/>
      <c r="S2151" s="117"/>
      <c r="T2151" s="117"/>
      <c r="U2151" s="117"/>
      <c r="V2151" s="117"/>
      <c r="W2151" s="117"/>
      <c r="X2151" s="117"/>
      <c r="Y2151" s="117"/>
      <c r="Z2151" s="117"/>
      <c r="AA2151" s="117"/>
      <c r="AB2151" s="117"/>
      <c r="AC2151" s="117"/>
      <c r="AD2151" s="117"/>
      <c r="AE2151" s="117"/>
      <c r="AF2151" s="117"/>
      <c r="AG2151" s="117"/>
      <c r="AH2151" s="117"/>
      <c r="AI2151" s="117"/>
      <c r="AJ2151" s="117"/>
      <c r="AK2151" s="117"/>
      <c r="AL2151" s="117"/>
      <c r="AM2151" s="117"/>
      <c r="AN2151" s="117"/>
      <c r="AO2151" s="117"/>
      <c r="AP2151" s="117"/>
      <c r="AQ2151" s="117"/>
      <c r="AR2151" s="117"/>
      <c r="AS2151" s="117"/>
      <c r="AT2151" s="117"/>
      <c r="AU2151" s="117"/>
      <c r="AV2151" s="117"/>
      <c r="AW2151" s="117"/>
      <c r="AX2151" s="117"/>
      <c r="AY2151" s="117"/>
      <c r="AZ2151" s="117"/>
      <c r="BA2151" s="117"/>
      <c r="BB2151" s="117"/>
      <c r="BC2151" s="117"/>
      <c r="BD2151" s="117"/>
      <c r="BE2151" s="117"/>
      <c r="BF2151" s="117"/>
      <c r="BG2151" s="117"/>
    </row>
    <row r="2152" spans="1:59">
      <c r="A2152" s="117"/>
      <c r="B2152" s="117"/>
      <c r="C2152" s="117"/>
      <c r="D2152" s="117"/>
      <c r="E2152" s="117"/>
      <c r="F2152" s="117"/>
      <c r="G2152" s="117"/>
      <c r="H2152" s="117"/>
      <c r="I2152" s="117"/>
      <c r="J2152" s="118"/>
      <c r="K2152" s="118"/>
      <c r="L2152" s="118"/>
      <c r="M2152" s="118"/>
      <c r="N2152" s="117"/>
      <c r="O2152" s="117"/>
      <c r="P2152" s="117"/>
      <c r="Q2152" s="117"/>
      <c r="R2152" s="117"/>
      <c r="S2152" s="117"/>
      <c r="T2152" s="117"/>
      <c r="U2152" s="117"/>
      <c r="V2152" s="117"/>
      <c r="W2152" s="117"/>
      <c r="X2152" s="117"/>
      <c r="Y2152" s="117"/>
      <c r="Z2152" s="117"/>
      <c r="AA2152" s="117"/>
      <c r="AB2152" s="117"/>
      <c r="AC2152" s="117"/>
      <c r="AD2152" s="117"/>
      <c r="AE2152" s="117"/>
      <c r="AF2152" s="117"/>
      <c r="AG2152" s="117"/>
      <c r="AH2152" s="117"/>
      <c r="AI2152" s="117"/>
      <c r="AJ2152" s="117"/>
      <c r="AK2152" s="117"/>
      <c r="AL2152" s="117"/>
      <c r="AM2152" s="117"/>
      <c r="AN2152" s="117"/>
      <c r="AO2152" s="117"/>
      <c r="AP2152" s="117"/>
      <c r="AQ2152" s="117"/>
      <c r="AR2152" s="117"/>
      <c r="AS2152" s="117"/>
      <c r="AT2152" s="117"/>
      <c r="AU2152" s="117"/>
      <c r="AV2152" s="117"/>
      <c r="AW2152" s="117"/>
      <c r="AX2152" s="117"/>
      <c r="AY2152" s="117"/>
      <c r="AZ2152" s="117"/>
      <c r="BA2152" s="117"/>
      <c r="BB2152" s="117"/>
      <c r="BC2152" s="117"/>
      <c r="BD2152" s="117"/>
      <c r="BE2152" s="117"/>
      <c r="BF2152" s="117"/>
      <c r="BG2152" s="117"/>
    </row>
    <row r="2153" spans="1:59">
      <c r="A2153" s="117"/>
      <c r="B2153" s="117"/>
      <c r="C2153" s="117"/>
      <c r="D2153" s="117"/>
      <c r="E2153" s="117"/>
      <c r="F2153" s="117"/>
      <c r="G2153" s="117"/>
      <c r="H2153" s="117"/>
      <c r="I2153" s="117"/>
      <c r="J2153" s="118"/>
      <c r="K2153" s="118"/>
      <c r="L2153" s="118"/>
      <c r="M2153" s="118"/>
      <c r="N2153" s="117"/>
      <c r="O2153" s="117"/>
      <c r="P2153" s="117"/>
      <c r="Q2153" s="117"/>
      <c r="R2153" s="117"/>
      <c r="S2153" s="117"/>
      <c r="T2153" s="117"/>
      <c r="U2153" s="117"/>
      <c r="V2153" s="117"/>
      <c r="W2153" s="117"/>
      <c r="X2153" s="117"/>
      <c r="Y2153" s="117"/>
      <c r="Z2153" s="117"/>
      <c r="AA2153" s="117"/>
      <c r="AB2153" s="117"/>
      <c r="AC2153" s="117"/>
      <c r="AD2153" s="117"/>
      <c r="AE2153" s="117"/>
      <c r="AF2153" s="117"/>
      <c r="AG2153" s="117"/>
      <c r="AH2153" s="117"/>
      <c r="AI2153" s="117"/>
      <c r="AJ2153" s="117"/>
      <c r="AK2153" s="117"/>
      <c r="AL2153" s="117"/>
      <c r="AM2153" s="117"/>
      <c r="AN2153" s="117"/>
      <c r="AO2153" s="117"/>
      <c r="AP2153" s="117"/>
      <c r="AQ2153" s="117"/>
      <c r="AR2153" s="117"/>
      <c r="AS2153" s="117"/>
      <c r="AT2153" s="117"/>
      <c r="AU2153" s="117"/>
      <c r="AV2153" s="117"/>
      <c r="AW2153" s="117"/>
      <c r="AX2153" s="117"/>
      <c r="AY2153" s="117"/>
      <c r="AZ2153" s="117"/>
      <c r="BA2153" s="117"/>
      <c r="BB2153" s="117"/>
      <c r="BC2153" s="117"/>
      <c r="BD2153" s="117"/>
      <c r="BE2153" s="117"/>
      <c r="BF2153" s="117"/>
      <c r="BG2153" s="117"/>
    </row>
    <row r="2154" spans="1:59">
      <c r="A2154" s="117"/>
      <c r="B2154" s="117"/>
      <c r="C2154" s="117"/>
      <c r="D2154" s="117"/>
      <c r="E2154" s="117"/>
      <c r="F2154" s="117"/>
      <c r="G2154" s="117"/>
      <c r="H2154" s="117"/>
      <c r="I2154" s="117"/>
      <c r="J2154" s="118"/>
      <c r="K2154" s="118"/>
      <c r="L2154" s="118"/>
      <c r="M2154" s="118"/>
      <c r="N2154" s="117"/>
      <c r="O2154" s="117"/>
      <c r="P2154" s="117"/>
      <c r="Q2154" s="117"/>
      <c r="R2154" s="117"/>
      <c r="S2154" s="117"/>
      <c r="T2154" s="117"/>
      <c r="U2154" s="117"/>
      <c r="V2154" s="117"/>
      <c r="W2154" s="117"/>
      <c r="X2154" s="117"/>
      <c r="Y2154" s="117"/>
      <c r="Z2154" s="117"/>
      <c r="AA2154" s="117"/>
      <c r="AB2154" s="117"/>
      <c r="AC2154" s="117"/>
      <c r="AD2154" s="117"/>
      <c r="AE2154" s="117"/>
      <c r="AF2154" s="117"/>
      <c r="AG2154" s="117"/>
      <c r="AH2154" s="117"/>
      <c r="AI2154" s="117"/>
      <c r="AJ2154" s="117"/>
      <c r="AK2154" s="117"/>
      <c r="AL2154" s="117"/>
      <c r="AM2154" s="117"/>
      <c r="AN2154" s="117"/>
      <c r="AO2154" s="117"/>
      <c r="AP2154" s="117"/>
      <c r="AQ2154" s="117"/>
      <c r="AR2154" s="117"/>
      <c r="AS2154" s="117"/>
      <c r="AT2154" s="117"/>
      <c r="AU2154" s="117"/>
      <c r="AV2154" s="117"/>
      <c r="AW2154" s="117"/>
      <c r="AX2154" s="117"/>
      <c r="AY2154" s="117"/>
      <c r="AZ2154" s="117"/>
      <c r="BA2154" s="117"/>
      <c r="BB2154" s="117"/>
      <c r="BC2154" s="117"/>
      <c r="BD2154" s="117"/>
      <c r="BE2154" s="117"/>
      <c r="BF2154" s="117"/>
      <c r="BG2154" s="117"/>
    </row>
    <row r="2155" spans="1:59">
      <c r="A2155" s="117"/>
      <c r="B2155" s="117"/>
      <c r="C2155" s="117"/>
      <c r="D2155" s="117"/>
      <c r="E2155" s="117"/>
      <c r="F2155" s="117"/>
      <c r="G2155" s="117"/>
      <c r="H2155" s="117"/>
      <c r="I2155" s="117"/>
      <c r="J2155" s="118"/>
      <c r="K2155" s="118"/>
      <c r="L2155" s="118"/>
      <c r="M2155" s="118"/>
      <c r="N2155" s="117"/>
      <c r="O2155" s="117"/>
      <c r="P2155" s="117"/>
      <c r="Q2155" s="117"/>
      <c r="R2155" s="117"/>
      <c r="S2155" s="117"/>
      <c r="T2155" s="117"/>
      <c r="U2155" s="117"/>
      <c r="V2155" s="117"/>
      <c r="W2155" s="117"/>
      <c r="X2155" s="117"/>
      <c r="Y2155" s="117"/>
      <c r="Z2155" s="117"/>
      <c r="AA2155" s="117"/>
      <c r="AB2155" s="117"/>
      <c r="AC2155" s="117"/>
      <c r="AD2155" s="117"/>
      <c r="AE2155" s="117"/>
      <c r="AF2155" s="117"/>
      <c r="AG2155" s="117"/>
      <c r="AH2155" s="117"/>
      <c r="AI2155" s="117"/>
      <c r="AJ2155" s="117"/>
      <c r="AK2155" s="117"/>
      <c r="AL2155" s="117"/>
      <c r="AM2155" s="117"/>
      <c r="AN2155" s="117"/>
      <c r="AO2155" s="117"/>
      <c r="AP2155" s="117"/>
      <c r="AQ2155" s="117"/>
      <c r="AR2155" s="117"/>
      <c r="AS2155" s="117"/>
      <c r="AT2155" s="117"/>
      <c r="AU2155" s="117"/>
      <c r="AV2155" s="117"/>
      <c r="AW2155" s="117"/>
      <c r="AX2155" s="117"/>
      <c r="AY2155" s="117"/>
      <c r="AZ2155" s="117"/>
      <c r="BA2155" s="117"/>
      <c r="BB2155" s="117"/>
      <c r="BC2155" s="117"/>
      <c r="BD2155" s="117"/>
      <c r="BE2155" s="117"/>
      <c r="BF2155" s="117"/>
      <c r="BG2155" s="117"/>
    </row>
    <row r="2156" spans="1:59">
      <c r="A2156" s="117"/>
      <c r="B2156" s="117"/>
      <c r="C2156" s="117"/>
      <c r="D2156" s="117"/>
      <c r="E2156" s="117"/>
      <c r="F2156" s="117"/>
      <c r="G2156" s="117"/>
      <c r="H2156" s="117"/>
      <c r="I2156" s="117"/>
      <c r="J2156" s="118"/>
      <c r="K2156" s="118"/>
      <c r="L2156" s="118"/>
      <c r="M2156" s="118"/>
      <c r="N2156" s="117"/>
      <c r="O2156" s="117"/>
      <c r="P2156" s="117"/>
      <c r="Q2156" s="117"/>
      <c r="R2156" s="117"/>
      <c r="S2156" s="117"/>
      <c r="T2156" s="117"/>
      <c r="U2156" s="117"/>
      <c r="V2156" s="117"/>
      <c r="W2156" s="117"/>
      <c r="X2156" s="117"/>
      <c r="Y2156" s="117"/>
      <c r="Z2156" s="117"/>
      <c r="AA2156" s="117"/>
      <c r="AB2156" s="117"/>
      <c r="AC2156" s="117"/>
      <c r="AD2156" s="117"/>
      <c r="AE2156" s="117"/>
      <c r="AF2156" s="117"/>
      <c r="AG2156" s="117"/>
      <c r="AH2156" s="117"/>
      <c r="AI2156" s="117"/>
      <c r="AJ2156" s="117"/>
      <c r="AK2156" s="117"/>
      <c r="AL2156" s="117"/>
      <c r="AM2156" s="117"/>
      <c r="AN2156" s="117"/>
      <c r="AO2156" s="117"/>
      <c r="AP2156" s="117"/>
      <c r="AQ2156" s="117"/>
      <c r="AR2156" s="117"/>
      <c r="AS2156" s="117"/>
      <c r="AT2156" s="117"/>
      <c r="AU2156" s="117"/>
      <c r="AV2156" s="117"/>
      <c r="AW2156" s="117"/>
      <c r="AX2156" s="117"/>
      <c r="AY2156" s="117"/>
      <c r="AZ2156" s="117"/>
      <c r="BA2156" s="117"/>
      <c r="BB2156" s="117"/>
      <c r="BC2156" s="117"/>
      <c r="BD2156" s="117"/>
      <c r="BE2156" s="117"/>
      <c r="BF2156" s="117"/>
      <c r="BG2156" s="117"/>
    </row>
    <row r="2157" spans="1:59">
      <c r="A2157" s="117"/>
      <c r="B2157" s="117"/>
      <c r="C2157" s="117"/>
      <c r="D2157" s="117"/>
      <c r="E2157" s="117"/>
      <c r="F2157" s="117"/>
      <c r="G2157" s="117"/>
      <c r="H2157" s="117"/>
      <c r="I2157" s="117"/>
      <c r="J2157" s="118"/>
      <c r="K2157" s="118"/>
      <c r="L2157" s="118"/>
      <c r="M2157" s="118"/>
      <c r="N2157" s="117"/>
      <c r="O2157" s="117"/>
      <c r="P2157" s="117"/>
      <c r="Q2157" s="117"/>
      <c r="R2157" s="117"/>
      <c r="S2157" s="117"/>
      <c r="T2157" s="117"/>
      <c r="U2157" s="117"/>
      <c r="V2157" s="117"/>
      <c r="W2157" s="117"/>
      <c r="X2157" s="117"/>
      <c r="Y2157" s="117"/>
      <c r="Z2157" s="117"/>
      <c r="AA2157" s="117"/>
      <c r="AB2157" s="117"/>
      <c r="AC2157" s="117"/>
      <c r="AD2157" s="117"/>
      <c r="AE2157" s="117"/>
      <c r="AF2157" s="117"/>
      <c r="AG2157" s="117"/>
      <c r="AH2157" s="117"/>
      <c r="AI2157" s="117"/>
      <c r="AJ2157" s="117"/>
      <c r="AK2157" s="117"/>
      <c r="AL2157" s="117"/>
      <c r="AM2157" s="117"/>
      <c r="AN2157" s="117"/>
      <c r="AO2157" s="117"/>
      <c r="AP2157" s="117"/>
      <c r="AQ2157" s="117"/>
      <c r="AR2157" s="117"/>
      <c r="AS2157" s="117"/>
      <c r="AT2157" s="117"/>
      <c r="AU2157" s="117"/>
      <c r="AV2157" s="117"/>
      <c r="AW2157" s="117"/>
      <c r="AX2157" s="117"/>
      <c r="AY2157" s="117"/>
      <c r="AZ2157" s="117"/>
      <c r="BA2157" s="117"/>
      <c r="BB2157" s="117"/>
      <c r="BC2157" s="117"/>
      <c r="BD2157" s="117"/>
      <c r="BE2157" s="117"/>
      <c r="BF2157" s="117"/>
      <c r="BG2157" s="117"/>
    </row>
    <row r="2158" spans="1:59">
      <c r="A2158" s="117"/>
      <c r="B2158" s="117"/>
      <c r="C2158" s="117"/>
      <c r="D2158" s="117"/>
      <c r="E2158" s="117"/>
      <c r="F2158" s="117"/>
      <c r="G2158" s="117"/>
      <c r="H2158" s="117"/>
      <c r="I2158" s="117"/>
      <c r="J2158" s="118"/>
      <c r="K2158" s="118"/>
      <c r="L2158" s="118"/>
      <c r="M2158" s="118"/>
      <c r="N2158" s="117"/>
      <c r="O2158" s="117"/>
      <c r="P2158" s="117"/>
      <c r="Q2158" s="117"/>
      <c r="R2158" s="117"/>
      <c r="S2158" s="117"/>
      <c r="T2158" s="117"/>
      <c r="U2158" s="117"/>
      <c r="V2158" s="117"/>
      <c r="W2158" s="117"/>
      <c r="X2158" s="117"/>
      <c r="Y2158" s="117"/>
      <c r="Z2158" s="117"/>
      <c r="AA2158" s="117"/>
      <c r="AB2158" s="117"/>
      <c r="AC2158" s="117"/>
      <c r="AD2158" s="117"/>
      <c r="AE2158" s="117"/>
      <c r="AF2158" s="117"/>
      <c r="AG2158" s="117"/>
      <c r="AH2158" s="117"/>
      <c r="AI2158" s="117"/>
      <c r="AJ2158" s="117"/>
      <c r="AK2158" s="117"/>
      <c r="AL2158" s="117"/>
      <c r="AM2158" s="117"/>
      <c r="AN2158" s="117"/>
      <c r="AO2158" s="117"/>
      <c r="AP2158" s="117"/>
      <c r="AQ2158" s="117"/>
      <c r="AR2158" s="117"/>
      <c r="AS2158" s="117"/>
      <c r="AT2158" s="117"/>
      <c r="AU2158" s="117"/>
      <c r="AV2158" s="117"/>
      <c r="AW2158" s="117"/>
      <c r="AX2158" s="117"/>
      <c r="AY2158" s="117"/>
      <c r="AZ2158" s="117"/>
      <c r="BA2158" s="117"/>
      <c r="BB2158" s="117"/>
      <c r="BC2158" s="117"/>
      <c r="BD2158" s="117"/>
      <c r="BE2158" s="117"/>
      <c r="BF2158" s="117"/>
      <c r="BG2158" s="117"/>
    </row>
    <row r="2159" spans="1:59">
      <c r="A2159" s="117"/>
      <c r="B2159" s="117"/>
      <c r="C2159" s="117"/>
      <c r="D2159" s="117"/>
      <c r="E2159" s="117"/>
      <c r="F2159" s="117"/>
      <c r="G2159" s="117"/>
      <c r="H2159" s="117"/>
      <c r="I2159" s="117"/>
      <c r="J2159" s="118"/>
      <c r="K2159" s="118"/>
      <c r="L2159" s="118"/>
      <c r="M2159" s="118"/>
      <c r="N2159" s="117"/>
      <c r="O2159" s="117"/>
      <c r="P2159" s="117"/>
      <c r="Q2159" s="117"/>
      <c r="R2159" s="117"/>
      <c r="S2159" s="117"/>
      <c r="T2159" s="117"/>
      <c r="U2159" s="117"/>
      <c r="V2159" s="117"/>
      <c r="W2159" s="117"/>
      <c r="X2159" s="117"/>
      <c r="Y2159" s="117"/>
      <c r="Z2159" s="117"/>
      <c r="AA2159" s="117"/>
      <c r="AB2159" s="117"/>
      <c r="AC2159" s="117"/>
      <c r="AD2159" s="117"/>
      <c r="AE2159" s="117"/>
      <c r="AF2159" s="117"/>
      <c r="AG2159" s="117"/>
      <c r="AH2159" s="117"/>
      <c r="AI2159" s="117"/>
      <c r="AJ2159" s="117"/>
      <c r="AK2159" s="117"/>
      <c r="AL2159" s="117"/>
      <c r="AM2159" s="117"/>
      <c r="AN2159" s="117"/>
      <c r="AO2159" s="117"/>
      <c r="AP2159" s="117"/>
      <c r="AQ2159" s="117"/>
      <c r="AR2159" s="117"/>
      <c r="AS2159" s="117"/>
      <c r="AT2159" s="117"/>
      <c r="AU2159" s="117"/>
      <c r="AV2159" s="117"/>
      <c r="AW2159" s="117"/>
      <c r="AX2159" s="117"/>
      <c r="AY2159" s="117"/>
      <c r="AZ2159" s="117"/>
      <c r="BA2159" s="117"/>
      <c r="BB2159" s="117"/>
      <c r="BC2159" s="117"/>
      <c r="BD2159" s="117"/>
      <c r="BE2159" s="117"/>
      <c r="BF2159" s="117"/>
      <c r="BG2159" s="117"/>
    </row>
    <row r="2160" spans="1:59">
      <c r="A2160" s="117"/>
      <c r="B2160" s="117"/>
      <c r="C2160" s="117"/>
      <c r="D2160" s="117"/>
      <c r="E2160" s="117"/>
      <c r="F2160" s="117"/>
      <c r="G2160" s="117"/>
      <c r="H2160" s="117"/>
      <c r="I2160" s="117"/>
      <c r="J2160" s="118"/>
      <c r="K2160" s="118"/>
      <c r="L2160" s="118"/>
      <c r="M2160" s="118"/>
      <c r="N2160" s="117"/>
      <c r="O2160" s="117"/>
      <c r="P2160" s="117"/>
      <c r="Q2160" s="117"/>
      <c r="R2160" s="117"/>
      <c r="S2160" s="117"/>
      <c r="T2160" s="117"/>
      <c r="U2160" s="117"/>
      <c r="V2160" s="117"/>
      <c r="W2160" s="117"/>
      <c r="X2160" s="117"/>
      <c r="Y2160" s="117"/>
      <c r="Z2160" s="117"/>
      <c r="AA2160" s="117"/>
      <c r="AB2160" s="117"/>
      <c r="AC2160" s="117"/>
      <c r="AD2160" s="117"/>
      <c r="AE2160" s="117"/>
      <c r="AF2160" s="117"/>
      <c r="AG2160" s="117"/>
      <c r="AH2160" s="117"/>
      <c r="AI2160" s="117"/>
      <c r="AJ2160" s="117"/>
      <c r="AK2160" s="117"/>
      <c r="AL2160" s="117"/>
      <c r="AM2160" s="117"/>
      <c r="AN2160" s="117"/>
      <c r="AO2160" s="117"/>
      <c r="AP2160" s="117"/>
      <c r="AQ2160" s="117"/>
      <c r="AR2160" s="117"/>
      <c r="AS2160" s="117"/>
      <c r="AT2160" s="117"/>
      <c r="AU2160" s="117"/>
      <c r="AV2160" s="117"/>
      <c r="AW2160" s="117"/>
      <c r="AX2160" s="117"/>
      <c r="AY2160" s="117"/>
      <c r="AZ2160" s="117"/>
      <c r="BA2160" s="117"/>
      <c r="BB2160" s="117"/>
      <c r="BC2160" s="117"/>
      <c r="BD2160" s="117"/>
      <c r="BE2160" s="117"/>
      <c r="BF2160" s="117"/>
      <c r="BG2160" s="117"/>
    </row>
    <row r="2161" spans="1:59">
      <c r="A2161" s="117"/>
      <c r="B2161" s="117"/>
      <c r="C2161" s="117"/>
      <c r="D2161" s="117"/>
      <c r="E2161" s="117"/>
      <c r="F2161" s="117"/>
      <c r="G2161" s="117"/>
      <c r="H2161" s="117"/>
      <c r="I2161" s="117"/>
      <c r="J2161" s="118"/>
      <c r="K2161" s="118"/>
      <c r="L2161" s="118"/>
      <c r="M2161" s="118"/>
      <c r="N2161" s="117"/>
      <c r="O2161" s="117"/>
      <c r="P2161" s="117"/>
      <c r="Q2161" s="117"/>
      <c r="R2161" s="117"/>
      <c r="S2161" s="117"/>
      <c r="T2161" s="117"/>
      <c r="U2161" s="117"/>
      <c r="V2161" s="117"/>
      <c r="W2161" s="117"/>
      <c r="X2161" s="117"/>
      <c r="Y2161" s="117"/>
      <c r="Z2161" s="117"/>
      <c r="AA2161" s="117"/>
      <c r="AB2161" s="117"/>
      <c r="AC2161" s="117"/>
      <c r="AD2161" s="117"/>
      <c r="AE2161" s="117"/>
      <c r="AF2161" s="117"/>
      <c r="AG2161" s="117"/>
      <c r="AH2161" s="117"/>
      <c r="AI2161" s="117"/>
      <c r="AJ2161" s="117"/>
      <c r="AK2161" s="117"/>
      <c r="AL2161" s="117"/>
      <c r="AM2161" s="117"/>
      <c r="AN2161" s="117"/>
      <c r="AO2161" s="117"/>
      <c r="AP2161" s="117"/>
      <c r="AQ2161" s="117"/>
      <c r="AR2161" s="117"/>
      <c r="AS2161" s="117"/>
      <c r="AT2161" s="117"/>
      <c r="AU2161" s="117"/>
      <c r="AV2161" s="117"/>
      <c r="AW2161" s="117"/>
      <c r="AX2161" s="117"/>
      <c r="AY2161" s="117"/>
      <c r="AZ2161" s="117"/>
      <c r="BA2161" s="117"/>
      <c r="BB2161" s="117"/>
      <c r="BC2161" s="117"/>
      <c r="BD2161" s="117"/>
      <c r="BE2161" s="117"/>
      <c r="BF2161" s="117"/>
      <c r="BG2161" s="117"/>
    </row>
    <row r="2162" spans="1:59">
      <c r="A2162" s="117"/>
      <c r="B2162" s="117"/>
      <c r="C2162" s="117"/>
      <c r="D2162" s="117"/>
      <c r="E2162" s="117"/>
      <c r="F2162" s="117"/>
      <c r="G2162" s="117"/>
      <c r="H2162" s="117"/>
      <c r="I2162" s="117"/>
      <c r="J2162" s="118"/>
      <c r="K2162" s="118"/>
      <c r="L2162" s="118"/>
      <c r="M2162" s="118"/>
      <c r="N2162" s="117"/>
      <c r="O2162" s="117"/>
      <c r="P2162" s="117"/>
      <c r="Q2162" s="117"/>
      <c r="R2162" s="117"/>
      <c r="S2162" s="117"/>
      <c r="T2162" s="117"/>
      <c r="U2162" s="117"/>
      <c r="V2162" s="117"/>
      <c r="W2162" s="117"/>
      <c r="X2162" s="117"/>
      <c r="Y2162" s="117"/>
      <c r="Z2162" s="117"/>
      <c r="AA2162" s="117"/>
      <c r="AB2162" s="117"/>
      <c r="AC2162" s="117"/>
      <c r="AD2162" s="117"/>
      <c r="AE2162" s="117"/>
      <c r="AF2162" s="117"/>
      <c r="AG2162" s="117"/>
      <c r="AH2162" s="117"/>
      <c r="AI2162" s="117"/>
      <c r="AJ2162" s="117"/>
      <c r="AK2162" s="117"/>
      <c r="AL2162" s="117"/>
      <c r="AM2162" s="117"/>
      <c r="AN2162" s="117"/>
      <c r="AO2162" s="117"/>
      <c r="AP2162" s="117"/>
      <c r="AQ2162" s="117"/>
      <c r="AR2162" s="117"/>
      <c r="AS2162" s="117"/>
      <c r="AT2162" s="117"/>
      <c r="AU2162" s="117"/>
      <c r="AV2162" s="117"/>
      <c r="AW2162" s="117"/>
      <c r="AX2162" s="117"/>
      <c r="AY2162" s="117"/>
      <c r="AZ2162" s="117"/>
      <c r="BA2162" s="117"/>
      <c r="BB2162" s="117"/>
      <c r="BC2162" s="117"/>
      <c r="BD2162" s="117"/>
      <c r="BE2162" s="117"/>
      <c r="BF2162" s="117"/>
      <c r="BG2162" s="117"/>
    </row>
    <row r="2163" spans="1:59">
      <c r="A2163" s="117"/>
      <c r="B2163" s="117"/>
      <c r="C2163" s="117"/>
      <c r="D2163" s="117"/>
      <c r="E2163" s="117"/>
      <c r="F2163" s="117"/>
      <c r="G2163" s="117"/>
      <c r="H2163" s="117"/>
      <c r="I2163" s="117"/>
      <c r="J2163" s="118"/>
      <c r="K2163" s="118"/>
      <c r="L2163" s="118"/>
      <c r="M2163" s="118"/>
      <c r="N2163" s="117"/>
      <c r="O2163" s="117"/>
      <c r="P2163" s="117"/>
      <c r="Q2163" s="117"/>
      <c r="R2163" s="117"/>
      <c r="S2163" s="117"/>
      <c r="T2163" s="117"/>
      <c r="U2163" s="117"/>
      <c r="V2163" s="117"/>
      <c r="W2163" s="117"/>
      <c r="X2163" s="117"/>
      <c r="Y2163" s="117"/>
      <c r="Z2163" s="117"/>
      <c r="AA2163" s="117"/>
      <c r="AB2163" s="117"/>
      <c r="AC2163" s="117"/>
      <c r="AD2163" s="117"/>
      <c r="AE2163" s="117"/>
      <c r="AF2163" s="117"/>
      <c r="AG2163" s="117"/>
      <c r="AH2163" s="117"/>
      <c r="AI2163" s="117"/>
      <c r="AJ2163" s="117"/>
      <c r="AK2163" s="117"/>
      <c r="AL2163" s="117"/>
      <c r="AM2163" s="117"/>
      <c r="AN2163" s="117"/>
      <c r="AO2163" s="117"/>
      <c r="AP2163" s="117"/>
      <c r="AQ2163" s="117"/>
      <c r="AR2163" s="117"/>
      <c r="AS2163" s="117"/>
      <c r="AT2163" s="117"/>
      <c r="AU2163" s="117"/>
      <c r="AV2163" s="117"/>
      <c r="AW2163" s="117"/>
      <c r="AX2163" s="117"/>
      <c r="AY2163" s="117"/>
      <c r="AZ2163" s="117"/>
      <c r="BA2163" s="117"/>
      <c r="BB2163" s="117"/>
      <c r="BC2163" s="117"/>
      <c r="BD2163" s="117"/>
      <c r="BE2163" s="117"/>
      <c r="BF2163" s="117"/>
      <c r="BG2163" s="117"/>
    </row>
    <row r="2164" spans="1:59">
      <c r="A2164" s="117"/>
      <c r="B2164" s="117"/>
      <c r="C2164" s="117"/>
      <c r="D2164" s="117"/>
      <c r="E2164" s="117"/>
      <c r="F2164" s="117"/>
      <c r="G2164" s="117"/>
      <c r="H2164" s="117"/>
      <c r="I2164" s="117"/>
      <c r="J2164" s="118"/>
      <c r="K2164" s="118"/>
      <c r="L2164" s="118"/>
      <c r="M2164" s="118"/>
      <c r="N2164" s="117"/>
      <c r="O2164" s="117"/>
      <c r="P2164" s="117"/>
      <c r="Q2164" s="117"/>
      <c r="R2164" s="117"/>
      <c r="S2164" s="117"/>
      <c r="T2164" s="117"/>
      <c r="U2164" s="117"/>
      <c r="V2164" s="117"/>
      <c r="W2164" s="117"/>
      <c r="X2164" s="117"/>
      <c r="Y2164" s="117"/>
      <c r="Z2164" s="117"/>
      <c r="AA2164" s="117"/>
      <c r="AB2164" s="117"/>
      <c r="AC2164" s="117"/>
      <c r="AD2164" s="117"/>
      <c r="AE2164" s="117"/>
      <c r="AF2164" s="117"/>
      <c r="AG2164" s="117"/>
      <c r="AH2164" s="117"/>
      <c r="AI2164" s="117"/>
      <c r="AJ2164" s="117"/>
      <c r="AK2164" s="117"/>
      <c r="AL2164" s="117"/>
      <c r="AM2164" s="117"/>
      <c r="AN2164" s="117"/>
      <c r="AO2164" s="117"/>
      <c r="AP2164" s="117"/>
      <c r="AQ2164" s="117"/>
      <c r="AR2164" s="117"/>
      <c r="AS2164" s="117"/>
      <c r="AT2164" s="117"/>
      <c r="AU2164" s="117"/>
      <c r="AV2164" s="117"/>
      <c r="AW2164" s="117"/>
      <c r="AX2164" s="117"/>
      <c r="AY2164" s="117"/>
      <c r="AZ2164" s="117"/>
      <c r="BA2164" s="117"/>
      <c r="BB2164" s="117"/>
      <c r="BC2164" s="117"/>
      <c r="BD2164" s="117"/>
      <c r="BE2164" s="117"/>
      <c r="BF2164" s="117"/>
      <c r="BG2164" s="117"/>
    </row>
    <row r="2165" spans="1:59">
      <c r="A2165" s="117"/>
      <c r="B2165" s="117"/>
      <c r="C2165" s="117"/>
      <c r="D2165" s="117"/>
      <c r="E2165" s="117"/>
      <c r="F2165" s="117"/>
      <c r="G2165" s="117"/>
      <c r="H2165" s="117"/>
      <c r="I2165" s="117"/>
      <c r="J2165" s="118"/>
      <c r="K2165" s="118"/>
      <c r="L2165" s="118"/>
      <c r="M2165" s="118"/>
      <c r="N2165" s="117"/>
      <c r="O2165" s="117"/>
      <c r="P2165" s="117"/>
      <c r="Q2165" s="117"/>
      <c r="R2165" s="117"/>
      <c r="S2165" s="117"/>
      <c r="T2165" s="117"/>
      <c r="U2165" s="117"/>
      <c r="V2165" s="117"/>
      <c r="W2165" s="117"/>
      <c r="X2165" s="117"/>
      <c r="Y2165" s="117"/>
      <c r="Z2165" s="117"/>
      <c r="AA2165" s="117"/>
      <c r="AB2165" s="117"/>
      <c r="AC2165" s="117"/>
      <c r="AD2165" s="117"/>
      <c r="AE2165" s="117"/>
      <c r="AF2165" s="117"/>
      <c r="AG2165" s="117"/>
      <c r="AH2165" s="117"/>
      <c r="AI2165" s="117"/>
      <c r="AJ2165" s="117"/>
      <c r="AK2165" s="117"/>
      <c r="AL2165" s="117"/>
      <c r="AM2165" s="117"/>
      <c r="AN2165" s="117"/>
      <c r="AO2165" s="117"/>
      <c r="AP2165" s="117"/>
      <c r="AQ2165" s="117"/>
      <c r="AR2165" s="117"/>
      <c r="AS2165" s="117"/>
      <c r="AT2165" s="117"/>
      <c r="AU2165" s="117"/>
      <c r="AV2165" s="117"/>
      <c r="AW2165" s="117"/>
      <c r="AX2165" s="117"/>
      <c r="AY2165" s="117"/>
      <c r="AZ2165" s="117"/>
      <c r="BA2165" s="117"/>
      <c r="BB2165" s="117"/>
      <c r="BC2165" s="117"/>
      <c r="BD2165" s="117"/>
      <c r="BE2165" s="117"/>
      <c r="BF2165" s="117"/>
      <c r="BG2165" s="117"/>
    </row>
    <row r="2166" spans="1:59">
      <c r="A2166" s="117"/>
      <c r="B2166" s="117"/>
      <c r="C2166" s="117"/>
      <c r="D2166" s="117"/>
      <c r="E2166" s="117"/>
      <c r="F2166" s="117"/>
      <c r="G2166" s="117"/>
      <c r="H2166" s="117"/>
      <c r="I2166" s="117"/>
      <c r="J2166" s="118"/>
      <c r="K2166" s="118"/>
      <c r="L2166" s="118"/>
      <c r="M2166" s="118"/>
      <c r="N2166" s="117"/>
      <c r="O2166" s="117"/>
      <c r="P2166" s="117"/>
      <c r="Q2166" s="117"/>
      <c r="R2166" s="117"/>
      <c r="S2166" s="117"/>
      <c r="T2166" s="117"/>
      <c r="U2166" s="117"/>
      <c r="V2166" s="117"/>
      <c r="W2166" s="117"/>
      <c r="X2166" s="117"/>
      <c r="Y2166" s="117"/>
      <c r="Z2166" s="117"/>
      <c r="AA2166" s="117"/>
      <c r="AB2166" s="117"/>
      <c r="AC2166" s="117"/>
      <c r="AD2166" s="117"/>
      <c r="AE2166" s="117"/>
      <c r="AF2166" s="117"/>
      <c r="AG2166" s="117"/>
      <c r="AH2166" s="117"/>
      <c r="AI2166" s="117"/>
      <c r="AJ2166" s="117"/>
      <c r="AK2166" s="117"/>
      <c r="AL2166" s="117"/>
      <c r="AM2166" s="117"/>
      <c r="AN2166" s="117"/>
      <c r="AO2166" s="117"/>
      <c r="AP2166" s="117"/>
      <c r="AQ2166" s="117"/>
      <c r="AR2166" s="117"/>
      <c r="AS2166" s="117"/>
      <c r="AT2166" s="117"/>
      <c r="AU2166" s="117"/>
      <c r="AV2166" s="117"/>
      <c r="AW2166" s="117"/>
      <c r="AX2166" s="117"/>
      <c r="AY2166" s="117"/>
      <c r="AZ2166" s="117"/>
      <c r="BA2166" s="117"/>
      <c r="BB2166" s="117"/>
      <c r="BC2166" s="117"/>
      <c r="BD2166" s="117"/>
      <c r="BE2166" s="117"/>
      <c r="BF2166" s="117"/>
      <c r="BG2166" s="117"/>
    </row>
    <row r="2167" spans="1:59">
      <c r="A2167" s="117"/>
      <c r="B2167" s="117"/>
      <c r="C2167" s="117"/>
      <c r="D2167" s="117"/>
      <c r="E2167" s="117"/>
      <c r="F2167" s="117"/>
      <c r="G2167" s="117"/>
      <c r="H2167" s="117"/>
      <c r="I2167" s="117"/>
      <c r="J2167" s="118"/>
      <c r="K2167" s="118"/>
      <c r="L2167" s="118"/>
      <c r="M2167" s="118"/>
      <c r="N2167" s="117"/>
      <c r="O2167" s="117"/>
      <c r="P2167" s="117"/>
      <c r="Q2167" s="117"/>
      <c r="R2167" s="117"/>
      <c r="S2167" s="117"/>
      <c r="T2167" s="117"/>
      <c r="U2167" s="117"/>
      <c r="V2167" s="117"/>
      <c r="W2167" s="117"/>
      <c r="X2167" s="117"/>
      <c r="Y2167" s="117"/>
      <c r="Z2167" s="117"/>
      <c r="AA2167" s="117"/>
      <c r="AB2167" s="117"/>
      <c r="AC2167" s="117"/>
      <c r="AD2167" s="117"/>
      <c r="AE2167" s="117"/>
      <c r="AF2167" s="117"/>
      <c r="AG2167" s="117"/>
      <c r="AH2167" s="117"/>
      <c r="AI2167" s="117"/>
      <c r="AJ2167" s="117"/>
      <c r="AK2167" s="117"/>
      <c r="AL2167" s="117"/>
      <c r="AM2167" s="117"/>
      <c r="AN2167" s="117"/>
      <c r="AO2167" s="117"/>
      <c r="AP2167" s="117"/>
      <c r="AQ2167" s="117"/>
      <c r="AR2167" s="117"/>
      <c r="AS2167" s="117"/>
      <c r="AT2167" s="117"/>
      <c r="AU2167" s="117"/>
      <c r="AV2167" s="117"/>
      <c r="AW2167" s="117"/>
      <c r="AX2167" s="117"/>
      <c r="AY2167" s="117"/>
      <c r="AZ2167" s="117"/>
      <c r="BA2167" s="117"/>
      <c r="BB2167" s="117"/>
      <c r="BC2167" s="117"/>
      <c r="BD2167" s="117"/>
      <c r="BE2167" s="117"/>
      <c r="BF2167" s="117"/>
      <c r="BG2167" s="117"/>
    </row>
    <row r="2168" spans="1:59">
      <c r="A2168" s="117"/>
      <c r="B2168" s="117"/>
      <c r="C2168" s="117"/>
      <c r="D2168" s="117"/>
      <c r="E2168" s="117"/>
      <c r="F2168" s="117"/>
      <c r="G2168" s="117"/>
      <c r="H2168" s="117"/>
      <c r="I2168" s="117"/>
      <c r="J2168" s="118"/>
      <c r="K2168" s="118"/>
      <c r="L2168" s="118"/>
      <c r="M2168" s="118"/>
      <c r="N2168" s="117"/>
      <c r="O2168" s="117"/>
      <c r="P2168" s="117"/>
      <c r="Q2168" s="117"/>
      <c r="R2168" s="117"/>
      <c r="S2168" s="117"/>
      <c r="T2168" s="117"/>
      <c r="U2168" s="117"/>
      <c r="V2168" s="117"/>
      <c r="W2168" s="117"/>
      <c r="X2168" s="117"/>
      <c r="Y2168" s="117"/>
      <c r="Z2168" s="117"/>
      <c r="AA2168" s="117"/>
      <c r="AB2168" s="117"/>
      <c r="AC2168" s="117"/>
      <c r="AD2168" s="117"/>
      <c r="AE2168" s="117"/>
      <c r="AF2168" s="117"/>
      <c r="AG2168" s="117"/>
      <c r="AH2168" s="117"/>
      <c r="AI2168" s="117"/>
      <c r="AJ2168" s="117"/>
      <c r="AK2168" s="117"/>
      <c r="AL2168" s="117"/>
      <c r="AM2168" s="117"/>
      <c r="AN2168" s="117"/>
      <c r="AO2168" s="117"/>
      <c r="AP2168" s="117"/>
      <c r="AQ2168" s="117"/>
      <c r="AR2168" s="117"/>
      <c r="AS2168" s="117"/>
      <c r="AT2168" s="117"/>
      <c r="AU2168" s="117"/>
      <c r="AV2168" s="117"/>
      <c r="AW2168" s="117"/>
      <c r="AX2168" s="117"/>
      <c r="AY2168" s="117"/>
      <c r="AZ2168" s="117"/>
      <c r="BA2168" s="117"/>
      <c r="BB2168" s="117"/>
      <c r="BC2168" s="117"/>
      <c r="BD2168" s="117"/>
      <c r="BE2168" s="117"/>
      <c r="BF2168" s="117"/>
      <c r="BG2168" s="117"/>
    </row>
    <row r="2169" spans="1:59">
      <c r="A2169" s="117"/>
      <c r="B2169" s="117"/>
      <c r="C2169" s="117"/>
      <c r="D2169" s="117"/>
      <c r="E2169" s="117"/>
      <c r="F2169" s="117"/>
      <c r="G2169" s="117"/>
      <c r="H2169" s="117"/>
      <c r="I2169" s="117"/>
      <c r="J2169" s="118"/>
      <c r="K2169" s="118"/>
      <c r="L2169" s="118"/>
      <c r="M2169" s="118"/>
      <c r="N2169" s="117"/>
      <c r="O2169" s="117"/>
      <c r="P2169" s="117"/>
      <c r="Q2169" s="117"/>
      <c r="R2169" s="117"/>
      <c r="S2169" s="117"/>
      <c r="T2169" s="117"/>
      <c r="U2169" s="117"/>
      <c r="V2169" s="117"/>
      <c r="W2169" s="117"/>
      <c r="X2169" s="117"/>
      <c r="Y2169" s="117"/>
      <c r="Z2169" s="117"/>
      <c r="AA2169" s="117"/>
      <c r="AB2169" s="117"/>
      <c r="AC2169" s="117"/>
      <c r="AD2169" s="117"/>
      <c r="AE2169" s="117"/>
      <c r="AF2169" s="117"/>
      <c r="AG2169" s="117"/>
      <c r="AH2169" s="117"/>
      <c r="AI2169" s="117"/>
      <c r="AJ2169" s="117"/>
      <c r="AK2169" s="117"/>
      <c r="AL2169" s="117"/>
      <c r="AM2169" s="117"/>
      <c r="AN2169" s="117"/>
      <c r="AO2169" s="117"/>
      <c r="AP2169" s="117"/>
      <c r="AQ2169" s="117"/>
      <c r="AR2169" s="117"/>
      <c r="AS2169" s="117"/>
      <c r="AT2169" s="117"/>
      <c r="AU2169" s="117"/>
      <c r="AV2169" s="117"/>
      <c r="AW2169" s="117"/>
      <c r="AX2169" s="117"/>
      <c r="AY2169" s="117"/>
      <c r="AZ2169" s="117"/>
      <c r="BA2169" s="117"/>
      <c r="BB2169" s="117"/>
      <c r="BC2169" s="117"/>
      <c r="BD2169" s="117"/>
      <c r="BE2169" s="117"/>
      <c r="BF2169" s="117"/>
      <c r="BG2169" s="117"/>
    </row>
    <row r="2170" spans="1:59">
      <c r="A2170" s="117"/>
      <c r="B2170" s="117"/>
      <c r="C2170" s="117"/>
      <c r="D2170" s="117"/>
      <c r="E2170" s="117"/>
      <c r="F2170" s="117"/>
      <c r="G2170" s="117"/>
      <c r="H2170" s="117"/>
      <c r="I2170" s="117"/>
      <c r="J2170" s="118"/>
      <c r="K2170" s="118"/>
      <c r="L2170" s="118"/>
      <c r="M2170" s="118"/>
      <c r="N2170" s="117"/>
      <c r="O2170" s="117"/>
      <c r="P2170" s="117"/>
      <c r="Q2170" s="117"/>
      <c r="R2170" s="117"/>
      <c r="S2170" s="117"/>
      <c r="T2170" s="117"/>
      <c r="U2170" s="117"/>
      <c r="V2170" s="117"/>
      <c r="W2170" s="117"/>
      <c r="X2170" s="117"/>
      <c r="Y2170" s="117"/>
      <c r="Z2170" s="117"/>
      <c r="AA2170" s="117"/>
      <c r="AB2170" s="117"/>
      <c r="AC2170" s="117"/>
      <c r="AD2170" s="117"/>
      <c r="AE2170" s="117"/>
      <c r="AF2170" s="117"/>
      <c r="AG2170" s="117"/>
      <c r="AH2170" s="117"/>
      <c r="AI2170" s="117"/>
      <c r="AJ2170" s="117"/>
      <c r="AK2170" s="117"/>
      <c r="AL2170" s="117"/>
      <c r="AM2170" s="117"/>
      <c r="AN2170" s="117"/>
      <c r="AO2170" s="117"/>
      <c r="AP2170" s="117"/>
      <c r="AQ2170" s="117"/>
      <c r="AR2170" s="117"/>
      <c r="AS2170" s="117"/>
      <c r="AT2170" s="117"/>
      <c r="AU2170" s="117"/>
      <c r="AV2170" s="117"/>
      <c r="AW2170" s="117"/>
      <c r="AX2170" s="117"/>
      <c r="AY2170" s="117"/>
      <c r="AZ2170" s="117"/>
      <c r="BA2170" s="117"/>
      <c r="BB2170" s="117"/>
      <c r="BC2170" s="117"/>
      <c r="BD2170" s="117"/>
      <c r="BE2170" s="117"/>
      <c r="BF2170" s="117"/>
      <c r="BG2170" s="117"/>
    </row>
    <row r="2171" spans="1:59">
      <c r="A2171" s="117"/>
      <c r="B2171" s="117"/>
      <c r="C2171" s="117"/>
      <c r="D2171" s="117"/>
      <c r="E2171" s="117"/>
      <c r="F2171" s="117"/>
      <c r="G2171" s="117"/>
      <c r="H2171" s="117"/>
      <c r="I2171" s="117"/>
      <c r="J2171" s="118"/>
      <c r="K2171" s="118"/>
      <c r="L2171" s="118"/>
      <c r="M2171" s="118"/>
      <c r="N2171" s="117"/>
      <c r="O2171" s="117"/>
      <c r="P2171" s="117"/>
      <c r="Q2171" s="117"/>
      <c r="R2171" s="117"/>
      <c r="S2171" s="117"/>
      <c r="T2171" s="117"/>
      <c r="U2171" s="117"/>
      <c r="V2171" s="117"/>
      <c r="W2171" s="117"/>
      <c r="X2171" s="117"/>
      <c r="Y2171" s="117"/>
      <c r="Z2171" s="117"/>
      <c r="AA2171" s="117"/>
      <c r="AB2171" s="117"/>
      <c r="AC2171" s="117"/>
      <c r="AD2171" s="117"/>
      <c r="AE2171" s="117"/>
      <c r="AF2171" s="117"/>
      <c r="AG2171" s="117"/>
      <c r="AH2171" s="117"/>
      <c r="AI2171" s="117"/>
      <c r="AJ2171" s="117"/>
      <c r="AK2171" s="117"/>
      <c r="AL2171" s="117"/>
      <c r="AM2171" s="117"/>
      <c r="AN2171" s="117"/>
      <c r="AO2171" s="117"/>
      <c r="AP2171" s="117"/>
      <c r="AQ2171" s="117"/>
      <c r="AR2171" s="117"/>
      <c r="AS2171" s="117"/>
      <c r="AT2171" s="117"/>
      <c r="AU2171" s="117"/>
      <c r="AV2171" s="117"/>
      <c r="AW2171" s="117"/>
      <c r="AX2171" s="117"/>
      <c r="AY2171" s="117"/>
      <c r="AZ2171" s="117"/>
      <c r="BA2171" s="117"/>
      <c r="BB2171" s="117"/>
      <c r="BC2171" s="117"/>
      <c r="BD2171" s="117"/>
      <c r="BE2171" s="117"/>
      <c r="BF2171" s="117"/>
      <c r="BG2171" s="117"/>
    </row>
    <row r="2172" spans="1:59">
      <c r="A2172" s="117"/>
      <c r="B2172" s="117"/>
      <c r="C2172" s="117"/>
      <c r="D2172" s="117"/>
      <c r="E2172" s="117"/>
      <c r="F2172" s="117"/>
      <c r="G2172" s="117"/>
      <c r="H2172" s="117"/>
      <c r="I2172" s="117"/>
      <c r="J2172" s="118"/>
      <c r="K2172" s="118"/>
      <c r="L2172" s="118"/>
      <c r="M2172" s="118"/>
      <c r="N2172" s="117"/>
      <c r="O2172" s="117"/>
      <c r="P2172" s="117"/>
      <c r="Q2172" s="117"/>
      <c r="R2172" s="117"/>
      <c r="S2172" s="117"/>
      <c r="T2172" s="117"/>
      <c r="U2172" s="117"/>
      <c r="V2172" s="117"/>
      <c r="W2172" s="117"/>
      <c r="X2172" s="117"/>
      <c r="Y2172" s="117"/>
      <c r="Z2172" s="117"/>
      <c r="AA2172" s="117"/>
      <c r="AB2172" s="117"/>
      <c r="AC2172" s="117"/>
      <c r="AD2172" s="117"/>
      <c r="AE2172" s="117"/>
      <c r="AF2172" s="117"/>
      <c r="AG2172" s="117"/>
      <c r="AH2172" s="117"/>
      <c r="AI2172" s="117"/>
      <c r="AJ2172" s="117"/>
      <c r="AK2172" s="117"/>
      <c r="AL2172" s="117"/>
      <c r="AM2172" s="117"/>
      <c r="AN2172" s="117"/>
      <c r="AO2172" s="117"/>
      <c r="AP2172" s="117"/>
      <c r="AQ2172" s="117"/>
      <c r="AR2172" s="117"/>
      <c r="AS2172" s="117"/>
      <c r="AT2172" s="117"/>
      <c r="AU2172" s="117"/>
      <c r="AV2172" s="117"/>
      <c r="AW2172" s="117"/>
      <c r="AX2172" s="117"/>
      <c r="AY2172" s="117"/>
      <c r="AZ2172" s="117"/>
      <c r="BA2172" s="117"/>
      <c r="BB2172" s="117"/>
      <c r="BC2172" s="117"/>
      <c r="BD2172" s="117"/>
      <c r="BE2172" s="117"/>
      <c r="BF2172" s="117"/>
      <c r="BG2172" s="117"/>
    </row>
    <row r="2173" spans="1:59">
      <c r="A2173" s="117"/>
      <c r="B2173" s="117"/>
      <c r="C2173" s="117"/>
      <c r="D2173" s="117"/>
      <c r="E2173" s="117"/>
      <c r="F2173" s="117"/>
      <c r="G2173" s="117"/>
      <c r="H2173" s="117"/>
      <c r="I2173" s="117"/>
      <c r="J2173" s="118"/>
      <c r="K2173" s="118"/>
      <c r="L2173" s="118"/>
      <c r="M2173" s="118"/>
      <c r="N2173" s="117"/>
      <c r="O2173" s="117"/>
      <c r="P2173" s="117"/>
      <c r="Q2173" s="117"/>
      <c r="R2173" s="117"/>
      <c r="S2173" s="117"/>
      <c r="T2173" s="117"/>
      <c r="U2173" s="117"/>
      <c r="V2173" s="117"/>
      <c r="W2173" s="117"/>
      <c r="X2173" s="117"/>
      <c r="Y2173" s="117"/>
      <c r="Z2173" s="117"/>
      <c r="AA2173" s="117"/>
      <c r="AB2173" s="117"/>
      <c r="AC2173" s="117"/>
      <c r="AD2173" s="117"/>
      <c r="AE2173" s="117"/>
      <c r="AF2173" s="117"/>
      <c r="AG2173" s="117"/>
      <c r="AH2173" s="117"/>
      <c r="AI2173" s="117"/>
      <c r="AJ2173" s="117"/>
      <c r="AK2173" s="117"/>
      <c r="AL2173" s="117"/>
      <c r="AM2173" s="117"/>
      <c r="AN2173" s="117"/>
      <c r="AO2173" s="117"/>
      <c r="AP2173" s="117"/>
      <c r="AQ2173" s="117"/>
      <c r="AR2173" s="117"/>
      <c r="AS2173" s="117"/>
      <c r="AT2173" s="117"/>
      <c r="AU2173" s="117"/>
      <c r="AV2173" s="117"/>
      <c r="AW2173" s="117"/>
      <c r="AX2173" s="117"/>
      <c r="AY2173" s="117"/>
      <c r="AZ2173" s="117"/>
      <c r="BA2173" s="117"/>
      <c r="BB2173" s="117"/>
      <c r="BC2173" s="117"/>
      <c r="BD2173" s="117"/>
      <c r="BE2173" s="117"/>
      <c r="BF2173" s="117"/>
      <c r="BG2173" s="117"/>
    </row>
    <row r="2174" spans="1:59">
      <c r="A2174" s="117"/>
      <c r="B2174" s="117"/>
      <c r="C2174" s="117"/>
      <c r="D2174" s="117"/>
      <c r="E2174" s="117"/>
      <c r="F2174" s="117"/>
      <c r="G2174" s="117"/>
      <c r="H2174" s="117"/>
      <c r="I2174" s="117"/>
      <c r="J2174" s="118"/>
      <c r="K2174" s="118"/>
      <c r="L2174" s="118"/>
      <c r="M2174" s="118"/>
      <c r="N2174" s="117"/>
      <c r="O2174" s="117"/>
      <c r="P2174" s="117"/>
      <c r="Q2174" s="117"/>
      <c r="R2174" s="117"/>
      <c r="S2174" s="117"/>
      <c r="T2174" s="117"/>
      <c r="U2174" s="117"/>
      <c r="V2174" s="117"/>
      <c r="W2174" s="117"/>
      <c r="X2174" s="117"/>
      <c r="Y2174" s="117"/>
      <c r="Z2174" s="117"/>
      <c r="AA2174" s="117"/>
      <c r="AB2174" s="117"/>
      <c r="AC2174" s="117"/>
      <c r="AD2174" s="117"/>
      <c r="AE2174" s="117"/>
      <c r="AF2174" s="117"/>
      <c r="AG2174" s="117"/>
      <c r="AH2174" s="117"/>
      <c r="AI2174" s="117"/>
      <c r="AJ2174" s="117"/>
      <c r="AK2174" s="117"/>
      <c r="AL2174" s="117"/>
      <c r="AM2174" s="117"/>
      <c r="AN2174" s="117"/>
      <c r="AO2174" s="117"/>
      <c r="AP2174" s="117"/>
      <c r="AQ2174" s="117"/>
      <c r="AR2174" s="117"/>
      <c r="AS2174" s="117"/>
      <c r="AT2174" s="117"/>
      <c r="AU2174" s="117"/>
      <c r="AV2174" s="117"/>
      <c r="AW2174" s="117"/>
      <c r="AX2174" s="117"/>
      <c r="AY2174" s="117"/>
      <c r="AZ2174" s="117"/>
      <c r="BA2174" s="117"/>
      <c r="BB2174" s="117"/>
      <c r="BC2174" s="117"/>
      <c r="BD2174" s="117"/>
      <c r="BE2174" s="117"/>
      <c r="BF2174" s="117"/>
      <c r="BG2174" s="117"/>
    </row>
    <row r="2175" spans="1:59">
      <c r="A2175" s="117"/>
      <c r="B2175" s="117"/>
      <c r="C2175" s="117"/>
      <c r="D2175" s="117"/>
      <c r="E2175" s="117"/>
      <c r="F2175" s="117"/>
      <c r="G2175" s="117"/>
      <c r="H2175" s="117"/>
      <c r="I2175" s="117"/>
      <c r="J2175" s="118"/>
      <c r="K2175" s="118"/>
      <c r="L2175" s="118"/>
      <c r="M2175" s="118"/>
      <c r="N2175" s="117"/>
      <c r="O2175" s="117"/>
      <c r="P2175" s="117"/>
      <c r="Q2175" s="117"/>
      <c r="R2175" s="117"/>
      <c r="S2175" s="117"/>
      <c r="T2175" s="117"/>
      <c r="U2175" s="117"/>
      <c r="V2175" s="117"/>
      <c r="W2175" s="117"/>
      <c r="X2175" s="117"/>
      <c r="Y2175" s="117"/>
      <c r="Z2175" s="117"/>
      <c r="AA2175" s="117"/>
      <c r="AB2175" s="117"/>
      <c r="AC2175" s="117"/>
      <c r="AD2175" s="117"/>
      <c r="AE2175" s="117"/>
      <c r="AF2175" s="117"/>
      <c r="AG2175" s="117"/>
      <c r="AH2175" s="117"/>
      <c r="AI2175" s="117"/>
      <c r="AJ2175" s="117"/>
      <c r="AK2175" s="117"/>
      <c r="AL2175" s="117"/>
      <c r="AM2175" s="117"/>
      <c r="AN2175" s="117"/>
      <c r="AO2175" s="117"/>
      <c r="AP2175" s="117"/>
      <c r="AQ2175" s="117"/>
      <c r="AR2175" s="117"/>
      <c r="AS2175" s="117"/>
      <c r="AT2175" s="117"/>
      <c r="AU2175" s="117"/>
      <c r="AV2175" s="117"/>
      <c r="AW2175" s="117"/>
      <c r="AX2175" s="117"/>
      <c r="AY2175" s="117"/>
      <c r="AZ2175" s="117"/>
      <c r="BA2175" s="117"/>
      <c r="BB2175" s="117"/>
      <c r="BC2175" s="117"/>
      <c r="BD2175" s="117"/>
      <c r="BE2175" s="117"/>
      <c r="BF2175" s="117"/>
      <c r="BG2175" s="117"/>
    </row>
    <row r="2176" spans="1:59">
      <c r="A2176" s="117"/>
      <c r="B2176" s="117"/>
      <c r="C2176" s="117"/>
      <c r="D2176" s="117"/>
      <c r="E2176" s="117"/>
      <c r="F2176" s="117"/>
      <c r="G2176" s="117"/>
      <c r="H2176" s="117"/>
      <c r="I2176" s="117"/>
      <c r="J2176" s="118"/>
      <c r="K2176" s="118"/>
      <c r="L2176" s="118"/>
      <c r="M2176" s="118"/>
      <c r="N2176" s="117"/>
      <c r="O2176" s="117"/>
      <c r="P2176" s="117"/>
      <c r="Q2176" s="117"/>
      <c r="R2176" s="117"/>
      <c r="S2176" s="117"/>
      <c r="T2176" s="117"/>
      <c r="U2176" s="117"/>
      <c r="V2176" s="117"/>
      <c r="W2176" s="117"/>
      <c r="X2176" s="117"/>
      <c r="Y2176" s="117"/>
      <c r="Z2176" s="117"/>
      <c r="AA2176" s="117"/>
      <c r="AB2176" s="117"/>
      <c r="AC2176" s="117"/>
      <c r="AD2176" s="117"/>
      <c r="AE2176" s="117"/>
      <c r="AF2176" s="117"/>
      <c r="AG2176" s="117"/>
      <c r="AH2176" s="117"/>
      <c r="AI2176" s="117"/>
      <c r="AJ2176" s="117"/>
      <c r="AK2176" s="117"/>
      <c r="AL2176" s="117"/>
      <c r="AM2176" s="117"/>
      <c r="AN2176" s="117"/>
      <c r="AO2176" s="117"/>
      <c r="AP2176" s="117"/>
      <c r="AQ2176" s="117"/>
      <c r="AR2176" s="117"/>
      <c r="AS2176" s="117"/>
      <c r="AT2176" s="117"/>
      <c r="AU2176" s="117"/>
      <c r="AV2176" s="117"/>
      <c r="AW2176" s="117"/>
      <c r="AX2176" s="117"/>
      <c r="AY2176" s="117"/>
      <c r="AZ2176" s="117"/>
      <c r="BA2176" s="117"/>
      <c r="BB2176" s="117"/>
      <c r="BC2176" s="117"/>
      <c r="BD2176" s="117"/>
      <c r="BE2176" s="117"/>
      <c r="BF2176" s="117"/>
      <c r="BG2176" s="117"/>
    </row>
    <row r="2177" spans="1:59">
      <c r="A2177" s="117"/>
      <c r="B2177" s="117"/>
      <c r="C2177" s="117"/>
      <c r="D2177" s="117"/>
      <c r="E2177" s="117"/>
      <c r="F2177" s="117"/>
      <c r="G2177" s="117"/>
      <c r="H2177" s="117"/>
      <c r="I2177" s="117"/>
      <c r="J2177" s="118"/>
      <c r="K2177" s="118"/>
      <c r="L2177" s="118"/>
      <c r="M2177" s="118"/>
      <c r="N2177" s="117"/>
      <c r="O2177" s="117"/>
      <c r="P2177" s="117"/>
      <c r="Q2177" s="117"/>
      <c r="R2177" s="117"/>
      <c r="S2177" s="117"/>
      <c r="T2177" s="117"/>
      <c r="U2177" s="117"/>
      <c r="V2177" s="117"/>
      <c r="W2177" s="117"/>
      <c r="X2177" s="117"/>
      <c r="Y2177" s="117"/>
      <c r="Z2177" s="117"/>
      <c r="AA2177" s="117"/>
      <c r="AB2177" s="117"/>
      <c r="AC2177" s="117"/>
      <c r="AD2177" s="117"/>
      <c r="AE2177" s="117"/>
      <c r="AF2177" s="117"/>
      <c r="AG2177" s="117"/>
      <c r="AH2177" s="117"/>
      <c r="AI2177" s="117"/>
      <c r="AJ2177" s="117"/>
      <c r="AK2177" s="117"/>
      <c r="AL2177" s="117"/>
      <c r="AM2177" s="117"/>
      <c r="AN2177" s="117"/>
      <c r="AO2177" s="117"/>
      <c r="AP2177" s="117"/>
      <c r="AQ2177" s="117"/>
      <c r="AR2177" s="117"/>
      <c r="AS2177" s="117"/>
      <c r="AT2177" s="117"/>
      <c r="AU2177" s="117"/>
      <c r="AV2177" s="117"/>
      <c r="AW2177" s="117"/>
      <c r="AX2177" s="117"/>
      <c r="AY2177" s="117"/>
      <c r="AZ2177" s="117"/>
      <c r="BA2177" s="117"/>
      <c r="BB2177" s="117"/>
      <c r="BC2177" s="117"/>
      <c r="BD2177" s="117"/>
      <c r="BE2177" s="117"/>
      <c r="BF2177" s="117"/>
      <c r="BG2177" s="117"/>
    </row>
    <row r="2178" spans="1:59">
      <c r="A2178" s="117"/>
      <c r="B2178" s="117"/>
      <c r="C2178" s="117"/>
      <c r="D2178" s="117"/>
      <c r="E2178" s="117"/>
      <c r="F2178" s="117"/>
      <c r="G2178" s="117"/>
      <c r="H2178" s="117"/>
      <c r="I2178" s="117"/>
      <c r="J2178" s="118"/>
      <c r="K2178" s="118"/>
      <c r="L2178" s="118"/>
      <c r="M2178" s="118"/>
      <c r="N2178" s="117"/>
      <c r="O2178" s="117"/>
      <c r="P2178" s="117"/>
      <c r="Q2178" s="117"/>
      <c r="R2178" s="117"/>
      <c r="S2178" s="117"/>
      <c r="T2178" s="117"/>
      <c r="U2178" s="117"/>
      <c r="V2178" s="117"/>
      <c r="W2178" s="117"/>
      <c r="X2178" s="117"/>
      <c r="Y2178" s="117"/>
      <c r="Z2178" s="117"/>
      <c r="AA2178" s="117"/>
      <c r="AB2178" s="117"/>
      <c r="AC2178" s="117"/>
      <c r="AD2178" s="117"/>
      <c r="AE2178" s="117"/>
      <c r="AF2178" s="117"/>
      <c r="AG2178" s="117"/>
      <c r="AH2178" s="117"/>
      <c r="AI2178" s="117"/>
      <c r="AJ2178" s="117"/>
      <c r="AK2178" s="117"/>
      <c r="AL2178" s="117"/>
      <c r="AM2178" s="117"/>
      <c r="AN2178" s="117"/>
      <c r="AO2178" s="117"/>
      <c r="AP2178" s="117"/>
      <c r="AQ2178" s="117"/>
      <c r="AR2178" s="117"/>
      <c r="AS2178" s="117"/>
      <c r="AT2178" s="117"/>
      <c r="AU2178" s="117"/>
      <c r="AV2178" s="117"/>
      <c r="AW2178" s="117"/>
      <c r="AX2178" s="117"/>
      <c r="AY2178" s="117"/>
      <c r="AZ2178" s="117"/>
      <c r="BA2178" s="117"/>
      <c r="BB2178" s="117"/>
      <c r="BC2178" s="117"/>
      <c r="BD2178" s="117"/>
      <c r="BE2178" s="117"/>
      <c r="BF2178" s="117"/>
      <c r="BG2178" s="117"/>
    </row>
    <row r="2179" spans="1:59">
      <c r="A2179" s="117"/>
      <c r="B2179" s="117"/>
      <c r="C2179" s="117"/>
      <c r="D2179" s="117"/>
      <c r="E2179" s="117"/>
      <c r="F2179" s="117"/>
      <c r="G2179" s="117"/>
      <c r="H2179" s="117"/>
      <c r="I2179" s="117"/>
      <c r="J2179" s="118"/>
      <c r="K2179" s="118"/>
      <c r="L2179" s="118"/>
      <c r="M2179" s="118"/>
      <c r="N2179" s="117"/>
      <c r="O2179" s="117"/>
      <c r="P2179" s="117"/>
      <c r="Q2179" s="117"/>
      <c r="R2179" s="117"/>
      <c r="S2179" s="117"/>
      <c r="T2179" s="117"/>
      <c r="U2179" s="117"/>
      <c r="V2179" s="117"/>
      <c r="W2179" s="117"/>
      <c r="X2179" s="117"/>
      <c r="Y2179" s="117"/>
      <c r="Z2179" s="117"/>
      <c r="AA2179" s="117"/>
      <c r="AB2179" s="117"/>
      <c r="AC2179" s="117"/>
      <c r="AD2179" s="117"/>
      <c r="AE2179" s="117"/>
      <c r="AF2179" s="117"/>
      <c r="AG2179" s="117"/>
      <c r="AH2179" s="117"/>
      <c r="AI2179" s="117"/>
      <c r="AJ2179" s="117"/>
      <c r="AK2179" s="117"/>
      <c r="AL2179" s="117"/>
      <c r="AM2179" s="117"/>
      <c r="AN2179" s="117"/>
      <c r="AO2179" s="117"/>
      <c r="AP2179" s="117"/>
      <c r="AQ2179" s="117"/>
      <c r="AR2179" s="117"/>
      <c r="AS2179" s="117"/>
      <c r="AT2179" s="117"/>
      <c r="AU2179" s="117"/>
      <c r="AV2179" s="117"/>
      <c r="AW2179" s="117"/>
      <c r="AX2179" s="117"/>
      <c r="AY2179" s="117"/>
      <c r="AZ2179" s="117"/>
      <c r="BA2179" s="117"/>
      <c r="BB2179" s="117"/>
      <c r="BC2179" s="117"/>
      <c r="BD2179" s="117"/>
      <c r="BE2179" s="117"/>
      <c r="BF2179" s="117"/>
      <c r="BG2179" s="117"/>
    </row>
    <row r="2180" spans="1:59">
      <c r="A2180" s="117"/>
      <c r="B2180" s="117"/>
      <c r="C2180" s="117"/>
      <c r="D2180" s="117"/>
      <c r="E2180" s="117"/>
      <c r="F2180" s="117"/>
      <c r="G2180" s="117"/>
      <c r="H2180" s="117"/>
      <c r="I2180" s="117"/>
      <c r="J2180" s="118"/>
      <c r="K2180" s="118"/>
      <c r="L2180" s="118"/>
      <c r="M2180" s="118"/>
      <c r="N2180" s="117"/>
      <c r="O2180" s="117"/>
      <c r="P2180" s="117"/>
      <c r="Q2180" s="117"/>
      <c r="R2180" s="117"/>
      <c r="S2180" s="117"/>
      <c r="T2180" s="117"/>
      <c r="U2180" s="117"/>
      <c r="V2180" s="117"/>
      <c r="W2180" s="117"/>
      <c r="X2180" s="117"/>
      <c r="Y2180" s="117"/>
      <c r="Z2180" s="117"/>
      <c r="AA2180" s="117"/>
      <c r="AB2180" s="117"/>
      <c r="AC2180" s="117"/>
      <c r="AD2180" s="117"/>
      <c r="AE2180" s="117"/>
      <c r="AF2180" s="117"/>
      <c r="AG2180" s="117"/>
      <c r="AH2180" s="117"/>
      <c r="AI2180" s="117"/>
      <c r="AJ2180" s="117"/>
      <c r="AK2180" s="117"/>
      <c r="AL2180" s="117"/>
      <c r="AM2180" s="117"/>
      <c r="AN2180" s="117"/>
      <c r="AO2180" s="117"/>
      <c r="AP2180" s="117"/>
      <c r="AQ2180" s="117"/>
      <c r="AR2180" s="117"/>
      <c r="AS2180" s="117"/>
      <c r="AT2180" s="117"/>
      <c r="AU2180" s="117"/>
      <c r="AV2180" s="117"/>
      <c r="AW2180" s="117"/>
      <c r="AX2180" s="117"/>
      <c r="AY2180" s="117"/>
      <c r="AZ2180" s="117"/>
      <c r="BA2180" s="117"/>
      <c r="BB2180" s="117"/>
      <c r="BC2180" s="117"/>
      <c r="BD2180" s="117"/>
      <c r="BE2180" s="117"/>
      <c r="BF2180" s="117"/>
      <c r="BG2180" s="117"/>
    </row>
    <row r="2181" spans="1:59">
      <c r="A2181" s="117"/>
      <c r="B2181" s="117"/>
      <c r="C2181" s="117"/>
      <c r="D2181" s="117"/>
      <c r="E2181" s="117"/>
      <c r="F2181" s="117"/>
      <c r="G2181" s="117"/>
      <c r="H2181" s="117"/>
      <c r="I2181" s="117"/>
      <c r="J2181" s="118"/>
      <c r="K2181" s="118"/>
      <c r="L2181" s="118"/>
      <c r="M2181" s="118"/>
      <c r="N2181" s="117"/>
      <c r="O2181" s="117"/>
      <c r="P2181" s="117"/>
      <c r="Q2181" s="117"/>
      <c r="R2181" s="117"/>
      <c r="S2181" s="117"/>
      <c r="T2181" s="117"/>
      <c r="U2181" s="117"/>
      <c r="V2181" s="117"/>
      <c r="W2181" s="117"/>
      <c r="X2181" s="117"/>
      <c r="Y2181" s="117"/>
      <c r="Z2181" s="117"/>
      <c r="AA2181" s="117"/>
      <c r="AB2181" s="117"/>
      <c r="AC2181" s="117"/>
      <c r="AD2181" s="117"/>
      <c r="AE2181" s="117"/>
      <c r="AF2181" s="117"/>
      <c r="AG2181" s="117"/>
      <c r="AH2181" s="117"/>
      <c r="AI2181" s="117"/>
      <c r="AJ2181" s="117"/>
      <c r="AK2181" s="117"/>
      <c r="AL2181" s="117"/>
      <c r="AM2181" s="117"/>
      <c r="AN2181" s="117"/>
      <c r="AO2181" s="117"/>
      <c r="AP2181" s="117"/>
      <c r="AQ2181" s="117"/>
      <c r="AR2181" s="117"/>
      <c r="AS2181" s="117"/>
      <c r="AT2181" s="117"/>
      <c r="AU2181" s="117"/>
      <c r="AV2181" s="117"/>
      <c r="AW2181" s="117"/>
      <c r="AX2181" s="117"/>
      <c r="AY2181" s="117"/>
      <c r="AZ2181" s="117"/>
      <c r="BA2181" s="117"/>
      <c r="BB2181" s="117"/>
      <c r="BC2181" s="117"/>
      <c r="BD2181" s="117"/>
      <c r="BE2181" s="117"/>
      <c r="BF2181" s="117"/>
      <c r="BG2181" s="117"/>
    </row>
    <row r="2182" spans="1:59">
      <c r="A2182" s="117"/>
      <c r="B2182" s="117"/>
      <c r="C2182" s="117"/>
      <c r="D2182" s="117"/>
      <c r="E2182" s="117"/>
      <c r="F2182" s="117"/>
      <c r="G2182" s="117"/>
      <c r="H2182" s="117"/>
      <c r="I2182" s="117"/>
      <c r="J2182" s="118"/>
      <c r="K2182" s="118"/>
      <c r="L2182" s="118"/>
      <c r="M2182" s="118"/>
      <c r="N2182" s="117"/>
      <c r="O2182" s="117"/>
      <c r="P2182" s="117"/>
      <c r="Q2182" s="117"/>
      <c r="R2182" s="117"/>
      <c r="S2182" s="117"/>
      <c r="T2182" s="117"/>
      <c r="U2182" s="117"/>
      <c r="V2182" s="117"/>
      <c r="W2182" s="117"/>
      <c r="X2182" s="117"/>
      <c r="Y2182" s="117"/>
      <c r="Z2182" s="117"/>
      <c r="AA2182" s="117"/>
      <c r="AB2182" s="117"/>
      <c r="AC2182" s="117"/>
      <c r="AD2182" s="117"/>
      <c r="AE2182" s="117"/>
      <c r="AF2182" s="117"/>
      <c r="AG2182" s="117"/>
      <c r="AH2182" s="117"/>
      <c r="AI2182" s="117"/>
      <c r="AJ2182" s="117"/>
      <c r="AK2182" s="117"/>
      <c r="AL2182" s="117"/>
      <c r="AM2182" s="117"/>
      <c r="AN2182" s="117"/>
      <c r="AO2182" s="117"/>
      <c r="AP2182" s="117"/>
      <c r="AQ2182" s="117"/>
      <c r="AR2182" s="117"/>
      <c r="AS2182" s="117"/>
      <c r="AT2182" s="117"/>
      <c r="AU2182" s="117"/>
      <c r="AV2182" s="117"/>
      <c r="AW2182" s="117"/>
      <c r="AX2182" s="117"/>
      <c r="AY2182" s="117"/>
      <c r="AZ2182" s="117"/>
      <c r="BA2182" s="117"/>
      <c r="BB2182" s="117"/>
      <c r="BC2182" s="117"/>
      <c r="BD2182" s="117"/>
      <c r="BE2182" s="117"/>
      <c r="BF2182" s="117"/>
      <c r="BG2182" s="117"/>
    </row>
    <row r="2183" spans="1:59">
      <c r="A2183" s="117"/>
      <c r="B2183" s="117"/>
      <c r="C2183" s="117"/>
      <c r="D2183" s="117"/>
      <c r="E2183" s="117"/>
      <c r="F2183" s="117"/>
      <c r="G2183" s="117"/>
      <c r="H2183" s="117"/>
      <c r="I2183" s="117"/>
      <c r="J2183" s="118"/>
      <c r="K2183" s="118"/>
      <c r="L2183" s="118"/>
      <c r="M2183" s="118"/>
      <c r="N2183" s="117"/>
      <c r="O2183" s="117"/>
      <c r="P2183" s="117"/>
      <c r="Q2183" s="117"/>
      <c r="R2183" s="117"/>
      <c r="S2183" s="117"/>
      <c r="T2183" s="117"/>
      <c r="U2183" s="117"/>
      <c r="V2183" s="117"/>
      <c r="W2183" s="117"/>
      <c r="X2183" s="117"/>
      <c r="Y2183" s="117"/>
      <c r="Z2183" s="117"/>
      <c r="AA2183" s="117"/>
      <c r="AB2183" s="117"/>
      <c r="AC2183" s="117"/>
      <c r="AD2183" s="117"/>
      <c r="AE2183" s="117"/>
      <c r="AF2183" s="117"/>
      <c r="AG2183" s="117"/>
      <c r="AH2183" s="117"/>
      <c r="AI2183" s="117"/>
      <c r="AJ2183" s="117"/>
      <c r="AK2183" s="117"/>
      <c r="AL2183" s="117"/>
      <c r="AM2183" s="117"/>
      <c r="AN2183" s="117"/>
      <c r="AO2183" s="117"/>
      <c r="AP2183" s="117"/>
      <c r="AQ2183" s="117"/>
      <c r="AR2183" s="117"/>
      <c r="AS2183" s="117"/>
      <c r="AT2183" s="117"/>
      <c r="AU2183" s="117"/>
      <c r="AV2183" s="117"/>
      <c r="AW2183" s="117"/>
      <c r="AX2183" s="117"/>
      <c r="AY2183" s="117"/>
      <c r="AZ2183" s="117"/>
      <c r="BA2183" s="117"/>
      <c r="BB2183" s="117"/>
      <c r="BC2183" s="117"/>
      <c r="BD2183" s="117"/>
      <c r="BE2183" s="117"/>
      <c r="BF2183" s="117"/>
      <c r="BG2183" s="117"/>
    </row>
    <row r="2184" spans="1:59">
      <c r="A2184" s="117"/>
      <c r="B2184" s="117"/>
      <c r="C2184" s="117"/>
      <c r="D2184" s="117"/>
      <c r="E2184" s="117"/>
      <c r="F2184" s="117"/>
      <c r="G2184" s="117"/>
      <c r="H2184" s="117"/>
      <c r="I2184" s="117"/>
      <c r="J2184" s="118"/>
      <c r="K2184" s="118"/>
      <c r="L2184" s="118"/>
      <c r="M2184" s="118"/>
      <c r="N2184" s="117"/>
      <c r="O2184" s="117"/>
      <c r="P2184" s="117"/>
      <c r="Q2184" s="117"/>
      <c r="R2184" s="117"/>
      <c r="S2184" s="117"/>
      <c r="T2184" s="117"/>
      <c r="U2184" s="117"/>
      <c r="V2184" s="117"/>
      <c r="W2184" s="117"/>
      <c r="X2184" s="117"/>
      <c r="Y2184" s="117"/>
      <c r="Z2184" s="117"/>
      <c r="AA2184" s="117"/>
      <c r="AB2184" s="117"/>
      <c r="AC2184" s="117"/>
      <c r="AD2184" s="117"/>
      <c r="AE2184" s="117"/>
      <c r="AF2184" s="117"/>
      <c r="AG2184" s="117"/>
      <c r="AH2184" s="117"/>
      <c r="AI2184" s="117"/>
      <c r="AJ2184" s="117"/>
      <c r="AK2184" s="117"/>
      <c r="AL2184" s="117"/>
      <c r="AM2184" s="117"/>
      <c r="AN2184" s="117"/>
      <c r="AO2184" s="117"/>
      <c r="AP2184" s="117"/>
      <c r="AQ2184" s="117"/>
      <c r="AR2184" s="117"/>
      <c r="AS2184" s="117"/>
      <c r="AT2184" s="117"/>
      <c r="AU2184" s="117"/>
      <c r="AV2184" s="117"/>
      <c r="AW2184" s="117"/>
      <c r="AX2184" s="117"/>
      <c r="AY2184" s="117"/>
      <c r="AZ2184" s="117"/>
      <c r="BA2184" s="117"/>
      <c r="BB2184" s="117"/>
      <c r="BC2184" s="117"/>
      <c r="BD2184" s="117"/>
      <c r="BE2184" s="117"/>
      <c r="BF2184" s="117"/>
      <c r="BG2184" s="117"/>
    </row>
    <row r="2185" spans="1:59">
      <c r="A2185" s="117"/>
      <c r="B2185" s="117"/>
      <c r="C2185" s="117"/>
      <c r="D2185" s="117"/>
      <c r="E2185" s="117"/>
      <c r="F2185" s="117"/>
      <c r="G2185" s="117"/>
      <c r="H2185" s="117"/>
      <c r="I2185" s="117"/>
      <c r="J2185" s="118"/>
      <c r="K2185" s="118"/>
      <c r="L2185" s="118"/>
      <c r="M2185" s="118"/>
      <c r="N2185" s="117"/>
      <c r="O2185" s="117"/>
      <c r="P2185" s="117"/>
      <c r="Q2185" s="117"/>
      <c r="R2185" s="117"/>
      <c r="S2185" s="117"/>
      <c r="T2185" s="117"/>
      <c r="U2185" s="117"/>
      <c r="V2185" s="117"/>
      <c r="W2185" s="117"/>
      <c r="X2185" s="117"/>
      <c r="Y2185" s="117"/>
      <c r="Z2185" s="117"/>
      <c r="AA2185" s="117"/>
      <c r="AB2185" s="117"/>
      <c r="AC2185" s="117"/>
      <c r="AD2185" s="117"/>
      <c r="AE2185" s="117"/>
      <c r="AF2185" s="117"/>
      <c r="AG2185" s="117"/>
      <c r="AH2185" s="117"/>
      <c r="AI2185" s="117"/>
      <c r="AJ2185" s="117"/>
      <c r="AK2185" s="117"/>
      <c r="AL2185" s="117"/>
      <c r="AM2185" s="117"/>
      <c r="AN2185" s="117"/>
      <c r="AO2185" s="117"/>
      <c r="AP2185" s="117"/>
      <c r="AQ2185" s="117"/>
      <c r="AR2185" s="117"/>
      <c r="AS2185" s="117"/>
      <c r="AT2185" s="117"/>
      <c r="AU2185" s="117"/>
      <c r="AV2185" s="117"/>
      <c r="AW2185" s="117"/>
      <c r="AX2185" s="117"/>
      <c r="AY2185" s="117"/>
      <c r="AZ2185" s="117"/>
      <c r="BA2185" s="117"/>
      <c r="BB2185" s="117"/>
      <c r="BC2185" s="117"/>
      <c r="BD2185" s="117"/>
      <c r="BE2185" s="117"/>
      <c r="BF2185" s="117"/>
      <c r="BG2185" s="117"/>
    </row>
    <row r="2186" spans="1:59">
      <c r="A2186" s="117"/>
      <c r="B2186" s="117"/>
      <c r="C2186" s="117"/>
      <c r="D2186" s="117"/>
      <c r="E2186" s="117"/>
      <c r="F2186" s="117"/>
      <c r="G2186" s="117"/>
      <c r="H2186" s="117"/>
      <c r="I2186" s="117"/>
      <c r="J2186" s="118"/>
      <c r="K2186" s="118"/>
      <c r="L2186" s="118"/>
      <c r="M2186" s="118"/>
      <c r="N2186" s="117"/>
      <c r="O2186" s="117"/>
      <c r="P2186" s="117"/>
      <c r="Q2186" s="117"/>
      <c r="R2186" s="117"/>
      <c r="S2186" s="117"/>
      <c r="T2186" s="117"/>
      <c r="U2186" s="117"/>
      <c r="V2186" s="117"/>
      <c r="W2186" s="117"/>
      <c r="X2186" s="117"/>
      <c r="Y2186" s="117"/>
      <c r="Z2186" s="117"/>
      <c r="AA2186" s="117"/>
      <c r="AB2186" s="117"/>
      <c r="AC2186" s="117"/>
      <c r="AD2186" s="117"/>
      <c r="AE2186" s="117"/>
      <c r="AF2186" s="117"/>
      <c r="AG2186" s="117"/>
      <c r="AH2186" s="117"/>
      <c r="AI2186" s="117"/>
      <c r="AJ2186" s="117"/>
      <c r="AK2186" s="117"/>
      <c r="AL2186" s="117"/>
      <c r="AM2186" s="117"/>
      <c r="AN2186" s="117"/>
      <c r="AO2186" s="117"/>
      <c r="AP2186" s="117"/>
      <c r="AQ2186" s="117"/>
      <c r="AR2186" s="117"/>
      <c r="AS2186" s="117"/>
      <c r="AT2186" s="117"/>
      <c r="AU2186" s="117"/>
      <c r="AV2186" s="117"/>
      <c r="AW2186" s="117"/>
      <c r="AX2186" s="117"/>
      <c r="AY2186" s="117"/>
      <c r="AZ2186" s="117"/>
      <c r="BA2186" s="117"/>
      <c r="BB2186" s="117"/>
      <c r="BC2186" s="117"/>
      <c r="BD2186" s="117"/>
      <c r="BE2186" s="117"/>
      <c r="BF2186" s="117"/>
      <c r="BG2186" s="117"/>
    </row>
    <row r="2187" spans="1:59">
      <c r="A2187" s="117"/>
      <c r="B2187" s="117"/>
      <c r="C2187" s="117"/>
      <c r="D2187" s="117"/>
      <c r="E2187" s="117"/>
      <c r="F2187" s="117"/>
      <c r="G2187" s="117"/>
      <c r="H2187" s="117"/>
      <c r="I2187" s="117"/>
      <c r="J2187" s="118"/>
      <c r="K2187" s="118"/>
      <c r="L2187" s="118"/>
      <c r="M2187" s="118"/>
      <c r="N2187" s="117"/>
      <c r="O2187" s="117"/>
      <c r="P2187" s="117"/>
      <c r="Q2187" s="117"/>
      <c r="R2187" s="117"/>
      <c r="S2187" s="117"/>
      <c r="T2187" s="117"/>
      <c r="U2187" s="117"/>
      <c r="V2187" s="117"/>
      <c r="W2187" s="117"/>
      <c r="X2187" s="117"/>
      <c r="Y2187" s="117"/>
      <c r="Z2187" s="117"/>
      <c r="AA2187" s="117"/>
      <c r="AB2187" s="117"/>
      <c r="AC2187" s="117"/>
      <c r="AD2187" s="117"/>
      <c r="AE2187" s="117"/>
      <c r="AF2187" s="117"/>
      <c r="AG2187" s="117"/>
      <c r="AH2187" s="117"/>
      <c r="AI2187" s="117"/>
      <c r="AJ2187" s="117"/>
      <c r="AK2187" s="117"/>
      <c r="AL2187" s="117"/>
      <c r="AM2187" s="117"/>
      <c r="AN2187" s="117"/>
      <c r="AO2187" s="117"/>
      <c r="AP2187" s="117"/>
      <c r="AQ2187" s="117"/>
      <c r="AR2187" s="117"/>
      <c r="AS2187" s="117"/>
      <c r="AT2187" s="117"/>
      <c r="AU2187" s="117"/>
      <c r="AV2187" s="117"/>
      <c r="AW2187" s="117"/>
      <c r="AX2187" s="117"/>
      <c r="AY2187" s="117"/>
      <c r="AZ2187" s="117"/>
      <c r="BA2187" s="117"/>
      <c r="BB2187" s="117"/>
      <c r="BC2187" s="117"/>
      <c r="BD2187" s="117"/>
      <c r="BE2187" s="117"/>
      <c r="BF2187" s="117"/>
      <c r="BG2187" s="117"/>
    </row>
    <row r="2188" spans="1:59">
      <c r="A2188" s="117"/>
      <c r="B2188" s="117"/>
      <c r="C2188" s="117"/>
      <c r="D2188" s="117"/>
      <c r="E2188" s="117"/>
      <c r="F2188" s="117"/>
      <c r="G2188" s="117"/>
      <c r="H2188" s="117"/>
      <c r="I2188" s="117"/>
      <c r="J2188" s="118"/>
      <c r="K2188" s="118"/>
      <c r="L2188" s="118"/>
      <c r="M2188" s="118"/>
      <c r="N2188" s="117"/>
      <c r="O2188" s="117"/>
      <c r="P2188" s="117"/>
      <c r="Q2188" s="117"/>
      <c r="R2188" s="117"/>
      <c r="S2188" s="117"/>
      <c r="T2188" s="117"/>
      <c r="U2188" s="117"/>
      <c r="V2188" s="117"/>
      <c r="W2188" s="117"/>
      <c r="X2188" s="117"/>
      <c r="Y2188" s="117"/>
      <c r="Z2188" s="117"/>
      <c r="AA2188" s="117"/>
      <c r="AB2188" s="117"/>
      <c r="AC2188" s="117"/>
      <c r="AD2188" s="117"/>
      <c r="AE2188" s="117"/>
      <c r="AF2188" s="117"/>
      <c r="AG2188" s="117"/>
      <c r="AH2188" s="117"/>
      <c r="AI2188" s="117"/>
      <c r="AJ2188" s="117"/>
      <c r="AK2188" s="117"/>
      <c r="AL2188" s="117"/>
      <c r="AM2188" s="117"/>
      <c r="AN2188" s="117"/>
      <c r="AO2188" s="117"/>
      <c r="AP2188" s="117"/>
      <c r="AQ2188" s="117"/>
      <c r="AR2188" s="117"/>
      <c r="AS2188" s="117"/>
      <c r="AT2188" s="117"/>
      <c r="AU2188" s="117"/>
      <c r="AV2188" s="117"/>
      <c r="AW2188" s="117"/>
      <c r="AX2188" s="117"/>
      <c r="AY2188" s="117"/>
      <c r="AZ2188" s="117"/>
      <c r="BA2188" s="117"/>
      <c r="BB2188" s="117"/>
      <c r="BC2188" s="117"/>
      <c r="BD2188" s="117"/>
      <c r="BE2188" s="117"/>
      <c r="BF2188" s="117"/>
      <c r="BG2188" s="117"/>
    </row>
    <row r="2189" spans="1:59">
      <c r="A2189" s="117"/>
      <c r="B2189" s="117"/>
      <c r="C2189" s="117"/>
      <c r="D2189" s="117"/>
      <c r="E2189" s="117"/>
      <c r="F2189" s="117"/>
      <c r="G2189" s="117"/>
      <c r="H2189" s="117"/>
      <c r="I2189" s="117"/>
      <c r="J2189" s="118"/>
      <c r="K2189" s="118"/>
      <c r="L2189" s="118"/>
      <c r="M2189" s="118"/>
      <c r="N2189" s="117"/>
      <c r="O2189" s="117"/>
      <c r="P2189" s="117"/>
      <c r="Q2189" s="117"/>
      <c r="R2189" s="117"/>
      <c r="S2189" s="117"/>
      <c r="T2189" s="117"/>
      <c r="U2189" s="117"/>
      <c r="V2189" s="117"/>
      <c r="W2189" s="117"/>
      <c r="X2189" s="117"/>
      <c r="Y2189" s="117"/>
      <c r="Z2189" s="117"/>
      <c r="AA2189" s="117"/>
      <c r="AB2189" s="117"/>
      <c r="AC2189" s="117"/>
      <c r="AD2189" s="117"/>
      <c r="AE2189" s="117"/>
      <c r="AF2189" s="117"/>
      <c r="AG2189" s="117"/>
      <c r="AH2189" s="117"/>
      <c r="AI2189" s="117"/>
      <c r="AJ2189" s="117"/>
      <c r="AK2189" s="117"/>
      <c r="AL2189" s="117"/>
      <c r="AM2189" s="117"/>
      <c r="AN2189" s="117"/>
      <c r="AO2189" s="117"/>
      <c r="AP2189" s="117"/>
      <c r="AQ2189" s="117"/>
      <c r="AR2189" s="117"/>
      <c r="AS2189" s="117"/>
      <c r="AT2189" s="117"/>
      <c r="AU2189" s="117"/>
      <c r="AV2189" s="117"/>
      <c r="AW2189" s="117"/>
      <c r="AX2189" s="117"/>
      <c r="AY2189" s="117"/>
      <c r="AZ2189" s="117"/>
      <c r="BA2189" s="117"/>
      <c r="BB2189" s="117"/>
      <c r="BC2189" s="117"/>
      <c r="BD2189" s="117"/>
      <c r="BE2189" s="117"/>
      <c r="BF2189" s="117"/>
      <c r="BG2189" s="117"/>
    </row>
    <row r="2190" spans="1:59">
      <c r="A2190" s="117"/>
      <c r="B2190" s="117"/>
      <c r="C2190" s="117"/>
      <c r="D2190" s="117"/>
      <c r="E2190" s="117"/>
      <c r="F2190" s="117"/>
      <c r="G2190" s="117"/>
      <c r="H2190" s="117"/>
      <c r="I2190" s="117"/>
      <c r="J2190" s="118"/>
      <c r="K2190" s="118"/>
      <c r="L2190" s="118"/>
      <c r="M2190" s="118"/>
      <c r="N2190" s="117"/>
      <c r="O2190" s="117"/>
      <c r="P2190" s="117"/>
      <c r="Q2190" s="117"/>
      <c r="R2190" s="117"/>
      <c r="S2190" s="117"/>
      <c r="T2190" s="117"/>
      <c r="U2190" s="117"/>
      <c r="V2190" s="117"/>
      <c r="W2190" s="117"/>
      <c r="X2190" s="117"/>
      <c r="Y2190" s="117"/>
      <c r="Z2190" s="117"/>
      <c r="AA2190" s="117"/>
      <c r="AB2190" s="117"/>
      <c r="AC2190" s="117"/>
      <c r="AD2190" s="117"/>
      <c r="AE2190" s="117"/>
      <c r="AF2190" s="117"/>
      <c r="AG2190" s="117"/>
      <c r="AH2190" s="117"/>
      <c r="AI2190" s="117"/>
      <c r="AJ2190" s="117"/>
      <c r="AK2190" s="117"/>
      <c r="AL2190" s="117"/>
      <c r="AM2190" s="117"/>
      <c r="AN2190" s="117"/>
      <c r="AO2190" s="117"/>
      <c r="AP2190" s="117"/>
      <c r="AQ2190" s="117"/>
      <c r="AR2190" s="117"/>
      <c r="AS2190" s="117"/>
      <c r="AT2190" s="117"/>
      <c r="AU2190" s="117"/>
      <c r="AV2190" s="117"/>
      <c r="AW2190" s="117"/>
      <c r="AX2190" s="117"/>
      <c r="AY2190" s="117"/>
      <c r="AZ2190" s="117"/>
      <c r="BA2190" s="117"/>
      <c r="BB2190" s="117"/>
      <c r="BC2190" s="117"/>
      <c r="BD2190" s="117"/>
      <c r="BE2190" s="117"/>
      <c r="BF2190" s="117"/>
      <c r="BG2190" s="117"/>
    </row>
    <row r="2191" spans="1:59">
      <c r="A2191" s="117"/>
      <c r="B2191" s="117"/>
      <c r="C2191" s="117"/>
      <c r="D2191" s="117"/>
      <c r="E2191" s="117"/>
      <c r="F2191" s="117"/>
      <c r="G2191" s="117"/>
      <c r="H2191" s="117"/>
      <c r="I2191" s="117"/>
      <c r="J2191" s="118"/>
      <c r="K2191" s="118"/>
      <c r="L2191" s="118"/>
      <c r="M2191" s="118"/>
      <c r="N2191" s="117"/>
      <c r="O2191" s="117"/>
      <c r="P2191" s="117"/>
      <c r="Q2191" s="117"/>
      <c r="R2191" s="117"/>
      <c r="S2191" s="117"/>
      <c r="T2191" s="117"/>
      <c r="U2191" s="117"/>
      <c r="V2191" s="117"/>
      <c r="W2191" s="117"/>
      <c r="X2191" s="117"/>
      <c r="Y2191" s="117"/>
      <c r="Z2191" s="117"/>
      <c r="AA2191" s="117"/>
      <c r="AB2191" s="117"/>
      <c r="AC2191" s="117"/>
      <c r="AD2191" s="117"/>
      <c r="AE2191" s="117"/>
      <c r="AF2191" s="117"/>
      <c r="AG2191" s="117"/>
      <c r="AH2191" s="117"/>
      <c r="AI2191" s="117"/>
      <c r="AJ2191" s="117"/>
      <c r="AK2191" s="117"/>
      <c r="AL2191" s="117"/>
      <c r="AM2191" s="117"/>
      <c r="AN2191" s="117"/>
      <c r="AO2191" s="117"/>
      <c r="AP2191" s="117"/>
      <c r="AQ2191" s="117"/>
      <c r="AR2191" s="117"/>
      <c r="AS2191" s="117"/>
      <c r="AT2191" s="117"/>
      <c r="AU2191" s="117"/>
      <c r="AV2191" s="117"/>
      <c r="AW2191" s="117"/>
      <c r="AX2191" s="117"/>
      <c r="AY2191" s="117"/>
      <c r="AZ2191" s="117"/>
      <c r="BA2191" s="117"/>
      <c r="BB2191" s="117"/>
      <c r="BC2191" s="117"/>
      <c r="BD2191" s="117"/>
      <c r="BE2191" s="117"/>
      <c r="BF2191" s="117"/>
      <c r="BG2191" s="117"/>
    </row>
    <row r="2192" spans="1:59">
      <c r="A2192" s="117"/>
      <c r="B2192" s="117"/>
      <c r="C2192" s="117"/>
      <c r="D2192" s="117"/>
      <c r="E2192" s="117"/>
      <c r="F2192" s="117"/>
      <c r="G2192" s="117"/>
      <c r="H2192" s="117"/>
      <c r="I2192" s="117"/>
      <c r="J2192" s="118"/>
      <c r="K2192" s="118"/>
      <c r="L2192" s="118"/>
      <c r="M2192" s="118"/>
      <c r="N2192" s="117"/>
      <c r="O2192" s="117"/>
      <c r="P2192" s="117"/>
      <c r="Q2192" s="117"/>
      <c r="R2192" s="117"/>
      <c r="S2192" s="117"/>
      <c r="T2192" s="117"/>
      <c r="U2192" s="117"/>
      <c r="V2192" s="117"/>
      <c r="W2192" s="117"/>
      <c r="X2192" s="117"/>
      <c r="Y2192" s="117"/>
      <c r="Z2192" s="117"/>
      <c r="AA2192" s="117"/>
      <c r="AB2192" s="117"/>
      <c r="AC2192" s="117"/>
      <c r="AD2192" s="117"/>
      <c r="AE2192" s="117"/>
      <c r="AF2192" s="117"/>
      <c r="AG2192" s="117"/>
      <c r="AH2192" s="117"/>
      <c r="AI2192" s="117"/>
      <c r="AJ2192" s="117"/>
      <c r="AK2192" s="117"/>
      <c r="AL2192" s="117"/>
      <c r="AM2192" s="117"/>
      <c r="AN2192" s="117"/>
      <c r="AO2192" s="117"/>
      <c r="AP2192" s="117"/>
      <c r="AQ2192" s="117"/>
      <c r="AR2192" s="117"/>
      <c r="AS2192" s="117"/>
      <c r="AT2192" s="117"/>
      <c r="AU2192" s="117"/>
      <c r="AV2192" s="117"/>
      <c r="AW2192" s="117"/>
      <c r="AX2192" s="117"/>
      <c r="AY2192" s="117"/>
      <c r="AZ2192" s="117"/>
      <c r="BA2192" s="117"/>
      <c r="BB2192" s="117"/>
      <c r="BC2192" s="117"/>
      <c r="BD2192" s="117"/>
      <c r="BE2192" s="117"/>
      <c r="BF2192" s="117"/>
      <c r="BG2192" s="117"/>
    </row>
    <row r="2193" spans="1:59">
      <c r="A2193" s="117"/>
      <c r="B2193" s="117"/>
      <c r="C2193" s="117"/>
      <c r="D2193" s="117"/>
      <c r="E2193" s="117"/>
      <c r="F2193" s="117"/>
      <c r="G2193" s="117"/>
      <c r="H2193" s="117"/>
      <c r="I2193" s="117"/>
      <c r="J2193" s="118"/>
      <c r="K2193" s="118"/>
      <c r="L2193" s="118"/>
      <c r="M2193" s="118"/>
      <c r="N2193" s="117"/>
      <c r="O2193" s="117"/>
      <c r="P2193" s="117"/>
      <c r="Q2193" s="117"/>
      <c r="R2193" s="117"/>
      <c r="S2193" s="117"/>
      <c r="T2193" s="117"/>
      <c r="U2193" s="117"/>
      <c r="V2193" s="117"/>
      <c r="W2193" s="117"/>
      <c r="X2193" s="117"/>
      <c r="Y2193" s="117"/>
      <c r="Z2193" s="117"/>
      <c r="AA2193" s="117"/>
      <c r="AB2193" s="117"/>
      <c r="AC2193" s="117"/>
      <c r="AD2193" s="117"/>
      <c r="AE2193" s="117"/>
      <c r="AF2193" s="117"/>
      <c r="AG2193" s="117"/>
      <c r="AH2193" s="117"/>
      <c r="AI2193" s="117"/>
      <c r="AJ2193" s="117"/>
      <c r="AK2193" s="117"/>
      <c r="AL2193" s="117"/>
      <c r="AM2193" s="117"/>
      <c r="AN2193" s="117"/>
      <c r="AO2193" s="117"/>
      <c r="AP2193" s="117"/>
      <c r="AQ2193" s="117"/>
      <c r="AR2193" s="117"/>
      <c r="AS2193" s="117"/>
      <c r="AT2193" s="117"/>
      <c r="AU2193" s="117"/>
      <c r="AV2193" s="117"/>
      <c r="AW2193" s="117"/>
      <c r="AX2193" s="117"/>
      <c r="AY2193" s="117"/>
      <c r="AZ2193" s="117"/>
      <c r="BA2193" s="117"/>
      <c r="BB2193" s="117"/>
      <c r="BC2193" s="117"/>
      <c r="BD2193" s="117"/>
      <c r="BE2193" s="117"/>
      <c r="BF2193" s="117"/>
      <c r="BG2193" s="117"/>
    </row>
    <row r="2194" spans="1:59">
      <c r="A2194" s="117"/>
      <c r="B2194" s="117"/>
      <c r="C2194" s="117"/>
      <c r="D2194" s="117"/>
      <c r="E2194" s="117"/>
      <c r="F2194" s="117"/>
      <c r="G2194" s="117"/>
      <c r="H2194" s="117"/>
      <c r="I2194" s="117"/>
      <c r="J2194" s="118"/>
      <c r="K2194" s="118"/>
      <c r="L2194" s="118"/>
      <c r="M2194" s="118"/>
      <c r="N2194" s="117"/>
      <c r="O2194" s="117"/>
      <c r="P2194" s="117"/>
      <c r="Q2194" s="117"/>
      <c r="R2194" s="117"/>
      <c r="S2194" s="117"/>
      <c r="T2194" s="117"/>
      <c r="U2194" s="117"/>
      <c r="V2194" s="117"/>
      <c r="W2194" s="117"/>
      <c r="X2194" s="117"/>
      <c r="Y2194" s="117"/>
      <c r="Z2194" s="117"/>
      <c r="AA2194" s="117"/>
      <c r="AB2194" s="117"/>
      <c r="AC2194" s="117"/>
      <c r="AD2194" s="117"/>
      <c r="AE2194" s="117"/>
      <c r="AF2194" s="117"/>
      <c r="AG2194" s="117"/>
      <c r="AH2194" s="117"/>
      <c r="AI2194" s="117"/>
      <c r="AJ2194" s="117"/>
      <c r="AK2194" s="117"/>
      <c r="AL2194" s="117"/>
      <c r="AM2194" s="117"/>
      <c r="AN2194" s="117"/>
      <c r="AO2194" s="117"/>
      <c r="AP2194" s="117"/>
      <c r="AQ2194" s="117"/>
      <c r="AR2194" s="117"/>
      <c r="AS2194" s="117"/>
      <c r="AT2194" s="117"/>
      <c r="AU2194" s="117"/>
      <c r="AV2194" s="117"/>
      <c r="AW2194" s="117"/>
      <c r="AX2194" s="117"/>
      <c r="AY2194" s="117"/>
      <c r="AZ2194" s="117"/>
      <c r="BA2194" s="117"/>
      <c r="BB2194" s="117"/>
      <c r="BC2194" s="117"/>
      <c r="BD2194" s="117"/>
      <c r="BE2194" s="117"/>
      <c r="BF2194" s="117"/>
      <c r="BG2194" s="117"/>
    </row>
    <row r="2195" spans="1:59">
      <c r="A2195" s="117"/>
      <c r="B2195" s="117"/>
      <c r="C2195" s="117"/>
      <c r="D2195" s="117"/>
      <c r="E2195" s="117"/>
      <c r="F2195" s="117"/>
      <c r="G2195" s="117"/>
      <c r="H2195" s="117"/>
      <c r="I2195" s="117"/>
      <c r="J2195" s="118"/>
      <c r="K2195" s="118"/>
      <c r="L2195" s="118"/>
      <c r="M2195" s="118"/>
      <c r="N2195" s="117"/>
      <c r="O2195" s="117"/>
      <c r="P2195" s="117"/>
      <c r="Q2195" s="117"/>
      <c r="R2195" s="117"/>
      <c r="S2195" s="117"/>
      <c r="T2195" s="117"/>
      <c r="U2195" s="117"/>
      <c r="V2195" s="117"/>
      <c r="W2195" s="117"/>
      <c r="X2195" s="117"/>
      <c r="Y2195" s="117"/>
      <c r="Z2195" s="117"/>
      <c r="AA2195" s="117"/>
      <c r="AB2195" s="117"/>
      <c r="AC2195" s="117"/>
      <c r="AD2195" s="117"/>
      <c r="AE2195" s="117"/>
      <c r="AF2195" s="117"/>
      <c r="AG2195" s="117"/>
      <c r="AH2195" s="117"/>
      <c r="AI2195" s="117"/>
      <c r="AJ2195" s="117"/>
      <c r="AK2195" s="117"/>
      <c r="AL2195" s="117"/>
      <c r="AM2195" s="117"/>
      <c r="AN2195" s="117"/>
      <c r="AO2195" s="117"/>
      <c r="AP2195" s="117"/>
      <c r="AQ2195" s="117"/>
      <c r="AR2195" s="117"/>
      <c r="AS2195" s="117"/>
      <c r="AT2195" s="117"/>
      <c r="AU2195" s="117"/>
      <c r="AV2195" s="117"/>
      <c r="AW2195" s="117"/>
      <c r="AX2195" s="117"/>
      <c r="AY2195" s="117"/>
      <c r="AZ2195" s="117"/>
      <c r="BA2195" s="117"/>
      <c r="BB2195" s="117"/>
      <c r="BC2195" s="117"/>
      <c r="BD2195" s="117"/>
      <c r="BE2195" s="117"/>
      <c r="BF2195" s="117"/>
      <c r="BG2195" s="117"/>
    </row>
    <row r="2196" spans="1:59">
      <c r="A2196" s="117"/>
      <c r="B2196" s="117"/>
      <c r="C2196" s="117"/>
      <c r="D2196" s="117"/>
      <c r="E2196" s="117"/>
      <c r="F2196" s="117"/>
      <c r="G2196" s="117"/>
      <c r="H2196" s="117"/>
      <c r="I2196" s="117"/>
      <c r="J2196" s="118"/>
      <c r="K2196" s="118"/>
      <c r="L2196" s="118"/>
      <c r="M2196" s="118"/>
      <c r="N2196" s="117"/>
      <c r="O2196" s="117"/>
      <c r="P2196" s="117"/>
      <c r="Q2196" s="117"/>
      <c r="R2196" s="117"/>
      <c r="S2196" s="117"/>
      <c r="T2196" s="117"/>
      <c r="U2196" s="117"/>
      <c r="V2196" s="117"/>
      <c r="W2196" s="117"/>
      <c r="X2196" s="117"/>
      <c r="Y2196" s="117"/>
      <c r="Z2196" s="117"/>
      <c r="AA2196" s="117"/>
      <c r="AB2196" s="117"/>
      <c r="AC2196" s="117"/>
      <c r="AD2196" s="117"/>
      <c r="AE2196" s="117"/>
      <c r="AF2196" s="117"/>
      <c r="AG2196" s="117"/>
      <c r="AH2196" s="117"/>
      <c r="AI2196" s="117"/>
      <c r="AJ2196" s="117"/>
      <c r="AK2196" s="117"/>
      <c r="AL2196" s="117"/>
      <c r="AM2196" s="117"/>
      <c r="AN2196" s="117"/>
      <c r="AO2196" s="117"/>
      <c r="AP2196" s="117"/>
      <c r="AQ2196" s="117"/>
      <c r="AR2196" s="117"/>
      <c r="AS2196" s="117"/>
      <c r="AT2196" s="117"/>
      <c r="AU2196" s="117"/>
      <c r="AV2196" s="117"/>
      <c r="AW2196" s="117"/>
      <c r="AX2196" s="117"/>
      <c r="AY2196" s="117"/>
      <c r="AZ2196" s="117"/>
      <c r="BA2196" s="117"/>
      <c r="BB2196" s="117"/>
      <c r="BC2196" s="117"/>
      <c r="BD2196" s="117"/>
      <c r="BE2196" s="117"/>
      <c r="BF2196" s="117"/>
      <c r="BG2196" s="117"/>
    </row>
    <row r="2197" spans="1:59">
      <c r="A2197" s="117"/>
      <c r="B2197" s="117"/>
      <c r="C2197" s="117"/>
      <c r="D2197" s="117"/>
      <c r="E2197" s="117"/>
      <c r="F2197" s="117"/>
      <c r="G2197" s="117"/>
      <c r="H2197" s="117"/>
      <c r="I2197" s="117"/>
      <c r="J2197" s="118"/>
      <c r="K2197" s="118"/>
      <c r="L2197" s="118"/>
      <c r="M2197" s="118"/>
      <c r="N2197" s="117"/>
      <c r="O2197" s="117"/>
      <c r="P2197" s="117"/>
      <c r="Q2197" s="117"/>
      <c r="R2197" s="117"/>
      <c r="S2197" s="117"/>
      <c r="T2197" s="117"/>
      <c r="U2197" s="117"/>
      <c r="V2197" s="117"/>
      <c r="W2197" s="117"/>
      <c r="X2197" s="117"/>
      <c r="Y2197" s="117"/>
      <c r="Z2197" s="117"/>
      <c r="AA2197" s="117"/>
      <c r="AB2197" s="117"/>
      <c r="AC2197" s="117"/>
      <c r="AD2197" s="117"/>
      <c r="AE2197" s="117"/>
      <c r="AF2197" s="117"/>
      <c r="AG2197" s="117"/>
      <c r="AH2197" s="117"/>
      <c r="AI2197" s="117"/>
      <c r="AJ2197" s="117"/>
      <c r="AK2197" s="117"/>
      <c r="AL2197" s="117"/>
      <c r="AM2197" s="117"/>
      <c r="AN2197" s="117"/>
      <c r="AO2197" s="117"/>
      <c r="AP2197" s="117"/>
      <c r="AQ2197" s="117"/>
      <c r="AR2197" s="117"/>
      <c r="AS2197" s="117"/>
      <c r="AT2197" s="117"/>
      <c r="AU2197" s="117"/>
      <c r="AV2197" s="117"/>
      <c r="AW2197" s="117"/>
      <c r="AX2197" s="117"/>
      <c r="AY2197" s="117"/>
      <c r="AZ2197" s="117"/>
      <c r="BA2197" s="117"/>
      <c r="BB2197" s="117"/>
      <c r="BC2197" s="117"/>
      <c r="BD2197" s="117"/>
      <c r="BE2197" s="117"/>
      <c r="BF2197" s="117"/>
      <c r="BG2197" s="117"/>
    </row>
    <row r="2198" spans="1:59">
      <c r="A2198" s="117"/>
      <c r="B2198" s="117"/>
      <c r="C2198" s="117"/>
      <c r="D2198" s="117"/>
      <c r="E2198" s="117"/>
      <c r="F2198" s="117"/>
      <c r="G2198" s="117"/>
      <c r="H2198" s="117"/>
      <c r="I2198" s="117"/>
      <c r="J2198" s="118"/>
      <c r="K2198" s="118"/>
      <c r="L2198" s="118"/>
      <c r="M2198" s="118"/>
      <c r="N2198" s="117"/>
      <c r="O2198" s="117"/>
      <c r="P2198" s="117"/>
      <c r="Q2198" s="117"/>
      <c r="R2198" s="117"/>
      <c r="S2198" s="117"/>
      <c r="T2198" s="117"/>
      <c r="U2198" s="117"/>
      <c r="V2198" s="117"/>
      <c r="W2198" s="117"/>
      <c r="X2198" s="117"/>
      <c r="Y2198" s="117"/>
      <c r="Z2198" s="117"/>
      <c r="AA2198" s="117"/>
      <c r="AB2198" s="117"/>
      <c r="AC2198" s="117"/>
      <c r="AD2198" s="117"/>
      <c r="AE2198" s="117"/>
      <c r="AF2198" s="117"/>
      <c r="AG2198" s="117"/>
      <c r="AH2198" s="117"/>
      <c r="AI2198" s="117"/>
      <c r="AJ2198" s="117"/>
      <c r="AK2198" s="117"/>
      <c r="AL2198" s="117"/>
      <c r="AM2198" s="117"/>
      <c r="AN2198" s="117"/>
      <c r="AO2198" s="117"/>
      <c r="AP2198" s="117"/>
      <c r="AQ2198" s="117"/>
      <c r="AR2198" s="117"/>
      <c r="AS2198" s="117"/>
      <c r="AT2198" s="117"/>
      <c r="AU2198" s="117"/>
      <c r="AV2198" s="117"/>
      <c r="AW2198" s="117"/>
      <c r="AX2198" s="117"/>
      <c r="AY2198" s="117"/>
      <c r="AZ2198" s="117"/>
      <c r="BA2198" s="117"/>
      <c r="BB2198" s="117"/>
      <c r="BC2198" s="117"/>
      <c r="BD2198" s="117"/>
      <c r="BE2198" s="117"/>
      <c r="BF2198" s="117"/>
      <c r="BG2198" s="117"/>
    </row>
    <row r="2199" spans="1:59">
      <c r="A2199" s="117"/>
      <c r="B2199" s="117"/>
      <c r="C2199" s="117"/>
      <c r="D2199" s="117"/>
      <c r="E2199" s="117"/>
      <c r="F2199" s="117"/>
      <c r="G2199" s="117"/>
      <c r="H2199" s="117"/>
      <c r="I2199" s="117"/>
      <c r="J2199" s="118"/>
      <c r="K2199" s="118"/>
      <c r="L2199" s="118"/>
      <c r="M2199" s="118"/>
      <c r="N2199" s="117"/>
      <c r="O2199" s="117"/>
      <c r="P2199" s="117"/>
      <c r="Q2199" s="117"/>
      <c r="R2199" s="117"/>
      <c r="S2199" s="117"/>
      <c r="T2199" s="117"/>
      <c r="U2199" s="117"/>
      <c r="V2199" s="117"/>
      <c r="W2199" s="117"/>
      <c r="X2199" s="117"/>
      <c r="Y2199" s="117"/>
      <c r="Z2199" s="117"/>
      <c r="AA2199" s="117"/>
      <c r="AB2199" s="117"/>
      <c r="AC2199" s="117"/>
      <c r="AD2199" s="117"/>
      <c r="AE2199" s="117"/>
      <c r="AF2199" s="117"/>
      <c r="AG2199" s="117"/>
      <c r="AH2199" s="117"/>
      <c r="AI2199" s="117"/>
      <c r="AJ2199" s="117"/>
      <c r="AK2199" s="117"/>
      <c r="AL2199" s="117"/>
      <c r="AM2199" s="117"/>
      <c r="AN2199" s="117"/>
      <c r="AO2199" s="117"/>
      <c r="AP2199" s="117"/>
      <c r="AQ2199" s="117"/>
      <c r="AR2199" s="117"/>
      <c r="AS2199" s="117"/>
      <c r="AT2199" s="117"/>
      <c r="AU2199" s="117"/>
      <c r="AV2199" s="117"/>
      <c r="AW2199" s="117"/>
      <c r="AX2199" s="117"/>
      <c r="AY2199" s="117"/>
      <c r="AZ2199" s="117"/>
      <c r="BA2199" s="117"/>
      <c r="BB2199" s="117"/>
      <c r="BC2199" s="117"/>
      <c r="BD2199" s="117"/>
      <c r="BE2199" s="117"/>
      <c r="BF2199" s="117"/>
      <c r="BG2199" s="117"/>
    </row>
    <row r="2200" spans="1:59">
      <c r="A2200" s="117"/>
      <c r="B2200" s="117"/>
      <c r="C2200" s="117"/>
      <c r="D2200" s="117"/>
      <c r="E2200" s="117"/>
      <c r="F2200" s="117"/>
      <c r="G2200" s="117"/>
      <c r="H2200" s="117"/>
      <c r="I2200" s="117"/>
      <c r="J2200" s="118"/>
      <c r="K2200" s="118"/>
      <c r="L2200" s="118"/>
      <c r="M2200" s="118"/>
      <c r="N2200" s="117"/>
      <c r="O2200" s="117"/>
      <c r="P2200" s="117"/>
      <c r="Q2200" s="117"/>
      <c r="R2200" s="117"/>
      <c r="S2200" s="117"/>
      <c r="T2200" s="117"/>
      <c r="U2200" s="117"/>
      <c r="V2200" s="117"/>
      <c r="W2200" s="117"/>
      <c r="X2200" s="117"/>
      <c r="Y2200" s="117"/>
      <c r="Z2200" s="117"/>
      <c r="AA2200" s="117"/>
      <c r="AB2200" s="117"/>
      <c r="AC2200" s="117"/>
      <c r="AD2200" s="117"/>
      <c r="AE2200" s="117"/>
      <c r="AF2200" s="117"/>
      <c r="AG2200" s="117"/>
      <c r="AH2200" s="117"/>
      <c r="AI2200" s="117"/>
      <c r="AJ2200" s="117"/>
      <c r="AK2200" s="117"/>
      <c r="AL2200" s="117"/>
      <c r="AM2200" s="117"/>
      <c r="AN2200" s="117"/>
      <c r="AO2200" s="117"/>
      <c r="AP2200" s="117"/>
      <c r="AQ2200" s="117"/>
      <c r="AR2200" s="117"/>
      <c r="AS2200" s="117"/>
      <c r="AT2200" s="117"/>
      <c r="AU2200" s="117"/>
      <c r="AV2200" s="117"/>
      <c r="AW2200" s="117"/>
      <c r="AX2200" s="117"/>
      <c r="AY2200" s="117"/>
      <c r="AZ2200" s="117"/>
      <c r="BA2200" s="117"/>
      <c r="BB2200" s="117"/>
      <c r="BC2200" s="117"/>
      <c r="BD2200" s="117"/>
      <c r="BE2200" s="117"/>
      <c r="BF2200" s="117"/>
      <c r="BG2200" s="117"/>
    </row>
    <row r="2201" spans="1:59">
      <c r="A2201" s="117"/>
      <c r="B2201" s="117"/>
      <c r="C2201" s="117"/>
      <c r="D2201" s="117"/>
      <c r="E2201" s="117"/>
      <c r="F2201" s="117"/>
      <c r="G2201" s="117"/>
      <c r="H2201" s="117"/>
      <c r="I2201" s="117"/>
      <c r="J2201" s="118"/>
      <c r="K2201" s="118"/>
      <c r="L2201" s="118"/>
      <c r="M2201" s="118"/>
      <c r="N2201" s="117"/>
      <c r="O2201" s="117"/>
      <c r="P2201" s="117"/>
      <c r="Q2201" s="117"/>
      <c r="R2201" s="117"/>
      <c r="S2201" s="117"/>
      <c r="T2201" s="117"/>
      <c r="U2201" s="117"/>
      <c r="V2201" s="117"/>
      <c r="W2201" s="117"/>
      <c r="X2201" s="117"/>
      <c r="Y2201" s="117"/>
      <c r="Z2201" s="117"/>
      <c r="AA2201" s="117"/>
      <c r="AB2201" s="117"/>
      <c r="AC2201" s="117"/>
      <c r="AD2201" s="117"/>
      <c r="AE2201" s="117"/>
      <c r="AF2201" s="117"/>
      <c r="AG2201" s="117"/>
      <c r="AH2201" s="117"/>
      <c r="AI2201" s="117"/>
      <c r="AJ2201" s="117"/>
      <c r="AK2201" s="117"/>
      <c r="AL2201" s="117"/>
      <c r="AM2201" s="117"/>
      <c r="AN2201" s="117"/>
      <c r="AO2201" s="117"/>
      <c r="AP2201" s="117"/>
      <c r="AQ2201" s="117"/>
      <c r="AR2201" s="117"/>
      <c r="AS2201" s="117"/>
      <c r="AT2201" s="117"/>
      <c r="AU2201" s="117"/>
      <c r="AV2201" s="117"/>
      <c r="AW2201" s="117"/>
      <c r="AX2201" s="117"/>
      <c r="AY2201" s="117"/>
      <c r="AZ2201" s="117"/>
      <c r="BA2201" s="117"/>
      <c r="BB2201" s="117"/>
      <c r="BC2201" s="117"/>
      <c r="BD2201" s="117"/>
      <c r="BE2201" s="117"/>
      <c r="BF2201" s="117"/>
      <c r="BG2201" s="117"/>
    </row>
    <row r="2202" spans="1:59">
      <c r="A2202" s="117"/>
      <c r="B2202" s="117"/>
      <c r="C2202" s="117"/>
      <c r="D2202" s="117"/>
      <c r="E2202" s="117"/>
      <c r="F2202" s="117"/>
      <c r="G2202" s="117"/>
      <c r="H2202" s="117"/>
      <c r="I2202" s="117"/>
      <c r="J2202" s="118"/>
      <c r="K2202" s="118"/>
      <c r="L2202" s="118"/>
      <c r="M2202" s="118"/>
      <c r="N2202" s="117"/>
      <c r="O2202" s="117"/>
      <c r="P2202" s="117"/>
      <c r="Q2202" s="117"/>
      <c r="R2202" s="117"/>
      <c r="S2202" s="117"/>
      <c r="T2202" s="117"/>
      <c r="U2202" s="117"/>
      <c r="V2202" s="117"/>
      <c r="W2202" s="117"/>
      <c r="X2202" s="117"/>
      <c r="Y2202" s="117"/>
      <c r="Z2202" s="117"/>
      <c r="AA2202" s="117"/>
      <c r="AB2202" s="117"/>
      <c r="AC2202" s="117"/>
      <c r="AD2202" s="117"/>
      <c r="AE2202" s="117"/>
      <c r="AF2202" s="117"/>
      <c r="AG2202" s="117"/>
      <c r="AH2202" s="117"/>
      <c r="AI2202" s="117"/>
      <c r="AJ2202" s="117"/>
      <c r="AK2202" s="117"/>
      <c r="AL2202" s="117"/>
      <c r="AM2202" s="117"/>
      <c r="AN2202" s="117"/>
      <c r="AO2202" s="117"/>
      <c r="AP2202" s="117"/>
      <c r="AQ2202" s="117"/>
      <c r="AR2202" s="117"/>
      <c r="AS2202" s="117"/>
      <c r="AT2202" s="117"/>
      <c r="AU2202" s="117"/>
      <c r="AV2202" s="117"/>
      <c r="AW2202" s="117"/>
      <c r="AX2202" s="117"/>
      <c r="AY2202" s="117"/>
      <c r="AZ2202" s="117"/>
      <c r="BA2202" s="117"/>
      <c r="BB2202" s="117"/>
      <c r="BC2202" s="117"/>
      <c r="BD2202" s="117"/>
      <c r="BE2202" s="117"/>
      <c r="BF2202" s="117"/>
      <c r="BG2202" s="117"/>
    </row>
    <row r="2203" spans="1:59">
      <c r="A2203" s="117"/>
      <c r="B2203" s="117"/>
      <c r="C2203" s="117"/>
      <c r="D2203" s="117"/>
      <c r="E2203" s="117"/>
      <c r="F2203" s="117"/>
      <c r="G2203" s="117"/>
      <c r="H2203" s="117"/>
      <c r="I2203" s="117"/>
      <c r="J2203" s="118"/>
      <c r="K2203" s="118"/>
      <c r="L2203" s="118"/>
      <c r="M2203" s="118"/>
      <c r="N2203" s="117"/>
      <c r="O2203" s="117"/>
      <c r="P2203" s="117"/>
      <c r="Q2203" s="117"/>
      <c r="R2203" s="117"/>
      <c r="S2203" s="117"/>
      <c r="T2203" s="117"/>
      <c r="U2203" s="117"/>
      <c r="V2203" s="117"/>
      <c r="W2203" s="117"/>
      <c r="X2203" s="117"/>
      <c r="Y2203" s="117"/>
      <c r="Z2203" s="117"/>
      <c r="AA2203" s="117"/>
      <c r="AB2203" s="117"/>
      <c r="AC2203" s="117"/>
      <c r="AD2203" s="117"/>
      <c r="AE2203" s="117"/>
      <c r="AF2203" s="117"/>
      <c r="AG2203" s="117"/>
      <c r="AH2203" s="117"/>
      <c r="AI2203" s="117"/>
      <c r="AJ2203" s="117"/>
      <c r="AK2203" s="117"/>
      <c r="AL2203" s="117"/>
      <c r="AM2203" s="117"/>
      <c r="AN2203" s="117"/>
      <c r="AO2203" s="117"/>
      <c r="AP2203" s="117"/>
      <c r="AQ2203" s="117"/>
      <c r="AR2203" s="117"/>
      <c r="AS2203" s="117"/>
      <c r="AT2203" s="117"/>
      <c r="AU2203" s="117"/>
      <c r="AV2203" s="117"/>
      <c r="AW2203" s="117"/>
      <c r="AX2203" s="117"/>
      <c r="AY2203" s="117"/>
      <c r="AZ2203" s="117"/>
      <c r="BA2203" s="117"/>
      <c r="BB2203" s="117"/>
      <c r="BC2203" s="117"/>
      <c r="BD2203" s="117"/>
      <c r="BE2203" s="117"/>
      <c r="BF2203" s="117"/>
      <c r="BG2203" s="117"/>
    </row>
    <row r="2204" spans="1:59">
      <c r="A2204" s="117"/>
      <c r="B2204" s="117"/>
      <c r="C2204" s="117"/>
      <c r="D2204" s="117"/>
      <c r="E2204" s="117"/>
      <c r="F2204" s="117"/>
      <c r="G2204" s="117"/>
      <c r="H2204" s="117"/>
      <c r="I2204" s="117"/>
      <c r="J2204" s="118"/>
      <c r="K2204" s="118"/>
      <c r="L2204" s="118"/>
      <c r="M2204" s="118"/>
      <c r="N2204" s="117"/>
      <c r="O2204" s="117"/>
      <c r="P2204" s="117"/>
      <c r="Q2204" s="117"/>
      <c r="R2204" s="117"/>
      <c r="S2204" s="117"/>
      <c r="T2204" s="117"/>
      <c r="U2204" s="117"/>
      <c r="V2204" s="117"/>
      <c r="W2204" s="117"/>
      <c r="X2204" s="117"/>
      <c r="Y2204" s="117"/>
      <c r="Z2204" s="117"/>
      <c r="AA2204" s="117"/>
      <c r="AB2204" s="117"/>
      <c r="AC2204" s="117"/>
      <c r="AD2204" s="117"/>
      <c r="AE2204" s="117"/>
      <c r="AF2204" s="117"/>
      <c r="AG2204" s="117"/>
      <c r="AH2204" s="117"/>
      <c r="AI2204" s="117"/>
      <c r="AJ2204" s="117"/>
      <c r="AK2204" s="117"/>
      <c r="AL2204" s="117"/>
      <c r="AM2204" s="117"/>
      <c r="AN2204" s="117"/>
      <c r="AO2204" s="117"/>
      <c r="AP2204" s="117"/>
      <c r="AQ2204" s="117"/>
      <c r="AR2204" s="117"/>
      <c r="AS2204" s="117"/>
      <c r="AT2204" s="117"/>
      <c r="AU2204" s="117"/>
      <c r="AV2204" s="117"/>
      <c r="AW2204" s="117"/>
      <c r="AX2204" s="117"/>
      <c r="AY2204" s="117"/>
      <c r="AZ2204" s="117"/>
      <c r="BA2204" s="117"/>
      <c r="BB2204" s="117"/>
      <c r="BC2204" s="117"/>
      <c r="BD2204" s="117"/>
      <c r="BE2204" s="117"/>
      <c r="BF2204" s="117"/>
      <c r="BG2204" s="117"/>
    </row>
    <row r="2205" spans="1:59">
      <c r="A2205" s="117"/>
      <c r="B2205" s="117"/>
      <c r="C2205" s="117"/>
      <c r="D2205" s="117"/>
      <c r="E2205" s="117"/>
      <c r="F2205" s="117"/>
      <c r="G2205" s="117"/>
      <c r="H2205" s="117"/>
      <c r="I2205" s="117"/>
      <c r="J2205" s="118"/>
      <c r="K2205" s="118"/>
      <c r="L2205" s="118"/>
      <c r="M2205" s="118"/>
      <c r="N2205" s="117"/>
      <c r="O2205" s="117"/>
      <c r="P2205" s="117"/>
      <c r="Q2205" s="117"/>
      <c r="R2205" s="117"/>
      <c r="S2205" s="117"/>
      <c r="T2205" s="117"/>
      <c r="U2205" s="117"/>
      <c r="V2205" s="117"/>
      <c r="W2205" s="117"/>
      <c r="X2205" s="117"/>
      <c r="Y2205" s="117"/>
      <c r="Z2205" s="117"/>
      <c r="AA2205" s="117"/>
      <c r="AB2205" s="117"/>
      <c r="AC2205" s="117"/>
      <c r="AD2205" s="117"/>
      <c r="AE2205" s="117"/>
      <c r="AF2205" s="117"/>
      <c r="AG2205" s="117"/>
      <c r="AH2205" s="117"/>
      <c r="AI2205" s="117"/>
      <c r="AJ2205" s="117"/>
      <c r="AK2205" s="117"/>
      <c r="AL2205" s="117"/>
      <c r="AM2205" s="117"/>
      <c r="AN2205" s="117"/>
      <c r="AO2205" s="117"/>
      <c r="AP2205" s="117"/>
      <c r="AQ2205" s="117"/>
      <c r="AR2205" s="117"/>
      <c r="AS2205" s="117"/>
      <c r="AT2205" s="117"/>
      <c r="AU2205" s="117"/>
      <c r="AV2205" s="117"/>
      <c r="AW2205" s="117"/>
      <c r="AX2205" s="117"/>
      <c r="AY2205" s="117"/>
      <c r="AZ2205" s="117"/>
      <c r="BA2205" s="117"/>
      <c r="BB2205" s="117"/>
      <c r="BC2205" s="117"/>
      <c r="BD2205" s="117"/>
      <c r="BE2205" s="117"/>
      <c r="BF2205" s="117"/>
      <c r="BG2205" s="117"/>
    </row>
    <row r="2206" spans="1:59">
      <c r="A2206" s="117"/>
      <c r="B2206" s="117"/>
      <c r="C2206" s="117"/>
      <c r="D2206" s="117"/>
      <c r="E2206" s="117"/>
      <c r="F2206" s="117"/>
      <c r="G2206" s="117"/>
      <c r="H2206" s="117"/>
      <c r="I2206" s="117"/>
      <c r="J2206" s="118"/>
      <c r="K2206" s="118"/>
      <c r="L2206" s="118"/>
      <c r="M2206" s="118"/>
      <c r="N2206" s="117"/>
      <c r="O2206" s="117"/>
      <c r="P2206" s="117"/>
      <c r="Q2206" s="117"/>
      <c r="R2206" s="117"/>
      <c r="S2206" s="117"/>
      <c r="T2206" s="117"/>
      <c r="U2206" s="117"/>
      <c r="V2206" s="117"/>
      <c r="W2206" s="117"/>
      <c r="X2206" s="117"/>
      <c r="Y2206" s="117"/>
      <c r="Z2206" s="117"/>
      <c r="AA2206" s="117"/>
      <c r="AB2206" s="117"/>
      <c r="AC2206" s="117"/>
      <c r="AD2206" s="117"/>
      <c r="AE2206" s="117"/>
      <c r="AF2206" s="117"/>
      <c r="AG2206" s="117"/>
      <c r="AH2206" s="117"/>
      <c r="AI2206" s="117"/>
      <c r="AJ2206" s="117"/>
      <c r="AK2206" s="117"/>
      <c r="AL2206" s="117"/>
      <c r="AM2206" s="117"/>
      <c r="AN2206" s="117"/>
      <c r="AO2206" s="117"/>
      <c r="AP2206" s="117"/>
      <c r="AQ2206" s="117"/>
      <c r="AR2206" s="117"/>
      <c r="AS2206" s="117"/>
      <c r="AT2206" s="117"/>
      <c r="AU2206" s="117"/>
      <c r="AV2206" s="117"/>
      <c r="AW2206" s="117"/>
      <c r="AX2206" s="117"/>
      <c r="AY2206" s="117"/>
      <c r="AZ2206" s="117"/>
      <c r="BA2206" s="117"/>
      <c r="BB2206" s="117"/>
      <c r="BC2206" s="117"/>
      <c r="BD2206" s="117"/>
      <c r="BE2206" s="117"/>
      <c r="BF2206" s="117"/>
      <c r="BG2206" s="117"/>
    </row>
    <row r="2207" spans="1:59">
      <c r="A2207" s="117"/>
      <c r="B2207" s="117"/>
      <c r="C2207" s="117"/>
      <c r="D2207" s="117"/>
      <c r="E2207" s="117"/>
      <c r="F2207" s="117"/>
      <c r="G2207" s="117"/>
      <c r="H2207" s="117"/>
      <c r="I2207" s="117"/>
      <c r="J2207" s="118"/>
      <c r="K2207" s="118"/>
      <c r="L2207" s="118"/>
      <c r="M2207" s="118"/>
      <c r="N2207" s="117"/>
      <c r="O2207" s="117"/>
      <c r="P2207" s="117"/>
      <c r="Q2207" s="117"/>
      <c r="R2207" s="117"/>
      <c r="S2207" s="117"/>
      <c r="T2207" s="117"/>
      <c r="U2207" s="117"/>
      <c r="V2207" s="117"/>
      <c r="W2207" s="117"/>
      <c r="X2207" s="117"/>
      <c r="Y2207" s="117"/>
      <c r="Z2207" s="117"/>
      <c r="AA2207" s="117"/>
      <c r="AB2207" s="117"/>
      <c r="AC2207" s="117"/>
      <c r="AD2207" s="117"/>
      <c r="AE2207" s="117"/>
      <c r="AF2207" s="117"/>
      <c r="AG2207" s="117"/>
      <c r="AH2207" s="117"/>
      <c r="AI2207" s="117"/>
      <c r="AJ2207" s="117"/>
      <c r="AK2207" s="117"/>
      <c r="AL2207" s="117"/>
      <c r="AM2207" s="117"/>
      <c r="AN2207" s="117"/>
      <c r="AO2207" s="117"/>
      <c r="AP2207" s="117"/>
      <c r="AQ2207" s="117"/>
      <c r="AR2207" s="117"/>
      <c r="AS2207" s="117"/>
      <c r="AT2207" s="117"/>
      <c r="AU2207" s="117"/>
      <c r="AV2207" s="117"/>
      <c r="AW2207" s="117"/>
      <c r="AX2207" s="117"/>
      <c r="AY2207" s="117"/>
      <c r="AZ2207" s="117"/>
      <c r="BA2207" s="117"/>
      <c r="BB2207" s="117"/>
      <c r="BC2207" s="117"/>
      <c r="BD2207" s="117"/>
      <c r="BE2207" s="117"/>
      <c r="BF2207" s="117"/>
      <c r="BG2207" s="117"/>
    </row>
    <row r="2208" spans="1:59">
      <c r="A2208" s="117"/>
      <c r="B2208" s="117"/>
      <c r="C2208" s="117"/>
      <c r="D2208" s="117"/>
      <c r="E2208" s="117"/>
      <c r="F2208" s="117"/>
      <c r="G2208" s="117"/>
      <c r="H2208" s="117"/>
      <c r="I2208" s="117"/>
      <c r="J2208" s="118"/>
      <c r="K2208" s="118"/>
      <c r="L2208" s="118"/>
      <c r="M2208" s="118"/>
      <c r="N2208" s="117"/>
      <c r="O2208" s="117"/>
      <c r="P2208" s="117"/>
      <c r="Q2208" s="117"/>
      <c r="R2208" s="117"/>
      <c r="S2208" s="117"/>
      <c r="T2208" s="117"/>
      <c r="U2208" s="117"/>
      <c r="V2208" s="117"/>
      <c r="W2208" s="117"/>
      <c r="X2208" s="117"/>
      <c r="Y2208" s="117"/>
      <c r="Z2208" s="117"/>
      <c r="AA2208" s="117"/>
      <c r="AB2208" s="117"/>
      <c r="AC2208" s="117"/>
      <c r="AD2208" s="117"/>
      <c r="AE2208" s="117"/>
      <c r="AF2208" s="117"/>
      <c r="AG2208" s="117"/>
      <c r="AH2208" s="117"/>
      <c r="AI2208" s="117"/>
      <c r="AJ2208" s="117"/>
      <c r="AK2208" s="117"/>
      <c r="AL2208" s="117"/>
      <c r="AM2208" s="117"/>
      <c r="AN2208" s="117"/>
      <c r="AO2208" s="117"/>
      <c r="AP2208" s="117"/>
      <c r="AQ2208" s="117"/>
      <c r="AR2208" s="117"/>
      <c r="AS2208" s="117"/>
      <c r="AT2208" s="117"/>
      <c r="AU2208" s="117"/>
      <c r="AV2208" s="117"/>
      <c r="AW2208" s="117"/>
      <c r="AX2208" s="117"/>
      <c r="AY2208" s="117"/>
      <c r="AZ2208" s="117"/>
      <c r="BA2208" s="117"/>
      <c r="BB2208" s="117"/>
      <c r="BC2208" s="117"/>
      <c r="BD2208" s="117"/>
      <c r="BE2208" s="117"/>
      <c r="BF2208" s="117"/>
      <c r="BG2208" s="117"/>
    </row>
    <row r="2209" spans="1:59">
      <c r="A2209" s="117"/>
      <c r="B2209" s="117"/>
      <c r="C2209" s="117"/>
      <c r="D2209" s="117"/>
      <c r="E2209" s="117"/>
      <c r="F2209" s="117"/>
      <c r="G2209" s="117"/>
      <c r="H2209" s="117"/>
      <c r="I2209" s="117"/>
      <c r="J2209" s="118"/>
      <c r="K2209" s="118"/>
      <c r="L2209" s="118"/>
      <c r="M2209" s="118"/>
      <c r="N2209" s="117"/>
      <c r="O2209" s="117"/>
      <c r="P2209" s="117"/>
      <c r="Q2209" s="117"/>
      <c r="R2209" s="117"/>
      <c r="S2209" s="117"/>
      <c r="T2209" s="117"/>
      <c r="U2209" s="117"/>
      <c r="V2209" s="117"/>
      <c r="W2209" s="117"/>
      <c r="X2209" s="117"/>
      <c r="Y2209" s="117"/>
      <c r="Z2209" s="117"/>
      <c r="AA2209" s="117"/>
      <c r="AB2209" s="117"/>
      <c r="AC2209" s="117"/>
      <c r="AD2209" s="117"/>
      <c r="AE2209" s="117"/>
      <c r="AF2209" s="117"/>
      <c r="AG2209" s="117"/>
      <c r="AH2209" s="117"/>
      <c r="AI2209" s="117"/>
      <c r="AJ2209" s="117"/>
      <c r="AK2209" s="117"/>
      <c r="AL2209" s="117"/>
      <c r="AM2209" s="117"/>
      <c r="AN2209" s="117"/>
      <c r="AO2209" s="117"/>
      <c r="AP2209" s="117"/>
      <c r="AQ2209" s="117"/>
      <c r="AR2209" s="117"/>
      <c r="AS2209" s="117"/>
      <c r="AT2209" s="117"/>
      <c r="AU2209" s="117"/>
      <c r="AV2209" s="117"/>
      <c r="AW2209" s="117"/>
      <c r="AX2209" s="117"/>
      <c r="AY2209" s="117"/>
      <c r="AZ2209" s="117"/>
      <c r="BA2209" s="117"/>
      <c r="BB2209" s="117"/>
      <c r="BC2209" s="117"/>
      <c r="BD2209" s="117"/>
      <c r="BE2209" s="117"/>
      <c r="BF2209" s="117"/>
      <c r="BG2209" s="117"/>
    </row>
    <row r="2210" spans="1:59">
      <c r="A2210" s="117"/>
      <c r="B2210" s="117"/>
      <c r="C2210" s="117"/>
      <c r="D2210" s="117"/>
      <c r="E2210" s="117"/>
      <c r="F2210" s="117"/>
      <c r="G2210" s="117"/>
      <c r="H2210" s="117"/>
      <c r="I2210" s="117"/>
      <c r="J2210" s="118"/>
      <c r="K2210" s="118"/>
      <c r="L2210" s="118"/>
      <c r="M2210" s="118"/>
      <c r="N2210" s="117"/>
      <c r="O2210" s="117"/>
      <c r="P2210" s="117"/>
      <c r="Q2210" s="117"/>
      <c r="R2210" s="117"/>
      <c r="S2210" s="117"/>
      <c r="T2210" s="117"/>
      <c r="U2210" s="117"/>
      <c r="V2210" s="117"/>
      <c r="W2210" s="117"/>
      <c r="X2210" s="117"/>
      <c r="Y2210" s="117"/>
      <c r="Z2210" s="117"/>
      <c r="AA2210" s="117"/>
      <c r="AB2210" s="117"/>
      <c r="AC2210" s="117"/>
      <c r="AD2210" s="117"/>
      <c r="AE2210" s="117"/>
      <c r="AF2210" s="117"/>
      <c r="AG2210" s="117"/>
      <c r="AH2210" s="117"/>
      <c r="AI2210" s="117"/>
      <c r="AJ2210" s="117"/>
      <c r="AK2210" s="117"/>
      <c r="AL2210" s="117"/>
      <c r="AM2210" s="117"/>
      <c r="AN2210" s="117"/>
      <c r="AO2210" s="117"/>
      <c r="AP2210" s="117"/>
      <c r="AQ2210" s="117"/>
      <c r="AR2210" s="117"/>
      <c r="AS2210" s="117"/>
      <c r="AT2210" s="117"/>
      <c r="AU2210" s="117"/>
      <c r="AV2210" s="117"/>
      <c r="AW2210" s="117"/>
      <c r="AX2210" s="117"/>
      <c r="AY2210" s="117"/>
      <c r="AZ2210" s="117"/>
      <c r="BA2210" s="117"/>
      <c r="BB2210" s="117"/>
      <c r="BC2210" s="117"/>
      <c r="BD2210" s="117"/>
      <c r="BE2210" s="117"/>
      <c r="BF2210" s="117"/>
      <c r="BG2210" s="117"/>
    </row>
    <row r="2211" spans="1:59">
      <c r="A2211" s="117"/>
      <c r="B2211" s="117"/>
      <c r="C2211" s="117"/>
      <c r="D2211" s="117"/>
      <c r="E2211" s="117"/>
      <c r="F2211" s="117"/>
      <c r="G2211" s="117"/>
      <c r="H2211" s="117"/>
      <c r="I2211" s="117"/>
      <c r="J2211" s="118"/>
      <c r="K2211" s="118"/>
      <c r="L2211" s="118"/>
      <c r="M2211" s="118"/>
      <c r="N2211" s="117"/>
      <c r="O2211" s="117"/>
      <c r="P2211" s="117"/>
      <c r="Q2211" s="117"/>
      <c r="R2211" s="117"/>
      <c r="S2211" s="117"/>
      <c r="T2211" s="117"/>
      <c r="U2211" s="117"/>
      <c r="V2211" s="117"/>
      <c r="W2211" s="117"/>
      <c r="X2211" s="117"/>
      <c r="Y2211" s="117"/>
      <c r="Z2211" s="117"/>
      <c r="AA2211" s="117"/>
      <c r="AB2211" s="117"/>
      <c r="AC2211" s="117"/>
      <c r="AD2211" s="117"/>
      <c r="AE2211" s="117"/>
      <c r="AF2211" s="117"/>
      <c r="AG2211" s="117"/>
      <c r="AH2211" s="117"/>
      <c r="AI2211" s="117"/>
      <c r="AJ2211" s="117"/>
      <c r="AK2211" s="117"/>
      <c r="AL2211" s="117"/>
      <c r="AM2211" s="117"/>
      <c r="AN2211" s="117"/>
      <c r="AO2211" s="117"/>
      <c r="AP2211" s="117"/>
      <c r="AQ2211" s="117"/>
      <c r="AR2211" s="117"/>
      <c r="AS2211" s="117"/>
      <c r="AT2211" s="117"/>
      <c r="AU2211" s="117"/>
      <c r="AV2211" s="117"/>
      <c r="AW2211" s="117"/>
      <c r="AX2211" s="117"/>
      <c r="AY2211" s="117"/>
      <c r="AZ2211" s="117"/>
      <c r="BA2211" s="117"/>
      <c r="BB2211" s="117"/>
      <c r="BC2211" s="117"/>
      <c r="BD2211" s="117"/>
      <c r="BE2211" s="117"/>
      <c r="BF2211" s="117"/>
      <c r="BG2211" s="117"/>
    </row>
    <row r="2212" spans="1:59">
      <c r="A2212" s="117"/>
      <c r="B2212" s="117"/>
      <c r="C2212" s="117"/>
      <c r="D2212" s="117"/>
      <c r="E2212" s="117"/>
      <c r="F2212" s="117"/>
      <c r="G2212" s="117"/>
      <c r="H2212" s="117"/>
      <c r="I2212" s="117"/>
      <c r="J2212" s="118"/>
      <c r="K2212" s="118"/>
      <c r="L2212" s="118"/>
      <c r="M2212" s="118"/>
      <c r="N2212" s="117"/>
      <c r="O2212" s="117"/>
      <c r="P2212" s="117"/>
      <c r="Q2212" s="117"/>
      <c r="R2212" s="117"/>
      <c r="S2212" s="117"/>
      <c r="T2212" s="117"/>
      <c r="U2212" s="117"/>
      <c r="V2212" s="117"/>
      <c r="W2212" s="117"/>
      <c r="X2212" s="117"/>
      <c r="Y2212" s="117"/>
      <c r="Z2212" s="117"/>
      <c r="AA2212" s="117"/>
      <c r="AB2212" s="117"/>
      <c r="AC2212" s="117"/>
      <c r="AD2212" s="117"/>
      <c r="AE2212" s="117"/>
      <c r="AF2212" s="117"/>
      <c r="AG2212" s="117"/>
      <c r="AH2212" s="117"/>
      <c r="AI2212" s="117"/>
      <c r="AJ2212" s="117"/>
      <c r="AK2212" s="117"/>
      <c r="AL2212" s="117"/>
      <c r="AM2212" s="117"/>
      <c r="AN2212" s="117"/>
      <c r="AO2212" s="117"/>
      <c r="AP2212" s="117"/>
      <c r="AQ2212" s="117"/>
      <c r="AR2212" s="117"/>
      <c r="AS2212" s="117"/>
      <c r="AT2212" s="117"/>
      <c r="AU2212" s="117"/>
      <c r="AV2212" s="117"/>
      <c r="AW2212" s="117"/>
      <c r="AX2212" s="117"/>
      <c r="AY2212" s="117"/>
      <c r="AZ2212" s="117"/>
      <c r="BA2212" s="117"/>
      <c r="BB2212" s="117"/>
      <c r="BC2212" s="117"/>
      <c r="BD2212" s="117"/>
      <c r="BE2212" s="117"/>
      <c r="BF2212" s="117"/>
      <c r="BG2212" s="117"/>
    </row>
    <row r="2213" spans="1:59">
      <c r="A2213" s="117"/>
      <c r="B2213" s="117"/>
      <c r="C2213" s="117"/>
      <c r="D2213" s="117"/>
      <c r="E2213" s="117"/>
      <c r="F2213" s="117"/>
      <c r="G2213" s="117"/>
      <c r="H2213" s="117"/>
      <c r="I2213" s="117"/>
      <c r="J2213" s="118"/>
      <c r="K2213" s="118"/>
      <c r="L2213" s="118"/>
      <c r="M2213" s="118"/>
      <c r="N2213" s="117"/>
      <c r="O2213" s="117"/>
      <c r="P2213" s="117"/>
      <c r="Q2213" s="117"/>
      <c r="R2213" s="117"/>
      <c r="S2213" s="117"/>
      <c r="T2213" s="117"/>
      <c r="U2213" s="117"/>
      <c r="V2213" s="117"/>
      <c r="W2213" s="117"/>
      <c r="X2213" s="117"/>
      <c r="Y2213" s="117"/>
      <c r="Z2213" s="117"/>
      <c r="AA2213" s="117"/>
      <c r="AB2213" s="117"/>
      <c r="AC2213" s="117"/>
      <c r="AD2213" s="117"/>
      <c r="AE2213" s="117"/>
      <c r="AF2213" s="117"/>
      <c r="AG2213" s="117"/>
      <c r="AH2213" s="117"/>
      <c r="AI2213" s="117"/>
      <c r="AJ2213" s="117"/>
      <c r="AK2213" s="117"/>
      <c r="AL2213" s="117"/>
      <c r="AM2213" s="117"/>
      <c r="AN2213" s="117"/>
      <c r="AO2213" s="117"/>
      <c r="AP2213" s="117"/>
      <c r="AQ2213" s="117"/>
      <c r="AR2213" s="117"/>
      <c r="AS2213" s="117"/>
      <c r="AT2213" s="117"/>
      <c r="AU2213" s="117"/>
      <c r="AV2213" s="117"/>
      <c r="AW2213" s="117"/>
      <c r="AX2213" s="117"/>
      <c r="AY2213" s="117"/>
      <c r="AZ2213" s="117"/>
      <c r="BA2213" s="117"/>
      <c r="BB2213" s="117"/>
      <c r="BC2213" s="117"/>
      <c r="BD2213" s="117"/>
      <c r="BE2213" s="117"/>
      <c r="BF2213" s="117"/>
      <c r="BG2213" s="117"/>
    </row>
    <row r="2214" spans="1:59">
      <c r="A2214" s="117"/>
      <c r="B2214" s="117"/>
      <c r="C2214" s="117"/>
      <c r="D2214" s="117"/>
      <c r="E2214" s="117"/>
      <c r="F2214" s="117"/>
      <c r="G2214" s="117"/>
      <c r="H2214" s="117"/>
      <c r="I2214" s="117"/>
      <c r="J2214" s="118"/>
      <c r="K2214" s="118"/>
      <c r="L2214" s="118"/>
      <c r="M2214" s="118"/>
      <c r="N2214" s="117"/>
      <c r="O2214" s="117"/>
      <c r="P2214" s="117"/>
      <c r="Q2214" s="117"/>
      <c r="R2214" s="117"/>
      <c r="S2214" s="117"/>
      <c r="T2214" s="117"/>
      <c r="U2214" s="117"/>
      <c r="V2214" s="117"/>
      <c r="W2214" s="117"/>
      <c r="X2214" s="117"/>
      <c r="Y2214" s="117"/>
      <c r="Z2214" s="117"/>
      <c r="AA2214" s="117"/>
      <c r="AB2214" s="117"/>
      <c r="AC2214" s="117"/>
      <c r="AD2214" s="117"/>
      <c r="AE2214" s="117"/>
      <c r="AF2214" s="117"/>
      <c r="AG2214" s="117"/>
      <c r="AH2214" s="117"/>
      <c r="AI2214" s="117"/>
      <c r="AJ2214" s="117"/>
      <c r="AK2214" s="117"/>
      <c r="AL2214" s="117"/>
      <c r="AM2214" s="117"/>
      <c r="AN2214" s="117"/>
      <c r="AO2214" s="117"/>
      <c r="AP2214" s="117"/>
      <c r="AQ2214" s="117"/>
      <c r="AR2214" s="117"/>
      <c r="AS2214" s="117"/>
      <c r="AT2214" s="117"/>
      <c r="AU2214" s="117"/>
      <c r="AV2214" s="117"/>
      <c r="AW2214" s="117"/>
      <c r="AX2214" s="117"/>
      <c r="AY2214" s="117"/>
      <c r="AZ2214" s="117"/>
      <c r="BA2214" s="117"/>
      <c r="BB2214" s="117"/>
      <c r="BC2214" s="117"/>
      <c r="BD2214" s="117"/>
      <c r="BE2214" s="117"/>
      <c r="BF2214" s="117"/>
      <c r="BG2214" s="117"/>
    </row>
    <row r="2215" spans="1:59">
      <c r="A2215" s="117"/>
      <c r="B2215" s="117"/>
      <c r="C2215" s="117"/>
      <c r="D2215" s="117"/>
      <c r="E2215" s="117"/>
      <c r="F2215" s="117"/>
      <c r="G2215" s="117"/>
      <c r="H2215" s="117"/>
      <c r="I2215" s="117"/>
      <c r="J2215" s="118"/>
      <c r="K2215" s="118"/>
      <c r="L2215" s="118"/>
      <c r="M2215" s="118"/>
      <c r="N2215" s="117"/>
      <c r="O2215" s="117"/>
      <c r="P2215" s="117"/>
      <c r="Q2215" s="117"/>
      <c r="R2215" s="117"/>
      <c r="S2215" s="117"/>
      <c r="T2215" s="117"/>
      <c r="U2215" s="117"/>
      <c r="V2215" s="117"/>
      <c r="W2215" s="117"/>
      <c r="X2215" s="117"/>
      <c r="Y2215" s="117"/>
      <c r="Z2215" s="117"/>
      <c r="AA2215" s="117"/>
      <c r="AB2215" s="117"/>
      <c r="AC2215" s="117"/>
      <c r="AD2215" s="117"/>
      <c r="AE2215" s="117"/>
      <c r="AF2215" s="117"/>
      <c r="AG2215" s="117"/>
      <c r="AH2215" s="117"/>
      <c r="AI2215" s="117"/>
      <c r="AJ2215" s="117"/>
      <c r="AK2215" s="117"/>
      <c r="AL2215" s="117"/>
      <c r="AM2215" s="117"/>
      <c r="AN2215" s="117"/>
      <c r="AO2215" s="117"/>
      <c r="AP2215" s="117"/>
      <c r="AQ2215" s="117"/>
      <c r="AR2215" s="117"/>
      <c r="AS2215" s="117"/>
      <c r="AT2215" s="117"/>
      <c r="AU2215" s="117"/>
      <c r="AV2215" s="117"/>
      <c r="AW2215" s="117"/>
      <c r="AX2215" s="117"/>
      <c r="AY2215" s="117"/>
      <c r="AZ2215" s="117"/>
      <c r="BA2215" s="117"/>
      <c r="BB2215" s="117"/>
      <c r="BC2215" s="117"/>
      <c r="BD2215" s="117"/>
      <c r="BE2215" s="117"/>
      <c r="BF2215" s="117"/>
      <c r="BG2215" s="117"/>
    </row>
    <row r="2216" spans="1:59">
      <c r="A2216" s="117"/>
      <c r="B2216" s="117"/>
      <c r="C2216" s="117"/>
      <c r="D2216" s="117"/>
      <c r="E2216" s="117"/>
      <c r="F2216" s="117"/>
      <c r="G2216" s="117"/>
      <c r="H2216" s="117"/>
      <c r="I2216" s="117"/>
      <c r="J2216" s="118"/>
      <c r="K2216" s="118"/>
      <c r="L2216" s="118"/>
      <c r="M2216" s="118"/>
      <c r="N2216" s="117"/>
      <c r="O2216" s="117"/>
      <c r="P2216" s="117"/>
      <c r="Q2216" s="117"/>
      <c r="R2216" s="117"/>
      <c r="S2216" s="117"/>
      <c r="T2216" s="117"/>
      <c r="U2216" s="117"/>
      <c r="V2216" s="117"/>
      <c r="W2216" s="117"/>
      <c r="X2216" s="117"/>
      <c r="Y2216" s="117"/>
      <c r="Z2216" s="117"/>
      <c r="AA2216" s="117"/>
      <c r="AB2216" s="117"/>
      <c r="AC2216" s="117"/>
      <c r="AD2216" s="117"/>
      <c r="AE2216" s="117"/>
      <c r="AF2216" s="117"/>
      <c r="AG2216" s="117"/>
      <c r="AH2216" s="117"/>
      <c r="AI2216" s="117"/>
      <c r="AJ2216" s="117"/>
      <c r="AK2216" s="117"/>
      <c r="AL2216" s="117"/>
      <c r="AM2216" s="117"/>
      <c r="AN2216" s="117"/>
      <c r="AO2216" s="117"/>
      <c r="AP2216" s="117"/>
      <c r="AQ2216" s="117"/>
      <c r="AR2216" s="117"/>
      <c r="AS2216" s="117"/>
      <c r="AT2216" s="117"/>
      <c r="AU2216" s="117"/>
      <c r="AV2216" s="117"/>
      <c r="AW2216" s="117"/>
      <c r="AX2216" s="117"/>
      <c r="AY2216" s="117"/>
      <c r="AZ2216" s="117"/>
      <c r="BA2216" s="117"/>
      <c r="BB2216" s="117"/>
      <c r="BC2216" s="117"/>
      <c r="BD2216" s="117"/>
      <c r="BE2216" s="117"/>
      <c r="BF2216" s="117"/>
      <c r="BG2216" s="117"/>
    </row>
    <row r="2217" spans="1:59">
      <c r="A2217" s="117"/>
      <c r="B2217" s="117"/>
      <c r="C2217" s="117"/>
      <c r="D2217" s="117"/>
      <c r="E2217" s="117"/>
      <c r="F2217" s="117"/>
      <c r="G2217" s="117"/>
      <c r="H2217" s="117"/>
      <c r="I2217" s="117"/>
      <c r="J2217" s="118"/>
      <c r="K2217" s="118"/>
      <c r="L2217" s="118"/>
      <c r="M2217" s="118"/>
      <c r="N2217" s="117"/>
      <c r="O2217" s="117"/>
      <c r="P2217" s="117"/>
      <c r="Q2217" s="117"/>
      <c r="R2217" s="117"/>
      <c r="S2217" s="117"/>
      <c r="T2217" s="117"/>
      <c r="U2217" s="117"/>
      <c r="V2217" s="117"/>
      <c r="W2217" s="117"/>
      <c r="X2217" s="117"/>
      <c r="Y2217" s="117"/>
      <c r="Z2217" s="117"/>
      <c r="AA2217" s="117"/>
      <c r="AB2217" s="117"/>
      <c r="AC2217" s="117"/>
      <c r="AD2217" s="117"/>
      <c r="AE2217" s="117"/>
      <c r="AF2217" s="117"/>
      <c r="AG2217" s="117"/>
      <c r="AH2217" s="117"/>
      <c r="AI2217" s="117"/>
      <c r="AJ2217" s="117"/>
      <c r="AK2217" s="117"/>
      <c r="AL2217" s="117"/>
      <c r="AM2217" s="117"/>
      <c r="AN2217" s="117"/>
      <c r="AO2217" s="117"/>
      <c r="AP2217" s="117"/>
      <c r="AQ2217" s="117"/>
      <c r="AR2217" s="117"/>
      <c r="AS2217" s="117"/>
      <c r="AT2217" s="117"/>
      <c r="AU2217" s="117"/>
      <c r="AV2217" s="117"/>
      <c r="AW2217" s="117"/>
      <c r="AX2217" s="117"/>
      <c r="AY2217" s="117"/>
      <c r="AZ2217" s="117"/>
      <c r="BA2217" s="117"/>
      <c r="BB2217" s="117"/>
      <c r="BC2217" s="117"/>
      <c r="BD2217" s="117"/>
      <c r="BE2217" s="117"/>
      <c r="BF2217" s="117"/>
      <c r="BG2217" s="117"/>
    </row>
    <row r="2218" spans="1:59">
      <c r="A2218" s="117"/>
      <c r="B2218" s="117"/>
      <c r="C2218" s="117"/>
      <c r="D2218" s="117"/>
      <c r="E2218" s="117"/>
      <c r="F2218" s="117"/>
      <c r="G2218" s="117"/>
      <c r="H2218" s="117"/>
      <c r="I2218" s="117"/>
      <c r="J2218" s="118"/>
      <c r="K2218" s="118"/>
      <c r="L2218" s="118"/>
      <c r="M2218" s="118"/>
      <c r="N2218" s="117"/>
      <c r="O2218" s="117"/>
      <c r="P2218" s="117"/>
      <c r="Q2218" s="117"/>
      <c r="R2218" s="117"/>
      <c r="S2218" s="117"/>
      <c r="T2218" s="117"/>
      <c r="U2218" s="117"/>
      <c r="V2218" s="117"/>
      <c r="W2218" s="117"/>
      <c r="X2218" s="117"/>
      <c r="Y2218" s="117"/>
      <c r="Z2218" s="117"/>
      <c r="AA2218" s="117"/>
      <c r="AB2218" s="117"/>
      <c r="AC2218" s="117"/>
      <c r="AD2218" s="117"/>
      <c r="AE2218" s="117"/>
      <c r="AF2218" s="117"/>
      <c r="AG2218" s="117"/>
      <c r="AH2218" s="117"/>
      <c r="AI2218" s="117"/>
      <c r="AJ2218" s="117"/>
      <c r="AK2218" s="117"/>
      <c r="AL2218" s="117"/>
      <c r="AM2218" s="117"/>
      <c r="AN2218" s="117"/>
      <c r="AO2218" s="117"/>
      <c r="AP2218" s="117"/>
      <c r="AQ2218" s="117"/>
      <c r="AR2218" s="117"/>
      <c r="AS2218" s="117"/>
      <c r="AT2218" s="117"/>
      <c r="AU2218" s="117"/>
      <c r="AV2218" s="117"/>
      <c r="AW2218" s="117"/>
      <c r="AX2218" s="117"/>
      <c r="AY2218" s="117"/>
      <c r="AZ2218" s="117"/>
      <c r="BA2218" s="117"/>
      <c r="BB2218" s="117"/>
      <c r="BC2218" s="117"/>
      <c r="BD2218" s="117"/>
      <c r="BE2218" s="117"/>
      <c r="BF2218" s="117"/>
      <c r="BG2218" s="117"/>
    </row>
    <row r="2219" spans="1:59">
      <c r="A2219" s="117"/>
      <c r="B2219" s="117"/>
      <c r="C2219" s="117"/>
      <c r="D2219" s="117"/>
      <c r="E2219" s="117"/>
      <c r="F2219" s="117"/>
      <c r="G2219" s="117"/>
      <c r="H2219" s="117"/>
      <c r="I2219" s="117"/>
      <c r="J2219" s="118"/>
      <c r="K2219" s="118"/>
      <c r="L2219" s="118"/>
      <c r="M2219" s="118"/>
      <c r="N2219" s="117"/>
      <c r="O2219" s="117"/>
      <c r="P2219" s="117"/>
      <c r="Q2219" s="117"/>
      <c r="R2219" s="117"/>
      <c r="S2219" s="117"/>
      <c r="T2219" s="117"/>
      <c r="U2219" s="117"/>
      <c r="V2219" s="117"/>
      <c r="W2219" s="117"/>
      <c r="X2219" s="117"/>
      <c r="Y2219" s="117"/>
      <c r="Z2219" s="117"/>
      <c r="AA2219" s="117"/>
      <c r="AB2219" s="117"/>
      <c r="AC2219" s="117"/>
      <c r="AD2219" s="117"/>
      <c r="AE2219" s="117"/>
      <c r="AF2219" s="117"/>
      <c r="AG2219" s="117"/>
      <c r="AH2219" s="117"/>
      <c r="AI2219" s="117"/>
      <c r="AJ2219" s="117"/>
      <c r="AK2219" s="117"/>
      <c r="AL2219" s="117"/>
      <c r="AM2219" s="117"/>
      <c r="AN2219" s="117"/>
      <c r="AO2219" s="117"/>
      <c r="AP2219" s="117"/>
      <c r="AQ2219" s="117"/>
      <c r="AR2219" s="117"/>
      <c r="AS2219" s="117"/>
      <c r="AT2219" s="117"/>
      <c r="AU2219" s="117"/>
      <c r="AV2219" s="117"/>
      <c r="AW2219" s="117"/>
      <c r="AX2219" s="117"/>
      <c r="AY2219" s="117"/>
      <c r="AZ2219" s="117"/>
      <c r="BA2219" s="117"/>
      <c r="BB2219" s="117"/>
      <c r="BC2219" s="117"/>
      <c r="BD2219" s="117"/>
      <c r="BE2219" s="117"/>
      <c r="BF2219" s="117"/>
      <c r="BG2219" s="117"/>
    </row>
    <row r="2220" spans="1:59">
      <c r="A2220" s="117"/>
      <c r="B2220" s="117"/>
      <c r="C2220" s="117"/>
      <c r="D2220" s="117"/>
      <c r="E2220" s="117"/>
      <c r="F2220" s="117"/>
      <c r="G2220" s="117"/>
      <c r="H2220" s="117"/>
      <c r="I2220" s="117"/>
      <c r="J2220" s="118"/>
      <c r="K2220" s="118"/>
      <c r="L2220" s="118"/>
      <c r="M2220" s="118"/>
      <c r="N2220" s="117"/>
      <c r="O2220" s="117"/>
      <c r="P2220" s="117"/>
      <c r="Q2220" s="117"/>
      <c r="R2220" s="117"/>
      <c r="S2220" s="117"/>
      <c r="T2220" s="117"/>
      <c r="U2220" s="117"/>
      <c r="V2220" s="117"/>
      <c r="W2220" s="117"/>
      <c r="X2220" s="117"/>
      <c r="Y2220" s="117"/>
      <c r="Z2220" s="117"/>
      <c r="AA2220" s="117"/>
      <c r="AB2220" s="117"/>
      <c r="AC2220" s="117"/>
      <c r="AD2220" s="117"/>
      <c r="AE2220" s="117"/>
      <c r="AF2220" s="117"/>
      <c r="AG2220" s="117"/>
      <c r="AH2220" s="117"/>
      <c r="AI2220" s="117"/>
      <c r="AJ2220" s="117"/>
      <c r="AK2220" s="117"/>
      <c r="AL2220" s="117"/>
      <c r="AM2220" s="117"/>
      <c r="AN2220" s="117"/>
      <c r="AO2220" s="117"/>
      <c r="AP2220" s="117"/>
      <c r="AQ2220" s="117"/>
      <c r="AR2220" s="117"/>
      <c r="AS2220" s="117"/>
      <c r="AT2220" s="117"/>
      <c r="AU2220" s="117"/>
      <c r="AV2220" s="117"/>
      <c r="AW2220" s="117"/>
      <c r="AX2220" s="117"/>
      <c r="AY2220" s="117"/>
      <c r="AZ2220" s="117"/>
      <c r="BA2220" s="117"/>
      <c r="BB2220" s="117"/>
      <c r="BC2220" s="117"/>
      <c r="BD2220" s="117"/>
      <c r="BE2220" s="117"/>
      <c r="BF2220" s="117"/>
      <c r="BG2220" s="117"/>
    </row>
    <row r="2221" spans="1:59">
      <c r="A2221" s="117"/>
      <c r="B2221" s="117"/>
      <c r="C2221" s="117"/>
      <c r="D2221" s="117"/>
      <c r="E2221" s="117"/>
      <c r="F2221" s="117"/>
      <c r="G2221" s="117"/>
      <c r="H2221" s="117"/>
      <c r="I2221" s="117"/>
      <c r="J2221" s="118"/>
      <c r="K2221" s="118"/>
      <c r="L2221" s="118"/>
      <c r="M2221" s="118"/>
      <c r="N2221" s="117"/>
      <c r="O2221" s="117"/>
      <c r="P2221" s="117"/>
      <c r="Q2221" s="117"/>
      <c r="R2221" s="117"/>
      <c r="S2221" s="117"/>
      <c r="T2221" s="117"/>
      <c r="U2221" s="117"/>
      <c r="V2221" s="117"/>
      <c r="W2221" s="117"/>
      <c r="X2221" s="117"/>
      <c r="Y2221" s="117"/>
      <c r="Z2221" s="117"/>
      <c r="AA2221" s="117"/>
      <c r="AB2221" s="117"/>
      <c r="AC2221" s="117"/>
      <c r="AD2221" s="117"/>
      <c r="AE2221" s="117"/>
      <c r="AF2221" s="117"/>
      <c r="AG2221" s="117"/>
      <c r="AH2221" s="117"/>
      <c r="AI2221" s="117"/>
      <c r="AJ2221" s="117"/>
      <c r="AK2221" s="117"/>
      <c r="AL2221" s="117"/>
      <c r="AM2221" s="117"/>
      <c r="AN2221" s="117"/>
      <c r="AO2221" s="117"/>
      <c r="AP2221" s="117"/>
      <c r="AQ2221" s="117"/>
      <c r="AR2221" s="117"/>
      <c r="AS2221" s="117"/>
      <c r="AT2221" s="117"/>
      <c r="AU2221" s="117"/>
      <c r="AV2221" s="117"/>
      <c r="AW2221" s="117"/>
      <c r="AX2221" s="117"/>
      <c r="AY2221" s="117"/>
      <c r="AZ2221" s="117"/>
      <c r="BA2221" s="117"/>
      <c r="BB2221" s="117"/>
      <c r="BC2221" s="117"/>
      <c r="BD2221" s="117"/>
      <c r="BE2221" s="117"/>
      <c r="BF2221" s="117"/>
      <c r="BG2221" s="117"/>
    </row>
    <row r="2222" spans="1:59">
      <c r="A2222" s="117"/>
      <c r="B2222" s="117"/>
      <c r="C2222" s="117"/>
      <c r="D2222" s="117"/>
      <c r="E2222" s="117"/>
      <c r="F2222" s="117"/>
      <c r="G2222" s="117"/>
      <c r="H2222" s="117"/>
      <c r="I2222" s="117"/>
      <c r="J2222" s="118"/>
      <c r="K2222" s="118"/>
      <c r="L2222" s="118"/>
      <c r="M2222" s="118"/>
      <c r="N2222" s="117"/>
      <c r="O2222" s="117"/>
      <c r="P2222" s="117"/>
      <c r="Q2222" s="117"/>
      <c r="R2222" s="117"/>
      <c r="S2222" s="117"/>
      <c r="T2222" s="117"/>
      <c r="U2222" s="117"/>
      <c r="V2222" s="117"/>
      <c r="W2222" s="117"/>
      <c r="X2222" s="117"/>
      <c r="Y2222" s="117"/>
      <c r="Z2222" s="117"/>
      <c r="AA2222" s="117"/>
      <c r="AB2222" s="117"/>
      <c r="AC2222" s="117"/>
      <c r="AD2222" s="117"/>
      <c r="AE2222" s="117"/>
      <c r="AF2222" s="117"/>
      <c r="AG2222" s="117"/>
      <c r="AH2222" s="117"/>
      <c r="AI2222" s="117"/>
      <c r="AJ2222" s="117"/>
      <c r="AK2222" s="117"/>
      <c r="AL2222" s="117"/>
      <c r="AM2222" s="117"/>
      <c r="AN2222" s="117"/>
      <c r="AO2222" s="117"/>
      <c r="AP2222" s="117"/>
      <c r="AQ2222" s="117"/>
      <c r="AR2222" s="117"/>
      <c r="AS2222" s="117"/>
      <c r="AT2222" s="117"/>
      <c r="AU2222" s="117"/>
      <c r="AV2222" s="117"/>
      <c r="AW2222" s="117"/>
      <c r="AX2222" s="117"/>
      <c r="AY2222" s="117"/>
      <c r="AZ2222" s="117"/>
      <c r="BA2222" s="117"/>
      <c r="BB2222" s="117"/>
      <c r="BC2222" s="117"/>
      <c r="BD2222" s="117"/>
      <c r="BE2222" s="117"/>
      <c r="BF2222" s="117"/>
      <c r="BG2222" s="117"/>
    </row>
    <row r="2223" spans="1:59">
      <c r="A2223" s="117"/>
      <c r="B2223" s="117"/>
      <c r="C2223" s="117"/>
      <c r="D2223" s="117"/>
      <c r="E2223" s="117"/>
      <c r="F2223" s="117"/>
      <c r="G2223" s="117"/>
      <c r="H2223" s="117"/>
      <c r="I2223" s="117"/>
      <c r="J2223" s="118"/>
      <c r="K2223" s="118"/>
      <c r="L2223" s="118"/>
      <c r="M2223" s="118"/>
      <c r="N2223" s="117"/>
      <c r="O2223" s="117"/>
      <c r="P2223" s="117"/>
      <c r="Q2223" s="117"/>
      <c r="R2223" s="117"/>
      <c r="S2223" s="117"/>
      <c r="T2223" s="117"/>
      <c r="U2223" s="117"/>
      <c r="V2223" s="117"/>
      <c r="W2223" s="117"/>
      <c r="X2223" s="117"/>
      <c r="Y2223" s="117"/>
      <c r="Z2223" s="117"/>
      <c r="AA2223" s="117"/>
      <c r="AB2223" s="117"/>
      <c r="AC2223" s="117"/>
      <c r="AD2223" s="117"/>
      <c r="AE2223" s="117"/>
      <c r="AF2223" s="117"/>
      <c r="AG2223" s="117"/>
      <c r="AH2223" s="117"/>
      <c r="AI2223" s="117"/>
      <c r="AJ2223" s="117"/>
      <c r="AK2223" s="117"/>
      <c r="AL2223" s="117"/>
      <c r="AM2223" s="117"/>
      <c r="AN2223" s="117"/>
      <c r="AO2223" s="117"/>
      <c r="AP2223" s="117"/>
      <c r="AQ2223" s="117"/>
      <c r="AR2223" s="117"/>
      <c r="AS2223" s="117"/>
      <c r="AT2223" s="117"/>
      <c r="AU2223" s="117"/>
      <c r="AV2223" s="117"/>
      <c r="AW2223" s="117"/>
      <c r="AX2223" s="117"/>
      <c r="AY2223" s="117"/>
      <c r="AZ2223" s="117"/>
      <c r="BA2223" s="117"/>
      <c r="BB2223" s="117"/>
      <c r="BC2223" s="117"/>
      <c r="BD2223" s="117"/>
      <c r="BE2223" s="117"/>
      <c r="BF2223" s="117"/>
      <c r="BG2223" s="117"/>
    </row>
    <row r="2224" spans="1:59">
      <c r="A2224" s="117"/>
      <c r="B2224" s="117"/>
      <c r="C2224" s="117"/>
      <c r="D2224" s="117"/>
      <c r="E2224" s="117"/>
      <c r="F2224" s="117"/>
      <c r="G2224" s="117"/>
      <c r="H2224" s="117"/>
      <c r="I2224" s="117"/>
      <c r="J2224" s="118"/>
      <c r="K2224" s="118"/>
      <c r="L2224" s="118"/>
      <c r="M2224" s="118"/>
      <c r="N2224" s="117"/>
      <c r="O2224" s="117"/>
      <c r="P2224" s="117"/>
      <c r="Q2224" s="117"/>
      <c r="R2224" s="117"/>
      <c r="S2224" s="117"/>
      <c r="T2224" s="117"/>
      <c r="U2224" s="117"/>
      <c r="V2224" s="117"/>
      <c r="W2224" s="117"/>
      <c r="X2224" s="117"/>
      <c r="Y2224" s="117"/>
      <c r="Z2224" s="117"/>
      <c r="AA2224" s="117"/>
      <c r="AB2224" s="117"/>
      <c r="AC2224" s="117"/>
      <c r="AD2224" s="117"/>
      <c r="AE2224" s="117"/>
      <c r="AF2224" s="117"/>
      <c r="AG2224" s="117"/>
      <c r="AH2224" s="117"/>
      <c r="AI2224" s="117"/>
      <c r="AJ2224" s="117"/>
      <c r="AK2224" s="117"/>
      <c r="AL2224" s="117"/>
      <c r="AM2224" s="117"/>
      <c r="AN2224" s="117"/>
      <c r="AO2224" s="117"/>
      <c r="AP2224" s="117"/>
      <c r="AQ2224" s="117"/>
      <c r="AR2224" s="117"/>
      <c r="AS2224" s="117"/>
      <c r="AT2224" s="117"/>
      <c r="AU2224" s="117"/>
      <c r="AV2224" s="117"/>
      <c r="AW2224" s="117"/>
      <c r="AX2224" s="117"/>
      <c r="AY2224" s="117"/>
      <c r="AZ2224" s="117"/>
      <c r="BA2224" s="117"/>
      <c r="BB2224" s="117"/>
      <c r="BC2224" s="117"/>
      <c r="BD2224" s="117"/>
      <c r="BE2224" s="117"/>
      <c r="BF2224" s="117"/>
      <c r="BG2224" s="117"/>
    </row>
    <row r="2225" spans="1:59">
      <c r="A2225" s="117"/>
      <c r="B2225" s="117"/>
      <c r="C2225" s="117"/>
      <c r="D2225" s="117"/>
      <c r="E2225" s="117"/>
      <c r="F2225" s="117"/>
      <c r="G2225" s="117"/>
      <c r="H2225" s="117"/>
      <c r="I2225" s="117"/>
      <c r="J2225" s="118"/>
      <c r="K2225" s="118"/>
      <c r="L2225" s="118"/>
      <c r="M2225" s="118"/>
      <c r="N2225" s="117"/>
      <c r="O2225" s="117"/>
      <c r="P2225" s="117"/>
      <c r="Q2225" s="117"/>
      <c r="R2225" s="117"/>
      <c r="S2225" s="117"/>
      <c r="T2225" s="117"/>
      <c r="U2225" s="117"/>
      <c r="V2225" s="117"/>
      <c r="W2225" s="117"/>
      <c r="X2225" s="117"/>
      <c r="Y2225" s="117"/>
      <c r="Z2225" s="117"/>
      <c r="AA2225" s="117"/>
      <c r="AB2225" s="117"/>
      <c r="AC2225" s="117"/>
      <c r="AD2225" s="117"/>
      <c r="AE2225" s="117"/>
      <c r="AF2225" s="117"/>
      <c r="AG2225" s="117"/>
      <c r="AH2225" s="117"/>
      <c r="AI2225" s="117"/>
      <c r="AJ2225" s="117"/>
      <c r="AK2225" s="117"/>
      <c r="AL2225" s="117"/>
      <c r="AM2225" s="117"/>
      <c r="AN2225" s="117"/>
      <c r="AO2225" s="117"/>
      <c r="AP2225" s="117"/>
      <c r="AQ2225" s="117"/>
      <c r="AR2225" s="117"/>
      <c r="AS2225" s="117"/>
      <c r="AT2225" s="117"/>
      <c r="AU2225" s="117"/>
      <c r="AV2225" s="117"/>
      <c r="AW2225" s="117"/>
      <c r="AX2225" s="117"/>
      <c r="AY2225" s="117"/>
      <c r="AZ2225" s="117"/>
      <c r="BA2225" s="117"/>
      <c r="BB2225" s="117"/>
      <c r="BC2225" s="117"/>
      <c r="BD2225" s="117"/>
      <c r="BE2225" s="117"/>
      <c r="BF2225" s="117"/>
      <c r="BG2225" s="117"/>
    </row>
    <row r="2226" spans="1:59">
      <c r="A2226" s="117"/>
      <c r="B2226" s="117"/>
      <c r="C2226" s="117"/>
      <c r="D2226" s="117"/>
      <c r="E2226" s="117"/>
      <c r="F2226" s="117"/>
      <c r="G2226" s="117"/>
      <c r="H2226" s="117"/>
      <c r="I2226" s="117"/>
      <c r="J2226" s="118"/>
      <c r="K2226" s="118"/>
      <c r="L2226" s="118"/>
      <c r="M2226" s="118"/>
      <c r="N2226" s="117"/>
      <c r="O2226" s="117"/>
      <c r="P2226" s="117"/>
      <c r="Q2226" s="117"/>
      <c r="R2226" s="117"/>
      <c r="S2226" s="117"/>
      <c r="T2226" s="117"/>
      <c r="U2226" s="117"/>
      <c r="V2226" s="117"/>
      <c r="W2226" s="117"/>
      <c r="X2226" s="117"/>
      <c r="Y2226" s="117"/>
      <c r="Z2226" s="117"/>
      <c r="AA2226" s="117"/>
      <c r="AB2226" s="117"/>
      <c r="AC2226" s="117"/>
      <c r="AD2226" s="117"/>
      <c r="AE2226" s="117"/>
      <c r="AF2226" s="117"/>
      <c r="AG2226" s="117"/>
      <c r="AH2226" s="117"/>
      <c r="AI2226" s="117"/>
      <c r="AJ2226" s="117"/>
      <c r="AK2226" s="117"/>
      <c r="AL2226" s="117"/>
      <c r="AM2226" s="117"/>
      <c r="AN2226" s="117"/>
      <c r="AO2226" s="117"/>
      <c r="AP2226" s="117"/>
      <c r="AQ2226" s="117"/>
      <c r="AR2226" s="117"/>
      <c r="AS2226" s="117"/>
      <c r="AT2226" s="117"/>
      <c r="AU2226" s="117"/>
      <c r="AV2226" s="117"/>
      <c r="AW2226" s="117"/>
      <c r="AX2226" s="117"/>
      <c r="AY2226" s="117"/>
      <c r="AZ2226" s="117"/>
      <c r="BA2226" s="117"/>
      <c r="BB2226" s="117"/>
      <c r="BC2226" s="117"/>
      <c r="BD2226" s="117"/>
      <c r="BE2226" s="117"/>
      <c r="BF2226" s="117"/>
      <c r="BG2226" s="117"/>
    </row>
    <row r="2227" spans="1:59">
      <c r="A2227" s="117"/>
      <c r="B2227" s="117"/>
      <c r="C2227" s="117"/>
      <c r="D2227" s="117"/>
      <c r="E2227" s="117"/>
      <c r="F2227" s="117"/>
      <c r="G2227" s="117"/>
      <c r="H2227" s="117"/>
      <c r="I2227" s="117"/>
      <c r="J2227" s="118"/>
      <c r="K2227" s="118"/>
      <c r="L2227" s="118"/>
      <c r="M2227" s="118"/>
      <c r="N2227" s="117"/>
      <c r="O2227" s="117"/>
      <c r="P2227" s="117"/>
      <c r="Q2227" s="117"/>
      <c r="R2227" s="117"/>
      <c r="S2227" s="117"/>
      <c r="T2227" s="117"/>
      <c r="U2227" s="117"/>
      <c r="V2227" s="117"/>
      <c r="W2227" s="117"/>
      <c r="X2227" s="117"/>
      <c r="Y2227" s="117"/>
      <c r="Z2227" s="117"/>
      <c r="AA2227" s="117"/>
      <c r="AB2227" s="117"/>
      <c r="AC2227" s="117"/>
      <c r="AD2227" s="117"/>
      <c r="AE2227" s="117"/>
      <c r="AF2227" s="117"/>
      <c r="AG2227" s="117"/>
      <c r="AH2227" s="117"/>
      <c r="AI2227" s="117"/>
      <c r="AJ2227" s="117"/>
      <c r="AK2227" s="117"/>
      <c r="AL2227" s="117"/>
      <c r="AM2227" s="117"/>
      <c r="AN2227" s="117"/>
      <c r="AO2227" s="117"/>
      <c r="AP2227" s="117"/>
      <c r="AQ2227" s="117"/>
      <c r="AR2227" s="117"/>
      <c r="AS2227" s="117"/>
      <c r="AT2227" s="117"/>
      <c r="AU2227" s="117"/>
      <c r="AV2227" s="117"/>
      <c r="AW2227" s="117"/>
      <c r="AX2227" s="117"/>
      <c r="AY2227" s="117"/>
      <c r="AZ2227" s="117"/>
      <c r="BA2227" s="117"/>
      <c r="BB2227" s="117"/>
      <c r="BC2227" s="117"/>
      <c r="BD2227" s="117"/>
      <c r="BE2227" s="117"/>
      <c r="BF2227" s="117"/>
      <c r="BG2227" s="117"/>
    </row>
    <row r="2228" spans="1:59">
      <c r="A2228" s="117"/>
      <c r="B2228" s="117"/>
      <c r="C2228" s="117"/>
      <c r="D2228" s="117"/>
      <c r="E2228" s="117"/>
      <c r="F2228" s="117"/>
      <c r="G2228" s="117"/>
      <c r="H2228" s="117"/>
      <c r="I2228" s="117"/>
      <c r="J2228" s="118"/>
      <c r="K2228" s="118"/>
      <c r="L2228" s="118"/>
      <c r="M2228" s="118"/>
      <c r="N2228" s="117"/>
      <c r="O2228" s="117"/>
      <c r="P2228" s="117"/>
      <c r="Q2228" s="117"/>
      <c r="R2228" s="117"/>
      <c r="S2228" s="117"/>
      <c r="T2228" s="117"/>
      <c r="U2228" s="117"/>
      <c r="V2228" s="117"/>
      <c r="W2228" s="117"/>
      <c r="X2228" s="117"/>
      <c r="Y2228" s="117"/>
      <c r="Z2228" s="117"/>
      <c r="AA2228" s="117"/>
      <c r="AB2228" s="117"/>
      <c r="AC2228" s="117"/>
      <c r="AD2228" s="117"/>
      <c r="AE2228" s="117"/>
      <c r="AF2228" s="117"/>
      <c r="AG2228" s="117"/>
      <c r="AH2228" s="117"/>
      <c r="AI2228" s="117"/>
      <c r="AJ2228" s="117"/>
      <c r="AK2228" s="117"/>
      <c r="AL2228" s="117"/>
      <c r="AM2228" s="117"/>
      <c r="AN2228" s="117"/>
      <c r="AO2228" s="117"/>
      <c r="AP2228" s="117"/>
      <c r="AQ2228" s="117"/>
      <c r="AR2228" s="117"/>
      <c r="AS2228" s="117"/>
      <c r="AT2228" s="117"/>
      <c r="AU2228" s="117"/>
      <c r="AV2228" s="117"/>
      <c r="AW2228" s="117"/>
      <c r="AX2228" s="117"/>
      <c r="AY2228" s="117"/>
      <c r="AZ2228" s="117"/>
      <c r="BA2228" s="117"/>
      <c r="BB2228" s="117"/>
      <c r="BC2228" s="117"/>
      <c r="BD2228" s="117"/>
      <c r="BE2228" s="117"/>
      <c r="BF2228" s="117"/>
      <c r="BG2228" s="117"/>
    </row>
    <row r="2229" spans="1:59">
      <c r="A2229" s="117"/>
      <c r="B2229" s="117"/>
      <c r="C2229" s="117"/>
      <c r="D2229" s="117"/>
      <c r="E2229" s="117"/>
      <c r="F2229" s="117"/>
      <c r="G2229" s="117"/>
      <c r="H2229" s="117"/>
      <c r="I2229" s="117"/>
      <c r="J2229" s="118"/>
      <c r="K2229" s="118"/>
      <c r="L2229" s="118"/>
      <c r="M2229" s="118"/>
      <c r="N2229" s="117"/>
      <c r="O2229" s="117"/>
      <c r="P2229" s="117"/>
      <c r="Q2229" s="117"/>
      <c r="R2229" s="117"/>
      <c r="S2229" s="117"/>
      <c r="T2229" s="117"/>
      <c r="U2229" s="117"/>
      <c r="V2229" s="117"/>
      <c r="W2229" s="117"/>
      <c r="X2229" s="117"/>
      <c r="Y2229" s="117"/>
      <c r="Z2229" s="117"/>
      <c r="AA2229" s="117"/>
      <c r="AB2229" s="117"/>
      <c r="AC2229" s="117"/>
      <c r="AD2229" s="117"/>
      <c r="AE2229" s="117"/>
      <c r="AF2229" s="117"/>
      <c r="AG2229" s="117"/>
      <c r="AH2229" s="117"/>
      <c r="AI2229" s="117"/>
      <c r="AJ2229" s="117"/>
      <c r="AK2229" s="117"/>
      <c r="AL2229" s="117"/>
      <c r="AM2229" s="117"/>
      <c r="AN2229" s="117"/>
      <c r="AO2229" s="117"/>
      <c r="AP2229" s="117"/>
      <c r="AQ2229" s="117"/>
      <c r="AR2229" s="117"/>
      <c r="AS2229" s="117"/>
      <c r="AT2229" s="117"/>
      <c r="AU2229" s="117"/>
      <c r="AV2229" s="117"/>
      <c r="AW2229" s="117"/>
      <c r="AX2229" s="117"/>
      <c r="AY2229" s="117"/>
      <c r="AZ2229" s="117"/>
      <c r="BA2229" s="117"/>
      <c r="BB2229" s="117"/>
      <c r="BC2229" s="117"/>
      <c r="BD2229" s="117"/>
      <c r="BE2229" s="117"/>
      <c r="BF2229" s="117"/>
      <c r="BG2229" s="117"/>
    </row>
    <row r="2230" spans="1:59">
      <c r="A2230" s="117"/>
      <c r="B2230" s="117"/>
      <c r="C2230" s="117"/>
      <c r="D2230" s="117"/>
      <c r="E2230" s="117"/>
      <c r="F2230" s="117"/>
      <c r="G2230" s="117"/>
      <c r="H2230" s="117"/>
      <c r="I2230" s="117"/>
      <c r="J2230" s="118"/>
      <c r="K2230" s="118"/>
      <c r="L2230" s="118"/>
      <c r="M2230" s="118"/>
      <c r="N2230" s="117"/>
      <c r="O2230" s="117"/>
      <c r="P2230" s="117"/>
      <c r="Q2230" s="117"/>
      <c r="R2230" s="117"/>
      <c r="S2230" s="117"/>
      <c r="T2230" s="117"/>
      <c r="U2230" s="117"/>
      <c r="V2230" s="117"/>
      <c r="W2230" s="117"/>
      <c r="X2230" s="117"/>
      <c r="Y2230" s="117"/>
      <c r="Z2230" s="117"/>
      <c r="AA2230" s="117"/>
      <c r="AB2230" s="117"/>
      <c r="AC2230" s="117"/>
      <c r="AD2230" s="117"/>
      <c r="AE2230" s="117"/>
      <c r="AF2230" s="117"/>
      <c r="AG2230" s="117"/>
      <c r="AH2230" s="117"/>
      <c r="AI2230" s="117"/>
      <c r="AJ2230" s="117"/>
      <c r="AK2230" s="117"/>
      <c r="AL2230" s="117"/>
      <c r="AM2230" s="117"/>
      <c r="AN2230" s="117"/>
      <c r="AO2230" s="117"/>
      <c r="AP2230" s="117"/>
      <c r="AQ2230" s="117"/>
      <c r="AR2230" s="117"/>
      <c r="AS2230" s="117"/>
      <c r="AT2230" s="117"/>
      <c r="AU2230" s="117"/>
      <c r="AV2230" s="117"/>
      <c r="AW2230" s="117"/>
      <c r="AX2230" s="117"/>
      <c r="AY2230" s="117"/>
      <c r="AZ2230" s="117"/>
      <c r="BA2230" s="117"/>
      <c r="BB2230" s="117"/>
      <c r="BC2230" s="117"/>
      <c r="BD2230" s="117"/>
      <c r="BE2230" s="117"/>
      <c r="BF2230" s="117"/>
      <c r="BG2230" s="117"/>
    </row>
    <row r="2231" spans="1:59">
      <c r="A2231" s="117"/>
      <c r="B2231" s="117"/>
      <c r="C2231" s="117"/>
      <c r="D2231" s="117"/>
      <c r="E2231" s="117"/>
      <c r="F2231" s="117"/>
      <c r="G2231" s="117"/>
      <c r="H2231" s="117"/>
      <c r="I2231" s="117"/>
      <c r="J2231" s="118"/>
      <c r="K2231" s="118"/>
      <c r="L2231" s="118"/>
      <c r="M2231" s="118"/>
      <c r="N2231" s="117"/>
      <c r="O2231" s="117"/>
      <c r="P2231" s="117"/>
      <c r="Q2231" s="117"/>
      <c r="R2231" s="117"/>
      <c r="S2231" s="117"/>
      <c r="T2231" s="117"/>
      <c r="U2231" s="117"/>
      <c r="V2231" s="117"/>
      <c r="W2231" s="117"/>
      <c r="X2231" s="117"/>
      <c r="Y2231" s="117"/>
      <c r="Z2231" s="117"/>
      <c r="AA2231" s="117"/>
      <c r="AB2231" s="117"/>
      <c r="AC2231" s="117"/>
      <c r="AD2231" s="117"/>
      <c r="AE2231" s="117"/>
      <c r="AF2231" s="117"/>
      <c r="AG2231" s="117"/>
      <c r="AH2231" s="117"/>
      <c r="AI2231" s="117"/>
      <c r="AJ2231" s="117"/>
      <c r="AK2231" s="117"/>
      <c r="AL2231" s="117"/>
      <c r="AM2231" s="117"/>
      <c r="AN2231" s="117"/>
      <c r="AO2231" s="117"/>
      <c r="AP2231" s="117"/>
      <c r="AQ2231" s="117"/>
      <c r="AR2231" s="117"/>
      <c r="AS2231" s="117"/>
      <c r="AT2231" s="117"/>
      <c r="AU2231" s="117"/>
      <c r="AV2231" s="117"/>
      <c r="AW2231" s="117"/>
      <c r="AX2231" s="117"/>
      <c r="AY2231" s="117"/>
      <c r="AZ2231" s="117"/>
      <c r="BA2231" s="117"/>
      <c r="BB2231" s="117"/>
      <c r="BC2231" s="117"/>
      <c r="BD2231" s="117"/>
      <c r="BE2231" s="117"/>
      <c r="BF2231" s="117"/>
      <c r="BG2231" s="117"/>
    </row>
    <row r="2232" spans="1:59">
      <c r="A2232" s="117"/>
      <c r="B2232" s="117"/>
      <c r="C2232" s="117"/>
      <c r="D2232" s="117"/>
      <c r="E2232" s="117"/>
      <c r="F2232" s="117"/>
      <c r="G2232" s="117"/>
      <c r="H2232" s="117"/>
      <c r="I2232" s="117"/>
      <c r="J2232" s="118"/>
      <c r="K2232" s="118"/>
      <c r="L2232" s="118"/>
      <c r="M2232" s="118"/>
      <c r="N2232" s="117"/>
      <c r="O2232" s="117"/>
      <c r="P2232" s="117"/>
      <c r="Q2232" s="117"/>
      <c r="R2232" s="117"/>
      <c r="S2232" s="117"/>
      <c r="T2232" s="117"/>
      <c r="U2232" s="117"/>
      <c r="V2232" s="117"/>
      <c r="W2232" s="117"/>
      <c r="X2232" s="117"/>
      <c r="Y2232" s="117"/>
      <c r="Z2232" s="117"/>
      <c r="AA2232" s="117"/>
      <c r="AB2232" s="117"/>
      <c r="AC2232" s="117"/>
      <c r="AD2232" s="117"/>
      <c r="AE2232" s="117"/>
      <c r="AF2232" s="117"/>
      <c r="AG2232" s="117"/>
      <c r="AH2232" s="117"/>
      <c r="AI2232" s="117"/>
      <c r="AJ2232" s="117"/>
      <c r="AK2232" s="117"/>
      <c r="AL2232" s="117"/>
      <c r="AM2232" s="117"/>
      <c r="AN2232" s="117"/>
      <c r="AO2232" s="117"/>
      <c r="AP2232" s="117"/>
      <c r="AQ2232" s="117"/>
      <c r="AR2232" s="117"/>
      <c r="AS2232" s="117"/>
      <c r="AT2232" s="117"/>
      <c r="AU2232" s="117"/>
      <c r="AV2232" s="117"/>
      <c r="AW2232" s="117"/>
      <c r="AX2232" s="117"/>
      <c r="AY2232" s="117"/>
      <c r="AZ2232" s="117"/>
      <c r="BA2232" s="117"/>
      <c r="BB2232" s="117"/>
      <c r="BC2232" s="117"/>
      <c r="BD2232" s="117"/>
      <c r="BE2232" s="117"/>
      <c r="BF2232" s="117"/>
      <c r="BG2232" s="117"/>
    </row>
    <row r="2233" spans="1:59">
      <c r="A2233" s="117"/>
      <c r="B2233" s="117"/>
      <c r="C2233" s="117"/>
      <c r="D2233" s="117"/>
      <c r="E2233" s="117"/>
      <c r="F2233" s="117"/>
      <c r="G2233" s="117"/>
      <c r="H2233" s="117"/>
      <c r="I2233" s="117"/>
      <c r="J2233" s="118"/>
      <c r="K2233" s="118"/>
      <c r="L2233" s="118"/>
      <c r="M2233" s="118"/>
      <c r="N2233" s="117"/>
      <c r="O2233" s="117"/>
      <c r="P2233" s="117"/>
      <c r="Q2233" s="117"/>
      <c r="R2233" s="117"/>
      <c r="S2233" s="117"/>
      <c r="T2233" s="117"/>
      <c r="U2233" s="117"/>
      <c r="V2233" s="117"/>
      <c r="W2233" s="117"/>
      <c r="X2233" s="117"/>
      <c r="Y2233" s="117"/>
      <c r="Z2233" s="117"/>
      <c r="AA2233" s="117"/>
      <c r="AB2233" s="117"/>
      <c r="AC2233" s="117"/>
      <c r="AD2233" s="117"/>
      <c r="AE2233" s="117"/>
      <c r="AF2233" s="117"/>
      <c r="AG2233" s="117"/>
      <c r="AH2233" s="117"/>
      <c r="AI2233" s="117"/>
      <c r="AJ2233" s="117"/>
      <c r="AK2233" s="117"/>
      <c r="AL2233" s="117"/>
      <c r="AM2233" s="117"/>
      <c r="AN2233" s="117"/>
      <c r="AO2233" s="117"/>
      <c r="AP2233" s="117"/>
      <c r="AQ2233" s="117"/>
      <c r="AR2233" s="117"/>
      <c r="AS2233" s="117"/>
      <c r="AT2233" s="117"/>
      <c r="AU2233" s="117"/>
      <c r="AV2233" s="117"/>
      <c r="AW2233" s="117"/>
      <c r="AX2233" s="117"/>
      <c r="AY2233" s="117"/>
      <c r="AZ2233" s="117"/>
      <c r="BA2233" s="117"/>
      <c r="BB2233" s="117"/>
      <c r="BC2233" s="117"/>
      <c r="BD2233" s="117"/>
      <c r="BE2233" s="117"/>
      <c r="BF2233" s="117"/>
      <c r="BG2233" s="117"/>
    </row>
    <row r="2234" spans="1:59">
      <c r="A2234" s="117"/>
      <c r="B2234" s="117"/>
      <c r="C2234" s="117"/>
      <c r="D2234" s="117"/>
      <c r="E2234" s="117"/>
      <c r="F2234" s="117"/>
      <c r="G2234" s="117"/>
      <c r="H2234" s="117"/>
      <c r="I2234" s="117"/>
      <c r="J2234" s="118"/>
      <c r="K2234" s="118"/>
      <c r="L2234" s="118"/>
      <c r="M2234" s="118"/>
      <c r="N2234" s="117"/>
      <c r="O2234" s="117"/>
      <c r="P2234" s="117"/>
      <c r="Q2234" s="117"/>
      <c r="R2234" s="117"/>
      <c r="S2234" s="117"/>
      <c r="T2234" s="117"/>
      <c r="U2234" s="117"/>
      <c r="V2234" s="117"/>
      <c r="W2234" s="117"/>
      <c r="X2234" s="117"/>
      <c r="Y2234" s="117"/>
      <c r="Z2234" s="117"/>
      <c r="AA2234" s="117"/>
      <c r="AB2234" s="117"/>
      <c r="AC2234" s="117"/>
      <c r="AD2234" s="117"/>
      <c r="AE2234" s="117"/>
      <c r="AF2234" s="117"/>
      <c r="AG2234" s="117"/>
      <c r="AH2234" s="117"/>
      <c r="AI2234" s="117"/>
      <c r="AJ2234" s="117"/>
      <c r="AK2234" s="117"/>
      <c r="AL2234" s="117"/>
      <c r="AM2234" s="117"/>
      <c r="AN2234" s="117"/>
      <c r="AO2234" s="117"/>
      <c r="AP2234" s="117"/>
      <c r="AQ2234" s="117"/>
      <c r="AR2234" s="117"/>
      <c r="AS2234" s="117"/>
      <c r="AT2234" s="117"/>
      <c r="AU2234" s="117"/>
      <c r="AV2234" s="117"/>
      <c r="AW2234" s="117"/>
      <c r="AX2234" s="117"/>
      <c r="AY2234" s="117"/>
      <c r="AZ2234" s="117"/>
      <c r="BA2234" s="117"/>
      <c r="BB2234" s="117"/>
      <c r="BC2234" s="117"/>
      <c r="BD2234" s="117"/>
      <c r="BE2234" s="117"/>
      <c r="BF2234" s="117"/>
      <c r="BG2234" s="117"/>
    </row>
    <row r="2235" spans="1:59">
      <c r="A2235" s="117"/>
      <c r="B2235" s="117"/>
      <c r="C2235" s="117"/>
      <c r="D2235" s="117"/>
      <c r="E2235" s="117"/>
      <c r="F2235" s="117"/>
      <c r="G2235" s="117"/>
      <c r="H2235" s="117"/>
      <c r="I2235" s="117"/>
      <c r="J2235" s="118"/>
      <c r="K2235" s="118"/>
      <c r="L2235" s="118"/>
      <c r="M2235" s="118"/>
      <c r="N2235" s="117"/>
      <c r="O2235" s="117"/>
      <c r="P2235" s="117"/>
      <c r="Q2235" s="117"/>
      <c r="R2235" s="117"/>
      <c r="S2235" s="117"/>
      <c r="T2235" s="117"/>
      <c r="U2235" s="117"/>
      <c r="V2235" s="117"/>
      <c r="W2235" s="117"/>
      <c r="X2235" s="117"/>
      <c r="Y2235" s="117"/>
      <c r="Z2235" s="117"/>
      <c r="AA2235" s="117"/>
      <c r="AB2235" s="117"/>
      <c r="AC2235" s="117"/>
      <c r="AD2235" s="117"/>
      <c r="AE2235" s="117"/>
      <c r="AF2235" s="117"/>
      <c r="AG2235" s="117"/>
      <c r="AH2235" s="117"/>
      <c r="AI2235" s="117"/>
      <c r="AJ2235" s="117"/>
      <c r="AK2235" s="117"/>
      <c r="AL2235" s="117"/>
      <c r="AM2235" s="117"/>
      <c r="AN2235" s="117"/>
      <c r="AO2235" s="117"/>
      <c r="AP2235" s="117"/>
      <c r="AQ2235" s="117"/>
      <c r="AR2235" s="117"/>
      <c r="AS2235" s="117"/>
      <c r="AT2235" s="117"/>
      <c r="AU2235" s="117"/>
      <c r="AV2235" s="117"/>
      <c r="AW2235" s="117"/>
      <c r="AX2235" s="117"/>
      <c r="AY2235" s="117"/>
      <c r="AZ2235" s="117"/>
      <c r="BA2235" s="117"/>
      <c r="BB2235" s="117"/>
      <c r="BC2235" s="117"/>
      <c r="BD2235" s="117"/>
      <c r="BE2235" s="117"/>
      <c r="BF2235" s="117"/>
      <c r="BG2235" s="117"/>
    </row>
    <row r="2236" spans="1:59">
      <c r="A2236" s="117"/>
      <c r="B2236" s="117"/>
      <c r="C2236" s="117"/>
      <c r="D2236" s="117"/>
      <c r="E2236" s="117"/>
      <c r="F2236" s="117"/>
      <c r="G2236" s="117"/>
      <c r="H2236" s="117"/>
      <c r="I2236" s="117"/>
      <c r="J2236" s="118"/>
      <c r="K2236" s="118"/>
      <c r="L2236" s="118"/>
      <c r="M2236" s="118"/>
      <c r="N2236" s="117"/>
      <c r="O2236" s="117"/>
      <c r="P2236" s="117"/>
      <c r="Q2236" s="117"/>
      <c r="R2236" s="117"/>
      <c r="S2236" s="117"/>
      <c r="T2236" s="117"/>
      <c r="U2236" s="117"/>
      <c r="V2236" s="117"/>
      <c r="W2236" s="117"/>
      <c r="X2236" s="117"/>
      <c r="Y2236" s="117"/>
      <c r="Z2236" s="117"/>
      <c r="AA2236" s="117"/>
      <c r="AB2236" s="117"/>
      <c r="AC2236" s="117"/>
      <c r="AD2236" s="117"/>
      <c r="AE2236" s="117"/>
      <c r="AF2236" s="117"/>
      <c r="AG2236" s="117"/>
      <c r="AH2236" s="117"/>
      <c r="AI2236" s="117"/>
      <c r="AJ2236" s="117"/>
      <c r="AK2236" s="117"/>
      <c r="AL2236" s="117"/>
      <c r="AM2236" s="117"/>
      <c r="AN2236" s="117"/>
      <c r="AO2236" s="117"/>
      <c r="AP2236" s="117"/>
      <c r="AQ2236" s="117"/>
      <c r="AR2236" s="117"/>
      <c r="AS2236" s="117"/>
      <c r="AT2236" s="117"/>
      <c r="AU2236" s="117"/>
      <c r="AV2236" s="117"/>
      <c r="AW2236" s="117"/>
      <c r="AX2236" s="117"/>
      <c r="AY2236" s="117"/>
      <c r="AZ2236" s="117"/>
      <c r="BA2236" s="117"/>
      <c r="BB2236" s="117"/>
      <c r="BC2236" s="117"/>
      <c r="BD2236" s="117"/>
      <c r="BE2236" s="117"/>
      <c r="BF2236" s="117"/>
      <c r="BG2236" s="117"/>
    </row>
    <row r="2237" spans="1:59">
      <c r="A2237" s="117"/>
      <c r="B2237" s="117"/>
      <c r="C2237" s="117"/>
      <c r="D2237" s="117"/>
      <c r="E2237" s="117"/>
      <c r="F2237" s="117"/>
      <c r="G2237" s="117"/>
      <c r="H2237" s="117"/>
      <c r="I2237" s="117"/>
      <c r="J2237" s="118"/>
      <c r="K2237" s="118"/>
      <c r="L2237" s="118"/>
      <c r="M2237" s="118"/>
      <c r="N2237" s="117"/>
      <c r="O2237" s="117"/>
      <c r="P2237" s="117"/>
      <c r="Q2237" s="117"/>
      <c r="R2237" s="117"/>
      <c r="S2237" s="117"/>
      <c r="T2237" s="117"/>
      <c r="U2237" s="117"/>
      <c r="V2237" s="117"/>
      <c r="W2237" s="117"/>
      <c r="X2237" s="117"/>
      <c r="Y2237" s="117"/>
      <c r="Z2237" s="117"/>
      <c r="AA2237" s="117"/>
      <c r="AB2237" s="117"/>
      <c r="AC2237" s="117"/>
      <c r="AD2237" s="117"/>
      <c r="AE2237" s="117"/>
      <c r="AF2237" s="117"/>
      <c r="AG2237" s="117"/>
      <c r="AH2237" s="117"/>
      <c r="AI2237" s="117"/>
      <c r="AJ2237" s="117"/>
      <c r="AK2237" s="117"/>
      <c r="AL2237" s="117"/>
      <c r="AM2237" s="117"/>
      <c r="AN2237" s="117"/>
      <c r="AO2237" s="117"/>
      <c r="AP2237" s="117"/>
      <c r="AQ2237" s="117"/>
      <c r="AR2237" s="117"/>
      <c r="AS2237" s="117"/>
      <c r="AT2237" s="117"/>
      <c r="AU2237" s="117"/>
      <c r="AV2237" s="117"/>
      <c r="AW2237" s="117"/>
      <c r="AX2237" s="117"/>
      <c r="AY2237" s="117"/>
      <c r="AZ2237" s="117"/>
      <c r="BA2237" s="117"/>
      <c r="BB2237" s="117"/>
      <c r="BC2237" s="117"/>
      <c r="BD2237" s="117"/>
      <c r="BE2237" s="117"/>
      <c r="BF2237" s="117"/>
      <c r="BG2237" s="117"/>
    </row>
    <row r="2238" spans="1:59">
      <c r="A2238" s="117"/>
      <c r="B2238" s="117"/>
      <c r="C2238" s="117"/>
      <c r="D2238" s="117"/>
      <c r="E2238" s="117"/>
      <c r="F2238" s="117"/>
      <c r="G2238" s="117"/>
      <c r="H2238" s="117"/>
      <c r="I2238" s="117"/>
      <c r="J2238" s="118"/>
      <c r="K2238" s="118"/>
      <c r="L2238" s="118"/>
      <c r="M2238" s="118"/>
      <c r="N2238" s="117"/>
      <c r="O2238" s="117"/>
      <c r="P2238" s="117"/>
      <c r="Q2238" s="117"/>
      <c r="R2238" s="117"/>
      <c r="S2238" s="117"/>
      <c r="T2238" s="117"/>
      <c r="U2238" s="117"/>
      <c r="V2238" s="117"/>
      <c r="W2238" s="117"/>
      <c r="X2238" s="117"/>
      <c r="Y2238" s="117"/>
      <c r="Z2238" s="117"/>
      <c r="AA2238" s="117"/>
      <c r="AB2238" s="117"/>
      <c r="AC2238" s="117"/>
      <c r="AD2238" s="117"/>
      <c r="AE2238" s="117"/>
      <c r="AF2238" s="117"/>
      <c r="AG2238" s="117"/>
      <c r="AH2238" s="117"/>
      <c r="AI2238" s="117"/>
      <c r="AJ2238" s="117"/>
      <c r="AK2238" s="117"/>
      <c r="AL2238" s="117"/>
      <c r="AM2238" s="117"/>
      <c r="AN2238" s="117"/>
      <c r="AO2238" s="117"/>
      <c r="AP2238" s="117"/>
      <c r="AQ2238" s="117"/>
      <c r="AR2238" s="117"/>
      <c r="AS2238" s="117"/>
      <c r="AT2238" s="117"/>
      <c r="AU2238" s="117"/>
      <c r="AV2238" s="117"/>
      <c r="AW2238" s="117"/>
      <c r="AX2238" s="117"/>
      <c r="AY2238" s="117"/>
      <c r="AZ2238" s="117"/>
      <c r="BA2238" s="117"/>
      <c r="BB2238" s="117"/>
      <c r="BC2238" s="117"/>
      <c r="BD2238" s="117"/>
      <c r="BE2238" s="117"/>
      <c r="BF2238" s="117"/>
      <c r="BG2238" s="117"/>
    </row>
    <row r="2239" spans="1:59">
      <c r="A2239" s="117"/>
      <c r="B2239" s="117"/>
      <c r="C2239" s="117"/>
      <c r="D2239" s="117"/>
      <c r="E2239" s="117"/>
      <c r="F2239" s="117"/>
      <c r="G2239" s="117"/>
      <c r="H2239" s="117"/>
      <c r="I2239" s="117"/>
      <c r="J2239" s="118"/>
      <c r="K2239" s="118"/>
      <c r="L2239" s="118"/>
      <c r="M2239" s="118"/>
      <c r="N2239" s="117"/>
      <c r="O2239" s="117"/>
      <c r="P2239" s="117"/>
      <c r="Q2239" s="117"/>
      <c r="R2239" s="117"/>
      <c r="S2239" s="117"/>
      <c r="T2239" s="117"/>
      <c r="U2239" s="117"/>
      <c r="V2239" s="117"/>
      <c r="W2239" s="117"/>
      <c r="X2239" s="117"/>
      <c r="Y2239" s="117"/>
      <c r="Z2239" s="117"/>
      <c r="AA2239" s="117"/>
      <c r="AB2239" s="117"/>
      <c r="AC2239" s="117"/>
      <c r="AD2239" s="117"/>
      <c r="AE2239" s="117"/>
      <c r="AF2239" s="117"/>
      <c r="AG2239" s="117"/>
      <c r="AH2239" s="117"/>
      <c r="AI2239" s="117"/>
      <c r="AJ2239" s="117"/>
      <c r="AK2239" s="117"/>
      <c r="AL2239" s="117"/>
      <c r="AM2239" s="117"/>
      <c r="AN2239" s="117"/>
      <c r="AO2239" s="117"/>
      <c r="AP2239" s="117"/>
      <c r="AQ2239" s="117"/>
      <c r="AR2239" s="117"/>
      <c r="AS2239" s="117"/>
      <c r="AT2239" s="117"/>
      <c r="AU2239" s="117"/>
      <c r="AV2239" s="117"/>
      <c r="AW2239" s="117"/>
      <c r="AX2239" s="117"/>
      <c r="AY2239" s="117"/>
      <c r="AZ2239" s="117"/>
      <c r="BA2239" s="117"/>
      <c r="BB2239" s="117"/>
      <c r="BC2239" s="117"/>
      <c r="BD2239" s="117"/>
      <c r="BE2239" s="117"/>
      <c r="BF2239" s="117"/>
      <c r="BG2239" s="117"/>
    </row>
    <row r="2240" spans="1:59">
      <c r="A2240" s="117"/>
      <c r="B2240" s="117"/>
      <c r="C2240" s="117"/>
      <c r="D2240" s="117"/>
      <c r="E2240" s="117"/>
      <c r="F2240" s="117"/>
      <c r="G2240" s="117"/>
      <c r="H2240" s="117"/>
      <c r="I2240" s="117"/>
      <c r="J2240" s="118"/>
      <c r="K2240" s="118"/>
      <c r="L2240" s="118"/>
      <c r="M2240" s="118"/>
      <c r="N2240" s="117"/>
      <c r="O2240" s="117"/>
      <c r="P2240" s="117"/>
      <c r="Q2240" s="117"/>
      <c r="R2240" s="117"/>
      <c r="S2240" s="117"/>
      <c r="T2240" s="117"/>
      <c r="U2240" s="117"/>
      <c r="V2240" s="117"/>
      <c r="W2240" s="117"/>
      <c r="X2240" s="117"/>
      <c r="Y2240" s="117"/>
      <c r="Z2240" s="117"/>
      <c r="AA2240" s="117"/>
      <c r="AB2240" s="117"/>
      <c r="AC2240" s="117"/>
      <c r="AD2240" s="117"/>
      <c r="AE2240" s="117"/>
      <c r="AF2240" s="117"/>
      <c r="AG2240" s="117"/>
      <c r="AH2240" s="117"/>
      <c r="AI2240" s="117"/>
      <c r="AJ2240" s="117"/>
      <c r="AK2240" s="117"/>
      <c r="AL2240" s="117"/>
      <c r="AM2240" s="117"/>
      <c r="AN2240" s="117"/>
      <c r="AO2240" s="117"/>
      <c r="AP2240" s="117"/>
      <c r="AQ2240" s="117"/>
      <c r="AR2240" s="117"/>
      <c r="AS2240" s="117"/>
      <c r="AT2240" s="117"/>
      <c r="AU2240" s="117"/>
      <c r="AV2240" s="117"/>
      <c r="AW2240" s="117"/>
      <c r="AX2240" s="117"/>
      <c r="AY2240" s="117"/>
      <c r="AZ2240" s="117"/>
      <c r="BA2240" s="117"/>
      <c r="BB2240" s="117"/>
      <c r="BC2240" s="117"/>
      <c r="BD2240" s="117"/>
      <c r="BE2240" s="117"/>
      <c r="BF2240" s="117"/>
      <c r="BG2240" s="117"/>
    </row>
    <row r="2241" spans="1:59">
      <c r="A2241" s="117"/>
      <c r="B2241" s="117"/>
      <c r="C2241" s="117"/>
      <c r="D2241" s="117"/>
      <c r="E2241" s="117"/>
      <c r="F2241" s="117"/>
      <c r="G2241" s="117"/>
      <c r="H2241" s="117"/>
      <c r="I2241" s="117"/>
      <c r="J2241" s="118"/>
      <c r="K2241" s="118"/>
      <c r="L2241" s="118"/>
      <c r="M2241" s="118"/>
      <c r="N2241" s="117"/>
      <c r="O2241" s="117"/>
      <c r="P2241" s="117"/>
      <c r="Q2241" s="117"/>
      <c r="R2241" s="117"/>
      <c r="S2241" s="117"/>
      <c r="T2241" s="117"/>
      <c r="U2241" s="117"/>
      <c r="V2241" s="117"/>
      <c r="W2241" s="117"/>
      <c r="X2241" s="117"/>
      <c r="Y2241" s="117"/>
      <c r="Z2241" s="117"/>
      <c r="AA2241" s="117"/>
      <c r="AB2241" s="117"/>
      <c r="AC2241" s="117"/>
      <c r="AD2241" s="117"/>
      <c r="AE2241" s="117"/>
      <c r="AF2241" s="117"/>
      <c r="AG2241" s="117"/>
      <c r="AH2241" s="117"/>
      <c r="AI2241" s="117"/>
      <c r="AJ2241" s="117"/>
      <c r="AK2241" s="117"/>
      <c r="AL2241" s="117"/>
      <c r="AM2241" s="117"/>
      <c r="AN2241" s="117"/>
      <c r="AO2241" s="117"/>
      <c r="AP2241" s="117"/>
      <c r="AQ2241" s="117"/>
      <c r="AR2241" s="117"/>
      <c r="AS2241" s="117"/>
      <c r="AT2241" s="117"/>
      <c r="AU2241" s="117"/>
      <c r="AV2241" s="117"/>
      <c r="AW2241" s="117"/>
      <c r="AX2241" s="117"/>
      <c r="AY2241" s="117"/>
      <c r="AZ2241" s="117"/>
      <c r="BA2241" s="117"/>
      <c r="BB2241" s="117"/>
      <c r="BC2241" s="117"/>
      <c r="BD2241" s="117"/>
      <c r="BE2241" s="117"/>
      <c r="BF2241" s="117"/>
      <c r="BG2241" s="117"/>
    </row>
    <row r="2242" spans="1:59">
      <c r="A2242" s="117"/>
      <c r="B2242" s="117"/>
      <c r="C2242" s="117"/>
      <c r="D2242" s="117"/>
      <c r="E2242" s="117"/>
      <c r="F2242" s="117"/>
      <c r="G2242" s="117"/>
      <c r="H2242" s="117"/>
      <c r="I2242" s="117"/>
      <c r="J2242" s="118"/>
      <c r="K2242" s="118"/>
      <c r="L2242" s="118"/>
      <c r="M2242" s="118"/>
      <c r="N2242" s="117"/>
      <c r="O2242" s="117"/>
      <c r="P2242" s="117"/>
      <c r="Q2242" s="117"/>
      <c r="R2242" s="117"/>
      <c r="S2242" s="117"/>
      <c r="T2242" s="117"/>
      <c r="U2242" s="117"/>
      <c r="V2242" s="117"/>
      <c r="W2242" s="117"/>
      <c r="X2242" s="117"/>
      <c r="Y2242" s="117"/>
      <c r="Z2242" s="117"/>
      <c r="AA2242" s="117"/>
      <c r="AB2242" s="117"/>
      <c r="AC2242" s="117"/>
      <c r="AD2242" s="117"/>
      <c r="AE2242" s="117"/>
      <c r="AF2242" s="117"/>
      <c r="AG2242" s="117"/>
      <c r="AH2242" s="117"/>
      <c r="AI2242" s="117"/>
      <c r="AJ2242" s="117"/>
      <c r="AK2242" s="117"/>
      <c r="AL2242" s="117"/>
      <c r="AM2242" s="117"/>
      <c r="AN2242" s="117"/>
      <c r="AO2242" s="117"/>
      <c r="AP2242" s="117"/>
      <c r="AQ2242" s="117"/>
      <c r="AR2242" s="117"/>
      <c r="AS2242" s="117"/>
      <c r="AT2242" s="117"/>
      <c r="AU2242" s="117"/>
      <c r="AV2242" s="117"/>
      <c r="AW2242" s="117"/>
      <c r="AX2242" s="117"/>
      <c r="AY2242" s="117"/>
      <c r="AZ2242" s="117"/>
      <c r="BA2242" s="117"/>
      <c r="BB2242" s="117"/>
      <c r="BC2242" s="117"/>
      <c r="BD2242" s="117"/>
      <c r="BE2242" s="117"/>
      <c r="BF2242" s="117"/>
      <c r="BG2242" s="117"/>
    </row>
    <row r="2243" spans="1:59">
      <c r="A2243" s="117"/>
      <c r="B2243" s="117"/>
      <c r="C2243" s="117"/>
      <c r="D2243" s="117"/>
      <c r="E2243" s="117"/>
      <c r="F2243" s="117"/>
      <c r="G2243" s="117"/>
      <c r="H2243" s="117"/>
      <c r="I2243" s="117"/>
      <c r="J2243" s="118"/>
      <c r="K2243" s="118"/>
      <c r="L2243" s="118"/>
      <c r="M2243" s="118"/>
      <c r="N2243" s="117"/>
      <c r="O2243" s="117"/>
      <c r="P2243" s="117"/>
      <c r="Q2243" s="117"/>
      <c r="R2243" s="117"/>
      <c r="S2243" s="117"/>
      <c r="T2243" s="117"/>
      <c r="U2243" s="117"/>
      <c r="V2243" s="117"/>
      <c r="W2243" s="117"/>
      <c r="X2243" s="117"/>
      <c r="Y2243" s="117"/>
      <c r="Z2243" s="117"/>
      <c r="AA2243" s="117"/>
      <c r="AB2243" s="117"/>
      <c r="AC2243" s="117"/>
      <c r="AD2243" s="117"/>
      <c r="AE2243" s="117"/>
      <c r="AF2243" s="117"/>
      <c r="AG2243" s="117"/>
      <c r="AH2243" s="117"/>
      <c r="AI2243" s="117"/>
      <c r="AJ2243" s="117"/>
      <c r="AK2243" s="117"/>
      <c r="AL2243" s="117"/>
      <c r="AM2243" s="117"/>
      <c r="AN2243" s="117"/>
      <c r="AO2243" s="117"/>
      <c r="AP2243" s="117"/>
      <c r="AQ2243" s="117"/>
      <c r="AR2243" s="117"/>
      <c r="AS2243" s="117"/>
      <c r="AT2243" s="117"/>
      <c r="AU2243" s="117"/>
      <c r="AV2243" s="117"/>
      <c r="AW2243" s="117"/>
      <c r="AX2243" s="117"/>
      <c r="AY2243" s="117"/>
      <c r="AZ2243" s="117"/>
      <c r="BA2243" s="117"/>
      <c r="BB2243" s="117"/>
      <c r="BC2243" s="117"/>
      <c r="BD2243" s="117"/>
      <c r="BE2243" s="117"/>
      <c r="BF2243" s="117"/>
      <c r="BG2243" s="117"/>
    </row>
    <row r="2244" spans="1:59">
      <c r="A2244" s="117"/>
      <c r="B2244" s="117"/>
      <c r="C2244" s="117"/>
      <c r="D2244" s="117"/>
      <c r="E2244" s="117"/>
      <c r="F2244" s="117"/>
      <c r="G2244" s="117"/>
      <c r="H2244" s="117"/>
      <c r="I2244" s="117"/>
      <c r="J2244" s="118"/>
      <c r="K2244" s="118"/>
      <c r="L2244" s="118"/>
      <c r="M2244" s="118"/>
      <c r="N2244" s="117"/>
      <c r="O2244" s="117"/>
      <c r="P2244" s="117"/>
      <c r="Q2244" s="117"/>
      <c r="R2244" s="117"/>
      <c r="S2244" s="117"/>
      <c r="T2244" s="117"/>
      <c r="U2244" s="117"/>
      <c r="V2244" s="117"/>
      <c r="W2244" s="117"/>
      <c r="X2244" s="117"/>
      <c r="Y2244" s="117"/>
      <c r="Z2244" s="117"/>
      <c r="AA2244" s="117"/>
      <c r="AB2244" s="117"/>
      <c r="AC2244" s="117"/>
      <c r="AD2244" s="117"/>
      <c r="AE2244" s="117"/>
      <c r="AF2244" s="117"/>
      <c r="AG2244" s="117"/>
      <c r="AH2244" s="117"/>
      <c r="AI2244" s="117"/>
      <c r="AJ2244" s="117"/>
      <c r="AK2244" s="117"/>
      <c r="AL2244" s="117"/>
      <c r="AM2244" s="117"/>
      <c r="AN2244" s="117"/>
      <c r="AO2244" s="117"/>
      <c r="AP2244" s="117"/>
      <c r="AQ2244" s="117"/>
      <c r="AR2244" s="117"/>
      <c r="AS2244" s="117"/>
      <c r="AT2244" s="117"/>
      <c r="AU2244" s="117"/>
      <c r="AV2244" s="117"/>
      <c r="AW2244" s="117"/>
      <c r="AX2244" s="117"/>
      <c r="AY2244" s="117"/>
      <c r="AZ2244" s="117"/>
      <c r="BA2244" s="117"/>
      <c r="BB2244" s="117"/>
      <c r="BC2244" s="117"/>
      <c r="BD2244" s="117"/>
      <c r="BE2244" s="117"/>
      <c r="BF2244" s="117"/>
      <c r="BG2244" s="117"/>
    </row>
    <row r="2245" spans="1:59">
      <c r="A2245" s="117"/>
      <c r="B2245" s="117"/>
      <c r="C2245" s="117"/>
      <c r="D2245" s="117"/>
      <c r="E2245" s="117"/>
      <c r="F2245" s="117"/>
      <c r="G2245" s="117"/>
      <c r="H2245" s="117"/>
      <c r="I2245" s="117"/>
      <c r="J2245" s="118"/>
      <c r="K2245" s="118"/>
      <c r="L2245" s="118"/>
      <c r="M2245" s="118"/>
      <c r="N2245" s="117"/>
      <c r="O2245" s="117"/>
      <c r="P2245" s="117"/>
      <c r="Q2245" s="117"/>
      <c r="R2245" s="117"/>
      <c r="S2245" s="117"/>
      <c r="T2245" s="117"/>
      <c r="U2245" s="117"/>
      <c r="V2245" s="117"/>
      <c r="W2245" s="117"/>
      <c r="X2245" s="117"/>
      <c r="Y2245" s="117"/>
      <c r="Z2245" s="117"/>
      <c r="AA2245" s="117"/>
      <c r="AB2245" s="117"/>
      <c r="AC2245" s="117"/>
      <c r="AD2245" s="117"/>
      <c r="AE2245" s="117"/>
      <c r="AF2245" s="117"/>
      <c r="AG2245" s="117"/>
      <c r="AH2245" s="117"/>
      <c r="AI2245" s="117"/>
      <c r="AJ2245" s="117"/>
      <c r="AK2245" s="117"/>
      <c r="AL2245" s="117"/>
      <c r="AM2245" s="117"/>
      <c r="AN2245" s="117"/>
      <c r="AO2245" s="117"/>
      <c r="AP2245" s="117"/>
      <c r="AQ2245" s="117"/>
      <c r="AR2245" s="117"/>
      <c r="AS2245" s="117"/>
      <c r="AT2245" s="117"/>
      <c r="AU2245" s="117"/>
      <c r="AV2245" s="117"/>
      <c r="AW2245" s="117"/>
      <c r="AX2245" s="117"/>
      <c r="AY2245" s="117"/>
      <c r="AZ2245" s="117"/>
      <c r="BA2245" s="117"/>
      <c r="BB2245" s="117"/>
      <c r="BC2245" s="117"/>
      <c r="BD2245" s="117"/>
      <c r="BE2245" s="117"/>
      <c r="BF2245" s="117"/>
      <c r="BG2245" s="117"/>
    </row>
    <row r="2246" spans="1:59">
      <c r="A2246" s="117"/>
      <c r="B2246" s="117"/>
      <c r="C2246" s="117"/>
      <c r="D2246" s="117"/>
      <c r="E2246" s="117"/>
      <c r="F2246" s="117"/>
      <c r="G2246" s="117"/>
      <c r="H2246" s="117"/>
      <c r="I2246" s="117"/>
      <c r="J2246" s="118"/>
      <c r="K2246" s="118"/>
      <c r="L2246" s="118"/>
      <c r="M2246" s="118"/>
      <c r="N2246" s="117"/>
      <c r="O2246" s="117"/>
      <c r="P2246" s="117"/>
      <c r="Q2246" s="117"/>
      <c r="R2246" s="117"/>
      <c r="S2246" s="117"/>
      <c r="T2246" s="117"/>
      <c r="U2246" s="117"/>
      <c r="V2246" s="117"/>
      <c r="W2246" s="117"/>
      <c r="X2246" s="117"/>
      <c r="Y2246" s="117"/>
      <c r="Z2246" s="117"/>
      <c r="AA2246" s="117"/>
      <c r="AB2246" s="117"/>
      <c r="AC2246" s="117"/>
      <c r="AD2246" s="117"/>
      <c r="AE2246" s="117"/>
      <c r="AF2246" s="117"/>
      <c r="AG2246" s="117"/>
      <c r="AH2246" s="117"/>
      <c r="AI2246" s="117"/>
      <c r="AJ2246" s="117"/>
      <c r="AK2246" s="117"/>
      <c r="AL2246" s="117"/>
      <c r="AM2246" s="117"/>
      <c r="AN2246" s="117"/>
      <c r="AO2246" s="117"/>
      <c r="AP2246" s="117"/>
      <c r="AQ2246" s="117"/>
      <c r="AR2246" s="117"/>
      <c r="AS2246" s="117"/>
      <c r="AT2246" s="117"/>
      <c r="AU2246" s="117"/>
      <c r="AV2246" s="117"/>
      <c r="AW2246" s="117"/>
      <c r="AX2246" s="117"/>
      <c r="AY2246" s="117"/>
      <c r="AZ2246" s="117"/>
      <c r="BA2246" s="117"/>
      <c r="BB2246" s="117"/>
      <c r="BC2246" s="117"/>
      <c r="BD2246" s="117"/>
      <c r="BE2246" s="117"/>
      <c r="BF2246" s="117"/>
      <c r="BG2246" s="117"/>
    </row>
    <row r="2247" spans="1:59">
      <c r="A2247" s="117"/>
      <c r="B2247" s="117"/>
      <c r="C2247" s="117"/>
      <c r="D2247" s="117"/>
      <c r="E2247" s="117"/>
      <c r="F2247" s="117"/>
      <c r="G2247" s="117"/>
      <c r="H2247" s="117"/>
      <c r="I2247" s="117"/>
      <c r="J2247" s="118"/>
      <c r="K2247" s="118"/>
      <c r="L2247" s="118"/>
      <c r="M2247" s="118"/>
      <c r="N2247" s="117"/>
      <c r="O2247" s="117"/>
      <c r="P2247" s="117"/>
      <c r="Q2247" s="117"/>
      <c r="R2247" s="117"/>
      <c r="S2247" s="117"/>
      <c r="T2247" s="117"/>
      <c r="U2247" s="117"/>
      <c r="V2247" s="117"/>
      <c r="W2247" s="117"/>
      <c r="X2247" s="117"/>
      <c r="Y2247" s="117"/>
      <c r="Z2247" s="117"/>
      <c r="AA2247" s="117"/>
      <c r="AB2247" s="117"/>
      <c r="AC2247" s="117"/>
      <c r="AD2247" s="117"/>
      <c r="AE2247" s="117"/>
      <c r="AF2247" s="117"/>
      <c r="AG2247" s="117"/>
      <c r="AH2247" s="117"/>
      <c r="AI2247" s="117"/>
      <c r="AJ2247" s="117"/>
      <c r="AK2247" s="117"/>
      <c r="AL2247" s="117"/>
      <c r="AM2247" s="117"/>
      <c r="AN2247" s="117"/>
      <c r="AO2247" s="117"/>
      <c r="AP2247" s="117"/>
      <c r="AQ2247" s="117"/>
      <c r="AR2247" s="117"/>
      <c r="AS2247" s="117"/>
      <c r="AT2247" s="117"/>
      <c r="AU2247" s="117"/>
      <c r="AV2247" s="117"/>
      <c r="AW2247" s="117"/>
      <c r="AX2247" s="117"/>
      <c r="AY2247" s="117"/>
      <c r="AZ2247" s="117"/>
      <c r="BA2247" s="117"/>
      <c r="BB2247" s="117"/>
      <c r="BC2247" s="117"/>
      <c r="BD2247" s="117"/>
      <c r="BE2247" s="117"/>
      <c r="BF2247" s="117"/>
      <c r="BG2247" s="117"/>
    </row>
    <row r="2248" spans="1:59">
      <c r="A2248" s="117"/>
      <c r="B2248" s="117"/>
      <c r="C2248" s="117"/>
      <c r="D2248" s="117"/>
      <c r="E2248" s="117"/>
      <c r="F2248" s="117"/>
      <c r="G2248" s="117"/>
      <c r="H2248" s="117"/>
      <c r="I2248" s="117"/>
      <c r="J2248" s="118"/>
      <c r="K2248" s="118"/>
      <c r="L2248" s="118"/>
      <c r="M2248" s="118"/>
      <c r="N2248" s="117"/>
      <c r="O2248" s="117"/>
      <c r="P2248" s="117"/>
      <c r="Q2248" s="117"/>
      <c r="R2248" s="117"/>
      <c r="S2248" s="117"/>
      <c r="T2248" s="117"/>
      <c r="U2248" s="117"/>
      <c r="V2248" s="117"/>
      <c r="W2248" s="117"/>
      <c r="X2248" s="117"/>
      <c r="Y2248" s="117"/>
      <c r="Z2248" s="117"/>
      <c r="AA2248" s="117"/>
      <c r="AB2248" s="117"/>
      <c r="AC2248" s="117"/>
      <c r="AD2248" s="117"/>
      <c r="AE2248" s="117"/>
      <c r="AF2248" s="117"/>
      <c r="AG2248" s="117"/>
      <c r="AH2248" s="117"/>
      <c r="AI2248" s="117"/>
      <c r="AJ2248" s="117"/>
      <c r="AK2248" s="117"/>
      <c r="AL2248" s="117"/>
      <c r="AM2248" s="117"/>
      <c r="AN2248" s="117"/>
      <c r="AO2248" s="117"/>
      <c r="AP2248" s="117"/>
      <c r="AQ2248" s="117"/>
      <c r="AR2248" s="117"/>
      <c r="AS2248" s="117"/>
      <c r="AT2248" s="117"/>
      <c r="AU2248" s="117"/>
      <c r="AV2248" s="117"/>
      <c r="AW2248" s="117"/>
      <c r="AX2248" s="117"/>
      <c r="AY2248" s="117"/>
      <c r="AZ2248" s="117"/>
      <c r="BA2248" s="117"/>
      <c r="BB2248" s="117"/>
      <c r="BC2248" s="117"/>
      <c r="BD2248" s="117"/>
      <c r="BE2248" s="117"/>
      <c r="BF2248" s="117"/>
      <c r="BG2248" s="117"/>
    </row>
    <row r="2249" spans="1:59">
      <c r="A2249" s="117"/>
      <c r="B2249" s="117"/>
      <c r="C2249" s="117"/>
      <c r="D2249" s="117"/>
      <c r="E2249" s="117"/>
      <c r="F2249" s="117"/>
      <c r="G2249" s="117"/>
      <c r="H2249" s="117"/>
      <c r="I2249" s="117"/>
      <c r="J2249" s="118"/>
      <c r="K2249" s="118"/>
      <c r="L2249" s="118"/>
      <c r="M2249" s="118"/>
      <c r="N2249" s="117"/>
      <c r="O2249" s="117"/>
      <c r="P2249" s="117"/>
      <c r="Q2249" s="117"/>
      <c r="R2249" s="117"/>
      <c r="S2249" s="117"/>
      <c r="T2249" s="117"/>
      <c r="U2249" s="117"/>
      <c r="V2249" s="117"/>
      <c r="W2249" s="117"/>
      <c r="X2249" s="117"/>
      <c r="Y2249" s="117"/>
      <c r="Z2249" s="117"/>
      <c r="AA2249" s="117"/>
      <c r="AB2249" s="117"/>
      <c r="AC2249" s="117"/>
      <c r="AD2249" s="117"/>
      <c r="AE2249" s="117"/>
      <c r="AF2249" s="117"/>
      <c r="AG2249" s="117"/>
      <c r="AH2249" s="117"/>
      <c r="AI2249" s="117"/>
      <c r="AJ2249" s="117"/>
      <c r="AK2249" s="117"/>
      <c r="AL2249" s="117"/>
      <c r="AM2249" s="117"/>
      <c r="AN2249" s="117"/>
      <c r="AO2249" s="117"/>
      <c r="AP2249" s="117"/>
      <c r="AQ2249" s="117"/>
      <c r="AR2249" s="117"/>
      <c r="AS2249" s="117"/>
      <c r="AT2249" s="117"/>
      <c r="AU2249" s="117"/>
      <c r="AV2249" s="117"/>
      <c r="AW2249" s="117"/>
      <c r="AX2249" s="117"/>
      <c r="AY2249" s="117"/>
      <c r="AZ2249" s="117"/>
      <c r="BA2249" s="117"/>
      <c r="BB2249" s="117"/>
      <c r="BC2249" s="117"/>
      <c r="BD2249" s="117"/>
      <c r="BE2249" s="117"/>
      <c r="BF2249" s="117"/>
      <c r="BG2249" s="117"/>
    </row>
    <row r="2250" spans="1:59">
      <c r="A2250" s="117"/>
      <c r="B2250" s="117"/>
      <c r="C2250" s="117"/>
      <c r="D2250" s="117"/>
      <c r="E2250" s="117"/>
      <c r="F2250" s="117"/>
      <c r="G2250" s="117"/>
      <c r="H2250" s="117"/>
      <c r="I2250" s="117"/>
      <c r="J2250" s="118"/>
      <c r="K2250" s="118"/>
      <c r="L2250" s="118"/>
      <c r="M2250" s="118"/>
      <c r="N2250" s="117"/>
      <c r="O2250" s="117"/>
      <c r="P2250" s="117"/>
      <c r="Q2250" s="117"/>
      <c r="R2250" s="117"/>
      <c r="S2250" s="117"/>
      <c r="T2250" s="117"/>
      <c r="U2250" s="117"/>
      <c r="V2250" s="117"/>
      <c r="W2250" s="117"/>
      <c r="X2250" s="117"/>
      <c r="Y2250" s="117"/>
      <c r="Z2250" s="117"/>
      <c r="AA2250" s="117"/>
      <c r="AB2250" s="117"/>
      <c r="AC2250" s="117"/>
      <c r="AD2250" s="117"/>
      <c r="AE2250" s="117"/>
      <c r="AF2250" s="117"/>
      <c r="AG2250" s="117"/>
      <c r="AH2250" s="117"/>
      <c r="AI2250" s="117"/>
      <c r="AJ2250" s="117"/>
      <c r="AK2250" s="117"/>
      <c r="AL2250" s="117"/>
      <c r="AM2250" s="117"/>
      <c r="AN2250" s="117"/>
      <c r="AO2250" s="117"/>
      <c r="AP2250" s="117"/>
      <c r="AQ2250" s="117"/>
      <c r="AR2250" s="117"/>
      <c r="AS2250" s="117"/>
      <c r="AT2250" s="117"/>
      <c r="AU2250" s="117"/>
      <c r="AV2250" s="117"/>
      <c r="AW2250" s="117"/>
      <c r="AX2250" s="117"/>
      <c r="AY2250" s="117"/>
      <c r="AZ2250" s="117"/>
      <c r="BA2250" s="117"/>
      <c r="BB2250" s="117"/>
      <c r="BC2250" s="117"/>
      <c r="BD2250" s="117"/>
      <c r="BE2250" s="117"/>
      <c r="BF2250" s="117"/>
      <c r="BG2250" s="117"/>
    </row>
    <row r="2251" spans="1:59">
      <c r="A2251" s="117"/>
      <c r="B2251" s="117"/>
      <c r="C2251" s="117"/>
      <c r="D2251" s="117"/>
      <c r="E2251" s="117"/>
      <c r="F2251" s="117"/>
      <c r="G2251" s="117"/>
      <c r="H2251" s="117"/>
      <c r="I2251" s="117"/>
      <c r="J2251" s="118"/>
      <c r="K2251" s="118"/>
      <c r="L2251" s="118"/>
      <c r="M2251" s="118"/>
      <c r="N2251" s="117"/>
      <c r="O2251" s="117"/>
      <c r="P2251" s="117"/>
      <c r="Q2251" s="117"/>
      <c r="R2251" s="117"/>
      <c r="S2251" s="117"/>
      <c r="T2251" s="117"/>
      <c r="U2251" s="117"/>
      <c r="V2251" s="117"/>
      <c r="W2251" s="117"/>
      <c r="X2251" s="117"/>
      <c r="Y2251" s="117"/>
      <c r="Z2251" s="117"/>
      <c r="AA2251" s="117"/>
      <c r="AB2251" s="117"/>
      <c r="AC2251" s="117"/>
      <c r="AD2251" s="117"/>
      <c r="AE2251" s="117"/>
      <c r="AF2251" s="117"/>
      <c r="AG2251" s="117"/>
      <c r="AH2251" s="117"/>
      <c r="AI2251" s="117"/>
      <c r="AJ2251" s="117"/>
      <c r="AK2251" s="117"/>
      <c r="AL2251" s="117"/>
      <c r="AM2251" s="117"/>
      <c r="AN2251" s="117"/>
      <c r="AO2251" s="117"/>
      <c r="AP2251" s="117"/>
      <c r="AQ2251" s="117"/>
      <c r="AR2251" s="117"/>
      <c r="AS2251" s="117"/>
      <c r="AT2251" s="117"/>
      <c r="AU2251" s="117"/>
      <c r="AV2251" s="117"/>
      <c r="AW2251" s="117"/>
      <c r="AX2251" s="117"/>
      <c r="AY2251" s="117"/>
      <c r="AZ2251" s="117"/>
      <c r="BA2251" s="117"/>
      <c r="BB2251" s="117"/>
      <c r="BC2251" s="117"/>
      <c r="BD2251" s="117"/>
      <c r="BE2251" s="117"/>
      <c r="BF2251" s="117"/>
      <c r="BG2251" s="117"/>
    </row>
    <row r="2252" spans="1:59">
      <c r="A2252" s="117"/>
      <c r="B2252" s="117"/>
      <c r="C2252" s="117"/>
      <c r="D2252" s="117"/>
      <c r="E2252" s="117"/>
      <c r="F2252" s="117"/>
      <c r="G2252" s="117"/>
      <c r="H2252" s="117"/>
      <c r="I2252" s="117"/>
      <c r="J2252" s="118"/>
      <c r="K2252" s="118"/>
      <c r="L2252" s="118"/>
      <c r="M2252" s="118"/>
      <c r="N2252" s="117"/>
      <c r="O2252" s="117"/>
      <c r="P2252" s="117"/>
      <c r="Q2252" s="117"/>
      <c r="R2252" s="117"/>
      <c r="S2252" s="117"/>
      <c r="T2252" s="117"/>
      <c r="U2252" s="117"/>
      <c r="V2252" s="117"/>
      <c r="W2252" s="117"/>
      <c r="X2252" s="117"/>
      <c r="Y2252" s="117"/>
      <c r="Z2252" s="117"/>
      <c r="AA2252" s="117"/>
      <c r="AB2252" s="117"/>
      <c r="AC2252" s="117"/>
      <c r="AD2252" s="117"/>
      <c r="AE2252" s="117"/>
      <c r="AF2252" s="117"/>
      <c r="AG2252" s="117"/>
      <c r="AH2252" s="117"/>
      <c r="AI2252" s="117"/>
      <c r="AJ2252" s="117"/>
      <c r="AK2252" s="117"/>
      <c r="AL2252" s="117"/>
      <c r="AM2252" s="117"/>
      <c r="AN2252" s="117"/>
      <c r="AO2252" s="117"/>
      <c r="AP2252" s="117"/>
      <c r="AQ2252" s="117"/>
      <c r="AR2252" s="117"/>
      <c r="AS2252" s="117"/>
      <c r="AT2252" s="117"/>
      <c r="AU2252" s="117"/>
      <c r="AV2252" s="117"/>
      <c r="AW2252" s="117"/>
      <c r="AX2252" s="117"/>
      <c r="AY2252" s="117"/>
      <c r="AZ2252" s="117"/>
      <c r="BA2252" s="117"/>
      <c r="BB2252" s="117"/>
      <c r="BC2252" s="117"/>
      <c r="BD2252" s="117"/>
      <c r="BE2252" s="117"/>
      <c r="BF2252" s="117"/>
      <c r="BG2252" s="117"/>
    </row>
    <row r="2253" spans="1:59">
      <c r="A2253" s="117"/>
      <c r="B2253" s="117"/>
      <c r="C2253" s="117"/>
      <c r="D2253" s="117"/>
      <c r="E2253" s="117"/>
      <c r="F2253" s="117"/>
      <c r="G2253" s="117"/>
      <c r="H2253" s="117"/>
      <c r="I2253" s="117"/>
      <c r="J2253" s="118"/>
      <c r="K2253" s="118"/>
      <c r="L2253" s="118"/>
      <c r="M2253" s="118"/>
      <c r="N2253" s="117"/>
      <c r="O2253" s="117"/>
      <c r="P2253" s="117"/>
      <c r="Q2253" s="117"/>
      <c r="R2253" s="117"/>
      <c r="S2253" s="117"/>
      <c r="T2253" s="117"/>
      <c r="U2253" s="117"/>
      <c r="V2253" s="117"/>
      <c r="W2253" s="117"/>
      <c r="X2253" s="117"/>
      <c r="Y2253" s="117"/>
      <c r="Z2253" s="117"/>
      <c r="AA2253" s="117"/>
      <c r="AB2253" s="117"/>
      <c r="AC2253" s="117"/>
      <c r="AD2253" s="117"/>
      <c r="AE2253" s="117"/>
      <c r="AF2253" s="117"/>
      <c r="AG2253" s="117"/>
      <c r="AH2253" s="117"/>
      <c r="AI2253" s="117"/>
      <c r="AJ2253" s="117"/>
      <c r="AK2253" s="117"/>
      <c r="AL2253" s="117"/>
      <c r="AM2253" s="117"/>
      <c r="AN2253" s="117"/>
      <c r="AO2253" s="117"/>
      <c r="AP2253" s="117"/>
      <c r="AQ2253" s="117"/>
      <c r="AR2253" s="117"/>
      <c r="AS2253" s="117"/>
      <c r="AT2253" s="117"/>
      <c r="AU2253" s="117"/>
      <c r="AV2253" s="117"/>
      <c r="AW2253" s="117"/>
      <c r="AX2253" s="117"/>
      <c r="AY2253" s="117"/>
      <c r="AZ2253" s="117"/>
      <c r="BA2253" s="117"/>
      <c r="BB2253" s="117"/>
      <c r="BC2253" s="117"/>
      <c r="BD2253" s="117"/>
      <c r="BE2253" s="117"/>
      <c r="BF2253" s="117"/>
      <c r="BG2253" s="117"/>
    </row>
    <row r="2254" spans="1:59">
      <c r="A2254" s="117"/>
      <c r="B2254" s="117"/>
      <c r="C2254" s="117"/>
      <c r="D2254" s="117"/>
      <c r="E2254" s="117"/>
      <c r="F2254" s="117"/>
      <c r="G2254" s="117"/>
      <c r="H2254" s="117"/>
      <c r="I2254" s="117"/>
      <c r="J2254" s="118"/>
      <c r="K2254" s="118"/>
      <c r="L2254" s="118"/>
      <c r="M2254" s="118"/>
      <c r="N2254" s="117"/>
      <c r="O2254" s="117"/>
      <c r="P2254" s="117"/>
      <c r="Q2254" s="117"/>
      <c r="R2254" s="117"/>
      <c r="S2254" s="117"/>
      <c r="T2254" s="117"/>
      <c r="U2254" s="117"/>
      <c r="V2254" s="117"/>
      <c r="W2254" s="117"/>
      <c r="X2254" s="117"/>
      <c r="Y2254" s="117"/>
      <c r="Z2254" s="117"/>
      <c r="AA2254" s="117"/>
      <c r="AB2254" s="117"/>
      <c r="AC2254" s="117"/>
      <c r="AD2254" s="117"/>
      <c r="AE2254" s="117"/>
      <c r="AF2254" s="117"/>
      <c r="AG2254" s="117"/>
      <c r="AH2254" s="117"/>
      <c r="AI2254" s="117"/>
      <c r="AJ2254" s="117"/>
      <c r="AK2254" s="117"/>
      <c r="AL2254" s="117"/>
      <c r="AM2254" s="117"/>
      <c r="AN2254" s="117"/>
      <c r="AO2254" s="117"/>
      <c r="AP2254" s="117"/>
      <c r="AQ2254" s="117"/>
      <c r="AR2254" s="117"/>
      <c r="AS2254" s="117"/>
      <c r="AT2254" s="117"/>
      <c r="AU2254" s="117"/>
      <c r="AV2254" s="117"/>
      <c r="AW2254" s="117"/>
      <c r="AX2254" s="117"/>
      <c r="AY2254" s="117"/>
      <c r="AZ2254" s="117"/>
      <c r="BA2254" s="117"/>
      <c r="BB2254" s="117"/>
      <c r="BC2254" s="117"/>
      <c r="BD2254" s="117"/>
      <c r="BE2254" s="117"/>
      <c r="BF2254" s="117"/>
      <c r="BG2254" s="117"/>
    </row>
    <row r="2255" spans="1:59">
      <c r="A2255" s="117"/>
      <c r="B2255" s="117"/>
      <c r="C2255" s="117"/>
      <c r="D2255" s="117"/>
      <c r="E2255" s="117"/>
      <c r="F2255" s="117"/>
      <c r="G2255" s="117"/>
      <c r="H2255" s="117"/>
      <c r="I2255" s="117"/>
      <c r="J2255" s="118"/>
      <c r="K2255" s="118"/>
      <c r="L2255" s="118"/>
      <c r="M2255" s="118"/>
      <c r="N2255" s="117"/>
      <c r="O2255" s="117"/>
      <c r="P2255" s="117"/>
      <c r="Q2255" s="117"/>
      <c r="R2255" s="117"/>
      <c r="S2255" s="117"/>
      <c r="T2255" s="117"/>
      <c r="U2255" s="117"/>
      <c r="V2255" s="117"/>
      <c r="W2255" s="117"/>
      <c r="X2255" s="117"/>
      <c r="Y2255" s="117"/>
      <c r="Z2255" s="117"/>
      <c r="AA2255" s="117"/>
      <c r="AB2255" s="117"/>
      <c r="AC2255" s="117"/>
      <c r="AD2255" s="117"/>
      <c r="AE2255" s="117"/>
      <c r="AF2255" s="117"/>
      <c r="AG2255" s="117"/>
      <c r="AH2255" s="117"/>
      <c r="AI2255" s="117"/>
      <c r="AJ2255" s="117"/>
      <c r="AK2255" s="117"/>
      <c r="AL2255" s="117"/>
      <c r="AM2255" s="117"/>
      <c r="AN2255" s="117"/>
      <c r="AO2255" s="117"/>
      <c r="AP2255" s="117"/>
      <c r="AQ2255" s="117"/>
      <c r="AR2255" s="117"/>
      <c r="AS2255" s="117"/>
      <c r="AT2255" s="117"/>
      <c r="AU2255" s="117"/>
      <c r="AV2255" s="117"/>
      <c r="AW2255" s="117"/>
      <c r="AX2255" s="117"/>
      <c r="AY2255" s="117"/>
      <c r="AZ2255" s="117"/>
      <c r="BA2255" s="117"/>
      <c r="BB2255" s="117"/>
      <c r="BC2255" s="117"/>
      <c r="BD2255" s="117"/>
      <c r="BE2255" s="117"/>
      <c r="BF2255" s="117"/>
      <c r="BG2255" s="117"/>
    </row>
    <row r="2256" spans="1:59">
      <c r="A2256" s="117"/>
      <c r="B2256" s="117"/>
      <c r="C2256" s="117"/>
      <c r="D2256" s="117"/>
      <c r="E2256" s="117"/>
      <c r="F2256" s="117"/>
      <c r="G2256" s="117"/>
      <c r="H2256" s="117"/>
      <c r="I2256" s="117"/>
      <c r="J2256" s="118"/>
      <c r="K2256" s="118"/>
      <c r="L2256" s="118"/>
      <c r="M2256" s="118"/>
      <c r="N2256" s="117"/>
      <c r="O2256" s="117"/>
      <c r="P2256" s="117"/>
      <c r="Q2256" s="117"/>
      <c r="R2256" s="117"/>
      <c r="S2256" s="117"/>
      <c r="T2256" s="117"/>
      <c r="U2256" s="117"/>
      <c r="V2256" s="117"/>
      <c r="W2256" s="117"/>
      <c r="X2256" s="117"/>
      <c r="Y2256" s="117"/>
      <c r="Z2256" s="117"/>
      <c r="AA2256" s="117"/>
      <c r="AB2256" s="117"/>
      <c r="AC2256" s="117"/>
      <c r="AD2256" s="117"/>
      <c r="AE2256" s="117"/>
      <c r="AF2256" s="117"/>
      <c r="AG2256" s="117"/>
      <c r="AH2256" s="117"/>
      <c r="AI2256" s="117"/>
      <c r="AJ2256" s="117"/>
      <c r="AK2256" s="117"/>
      <c r="AL2256" s="117"/>
      <c r="AM2256" s="117"/>
      <c r="AN2256" s="117"/>
      <c r="AO2256" s="117"/>
      <c r="AP2256" s="117"/>
      <c r="AQ2256" s="117"/>
      <c r="AR2256" s="117"/>
      <c r="AS2256" s="117"/>
      <c r="AT2256" s="117"/>
      <c r="AU2256" s="117"/>
      <c r="AV2256" s="117"/>
      <c r="AW2256" s="117"/>
      <c r="AX2256" s="117"/>
      <c r="AY2256" s="117"/>
      <c r="AZ2256" s="117"/>
      <c r="BA2256" s="117"/>
      <c r="BB2256" s="117"/>
      <c r="BC2256" s="117"/>
      <c r="BD2256" s="117"/>
      <c r="BE2256" s="117"/>
      <c r="BF2256" s="117"/>
      <c r="BG2256" s="117"/>
    </row>
    <row r="2257" spans="1:59">
      <c r="A2257" s="117"/>
      <c r="B2257" s="117"/>
      <c r="C2257" s="117"/>
      <c r="D2257" s="117"/>
      <c r="E2257" s="117"/>
      <c r="F2257" s="117"/>
      <c r="G2257" s="117"/>
      <c r="H2257" s="117"/>
      <c r="I2257" s="117"/>
      <c r="J2257" s="118"/>
      <c r="K2257" s="118"/>
      <c r="L2257" s="118"/>
      <c r="M2257" s="118"/>
      <c r="N2257" s="117"/>
      <c r="O2257" s="117"/>
      <c r="P2257" s="117"/>
      <c r="Q2257" s="117"/>
      <c r="R2257" s="117"/>
      <c r="S2257" s="117"/>
      <c r="T2257" s="117"/>
      <c r="U2257" s="117"/>
      <c r="V2257" s="117"/>
      <c r="W2257" s="117"/>
      <c r="X2257" s="117"/>
      <c r="Y2257" s="117"/>
      <c r="Z2257" s="117"/>
      <c r="AA2257" s="117"/>
      <c r="AB2257" s="117"/>
      <c r="AC2257" s="117"/>
      <c r="AD2257" s="117"/>
      <c r="AE2257" s="117"/>
      <c r="AF2257" s="117"/>
      <c r="AG2257" s="117"/>
      <c r="AH2257" s="117"/>
      <c r="AI2257" s="117"/>
      <c r="AJ2257" s="117"/>
      <c r="AK2257" s="117"/>
      <c r="AL2257" s="117"/>
      <c r="AM2257" s="117"/>
      <c r="AN2257" s="117"/>
      <c r="AO2257" s="117"/>
      <c r="AP2257" s="117"/>
      <c r="AQ2257" s="117"/>
      <c r="AR2257" s="117"/>
      <c r="AS2257" s="117"/>
      <c r="AT2257" s="117"/>
      <c r="AU2257" s="117"/>
      <c r="AV2257" s="117"/>
      <c r="AW2257" s="117"/>
      <c r="AX2257" s="117"/>
      <c r="AY2257" s="117"/>
      <c r="AZ2257" s="117"/>
      <c r="BA2257" s="117"/>
      <c r="BB2257" s="117"/>
      <c r="BC2257" s="117"/>
      <c r="BD2257" s="117"/>
      <c r="BE2257" s="117"/>
      <c r="BF2257" s="117"/>
      <c r="BG2257" s="117"/>
    </row>
    <row r="2258" spans="1:59">
      <c r="A2258" s="117"/>
      <c r="B2258" s="117"/>
      <c r="C2258" s="117"/>
      <c r="D2258" s="117"/>
      <c r="E2258" s="117"/>
      <c r="F2258" s="117"/>
      <c r="G2258" s="117"/>
      <c r="H2258" s="117"/>
      <c r="I2258" s="117"/>
      <c r="J2258" s="118"/>
      <c r="K2258" s="118"/>
      <c r="L2258" s="118"/>
      <c r="M2258" s="118"/>
      <c r="N2258" s="117"/>
      <c r="O2258" s="117"/>
      <c r="P2258" s="117"/>
      <c r="Q2258" s="117"/>
      <c r="R2258" s="117"/>
      <c r="S2258" s="117"/>
      <c r="T2258" s="117"/>
      <c r="U2258" s="117"/>
      <c r="V2258" s="117"/>
      <c r="W2258" s="117"/>
      <c r="X2258" s="117"/>
      <c r="Y2258" s="117"/>
      <c r="Z2258" s="117"/>
      <c r="AA2258" s="117"/>
      <c r="AB2258" s="117"/>
      <c r="AC2258" s="117"/>
      <c r="AD2258" s="117"/>
      <c r="AE2258" s="117"/>
      <c r="AF2258" s="117"/>
      <c r="AG2258" s="117"/>
      <c r="AH2258" s="117"/>
      <c r="AI2258" s="117"/>
      <c r="AJ2258" s="117"/>
      <c r="AK2258" s="117"/>
      <c r="AL2258" s="117"/>
      <c r="AM2258" s="117"/>
      <c r="AN2258" s="117"/>
      <c r="AO2258" s="117"/>
      <c r="AP2258" s="117"/>
      <c r="AQ2258" s="117"/>
      <c r="AR2258" s="117"/>
      <c r="AS2258" s="117"/>
      <c r="AT2258" s="117"/>
      <c r="AU2258" s="117"/>
      <c r="AV2258" s="117"/>
      <c r="AW2258" s="117"/>
      <c r="AX2258" s="117"/>
      <c r="AY2258" s="117"/>
      <c r="AZ2258" s="117"/>
      <c r="BA2258" s="117"/>
      <c r="BB2258" s="117"/>
      <c r="BC2258" s="117"/>
      <c r="BD2258" s="117"/>
      <c r="BE2258" s="117"/>
      <c r="BF2258" s="117"/>
      <c r="BG2258" s="117"/>
    </row>
    <row r="2259" spans="1:59">
      <c r="A2259" s="117"/>
      <c r="B2259" s="117"/>
      <c r="C2259" s="117"/>
      <c r="D2259" s="117"/>
      <c r="E2259" s="117"/>
      <c r="F2259" s="117"/>
      <c r="G2259" s="117"/>
      <c r="H2259" s="117"/>
      <c r="I2259" s="117"/>
      <c r="J2259" s="118"/>
      <c r="K2259" s="118"/>
      <c r="L2259" s="118"/>
      <c r="M2259" s="118"/>
      <c r="N2259" s="117"/>
      <c r="O2259" s="117"/>
      <c r="P2259" s="117"/>
      <c r="Q2259" s="117"/>
      <c r="R2259" s="117"/>
      <c r="S2259" s="117"/>
      <c r="T2259" s="117"/>
      <c r="U2259" s="117"/>
      <c r="V2259" s="117"/>
      <c r="W2259" s="117"/>
      <c r="X2259" s="117"/>
      <c r="Y2259" s="117"/>
      <c r="Z2259" s="117"/>
      <c r="AA2259" s="117"/>
      <c r="AB2259" s="117"/>
      <c r="AC2259" s="117"/>
      <c r="AD2259" s="117"/>
      <c r="AE2259" s="117"/>
      <c r="AF2259" s="117"/>
      <c r="AG2259" s="117"/>
      <c r="AH2259" s="117"/>
      <c r="AI2259" s="117"/>
      <c r="AJ2259" s="117"/>
      <c r="AK2259" s="117"/>
      <c r="AL2259" s="117"/>
      <c r="AM2259" s="117"/>
      <c r="AN2259" s="117"/>
      <c r="AO2259" s="117"/>
      <c r="AP2259" s="117"/>
      <c r="AQ2259" s="117"/>
      <c r="AR2259" s="117"/>
      <c r="AS2259" s="117"/>
      <c r="AT2259" s="117"/>
      <c r="AU2259" s="117"/>
      <c r="AV2259" s="117"/>
      <c r="AW2259" s="117"/>
      <c r="AX2259" s="117"/>
      <c r="AY2259" s="117"/>
      <c r="AZ2259" s="117"/>
      <c r="BA2259" s="117"/>
      <c r="BB2259" s="117"/>
      <c r="BC2259" s="117"/>
      <c r="BD2259" s="117"/>
      <c r="BE2259" s="117"/>
      <c r="BF2259" s="117"/>
      <c r="BG2259" s="117"/>
    </row>
    <row r="2260" spans="1:59">
      <c r="A2260" s="117"/>
      <c r="B2260" s="117"/>
      <c r="C2260" s="117"/>
      <c r="D2260" s="117"/>
      <c r="E2260" s="117"/>
      <c r="F2260" s="117"/>
      <c r="G2260" s="117"/>
      <c r="H2260" s="117"/>
      <c r="I2260" s="117"/>
      <c r="J2260" s="118"/>
      <c r="K2260" s="118"/>
      <c r="L2260" s="118"/>
      <c r="M2260" s="118"/>
      <c r="N2260" s="117"/>
      <c r="O2260" s="117"/>
      <c r="P2260" s="117"/>
      <c r="Q2260" s="117"/>
      <c r="R2260" s="117"/>
      <c r="S2260" s="117"/>
      <c r="T2260" s="117"/>
      <c r="U2260" s="117"/>
      <c r="V2260" s="117"/>
      <c r="W2260" s="117"/>
      <c r="X2260" s="117"/>
      <c r="Y2260" s="117"/>
      <c r="Z2260" s="117"/>
      <c r="AA2260" s="117"/>
      <c r="AB2260" s="117"/>
      <c r="AC2260" s="117"/>
      <c r="AD2260" s="117"/>
      <c r="AE2260" s="117"/>
      <c r="AF2260" s="117"/>
      <c r="AG2260" s="117"/>
      <c r="AH2260" s="117"/>
      <c r="AI2260" s="117"/>
      <c r="AJ2260" s="117"/>
      <c r="AK2260" s="117"/>
      <c r="AL2260" s="117"/>
      <c r="AM2260" s="117"/>
      <c r="AN2260" s="117"/>
      <c r="AO2260" s="117"/>
      <c r="AP2260" s="117"/>
      <c r="AQ2260" s="117"/>
      <c r="AR2260" s="117"/>
      <c r="AS2260" s="117"/>
      <c r="AT2260" s="117"/>
      <c r="AU2260" s="117"/>
      <c r="AV2260" s="117"/>
      <c r="AW2260" s="117"/>
      <c r="AX2260" s="117"/>
      <c r="AY2260" s="117"/>
      <c r="AZ2260" s="117"/>
      <c r="BA2260" s="117"/>
      <c r="BB2260" s="117"/>
      <c r="BC2260" s="117"/>
      <c r="BD2260" s="117"/>
      <c r="BE2260" s="117"/>
      <c r="BF2260" s="117"/>
      <c r="BG2260" s="117"/>
    </row>
    <row r="2261" spans="1:59">
      <c r="A2261" s="117"/>
      <c r="B2261" s="117"/>
      <c r="C2261" s="117"/>
      <c r="D2261" s="117"/>
      <c r="E2261" s="117"/>
      <c r="F2261" s="117"/>
      <c r="G2261" s="117"/>
      <c r="H2261" s="117"/>
      <c r="I2261" s="117"/>
      <c r="J2261" s="118"/>
      <c r="K2261" s="118"/>
      <c r="L2261" s="118"/>
      <c r="M2261" s="118"/>
      <c r="N2261" s="117"/>
      <c r="O2261" s="117"/>
      <c r="P2261" s="117"/>
      <c r="Q2261" s="117"/>
      <c r="R2261" s="117"/>
      <c r="S2261" s="117"/>
      <c r="T2261" s="117"/>
      <c r="U2261" s="117"/>
      <c r="V2261" s="117"/>
      <c r="W2261" s="117"/>
      <c r="X2261" s="117"/>
      <c r="Y2261" s="117"/>
      <c r="Z2261" s="117"/>
      <c r="AA2261" s="117"/>
      <c r="AB2261" s="117"/>
      <c r="AC2261" s="117"/>
      <c r="AD2261" s="117"/>
      <c r="AE2261" s="117"/>
      <c r="AF2261" s="117"/>
      <c r="AG2261" s="117"/>
      <c r="AH2261" s="117"/>
      <c r="AI2261" s="117"/>
      <c r="AJ2261" s="117"/>
      <c r="AK2261" s="117"/>
      <c r="AL2261" s="117"/>
      <c r="AM2261" s="117"/>
      <c r="AN2261" s="117"/>
      <c r="AO2261" s="117"/>
      <c r="AP2261" s="117"/>
      <c r="AQ2261" s="117"/>
      <c r="AR2261" s="117"/>
      <c r="AS2261" s="117"/>
      <c r="AT2261" s="117"/>
      <c r="AU2261" s="117"/>
      <c r="AV2261" s="117"/>
      <c r="AW2261" s="117"/>
      <c r="AX2261" s="117"/>
      <c r="AY2261" s="117"/>
      <c r="AZ2261" s="117"/>
      <c r="BA2261" s="117"/>
      <c r="BB2261" s="117"/>
      <c r="BC2261" s="117"/>
      <c r="BD2261" s="117"/>
      <c r="BE2261" s="117"/>
      <c r="BF2261" s="117"/>
      <c r="BG2261" s="117"/>
    </row>
    <row r="2262" spans="1:59">
      <c r="A2262" s="117"/>
      <c r="B2262" s="117"/>
      <c r="C2262" s="117"/>
      <c r="D2262" s="117"/>
      <c r="E2262" s="117"/>
      <c r="F2262" s="117"/>
      <c r="G2262" s="117"/>
      <c r="H2262" s="117"/>
      <c r="I2262" s="117"/>
      <c r="J2262" s="118"/>
      <c r="K2262" s="118"/>
      <c r="L2262" s="118"/>
      <c r="M2262" s="118"/>
      <c r="N2262" s="117"/>
      <c r="O2262" s="117"/>
      <c r="P2262" s="117"/>
      <c r="Q2262" s="117"/>
      <c r="R2262" s="117"/>
      <c r="S2262" s="117"/>
      <c r="T2262" s="117"/>
      <c r="U2262" s="117"/>
      <c r="V2262" s="117"/>
      <c r="W2262" s="117"/>
      <c r="X2262" s="117"/>
      <c r="Y2262" s="117"/>
      <c r="Z2262" s="117"/>
      <c r="AA2262" s="117"/>
      <c r="AB2262" s="117"/>
      <c r="AC2262" s="117"/>
      <c r="AD2262" s="117"/>
      <c r="AE2262" s="117"/>
      <c r="AF2262" s="117"/>
      <c r="AG2262" s="117"/>
      <c r="AH2262" s="117"/>
      <c r="AI2262" s="117"/>
      <c r="AJ2262" s="117"/>
      <c r="AK2262" s="117"/>
      <c r="AL2262" s="117"/>
      <c r="AM2262" s="117"/>
      <c r="AN2262" s="117"/>
      <c r="AO2262" s="117"/>
      <c r="AP2262" s="117"/>
      <c r="AQ2262" s="117"/>
      <c r="AR2262" s="117"/>
      <c r="AS2262" s="117"/>
      <c r="AT2262" s="117"/>
      <c r="AU2262" s="117"/>
      <c r="AV2262" s="117"/>
      <c r="AW2262" s="117"/>
      <c r="AX2262" s="117"/>
      <c r="AY2262" s="117"/>
      <c r="AZ2262" s="117"/>
      <c r="BA2262" s="117"/>
      <c r="BB2262" s="117"/>
      <c r="BC2262" s="117"/>
      <c r="BD2262" s="117"/>
      <c r="BE2262" s="117"/>
      <c r="BF2262" s="117"/>
      <c r="BG2262" s="117"/>
    </row>
    <row r="2263" spans="1:59">
      <c r="A2263" s="117"/>
      <c r="B2263" s="117"/>
      <c r="C2263" s="117"/>
      <c r="D2263" s="117"/>
      <c r="E2263" s="117"/>
      <c r="F2263" s="117"/>
      <c r="G2263" s="117"/>
      <c r="H2263" s="117"/>
      <c r="I2263" s="117"/>
      <c r="J2263" s="118"/>
      <c r="K2263" s="118"/>
      <c r="L2263" s="118"/>
      <c r="M2263" s="118"/>
      <c r="N2263" s="117"/>
      <c r="O2263" s="117"/>
      <c r="P2263" s="117"/>
      <c r="Q2263" s="117"/>
      <c r="R2263" s="117"/>
      <c r="S2263" s="117"/>
      <c r="T2263" s="117"/>
      <c r="U2263" s="117"/>
      <c r="V2263" s="117"/>
      <c r="W2263" s="117"/>
      <c r="X2263" s="117"/>
      <c r="Y2263" s="117"/>
      <c r="Z2263" s="117"/>
      <c r="AA2263" s="117"/>
      <c r="AB2263" s="117"/>
      <c r="AC2263" s="117"/>
      <c r="AD2263" s="117"/>
      <c r="AE2263" s="117"/>
      <c r="AF2263" s="117"/>
      <c r="AG2263" s="117"/>
      <c r="AH2263" s="117"/>
      <c r="AI2263" s="117"/>
      <c r="AJ2263" s="117"/>
      <c r="AK2263" s="117"/>
      <c r="AL2263" s="117"/>
      <c r="AM2263" s="117"/>
      <c r="AN2263" s="117"/>
      <c r="AO2263" s="117"/>
      <c r="AP2263" s="117"/>
      <c r="AQ2263" s="117"/>
      <c r="AR2263" s="117"/>
      <c r="AS2263" s="117"/>
      <c r="AT2263" s="117"/>
      <c r="AU2263" s="117"/>
      <c r="AV2263" s="117"/>
      <c r="AW2263" s="117"/>
      <c r="AX2263" s="117"/>
      <c r="AY2263" s="117"/>
      <c r="AZ2263" s="117"/>
      <c r="BA2263" s="117"/>
      <c r="BB2263" s="117"/>
      <c r="BC2263" s="117"/>
      <c r="BD2263" s="117"/>
      <c r="BE2263" s="117"/>
      <c r="BF2263" s="117"/>
      <c r="BG2263" s="117"/>
    </row>
    <row r="2264" spans="1:59">
      <c r="A2264" s="117"/>
      <c r="B2264" s="117"/>
      <c r="C2264" s="117"/>
      <c r="D2264" s="117"/>
      <c r="E2264" s="117"/>
      <c r="F2264" s="117"/>
      <c r="G2264" s="117"/>
      <c r="H2264" s="117"/>
      <c r="I2264" s="117"/>
      <c r="J2264" s="118"/>
      <c r="K2264" s="118"/>
      <c r="L2264" s="118"/>
      <c r="M2264" s="118"/>
      <c r="N2264" s="117"/>
      <c r="O2264" s="117"/>
      <c r="P2264" s="117"/>
      <c r="Q2264" s="117"/>
      <c r="R2264" s="117"/>
      <c r="S2264" s="117"/>
      <c r="T2264" s="117"/>
      <c r="U2264" s="117"/>
      <c r="V2264" s="117"/>
      <c r="W2264" s="117"/>
      <c r="X2264" s="117"/>
      <c r="Y2264" s="117"/>
      <c r="Z2264" s="117"/>
      <c r="AA2264" s="117"/>
      <c r="AB2264" s="117"/>
      <c r="AC2264" s="117"/>
      <c r="AD2264" s="117"/>
      <c r="AE2264" s="117"/>
      <c r="AF2264" s="117"/>
      <c r="AG2264" s="117"/>
      <c r="AH2264" s="117"/>
      <c r="AI2264" s="117"/>
      <c r="AJ2264" s="117"/>
      <c r="AK2264" s="117"/>
      <c r="AL2264" s="117"/>
      <c r="AM2264" s="117"/>
      <c r="AN2264" s="117"/>
      <c r="AO2264" s="117"/>
      <c r="AP2264" s="117"/>
      <c r="AQ2264" s="117"/>
      <c r="AR2264" s="117"/>
      <c r="AS2264" s="117"/>
      <c r="AT2264" s="117"/>
      <c r="AU2264" s="117"/>
      <c r="AV2264" s="117"/>
      <c r="AW2264" s="117"/>
      <c r="AX2264" s="117"/>
      <c r="AY2264" s="117"/>
      <c r="AZ2264" s="117"/>
      <c r="BA2264" s="117"/>
      <c r="BB2264" s="117"/>
      <c r="BC2264" s="117"/>
      <c r="BD2264" s="117"/>
      <c r="BE2264" s="117"/>
      <c r="BF2264" s="117"/>
      <c r="BG2264" s="117"/>
    </row>
    <row r="2265" spans="1:59">
      <c r="A2265" s="117"/>
      <c r="B2265" s="117"/>
      <c r="C2265" s="117"/>
      <c r="D2265" s="117"/>
      <c r="E2265" s="117"/>
      <c r="F2265" s="117"/>
      <c r="G2265" s="117"/>
      <c r="H2265" s="117"/>
      <c r="I2265" s="117"/>
      <c r="J2265" s="118"/>
      <c r="K2265" s="118"/>
      <c r="L2265" s="118"/>
      <c r="M2265" s="118"/>
      <c r="N2265" s="117"/>
      <c r="O2265" s="117"/>
      <c r="P2265" s="117"/>
      <c r="Q2265" s="117"/>
      <c r="R2265" s="117"/>
      <c r="S2265" s="117"/>
      <c r="T2265" s="117"/>
      <c r="U2265" s="117"/>
      <c r="V2265" s="117"/>
      <c r="W2265" s="117"/>
      <c r="X2265" s="117"/>
      <c r="Y2265" s="117"/>
      <c r="Z2265" s="117"/>
      <c r="AA2265" s="117"/>
      <c r="AB2265" s="117"/>
      <c r="AC2265" s="117"/>
      <c r="AD2265" s="117"/>
      <c r="AE2265" s="117"/>
      <c r="AF2265" s="117"/>
      <c r="AG2265" s="117"/>
      <c r="AH2265" s="117"/>
      <c r="AI2265" s="117"/>
      <c r="AJ2265" s="117"/>
      <c r="AK2265" s="117"/>
      <c r="AL2265" s="117"/>
      <c r="AM2265" s="117"/>
      <c r="AN2265" s="117"/>
      <c r="AO2265" s="117"/>
      <c r="AP2265" s="117"/>
      <c r="AQ2265" s="117"/>
      <c r="AR2265" s="117"/>
      <c r="AS2265" s="117"/>
      <c r="AT2265" s="117"/>
      <c r="AU2265" s="117"/>
      <c r="AV2265" s="117"/>
      <c r="AW2265" s="117"/>
      <c r="AX2265" s="117"/>
      <c r="AY2265" s="117"/>
      <c r="AZ2265" s="117"/>
      <c r="BA2265" s="117"/>
      <c r="BB2265" s="117"/>
      <c r="BC2265" s="117"/>
      <c r="BD2265" s="117"/>
      <c r="BE2265" s="117"/>
      <c r="BF2265" s="117"/>
      <c r="BG2265" s="117"/>
    </row>
    <row r="2266" spans="1:59">
      <c r="A2266" s="117"/>
      <c r="B2266" s="117"/>
      <c r="C2266" s="117"/>
      <c r="D2266" s="117"/>
      <c r="E2266" s="117"/>
      <c r="F2266" s="117"/>
      <c r="G2266" s="117"/>
      <c r="H2266" s="117"/>
      <c r="I2266" s="117"/>
      <c r="J2266" s="118"/>
      <c r="K2266" s="118"/>
      <c r="L2266" s="118"/>
      <c r="M2266" s="118"/>
      <c r="N2266" s="117"/>
      <c r="O2266" s="117"/>
      <c r="P2266" s="117"/>
      <c r="Q2266" s="117"/>
      <c r="R2266" s="117"/>
      <c r="S2266" s="117"/>
      <c r="T2266" s="117"/>
      <c r="U2266" s="117"/>
      <c r="V2266" s="117"/>
      <c r="W2266" s="117"/>
      <c r="X2266" s="117"/>
      <c r="Y2266" s="117"/>
      <c r="Z2266" s="117"/>
      <c r="AA2266" s="117"/>
      <c r="AB2266" s="117"/>
      <c r="AC2266" s="117"/>
      <c r="AD2266" s="117"/>
      <c r="AE2266" s="117"/>
      <c r="AF2266" s="117"/>
      <c r="AG2266" s="117"/>
      <c r="AH2266" s="117"/>
      <c r="AI2266" s="117"/>
      <c r="AJ2266" s="117"/>
      <c r="AK2266" s="117"/>
      <c r="AL2266" s="117"/>
      <c r="AM2266" s="117"/>
      <c r="AN2266" s="117"/>
      <c r="AO2266" s="117"/>
      <c r="AP2266" s="117"/>
      <c r="AQ2266" s="117"/>
      <c r="AR2266" s="117"/>
      <c r="AS2266" s="117"/>
      <c r="AT2266" s="117"/>
      <c r="AU2266" s="117"/>
      <c r="AV2266" s="117"/>
      <c r="AW2266" s="117"/>
      <c r="AX2266" s="117"/>
      <c r="AY2266" s="117"/>
      <c r="AZ2266" s="117"/>
      <c r="BA2266" s="117"/>
      <c r="BB2266" s="117"/>
      <c r="BC2266" s="117"/>
      <c r="BD2266" s="117"/>
      <c r="BE2266" s="117"/>
      <c r="BF2266" s="117"/>
      <c r="BG2266" s="117"/>
    </row>
    <row r="2267" spans="1:59">
      <c r="A2267" s="117"/>
      <c r="B2267" s="117"/>
      <c r="C2267" s="117"/>
      <c r="D2267" s="117"/>
      <c r="E2267" s="117"/>
      <c r="F2267" s="117"/>
      <c r="G2267" s="117"/>
      <c r="H2267" s="117"/>
      <c r="I2267" s="117"/>
      <c r="J2267" s="118"/>
      <c r="K2267" s="118"/>
      <c r="L2267" s="118"/>
      <c r="M2267" s="118"/>
      <c r="N2267" s="117"/>
      <c r="O2267" s="117"/>
      <c r="P2267" s="117"/>
      <c r="Q2267" s="117"/>
      <c r="R2267" s="117"/>
      <c r="S2267" s="117"/>
      <c r="T2267" s="117"/>
      <c r="U2267" s="117"/>
      <c r="V2267" s="117"/>
      <c r="W2267" s="117"/>
      <c r="X2267" s="117"/>
      <c r="Y2267" s="117"/>
      <c r="Z2267" s="117"/>
      <c r="AA2267" s="117"/>
      <c r="AB2267" s="117"/>
      <c r="AC2267" s="117"/>
      <c r="AD2267" s="117"/>
      <c r="AE2267" s="117"/>
      <c r="AF2267" s="117"/>
      <c r="AG2267" s="117"/>
      <c r="AH2267" s="117"/>
      <c r="AI2267" s="117"/>
      <c r="AJ2267" s="117"/>
      <c r="AK2267" s="117"/>
      <c r="AL2267" s="117"/>
      <c r="AM2267" s="117"/>
      <c r="AN2267" s="117"/>
      <c r="AO2267" s="117"/>
      <c r="AP2267" s="117"/>
      <c r="AQ2267" s="117"/>
      <c r="AR2267" s="117"/>
      <c r="AS2267" s="117"/>
      <c r="AT2267" s="117"/>
      <c r="AU2267" s="117"/>
      <c r="AV2267" s="117"/>
      <c r="AW2267" s="117"/>
      <c r="AX2267" s="117"/>
      <c r="AY2267" s="117"/>
      <c r="AZ2267" s="117"/>
      <c r="BA2267" s="117"/>
      <c r="BB2267" s="117"/>
      <c r="BC2267" s="117"/>
      <c r="BD2267" s="117"/>
      <c r="BE2267" s="117"/>
      <c r="BF2267" s="117"/>
      <c r="BG2267" s="117"/>
    </row>
    <row r="2268" spans="1:59">
      <c r="A2268" s="117"/>
      <c r="B2268" s="117"/>
      <c r="C2268" s="117"/>
      <c r="D2268" s="117"/>
      <c r="E2268" s="117"/>
      <c r="F2268" s="117"/>
      <c r="G2268" s="117"/>
      <c r="H2268" s="117"/>
      <c r="I2268" s="117"/>
      <c r="J2268" s="118"/>
      <c r="K2268" s="118"/>
      <c r="L2268" s="118"/>
      <c r="M2268" s="118"/>
      <c r="N2268" s="117"/>
      <c r="O2268" s="117"/>
      <c r="P2268" s="117"/>
      <c r="Q2268" s="117"/>
      <c r="R2268" s="117"/>
      <c r="S2268" s="117"/>
      <c r="T2268" s="117"/>
      <c r="U2268" s="117"/>
      <c r="V2268" s="117"/>
      <c r="W2268" s="117"/>
      <c r="X2268" s="117"/>
      <c r="Y2268" s="117"/>
      <c r="Z2268" s="117"/>
      <c r="AA2268" s="117"/>
      <c r="AB2268" s="117"/>
      <c r="AC2268" s="117"/>
      <c r="AD2268" s="117"/>
      <c r="AE2268" s="117"/>
      <c r="AF2268" s="117"/>
      <c r="AG2268" s="117"/>
      <c r="AH2268" s="117"/>
      <c r="AI2268" s="117"/>
      <c r="AJ2268" s="117"/>
      <c r="AK2268" s="117"/>
      <c r="AL2268" s="117"/>
      <c r="AM2268" s="117"/>
      <c r="AN2268" s="117"/>
      <c r="AO2268" s="117"/>
      <c r="AP2268" s="117"/>
      <c r="AQ2268" s="117"/>
      <c r="AR2268" s="117"/>
      <c r="AS2268" s="117"/>
      <c r="AT2268" s="117"/>
      <c r="AU2268" s="117"/>
      <c r="AV2268" s="117"/>
      <c r="AW2268" s="117"/>
      <c r="AX2268" s="117"/>
      <c r="AY2268" s="117"/>
      <c r="AZ2268" s="117"/>
      <c r="BA2268" s="117"/>
      <c r="BB2268" s="117"/>
      <c r="BC2268" s="117"/>
      <c r="BD2268" s="117"/>
      <c r="BE2268" s="117"/>
      <c r="BF2268" s="117"/>
      <c r="BG2268" s="117"/>
    </row>
    <row r="2269" spans="1:59">
      <c r="A2269" s="117"/>
      <c r="B2269" s="117"/>
      <c r="C2269" s="117"/>
      <c r="D2269" s="117"/>
      <c r="E2269" s="117"/>
      <c r="F2269" s="117"/>
      <c r="G2269" s="117"/>
      <c r="H2269" s="117"/>
      <c r="I2269" s="117"/>
      <c r="J2269" s="118"/>
      <c r="K2269" s="118"/>
      <c r="L2269" s="118"/>
      <c r="M2269" s="118"/>
      <c r="N2269" s="117"/>
      <c r="O2269" s="117"/>
      <c r="P2269" s="117"/>
      <c r="Q2269" s="117"/>
      <c r="R2269" s="117"/>
      <c r="S2269" s="117"/>
      <c r="T2269" s="117"/>
      <c r="U2269" s="117"/>
      <c r="V2269" s="117"/>
      <c r="W2269" s="117"/>
      <c r="X2269" s="117"/>
      <c r="Y2269" s="117"/>
      <c r="Z2269" s="117"/>
      <c r="AA2269" s="117"/>
      <c r="AB2269" s="117"/>
      <c r="AC2269" s="117"/>
      <c r="AD2269" s="117"/>
      <c r="AE2269" s="117"/>
      <c r="AF2269" s="117"/>
      <c r="AG2269" s="117"/>
      <c r="AH2269" s="117"/>
      <c r="AI2269" s="117"/>
      <c r="AJ2269" s="117"/>
      <c r="AK2269" s="117"/>
      <c r="AL2269" s="117"/>
      <c r="AM2269" s="117"/>
      <c r="AN2269" s="117"/>
      <c r="AO2269" s="117"/>
      <c r="AP2269" s="117"/>
      <c r="AQ2269" s="117"/>
      <c r="AR2269" s="117"/>
      <c r="AS2269" s="117"/>
      <c r="AT2269" s="117"/>
      <c r="AU2269" s="117"/>
      <c r="AV2269" s="117"/>
      <c r="AW2269" s="117"/>
      <c r="AX2269" s="117"/>
      <c r="AY2269" s="117"/>
      <c r="AZ2269" s="117"/>
      <c r="BA2269" s="117"/>
      <c r="BB2269" s="117"/>
      <c r="BC2269" s="117"/>
      <c r="BD2269" s="117"/>
      <c r="BE2269" s="117"/>
      <c r="BF2269" s="117"/>
      <c r="BG2269" s="117"/>
    </row>
    <row r="2270" spans="1:59">
      <c r="A2270" s="117"/>
      <c r="B2270" s="117"/>
      <c r="C2270" s="117"/>
      <c r="D2270" s="117"/>
      <c r="E2270" s="117"/>
      <c r="F2270" s="117"/>
      <c r="G2270" s="117"/>
      <c r="H2270" s="117"/>
      <c r="I2270" s="117"/>
      <c r="J2270" s="118"/>
      <c r="K2270" s="118"/>
      <c r="L2270" s="118"/>
      <c r="M2270" s="118"/>
      <c r="N2270" s="117"/>
      <c r="O2270" s="117"/>
      <c r="P2270" s="117"/>
      <c r="Q2270" s="117"/>
      <c r="R2270" s="117"/>
      <c r="S2270" s="117"/>
      <c r="T2270" s="117"/>
      <c r="U2270" s="117"/>
      <c r="V2270" s="117"/>
      <c r="W2270" s="117"/>
      <c r="X2270" s="117"/>
      <c r="Y2270" s="117"/>
      <c r="Z2270" s="117"/>
      <c r="AA2270" s="117"/>
      <c r="AB2270" s="117"/>
      <c r="AC2270" s="117"/>
      <c r="AD2270" s="117"/>
      <c r="AE2270" s="117"/>
      <c r="AF2270" s="117"/>
      <c r="AG2270" s="117"/>
      <c r="AH2270" s="117"/>
      <c r="AI2270" s="117"/>
      <c r="AJ2270" s="117"/>
      <c r="AK2270" s="117"/>
      <c r="AL2270" s="117"/>
      <c r="AM2270" s="117"/>
      <c r="AN2270" s="117"/>
      <c r="AO2270" s="117"/>
      <c r="AP2270" s="117"/>
      <c r="AQ2270" s="117"/>
      <c r="AR2270" s="117"/>
      <c r="AS2270" s="117"/>
      <c r="AT2270" s="117"/>
      <c r="AU2270" s="117"/>
      <c r="AV2270" s="117"/>
      <c r="AW2270" s="117"/>
      <c r="AX2270" s="117"/>
      <c r="AY2270" s="117"/>
      <c r="AZ2270" s="117"/>
      <c r="BA2270" s="117"/>
      <c r="BB2270" s="117"/>
      <c r="BC2270" s="117"/>
      <c r="BD2270" s="117"/>
      <c r="BE2270" s="117"/>
      <c r="BF2270" s="117"/>
      <c r="BG2270" s="117"/>
    </row>
    <row r="2271" spans="1:59">
      <c r="A2271" s="117"/>
      <c r="B2271" s="117"/>
      <c r="C2271" s="117"/>
      <c r="D2271" s="117"/>
      <c r="E2271" s="117"/>
      <c r="F2271" s="117"/>
      <c r="G2271" s="117"/>
      <c r="H2271" s="117"/>
      <c r="I2271" s="117"/>
      <c r="J2271" s="118"/>
      <c r="K2271" s="118"/>
      <c r="L2271" s="118"/>
      <c r="M2271" s="118"/>
      <c r="N2271" s="117"/>
      <c r="O2271" s="117"/>
      <c r="P2271" s="117"/>
      <c r="Q2271" s="117"/>
      <c r="R2271" s="117"/>
      <c r="S2271" s="117"/>
      <c r="T2271" s="117"/>
      <c r="U2271" s="117"/>
      <c r="V2271" s="117"/>
      <c r="W2271" s="117"/>
      <c r="X2271" s="117"/>
      <c r="Y2271" s="117"/>
      <c r="Z2271" s="117"/>
      <c r="AA2271" s="117"/>
      <c r="AB2271" s="117"/>
      <c r="AC2271" s="117"/>
      <c r="AD2271" s="117"/>
      <c r="AE2271" s="117"/>
      <c r="AF2271" s="117"/>
      <c r="AG2271" s="117"/>
      <c r="AH2271" s="117"/>
      <c r="AI2271" s="117"/>
      <c r="AJ2271" s="117"/>
      <c r="AK2271" s="117"/>
      <c r="AL2271" s="117"/>
      <c r="AM2271" s="117"/>
      <c r="AN2271" s="117"/>
      <c r="AO2271" s="117"/>
      <c r="AP2271" s="117"/>
      <c r="AQ2271" s="117"/>
      <c r="AR2271" s="117"/>
      <c r="AS2271" s="117"/>
      <c r="AT2271" s="117"/>
      <c r="AU2271" s="117"/>
      <c r="AV2271" s="117"/>
      <c r="AW2271" s="117"/>
      <c r="AX2271" s="117"/>
      <c r="AY2271" s="117"/>
      <c r="AZ2271" s="117"/>
      <c r="BA2271" s="117"/>
      <c r="BB2271" s="117"/>
      <c r="BC2271" s="117"/>
      <c r="BD2271" s="117"/>
      <c r="BE2271" s="117"/>
      <c r="BF2271" s="117"/>
      <c r="BG2271" s="117"/>
    </row>
    <row r="2272" spans="1:59">
      <c r="A2272" s="117"/>
      <c r="B2272" s="117"/>
      <c r="C2272" s="117"/>
      <c r="D2272" s="117"/>
      <c r="E2272" s="117"/>
      <c r="F2272" s="117"/>
      <c r="G2272" s="117"/>
      <c r="H2272" s="117"/>
      <c r="I2272" s="117"/>
      <c r="J2272" s="118"/>
      <c r="K2272" s="118"/>
      <c r="L2272" s="118"/>
      <c r="M2272" s="118"/>
      <c r="N2272" s="117"/>
      <c r="O2272" s="117"/>
      <c r="P2272" s="117"/>
      <c r="Q2272" s="117"/>
      <c r="R2272" s="117"/>
      <c r="S2272" s="117"/>
      <c r="T2272" s="117"/>
      <c r="U2272" s="117"/>
      <c r="V2272" s="117"/>
      <c r="W2272" s="117"/>
      <c r="X2272" s="117"/>
      <c r="Y2272" s="117"/>
      <c r="Z2272" s="117"/>
      <c r="AA2272" s="117"/>
      <c r="AB2272" s="117"/>
      <c r="AC2272" s="117"/>
      <c r="AD2272" s="117"/>
      <c r="AE2272" s="117"/>
      <c r="AF2272" s="117"/>
      <c r="AG2272" s="117"/>
      <c r="AH2272" s="117"/>
      <c r="AI2272" s="117"/>
      <c r="AJ2272" s="117"/>
      <c r="AK2272" s="117"/>
      <c r="AL2272" s="117"/>
      <c r="AM2272" s="117"/>
      <c r="AN2272" s="117"/>
      <c r="AO2272" s="117"/>
      <c r="AP2272" s="117"/>
      <c r="AQ2272" s="117"/>
      <c r="AR2272" s="117"/>
      <c r="AS2272" s="117"/>
      <c r="AT2272" s="117"/>
      <c r="AU2272" s="117"/>
      <c r="AV2272" s="117"/>
      <c r="AW2272" s="117"/>
      <c r="AX2272" s="117"/>
      <c r="AY2272" s="117"/>
      <c r="AZ2272" s="117"/>
      <c r="BA2272" s="117"/>
      <c r="BB2272" s="117"/>
      <c r="BC2272" s="117"/>
      <c r="BD2272" s="117"/>
      <c r="BE2272" s="117"/>
      <c r="BF2272" s="117"/>
      <c r="BG2272" s="117"/>
    </row>
    <row r="2273" spans="1:59">
      <c r="A2273" s="117"/>
      <c r="B2273" s="117"/>
      <c r="C2273" s="117"/>
      <c r="D2273" s="117"/>
      <c r="E2273" s="117"/>
      <c r="F2273" s="117"/>
      <c r="G2273" s="117"/>
      <c r="H2273" s="117"/>
      <c r="I2273" s="117"/>
      <c r="J2273" s="118"/>
      <c r="K2273" s="118"/>
      <c r="L2273" s="118"/>
      <c r="M2273" s="118"/>
      <c r="N2273" s="117"/>
      <c r="O2273" s="117"/>
      <c r="P2273" s="117"/>
      <c r="Q2273" s="117"/>
      <c r="R2273" s="117"/>
      <c r="S2273" s="117"/>
      <c r="T2273" s="117"/>
      <c r="U2273" s="117"/>
      <c r="V2273" s="117"/>
      <c r="W2273" s="117"/>
      <c r="X2273" s="117"/>
      <c r="Y2273" s="117"/>
      <c r="Z2273" s="117"/>
      <c r="AA2273" s="117"/>
      <c r="AB2273" s="117"/>
      <c r="AC2273" s="117"/>
      <c r="AD2273" s="117"/>
      <c r="AE2273" s="117"/>
      <c r="AF2273" s="117"/>
      <c r="AG2273" s="117"/>
      <c r="AH2273" s="117"/>
      <c r="AI2273" s="117"/>
      <c r="AJ2273" s="117"/>
      <c r="AK2273" s="117"/>
      <c r="AL2273" s="117"/>
      <c r="AM2273" s="117"/>
      <c r="AN2273" s="117"/>
      <c r="AO2273" s="117"/>
      <c r="AP2273" s="117"/>
      <c r="AQ2273" s="117"/>
      <c r="AR2273" s="117"/>
      <c r="AS2273" s="117"/>
      <c r="AT2273" s="117"/>
      <c r="AU2273" s="117"/>
      <c r="AV2273" s="117"/>
      <c r="AW2273" s="117"/>
      <c r="AX2273" s="117"/>
      <c r="AY2273" s="117"/>
      <c r="AZ2273" s="117"/>
      <c r="BA2273" s="117"/>
      <c r="BB2273" s="117"/>
      <c r="BC2273" s="117"/>
      <c r="BD2273" s="117"/>
      <c r="BE2273" s="117"/>
      <c r="BF2273" s="117"/>
      <c r="BG2273" s="117"/>
    </row>
    <row r="2274" spans="1:59">
      <c r="A2274" s="117"/>
      <c r="B2274" s="117"/>
      <c r="C2274" s="117"/>
      <c r="D2274" s="117"/>
      <c r="E2274" s="117"/>
      <c r="F2274" s="117"/>
      <c r="G2274" s="117"/>
      <c r="H2274" s="117"/>
      <c r="I2274" s="117"/>
      <c r="J2274" s="118"/>
      <c r="K2274" s="118"/>
      <c r="L2274" s="118"/>
      <c r="M2274" s="118"/>
      <c r="N2274" s="117"/>
      <c r="O2274" s="117"/>
      <c r="P2274" s="117"/>
      <c r="Q2274" s="117"/>
      <c r="R2274" s="117"/>
      <c r="S2274" s="117"/>
      <c r="T2274" s="117"/>
      <c r="U2274" s="117"/>
      <c r="V2274" s="117"/>
      <c r="W2274" s="117"/>
      <c r="X2274" s="117"/>
      <c r="Y2274" s="117"/>
      <c r="Z2274" s="117"/>
      <c r="AA2274" s="117"/>
      <c r="AB2274" s="117"/>
      <c r="AC2274" s="117"/>
      <c r="AD2274" s="117"/>
      <c r="AE2274" s="117"/>
      <c r="AF2274" s="117"/>
      <c r="AG2274" s="117"/>
      <c r="AH2274" s="117"/>
      <c r="AI2274" s="117"/>
      <c r="AJ2274" s="117"/>
      <c r="AK2274" s="117"/>
      <c r="AL2274" s="117"/>
      <c r="AM2274" s="117"/>
      <c r="AN2274" s="117"/>
      <c r="AO2274" s="117"/>
      <c r="AP2274" s="117"/>
      <c r="AQ2274" s="117"/>
      <c r="AR2274" s="117"/>
      <c r="AS2274" s="117"/>
      <c r="AT2274" s="117"/>
      <c r="AU2274" s="117"/>
      <c r="AV2274" s="117"/>
      <c r="AW2274" s="117"/>
      <c r="AX2274" s="117"/>
      <c r="AY2274" s="117"/>
      <c r="AZ2274" s="117"/>
      <c r="BA2274" s="117"/>
      <c r="BB2274" s="117"/>
      <c r="BC2274" s="117"/>
      <c r="BD2274" s="117"/>
      <c r="BE2274" s="117"/>
      <c r="BF2274" s="117"/>
      <c r="BG2274" s="117"/>
    </row>
    <row r="2275" spans="1:59">
      <c r="A2275" s="117"/>
      <c r="B2275" s="117"/>
      <c r="C2275" s="117"/>
      <c r="D2275" s="117"/>
      <c r="E2275" s="117"/>
      <c r="F2275" s="117"/>
      <c r="G2275" s="117"/>
      <c r="H2275" s="117"/>
      <c r="I2275" s="117"/>
      <c r="J2275" s="118"/>
      <c r="K2275" s="118"/>
      <c r="L2275" s="118"/>
      <c r="M2275" s="118"/>
      <c r="N2275" s="117"/>
      <c r="O2275" s="117"/>
      <c r="P2275" s="117"/>
      <c r="Q2275" s="117"/>
      <c r="R2275" s="117"/>
      <c r="S2275" s="117"/>
      <c r="T2275" s="117"/>
      <c r="U2275" s="117"/>
      <c r="V2275" s="117"/>
      <c r="W2275" s="117"/>
      <c r="X2275" s="117"/>
      <c r="Y2275" s="117"/>
      <c r="Z2275" s="117"/>
      <c r="AA2275" s="117"/>
      <c r="AB2275" s="117"/>
      <c r="AC2275" s="117"/>
      <c r="AD2275" s="117"/>
      <c r="AE2275" s="117"/>
      <c r="AF2275" s="117"/>
      <c r="AG2275" s="117"/>
      <c r="AH2275" s="117"/>
      <c r="AI2275" s="117"/>
      <c r="AJ2275" s="117"/>
      <c r="AK2275" s="117"/>
      <c r="AL2275" s="117"/>
      <c r="AM2275" s="117"/>
      <c r="AN2275" s="117"/>
      <c r="AO2275" s="117"/>
      <c r="AP2275" s="117"/>
      <c r="AQ2275" s="117"/>
      <c r="AR2275" s="117"/>
      <c r="AS2275" s="117"/>
      <c r="AT2275" s="117"/>
      <c r="AU2275" s="117"/>
      <c r="AV2275" s="117"/>
      <c r="AW2275" s="117"/>
      <c r="AX2275" s="117"/>
      <c r="AY2275" s="117"/>
      <c r="AZ2275" s="117"/>
      <c r="BA2275" s="117"/>
      <c r="BB2275" s="117"/>
      <c r="BC2275" s="117"/>
      <c r="BD2275" s="117"/>
      <c r="BE2275" s="117"/>
      <c r="BF2275" s="117"/>
      <c r="BG2275" s="117"/>
    </row>
    <row r="2276" spans="1:59">
      <c r="A2276" s="117"/>
      <c r="B2276" s="117"/>
      <c r="C2276" s="117"/>
      <c r="D2276" s="117"/>
      <c r="E2276" s="117"/>
      <c r="F2276" s="117"/>
      <c r="G2276" s="117"/>
      <c r="H2276" s="117"/>
      <c r="I2276" s="117"/>
      <c r="J2276" s="118"/>
      <c r="K2276" s="118"/>
      <c r="L2276" s="118"/>
      <c r="M2276" s="118"/>
      <c r="N2276" s="117"/>
      <c r="O2276" s="117"/>
      <c r="P2276" s="117"/>
      <c r="Q2276" s="117"/>
      <c r="R2276" s="117"/>
      <c r="S2276" s="117"/>
      <c r="T2276" s="117"/>
      <c r="U2276" s="117"/>
      <c r="V2276" s="117"/>
      <c r="W2276" s="117"/>
      <c r="X2276" s="117"/>
      <c r="Y2276" s="117"/>
      <c r="Z2276" s="117"/>
      <c r="AA2276" s="117"/>
      <c r="AB2276" s="117"/>
      <c r="AC2276" s="117"/>
      <c r="AD2276" s="117"/>
      <c r="AE2276" s="117"/>
      <c r="AF2276" s="117"/>
      <c r="AG2276" s="117"/>
      <c r="AH2276" s="117"/>
      <c r="AI2276" s="117"/>
      <c r="AJ2276" s="117"/>
      <c r="AK2276" s="117"/>
      <c r="AL2276" s="117"/>
      <c r="AM2276" s="117"/>
      <c r="AN2276" s="117"/>
      <c r="AO2276" s="117"/>
      <c r="AP2276" s="117"/>
      <c r="AQ2276" s="117"/>
      <c r="AR2276" s="117"/>
      <c r="AS2276" s="117"/>
      <c r="AT2276" s="117"/>
      <c r="AU2276" s="117"/>
      <c r="AV2276" s="117"/>
      <c r="AW2276" s="117"/>
      <c r="AX2276" s="117"/>
      <c r="AY2276" s="117"/>
      <c r="AZ2276" s="117"/>
      <c r="BA2276" s="117"/>
      <c r="BB2276" s="117"/>
      <c r="BC2276" s="117"/>
      <c r="BD2276" s="117"/>
      <c r="BE2276" s="117"/>
      <c r="BF2276" s="117"/>
      <c r="BG2276" s="117"/>
    </row>
    <row r="2277" spans="1:59">
      <c r="A2277" s="117"/>
      <c r="B2277" s="117"/>
      <c r="C2277" s="117"/>
      <c r="D2277" s="117"/>
      <c r="E2277" s="117"/>
      <c r="F2277" s="117"/>
      <c r="G2277" s="117"/>
      <c r="H2277" s="117"/>
      <c r="I2277" s="117"/>
      <c r="J2277" s="118"/>
      <c r="K2277" s="118"/>
      <c r="L2277" s="118"/>
      <c r="M2277" s="118"/>
      <c r="N2277" s="117"/>
      <c r="O2277" s="117"/>
      <c r="P2277" s="117"/>
      <c r="Q2277" s="117"/>
      <c r="R2277" s="117"/>
      <c r="S2277" s="117"/>
      <c r="T2277" s="117"/>
      <c r="U2277" s="117"/>
      <c r="V2277" s="117"/>
      <c r="W2277" s="117"/>
      <c r="X2277" s="117"/>
      <c r="Y2277" s="117"/>
      <c r="Z2277" s="117"/>
      <c r="AA2277" s="117"/>
      <c r="AB2277" s="117"/>
      <c r="AC2277" s="117"/>
      <c r="AD2277" s="117"/>
      <c r="AE2277" s="117"/>
      <c r="AF2277" s="117"/>
      <c r="AG2277" s="117"/>
      <c r="AH2277" s="117"/>
      <c r="AI2277" s="117"/>
      <c r="AJ2277" s="117"/>
      <c r="AK2277" s="117"/>
      <c r="AL2277" s="117"/>
      <c r="AM2277" s="117"/>
      <c r="AN2277" s="117"/>
      <c r="AO2277" s="117"/>
      <c r="AP2277" s="117"/>
      <c r="AQ2277" s="117"/>
      <c r="AR2277" s="117"/>
      <c r="AS2277" s="117"/>
      <c r="AT2277" s="117"/>
      <c r="AU2277" s="117"/>
      <c r="AV2277" s="117"/>
      <c r="AW2277" s="117"/>
      <c r="AX2277" s="117"/>
      <c r="AY2277" s="117"/>
      <c r="AZ2277" s="117"/>
      <c r="BA2277" s="117"/>
      <c r="BB2277" s="117"/>
      <c r="BC2277" s="117"/>
      <c r="BD2277" s="117"/>
      <c r="BE2277" s="117"/>
      <c r="BF2277" s="117"/>
      <c r="BG2277" s="117"/>
    </row>
    <row r="2278" spans="1:59">
      <c r="A2278" s="117"/>
      <c r="B2278" s="117"/>
      <c r="C2278" s="117"/>
      <c r="D2278" s="117"/>
      <c r="E2278" s="117"/>
      <c r="F2278" s="117"/>
      <c r="G2278" s="117"/>
      <c r="H2278" s="117"/>
      <c r="I2278" s="117"/>
      <c r="J2278" s="118"/>
      <c r="K2278" s="118"/>
      <c r="L2278" s="118"/>
      <c r="M2278" s="118"/>
      <c r="N2278" s="117"/>
      <c r="O2278" s="117"/>
      <c r="P2278" s="117"/>
      <c r="Q2278" s="117"/>
      <c r="R2278" s="117"/>
      <c r="S2278" s="117"/>
      <c r="T2278" s="117"/>
      <c r="U2278" s="117"/>
      <c r="V2278" s="117"/>
      <c r="W2278" s="117"/>
      <c r="X2278" s="117"/>
      <c r="Y2278" s="117"/>
      <c r="Z2278" s="117"/>
      <c r="AA2278" s="117"/>
      <c r="AB2278" s="117"/>
      <c r="AC2278" s="117"/>
      <c r="AD2278" s="117"/>
      <c r="AE2278" s="117"/>
      <c r="AF2278" s="117"/>
      <c r="AG2278" s="117"/>
      <c r="AH2278" s="117"/>
      <c r="AI2278" s="117"/>
      <c r="AJ2278" s="117"/>
      <c r="AK2278" s="117"/>
      <c r="AL2278" s="117"/>
      <c r="AM2278" s="117"/>
      <c r="AN2278" s="117"/>
      <c r="AO2278" s="117"/>
      <c r="AP2278" s="117"/>
      <c r="AQ2278" s="117"/>
      <c r="AR2278" s="117"/>
      <c r="AS2278" s="117"/>
      <c r="AT2278" s="117"/>
      <c r="AU2278" s="117"/>
      <c r="AV2278" s="117"/>
      <c r="AW2278" s="117"/>
      <c r="AX2278" s="117"/>
      <c r="AY2278" s="117"/>
      <c r="AZ2278" s="117"/>
      <c r="BA2278" s="117"/>
      <c r="BB2278" s="117"/>
      <c r="BC2278" s="117"/>
      <c r="BD2278" s="117"/>
      <c r="BE2278" s="117"/>
      <c r="BF2278" s="117"/>
      <c r="BG2278" s="117"/>
    </row>
    <row r="2279" spans="1:59">
      <c r="A2279" s="117"/>
      <c r="B2279" s="117"/>
      <c r="C2279" s="117"/>
      <c r="D2279" s="117"/>
      <c r="E2279" s="117"/>
      <c r="F2279" s="117"/>
      <c r="G2279" s="117"/>
      <c r="H2279" s="117"/>
      <c r="I2279" s="117"/>
      <c r="J2279" s="118"/>
      <c r="K2279" s="118"/>
      <c r="L2279" s="118"/>
      <c r="M2279" s="118"/>
      <c r="N2279" s="117"/>
      <c r="O2279" s="117"/>
      <c r="P2279" s="117"/>
      <c r="Q2279" s="117"/>
      <c r="R2279" s="117"/>
      <c r="S2279" s="117"/>
      <c r="T2279" s="117"/>
      <c r="U2279" s="117"/>
      <c r="V2279" s="117"/>
      <c r="W2279" s="117"/>
      <c r="X2279" s="117"/>
      <c r="Y2279" s="117"/>
      <c r="Z2279" s="117"/>
      <c r="AA2279" s="117"/>
      <c r="AB2279" s="117"/>
      <c r="AC2279" s="117"/>
      <c r="AD2279" s="117"/>
      <c r="AE2279" s="117"/>
      <c r="AF2279" s="117"/>
      <c r="AG2279" s="117"/>
      <c r="AH2279" s="117"/>
      <c r="AI2279" s="117"/>
      <c r="AJ2279" s="117"/>
      <c r="AK2279" s="117"/>
      <c r="AL2279" s="117"/>
      <c r="AM2279" s="117"/>
      <c r="AN2279" s="117"/>
      <c r="AO2279" s="117"/>
      <c r="AP2279" s="117"/>
      <c r="AQ2279" s="117"/>
      <c r="AR2279" s="117"/>
      <c r="AS2279" s="117"/>
      <c r="AT2279" s="117"/>
      <c r="AU2279" s="117"/>
      <c r="AV2279" s="117"/>
      <c r="AW2279" s="117"/>
      <c r="AX2279" s="117"/>
      <c r="AY2279" s="117"/>
      <c r="AZ2279" s="117"/>
      <c r="BA2279" s="117"/>
      <c r="BB2279" s="117"/>
      <c r="BC2279" s="117"/>
      <c r="BD2279" s="117"/>
      <c r="BE2279" s="117"/>
      <c r="BF2279" s="117"/>
      <c r="BG2279" s="117"/>
    </row>
    <row r="2280" spans="1:59">
      <c r="A2280" s="117"/>
      <c r="B2280" s="117"/>
      <c r="C2280" s="117"/>
      <c r="D2280" s="117"/>
      <c r="E2280" s="117"/>
      <c r="F2280" s="117"/>
      <c r="G2280" s="117"/>
      <c r="H2280" s="117"/>
      <c r="I2280" s="117"/>
      <c r="J2280" s="118"/>
      <c r="K2280" s="118"/>
      <c r="L2280" s="118"/>
      <c r="M2280" s="118"/>
      <c r="N2280" s="117"/>
      <c r="O2280" s="117"/>
      <c r="P2280" s="117"/>
      <c r="Q2280" s="117"/>
      <c r="R2280" s="117"/>
      <c r="S2280" s="117"/>
      <c r="T2280" s="117"/>
      <c r="U2280" s="117"/>
      <c r="V2280" s="117"/>
      <c r="W2280" s="117"/>
      <c r="X2280" s="117"/>
      <c r="Y2280" s="117"/>
      <c r="Z2280" s="117"/>
      <c r="AA2280" s="117"/>
      <c r="AB2280" s="117"/>
      <c r="AC2280" s="117"/>
      <c r="AD2280" s="117"/>
      <c r="AE2280" s="117"/>
      <c r="AF2280" s="117"/>
      <c r="AG2280" s="117"/>
      <c r="AH2280" s="117"/>
      <c r="AI2280" s="117"/>
      <c r="AJ2280" s="117"/>
      <c r="AK2280" s="117"/>
      <c r="AL2280" s="117"/>
      <c r="AM2280" s="117"/>
      <c r="AN2280" s="117"/>
      <c r="AO2280" s="117"/>
      <c r="AP2280" s="117"/>
      <c r="AQ2280" s="117"/>
      <c r="AR2280" s="117"/>
      <c r="AS2280" s="117"/>
      <c r="AT2280" s="117"/>
      <c r="AU2280" s="117"/>
      <c r="AV2280" s="117"/>
      <c r="AW2280" s="117"/>
      <c r="AX2280" s="117"/>
      <c r="AY2280" s="117"/>
      <c r="AZ2280" s="117"/>
      <c r="BA2280" s="117"/>
      <c r="BB2280" s="117"/>
      <c r="BC2280" s="117"/>
      <c r="BD2280" s="117"/>
      <c r="BE2280" s="117"/>
      <c r="BF2280" s="117"/>
      <c r="BG2280" s="117"/>
    </row>
    <row r="2281" spans="1:59">
      <c r="A2281" s="117"/>
      <c r="B2281" s="117"/>
      <c r="C2281" s="117"/>
      <c r="D2281" s="117"/>
      <c r="E2281" s="117"/>
      <c r="F2281" s="117"/>
      <c r="G2281" s="117"/>
      <c r="H2281" s="117"/>
      <c r="I2281" s="117"/>
      <c r="J2281" s="118"/>
      <c r="K2281" s="118"/>
      <c r="L2281" s="118"/>
      <c r="M2281" s="118"/>
      <c r="N2281" s="117"/>
      <c r="O2281" s="117"/>
      <c r="P2281" s="117"/>
      <c r="Q2281" s="117"/>
      <c r="R2281" s="117"/>
      <c r="S2281" s="117"/>
      <c r="T2281" s="117"/>
      <c r="U2281" s="117"/>
      <c r="V2281" s="117"/>
      <c r="W2281" s="117"/>
      <c r="X2281" s="117"/>
      <c r="Y2281" s="117"/>
      <c r="Z2281" s="117"/>
      <c r="AA2281" s="117"/>
      <c r="AB2281" s="117"/>
      <c r="AC2281" s="117"/>
      <c r="AD2281" s="117"/>
      <c r="AE2281" s="117"/>
      <c r="AF2281" s="117"/>
      <c r="AG2281" s="117"/>
      <c r="AH2281" s="117"/>
      <c r="AI2281" s="117"/>
      <c r="AJ2281" s="117"/>
      <c r="AK2281" s="117"/>
      <c r="AL2281" s="117"/>
      <c r="AM2281" s="117"/>
      <c r="AN2281" s="117"/>
      <c r="AO2281" s="117"/>
      <c r="AP2281" s="117"/>
      <c r="AQ2281" s="117"/>
      <c r="AR2281" s="117"/>
      <c r="AS2281" s="117"/>
      <c r="AT2281" s="117"/>
      <c r="AU2281" s="117"/>
      <c r="AV2281" s="117"/>
      <c r="AW2281" s="117"/>
      <c r="AX2281" s="117"/>
      <c r="AY2281" s="117"/>
      <c r="AZ2281" s="117"/>
      <c r="BA2281" s="117"/>
      <c r="BB2281" s="117"/>
      <c r="BC2281" s="117"/>
      <c r="BD2281" s="117"/>
      <c r="BE2281" s="117"/>
      <c r="BF2281" s="117"/>
      <c r="BG2281" s="117"/>
    </row>
    <row r="2282" spans="1:59">
      <c r="A2282" s="117"/>
      <c r="B2282" s="117"/>
      <c r="C2282" s="117"/>
      <c r="D2282" s="117"/>
      <c r="E2282" s="117"/>
      <c r="F2282" s="117"/>
      <c r="G2282" s="117"/>
      <c r="H2282" s="117"/>
      <c r="I2282" s="117"/>
      <c r="J2282" s="118"/>
      <c r="K2282" s="118"/>
      <c r="L2282" s="118"/>
      <c r="M2282" s="118"/>
      <c r="N2282" s="117"/>
      <c r="O2282" s="117"/>
      <c r="P2282" s="117"/>
      <c r="Q2282" s="117"/>
      <c r="R2282" s="117"/>
      <c r="S2282" s="117"/>
      <c r="T2282" s="117"/>
      <c r="U2282" s="117"/>
      <c r="V2282" s="117"/>
      <c r="W2282" s="117"/>
      <c r="X2282" s="117"/>
      <c r="Y2282" s="117"/>
      <c r="Z2282" s="117"/>
      <c r="AA2282" s="117"/>
      <c r="AB2282" s="117"/>
      <c r="AC2282" s="117"/>
      <c r="AD2282" s="117"/>
      <c r="AE2282" s="117"/>
      <c r="AF2282" s="117"/>
      <c r="AG2282" s="117"/>
      <c r="AH2282" s="117"/>
      <c r="AI2282" s="117"/>
      <c r="AJ2282" s="117"/>
      <c r="AK2282" s="117"/>
      <c r="AL2282" s="117"/>
      <c r="AM2282" s="117"/>
      <c r="AN2282" s="117"/>
      <c r="AO2282" s="117"/>
      <c r="AP2282" s="117"/>
      <c r="AQ2282" s="117"/>
      <c r="AR2282" s="117"/>
      <c r="AS2282" s="117"/>
      <c r="AT2282" s="117"/>
      <c r="AU2282" s="117"/>
      <c r="AV2282" s="117"/>
      <c r="AW2282" s="117"/>
      <c r="AX2282" s="117"/>
      <c r="AY2282" s="117"/>
      <c r="AZ2282" s="117"/>
      <c r="BA2282" s="117"/>
      <c r="BB2282" s="117"/>
      <c r="BC2282" s="117"/>
      <c r="BD2282" s="117"/>
      <c r="BE2282" s="117"/>
      <c r="BF2282" s="117"/>
      <c r="BG2282" s="117"/>
    </row>
    <row r="2283" spans="1:59">
      <c r="A2283" s="117"/>
      <c r="B2283" s="117"/>
      <c r="C2283" s="117"/>
      <c r="D2283" s="117"/>
      <c r="E2283" s="117"/>
      <c r="F2283" s="117"/>
      <c r="G2283" s="117"/>
      <c r="H2283" s="117"/>
      <c r="I2283" s="117"/>
      <c r="J2283" s="118"/>
      <c r="K2283" s="118"/>
      <c r="L2283" s="118"/>
      <c r="M2283" s="118"/>
      <c r="N2283" s="117"/>
      <c r="O2283" s="117"/>
      <c r="P2283" s="117"/>
      <c r="Q2283" s="117"/>
      <c r="R2283" s="117"/>
      <c r="S2283" s="117"/>
      <c r="T2283" s="117"/>
      <c r="U2283" s="117"/>
      <c r="V2283" s="117"/>
      <c r="W2283" s="117"/>
      <c r="X2283" s="117"/>
      <c r="Y2283" s="117"/>
      <c r="Z2283" s="117"/>
      <c r="AA2283" s="117"/>
      <c r="AB2283" s="117"/>
      <c r="AC2283" s="117"/>
      <c r="AD2283" s="117"/>
      <c r="AE2283" s="117"/>
      <c r="AF2283" s="117"/>
      <c r="AG2283" s="117"/>
      <c r="AH2283" s="117"/>
      <c r="AI2283" s="117"/>
      <c r="AJ2283" s="117"/>
      <c r="AK2283" s="117"/>
      <c r="AL2283" s="117"/>
      <c r="AM2283" s="117"/>
      <c r="AN2283" s="117"/>
      <c r="AO2283" s="117"/>
      <c r="AP2283" s="117"/>
      <c r="AQ2283" s="117"/>
      <c r="AR2283" s="117"/>
      <c r="AS2283" s="117"/>
      <c r="AT2283" s="117"/>
      <c r="AU2283" s="117"/>
      <c r="AV2283" s="117"/>
      <c r="AW2283" s="117"/>
      <c r="AX2283" s="117"/>
      <c r="AY2283" s="117"/>
      <c r="AZ2283" s="117"/>
      <c r="BA2283" s="117"/>
      <c r="BB2283" s="117"/>
      <c r="BC2283" s="117"/>
      <c r="BD2283" s="117"/>
      <c r="BE2283" s="117"/>
      <c r="BF2283" s="117"/>
      <c r="BG2283" s="117"/>
    </row>
    <row r="2284" spans="1:59">
      <c r="A2284" s="117"/>
      <c r="B2284" s="117"/>
      <c r="C2284" s="117"/>
      <c r="D2284" s="117"/>
      <c r="E2284" s="117"/>
      <c r="F2284" s="117"/>
      <c r="G2284" s="117"/>
      <c r="H2284" s="117"/>
      <c r="I2284" s="117"/>
      <c r="J2284" s="118"/>
      <c r="K2284" s="118"/>
      <c r="L2284" s="118"/>
      <c r="M2284" s="118"/>
      <c r="N2284" s="117"/>
      <c r="O2284" s="117"/>
      <c r="P2284" s="117"/>
      <c r="Q2284" s="117"/>
      <c r="R2284" s="117"/>
      <c r="S2284" s="117"/>
      <c r="T2284" s="117"/>
      <c r="U2284" s="117"/>
      <c r="V2284" s="117"/>
      <c r="W2284" s="117"/>
      <c r="X2284" s="117"/>
      <c r="Y2284" s="117"/>
      <c r="Z2284" s="117"/>
      <c r="AA2284" s="117"/>
      <c r="AB2284" s="117"/>
      <c r="AC2284" s="117"/>
      <c r="AD2284" s="117"/>
      <c r="AE2284" s="117"/>
      <c r="AF2284" s="117"/>
      <c r="AG2284" s="117"/>
      <c r="AH2284" s="117"/>
      <c r="AI2284" s="117"/>
      <c r="AJ2284" s="117"/>
      <c r="AK2284" s="117"/>
      <c r="AL2284" s="117"/>
      <c r="AM2284" s="117"/>
      <c r="AN2284" s="117"/>
      <c r="AO2284" s="117"/>
      <c r="AP2284" s="117"/>
      <c r="AQ2284" s="117"/>
      <c r="AR2284" s="117"/>
      <c r="AS2284" s="117"/>
      <c r="AT2284" s="117"/>
      <c r="AU2284" s="117"/>
      <c r="AV2284" s="117"/>
      <c r="AW2284" s="117"/>
      <c r="AX2284" s="117"/>
      <c r="AY2284" s="117"/>
      <c r="AZ2284" s="117"/>
      <c r="BA2284" s="117"/>
      <c r="BB2284" s="117"/>
      <c r="BC2284" s="117"/>
      <c r="BD2284" s="117"/>
      <c r="BE2284" s="117"/>
      <c r="BF2284" s="117"/>
      <c r="BG2284" s="117"/>
    </row>
    <row r="2285" spans="1:59">
      <c r="A2285" s="117"/>
      <c r="B2285" s="117"/>
      <c r="C2285" s="117"/>
      <c r="D2285" s="117"/>
      <c r="E2285" s="117"/>
      <c r="F2285" s="117"/>
      <c r="G2285" s="117"/>
      <c r="H2285" s="117"/>
      <c r="I2285" s="117"/>
      <c r="J2285" s="118"/>
      <c r="K2285" s="118"/>
      <c r="L2285" s="118"/>
      <c r="M2285" s="118"/>
      <c r="N2285" s="117"/>
      <c r="O2285" s="117"/>
      <c r="P2285" s="117"/>
      <c r="Q2285" s="117"/>
      <c r="R2285" s="117"/>
      <c r="S2285" s="117"/>
      <c r="T2285" s="117"/>
      <c r="U2285" s="117"/>
      <c r="V2285" s="117"/>
      <c r="W2285" s="117"/>
      <c r="X2285" s="117"/>
      <c r="Y2285" s="117"/>
      <c r="Z2285" s="117"/>
      <c r="AA2285" s="117"/>
      <c r="AB2285" s="117"/>
      <c r="AC2285" s="117"/>
      <c r="AD2285" s="117"/>
      <c r="AE2285" s="117"/>
      <c r="AF2285" s="117"/>
      <c r="AG2285" s="117"/>
      <c r="AH2285" s="117"/>
      <c r="AI2285" s="117"/>
      <c r="AJ2285" s="117"/>
      <c r="AK2285" s="117"/>
      <c r="AL2285" s="117"/>
      <c r="AM2285" s="117"/>
      <c r="AN2285" s="117"/>
      <c r="AO2285" s="117"/>
      <c r="AP2285" s="117"/>
      <c r="AQ2285" s="117"/>
      <c r="AR2285" s="117"/>
      <c r="AS2285" s="117"/>
      <c r="AT2285" s="117"/>
      <c r="AU2285" s="117"/>
      <c r="AV2285" s="117"/>
      <c r="AW2285" s="117"/>
      <c r="AX2285" s="117"/>
      <c r="AY2285" s="117"/>
      <c r="AZ2285" s="117"/>
      <c r="BA2285" s="117"/>
      <c r="BB2285" s="117"/>
      <c r="BC2285" s="117"/>
      <c r="BD2285" s="117"/>
      <c r="BE2285" s="117"/>
      <c r="BF2285" s="117"/>
      <c r="BG2285" s="117"/>
    </row>
    <row r="2286" spans="1:59">
      <c r="A2286" s="117"/>
      <c r="B2286" s="117"/>
      <c r="C2286" s="117"/>
      <c r="D2286" s="117"/>
      <c r="E2286" s="117"/>
      <c r="F2286" s="117"/>
      <c r="G2286" s="117"/>
      <c r="H2286" s="117"/>
      <c r="I2286" s="117"/>
      <c r="J2286" s="118"/>
      <c r="K2286" s="118"/>
      <c r="L2286" s="118"/>
      <c r="M2286" s="118"/>
      <c r="N2286" s="117"/>
      <c r="O2286" s="117"/>
      <c r="P2286" s="117"/>
      <c r="Q2286" s="117"/>
      <c r="R2286" s="117"/>
      <c r="S2286" s="117"/>
      <c r="T2286" s="117"/>
      <c r="U2286" s="117"/>
      <c r="V2286" s="117"/>
      <c r="W2286" s="117"/>
      <c r="X2286" s="117"/>
      <c r="Y2286" s="117"/>
      <c r="Z2286" s="117"/>
      <c r="AA2286" s="117"/>
      <c r="AB2286" s="117"/>
      <c r="AC2286" s="117"/>
      <c r="AD2286" s="117"/>
      <c r="AE2286" s="117"/>
      <c r="AF2286" s="117"/>
      <c r="AG2286" s="117"/>
      <c r="AH2286" s="117"/>
      <c r="AI2286" s="117"/>
      <c r="AJ2286" s="117"/>
      <c r="AK2286" s="117"/>
      <c r="AL2286" s="117"/>
      <c r="AM2286" s="117"/>
      <c r="AN2286" s="117"/>
      <c r="AO2286" s="117"/>
      <c r="AP2286" s="117"/>
      <c r="AQ2286" s="117"/>
      <c r="AR2286" s="117"/>
      <c r="AS2286" s="117"/>
      <c r="AT2286" s="117"/>
      <c r="AU2286" s="117"/>
      <c r="AV2286" s="117"/>
      <c r="AW2286" s="117"/>
      <c r="AX2286" s="117"/>
      <c r="AY2286" s="117"/>
      <c r="AZ2286" s="117"/>
      <c r="BA2286" s="117"/>
      <c r="BB2286" s="117"/>
      <c r="BC2286" s="117"/>
      <c r="BD2286" s="117"/>
      <c r="BE2286" s="117"/>
      <c r="BF2286" s="117"/>
      <c r="BG2286" s="117"/>
    </row>
    <row r="2287" spans="1:59">
      <c r="A2287" s="117"/>
      <c r="B2287" s="117"/>
      <c r="C2287" s="117"/>
      <c r="D2287" s="117"/>
      <c r="E2287" s="117"/>
      <c r="F2287" s="117"/>
      <c r="G2287" s="117"/>
      <c r="H2287" s="117"/>
      <c r="I2287" s="117"/>
      <c r="J2287" s="118"/>
      <c r="K2287" s="118"/>
      <c r="L2287" s="118"/>
      <c r="M2287" s="118"/>
      <c r="N2287" s="117"/>
      <c r="O2287" s="117"/>
      <c r="P2287" s="117"/>
      <c r="Q2287" s="117"/>
      <c r="R2287" s="117"/>
      <c r="S2287" s="117"/>
      <c r="T2287" s="117"/>
      <c r="U2287" s="117"/>
      <c r="V2287" s="117"/>
      <c r="W2287" s="117"/>
      <c r="X2287" s="117"/>
      <c r="Y2287" s="117"/>
      <c r="Z2287" s="117"/>
      <c r="AA2287" s="117"/>
      <c r="AB2287" s="117"/>
      <c r="AC2287" s="117"/>
      <c r="AD2287" s="117"/>
      <c r="AE2287" s="117"/>
      <c r="AF2287" s="117"/>
      <c r="AG2287" s="117"/>
      <c r="AH2287" s="117"/>
      <c r="AI2287" s="117"/>
      <c r="AJ2287" s="117"/>
      <c r="AK2287" s="117"/>
      <c r="AL2287" s="117"/>
      <c r="AM2287" s="117"/>
      <c r="AN2287" s="117"/>
      <c r="AO2287" s="117"/>
      <c r="AP2287" s="117"/>
      <c r="AQ2287" s="117"/>
      <c r="AR2287" s="117"/>
      <c r="AS2287" s="117"/>
      <c r="AT2287" s="117"/>
      <c r="AU2287" s="117"/>
      <c r="AV2287" s="117"/>
      <c r="AW2287" s="117"/>
      <c r="AX2287" s="117"/>
      <c r="AY2287" s="117"/>
      <c r="AZ2287" s="117"/>
      <c r="BA2287" s="117"/>
      <c r="BB2287" s="117"/>
      <c r="BC2287" s="117"/>
      <c r="BD2287" s="117"/>
      <c r="BE2287" s="117"/>
      <c r="BF2287" s="117"/>
      <c r="BG2287" s="117"/>
    </row>
    <row r="2288" spans="1:59">
      <c r="A2288" s="117"/>
      <c r="B2288" s="117"/>
      <c r="C2288" s="117"/>
      <c r="D2288" s="117"/>
      <c r="E2288" s="117"/>
      <c r="F2288" s="117"/>
      <c r="G2288" s="117"/>
      <c r="H2288" s="117"/>
      <c r="I2288" s="117"/>
      <c r="J2288" s="118"/>
      <c r="K2288" s="118"/>
      <c r="L2288" s="118"/>
      <c r="M2288" s="118"/>
      <c r="N2288" s="117"/>
      <c r="O2288" s="117"/>
      <c r="P2288" s="117"/>
      <c r="Q2288" s="117"/>
      <c r="R2288" s="117"/>
      <c r="S2288" s="117"/>
      <c r="T2288" s="117"/>
      <c r="U2288" s="117"/>
      <c r="V2288" s="117"/>
      <c r="W2288" s="117"/>
      <c r="X2288" s="117"/>
      <c r="Y2288" s="117"/>
      <c r="Z2288" s="117"/>
      <c r="AA2288" s="117"/>
      <c r="AB2288" s="117"/>
      <c r="AC2288" s="117"/>
      <c r="AD2288" s="117"/>
      <c r="AE2288" s="117"/>
      <c r="AF2288" s="117"/>
      <c r="AG2288" s="117"/>
      <c r="AH2288" s="117"/>
      <c r="AI2288" s="117"/>
      <c r="AJ2288" s="117"/>
      <c r="AK2288" s="117"/>
      <c r="AL2288" s="117"/>
      <c r="AM2288" s="117"/>
      <c r="AN2288" s="117"/>
      <c r="AO2288" s="117"/>
      <c r="AP2288" s="117"/>
      <c r="AQ2288" s="117"/>
      <c r="AR2288" s="117"/>
      <c r="AS2288" s="117"/>
      <c r="AT2288" s="117"/>
      <c r="AU2288" s="117"/>
      <c r="AV2288" s="117"/>
      <c r="AW2288" s="117"/>
      <c r="AX2288" s="117"/>
      <c r="AY2288" s="117"/>
      <c r="AZ2288" s="117"/>
      <c r="BA2288" s="117"/>
      <c r="BB2288" s="117"/>
      <c r="BC2288" s="117"/>
      <c r="BD2288" s="117"/>
      <c r="BE2288" s="117"/>
      <c r="BF2288" s="117"/>
      <c r="BG2288" s="117"/>
    </row>
    <row r="2289" spans="1:59">
      <c r="A2289" s="117"/>
      <c r="B2289" s="117"/>
      <c r="C2289" s="117"/>
      <c r="D2289" s="117"/>
      <c r="E2289" s="117"/>
      <c r="F2289" s="117"/>
      <c r="G2289" s="117"/>
      <c r="H2289" s="117"/>
      <c r="I2289" s="117"/>
      <c r="J2289" s="118"/>
      <c r="K2289" s="118"/>
      <c r="L2289" s="118"/>
      <c r="M2289" s="118"/>
      <c r="N2289" s="117"/>
      <c r="O2289" s="117"/>
      <c r="P2289" s="117"/>
      <c r="Q2289" s="117"/>
      <c r="R2289" s="117"/>
      <c r="S2289" s="117"/>
      <c r="T2289" s="117"/>
      <c r="U2289" s="117"/>
      <c r="V2289" s="117"/>
      <c r="W2289" s="117"/>
      <c r="X2289" s="117"/>
      <c r="Y2289" s="117"/>
      <c r="Z2289" s="117"/>
      <c r="AA2289" s="117"/>
      <c r="AB2289" s="117"/>
      <c r="AC2289" s="117"/>
      <c r="AD2289" s="117"/>
      <c r="AE2289" s="117"/>
      <c r="AF2289" s="117"/>
      <c r="AG2289" s="117"/>
      <c r="AH2289" s="117"/>
      <c r="AI2289" s="117"/>
      <c r="AJ2289" s="117"/>
      <c r="AK2289" s="117"/>
      <c r="AL2289" s="117"/>
      <c r="AM2289" s="117"/>
      <c r="AN2289" s="117"/>
      <c r="AO2289" s="117"/>
      <c r="AP2289" s="117"/>
      <c r="AQ2289" s="117"/>
      <c r="AR2289" s="117"/>
      <c r="AS2289" s="117"/>
      <c r="AT2289" s="117"/>
      <c r="AU2289" s="117"/>
      <c r="AV2289" s="117"/>
      <c r="AW2289" s="117"/>
      <c r="AX2289" s="117"/>
      <c r="AY2289" s="117"/>
      <c r="AZ2289" s="117"/>
      <c r="BA2289" s="117"/>
      <c r="BB2289" s="117"/>
      <c r="BC2289" s="117"/>
      <c r="BD2289" s="117"/>
      <c r="BE2289" s="117"/>
      <c r="BF2289" s="117"/>
      <c r="BG2289" s="117"/>
    </row>
    <row r="2290" spans="1:59">
      <c r="A2290" s="117"/>
      <c r="B2290" s="117"/>
      <c r="C2290" s="117"/>
      <c r="D2290" s="117"/>
      <c r="E2290" s="117"/>
      <c r="F2290" s="117"/>
      <c r="G2290" s="117"/>
      <c r="H2290" s="117"/>
      <c r="I2290" s="117"/>
      <c r="J2290" s="118"/>
      <c r="K2290" s="118"/>
      <c r="L2290" s="118"/>
      <c r="M2290" s="118"/>
      <c r="N2290" s="117"/>
      <c r="O2290" s="117"/>
      <c r="P2290" s="117"/>
      <c r="Q2290" s="117"/>
      <c r="R2290" s="117"/>
      <c r="S2290" s="117"/>
      <c r="T2290" s="117"/>
      <c r="U2290" s="117"/>
      <c r="V2290" s="117"/>
      <c r="W2290" s="117"/>
      <c r="X2290" s="117"/>
      <c r="Y2290" s="117"/>
      <c r="Z2290" s="117"/>
      <c r="AA2290" s="117"/>
      <c r="AB2290" s="117"/>
      <c r="AC2290" s="117"/>
      <c r="AD2290" s="117"/>
      <c r="AE2290" s="117"/>
      <c r="AF2290" s="117"/>
      <c r="AG2290" s="117"/>
      <c r="AH2290" s="117"/>
      <c r="AI2290" s="117"/>
      <c r="AJ2290" s="117"/>
      <c r="AK2290" s="117"/>
      <c r="AL2290" s="117"/>
      <c r="AM2290" s="117"/>
      <c r="AN2290" s="117"/>
      <c r="AO2290" s="117"/>
      <c r="AP2290" s="117"/>
      <c r="AQ2290" s="117"/>
      <c r="AR2290" s="117"/>
      <c r="AS2290" s="117"/>
      <c r="AT2290" s="117"/>
      <c r="AU2290" s="117"/>
      <c r="AV2290" s="117"/>
      <c r="AW2290" s="117"/>
      <c r="AX2290" s="117"/>
      <c r="AY2290" s="117"/>
      <c r="AZ2290" s="117"/>
      <c r="BA2290" s="117"/>
      <c r="BB2290" s="117"/>
      <c r="BC2290" s="117"/>
      <c r="BD2290" s="117"/>
      <c r="BE2290" s="117"/>
      <c r="BF2290" s="117"/>
      <c r="BG2290" s="117"/>
    </row>
    <row r="2291" spans="1:59">
      <c r="A2291" s="117"/>
      <c r="B2291" s="117"/>
      <c r="C2291" s="117"/>
      <c r="D2291" s="117"/>
      <c r="E2291" s="117"/>
      <c r="F2291" s="117"/>
      <c r="G2291" s="117"/>
      <c r="H2291" s="117"/>
      <c r="I2291" s="117"/>
      <c r="J2291" s="118"/>
      <c r="K2291" s="118"/>
      <c r="L2291" s="118"/>
      <c r="M2291" s="118"/>
      <c r="N2291" s="117"/>
      <c r="O2291" s="117"/>
      <c r="P2291" s="117"/>
      <c r="Q2291" s="117"/>
      <c r="R2291" s="117"/>
      <c r="S2291" s="117"/>
      <c r="T2291" s="117"/>
      <c r="U2291" s="117"/>
      <c r="V2291" s="117"/>
      <c r="W2291" s="117"/>
      <c r="X2291" s="117"/>
      <c r="Y2291" s="117"/>
      <c r="Z2291" s="117"/>
      <c r="AA2291" s="117"/>
      <c r="AB2291" s="117"/>
      <c r="AC2291" s="117"/>
      <c r="AD2291" s="117"/>
      <c r="AE2291" s="117"/>
      <c r="AF2291" s="117"/>
      <c r="AG2291" s="117"/>
      <c r="AH2291" s="117"/>
      <c r="AI2291" s="117"/>
      <c r="AJ2291" s="117"/>
      <c r="AK2291" s="117"/>
      <c r="AL2291" s="117"/>
      <c r="AM2291" s="117"/>
      <c r="AN2291" s="117"/>
      <c r="AO2291" s="117"/>
      <c r="AP2291" s="117"/>
      <c r="AQ2291" s="117"/>
      <c r="AR2291" s="117"/>
      <c r="AS2291" s="117"/>
      <c r="AT2291" s="117"/>
      <c r="AU2291" s="117"/>
      <c r="AV2291" s="117"/>
      <c r="AW2291" s="117"/>
      <c r="AX2291" s="117"/>
      <c r="AY2291" s="117"/>
      <c r="AZ2291" s="117"/>
      <c r="BA2291" s="117"/>
      <c r="BB2291" s="117"/>
      <c r="BC2291" s="117"/>
      <c r="BD2291" s="117"/>
      <c r="BE2291" s="117"/>
      <c r="BF2291" s="117"/>
      <c r="BG2291" s="117"/>
    </row>
    <row r="2292" spans="1:59">
      <c r="A2292" s="117"/>
      <c r="B2292" s="117"/>
      <c r="C2292" s="117"/>
      <c r="D2292" s="117"/>
      <c r="E2292" s="117"/>
      <c r="F2292" s="117"/>
      <c r="G2292" s="117"/>
      <c r="H2292" s="117"/>
      <c r="I2292" s="117"/>
      <c r="J2292" s="118"/>
      <c r="K2292" s="118"/>
      <c r="L2292" s="118"/>
      <c r="M2292" s="118"/>
      <c r="N2292" s="117"/>
      <c r="O2292" s="117"/>
      <c r="P2292" s="117"/>
      <c r="Q2292" s="117"/>
      <c r="R2292" s="117"/>
      <c r="S2292" s="117"/>
      <c r="T2292" s="117"/>
      <c r="U2292" s="117"/>
      <c r="V2292" s="117"/>
      <c r="W2292" s="117"/>
      <c r="X2292" s="117"/>
      <c r="Y2292" s="117"/>
      <c r="Z2292" s="117"/>
      <c r="AA2292" s="117"/>
      <c r="AB2292" s="117"/>
      <c r="AC2292" s="117"/>
      <c r="AD2292" s="117"/>
      <c r="AE2292" s="117"/>
      <c r="AF2292" s="117"/>
      <c r="AG2292" s="117"/>
      <c r="AH2292" s="117"/>
      <c r="AI2292" s="117"/>
      <c r="AJ2292" s="117"/>
      <c r="AK2292" s="117"/>
      <c r="AL2292" s="117"/>
      <c r="AM2292" s="117"/>
      <c r="AN2292" s="117"/>
      <c r="AO2292" s="117"/>
      <c r="AP2292" s="117"/>
      <c r="AQ2292" s="117"/>
      <c r="AR2292" s="117"/>
      <c r="AS2292" s="117"/>
      <c r="AT2292" s="117"/>
      <c r="AU2292" s="117"/>
      <c r="AV2292" s="117"/>
      <c r="AW2292" s="117"/>
      <c r="AX2292" s="117"/>
      <c r="AY2292" s="117"/>
      <c r="AZ2292" s="117"/>
      <c r="BA2292" s="117"/>
      <c r="BB2292" s="117"/>
      <c r="BC2292" s="117"/>
      <c r="BD2292" s="117"/>
      <c r="BE2292" s="117"/>
      <c r="BF2292" s="117"/>
      <c r="BG2292" s="117"/>
    </row>
    <row r="2293" spans="1:59">
      <c r="A2293" s="117"/>
      <c r="B2293" s="117"/>
      <c r="C2293" s="117"/>
      <c r="D2293" s="117"/>
      <c r="E2293" s="117"/>
      <c r="F2293" s="117"/>
      <c r="G2293" s="117"/>
      <c r="H2293" s="117"/>
      <c r="I2293" s="117"/>
      <c r="J2293" s="118"/>
      <c r="K2293" s="118"/>
      <c r="L2293" s="118"/>
      <c r="M2293" s="118"/>
      <c r="N2293" s="117"/>
      <c r="O2293" s="117"/>
      <c r="P2293" s="117"/>
      <c r="Q2293" s="117"/>
      <c r="R2293" s="117"/>
      <c r="S2293" s="117"/>
      <c r="T2293" s="117"/>
      <c r="U2293" s="117"/>
      <c r="V2293" s="117"/>
      <c r="W2293" s="117"/>
      <c r="X2293" s="117"/>
      <c r="Y2293" s="117"/>
      <c r="Z2293" s="117"/>
      <c r="AA2293" s="117"/>
      <c r="AB2293" s="117"/>
      <c r="AC2293" s="117"/>
      <c r="AD2293" s="117"/>
      <c r="AE2293" s="117"/>
      <c r="AF2293" s="117"/>
      <c r="AG2293" s="117"/>
      <c r="AH2293" s="117"/>
      <c r="AI2293" s="117"/>
      <c r="AJ2293" s="117"/>
      <c r="AK2293" s="117"/>
      <c r="AL2293" s="117"/>
      <c r="AM2293" s="117"/>
      <c r="AN2293" s="117"/>
      <c r="AO2293" s="117"/>
      <c r="AP2293" s="117"/>
      <c r="AQ2293" s="117"/>
      <c r="AR2293" s="117"/>
      <c r="AS2293" s="117"/>
      <c r="AT2293" s="117"/>
      <c r="AU2293" s="117"/>
      <c r="AV2293" s="117"/>
      <c r="AW2293" s="117"/>
      <c r="AX2293" s="117"/>
      <c r="AY2293" s="117"/>
      <c r="AZ2293" s="117"/>
      <c r="BA2293" s="117"/>
      <c r="BB2293" s="117"/>
      <c r="BC2293" s="117"/>
      <c r="BD2293" s="117"/>
      <c r="BE2293" s="117"/>
      <c r="BF2293" s="117"/>
      <c r="BG2293" s="117"/>
    </row>
    <row r="2294" spans="1:59">
      <c r="A2294" s="117"/>
      <c r="B2294" s="117"/>
      <c r="C2294" s="117"/>
      <c r="D2294" s="117"/>
      <c r="E2294" s="117"/>
      <c r="F2294" s="117"/>
      <c r="G2294" s="117"/>
      <c r="H2294" s="117"/>
      <c r="I2294" s="117"/>
      <c r="J2294" s="118"/>
      <c r="K2294" s="118"/>
      <c r="L2294" s="118"/>
      <c r="M2294" s="118"/>
      <c r="N2294" s="117"/>
      <c r="O2294" s="117"/>
      <c r="P2294" s="117"/>
      <c r="Q2294" s="117"/>
      <c r="R2294" s="117"/>
      <c r="S2294" s="117"/>
      <c r="T2294" s="117"/>
      <c r="U2294" s="117"/>
      <c r="V2294" s="117"/>
      <c r="W2294" s="117"/>
      <c r="X2294" s="117"/>
      <c r="Y2294" s="117"/>
      <c r="Z2294" s="117"/>
      <c r="AA2294" s="117"/>
      <c r="AB2294" s="117"/>
      <c r="AC2294" s="117"/>
      <c r="AD2294" s="117"/>
      <c r="AE2294" s="117"/>
      <c r="AF2294" s="117"/>
      <c r="AG2294" s="117"/>
      <c r="AH2294" s="117"/>
      <c r="AI2294" s="117"/>
      <c r="AJ2294" s="117"/>
      <c r="AK2294" s="117"/>
      <c r="AL2294" s="117"/>
      <c r="AM2294" s="117"/>
      <c r="AN2294" s="117"/>
      <c r="AO2294" s="117"/>
      <c r="AP2294" s="117"/>
      <c r="AQ2294" s="117"/>
      <c r="AR2294" s="117"/>
      <c r="AS2294" s="117"/>
      <c r="AT2294" s="117"/>
      <c r="AU2294" s="117"/>
      <c r="AV2294" s="117"/>
      <c r="AW2294" s="117"/>
      <c r="AX2294" s="117"/>
      <c r="AY2294" s="117"/>
      <c r="AZ2294" s="117"/>
      <c r="BA2294" s="117"/>
      <c r="BB2294" s="117"/>
      <c r="BC2294" s="117"/>
      <c r="BD2294" s="117"/>
      <c r="BE2294" s="117"/>
      <c r="BF2294" s="117"/>
      <c r="BG2294" s="117"/>
    </row>
    <row r="2295" spans="1:59">
      <c r="A2295" s="117"/>
      <c r="B2295" s="117"/>
      <c r="C2295" s="117"/>
      <c r="D2295" s="117"/>
      <c r="E2295" s="117"/>
      <c r="F2295" s="117"/>
      <c r="G2295" s="117"/>
      <c r="H2295" s="117"/>
      <c r="I2295" s="117"/>
      <c r="J2295" s="118"/>
      <c r="K2295" s="118"/>
      <c r="L2295" s="118"/>
      <c r="M2295" s="118"/>
      <c r="N2295" s="117"/>
      <c r="O2295" s="117"/>
      <c r="P2295" s="117"/>
      <c r="Q2295" s="117"/>
      <c r="R2295" s="117"/>
      <c r="S2295" s="117"/>
      <c r="T2295" s="117"/>
      <c r="U2295" s="117"/>
      <c r="V2295" s="117"/>
      <c r="W2295" s="117"/>
      <c r="X2295" s="117"/>
      <c r="Y2295" s="117"/>
      <c r="Z2295" s="117"/>
      <c r="AA2295" s="117"/>
      <c r="AB2295" s="117"/>
      <c r="AC2295" s="117"/>
      <c r="AD2295" s="117"/>
      <c r="AE2295" s="117"/>
      <c r="AF2295" s="117"/>
      <c r="AG2295" s="117"/>
      <c r="AH2295" s="117"/>
      <c r="AI2295" s="117"/>
      <c r="AJ2295" s="117"/>
      <c r="AK2295" s="117"/>
      <c r="AL2295" s="117"/>
      <c r="AM2295" s="117"/>
      <c r="AN2295" s="117"/>
      <c r="AO2295" s="117"/>
      <c r="AP2295" s="117"/>
      <c r="AQ2295" s="117"/>
      <c r="AR2295" s="117"/>
      <c r="AS2295" s="117"/>
      <c r="AT2295" s="117"/>
      <c r="AU2295" s="117"/>
      <c r="AV2295" s="117"/>
      <c r="AW2295" s="117"/>
      <c r="AX2295" s="117"/>
      <c r="AY2295" s="117"/>
      <c r="AZ2295" s="117"/>
      <c r="BA2295" s="117"/>
      <c r="BB2295" s="117"/>
      <c r="BC2295" s="117"/>
      <c r="BD2295" s="117"/>
      <c r="BE2295" s="117"/>
      <c r="BF2295" s="117"/>
      <c r="BG2295" s="117"/>
    </row>
    <row r="2296" spans="1:59">
      <c r="A2296" s="117"/>
      <c r="B2296" s="117"/>
      <c r="C2296" s="117"/>
      <c r="D2296" s="117"/>
      <c r="E2296" s="117"/>
      <c r="F2296" s="117"/>
      <c r="G2296" s="117"/>
      <c r="H2296" s="117"/>
      <c r="I2296" s="117"/>
      <c r="J2296" s="118"/>
      <c r="K2296" s="118"/>
      <c r="L2296" s="118"/>
      <c r="M2296" s="118"/>
      <c r="N2296" s="117"/>
      <c r="O2296" s="117"/>
      <c r="P2296" s="117"/>
      <c r="Q2296" s="117"/>
      <c r="R2296" s="117"/>
      <c r="S2296" s="117"/>
      <c r="T2296" s="117"/>
      <c r="U2296" s="117"/>
      <c r="V2296" s="117"/>
      <c r="W2296" s="117"/>
      <c r="X2296" s="117"/>
      <c r="Y2296" s="117"/>
      <c r="Z2296" s="117"/>
      <c r="AA2296" s="117"/>
      <c r="AB2296" s="117"/>
      <c r="AC2296" s="117"/>
      <c r="AD2296" s="117"/>
      <c r="AE2296" s="117"/>
      <c r="AF2296" s="117"/>
      <c r="AG2296" s="117"/>
      <c r="AH2296" s="117"/>
      <c r="AI2296" s="117"/>
      <c r="AJ2296" s="117"/>
      <c r="AK2296" s="117"/>
      <c r="AL2296" s="117"/>
      <c r="AM2296" s="117"/>
      <c r="AN2296" s="117"/>
      <c r="AO2296" s="117"/>
      <c r="AP2296" s="117"/>
      <c r="AQ2296" s="117"/>
      <c r="AR2296" s="117"/>
      <c r="AS2296" s="117"/>
      <c r="AT2296" s="117"/>
      <c r="AU2296" s="117"/>
      <c r="AV2296" s="117"/>
      <c r="AW2296" s="117"/>
      <c r="AX2296" s="117"/>
      <c r="AY2296" s="117"/>
      <c r="AZ2296" s="117"/>
      <c r="BA2296" s="117"/>
      <c r="BB2296" s="117"/>
      <c r="BC2296" s="117"/>
      <c r="BD2296" s="117"/>
      <c r="BE2296" s="117"/>
      <c r="BF2296" s="117"/>
      <c r="BG2296" s="117"/>
    </row>
    <row r="2297" spans="1:59">
      <c r="A2297" s="117"/>
      <c r="B2297" s="117"/>
      <c r="C2297" s="117"/>
      <c r="D2297" s="117"/>
      <c r="E2297" s="117"/>
      <c r="F2297" s="117"/>
      <c r="G2297" s="117"/>
      <c r="H2297" s="117"/>
      <c r="I2297" s="117"/>
      <c r="J2297" s="118"/>
      <c r="K2297" s="118"/>
      <c r="L2297" s="118"/>
      <c r="M2297" s="118"/>
      <c r="N2297" s="117"/>
      <c r="O2297" s="117"/>
      <c r="P2297" s="117"/>
      <c r="Q2297" s="117"/>
      <c r="R2297" s="117"/>
      <c r="S2297" s="117"/>
      <c r="T2297" s="117"/>
      <c r="U2297" s="117"/>
      <c r="V2297" s="117"/>
      <c r="W2297" s="117"/>
      <c r="X2297" s="117"/>
      <c r="Y2297" s="117"/>
      <c r="Z2297" s="117"/>
      <c r="AA2297" s="117"/>
      <c r="AB2297" s="117"/>
      <c r="AC2297" s="117"/>
      <c r="AD2297" s="117"/>
      <c r="AE2297" s="117"/>
      <c r="AF2297" s="117"/>
      <c r="AG2297" s="117"/>
      <c r="AH2297" s="117"/>
      <c r="AI2297" s="117"/>
      <c r="AJ2297" s="117"/>
      <c r="AK2297" s="117"/>
      <c r="AL2297" s="117"/>
      <c r="AM2297" s="117"/>
      <c r="AN2297" s="117"/>
      <c r="AO2297" s="117"/>
      <c r="AP2297" s="117"/>
      <c r="AQ2297" s="117"/>
      <c r="AR2297" s="117"/>
      <c r="AS2297" s="117"/>
      <c r="AT2297" s="117"/>
      <c r="AU2297" s="117"/>
      <c r="AV2297" s="117"/>
      <c r="AW2297" s="117"/>
      <c r="AX2297" s="117"/>
      <c r="AY2297" s="117"/>
      <c r="AZ2297" s="117"/>
      <c r="BA2297" s="117"/>
      <c r="BB2297" s="117"/>
      <c r="BC2297" s="117"/>
      <c r="BD2297" s="117"/>
      <c r="BE2297" s="117"/>
      <c r="BF2297" s="117"/>
      <c r="BG2297" s="117"/>
    </row>
    <row r="2298" spans="1:59">
      <c r="A2298" s="117"/>
      <c r="B2298" s="117"/>
      <c r="C2298" s="117"/>
      <c r="D2298" s="117"/>
      <c r="E2298" s="117"/>
      <c r="F2298" s="117"/>
      <c r="G2298" s="117"/>
      <c r="H2298" s="117"/>
      <c r="I2298" s="117"/>
      <c r="J2298" s="118"/>
      <c r="K2298" s="118"/>
      <c r="L2298" s="118"/>
      <c r="M2298" s="118"/>
      <c r="N2298" s="117"/>
      <c r="O2298" s="117"/>
      <c r="P2298" s="117"/>
      <c r="Q2298" s="117"/>
      <c r="R2298" s="117"/>
      <c r="S2298" s="117"/>
      <c r="T2298" s="117"/>
      <c r="U2298" s="117"/>
      <c r="V2298" s="117"/>
      <c r="W2298" s="117"/>
      <c r="X2298" s="117"/>
      <c r="Y2298" s="117"/>
      <c r="Z2298" s="117"/>
      <c r="AA2298" s="117"/>
      <c r="AB2298" s="117"/>
      <c r="AC2298" s="117"/>
      <c r="AD2298" s="117"/>
      <c r="AE2298" s="117"/>
      <c r="AF2298" s="117"/>
      <c r="AG2298" s="117"/>
      <c r="AH2298" s="117"/>
      <c r="AI2298" s="117"/>
      <c r="AJ2298" s="117"/>
      <c r="AK2298" s="117"/>
      <c r="AL2298" s="117"/>
      <c r="AM2298" s="117"/>
      <c r="AN2298" s="117"/>
      <c r="AO2298" s="117"/>
      <c r="AP2298" s="117"/>
      <c r="AQ2298" s="117"/>
      <c r="AR2298" s="117"/>
      <c r="AS2298" s="117"/>
      <c r="AT2298" s="117"/>
      <c r="AU2298" s="117"/>
      <c r="AV2298" s="117"/>
      <c r="AW2298" s="117"/>
      <c r="AX2298" s="117"/>
      <c r="AY2298" s="117"/>
      <c r="AZ2298" s="117"/>
      <c r="BA2298" s="117"/>
      <c r="BB2298" s="117"/>
      <c r="BC2298" s="117"/>
      <c r="BD2298" s="117"/>
      <c r="BE2298" s="117"/>
      <c r="BF2298" s="117"/>
      <c r="BG2298" s="117"/>
    </row>
    <row r="2299" spans="1:59">
      <c r="A2299" s="117"/>
      <c r="B2299" s="117"/>
      <c r="C2299" s="117"/>
      <c r="D2299" s="117"/>
      <c r="E2299" s="117"/>
      <c r="F2299" s="117"/>
      <c r="G2299" s="117"/>
      <c r="H2299" s="117"/>
      <c r="I2299" s="117"/>
      <c r="J2299" s="118"/>
      <c r="K2299" s="118"/>
      <c r="L2299" s="118"/>
      <c r="M2299" s="118"/>
      <c r="N2299" s="117"/>
      <c r="O2299" s="117"/>
      <c r="P2299" s="117"/>
      <c r="Q2299" s="117"/>
      <c r="R2299" s="117"/>
      <c r="S2299" s="117"/>
      <c r="T2299" s="117"/>
      <c r="U2299" s="117"/>
      <c r="V2299" s="117"/>
      <c r="W2299" s="117"/>
      <c r="X2299" s="117"/>
      <c r="Y2299" s="117"/>
      <c r="Z2299" s="117"/>
      <c r="AA2299" s="117"/>
      <c r="AB2299" s="117"/>
      <c r="AC2299" s="117"/>
      <c r="AD2299" s="117"/>
      <c r="AE2299" s="117"/>
      <c r="AF2299" s="117"/>
      <c r="AG2299" s="117"/>
      <c r="AH2299" s="117"/>
      <c r="AI2299" s="117"/>
      <c r="AJ2299" s="117"/>
      <c r="AK2299" s="117"/>
      <c r="AL2299" s="117"/>
      <c r="AM2299" s="117"/>
      <c r="AN2299" s="117"/>
      <c r="AO2299" s="117"/>
      <c r="AP2299" s="117"/>
      <c r="AQ2299" s="117"/>
      <c r="AR2299" s="117"/>
      <c r="AS2299" s="117"/>
      <c r="AT2299" s="117"/>
      <c r="AU2299" s="117"/>
      <c r="AV2299" s="117"/>
      <c r="AW2299" s="117"/>
      <c r="AX2299" s="117"/>
      <c r="AY2299" s="117"/>
      <c r="AZ2299" s="117"/>
      <c r="BA2299" s="117"/>
      <c r="BB2299" s="117"/>
      <c r="BC2299" s="117"/>
      <c r="BD2299" s="117"/>
      <c r="BE2299" s="117"/>
      <c r="BF2299" s="117"/>
      <c r="BG2299" s="117"/>
    </row>
    <row r="2300" spans="1:59">
      <c r="A2300" s="117"/>
      <c r="B2300" s="117"/>
      <c r="C2300" s="117"/>
      <c r="D2300" s="117"/>
      <c r="E2300" s="117"/>
      <c r="F2300" s="117"/>
      <c r="G2300" s="117"/>
      <c r="H2300" s="117"/>
      <c r="I2300" s="117"/>
      <c r="J2300" s="118"/>
      <c r="K2300" s="118"/>
      <c r="L2300" s="118"/>
      <c r="M2300" s="118"/>
      <c r="N2300" s="117"/>
      <c r="O2300" s="117"/>
      <c r="P2300" s="117"/>
      <c r="Q2300" s="117"/>
      <c r="R2300" s="117"/>
      <c r="S2300" s="117"/>
      <c r="T2300" s="117"/>
      <c r="U2300" s="117"/>
      <c r="V2300" s="117"/>
      <c r="W2300" s="117"/>
      <c r="X2300" s="117"/>
      <c r="Y2300" s="117"/>
      <c r="Z2300" s="117"/>
      <c r="AA2300" s="117"/>
      <c r="AB2300" s="117"/>
      <c r="AC2300" s="117"/>
      <c r="AD2300" s="117"/>
      <c r="AE2300" s="117"/>
      <c r="AF2300" s="117"/>
      <c r="AG2300" s="117"/>
      <c r="AH2300" s="117"/>
      <c r="AI2300" s="117"/>
      <c r="AJ2300" s="117"/>
      <c r="AK2300" s="117"/>
      <c r="AL2300" s="117"/>
      <c r="AM2300" s="117"/>
      <c r="AN2300" s="117"/>
      <c r="AO2300" s="117"/>
      <c r="AP2300" s="117"/>
      <c r="AQ2300" s="117"/>
      <c r="AR2300" s="117"/>
      <c r="AS2300" s="117"/>
      <c r="AT2300" s="117"/>
      <c r="AU2300" s="117"/>
      <c r="AV2300" s="117"/>
      <c r="AW2300" s="117"/>
      <c r="AX2300" s="117"/>
      <c r="AY2300" s="117"/>
      <c r="AZ2300" s="117"/>
      <c r="BA2300" s="117"/>
      <c r="BB2300" s="117"/>
      <c r="BC2300" s="117"/>
      <c r="BD2300" s="117"/>
      <c r="BE2300" s="117"/>
      <c r="BF2300" s="117"/>
      <c r="BG2300" s="117"/>
    </row>
    <row r="2301" spans="1:59">
      <c r="A2301" s="117"/>
      <c r="B2301" s="117"/>
      <c r="C2301" s="117"/>
      <c r="D2301" s="117"/>
      <c r="E2301" s="117"/>
      <c r="F2301" s="117"/>
      <c r="G2301" s="117"/>
      <c r="H2301" s="117"/>
      <c r="I2301" s="117"/>
      <c r="J2301" s="118"/>
      <c r="K2301" s="118"/>
      <c r="L2301" s="118"/>
      <c r="M2301" s="118"/>
      <c r="N2301" s="117"/>
      <c r="O2301" s="117"/>
      <c r="P2301" s="117"/>
      <c r="Q2301" s="117"/>
      <c r="R2301" s="117"/>
      <c r="S2301" s="117"/>
      <c r="T2301" s="117"/>
      <c r="U2301" s="117"/>
      <c r="V2301" s="117"/>
      <c r="W2301" s="117"/>
      <c r="X2301" s="117"/>
      <c r="Y2301" s="117"/>
      <c r="Z2301" s="117"/>
      <c r="AA2301" s="117"/>
      <c r="AB2301" s="117"/>
      <c r="AC2301" s="117"/>
      <c r="AD2301" s="117"/>
      <c r="AE2301" s="117"/>
      <c r="AF2301" s="117"/>
      <c r="AG2301" s="117"/>
      <c r="AH2301" s="117"/>
      <c r="AI2301" s="117"/>
      <c r="AJ2301" s="117"/>
      <c r="AK2301" s="117"/>
      <c r="AL2301" s="117"/>
      <c r="AM2301" s="117"/>
      <c r="AN2301" s="117"/>
      <c r="AO2301" s="117"/>
      <c r="AP2301" s="117"/>
      <c r="AQ2301" s="117"/>
      <c r="AR2301" s="117"/>
      <c r="AS2301" s="117"/>
      <c r="AT2301" s="117"/>
      <c r="AU2301" s="117"/>
      <c r="AV2301" s="117"/>
      <c r="AW2301" s="117"/>
      <c r="AX2301" s="117"/>
      <c r="AY2301" s="117"/>
      <c r="AZ2301" s="117"/>
      <c r="BA2301" s="117"/>
      <c r="BB2301" s="117"/>
      <c r="BC2301" s="117"/>
      <c r="BD2301" s="117"/>
      <c r="BE2301" s="117"/>
      <c r="BF2301" s="117"/>
      <c r="BG2301" s="117"/>
    </row>
    <row r="2302" spans="1:59">
      <c r="A2302" s="117"/>
      <c r="B2302" s="117"/>
      <c r="C2302" s="117"/>
      <c r="D2302" s="117"/>
      <c r="E2302" s="117"/>
      <c r="F2302" s="117"/>
      <c r="G2302" s="117"/>
      <c r="H2302" s="117"/>
      <c r="I2302" s="117"/>
      <c r="J2302" s="118"/>
      <c r="K2302" s="118"/>
      <c r="L2302" s="118"/>
      <c r="M2302" s="118"/>
      <c r="N2302" s="117"/>
      <c r="O2302" s="117"/>
      <c r="P2302" s="117"/>
      <c r="Q2302" s="117"/>
      <c r="R2302" s="117"/>
      <c r="S2302" s="117"/>
      <c r="T2302" s="117"/>
      <c r="U2302" s="117"/>
      <c r="V2302" s="117"/>
      <c r="W2302" s="117"/>
      <c r="X2302" s="117"/>
      <c r="Y2302" s="117"/>
      <c r="Z2302" s="117"/>
      <c r="AA2302" s="117"/>
      <c r="AB2302" s="117"/>
      <c r="AC2302" s="117"/>
      <c r="AD2302" s="117"/>
      <c r="AE2302" s="117"/>
      <c r="AF2302" s="117"/>
      <c r="AG2302" s="117"/>
      <c r="AH2302" s="117"/>
      <c r="AI2302" s="117"/>
      <c r="AJ2302" s="117"/>
      <c r="AK2302" s="117"/>
      <c r="AL2302" s="117"/>
      <c r="AM2302" s="117"/>
      <c r="AN2302" s="117"/>
      <c r="AO2302" s="117"/>
      <c r="AP2302" s="117"/>
      <c r="AQ2302" s="117"/>
      <c r="AR2302" s="117"/>
      <c r="AS2302" s="117"/>
      <c r="AT2302" s="117"/>
      <c r="AU2302" s="117"/>
      <c r="AV2302" s="117"/>
      <c r="AW2302" s="117"/>
      <c r="AX2302" s="117"/>
      <c r="AY2302" s="117"/>
      <c r="AZ2302" s="117"/>
      <c r="BA2302" s="117"/>
      <c r="BB2302" s="117"/>
      <c r="BC2302" s="117"/>
      <c r="BD2302" s="117"/>
      <c r="BE2302" s="117"/>
      <c r="BF2302" s="117"/>
      <c r="BG2302" s="117"/>
    </row>
    <row r="2303" spans="1:59">
      <c r="A2303" s="117"/>
      <c r="B2303" s="117"/>
      <c r="C2303" s="117"/>
      <c r="D2303" s="117"/>
      <c r="E2303" s="117"/>
      <c r="F2303" s="117"/>
      <c r="G2303" s="117"/>
      <c r="H2303" s="117"/>
      <c r="I2303" s="117"/>
      <c r="J2303" s="118"/>
      <c r="K2303" s="118"/>
      <c r="L2303" s="118"/>
      <c r="M2303" s="118"/>
      <c r="N2303" s="117"/>
      <c r="O2303" s="117"/>
      <c r="P2303" s="117"/>
      <c r="Q2303" s="117"/>
      <c r="R2303" s="117"/>
      <c r="S2303" s="117"/>
      <c r="T2303" s="117"/>
      <c r="U2303" s="117"/>
      <c r="V2303" s="117"/>
      <c r="W2303" s="117"/>
      <c r="X2303" s="117"/>
      <c r="Y2303" s="117"/>
      <c r="Z2303" s="117"/>
      <c r="AA2303" s="117"/>
      <c r="AB2303" s="117"/>
      <c r="AC2303" s="117"/>
      <c r="AD2303" s="117"/>
      <c r="AE2303" s="117"/>
      <c r="AF2303" s="117"/>
      <c r="AG2303" s="117"/>
      <c r="AH2303" s="117"/>
      <c r="AI2303" s="117"/>
      <c r="AJ2303" s="117"/>
      <c r="AK2303" s="117"/>
      <c r="AL2303" s="117"/>
      <c r="AM2303" s="117"/>
      <c r="AN2303" s="117"/>
      <c r="AO2303" s="117"/>
      <c r="AP2303" s="117"/>
      <c r="AQ2303" s="117"/>
      <c r="AR2303" s="117"/>
      <c r="AS2303" s="117"/>
      <c r="AT2303" s="117"/>
      <c r="AU2303" s="117"/>
      <c r="AV2303" s="117"/>
      <c r="AW2303" s="117"/>
      <c r="AX2303" s="117"/>
      <c r="AY2303" s="117"/>
      <c r="AZ2303" s="117"/>
      <c r="BA2303" s="117"/>
      <c r="BB2303" s="117"/>
      <c r="BC2303" s="117"/>
      <c r="BD2303" s="117"/>
      <c r="BE2303" s="117"/>
      <c r="BF2303" s="117"/>
      <c r="BG2303" s="117"/>
    </row>
    <row r="2304" spans="1:59">
      <c r="A2304" s="117"/>
      <c r="B2304" s="117"/>
      <c r="C2304" s="117"/>
      <c r="D2304" s="117"/>
      <c r="E2304" s="117"/>
      <c r="F2304" s="117"/>
      <c r="G2304" s="117"/>
      <c r="H2304" s="117"/>
      <c r="I2304" s="117"/>
      <c r="J2304" s="118"/>
      <c r="K2304" s="118"/>
      <c r="L2304" s="118"/>
      <c r="M2304" s="118"/>
      <c r="N2304" s="117"/>
      <c r="O2304" s="117"/>
      <c r="P2304" s="117"/>
      <c r="Q2304" s="117"/>
      <c r="R2304" s="117"/>
      <c r="S2304" s="117"/>
      <c r="T2304" s="117"/>
      <c r="U2304" s="117"/>
      <c r="V2304" s="117"/>
      <c r="W2304" s="117"/>
      <c r="X2304" s="117"/>
      <c r="Y2304" s="117"/>
      <c r="Z2304" s="117"/>
      <c r="AA2304" s="117"/>
      <c r="AB2304" s="117"/>
      <c r="AC2304" s="117"/>
      <c r="AD2304" s="117"/>
      <c r="AE2304" s="117"/>
      <c r="AF2304" s="117"/>
      <c r="AG2304" s="117"/>
      <c r="AH2304" s="117"/>
      <c r="AI2304" s="117"/>
      <c r="AJ2304" s="117"/>
      <c r="AK2304" s="117"/>
      <c r="AL2304" s="117"/>
      <c r="AM2304" s="117"/>
      <c r="AN2304" s="117"/>
      <c r="AO2304" s="117"/>
      <c r="AP2304" s="117"/>
      <c r="AQ2304" s="117"/>
      <c r="AR2304" s="117"/>
      <c r="AS2304" s="117"/>
      <c r="AT2304" s="117"/>
      <c r="AU2304" s="117"/>
      <c r="AV2304" s="117"/>
      <c r="AW2304" s="117"/>
      <c r="AX2304" s="117"/>
      <c r="AY2304" s="117"/>
      <c r="AZ2304" s="117"/>
      <c r="BA2304" s="117"/>
      <c r="BB2304" s="117"/>
      <c r="BC2304" s="117"/>
      <c r="BD2304" s="117"/>
      <c r="BE2304" s="117"/>
      <c r="BF2304" s="117"/>
      <c r="BG2304" s="117"/>
    </row>
    <row r="2305" spans="1:59">
      <c r="A2305" s="117"/>
      <c r="B2305" s="117"/>
      <c r="C2305" s="117"/>
      <c r="D2305" s="117"/>
      <c r="E2305" s="117"/>
      <c r="F2305" s="117"/>
      <c r="G2305" s="117"/>
      <c r="H2305" s="117"/>
      <c r="I2305" s="117"/>
      <c r="J2305" s="118"/>
      <c r="K2305" s="118"/>
      <c r="L2305" s="118"/>
      <c r="M2305" s="118"/>
      <c r="N2305" s="117"/>
      <c r="O2305" s="117"/>
      <c r="P2305" s="117"/>
      <c r="Q2305" s="117"/>
      <c r="R2305" s="117"/>
      <c r="S2305" s="117"/>
      <c r="T2305" s="117"/>
      <c r="U2305" s="117"/>
      <c r="V2305" s="117"/>
      <c r="W2305" s="117"/>
      <c r="X2305" s="117"/>
      <c r="Y2305" s="117"/>
      <c r="Z2305" s="117"/>
      <c r="AA2305" s="117"/>
      <c r="AB2305" s="117"/>
      <c r="AC2305" s="117"/>
      <c r="AD2305" s="117"/>
      <c r="AE2305" s="117"/>
      <c r="AF2305" s="117"/>
      <c r="AG2305" s="117"/>
      <c r="AH2305" s="117"/>
      <c r="AI2305" s="117"/>
      <c r="AJ2305" s="117"/>
      <c r="AK2305" s="117"/>
      <c r="AL2305" s="117"/>
      <c r="AM2305" s="117"/>
      <c r="AN2305" s="117"/>
      <c r="AO2305" s="117"/>
      <c r="AP2305" s="117"/>
      <c r="AQ2305" s="117"/>
      <c r="AR2305" s="117"/>
      <c r="AS2305" s="117"/>
      <c r="AT2305" s="117"/>
      <c r="AU2305" s="117"/>
      <c r="AV2305" s="117"/>
      <c r="AW2305" s="117"/>
      <c r="AX2305" s="117"/>
      <c r="AY2305" s="117"/>
      <c r="AZ2305" s="117"/>
      <c r="BA2305" s="117"/>
      <c r="BB2305" s="117"/>
      <c r="BC2305" s="117"/>
      <c r="BD2305" s="117"/>
      <c r="BE2305" s="117"/>
      <c r="BF2305" s="117"/>
      <c r="BG2305" s="117"/>
    </row>
    <row r="2306" spans="1:59">
      <c r="A2306" s="117"/>
      <c r="B2306" s="117"/>
      <c r="C2306" s="117"/>
      <c r="D2306" s="117"/>
      <c r="E2306" s="117"/>
      <c r="F2306" s="117"/>
      <c r="G2306" s="117"/>
      <c r="H2306" s="117"/>
      <c r="I2306" s="117"/>
      <c r="J2306" s="118"/>
      <c r="K2306" s="118"/>
      <c r="L2306" s="118"/>
      <c r="M2306" s="118"/>
      <c r="N2306" s="117"/>
      <c r="O2306" s="117"/>
      <c r="P2306" s="117"/>
      <c r="Q2306" s="117"/>
      <c r="R2306" s="117"/>
      <c r="S2306" s="117"/>
      <c r="T2306" s="117"/>
      <c r="U2306" s="117"/>
      <c r="V2306" s="117"/>
      <c r="W2306" s="117"/>
      <c r="X2306" s="117"/>
      <c r="Y2306" s="117"/>
      <c r="Z2306" s="117"/>
      <c r="AA2306" s="117"/>
      <c r="AB2306" s="117"/>
      <c r="AC2306" s="117"/>
      <c r="AD2306" s="117"/>
      <c r="AE2306" s="117"/>
      <c r="AF2306" s="117"/>
      <c r="AG2306" s="117"/>
      <c r="AH2306" s="117"/>
      <c r="AI2306" s="117"/>
      <c r="AJ2306" s="117"/>
      <c r="AK2306" s="117"/>
      <c r="AL2306" s="117"/>
      <c r="AM2306" s="117"/>
      <c r="AN2306" s="117"/>
      <c r="AO2306" s="117"/>
      <c r="AP2306" s="117"/>
      <c r="AQ2306" s="117"/>
      <c r="AR2306" s="117"/>
      <c r="AS2306" s="117"/>
      <c r="AT2306" s="117"/>
      <c r="AU2306" s="117"/>
      <c r="AV2306" s="117"/>
      <c r="AW2306" s="117"/>
      <c r="AX2306" s="117"/>
      <c r="AY2306" s="117"/>
      <c r="AZ2306" s="117"/>
      <c r="BA2306" s="117"/>
      <c r="BB2306" s="117"/>
      <c r="BC2306" s="117"/>
      <c r="BD2306" s="117"/>
      <c r="BE2306" s="117"/>
      <c r="BF2306" s="117"/>
      <c r="BG2306" s="117"/>
    </row>
    <row r="2307" spans="1:59">
      <c r="A2307" s="117"/>
      <c r="B2307" s="117"/>
      <c r="C2307" s="117"/>
      <c r="D2307" s="117"/>
      <c r="E2307" s="117"/>
      <c r="F2307" s="117"/>
      <c r="G2307" s="117"/>
      <c r="H2307" s="117"/>
      <c r="I2307" s="117"/>
      <c r="J2307" s="118"/>
      <c r="K2307" s="118"/>
      <c r="L2307" s="118"/>
      <c r="M2307" s="118"/>
      <c r="N2307" s="117"/>
      <c r="O2307" s="117"/>
      <c r="P2307" s="117"/>
      <c r="Q2307" s="117"/>
      <c r="R2307" s="117"/>
      <c r="S2307" s="117"/>
      <c r="T2307" s="117"/>
      <c r="U2307" s="117"/>
      <c r="V2307" s="117"/>
      <c r="W2307" s="117"/>
      <c r="X2307" s="117"/>
      <c r="Y2307" s="117"/>
      <c r="Z2307" s="117"/>
      <c r="AA2307" s="117"/>
      <c r="AB2307" s="117"/>
      <c r="AC2307" s="117"/>
      <c r="AD2307" s="117"/>
      <c r="AE2307" s="117"/>
      <c r="AF2307" s="117"/>
      <c r="AG2307" s="117"/>
      <c r="AH2307" s="117"/>
      <c r="AI2307" s="117"/>
      <c r="AJ2307" s="117"/>
      <c r="AK2307" s="117"/>
      <c r="AL2307" s="117"/>
      <c r="AM2307" s="117"/>
      <c r="AN2307" s="117"/>
      <c r="AO2307" s="117"/>
      <c r="AP2307" s="117"/>
      <c r="AQ2307" s="117"/>
      <c r="AR2307" s="117"/>
      <c r="AS2307" s="117"/>
      <c r="AT2307" s="117"/>
      <c r="AU2307" s="117"/>
      <c r="AV2307" s="117"/>
      <c r="AW2307" s="117"/>
      <c r="AX2307" s="117"/>
      <c r="AY2307" s="117"/>
      <c r="AZ2307" s="117"/>
      <c r="BA2307" s="117"/>
      <c r="BB2307" s="117"/>
      <c r="BC2307" s="117"/>
      <c r="BD2307" s="117"/>
      <c r="BE2307" s="117"/>
      <c r="BF2307" s="117"/>
      <c r="BG2307" s="117"/>
    </row>
    <row r="2308" spans="1:59">
      <c r="A2308" s="117"/>
      <c r="B2308" s="117"/>
      <c r="C2308" s="117"/>
      <c r="D2308" s="117"/>
      <c r="E2308" s="117"/>
      <c r="F2308" s="117"/>
      <c r="G2308" s="117"/>
      <c r="H2308" s="117"/>
      <c r="I2308" s="117"/>
      <c r="J2308" s="118"/>
      <c r="K2308" s="118"/>
      <c r="L2308" s="118"/>
      <c r="M2308" s="118"/>
      <c r="N2308" s="117"/>
      <c r="O2308" s="117"/>
      <c r="P2308" s="117"/>
      <c r="Q2308" s="117"/>
      <c r="R2308" s="117"/>
      <c r="S2308" s="117"/>
      <c r="T2308" s="117"/>
      <c r="U2308" s="117"/>
      <c r="V2308" s="117"/>
      <c r="W2308" s="117"/>
      <c r="X2308" s="117"/>
      <c r="Y2308" s="117"/>
      <c r="Z2308" s="117"/>
      <c r="AA2308" s="117"/>
      <c r="AB2308" s="117"/>
      <c r="AC2308" s="117"/>
      <c r="AD2308" s="117"/>
      <c r="AE2308" s="117"/>
      <c r="AF2308" s="117"/>
      <c r="AG2308" s="117"/>
      <c r="AH2308" s="117"/>
      <c r="AI2308" s="117"/>
      <c r="AJ2308" s="117"/>
      <c r="AK2308" s="117"/>
      <c r="AL2308" s="117"/>
      <c r="AM2308" s="117"/>
      <c r="AN2308" s="117"/>
      <c r="AO2308" s="117"/>
      <c r="AP2308" s="117"/>
      <c r="AQ2308" s="117"/>
      <c r="AR2308" s="117"/>
      <c r="AS2308" s="117"/>
      <c r="AT2308" s="117"/>
      <c r="AU2308" s="117"/>
      <c r="AV2308" s="117"/>
      <c r="AW2308" s="117"/>
      <c r="AX2308" s="117"/>
      <c r="AY2308" s="117"/>
      <c r="AZ2308" s="117"/>
      <c r="BA2308" s="117"/>
      <c r="BB2308" s="117"/>
      <c r="BC2308" s="117"/>
      <c r="BD2308" s="117"/>
      <c r="BE2308" s="117"/>
      <c r="BF2308" s="117"/>
      <c r="BG2308" s="117"/>
    </row>
    <row r="2309" spans="1:59">
      <c r="A2309" s="117"/>
      <c r="B2309" s="117"/>
      <c r="C2309" s="117"/>
      <c r="D2309" s="117"/>
      <c r="E2309" s="117"/>
      <c r="F2309" s="117"/>
      <c r="G2309" s="117"/>
      <c r="H2309" s="117"/>
      <c r="I2309" s="117"/>
      <c r="J2309" s="118"/>
      <c r="K2309" s="118"/>
      <c r="L2309" s="118"/>
      <c r="M2309" s="118"/>
      <c r="N2309" s="117"/>
      <c r="O2309" s="117"/>
      <c r="P2309" s="117"/>
      <c r="Q2309" s="117"/>
      <c r="R2309" s="117"/>
      <c r="S2309" s="117"/>
      <c r="T2309" s="117"/>
      <c r="U2309" s="117"/>
      <c r="V2309" s="117"/>
      <c r="W2309" s="117"/>
      <c r="X2309" s="117"/>
      <c r="Y2309" s="117"/>
      <c r="Z2309" s="117"/>
      <c r="AA2309" s="117"/>
      <c r="AB2309" s="117"/>
      <c r="AC2309" s="117"/>
      <c r="AD2309" s="117"/>
      <c r="AE2309" s="117"/>
      <c r="AF2309" s="117"/>
      <c r="AG2309" s="117"/>
      <c r="AH2309" s="117"/>
      <c r="AI2309" s="117"/>
      <c r="AJ2309" s="117"/>
      <c r="AK2309" s="117"/>
      <c r="AL2309" s="117"/>
      <c r="AM2309" s="117"/>
      <c r="AN2309" s="117"/>
      <c r="AO2309" s="117"/>
      <c r="AP2309" s="117"/>
      <c r="AQ2309" s="117"/>
      <c r="AR2309" s="117"/>
      <c r="AS2309" s="117"/>
      <c r="AT2309" s="117"/>
      <c r="AU2309" s="117"/>
      <c r="AV2309" s="117"/>
      <c r="AW2309" s="117"/>
      <c r="AX2309" s="117"/>
      <c r="AY2309" s="117"/>
      <c r="AZ2309" s="117"/>
      <c r="BA2309" s="117"/>
      <c r="BB2309" s="117"/>
      <c r="BC2309" s="117"/>
      <c r="BD2309" s="117"/>
      <c r="BE2309" s="117"/>
      <c r="BF2309" s="117"/>
      <c r="BG2309" s="117"/>
    </row>
    <row r="2310" spans="1:59">
      <c r="A2310" s="117"/>
      <c r="B2310" s="117"/>
      <c r="C2310" s="117"/>
      <c r="D2310" s="117"/>
      <c r="E2310" s="117"/>
      <c r="F2310" s="117"/>
      <c r="G2310" s="117"/>
      <c r="H2310" s="117"/>
      <c r="I2310" s="117"/>
      <c r="J2310" s="118"/>
      <c r="K2310" s="118"/>
      <c r="L2310" s="118"/>
      <c r="M2310" s="118"/>
      <c r="N2310" s="117"/>
      <c r="O2310" s="117"/>
      <c r="P2310" s="117"/>
      <c r="Q2310" s="117"/>
      <c r="R2310" s="117"/>
      <c r="S2310" s="117"/>
      <c r="T2310" s="117"/>
      <c r="U2310" s="117"/>
      <c r="V2310" s="117"/>
      <c r="W2310" s="117"/>
      <c r="X2310" s="117"/>
      <c r="Y2310" s="117"/>
      <c r="Z2310" s="117"/>
      <c r="AA2310" s="117"/>
      <c r="AB2310" s="117"/>
      <c r="AC2310" s="117"/>
      <c r="AD2310" s="117"/>
      <c r="AE2310" s="117"/>
      <c r="AF2310" s="117"/>
      <c r="AG2310" s="117"/>
      <c r="AH2310" s="117"/>
      <c r="AI2310" s="117"/>
      <c r="AJ2310" s="117"/>
      <c r="AK2310" s="117"/>
      <c r="AL2310" s="117"/>
      <c r="AM2310" s="117"/>
      <c r="AN2310" s="117"/>
      <c r="AO2310" s="117"/>
      <c r="AP2310" s="117"/>
      <c r="AQ2310" s="117"/>
      <c r="AR2310" s="117"/>
      <c r="AS2310" s="117"/>
      <c r="AT2310" s="117"/>
      <c r="AU2310" s="117"/>
      <c r="AV2310" s="117"/>
      <c r="AW2310" s="117"/>
      <c r="AX2310" s="117"/>
      <c r="AY2310" s="117"/>
      <c r="AZ2310" s="117"/>
      <c r="BA2310" s="117"/>
      <c r="BB2310" s="117"/>
      <c r="BC2310" s="117"/>
      <c r="BD2310" s="117"/>
      <c r="BE2310" s="117"/>
      <c r="BF2310" s="117"/>
      <c r="BG2310" s="117"/>
    </row>
    <row r="2311" spans="1:59">
      <c r="A2311" s="117"/>
      <c r="B2311" s="117"/>
      <c r="C2311" s="117"/>
      <c r="D2311" s="117"/>
      <c r="E2311" s="117"/>
      <c r="F2311" s="117"/>
      <c r="G2311" s="117"/>
      <c r="H2311" s="117"/>
      <c r="I2311" s="117"/>
      <c r="J2311" s="118"/>
      <c r="K2311" s="118"/>
      <c r="L2311" s="118"/>
      <c r="M2311" s="118"/>
      <c r="N2311" s="117"/>
      <c r="O2311" s="117"/>
      <c r="P2311" s="117"/>
      <c r="Q2311" s="117"/>
      <c r="R2311" s="117"/>
      <c r="S2311" s="117"/>
      <c r="T2311" s="117"/>
      <c r="U2311" s="117"/>
      <c r="V2311" s="117"/>
      <c r="W2311" s="117"/>
      <c r="X2311" s="117"/>
      <c r="Y2311" s="117"/>
      <c r="Z2311" s="117"/>
      <c r="AA2311" s="117"/>
      <c r="AB2311" s="117"/>
      <c r="AC2311" s="117"/>
      <c r="AD2311" s="117"/>
      <c r="AE2311" s="117"/>
      <c r="AF2311" s="117"/>
      <c r="AG2311" s="117"/>
      <c r="AH2311" s="117"/>
      <c r="AI2311" s="117"/>
      <c r="AJ2311" s="117"/>
      <c r="AK2311" s="117"/>
      <c r="AL2311" s="117"/>
      <c r="AM2311" s="117"/>
      <c r="AN2311" s="117"/>
      <c r="AO2311" s="117"/>
      <c r="AP2311" s="117"/>
      <c r="AQ2311" s="117"/>
      <c r="AR2311" s="117"/>
      <c r="AS2311" s="117"/>
      <c r="AT2311" s="117"/>
      <c r="AU2311" s="117"/>
      <c r="AV2311" s="117"/>
      <c r="AW2311" s="117"/>
      <c r="AX2311" s="117"/>
      <c r="AY2311" s="117"/>
      <c r="AZ2311" s="117"/>
      <c r="BA2311" s="117"/>
      <c r="BB2311" s="117"/>
      <c r="BC2311" s="117"/>
      <c r="BD2311" s="117"/>
      <c r="BE2311" s="117"/>
      <c r="BF2311" s="117"/>
      <c r="BG2311" s="117"/>
    </row>
    <row r="2312" spans="1:59">
      <c r="A2312" s="117"/>
      <c r="B2312" s="117"/>
      <c r="C2312" s="117"/>
      <c r="D2312" s="117"/>
      <c r="E2312" s="117"/>
      <c r="F2312" s="117"/>
      <c r="G2312" s="117"/>
      <c r="H2312" s="117"/>
      <c r="I2312" s="117"/>
      <c r="J2312" s="118"/>
      <c r="K2312" s="118"/>
      <c r="L2312" s="118"/>
      <c r="M2312" s="118"/>
      <c r="N2312" s="117"/>
      <c r="O2312" s="117"/>
      <c r="P2312" s="117"/>
      <c r="Q2312" s="117"/>
      <c r="R2312" s="117"/>
      <c r="S2312" s="117"/>
      <c r="T2312" s="117"/>
      <c r="U2312" s="117"/>
      <c r="V2312" s="117"/>
      <c r="W2312" s="117"/>
      <c r="X2312" s="117"/>
      <c r="Y2312" s="117"/>
      <c r="Z2312" s="117"/>
      <c r="AA2312" s="117"/>
      <c r="AB2312" s="117"/>
      <c r="AC2312" s="117"/>
      <c r="AD2312" s="117"/>
      <c r="AE2312" s="117"/>
      <c r="AF2312" s="117"/>
      <c r="AG2312" s="117"/>
      <c r="AH2312" s="117"/>
      <c r="AI2312" s="117"/>
      <c r="AJ2312" s="117"/>
      <c r="AK2312" s="117"/>
      <c r="AL2312" s="117"/>
      <c r="AM2312" s="117"/>
      <c r="AN2312" s="117"/>
      <c r="AO2312" s="117"/>
      <c r="AP2312" s="117"/>
      <c r="AQ2312" s="117"/>
      <c r="AR2312" s="117"/>
      <c r="AS2312" s="117"/>
      <c r="AT2312" s="117"/>
      <c r="AU2312" s="117"/>
      <c r="AV2312" s="117"/>
      <c r="AW2312" s="117"/>
      <c r="AX2312" s="117"/>
      <c r="AY2312" s="117"/>
      <c r="AZ2312" s="117"/>
      <c r="BA2312" s="117"/>
      <c r="BB2312" s="117"/>
      <c r="BC2312" s="117"/>
      <c r="BD2312" s="117"/>
      <c r="BE2312" s="117"/>
      <c r="BF2312" s="117"/>
      <c r="BG2312" s="117"/>
    </row>
    <row r="2313" spans="1:59">
      <c r="A2313" s="117"/>
      <c r="B2313" s="117"/>
      <c r="C2313" s="117"/>
      <c r="D2313" s="117"/>
      <c r="E2313" s="117"/>
      <c r="F2313" s="117"/>
      <c r="G2313" s="117"/>
      <c r="H2313" s="117"/>
      <c r="I2313" s="117"/>
      <c r="J2313" s="118"/>
      <c r="K2313" s="118"/>
      <c r="L2313" s="118"/>
      <c r="M2313" s="118"/>
      <c r="N2313" s="117"/>
      <c r="O2313" s="117"/>
      <c r="P2313" s="117"/>
      <c r="Q2313" s="117"/>
      <c r="R2313" s="117"/>
      <c r="S2313" s="117"/>
      <c r="T2313" s="117"/>
      <c r="U2313" s="117"/>
      <c r="V2313" s="117"/>
      <c r="W2313" s="117"/>
      <c r="X2313" s="117"/>
      <c r="Y2313" s="117"/>
      <c r="Z2313" s="117"/>
      <c r="AA2313" s="117"/>
      <c r="AB2313" s="117"/>
      <c r="AC2313" s="117"/>
      <c r="AD2313" s="117"/>
      <c r="AE2313" s="117"/>
      <c r="AF2313" s="117"/>
      <c r="AG2313" s="117"/>
      <c r="AH2313" s="117"/>
      <c r="AI2313" s="117"/>
      <c r="AJ2313" s="117"/>
      <c r="AK2313" s="117"/>
      <c r="AL2313" s="117"/>
      <c r="AM2313" s="117"/>
      <c r="AN2313" s="117"/>
      <c r="AO2313" s="117"/>
      <c r="AP2313" s="117"/>
      <c r="AQ2313" s="117"/>
      <c r="AR2313" s="117"/>
      <c r="AS2313" s="117"/>
      <c r="AT2313" s="117"/>
      <c r="AU2313" s="117"/>
      <c r="AV2313" s="117"/>
      <c r="AW2313" s="117"/>
      <c r="AX2313" s="117"/>
      <c r="AY2313" s="117"/>
      <c r="AZ2313" s="117"/>
      <c r="BA2313" s="117"/>
      <c r="BB2313" s="117"/>
      <c r="BC2313" s="117"/>
      <c r="BD2313" s="117"/>
      <c r="BE2313" s="117"/>
      <c r="BF2313" s="117"/>
      <c r="BG2313" s="117"/>
    </row>
    <row r="2314" spans="1:59">
      <c r="A2314" s="117"/>
      <c r="B2314" s="117"/>
      <c r="C2314" s="117"/>
      <c r="D2314" s="117"/>
      <c r="E2314" s="117"/>
      <c r="F2314" s="117"/>
      <c r="G2314" s="117"/>
      <c r="H2314" s="117"/>
      <c r="I2314" s="117"/>
      <c r="J2314" s="118"/>
      <c r="K2314" s="118"/>
      <c r="L2314" s="118"/>
      <c r="M2314" s="118"/>
      <c r="N2314" s="117"/>
      <c r="O2314" s="117"/>
      <c r="P2314" s="117"/>
      <c r="Q2314" s="117"/>
      <c r="R2314" s="117"/>
      <c r="S2314" s="117"/>
      <c r="T2314" s="117"/>
      <c r="U2314" s="117"/>
      <c r="V2314" s="117"/>
      <c r="W2314" s="117"/>
      <c r="X2314" s="117"/>
      <c r="Y2314" s="117"/>
      <c r="Z2314" s="117"/>
      <c r="AA2314" s="117"/>
      <c r="AB2314" s="117"/>
      <c r="AC2314" s="117"/>
      <c r="AD2314" s="117"/>
      <c r="AE2314" s="117"/>
      <c r="AF2314" s="117"/>
      <c r="AG2314" s="117"/>
      <c r="AH2314" s="117"/>
      <c r="AI2314" s="117"/>
      <c r="AJ2314" s="117"/>
      <c r="AK2314" s="117"/>
      <c r="AL2314" s="117"/>
      <c r="AM2314" s="117"/>
      <c r="AN2314" s="117"/>
      <c r="AO2314" s="117"/>
      <c r="AP2314" s="117"/>
      <c r="AQ2314" s="117"/>
      <c r="AR2314" s="117"/>
      <c r="AS2314" s="117"/>
      <c r="AT2314" s="117"/>
      <c r="AU2314" s="117"/>
      <c r="AV2314" s="117"/>
      <c r="AW2314" s="117"/>
      <c r="AX2314" s="117"/>
      <c r="AY2314" s="117"/>
      <c r="AZ2314" s="117"/>
      <c r="BA2314" s="117"/>
      <c r="BB2314" s="117"/>
      <c r="BC2314" s="117"/>
      <c r="BD2314" s="117"/>
      <c r="BE2314" s="117"/>
      <c r="BF2314" s="117"/>
      <c r="BG2314" s="117"/>
    </row>
    <row r="2315" spans="1:59">
      <c r="A2315" s="117"/>
      <c r="B2315" s="117"/>
      <c r="C2315" s="117"/>
      <c r="D2315" s="117"/>
      <c r="E2315" s="117"/>
      <c r="F2315" s="117"/>
      <c r="G2315" s="117"/>
      <c r="H2315" s="117"/>
      <c r="I2315" s="117"/>
      <c r="J2315" s="118"/>
      <c r="K2315" s="118"/>
      <c r="L2315" s="118"/>
      <c r="M2315" s="118"/>
      <c r="N2315" s="117"/>
      <c r="O2315" s="117"/>
      <c r="P2315" s="117"/>
      <c r="Q2315" s="117"/>
      <c r="R2315" s="117"/>
      <c r="S2315" s="117"/>
      <c r="T2315" s="117"/>
      <c r="U2315" s="117"/>
      <c r="V2315" s="117"/>
      <c r="W2315" s="117"/>
      <c r="X2315" s="117"/>
      <c r="Y2315" s="117"/>
      <c r="Z2315" s="117"/>
      <c r="AA2315" s="117"/>
      <c r="AB2315" s="117"/>
      <c r="AC2315" s="117"/>
      <c r="AD2315" s="117"/>
      <c r="AE2315" s="117"/>
      <c r="AF2315" s="117"/>
      <c r="AG2315" s="117"/>
      <c r="AH2315" s="117"/>
      <c r="AI2315" s="117"/>
      <c r="AJ2315" s="117"/>
      <c r="AK2315" s="117"/>
      <c r="AL2315" s="117"/>
      <c r="AM2315" s="117"/>
      <c r="AN2315" s="117"/>
      <c r="AO2315" s="117"/>
      <c r="AP2315" s="117"/>
      <c r="AQ2315" s="117"/>
      <c r="AR2315" s="117"/>
      <c r="AS2315" s="117"/>
      <c r="AT2315" s="117"/>
      <c r="AU2315" s="117"/>
      <c r="AV2315" s="117"/>
      <c r="AW2315" s="117"/>
      <c r="AX2315" s="117"/>
      <c r="AY2315" s="117"/>
      <c r="AZ2315" s="117"/>
      <c r="BA2315" s="117"/>
      <c r="BB2315" s="117"/>
      <c r="BC2315" s="117"/>
      <c r="BD2315" s="117"/>
      <c r="BE2315" s="117"/>
      <c r="BF2315" s="117"/>
      <c r="BG2315" s="117"/>
    </row>
    <row r="2316" spans="1:59">
      <c r="A2316" s="117"/>
      <c r="B2316" s="117"/>
      <c r="C2316" s="117"/>
      <c r="D2316" s="117"/>
      <c r="E2316" s="117"/>
      <c r="F2316" s="117"/>
      <c r="G2316" s="117"/>
      <c r="H2316" s="117"/>
      <c r="I2316" s="117"/>
      <c r="J2316" s="118"/>
      <c r="K2316" s="118"/>
      <c r="L2316" s="118"/>
      <c r="M2316" s="118"/>
      <c r="N2316" s="117"/>
      <c r="O2316" s="117"/>
      <c r="P2316" s="117"/>
      <c r="Q2316" s="117"/>
      <c r="R2316" s="117"/>
      <c r="S2316" s="117"/>
      <c r="T2316" s="117"/>
      <c r="U2316" s="117"/>
      <c r="V2316" s="117"/>
      <c r="W2316" s="117"/>
      <c r="X2316" s="117"/>
      <c r="Y2316" s="117"/>
      <c r="Z2316" s="117"/>
      <c r="AA2316" s="117"/>
      <c r="AB2316" s="117"/>
      <c r="AC2316" s="117"/>
      <c r="AD2316" s="117"/>
      <c r="AE2316" s="117"/>
      <c r="AF2316" s="117"/>
      <c r="AG2316" s="117"/>
      <c r="AH2316" s="117"/>
      <c r="AI2316" s="117"/>
      <c r="AJ2316" s="117"/>
      <c r="AK2316" s="117"/>
      <c r="AL2316" s="117"/>
      <c r="AM2316" s="117"/>
      <c r="AN2316" s="117"/>
      <c r="AO2316" s="117"/>
      <c r="AP2316" s="117"/>
      <c r="AQ2316" s="117"/>
      <c r="AR2316" s="117"/>
      <c r="AS2316" s="117"/>
      <c r="AT2316" s="117"/>
      <c r="AU2316" s="117"/>
      <c r="AV2316" s="117"/>
      <c r="AW2316" s="117"/>
      <c r="AX2316" s="117"/>
      <c r="AY2316" s="117"/>
      <c r="AZ2316" s="117"/>
      <c r="BA2316" s="117"/>
      <c r="BB2316" s="117"/>
      <c r="BC2316" s="117"/>
      <c r="BD2316" s="117"/>
      <c r="BE2316" s="117"/>
      <c r="BF2316" s="117"/>
      <c r="BG2316" s="117"/>
    </row>
    <row r="2317" spans="1:59">
      <c r="A2317" s="117"/>
      <c r="B2317" s="117"/>
      <c r="C2317" s="117"/>
      <c r="D2317" s="117"/>
      <c r="E2317" s="117"/>
      <c r="F2317" s="117"/>
      <c r="G2317" s="117"/>
      <c r="H2317" s="117"/>
      <c r="I2317" s="117"/>
      <c r="J2317" s="118"/>
      <c r="K2317" s="118"/>
      <c r="L2317" s="118"/>
      <c r="M2317" s="118"/>
      <c r="N2317" s="117"/>
      <c r="O2317" s="117"/>
      <c r="P2317" s="117"/>
      <c r="Q2317" s="117"/>
      <c r="R2317" s="117"/>
      <c r="S2317" s="117"/>
      <c r="T2317" s="117"/>
      <c r="U2317" s="117"/>
      <c r="V2317" s="117"/>
      <c r="W2317" s="117"/>
      <c r="X2317" s="117"/>
      <c r="Y2317" s="117"/>
      <c r="Z2317" s="117"/>
      <c r="AA2317" s="117"/>
      <c r="AB2317" s="117"/>
      <c r="AC2317" s="117"/>
      <c r="AD2317" s="117"/>
      <c r="AE2317" s="117"/>
      <c r="AF2317" s="117"/>
      <c r="AG2317" s="117"/>
      <c r="AH2317" s="117"/>
      <c r="AI2317" s="117"/>
      <c r="AJ2317" s="117"/>
      <c r="AK2317" s="117"/>
      <c r="AL2317" s="117"/>
      <c r="AM2317" s="117"/>
      <c r="AN2317" s="117"/>
      <c r="AO2317" s="117"/>
      <c r="AP2317" s="117"/>
      <c r="AQ2317" s="117"/>
      <c r="AR2317" s="117"/>
      <c r="AS2317" s="117"/>
      <c r="AT2317" s="117"/>
      <c r="AU2317" s="117"/>
      <c r="AV2317" s="117"/>
      <c r="AW2317" s="117"/>
      <c r="AX2317" s="117"/>
      <c r="AY2317" s="117"/>
      <c r="AZ2317" s="117"/>
      <c r="BA2317" s="117"/>
      <c r="BB2317" s="117"/>
      <c r="BC2317" s="117"/>
      <c r="BD2317" s="117"/>
      <c r="BE2317" s="117"/>
      <c r="BF2317" s="117"/>
      <c r="BG2317" s="117"/>
    </row>
    <row r="2318" spans="1:59">
      <c r="A2318" s="117"/>
      <c r="B2318" s="117"/>
      <c r="C2318" s="117"/>
      <c r="D2318" s="117"/>
      <c r="E2318" s="117"/>
      <c r="F2318" s="117"/>
      <c r="G2318" s="117"/>
      <c r="H2318" s="117"/>
      <c r="I2318" s="117"/>
      <c r="J2318" s="118"/>
      <c r="K2318" s="118"/>
      <c r="L2318" s="118"/>
      <c r="M2318" s="118"/>
      <c r="N2318" s="117"/>
      <c r="O2318" s="117"/>
      <c r="P2318" s="117"/>
      <c r="Q2318" s="117"/>
      <c r="R2318" s="117"/>
      <c r="S2318" s="117"/>
      <c r="T2318" s="117"/>
      <c r="U2318" s="117"/>
      <c r="V2318" s="117"/>
      <c r="W2318" s="117"/>
      <c r="X2318" s="117"/>
      <c r="Y2318" s="117"/>
      <c r="Z2318" s="117"/>
      <c r="AA2318" s="117"/>
      <c r="AB2318" s="117"/>
      <c r="AC2318" s="117"/>
      <c r="AD2318" s="117"/>
      <c r="AE2318" s="117"/>
      <c r="AF2318" s="117"/>
      <c r="AG2318" s="117"/>
      <c r="AH2318" s="117"/>
      <c r="AI2318" s="117"/>
      <c r="AJ2318" s="117"/>
      <c r="AK2318" s="117"/>
      <c r="AL2318" s="117"/>
      <c r="AM2318" s="117"/>
      <c r="AN2318" s="117"/>
      <c r="AO2318" s="117"/>
      <c r="AP2318" s="117"/>
      <c r="AQ2318" s="117"/>
      <c r="AR2318" s="117"/>
      <c r="AS2318" s="117"/>
      <c r="AT2318" s="117"/>
      <c r="AU2318" s="117"/>
      <c r="AV2318" s="117"/>
      <c r="AW2318" s="117"/>
      <c r="AX2318" s="117"/>
      <c r="AY2318" s="117"/>
      <c r="AZ2318" s="117"/>
      <c r="BA2318" s="117"/>
      <c r="BB2318" s="117"/>
      <c r="BC2318" s="117"/>
      <c r="BD2318" s="117"/>
      <c r="BE2318" s="117"/>
      <c r="BF2318" s="117"/>
      <c r="BG2318" s="117"/>
    </row>
    <row r="2319" spans="1:59">
      <c r="A2319" s="117"/>
      <c r="B2319" s="117"/>
      <c r="C2319" s="117"/>
      <c r="D2319" s="117"/>
      <c r="E2319" s="117"/>
      <c r="F2319" s="117"/>
      <c r="G2319" s="117"/>
      <c r="H2319" s="117"/>
      <c r="I2319" s="117"/>
      <c r="J2319" s="118"/>
      <c r="K2319" s="118"/>
      <c r="L2319" s="118"/>
      <c r="M2319" s="118"/>
      <c r="N2319" s="117"/>
      <c r="O2319" s="117"/>
      <c r="P2319" s="117"/>
      <c r="Q2319" s="117"/>
      <c r="R2319" s="117"/>
      <c r="S2319" s="117"/>
      <c r="T2319" s="117"/>
      <c r="U2319" s="117"/>
      <c r="V2319" s="117"/>
      <c r="W2319" s="117"/>
      <c r="X2319" s="117"/>
      <c r="Y2319" s="117"/>
      <c r="Z2319" s="117"/>
      <c r="AA2319" s="117"/>
      <c r="AB2319" s="117"/>
      <c r="AC2319" s="117"/>
      <c r="AD2319" s="117"/>
      <c r="AE2319" s="117"/>
      <c r="AF2319" s="117"/>
      <c r="AG2319" s="117"/>
      <c r="AH2319" s="117"/>
      <c r="AI2319" s="117"/>
      <c r="AJ2319" s="117"/>
      <c r="AK2319" s="117"/>
      <c r="AL2319" s="117"/>
      <c r="AM2319" s="117"/>
      <c r="AN2319" s="117"/>
      <c r="AO2319" s="117"/>
      <c r="AP2319" s="117"/>
      <c r="AQ2319" s="117"/>
      <c r="AR2319" s="117"/>
      <c r="AS2319" s="117"/>
      <c r="AT2319" s="117"/>
      <c r="AU2319" s="117"/>
      <c r="AV2319" s="117"/>
      <c r="AW2319" s="117"/>
      <c r="AX2319" s="117"/>
      <c r="AY2319" s="117"/>
      <c r="AZ2319" s="117"/>
      <c r="BA2319" s="117"/>
      <c r="BB2319" s="117"/>
      <c r="BC2319" s="117"/>
      <c r="BD2319" s="117"/>
      <c r="BE2319" s="117"/>
      <c r="BF2319" s="117"/>
      <c r="BG2319" s="117"/>
    </row>
    <row r="2320" spans="1:59">
      <c r="A2320" s="117"/>
      <c r="B2320" s="117"/>
      <c r="C2320" s="117"/>
      <c r="D2320" s="117"/>
      <c r="E2320" s="117"/>
      <c r="F2320" s="117"/>
      <c r="G2320" s="117"/>
      <c r="H2320" s="117"/>
      <c r="I2320" s="117"/>
      <c r="J2320" s="118"/>
      <c r="K2320" s="118"/>
      <c r="L2320" s="118"/>
      <c r="M2320" s="118"/>
      <c r="N2320" s="117"/>
      <c r="O2320" s="117"/>
      <c r="P2320" s="117"/>
      <c r="Q2320" s="117"/>
      <c r="R2320" s="117"/>
      <c r="S2320" s="117"/>
      <c r="T2320" s="117"/>
      <c r="U2320" s="117"/>
      <c r="V2320" s="117"/>
      <c r="W2320" s="117"/>
      <c r="X2320" s="117"/>
      <c r="Y2320" s="117"/>
      <c r="Z2320" s="117"/>
      <c r="AA2320" s="117"/>
      <c r="AB2320" s="117"/>
      <c r="AC2320" s="117"/>
      <c r="AD2320" s="117"/>
      <c r="AE2320" s="117"/>
      <c r="AF2320" s="117"/>
      <c r="AG2320" s="117"/>
      <c r="AH2320" s="117"/>
      <c r="AI2320" s="117"/>
      <c r="AJ2320" s="117"/>
      <c r="AK2320" s="117"/>
      <c r="AL2320" s="117"/>
      <c r="AM2320" s="117"/>
      <c r="AN2320" s="117"/>
      <c r="AO2320" s="117"/>
      <c r="AP2320" s="117"/>
      <c r="AQ2320" s="117"/>
      <c r="AR2320" s="117"/>
      <c r="AS2320" s="117"/>
      <c r="AT2320" s="117"/>
      <c r="AU2320" s="117"/>
      <c r="AV2320" s="117"/>
      <c r="AW2320" s="117"/>
      <c r="AX2320" s="117"/>
      <c r="AY2320" s="117"/>
      <c r="AZ2320" s="117"/>
      <c r="BA2320" s="117"/>
      <c r="BB2320" s="117"/>
      <c r="BC2320" s="117"/>
      <c r="BD2320" s="117"/>
      <c r="BE2320" s="117"/>
      <c r="BF2320" s="117"/>
      <c r="BG2320" s="117"/>
    </row>
    <row r="2321" spans="1:59">
      <c r="A2321" s="117"/>
      <c r="B2321" s="117"/>
      <c r="C2321" s="117"/>
      <c r="D2321" s="117"/>
      <c r="E2321" s="117"/>
      <c r="F2321" s="117"/>
      <c r="G2321" s="117"/>
      <c r="H2321" s="117"/>
      <c r="I2321" s="117"/>
      <c r="J2321" s="118"/>
      <c r="K2321" s="118"/>
      <c r="L2321" s="118"/>
      <c r="M2321" s="118"/>
      <c r="N2321" s="117"/>
      <c r="O2321" s="117"/>
      <c r="P2321" s="117"/>
      <c r="Q2321" s="117"/>
      <c r="R2321" s="117"/>
      <c r="S2321" s="117"/>
      <c r="T2321" s="117"/>
      <c r="U2321" s="117"/>
      <c r="V2321" s="117"/>
      <c r="W2321" s="117"/>
      <c r="X2321" s="117"/>
      <c r="Y2321" s="117"/>
      <c r="Z2321" s="117"/>
      <c r="AA2321" s="117"/>
      <c r="AB2321" s="117"/>
      <c r="AC2321" s="117"/>
      <c r="AD2321" s="117"/>
      <c r="AE2321" s="117"/>
      <c r="AF2321" s="117"/>
      <c r="AG2321" s="117"/>
      <c r="AH2321" s="117"/>
      <c r="AI2321" s="117"/>
      <c r="AJ2321" s="117"/>
      <c r="AK2321" s="117"/>
      <c r="AL2321" s="117"/>
      <c r="AM2321" s="117"/>
      <c r="AN2321" s="117"/>
      <c r="AO2321" s="117"/>
      <c r="AP2321" s="117"/>
      <c r="AQ2321" s="117"/>
      <c r="AR2321" s="117"/>
      <c r="AS2321" s="117"/>
      <c r="AT2321" s="117"/>
      <c r="AU2321" s="117"/>
      <c r="AV2321" s="117"/>
      <c r="AW2321" s="117"/>
      <c r="AX2321" s="117"/>
      <c r="AY2321" s="117"/>
      <c r="AZ2321" s="117"/>
      <c r="BA2321" s="117"/>
      <c r="BB2321" s="117"/>
      <c r="BC2321" s="117"/>
      <c r="BD2321" s="117"/>
      <c r="BE2321" s="117"/>
      <c r="BF2321" s="117"/>
      <c r="BG2321" s="117"/>
    </row>
    <row r="2322" spans="1:59">
      <c r="A2322" s="117"/>
      <c r="B2322" s="117"/>
      <c r="C2322" s="117"/>
      <c r="D2322" s="117"/>
      <c r="E2322" s="117"/>
      <c r="F2322" s="117"/>
      <c r="G2322" s="117"/>
      <c r="H2322" s="117"/>
      <c r="I2322" s="117"/>
      <c r="J2322" s="118"/>
      <c r="K2322" s="118"/>
      <c r="L2322" s="118"/>
      <c r="M2322" s="118"/>
      <c r="N2322" s="117"/>
      <c r="O2322" s="117"/>
      <c r="P2322" s="117"/>
      <c r="Q2322" s="117"/>
      <c r="R2322" s="117"/>
      <c r="S2322" s="117"/>
      <c r="T2322" s="117"/>
      <c r="U2322" s="117"/>
      <c r="V2322" s="117"/>
      <c r="W2322" s="117"/>
      <c r="X2322" s="117"/>
      <c r="Y2322" s="117"/>
      <c r="Z2322" s="117"/>
      <c r="AA2322" s="117"/>
      <c r="AB2322" s="117"/>
      <c r="AC2322" s="117"/>
      <c r="AD2322" s="117"/>
      <c r="AE2322" s="117"/>
      <c r="AF2322" s="117"/>
      <c r="AG2322" s="117"/>
      <c r="AH2322" s="117"/>
      <c r="AI2322" s="117"/>
      <c r="AJ2322" s="117"/>
      <c r="AK2322" s="117"/>
      <c r="AL2322" s="117"/>
      <c r="AM2322" s="117"/>
      <c r="AN2322" s="117"/>
      <c r="AO2322" s="117"/>
      <c r="AP2322" s="117"/>
      <c r="AQ2322" s="117"/>
      <c r="AR2322" s="117"/>
      <c r="AS2322" s="117"/>
      <c r="AT2322" s="117"/>
      <c r="AU2322" s="117"/>
      <c r="AV2322" s="117"/>
      <c r="AW2322" s="117"/>
      <c r="AX2322" s="117"/>
      <c r="AY2322" s="117"/>
      <c r="AZ2322" s="117"/>
      <c r="BA2322" s="117"/>
      <c r="BB2322" s="117"/>
      <c r="BC2322" s="117"/>
      <c r="BD2322" s="117"/>
      <c r="BE2322" s="117"/>
      <c r="BF2322" s="117"/>
      <c r="BG2322" s="117"/>
    </row>
    <row r="2323" spans="1:59">
      <c r="A2323" s="117"/>
      <c r="B2323" s="117"/>
      <c r="C2323" s="117"/>
      <c r="D2323" s="117"/>
      <c r="E2323" s="117"/>
      <c r="F2323" s="117"/>
      <c r="G2323" s="117"/>
      <c r="H2323" s="117"/>
      <c r="I2323" s="117"/>
      <c r="J2323" s="118"/>
      <c r="K2323" s="118"/>
      <c r="L2323" s="118"/>
      <c r="M2323" s="118"/>
      <c r="N2323" s="117"/>
      <c r="O2323" s="117"/>
      <c r="P2323" s="117"/>
      <c r="Q2323" s="117"/>
      <c r="R2323" s="117"/>
      <c r="S2323" s="117"/>
      <c r="T2323" s="117"/>
      <c r="U2323" s="117"/>
      <c r="V2323" s="117"/>
      <c r="W2323" s="117"/>
      <c r="X2323" s="117"/>
      <c r="Y2323" s="117"/>
      <c r="Z2323" s="117"/>
      <c r="AA2323" s="117"/>
      <c r="AB2323" s="117"/>
      <c r="AC2323" s="117"/>
      <c r="AD2323" s="117"/>
      <c r="AE2323" s="117"/>
      <c r="AF2323" s="117"/>
      <c r="AG2323" s="117"/>
      <c r="AH2323" s="117"/>
      <c r="AI2323" s="117"/>
      <c r="AJ2323" s="117"/>
      <c r="AK2323" s="117"/>
      <c r="AL2323" s="117"/>
      <c r="AM2323" s="117"/>
      <c r="AN2323" s="117"/>
      <c r="AO2323" s="117"/>
      <c r="AP2323" s="117"/>
      <c r="AQ2323" s="117"/>
      <c r="AR2323" s="117"/>
      <c r="AS2323" s="117"/>
      <c r="AT2323" s="117"/>
      <c r="AU2323" s="117"/>
      <c r="AV2323" s="117"/>
      <c r="AW2323" s="117"/>
      <c r="AX2323" s="117"/>
      <c r="AY2323" s="117"/>
      <c r="AZ2323" s="117"/>
      <c r="BA2323" s="117"/>
      <c r="BB2323" s="117"/>
      <c r="BC2323" s="117"/>
      <c r="BD2323" s="117"/>
      <c r="BE2323" s="117"/>
      <c r="BF2323" s="117"/>
      <c r="BG2323" s="117"/>
    </row>
    <row r="2324" spans="1:59">
      <c r="A2324" s="117"/>
      <c r="B2324" s="117"/>
      <c r="C2324" s="117"/>
      <c r="D2324" s="117"/>
      <c r="E2324" s="117"/>
      <c r="F2324" s="117"/>
      <c r="G2324" s="117"/>
      <c r="H2324" s="117"/>
      <c r="I2324" s="117"/>
      <c r="J2324" s="118"/>
      <c r="K2324" s="118"/>
      <c r="L2324" s="118"/>
      <c r="M2324" s="118"/>
      <c r="N2324" s="117"/>
      <c r="O2324" s="117"/>
      <c r="P2324" s="117"/>
      <c r="Q2324" s="117"/>
      <c r="R2324" s="117"/>
      <c r="S2324" s="117"/>
      <c r="T2324" s="117"/>
      <c r="U2324" s="117"/>
      <c r="V2324" s="117"/>
      <c r="W2324" s="117"/>
      <c r="X2324" s="117"/>
      <c r="Y2324" s="117"/>
      <c r="Z2324" s="117"/>
      <c r="AA2324" s="117"/>
      <c r="AB2324" s="117"/>
      <c r="AC2324" s="117"/>
      <c r="AD2324" s="117"/>
      <c r="AE2324" s="117"/>
      <c r="AF2324" s="117"/>
      <c r="AG2324" s="117"/>
      <c r="AH2324" s="117"/>
      <c r="AI2324" s="117"/>
      <c r="AJ2324" s="117"/>
      <c r="AK2324" s="117"/>
      <c r="AL2324" s="117"/>
      <c r="AM2324" s="117"/>
      <c r="AN2324" s="117"/>
      <c r="AO2324" s="117"/>
      <c r="AP2324" s="117"/>
      <c r="AQ2324" s="117"/>
      <c r="AR2324" s="117"/>
      <c r="AS2324" s="117"/>
      <c r="AT2324" s="117"/>
      <c r="AU2324" s="117"/>
      <c r="AV2324" s="117"/>
      <c r="AW2324" s="117"/>
      <c r="AX2324" s="117"/>
      <c r="AY2324" s="117"/>
      <c r="AZ2324" s="117"/>
      <c r="BA2324" s="117"/>
      <c r="BB2324" s="117"/>
      <c r="BC2324" s="117"/>
      <c r="BD2324" s="117"/>
      <c r="BE2324" s="117"/>
      <c r="BF2324" s="117"/>
      <c r="BG2324" s="117"/>
    </row>
    <row r="2325" spans="1:59">
      <c r="A2325" s="117"/>
      <c r="B2325" s="117"/>
      <c r="C2325" s="117"/>
      <c r="D2325" s="117"/>
      <c r="E2325" s="117"/>
      <c r="F2325" s="117"/>
      <c r="G2325" s="117"/>
      <c r="H2325" s="117"/>
      <c r="I2325" s="117"/>
      <c r="J2325" s="118"/>
      <c r="K2325" s="118"/>
      <c r="L2325" s="118"/>
      <c r="M2325" s="118"/>
      <c r="N2325" s="117"/>
      <c r="O2325" s="117"/>
      <c r="P2325" s="117"/>
      <c r="Q2325" s="117"/>
      <c r="R2325" s="117"/>
      <c r="S2325" s="117"/>
      <c r="T2325" s="117"/>
      <c r="U2325" s="117"/>
      <c r="V2325" s="117"/>
      <c r="W2325" s="117"/>
      <c r="X2325" s="117"/>
      <c r="Y2325" s="117"/>
      <c r="Z2325" s="117"/>
      <c r="AA2325" s="117"/>
      <c r="AB2325" s="117"/>
      <c r="AC2325" s="117"/>
      <c r="AD2325" s="117"/>
      <c r="AE2325" s="117"/>
      <c r="AF2325" s="117"/>
      <c r="AG2325" s="117"/>
      <c r="AH2325" s="117"/>
      <c r="AI2325" s="117"/>
      <c r="AJ2325" s="117"/>
      <c r="AK2325" s="117"/>
      <c r="AL2325" s="117"/>
      <c r="AM2325" s="117"/>
      <c r="AN2325" s="117"/>
      <c r="AO2325" s="117"/>
      <c r="AP2325" s="117"/>
      <c r="AQ2325" s="117"/>
      <c r="AR2325" s="117"/>
      <c r="AS2325" s="117"/>
      <c r="AT2325" s="117"/>
      <c r="AU2325" s="117"/>
      <c r="AV2325" s="117"/>
      <c r="AW2325" s="117"/>
      <c r="AX2325" s="117"/>
      <c r="AY2325" s="117"/>
      <c r="AZ2325" s="117"/>
      <c r="BA2325" s="117"/>
      <c r="BB2325" s="117"/>
      <c r="BC2325" s="117"/>
      <c r="BD2325" s="117"/>
      <c r="BE2325" s="117"/>
      <c r="BF2325" s="117"/>
      <c r="BG2325" s="117"/>
    </row>
    <row r="2326" spans="1:59">
      <c r="A2326" s="117"/>
      <c r="B2326" s="117"/>
      <c r="C2326" s="117"/>
      <c r="D2326" s="117"/>
      <c r="E2326" s="117"/>
      <c r="F2326" s="117"/>
      <c r="G2326" s="117"/>
      <c r="H2326" s="117"/>
      <c r="I2326" s="117"/>
      <c r="J2326" s="118"/>
      <c r="K2326" s="118"/>
      <c r="L2326" s="118"/>
      <c r="M2326" s="118"/>
      <c r="N2326" s="117"/>
      <c r="O2326" s="117"/>
      <c r="P2326" s="117"/>
      <c r="Q2326" s="117"/>
      <c r="R2326" s="117"/>
      <c r="S2326" s="117"/>
      <c r="T2326" s="117"/>
      <c r="U2326" s="117"/>
      <c r="V2326" s="117"/>
      <c r="W2326" s="117"/>
      <c r="X2326" s="117"/>
      <c r="Y2326" s="117"/>
      <c r="Z2326" s="117"/>
      <c r="AA2326" s="117"/>
      <c r="AB2326" s="117"/>
      <c r="AC2326" s="117"/>
      <c r="AD2326" s="117"/>
      <c r="AE2326" s="117"/>
      <c r="AF2326" s="117"/>
      <c r="AG2326" s="117"/>
      <c r="AH2326" s="117"/>
      <c r="AI2326" s="117"/>
      <c r="AJ2326" s="117"/>
      <c r="AK2326" s="117"/>
      <c r="AL2326" s="117"/>
      <c r="AM2326" s="117"/>
      <c r="AN2326" s="117"/>
      <c r="AO2326" s="117"/>
      <c r="AP2326" s="117"/>
      <c r="AQ2326" s="117"/>
      <c r="AR2326" s="117"/>
      <c r="AS2326" s="117"/>
      <c r="AT2326" s="117"/>
      <c r="AU2326" s="117"/>
      <c r="AV2326" s="117"/>
      <c r="AW2326" s="117"/>
      <c r="AX2326" s="117"/>
      <c r="AY2326" s="117"/>
      <c r="AZ2326" s="117"/>
      <c r="BA2326" s="117"/>
      <c r="BB2326" s="117"/>
      <c r="BC2326" s="117"/>
      <c r="BD2326" s="117"/>
      <c r="BE2326" s="117"/>
      <c r="BF2326" s="117"/>
      <c r="BG2326" s="117"/>
    </row>
    <row r="2327" spans="1:59">
      <c r="A2327" s="117"/>
      <c r="B2327" s="117"/>
      <c r="C2327" s="117"/>
      <c r="D2327" s="117"/>
      <c r="E2327" s="117"/>
      <c r="F2327" s="117"/>
      <c r="G2327" s="117"/>
      <c r="H2327" s="117"/>
      <c r="I2327" s="117"/>
      <c r="J2327" s="118"/>
      <c r="K2327" s="118"/>
      <c r="L2327" s="118"/>
      <c r="M2327" s="118"/>
      <c r="N2327" s="117"/>
      <c r="O2327" s="117"/>
      <c r="P2327" s="117"/>
      <c r="Q2327" s="117"/>
      <c r="R2327" s="117"/>
      <c r="S2327" s="117"/>
      <c r="T2327" s="117"/>
      <c r="U2327" s="117"/>
      <c r="V2327" s="117"/>
      <c r="W2327" s="117"/>
      <c r="X2327" s="117"/>
      <c r="Y2327" s="117"/>
      <c r="Z2327" s="117"/>
      <c r="AA2327" s="117"/>
      <c r="AB2327" s="117"/>
      <c r="AC2327" s="117"/>
      <c r="AD2327" s="117"/>
      <c r="AE2327" s="117"/>
      <c r="AF2327" s="117"/>
      <c r="AG2327" s="117"/>
      <c r="AH2327" s="117"/>
      <c r="AI2327" s="117"/>
      <c r="AJ2327" s="117"/>
      <c r="AK2327" s="117"/>
      <c r="AL2327" s="117"/>
      <c r="AM2327" s="117"/>
      <c r="AN2327" s="117"/>
      <c r="AO2327" s="117"/>
      <c r="AP2327" s="117"/>
      <c r="AQ2327" s="117"/>
      <c r="AR2327" s="117"/>
      <c r="AS2327" s="117"/>
      <c r="AT2327" s="117"/>
      <c r="AU2327" s="117"/>
      <c r="AV2327" s="117"/>
      <c r="AW2327" s="117"/>
      <c r="AX2327" s="117"/>
      <c r="AY2327" s="117"/>
      <c r="AZ2327" s="117"/>
      <c r="BA2327" s="117"/>
      <c r="BB2327" s="117"/>
      <c r="BC2327" s="117"/>
      <c r="BD2327" s="117"/>
      <c r="BE2327" s="117"/>
      <c r="BF2327" s="117"/>
      <c r="BG2327" s="117"/>
    </row>
    <row r="2328" spans="1:59">
      <c r="A2328" s="117"/>
      <c r="B2328" s="117"/>
      <c r="C2328" s="117"/>
      <c r="D2328" s="117"/>
      <c r="E2328" s="117"/>
      <c r="F2328" s="117"/>
      <c r="G2328" s="117"/>
      <c r="H2328" s="117"/>
      <c r="I2328" s="117"/>
      <c r="J2328" s="118"/>
      <c r="K2328" s="118"/>
      <c r="L2328" s="118"/>
      <c r="M2328" s="118"/>
      <c r="N2328" s="117"/>
      <c r="O2328" s="117"/>
      <c r="P2328" s="117"/>
      <c r="Q2328" s="117"/>
      <c r="R2328" s="117"/>
      <c r="S2328" s="117"/>
      <c r="T2328" s="117"/>
      <c r="U2328" s="117"/>
      <c r="V2328" s="117"/>
      <c r="W2328" s="117"/>
      <c r="X2328" s="117"/>
      <c r="Y2328" s="117"/>
      <c r="Z2328" s="117"/>
      <c r="AA2328" s="117"/>
      <c r="AB2328" s="117"/>
      <c r="AC2328" s="117"/>
      <c r="AD2328" s="117"/>
      <c r="AE2328" s="117"/>
      <c r="AF2328" s="117"/>
      <c r="AG2328" s="117"/>
      <c r="AH2328" s="117"/>
      <c r="AI2328" s="117"/>
      <c r="AJ2328" s="117"/>
      <c r="AK2328" s="117"/>
      <c r="AL2328" s="117"/>
      <c r="AM2328" s="117"/>
      <c r="AN2328" s="117"/>
      <c r="AO2328" s="117"/>
      <c r="AP2328" s="117"/>
      <c r="AQ2328" s="117"/>
      <c r="AR2328" s="117"/>
      <c r="AS2328" s="117"/>
      <c r="AT2328" s="117"/>
      <c r="AU2328" s="117"/>
      <c r="AV2328" s="117"/>
      <c r="AW2328" s="117"/>
      <c r="AX2328" s="117"/>
      <c r="AY2328" s="117"/>
      <c r="AZ2328" s="117"/>
      <c r="BA2328" s="117"/>
      <c r="BB2328" s="117"/>
      <c r="BC2328" s="117"/>
      <c r="BD2328" s="117"/>
      <c r="BE2328" s="117"/>
      <c r="BF2328" s="117"/>
      <c r="BG2328" s="117"/>
    </row>
    <row r="2329" spans="1:59">
      <c r="A2329" s="117"/>
      <c r="B2329" s="117"/>
      <c r="C2329" s="117"/>
      <c r="D2329" s="117"/>
      <c r="E2329" s="117"/>
      <c r="F2329" s="117"/>
      <c r="G2329" s="117"/>
      <c r="H2329" s="117"/>
      <c r="I2329" s="117"/>
      <c r="J2329" s="118"/>
      <c r="K2329" s="118"/>
      <c r="L2329" s="118"/>
      <c r="M2329" s="118"/>
      <c r="N2329" s="117"/>
      <c r="O2329" s="117"/>
      <c r="P2329" s="117"/>
      <c r="Q2329" s="117"/>
      <c r="R2329" s="117"/>
      <c r="S2329" s="117"/>
      <c r="T2329" s="117"/>
      <c r="U2329" s="117"/>
      <c r="V2329" s="117"/>
      <c r="W2329" s="117"/>
      <c r="X2329" s="117"/>
      <c r="Y2329" s="117"/>
      <c r="Z2329" s="117"/>
      <c r="AA2329" s="117"/>
      <c r="AB2329" s="117"/>
      <c r="AC2329" s="117"/>
      <c r="AD2329" s="117"/>
      <c r="AE2329" s="117"/>
      <c r="AF2329" s="117"/>
      <c r="AG2329" s="117"/>
      <c r="AH2329" s="117"/>
      <c r="AI2329" s="117"/>
      <c r="AJ2329" s="117"/>
      <c r="AK2329" s="117"/>
      <c r="AL2329" s="117"/>
      <c r="AM2329" s="117"/>
      <c r="AN2329" s="117"/>
      <c r="AO2329" s="117"/>
      <c r="AP2329" s="117"/>
      <c r="AQ2329" s="117"/>
      <c r="AR2329" s="117"/>
      <c r="AS2329" s="117"/>
      <c r="AT2329" s="117"/>
      <c r="AU2329" s="117"/>
      <c r="AV2329" s="117"/>
      <c r="AW2329" s="117"/>
      <c r="AX2329" s="117"/>
      <c r="AY2329" s="117"/>
      <c r="AZ2329" s="117"/>
      <c r="BA2329" s="117"/>
      <c r="BB2329" s="117"/>
      <c r="BC2329" s="117"/>
      <c r="BD2329" s="117"/>
      <c r="BE2329" s="117"/>
      <c r="BF2329" s="117"/>
      <c r="BG2329" s="117"/>
    </row>
    <row r="2330" spans="1:59">
      <c r="A2330" s="117"/>
      <c r="B2330" s="117"/>
      <c r="C2330" s="117"/>
      <c r="D2330" s="117"/>
      <c r="E2330" s="117"/>
      <c r="F2330" s="117"/>
      <c r="G2330" s="117"/>
      <c r="H2330" s="117"/>
      <c r="I2330" s="117"/>
      <c r="J2330" s="118"/>
      <c r="K2330" s="118"/>
      <c r="L2330" s="118"/>
      <c r="M2330" s="118"/>
      <c r="N2330" s="117"/>
      <c r="O2330" s="117"/>
      <c r="P2330" s="117"/>
      <c r="Q2330" s="117"/>
      <c r="R2330" s="117"/>
      <c r="S2330" s="117"/>
      <c r="T2330" s="117"/>
      <c r="U2330" s="117"/>
      <c r="V2330" s="117"/>
      <c r="W2330" s="117"/>
      <c r="X2330" s="117"/>
      <c r="Y2330" s="117"/>
      <c r="Z2330" s="117"/>
      <c r="AA2330" s="117"/>
      <c r="AB2330" s="117"/>
      <c r="AC2330" s="117"/>
      <c r="AD2330" s="117"/>
      <c r="AE2330" s="117"/>
      <c r="AF2330" s="117"/>
      <c r="AG2330" s="117"/>
      <c r="AH2330" s="117"/>
      <c r="AI2330" s="117"/>
      <c r="AJ2330" s="117"/>
      <c r="AK2330" s="117"/>
      <c r="AL2330" s="117"/>
      <c r="AM2330" s="117"/>
      <c r="AN2330" s="117"/>
      <c r="AO2330" s="117"/>
      <c r="AP2330" s="117"/>
      <c r="AQ2330" s="117"/>
      <c r="AR2330" s="117"/>
      <c r="AS2330" s="117"/>
      <c r="AT2330" s="117"/>
      <c r="AU2330" s="117"/>
      <c r="AV2330" s="117"/>
      <c r="AW2330" s="117"/>
      <c r="AX2330" s="117"/>
      <c r="AY2330" s="117"/>
      <c r="AZ2330" s="117"/>
      <c r="BA2330" s="117"/>
      <c r="BB2330" s="117"/>
      <c r="BC2330" s="117"/>
      <c r="BD2330" s="117"/>
      <c r="BE2330" s="117"/>
      <c r="BF2330" s="117"/>
      <c r="BG2330" s="117"/>
    </row>
    <row r="2331" spans="1:59">
      <c r="A2331" s="117"/>
      <c r="B2331" s="117"/>
      <c r="C2331" s="117"/>
      <c r="D2331" s="117"/>
      <c r="E2331" s="117"/>
      <c r="F2331" s="117"/>
      <c r="G2331" s="117"/>
      <c r="H2331" s="117"/>
      <c r="I2331" s="117"/>
      <c r="J2331" s="118"/>
      <c r="K2331" s="118"/>
      <c r="L2331" s="118"/>
      <c r="M2331" s="118"/>
      <c r="N2331" s="117"/>
      <c r="O2331" s="117"/>
      <c r="P2331" s="117"/>
      <c r="Q2331" s="117"/>
      <c r="R2331" s="117"/>
      <c r="S2331" s="117"/>
      <c r="T2331" s="117"/>
      <c r="U2331" s="117"/>
      <c r="V2331" s="117"/>
      <c r="W2331" s="117"/>
      <c r="X2331" s="117"/>
      <c r="Y2331" s="117"/>
      <c r="Z2331" s="117"/>
      <c r="AA2331" s="117"/>
      <c r="AB2331" s="117"/>
      <c r="AC2331" s="117"/>
      <c r="AD2331" s="117"/>
      <c r="AE2331" s="117"/>
      <c r="AF2331" s="117"/>
      <c r="AG2331" s="117"/>
      <c r="AH2331" s="117"/>
      <c r="AI2331" s="117"/>
      <c r="AJ2331" s="117"/>
      <c r="AK2331" s="117"/>
      <c r="AL2331" s="117"/>
      <c r="AM2331" s="117"/>
      <c r="AN2331" s="117"/>
      <c r="AO2331" s="117"/>
      <c r="AP2331" s="117"/>
      <c r="AQ2331" s="117"/>
      <c r="AR2331" s="117"/>
      <c r="AS2331" s="117"/>
      <c r="AT2331" s="117"/>
      <c r="AU2331" s="117"/>
      <c r="AV2331" s="117"/>
      <c r="AW2331" s="117"/>
      <c r="AX2331" s="117"/>
      <c r="AY2331" s="117"/>
      <c r="AZ2331" s="117"/>
      <c r="BA2331" s="117"/>
      <c r="BB2331" s="117"/>
      <c r="BC2331" s="117"/>
      <c r="BD2331" s="117"/>
      <c r="BE2331" s="117"/>
      <c r="BF2331" s="117"/>
      <c r="BG2331" s="117"/>
    </row>
    <row r="2332" spans="1:59">
      <c r="A2332" s="117"/>
      <c r="B2332" s="117"/>
      <c r="C2332" s="117"/>
      <c r="D2332" s="117"/>
      <c r="E2332" s="117"/>
      <c r="F2332" s="117"/>
      <c r="G2332" s="117"/>
      <c r="H2332" s="117"/>
      <c r="I2332" s="117"/>
      <c r="J2332" s="118"/>
      <c r="K2332" s="118"/>
      <c r="L2332" s="118"/>
      <c r="M2332" s="118"/>
      <c r="N2332" s="117"/>
      <c r="O2332" s="117"/>
      <c r="P2332" s="117"/>
      <c r="Q2332" s="117"/>
      <c r="R2332" s="117"/>
      <c r="S2332" s="117"/>
      <c r="T2332" s="117"/>
      <c r="U2332" s="117"/>
      <c r="V2332" s="117"/>
      <c r="W2332" s="117"/>
      <c r="X2332" s="117"/>
      <c r="Y2332" s="117"/>
      <c r="Z2332" s="117"/>
      <c r="AA2332" s="117"/>
      <c r="AB2332" s="117"/>
      <c r="AC2332" s="117"/>
      <c r="AD2332" s="117"/>
      <c r="AE2332" s="117"/>
      <c r="AF2332" s="117"/>
      <c r="AG2332" s="117"/>
      <c r="AH2332" s="117"/>
      <c r="AI2332" s="117"/>
      <c r="AJ2332" s="117"/>
      <c r="AK2332" s="117"/>
      <c r="AL2332" s="117"/>
      <c r="AM2332" s="117"/>
      <c r="AN2332" s="117"/>
      <c r="AO2332" s="117"/>
      <c r="AP2332" s="117"/>
      <c r="AQ2332" s="117"/>
      <c r="AR2332" s="117"/>
      <c r="AS2332" s="117"/>
      <c r="AT2332" s="117"/>
      <c r="AU2332" s="117"/>
      <c r="AV2332" s="117"/>
      <c r="AW2332" s="117"/>
      <c r="AX2332" s="117"/>
      <c r="AY2332" s="117"/>
      <c r="AZ2332" s="117"/>
      <c r="BA2332" s="117"/>
      <c r="BB2332" s="117"/>
      <c r="BC2332" s="117"/>
      <c r="BD2332" s="117"/>
      <c r="BE2332" s="117"/>
      <c r="BF2332" s="117"/>
      <c r="BG2332" s="117"/>
    </row>
    <row r="2333" spans="1:59">
      <c r="A2333" s="117"/>
      <c r="B2333" s="117"/>
      <c r="C2333" s="117"/>
      <c r="D2333" s="117"/>
      <c r="E2333" s="117"/>
      <c r="F2333" s="117"/>
      <c r="G2333" s="117"/>
      <c r="H2333" s="117"/>
      <c r="I2333" s="117"/>
      <c r="J2333" s="118"/>
      <c r="K2333" s="118"/>
      <c r="L2333" s="118"/>
      <c r="M2333" s="118"/>
      <c r="N2333" s="117"/>
      <c r="O2333" s="117"/>
      <c r="P2333" s="117"/>
      <c r="Q2333" s="117"/>
      <c r="R2333" s="117"/>
      <c r="S2333" s="117"/>
      <c r="T2333" s="117"/>
      <c r="U2333" s="117"/>
      <c r="V2333" s="117"/>
      <c r="W2333" s="117"/>
      <c r="X2333" s="117"/>
      <c r="Y2333" s="117"/>
      <c r="Z2333" s="117"/>
      <c r="AA2333" s="117"/>
      <c r="AB2333" s="117"/>
      <c r="AC2333" s="117"/>
      <c r="AD2333" s="117"/>
      <c r="AE2333" s="117"/>
      <c r="AF2333" s="117"/>
      <c r="AG2333" s="117"/>
      <c r="AH2333" s="117"/>
      <c r="AI2333" s="117"/>
      <c r="AJ2333" s="117"/>
      <c r="AK2333" s="117"/>
      <c r="AL2333" s="117"/>
      <c r="AM2333" s="117"/>
      <c r="AN2333" s="117"/>
      <c r="AO2333" s="117"/>
      <c r="AP2333" s="117"/>
      <c r="AQ2333" s="117"/>
      <c r="AR2333" s="117"/>
      <c r="AS2333" s="117"/>
      <c r="AT2333" s="117"/>
      <c r="AU2333" s="117"/>
      <c r="AV2333" s="117"/>
      <c r="AW2333" s="117"/>
      <c r="AX2333" s="117"/>
      <c r="AY2333" s="117"/>
      <c r="AZ2333" s="117"/>
      <c r="BA2333" s="117"/>
      <c r="BB2333" s="117"/>
      <c r="BC2333" s="117"/>
      <c r="BD2333" s="117"/>
      <c r="BE2333" s="117"/>
      <c r="BF2333" s="117"/>
      <c r="BG2333" s="117"/>
    </row>
    <row r="2334" spans="1:59">
      <c r="A2334" s="117"/>
      <c r="B2334" s="117"/>
      <c r="C2334" s="117"/>
      <c r="D2334" s="117"/>
      <c r="E2334" s="117"/>
      <c r="F2334" s="117"/>
      <c r="G2334" s="117"/>
      <c r="H2334" s="117"/>
      <c r="I2334" s="117"/>
      <c r="J2334" s="118"/>
      <c r="K2334" s="118"/>
      <c r="L2334" s="118"/>
      <c r="M2334" s="118"/>
      <c r="N2334" s="117"/>
      <c r="O2334" s="117"/>
      <c r="P2334" s="117"/>
      <c r="Q2334" s="117"/>
      <c r="R2334" s="117"/>
      <c r="S2334" s="117"/>
      <c r="T2334" s="117"/>
      <c r="U2334" s="117"/>
      <c r="V2334" s="117"/>
      <c r="W2334" s="117"/>
      <c r="X2334" s="117"/>
      <c r="Y2334" s="117"/>
      <c r="Z2334" s="117"/>
      <c r="AA2334" s="117"/>
      <c r="AB2334" s="117"/>
      <c r="AC2334" s="117"/>
      <c r="AD2334" s="117"/>
      <c r="AE2334" s="117"/>
      <c r="AF2334" s="117"/>
      <c r="AG2334" s="117"/>
      <c r="AH2334" s="117"/>
      <c r="AI2334" s="117"/>
      <c r="AJ2334" s="117"/>
      <c r="AK2334" s="117"/>
      <c r="AL2334" s="117"/>
      <c r="AM2334" s="117"/>
      <c r="AN2334" s="117"/>
      <c r="AO2334" s="117"/>
      <c r="AP2334" s="117"/>
      <c r="AQ2334" s="117"/>
      <c r="AR2334" s="117"/>
      <c r="AS2334" s="117"/>
      <c r="AT2334" s="117"/>
      <c r="AU2334" s="117"/>
      <c r="AV2334" s="117"/>
      <c r="AW2334" s="117"/>
      <c r="AX2334" s="117"/>
      <c r="AY2334" s="117"/>
      <c r="AZ2334" s="117"/>
      <c r="BA2334" s="117"/>
      <c r="BB2334" s="117"/>
      <c r="BC2334" s="117"/>
      <c r="BD2334" s="117"/>
      <c r="BE2334" s="117"/>
      <c r="BF2334" s="117"/>
      <c r="BG2334" s="117"/>
    </row>
    <row r="2335" spans="1:59">
      <c r="A2335" s="117"/>
      <c r="B2335" s="117"/>
      <c r="C2335" s="117"/>
      <c r="D2335" s="117"/>
      <c r="E2335" s="117"/>
      <c r="F2335" s="117"/>
      <c r="G2335" s="117"/>
      <c r="H2335" s="117"/>
      <c r="I2335" s="117"/>
      <c r="J2335" s="118"/>
      <c r="K2335" s="118"/>
      <c r="L2335" s="118"/>
      <c r="M2335" s="118"/>
      <c r="N2335" s="117"/>
      <c r="O2335" s="117"/>
      <c r="P2335" s="117"/>
      <c r="Q2335" s="117"/>
      <c r="R2335" s="117"/>
      <c r="S2335" s="117"/>
      <c r="T2335" s="117"/>
      <c r="U2335" s="117"/>
      <c r="V2335" s="117"/>
      <c r="W2335" s="117"/>
      <c r="X2335" s="117"/>
      <c r="Y2335" s="117"/>
      <c r="Z2335" s="117"/>
      <c r="AA2335" s="117"/>
      <c r="AB2335" s="117"/>
      <c r="AC2335" s="117"/>
      <c r="AD2335" s="117"/>
      <c r="AE2335" s="117"/>
      <c r="AF2335" s="117"/>
      <c r="AG2335" s="117"/>
      <c r="AH2335" s="117"/>
      <c r="AI2335" s="117"/>
      <c r="AJ2335" s="117"/>
      <c r="AK2335" s="117"/>
      <c r="AL2335" s="117"/>
      <c r="AM2335" s="117"/>
      <c r="AN2335" s="117"/>
      <c r="AO2335" s="117"/>
      <c r="AP2335" s="117"/>
      <c r="AQ2335" s="117"/>
      <c r="AR2335" s="117"/>
      <c r="AS2335" s="117"/>
      <c r="AT2335" s="117"/>
      <c r="AU2335" s="117"/>
      <c r="AV2335" s="117"/>
      <c r="AW2335" s="117"/>
      <c r="AX2335" s="117"/>
      <c r="AY2335" s="117"/>
      <c r="AZ2335" s="117"/>
      <c r="BA2335" s="117"/>
      <c r="BB2335" s="117"/>
      <c r="BC2335" s="117"/>
      <c r="BD2335" s="117"/>
      <c r="BE2335" s="117"/>
      <c r="BF2335" s="117"/>
      <c r="BG2335" s="117"/>
    </row>
    <row r="2336" spans="1:59">
      <c r="A2336" s="117"/>
      <c r="B2336" s="117"/>
      <c r="C2336" s="117"/>
      <c r="D2336" s="117"/>
      <c r="E2336" s="117"/>
      <c r="F2336" s="117"/>
      <c r="G2336" s="117"/>
      <c r="H2336" s="117"/>
      <c r="I2336" s="117"/>
      <c r="J2336" s="118"/>
      <c r="K2336" s="118"/>
      <c r="L2336" s="118"/>
      <c r="M2336" s="118"/>
      <c r="N2336" s="117"/>
      <c r="O2336" s="117"/>
      <c r="P2336" s="117"/>
      <c r="Q2336" s="117"/>
      <c r="R2336" s="117"/>
      <c r="S2336" s="117"/>
      <c r="T2336" s="117"/>
      <c r="U2336" s="117"/>
      <c r="V2336" s="117"/>
      <c r="W2336" s="117"/>
      <c r="X2336" s="117"/>
      <c r="Y2336" s="117"/>
      <c r="Z2336" s="117"/>
      <c r="AA2336" s="117"/>
      <c r="AB2336" s="117"/>
      <c r="AC2336" s="117"/>
      <c r="AD2336" s="117"/>
      <c r="AE2336" s="117"/>
      <c r="AF2336" s="117"/>
      <c r="AG2336" s="117"/>
      <c r="AH2336" s="117"/>
      <c r="AI2336" s="117"/>
      <c r="AJ2336" s="117"/>
      <c r="AK2336" s="117"/>
      <c r="AL2336" s="117"/>
      <c r="AM2336" s="117"/>
      <c r="AN2336" s="117"/>
      <c r="AO2336" s="117"/>
      <c r="AP2336" s="117"/>
      <c r="AQ2336" s="117"/>
      <c r="AR2336" s="117"/>
      <c r="AS2336" s="117"/>
      <c r="AT2336" s="117"/>
      <c r="AU2336" s="117"/>
      <c r="AV2336" s="117"/>
      <c r="AW2336" s="117"/>
      <c r="AX2336" s="117"/>
      <c r="AY2336" s="117"/>
      <c r="AZ2336" s="117"/>
      <c r="BA2336" s="117"/>
      <c r="BB2336" s="117"/>
      <c r="BC2336" s="117"/>
      <c r="BD2336" s="117"/>
      <c r="BE2336" s="117"/>
      <c r="BF2336" s="117"/>
      <c r="BG2336" s="117"/>
    </row>
    <row r="2337" spans="1:59">
      <c r="A2337" s="117"/>
      <c r="B2337" s="117"/>
      <c r="C2337" s="117"/>
      <c r="D2337" s="117"/>
      <c r="E2337" s="117"/>
      <c r="F2337" s="117"/>
      <c r="G2337" s="117"/>
      <c r="H2337" s="117"/>
      <c r="I2337" s="117"/>
      <c r="J2337" s="118"/>
      <c r="K2337" s="118"/>
      <c r="L2337" s="118"/>
      <c r="M2337" s="118"/>
      <c r="N2337" s="117"/>
      <c r="O2337" s="117"/>
      <c r="P2337" s="117"/>
      <c r="Q2337" s="117"/>
      <c r="R2337" s="117"/>
      <c r="S2337" s="117"/>
      <c r="T2337" s="117"/>
      <c r="U2337" s="117"/>
      <c r="V2337" s="117"/>
      <c r="W2337" s="117"/>
      <c r="X2337" s="117"/>
      <c r="Y2337" s="117"/>
      <c r="Z2337" s="117"/>
      <c r="AA2337" s="117"/>
      <c r="AB2337" s="117"/>
      <c r="AC2337" s="117"/>
      <c r="AD2337" s="117"/>
      <c r="AE2337" s="117"/>
      <c r="AF2337" s="117"/>
      <c r="AG2337" s="117"/>
      <c r="AH2337" s="117"/>
      <c r="AI2337" s="117"/>
      <c r="AJ2337" s="117"/>
      <c r="AK2337" s="117"/>
      <c r="AL2337" s="117"/>
      <c r="AM2337" s="117"/>
      <c r="AN2337" s="117"/>
      <c r="AO2337" s="117"/>
      <c r="AP2337" s="117"/>
      <c r="AQ2337" s="117"/>
      <c r="AR2337" s="117"/>
      <c r="AS2337" s="117"/>
      <c r="AT2337" s="117"/>
      <c r="AU2337" s="117"/>
      <c r="AV2337" s="117"/>
      <c r="AW2337" s="117"/>
      <c r="AX2337" s="117"/>
      <c r="AY2337" s="117"/>
      <c r="AZ2337" s="117"/>
      <c r="BA2337" s="117"/>
      <c r="BB2337" s="117"/>
      <c r="BC2337" s="117"/>
      <c r="BD2337" s="117"/>
      <c r="BE2337" s="117"/>
      <c r="BF2337" s="117"/>
      <c r="BG2337" s="117"/>
    </row>
    <row r="2338" spans="1:59">
      <c r="A2338" s="117"/>
      <c r="B2338" s="117"/>
      <c r="C2338" s="117"/>
      <c r="D2338" s="117"/>
      <c r="E2338" s="117"/>
      <c r="F2338" s="117"/>
      <c r="G2338" s="117"/>
      <c r="H2338" s="117"/>
      <c r="I2338" s="117"/>
      <c r="J2338" s="118"/>
      <c r="K2338" s="118"/>
      <c r="L2338" s="118"/>
      <c r="M2338" s="118"/>
      <c r="N2338" s="117"/>
      <c r="O2338" s="117"/>
      <c r="P2338" s="117"/>
      <c r="Q2338" s="117"/>
      <c r="R2338" s="117"/>
      <c r="S2338" s="117"/>
      <c r="T2338" s="117"/>
      <c r="U2338" s="117"/>
      <c r="V2338" s="117"/>
      <c r="W2338" s="117"/>
      <c r="X2338" s="117"/>
      <c r="Y2338" s="117"/>
      <c r="Z2338" s="117"/>
      <c r="AA2338" s="117"/>
      <c r="AB2338" s="117"/>
      <c r="AC2338" s="117"/>
      <c r="AD2338" s="117"/>
      <c r="AE2338" s="117"/>
      <c r="AF2338" s="117"/>
      <c r="AG2338" s="117"/>
      <c r="AH2338" s="117"/>
      <c r="AI2338" s="117"/>
      <c r="AJ2338" s="117"/>
      <c r="AK2338" s="117"/>
      <c r="AL2338" s="117"/>
      <c r="AM2338" s="117"/>
      <c r="AN2338" s="117"/>
      <c r="AO2338" s="117"/>
      <c r="AP2338" s="117"/>
      <c r="AQ2338" s="117"/>
      <c r="AR2338" s="117"/>
      <c r="AS2338" s="117"/>
      <c r="AT2338" s="117"/>
      <c r="AU2338" s="117"/>
      <c r="AV2338" s="117"/>
      <c r="AW2338" s="117"/>
      <c r="AX2338" s="117"/>
      <c r="AY2338" s="117"/>
      <c r="AZ2338" s="117"/>
      <c r="BA2338" s="117"/>
      <c r="BB2338" s="117"/>
      <c r="BC2338" s="117"/>
      <c r="BD2338" s="117"/>
      <c r="BE2338" s="117"/>
      <c r="BF2338" s="117"/>
      <c r="BG2338" s="117"/>
    </row>
    <row r="2339" spans="1:59">
      <c r="A2339" s="117"/>
      <c r="B2339" s="117"/>
      <c r="C2339" s="117"/>
      <c r="D2339" s="117"/>
      <c r="E2339" s="117"/>
      <c r="F2339" s="117"/>
      <c r="G2339" s="117"/>
      <c r="H2339" s="117"/>
      <c r="I2339" s="117"/>
      <c r="J2339" s="118"/>
      <c r="K2339" s="118"/>
      <c r="L2339" s="118"/>
      <c r="M2339" s="118"/>
      <c r="N2339" s="117"/>
      <c r="O2339" s="117"/>
      <c r="P2339" s="117"/>
      <c r="Q2339" s="117"/>
      <c r="R2339" s="117"/>
      <c r="S2339" s="117"/>
      <c r="T2339" s="117"/>
      <c r="U2339" s="117"/>
      <c r="V2339" s="117"/>
      <c r="W2339" s="117"/>
      <c r="X2339" s="117"/>
      <c r="Y2339" s="117"/>
      <c r="Z2339" s="117"/>
      <c r="AA2339" s="117"/>
      <c r="AB2339" s="117"/>
      <c r="AC2339" s="117"/>
      <c r="AD2339" s="117"/>
      <c r="AE2339" s="117"/>
      <c r="AF2339" s="117"/>
      <c r="AG2339" s="117"/>
      <c r="AH2339" s="117"/>
      <c r="AI2339" s="117"/>
      <c r="AJ2339" s="117"/>
      <c r="AK2339" s="117"/>
      <c r="AL2339" s="117"/>
      <c r="AM2339" s="117"/>
      <c r="AN2339" s="117"/>
      <c r="AO2339" s="117"/>
      <c r="AP2339" s="117"/>
      <c r="AQ2339" s="117"/>
      <c r="AR2339" s="117"/>
      <c r="AS2339" s="117"/>
      <c r="AT2339" s="117"/>
      <c r="AU2339" s="117"/>
      <c r="AV2339" s="117"/>
      <c r="AW2339" s="117"/>
      <c r="AX2339" s="117"/>
      <c r="AY2339" s="117"/>
      <c r="AZ2339" s="117"/>
      <c r="BA2339" s="117"/>
      <c r="BB2339" s="117"/>
      <c r="BC2339" s="117"/>
      <c r="BD2339" s="117"/>
      <c r="BE2339" s="117"/>
      <c r="BF2339" s="117"/>
      <c r="BG2339" s="117"/>
    </row>
    <row r="2340" spans="1:59">
      <c r="A2340" s="117"/>
      <c r="B2340" s="117"/>
      <c r="C2340" s="117"/>
      <c r="D2340" s="117"/>
      <c r="E2340" s="117"/>
      <c r="F2340" s="117"/>
      <c r="G2340" s="117"/>
      <c r="H2340" s="117"/>
      <c r="I2340" s="117"/>
      <c r="J2340" s="118"/>
      <c r="K2340" s="118"/>
      <c r="L2340" s="118"/>
      <c r="M2340" s="118"/>
      <c r="N2340" s="117"/>
      <c r="O2340" s="117"/>
      <c r="P2340" s="117"/>
      <c r="Q2340" s="117"/>
      <c r="R2340" s="117"/>
      <c r="S2340" s="117"/>
      <c r="T2340" s="117"/>
      <c r="U2340" s="117"/>
      <c r="V2340" s="117"/>
      <c r="W2340" s="117"/>
      <c r="X2340" s="117"/>
      <c r="Y2340" s="117"/>
      <c r="Z2340" s="117"/>
      <c r="AA2340" s="117"/>
      <c r="AB2340" s="117"/>
      <c r="AC2340" s="117"/>
      <c r="AD2340" s="117"/>
      <c r="AE2340" s="117"/>
      <c r="AF2340" s="117"/>
      <c r="AG2340" s="117"/>
      <c r="AH2340" s="117"/>
      <c r="AI2340" s="117"/>
      <c r="AJ2340" s="117"/>
      <c r="AK2340" s="117"/>
      <c r="AL2340" s="117"/>
      <c r="AM2340" s="117"/>
      <c r="AN2340" s="117"/>
      <c r="AO2340" s="117"/>
      <c r="AP2340" s="117"/>
      <c r="AQ2340" s="117"/>
      <c r="AR2340" s="117"/>
      <c r="AS2340" s="117"/>
      <c r="AT2340" s="117"/>
      <c r="AU2340" s="117"/>
      <c r="AV2340" s="117"/>
      <c r="AW2340" s="117"/>
      <c r="AX2340" s="117"/>
      <c r="AY2340" s="117"/>
      <c r="AZ2340" s="117"/>
      <c r="BA2340" s="117"/>
      <c r="BB2340" s="117"/>
      <c r="BC2340" s="117"/>
      <c r="BD2340" s="117"/>
      <c r="BE2340" s="117"/>
      <c r="BF2340" s="117"/>
      <c r="BG2340" s="117"/>
    </row>
    <row r="2341" spans="1:59">
      <c r="A2341" s="117"/>
      <c r="B2341" s="117"/>
      <c r="C2341" s="117"/>
      <c r="D2341" s="117"/>
      <c r="E2341" s="117"/>
      <c r="F2341" s="117"/>
      <c r="G2341" s="117"/>
      <c r="H2341" s="117"/>
      <c r="I2341" s="117"/>
      <c r="J2341" s="118"/>
      <c r="K2341" s="118"/>
      <c r="L2341" s="118"/>
      <c r="M2341" s="118"/>
      <c r="N2341" s="117"/>
      <c r="O2341" s="117"/>
      <c r="P2341" s="117"/>
      <c r="Q2341" s="117"/>
      <c r="R2341" s="117"/>
      <c r="S2341" s="117"/>
      <c r="T2341" s="117"/>
      <c r="U2341" s="117"/>
      <c r="V2341" s="117"/>
      <c r="W2341" s="117"/>
      <c r="X2341" s="117"/>
      <c r="Y2341" s="117"/>
      <c r="Z2341" s="117"/>
      <c r="AA2341" s="117"/>
      <c r="AB2341" s="117"/>
      <c r="AC2341" s="117"/>
      <c r="AD2341" s="117"/>
      <c r="AE2341" s="117"/>
      <c r="AF2341" s="117"/>
      <c r="AG2341" s="117"/>
      <c r="AH2341" s="117"/>
      <c r="AI2341" s="117"/>
      <c r="AJ2341" s="117"/>
      <c r="AK2341" s="117"/>
      <c r="AL2341" s="117"/>
      <c r="AM2341" s="117"/>
      <c r="AN2341" s="117"/>
      <c r="AO2341" s="117"/>
      <c r="AP2341" s="117"/>
      <c r="AQ2341" s="117"/>
      <c r="AR2341" s="117"/>
      <c r="AS2341" s="117"/>
      <c r="AT2341" s="117"/>
      <c r="AU2341" s="117"/>
      <c r="AV2341" s="117"/>
      <c r="AW2341" s="117"/>
      <c r="AX2341" s="117"/>
      <c r="AY2341" s="117"/>
      <c r="AZ2341" s="117"/>
      <c r="BA2341" s="117"/>
      <c r="BB2341" s="117"/>
      <c r="BC2341" s="117"/>
      <c r="BD2341" s="117"/>
      <c r="BE2341" s="117"/>
      <c r="BF2341" s="117"/>
      <c r="BG2341" s="117"/>
    </row>
    <row r="2342" spans="1:59">
      <c r="A2342" s="117"/>
      <c r="B2342" s="117"/>
      <c r="C2342" s="117"/>
      <c r="D2342" s="117"/>
      <c r="E2342" s="117"/>
      <c r="F2342" s="117"/>
      <c r="G2342" s="117"/>
      <c r="H2342" s="117"/>
      <c r="I2342" s="117"/>
      <c r="J2342" s="118"/>
      <c r="K2342" s="118"/>
      <c r="L2342" s="118"/>
      <c r="M2342" s="118"/>
      <c r="N2342" s="117"/>
      <c r="O2342" s="117"/>
      <c r="P2342" s="117"/>
      <c r="Q2342" s="117"/>
      <c r="R2342" s="117"/>
      <c r="S2342" s="117"/>
      <c r="T2342" s="117"/>
      <c r="U2342" s="117"/>
      <c r="V2342" s="117"/>
      <c r="W2342" s="117"/>
      <c r="X2342" s="117"/>
      <c r="Y2342" s="117"/>
      <c r="Z2342" s="117"/>
      <c r="AA2342" s="117"/>
      <c r="AB2342" s="117"/>
      <c r="AC2342" s="117"/>
      <c r="AD2342" s="117"/>
      <c r="AE2342" s="117"/>
      <c r="AF2342" s="117"/>
      <c r="AG2342" s="117"/>
      <c r="AH2342" s="117"/>
      <c r="AI2342" s="117"/>
      <c r="AJ2342" s="117"/>
      <c r="AK2342" s="117"/>
      <c r="AL2342" s="117"/>
      <c r="AM2342" s="117"/>
      <c r="AN2342" s="117"/>
      <c r="AO2342" s="117"/>
      <c r="AP2342" s="117"/>
      <c r="AQ2342" s="117"/>
      <c r="AR2342" s="117"/>
      <c r="AS2342" s="117"/>
      <c r="AT2342" s="117"/>
      <c r="AU2342" s="117"/>
      <c r="AV2342" s="117"/>
      <c r="AW2342" s="117"/>
      <c r="AX2342" s="117"/>
      <c r="AY2342" s="117"/>
      <c r="AZ2342" s="117"/>
      <c r="BA2342" s="117"/>
      <c r="BB2342" s="117"/>
      <c r="BC2342" s="117"/>
      <c r="BD2342" s="117"/>
      <c r="BE2342" s="117"/>
      <c r="BF2342" s="117"/>
      <c r="BG2342" s="117"/>
    </row>
    <row r="2343" spans="1:59">
      <c r="A2343" s="117"/>
      <c r="B2343" s="117"/>
      <c r="C2343" s="117"/>
      <c r="D2343" s="117"/>
      <c r="E2343" s="117"/>
      <c r="F2343" s="117"/>
      <c r="G2343" s="117"/>
      <c r="H2343" s="117"/>
      <c r="I2343" s="117"/>
      <c r="J2343" s="118"/>
      <c r="K2343" s="118"/>
      <c r="L2343" s="118"/>
      <c r="M2343" s="118"/>
      <c r="N2343" s="117"/>
      <c r="O2343" s="117"/>
      <c r="P2343" s="117"/>
      <c r="Q2343" s="117"/>
      <c r="R2343" s="117"/>
      <c r="S2343" s="117"/>
      <c r="T2343" s="117"/>
      <c r="U2343" s="117"/>
      <c r="V2343" s="117"/>
      <c r="W2343" s="117"/>
      <c r="X2343" s="117"/>
      <c r="Y2343" s="117"/>
      <c r="Z2343" s="117"/>
      <c r="AA2343" s="117"/>
      <c r="AB2343" s="117"/>
      <c r="AC2343" s="117"/>
      <c r="AD2343" s="117"/>
      <c r="AE2343" s="117"/>
      <c r="AF2343" s="117"/>
      <c r="AG2343" s="117"/>
      <c r="AH2343" s="117"/>
      <c r="AI2343" s="117"/>
      <c r="AJ2343" s="117"/>
      <c r="AK2343" s="117"/>
      <c r="AL2343" s="117"/>
      <c r="AM2343" s="117"/>
      <c r="AN2343" s="117"/>
      <c r="AO2343" s="117"/>
      <c r="AP2343" s="117"/>
      <c r="AQ2343" s="117"/>
      <c r="AR2343" s="117"/>
      <c r="AS2343" s="117"/>
      <c r="AT2343" s="117"/>
      <c r="AU2343" s="117"/>
      <c r="AV2343" s="117"/>
      <c r="AW2343" s="117"/>
      <c r="AX2343" s="117"/>
      <c r="AY2343" s="117"/>
      <c r="AZ2343" s="117"/>
      <c r="BA2343" s="117"/>
      <c r="BB2343" s="117"/>
      <c r="BC2343" s="117"/>
      <c r="BD2343" s="117"/>
      <c r="BE2343" s="117"/>
      <c r="BF2343" s="117"/>
      <c r="BG2343" s="117"/>
    </row>
    <row r="2344" spans="1:59">
      <c r="A2344" s="117"/>
      <c r="B2344" s="117"/>
      <c r="C2344" s="117"/>
      <c r="D2344" s="117"/>
      <c r="E2344" s="117"/>
      <c r="F2344" s="117"/>
      <c r="G2344" s="117"/>
      <c r="H2344" s="117"/>
      <c r="I2344" s="117"/>
      <c r="J2344" s="118"/>
      <c r="K2344" s="118"/>
      <c r="L2344" s="118"/>
      <c r="M2344" s="118"/>
      <c r="N2344" s="117"/>
      <c r="O2344" s="117"/>
      <c r="P2344" s="117"/>
      <c r="Q2344" s="117"/>
      <c r="R2344" s="117"/>
      <c r="S2344" s="117"/>
      <c r="T2344" s="117"/>
      <c r="U2344" s="117"/>
      <c r="V2344" s="117"/>
      <c r="W2344" s="117"/>
      <c r="X2344" s="117"/>
      <c r="Y2344" s="117"/>
      <c r="Z2344" s="117"/>
      <c r="AA2344" s="117"/>
      <c r="AB2344" s="117"/>
      <c r="AC2344" s="117"/>
      <c r="AD2344" s="117"/>
      <c r="AE2344" s="117"/>
      <c r="AF2344" s="117"/>
      <c r="AG2344" s="117"/>
      <c r="AH2344" s="117"/>
      <c r="AI2344" s="117"/>
      <c r="AJ2344" s="117"/>
      <c r="AK2344" s="117"/>
      <c r="AL2344" s="117"/>
      <c r="AM2344" s="117"/>
      <c r="AN2344" s="117"/>
      <c r="AO2344" s="117"/>
      <c r="AP2344" s="117"/>
      <c r="AQ2344" s="117"/>
      <c r="AR2344" s="117"/>
      <c r="AS2344" s="117"/>
      <c r="AT2344" s="117"/>
      <c r="AU2344" s="117"/>
      <c r="AV2344" s="117"/>
      <c r="AW2344" s="117"/>
      <c r="AX2344" s="117"/>
      <c r="AY2344" s="117"/>
      <c r="AZ2344" s="117"/>
      <c r="BA2344" s="117"/>
      <c r="BB2344" s="117"/>
      <c r="BC2344" s="117"/>
      <c r="BD2344" s="117"/>
      <c r="BE2344" s="117"/>
      <c r="BF2344" s="117"/>
      <c r="BG2344" s="117"/>
    </row>
    <row r="2345" spans="1:59">
      <c r="A2345" s="117"/>
      <c r="B2345" s="117"/>
      <c r="C2345" s="117"/>
      <c r="D2345" s="117"/>
      <c r="E2345" s="117"/>
      <c r="F2345" s="117"/>
      <c r="G2345" s="117"/>
      <c r="H2345" s="117"/>
      <c r="I2345" s="117"/>
      <c r="J2345" s="118"/>
      <c r="K2345" s="118"/>
      <c r="L2345" s="118"/>
      <c r="M2345" s="118"/>
      <c r="N2345" s="117"/>
      <c r="O2345" s="117"/>
      <c r="P2345" s="117"/>
      <c r="Q2345" s="117"/>
      <c r="R2345" s="117"/>
      <c r="S2345" s="117"/>
      <c r="T2345" s="117"/>
      <c r="U2345" s="117"/>
      <c r="V2345" s="117"/>
      <c r="W2345" s="117"/>
      <c r="X2345" s="117"/>
      <c r="Y2345" s="117"/>
      <c r="Z2345" s="117"/>
      <c r="AA2345" s="117"/>
      <c r="AB2345" s="117"/>
      <c r="AC2345" s="117"/>
      <c r="AD2345" s="117"/>
      <c r="AE2345" s="117"/>
      <c r="AF2345" s="117"/>
      <c r="AG2345" s="117"/>
      <c r="AH2345" s="117"/>
      <c r="AI2345" s="117"/>
      <c r="AJ2345" s="117"/>
      <c r="AK2345" s="117"/>
      <c r="AL2345" s="117"/>
      <c r="AM2345" s="117"/>
      <c r="AN2345" s="117"/>
      <c r="AO2345" s="117"/>
      <c r="AP2345" s="117"/>
      <c r="AQ2345" s="117"/>
      <c r="AR2345" s="117"/>
      <c r="AS2345" s="117"/>
      <c r="AT2345" s="117"/>
      <c r="AU2345" s="117"/>
      <c r="AV2345" s="117"/>
      <c r="AW2345" s="117"/>
      <c r="AX2345" s="117"/>
      <c r="AY2345" s="117"/>
      <c r="AZ2345" s="117"/>
      <c r="BA2345" s="117"/>
      <c r="BB2345" s="117"/>
      <c r="BC2345" s="117"/>
      <c r="BD2345" s="117"/>
      <c r="BE2345" s="117"/>
      <c r="BF2345" s="117"/>
      <c r="BG2345" s="117"/>
    </row>
    <row r="2346" spans="1:59">
      <c r="A2346" s="117"/>
      <c r="B2346" s="117"/>
      <c r="C2346" s="117"/>
      <c r="D2346" s="117"/>
      <c r="E2346" s="117"/>
      <c r="F2346" s="117"/>
      <c r="G2346" s="117"/>
      <c r="H2346" s="117"/>
      <c r="I2346" s="117"/>
      <c r="J2346" s="118"/>
      <c r="K2346" s="118"/>
      <c r="L2346" s="118"/>
      <c r="M2346" s="118"/>
      <c r="N2346" s="117"/>
      <c r="O2346" s="117"/>
      <c r="P2346" s="117"/>
      <c r="Q2346" s="117"/>
      <c r="R2346" s="117"/>
      <c r="S2346" s="117"/>
      <c r="T2346" s="117"/>
      <c r="U2346" s="117"/>
      <c r="V2346" s="117"/>
      <c r="W2346" s="117"/>
      <c r="X2346" s="117"/>
      <c r="Y2346" s="117"/>
      <c r="Z2346" s="117"/>
      <c r="AA2346" s="117"/>
      <c r="AB2346" s="117"/>
      <c r="AC2346" s="117"/>
      <c r="AD2346" s="117"/>
      <c r="AE2346" s="117"/>
      <c r="AF2346" s="117"/>
      <c r="AG2346" s="117"/>
      <c r="AH2346" s="117"/>
      <c r="AI2346" s="117"/>
      <c r="AJ2346" s="117"/>
      <c r="AK2346" s="117"/>
      <c r="AL2346" s="117"/>
      <c r="AM2346" s="117"/>
      <c r="AN2346" s="117"/>
      <c r="AO2346" s="117"/>
      <c r="AP2346" s="117"/>
      <c r="AQ2346" s="117"/>
      <c r="AR2346" s="117"/>
      <c r="AS2346" s="117"/>
      <c r="AT2346" s="117"/>
      <c r="AU2346" s="117"/>
      <c r="AV2346" s="117"/>
      <c r="AW2346" s="117"/>
      <c r="AX2346" s="117"/>
      <c r="AY2346" s="117"/>
      <c r="AZ2346" s="117"/>
      <c r="BA2346" s="117"/>
      <c r="BB2346" s="117"/>
      <c r="BC2346" s="117"/>
      <c r="BD2346" s="117"/>
      <c r="BE2346" s="117"/>
      <c r="BF2346" s="117"/>
      <c r="BG2346" s="117"/>
    </row>
    <row r="2347" spans="1:59">
      <c r="A2347" s="117"/>
      <c r="B2347" s="117"/>
      <c r="C2347" s="117"/>
      <c r="D2347" s="117"/>
      <c r="E2347" s="117"/>
      <c r="F2347" s="117"/>
      <c r="G2347" s="117"/>
      <c r="H2347" s="117"/>
      <c r="I2347" s="117"/>
      <c r="J2347" s="118"/>
      <c r="K2347" s="118"/>
      <c r="L2347" s="118"/>
      <c r="M2347" s="118"/>
      <c r="N2347" s="117"/>
      <c r="O2347" s="117"/>
      <c r="P2347" s="117"/>
      <c r="Q2347" s="117"/>
      <c r="R2347" s="117"/>
      <c r="S2347" s="117"/>
      <c r="T2347" s="117"/>
      <c r="U2347" s="117"/>
      <c r="V2347" s="117"/>
      <c r="W2347" s="117"/>
      <c r="X2347" s="117"/>
      <c r="Y2347" s="117"/>
      <c r="Z2347" s="117"/>
      <c r="AA2347" s="117"/>
      <c r="AB2347" s="117"/>
      <c r="AC2347" s="117"/>
      <c r="AD2347" s="117"/>
      <c r="AE2347" s="117"/>
      <c r="AF2347" s="117"/>
      <c r="AG2347" s="117"/>
      <c r="AH2347" s="117"/>
      <c r="AI2347" s="117"/>
      <c r="AJ2347" s="117"/>
      <c r="AK2347" s="117"/>
      <c r="AL2347" s="117"/>
      <c r="AM2347" s="117"/>
      <c r="AN2347" s="117"/>
      <c r="AO2347" s="117"/>
      <c r="AP2347" s="117"/>
      <c r="AQ2347" s="117"/>
      <c r="AR2347" s="117"/>
      <c r="AS2347" s="117"/>
      <c r="AT2347" s="117"/>
      <c r="AU2347" s="117"/>
      <c r="AV2347" s="117"/>
      <c r="AW2347" s="117"/>
      <c r="AX2347" s="117"/>
      <c r="AY2347" s="117"/>
      <c r="AZ2347" s="117"/>
      <c r="BA2347" s="117"/>
      <c r="BB2347" s="117"/>
      <c r="BC2347" s="117"/>
      <c r="BD2347" s="117"/>
      <c r="BE2347" s="117"/>
      <c r="BF2347" s="117"/>
      <c r="BG2347" s="117"/>
    </row>
    <row r="2348" spans="1:59">
      <c r="A2348" s="117"/>
      <c r="B2348" s="117"/>
      <c r="C2348" s="117"/>
      <c r="D2348" s="117"/>
      <c r="E2348" s="117"/>
      <c r="F2348" s="117"/>
      <c r="G2348" s="117"/>
      <c r="H2348" s="117"/>
      <c r="I2348" s="117"/>
      <c r="J2348" s="118"/>
      <c r="K2348" s="118"/>
      <c r="L2348" s="118"/>
      <c r="M2348" s="118"/>
      <c r="N2348" s="117"/>
      <c r="O2348" s="117"/>
      <c r="P2348" s="117"/>
      <c r="Q2348" s="117"/>
      <c r="R2348" s="117"/>
      <c r="S2348" s="117"/>
      <c r="T2348" s="117"/>
      <c r="U2348" s="117"/>
      <c r="V2348" s="117"/>
      <c r="W2348" s="117"/>
      <c r="X2348" s="117"/>
      <c r="Y2348" s="117"/>
      <c r="Z2348" s="117"/>
      <c r="AA2348" s="117"/>
      <c r="AB2348" s="117"/>
      <c r="AC2348" s="117"/>
      <c r="AD2348" s="117"/>
      <c r="AE2348" s="117"/>
      <c r="AF2348" s="117"/>
      <c r="AG2348" s="117"/>
      <c r="AH2348" s="117"/>
      <c r="AI2348" s="117"/>
      <c r="AJ2348" s="117"/>
      <c r="AK2348" s="117"/>
      <c r="AL2348" s="117"/>
      <c r="AM2348" s="117"/>
      <c r="AN2348" s="117"/>
      <c r="AO2348" s="117"/>
      <c r="AP2348" s="117"/>
      <c r="AQ2348" s="117"/>
      <c r="AR2348" s="117"/>
      <c r="AS2348" s="117"/>
      <c r="AT2348" s="117"/>
      <c r="AU2348" s="117"/>
      <c r="AV2348" s="117"/>
      <c r="AW2348" s="117"/>
      <c r="AX2348" s="117"/>
      <c r="AY2348" s="117"/>
      <c r="AZ2348" s="117"/>
      <c r="BA2348" s="117"/>
      <c r="BB2348" s="117"/>
      <c r="BC2348" s="117"/>
      <c r="BD2348" s="117"/>
      <c r="BE2348" s="117"/>
      <c r="BF2348" s="117"/>
      <c r="BG2348" s="117"/>
    </row>
    <row r="2349" spans="1:59">
      <c r="A2349" s="117"/>
      <c r="B2349" s="117"/>
      <c r="C2349" s="117"/>
      <c r="D2349" s="117"/>
      <c r="E2349" s="117"/>
      <c r="F2349" s="117"/>
      <c r="G2349" s="117"/>
      <c r="H2349" s="117"/>
      <c r="I2349" s="117"/>
      <c r="J2349" s="118"/>
      <c r="K2349" s="118"/>
      <c r="L2349" s="118"/>
      <c r="M2349" s="118"/>
      <c r="N2349" s="117"/>
      <c r="O2349" s="117"/>
      <c r="P2349" s="117"/>
      <c r="Q2349" s="117"/>
      <c r="R2349" s="117"/>
      <c r="S2349" s="117"/>
      <c r="T2349" s="117"/>
      <c r="U2349" s="117"/>
      <c r="V2349" s="117"/>
      <c r="W2349" s="117"/>
      <c r="X2349" s="117"/>
      <c r="Y2349" s="117"/>
      <c r="Z2349" s="117"/>
      <c r="AA2349" s="117"/>
      <c r="AB2349" s="117"/>
      <c r="AC2349" s="117"/>
      <c r="AD2349" s="117"/>
      <c r="AE2349" s="117"/>
      <c r="AF2349" s="117"/>
      <c r="AG2349" s="117"/>
      <c r="AH2349" s="117"/>
      <c r="AI2349" s="117"/>
      <c r="AJ2349" s="117"/>
      <c r="AK2349" s="117"/>
      <c r="AL2349" s="117"/>
      <c r="AM2349" s="117"/>
      <c r="AN2349" s="117"/>
      <c r="AO2349" s="117"/>
      <c r="AP2349" s="117"/>
      <c r="AQ2349" s="117"/>
      <c r="AR2349" s="117"/>
      <c r="AS2349" s="117"/>
      <c r="AT2349" s="117"/>
      <c r="AU2349" s="117"/>
      <c r="AV2349" s="117"/>
      <c r="AW2349" s="117"/>
      <c r="AX2349" s="117"/>
      <c r="AY2349" s="117"/>
      <c r="AZ2349" s="117"/>
      <c r="BA2349" s="117"/>
      <c r="BB2349" s="117"/>
      <c r="BC2349" s="117"/>
      <c r="BD2349" s="117"/>
      <c r="BE2349" s="117"/>
      <c r="BF2349" s="117"/>
      <c r="BG2349" s="117"/>
    </row>
    <row r="2350" spans="1:59">
      <c r="A2350" s="117"/>
      <c r="B2350" s="117"/>
      <c r="C2350" s="117"/>
      <c r="D2350" s="117"/>
      <c r="E2350" s="117"/>
      <c r="F2350" s="117"/>
      <c r="G2350" s="117"/>
      <c r="H2350" s="117"/>
      <c r="I2350" s="117"/>
      <c r="J2350" s="118"/>
      <c r="K2350" s="118"/>
      <c r="L2350" s="118"/>
      <c r="M2350" s="118"/>
      <c r="N2350" s="117"/>
      <c r="O2350" s="117"/>
      <c r="P2350" s="117"/>
      <c r="Q2350" s="117"/>
      <c r="R2350" s="117"/>
      <c r="S2350" s="117"/>
      <c r="T2350" s="117"/>
      <c r="U2350" s="117"/>
      <c r="V2350" s="117"/>
      <c r="W2350" s="117"/>
      <c r="X2350" s="117"/>
      <c r="Y2350" s="117"/>
      <c r="Z2350" s="117"/>
      <c r="AA2350" s="117"/>
      <c r="AB2350" s="117"/>
      <c r="AC2350" s="117"/>
      <c r="AD2350" s="117"/>
      <c r="AE2350" s="117"/>
      <c r="AF2350" s="117"/>
      <c r="AG2350" s="117"/>
      <c r="AH2350" s="117"/>
      <c r="AI2350" s="117"/>
      <c r="AJ2350" s="117"/>
      <c r="AK2350" s="117"/>
      <c r="AL2350" s="117"/>
      <c r="AM2350" s="117"/>
      <c r="AN2350" s="117"/>
      <c r="AO2350" s="117"/>
      <c r="AP2350" s="117"/>
      <c r="AQ2350" s="117"/>
      <c r="AR2350" s="117"/>
      <c r="AS2350" s="117"/>
      <c r="AT2350" s="117"/>
      <c r="AU2350" s="117"/>
      <c r="AV2350" s="117"/>
      <c r="AW2350" s="117"/>
      <c r="AX2350" s="117"/>
      <c r="AY2350" s="117"/>
      <c r="AZ2350" s="117"/>
      <c r="BA2350" s="117"/>
      <c r="BB2350" s="117"/>
      <c r="BC2350" s="117"/>
      <c r="BD2350" s="117"/>
      <c r="BE2350" s="117"/>
      <c r="BF2350" s="117"/>
      <c r="BG2350" s="117"/>
    </row>
    <row r="2351" spans="1:59">
      <c r="A2351" s="117"/>
      <c r="B2351" s="117"/>
      <c r="C2351" s="117"/>
      <c r="D2351" s="117"/>
      <c r="E2351" s="117"/>
      <c r="F2351" s="117"/>
      <c r="G2351" s="117"/>
      <c r="H2351" s="117"/>
      <c r="I2351" s="117"/>
      <c r="J2351" s="118"/>
      <c r="K2351" s="118"/>
      <c r="L2351" s="118"/>
      <c r="M2351" s="118"/>
      <c r="N2351" s="117"/>
      <c r="O2351" s="117"/>
      <c r="P2351" s="117"/>
      <c r="Q2351" s="117"/>
      <c r="R2351" s="117"/>
      <c r="S2351" s="117"/>
      <c r="T2351" s="117"/>
      <c r="U2351" s="117"/>
      <c r="V2351" s="117"/>
      <c r="W2351" s="117"/>
      <c r="X2351" s="117"/>
      <c r="Y2351" s="117"/>
      <c r="Z2351" s="117"/>
      <c r="AA2351" s="117"/>
      <c r="AB2351" s="117"/>
      <c r="AC2351" s="117"/>
      <c r="AD2351" s="117"/>
      <c r="AE2351" s="117"/>
      <c r="AF2351" s="117"/>
      <c r="AG2351" s="117"/>
      <c r="AH2351" s="117"/>
      <c r="AI2351" s="117"/>
      <c r="AJ2351" s="117"/>
      <c r="AK2351" s="117"/>
      <c r="AL2351" s="117"/>
      <c r="AM2351" s="117"/>
      <c r="AN2351" s="117"/>
      <c r="AO2351" s="117"/>
      <c r="AP2351" s="117"/>
      <c r="AQ2351" s="117"/>
      <c r="AR2351" s="117"/>
      <c r="AS2351" s="117"/>
      <c r="AT2351" s="117"/>
      <c r="AU2351" s="117"/>
      <c r="AV2351" s="117"/>
      <c r="AW2351" s="117"/>
      <c r="AX2351" s="117"/>
      <c r="AY2351" s="117"/>
      <c r="AZ2351" s="117"/>
      <c r="BA2351" s="117"/>
      <c r="BB2351" s="117"/>
      <c r="BC2351" s="117"/>
      <c r="BD2351" s="117"/>
      <c r="BE2351" s="117"/>
      <c r="BF2351" s="117"/>
      <c r="BG2351" s="117"/>
    </row>
    <row r="2352" spans="1:59">
      <c r="A2352" s="117"/>
      <c r="B2352" s="117"/>
      <c r="C2352" s="117"/>
      <c r="D2352" s="117"/>
      <c r="E2352" s="117"/>
      <c r="F2352" s="117"/>
      <c r="G2352" s="117"/>
      <c r="H2352" s="117"/>
      <c r="I2352" s="117"/>
      <c r="J2352" s="118"/>
      <c r="K2352" s="118"/>
      <c r="L2352" s="118"/>
      <c r="M2352" s="118"/>
      <c r="N2352" s="117"/>
      <c r="O2352" s="117"/>
      <c r="P2352" s="117"/>
      <c r="Q2352" s="117"/>
      <c r="R2352" s="117"/>
      <c r="S2352" s="117"/>
      <c r="T2352" s="117"/>
      <c r="U2352" s="117"/>
      <c r="V2352" s="117"/>
      <c r="W2352" s="117"/>
      <c r="X2352" s="117"/>
      <c r="Y2352" s="117"/>
      <c r="Z2352" s="117"/>
      <c r="AA2352" s="117"/>
      <c r="AB2352" s="117"/>
      <c r="AC2352" s="117"/>
      <c r="AD2352" s="117"/>
      <c r="AE2352" s="117"/>
      <c r="AF2352" s="117"/>
      <c r="AG2352" s="117"/>
      <c r="AH2352" s="117"/>
      <c r="AI2352" s="117"/>
      <c r="AJ2352" s="117"/>
      <c r="AK2352" s="117"/>
      <c r="AL2352" s="117"/>
      <c r="AM2352" s="117"/>
      <c r="AN2352" s="117"/>
      <c r="AO2352" s="117"/>
      <c r="AP2352" s="117"/>
      <c r="AQ2352" s="117"/>
      <c r="AR2352" s="117"/>
      <c r="AS2352" s="117"/>
      <c r="AT2352" s="117"/>
      <c r="AU2352" s="117"/>
      <c r="AV2352" s="117"/>
      <c r="AW2352" s="117"/>
      <c r="AX2352" s="117"/>
      <c r="AY2352" s="117"/>
      <c r="AZ2352" s="117"/>
      <c r="BA2352" s="117"/>
      <c r="BB2352" s="117"/>
      <c r="BC2352" s="117"/>
      <c r="BD2352" s="117"/>
      <c r="BE2352" s="117"/>
      <c r="BF2352" s="117"/>
      <c r="BG2352" s="117"/>
    </row>
    <row r="2353" spans="1:59">
      <c r="A2353" s="117"/>
      <c r="B2353" s="117"/>
      <c r="C2353" s="117"/>
      <c r="D2353" s="117"/>
      <c r="E2353" s="117"/>
      <c r="F2353" s="117"/>
      <c r="G2353" s="117"/>
      <c r="H2353" s="117"/>
      <c r="I2353" s="117"/>
      <c r="J2353" s="118"/>
      <c r="K2353" s="118"/>
      <c r="L2353" s="118"/>
      <c r="M2353" s="118"/>
      <c r="N2353" s="117"/>
      <c r="O2353" s="117"/>
      <c r="P2353" s="117"/>
      <c r="Q2353" s="117"/>
      <c r="R2353" s="117"/>
      <c r="S2353" s="117"/>
      <c r="T2353" s="117"/>
      <c r="U2353" s="117"/>
      <c r="V2353" s="117"/>
      <c r="W2353" s="117"/>
      <c r="X2353" s="117"/>
      <c r="Y2353" s="117"/>
      <c r="Z2353" s="117"/>
      <c r="AA2353" s="117"/>
      <c r="AB2353" s="117"/>
      <c r="AC2353" s="117"/>
      <c r="AD2353" s="117"/>
      <c r="AE2353" s="117"/>
      <c r="AF2353" s="117"/>
      <c r="AG2353" s="117"/>
      <c r="AH2353" s="117"/>
      <c r="AI2353" s="117"/>
      <c r="AJ2353" s="117"/>
      <c r="AK2353" s="117"/>
      <c r="AL2353" s="117"/>
      <c r="AM2353" s="117"/>
      <c r="AN2353" s="117"/>
      <c r="AO2353" s="117"/>
      <c r="AP2353" s="117"/>
      <c r="AQ2353" s="117"/>
      <c r="AR2353" s="117"/>
      <c r="AS2353" s="117"/>
      <c r="AT2353" s="117"/>
      <c r="AU2353" s="117"/>
      <c r="AV2353" s="117"/>
      <c r="AW2353" s="117"/>
      <c r="AX2353" s="117"/>
      <c r="AY2353" s="117"/>
      <c r="AZ2353" s="117"/>
      <c r="BA2353" s="117"/>
      <c r="BB2353" s="117"/>
      <c r="BC2353" s="117"/>
      <c r="BD2353" s="117"/>
      <c r="BE2353" s="117"/>
      <c r="BF2353" s="117"/>
      <c r="BG2353" s="117"/>
    </row>
    <row r="2354" spans="1:59">
      <c r="A2354" s="117"/>
      <c r="B2354" s="117"/>
      <c r="C2354" s="117"/>
      <c r="D2354" s="117"/>
      <c r="E2354" s="117"/>
      <c r="F2354" s="117"/>
      <c r="G2354" s="117"/>
      <c r="H2354" s="117"/>
      <c r="I2354" s="117"/>
      <c r="J2354" s="118"/>
      <c r="K2354" s="118"/>
      <c r="L2354" s="118"/>
      <c r="M2354" s="118"/>
      <c r="N2354" s="117"/>
      <c r="O2354" s="117"/>
      <c r="P2354" s="117"/>
      <c r="Q2354" s="117"/>
      <c r="R2354" s="117"/>
      <c r="S2354" s="117"/>
      <c r="T2354" s="117"/>
      <c r="U2354" s="117"/>
      <c r="V2354" s="117"/>
      <c r="W2354" s="117"/>
      <c r="X2354" s="117"/>
      <c r="Y2354" s="117"/>
      <c r="Z2354" s="117"/>
      <c r="AA2354" s="117"/>
      <c r="AB2354" s="117"/>
      <c r="AC2354" s="117"/>
      <c r="AD2354" s="117"/>
      <c r="AE2354" s="117"/>
      <c r="AF2354" s="117"/>
      <c r="AG2354" s="117"/>
      <c r="AH2354" s="117"/>
      <c r="AI2354" s="117"/>
      <c r="AJ2354" s="117"/>
      <c r="AK2354" s="117"/>
      <c r="AL2354" s="117"/>
      <c r="AM2354" s="117"/>
      <c r="AN2354" s="117"/>
      <c r="AO2354" s="117"/>
      <c r="AP2354" s="117"/>
      <c r="AQ2354" s="117"/>
      <c r="AR2354" s="117"/>
      <c r="AS2354" s="117"/>
      <c r="AT2354" s="117"/>
      <c r="AU2354" s="117"/>
      <c r="AV2354" s="117"/>
      <c r="AW2354" s="117"/>
      <c r="AX2354" s="117"/>
      <c r="AY2354" s="117"/>
      <c r="AZ2354" s="117"/>
      <c r="BA2354" s="117"/>
      <c r="BB2354" s="117"/>
      <c r="BC2354" s="117"/>
      <c r="BD2354" s="117"/>
      <c r="BE2354" s="117"/>
      <c r="BF2354" s="117"/>
      <c r="BG2354" s="117"/>
    </row>
    <row r="2355" spans="1:59">
      <c r="A2355" s="117"/>
      <c r="B2355" s="117"/>
      <c r="C2355" s="117"/>
      <c r="D2355" s="117"/>
      <c r="E2355" s="117"/>
      <c r="F2355" s="117"/>
      <c r="G2355" s="117"/>
      <c r="H2355" s="117"/>
      <c r="I2355" s="117"/>
      <c r="J2355" s="118"/>
      <c r="K2355" s="118"/>
      <c r="L2355" s="118"/>
      <c r="M2355" s="118"/>
      <c r="N2355" s="117"/>
      <c r="O2355" s="117"/>
      <c r="P2355" s="117"/>
      <c r="Q2355" s="117"/>
      <c r="R2355" s="117"/>
      <c r="S2355" s="117"/>
      <c r="T2355" s="117"/>
      <c r="U2355" s="117"/>
      <c r="V2355" s="117"/>
      <c r="W2355" s="117"/>
      <c r="X2355" s="117"/>
      <c r="Y2355" s="117"/>
      <c r="Z2355" s="117"/>
      <c r="AA2355" s="117"/>
      <c r="AB2355" s="117"/>
      <c r="AC2355" s="117"/>
      <c r="AD2355" s="117"/>
      <c r="AE2355" s="117"/>
      <c r="AF2355" s="117"/>
      <c r="AG2355" s="117"/>
      <c r="AH2355" s="117"/>
      <c r="AI2355" s="117"/>
      <c r="AJ2355" s="117"/>
      <c r="AK2355" s="117"/>
      <c r="AL2355" s="117"/>
      <c r="AM2355" s="117"/>
      <c r="AN2355" s="117"/>
      <c r="AO2355" s="117"/>
      <c r="AP2355" s="117"/>
      <c r="AQ2355" s="117"/>
      <c r="AR2355" s="117"/>
      <c r="AS2355" s="117"/>
      <c r="AT2355" s="117"/>
      <c r="AU2355" s="117"/>
      <c r="AV2355" s="117"/>
      <c r="AW2355" s="117"/>
      <c r="AX2355" s="117"/>
      <c r="AY2355" s="117"/>
      <c r="AZ2355" s="117"/>
      <c r="BA2355" s="117"/>
      <c r="BB2355" s="117"/>
      <c r="BC2355" s="117"/>
      <c r="BD2355" s="117"/>
      <c r="BE2355" s="117"/>
      <c r="BF2355" s="117"/>
      <c r="BG2355" s="117"/>
    </row>
    <row r="2356" spans="1:59">
      <c r="A2356" s="117"/>
      <c r="B2356" s="117"/>
      <c r="C2356" s="117"/>
      <c r="D2356" s="117"/>
      <c r="E2356" s="117"/>
      <c r="F2356" s="117"/>
      <c r="G2356" s="117"/>
      <c r="H2356" s="117"/>
      <c r="I2356" s="117"/>
      <c r="J2356" s="118"/>
      <c r="K2356" s="118"/>
      <c r="L2356" s="118"/>
      <c r="M2356" s="118"/>
      <c r="N2356" s="117"/>
      <c r="O2356" s="117"/>
      <c r="P2356" s="117"/>
      <c r="Q2356" s="117"/>
      <c r="R2356" s="117"/>
      <c r="S2356" s="117"/>
      <c r="T2356" s="117"/>
      <c r="U2356" s="117"/>
      <c r="V2356" s="117"/>
      <c r="W2356" s="117"/>
      <c r="X2356" s="117"/>
      <c r="Y2356" s="117"/>
      <c r="Z2356" s="117"/>
      <c r="AA2356" s="117"/>
      <c r="AB2356" s="117"/>
      <c r="AC2356" s="117"/>
      <c r="AD2356" s="117"/>
      <c r="AE2356" s="117"/>
      <c r="AF2356" s="117"/>
      <c r="AG2356" s="117"/>
      <c r="AH2356" s="117"/>
      <c r="AI2356" s="117"/>
      <c r="AJ2356" s="117"/>
      <c r="AK2356" s="117"/>
      <c r="AL2356" s="117"/>
      <c r="AM2356" s="117"/>
      <c r="AN2356" s="117"/>
      <c r="AO2356" s="117"/>
      <c r="AP2356" s="117"/>
      <c r="AQ2356" s="117"/>
      <c r="AR2356" s="117"/>
      <c r="AS2356" s="117"/>
      <c r="AT2356" s="117"/>
      <c r="AU2356" s="117"/>
      <c r="AV2356" s="117"/>
      <c r="AW2356" s="117"/>
      <c r="AX2356" s="117"/>
      <c r="AY2356" s="117"/>
      <c r="AZ2356" s="117"/>
      <c r="BA2356" s="117"/>
      <c r="BB2356" s="117"/>
      <c r="BC2356" s="117"/>
      <c r="BD2356" s="117"/>
      <c r="BE2356" s="117"/>
      <c r="BF2356" s="117"/>
      <c r="BG2356" s="117"/>
    </row>
    <row r="2357" spans="1:59">
      <c r="A2357" s="117"/>
      <c r="B2357" s="117"/>
      <c r="C2357" s="117"/>
      <c r="D2357" s="117"/>
      <c r="E2357" s="117"/>
      <c r="F2357" s="117"/>
      <c r="G2357" s="117"/>
      <c r="H2357" s="117"/>
      <c r="I2357" s="117"/>
      <c r="J2357" s="118"/>
      <c r="K2357" s="118"/>
      <c r="L2357" s="118"/>
      <c r="M2357" s="118"/>
      <c r="N2357" s="117"/>
      <c r="O2357" s="117"/>
      <c r="P2357" s="117"/>
      <c r="Q2357" s="117"/>
      <c r="R2357" s="117"/>
      <c r="S2357" s="117"/>
      <c r="T2357" s="117"/>
      <c r="U2357" s="117"/>
      <c r="V2357" s="117"/>
      <c r="W2357" s="117"/>
      <c r="X2357" s="117"/>
      <c r="Y2357" s="117"/>
      <c r="Z2357" s="117"/>
      <c r="AA2357" s="117"/>
      <c r="AB2357" s="117"/>
      <c r="AC2357" s="117"/>
      <c r="AD2357" s="117"/>
      <c r="AE2357" s="117"/>
      <c r="AF2357" s="117"/>
      <c r="AG2357" s="117"/>
      <c r="AH2357" s="117"/>
      <c r="AI2357" s="117"/>
      <c r="AJ2357" s="117"/>
      <c r="AK2357" s="117"/>
      <c r="AL2357" s="117"/>
      <c r="AM2357" s="117"/>
      <c r="AN2357" s="117"/>
      <c r="AO2357" s="117"/>
      <c r="AP2357" s="117"/>
      <c r="AQ2357" s="117"/>
      <c r="AR2357" s="117"/>
      <c r="AS2357" s="117"/>
      <c r="AT2357" s="117"/>
      <c r="AU2357" s="117"/>
      <c r="AV2357" s="117"/>
      <c r="AW2357" s="117"/>
      <c r="AX2357" s="117"/>
      <c r="AY2357" s="117"/>
      <c r="AZ2357" s="117"/>
      <c r="BA2357" s="117"/>
      <c r="BB2357" s="117"/>
      <c r="BC2357" s="117"/>
      <c r="BD2357" s="117"/>
      <c r="BE2357" s="117"/>
      <c r="BF2357" s="117"/>
      <c r="BG2357" s="117"/>
    </row>
    <row r="2358" spans="1:59">
      <c r="A2358" s="117"/>
      <c r="B2358" s="117"/>
      <c r="C2358" s="117"/>
      <c r="D2358" s="117"/>
      <c r="E2358" s="117"/>
      <c r="F2358" s="117"/>
      <c r="G2358" s="117"/>
      <c r="H2358" s="117"/>
      <c r="I2358" s="117"/>
      <c r="J2358" s="118"/>
      <c r="K2358" s="118"/>
      <c r="L2358" s="118"/>
      <c r="M2358" s="118"/>
      <c r="N2358" s="117"/>
      <c r="O2358" s="117"/>
      <c r="P2358" s="117"/>
      <c r="Q2358" s="117"/>
      <c r="R2358" s="117"/>
      <c r="S2358" s="117"/>
      <c r="T2358" s="117"/>
      <c r="U2358" s="117"/>
      <c r="V2358" s="117"/>
      <c r="W2358" s="117"/>
      <c r="X2358" s="117"/>
      <c r="Y2358" s="117"/>
      <c r="Z2358" s="117"/>
      <c r="AA2358" s="117"/>
      <c r="AB2358" s="117"/>
      <c r="AC2358" s="117"/>
      <c r="AD2358" s="117"/>
      <c r="AE2358" s="117"/>
      <c r="AF2358" s="117"/>
      <c r="AG2358" s="117"/>
      <c r="AH2358" s="117"/>
      <c r="AI2358" s="117"/>
      <c r="AJ2358" s="117"/>
      <c r="AK2358" s="117"/>
      <c r="AL2358" s="117"/>
      <c r="AM2358" s="117"/>
      <c r="AN2358" s="117"/>
      <c r="AO2358" s="117"/>
      <c r="AP2358" s="117"/>
      <c r="AQ2358" s="117"/>
      <c r="AR2358" s="117"/>
      <c r="AS2358" s="117"/>
      <c r="AT2358" s="117"/>
      <c r="AU2358" s="117"/>
      <c r="AV2358" s="117"/>
      <c r="AW2358" s="117"/>
      <c r="AX2358" s="117"/>
      <c r="AY2358" s="117"/>
      <c r="AZ2358" s="117"/>
      <c r="BA2358" s="117"/>
      <c r="BB2358" s="117"/>
      <c r="BC2358" s="117"/>
      <c r="BD2358" s="117"/>
      <c r="BE2358" s="117"/>
      <c r="BF2358" s="117"/>
      <c r="BG2358" s="117"/>
    </row>
    <row r="2359" spans="1:59">
      <c r="A2359" s="117"/>
      <c r="B2359" s="117"/>
      <c r="C2359" s="117"/>
      <c r="D2359" s="117"/>
      <c r="E2359" s="117"/>
      <c r="F2359" s="117"/>
      <c r="G2359" s="117"/>
      <c r="H2359" s="117"/>
      <c r="I2359" s="117"/>
      <c r="J2359" s="118"/>
      <c r="K2359" s="118"/>
      <c r="L2359" s="118"/>
      <c r="M2359" s="118"/>
      <c r="N2359" s="117"/>
      <c r="O2359" s="117"/>
      <c r="P2359" s="117"/>
      <c r="Q2359" s="117"/>
      <c r="R2359" s="117"/>
      <c r="S2359" s="117"/>
      <c r="T2359" s="117"/>
      <c r="U2359" s="117"/>
      <c r="V2359" s="117"/>
      <c r="W2359" s="117"/>
      <c r="X2359" s="117"/>
      <c r="Y2359" s="117"/>
      <c r="Z2359" s="117"/>
      <c r="AA2359" s="117"/>
      <c r="AB2359" s="117"/>
      <c r="AC2359" s="117"/>
      <c r="AD2359" s="117"/>
      <c r="AE2359" s="117"/>
      <c r="AF2359" s="117"/>
      <c r="AG2359" s="117"/>
      <c r="AH2359" s="117"/>
      <c r="AI2359" s="117"/>
      <c r="AJ2359" s="117"/>
      <c r="AK2359" s="117"/>
      <c r="AL2359" s="117"/>
      <c r="AM2359" s="117"/>
      <c r="AN2359" s="117"/>
      <c r="AO2359" s="117"/>
      <c r="AP2359" s="117"/>
      <c r="AQ2359" s="117"/>
      <c r="AR2359" s="117"/>
      <c r="AS2359" s="117"/>
      <c r="AT2359" s="117"/>
      <c r="AU2359" s="117"/>
      <c r="AV2359" s="117"/>
      <c r="AW2359" s="117"/>
      <c r="AX2359" s="117"/>
      <c r="AY2359" s="117"/>
      <c r="AZ2359" s="117"/>
      <c r="BA2359" s="117"/>
      <c r="BB2359" s="117"/>
      <c r="BC2359" s="117"/>
      <c r="BD2359" s="117"/>
      <c r="BE2359" s="117"/>
      <c r="BF2359" s="117"/>
      <c r="BG2359" s="117"/>
    </row>
    <row r="2360" spans="1:59">
      <c r="A2360" s="117"/>
      <c r="B2360" s="117"/>
      <c r="C2360" s="117"/>
      <c r="D2360" s="117"/>
      <c r="E2360" s="117"/>
      <c r="F2360" s="117"/>
      <c r="G2360" s="117"/>
      <c r="H2360" s="117"/>
      <c r="I2360" s="117"/>
      <c r="J2360" s="118"/>
      <c r="K2360" s="118"/>
      <c r="L2360" s="118"/>
      <c r="M2360" s="118"/>
      <c r="N2360" s="117"/>
      <c r="O2360" s="117"/>
      <c r="P2360" s="117"/>
      <c r="Q2360" s="117"/>
      <c r="R2360" s="117"/>
      <c r="S2360" s="117"/>
      <c r="T2360" s="117"/>
      <c r="U2360" s="117"/>
      <c r="V2360" s="117"/>
      <c r="W2360" s="117"/>
      <c r="X2360" s="117"/>
      <c r="Y2360" s="117"/>
      <c r="Z2360" s="117"/>
      <c r="AA2360" s="117"/>
      <c r="AB2360" s="117"/>
      <c r="AC2360" s="117"/>
      <c r="AD2360" s="117"/>
      <c r="AE2360" s="117"/>
      <c r="AF2360" s="117"/>
      <c r="AG2360" s="117"/>
      <c r="AH2360" s="117"/>
      <c r="AI2360" s="117"/>
      <c r="AJ2360" s="117"/>
      <c r="AK2360" s="117"/>
      <c r="AL2360" s="117"/>
      <c r="AM2360" s="117"/>
      <c r="AN2360" s="117"/>
      <c r="AO2360" s="117"/>
      <c r="AP2360" s="117"/>
      <c r="AQ2360" s="117"/>
      <c r="AR2360" s="117"/>
      <c r="AS2360" s="117"/>
      <c r="AT2360" s="117"/>
      <c r="AU2360" s="117"/>
      <c r="AV2360" s="117"/>
      <c r="AW2360" s="117"/>
      <c r="AX2360" s="117"/>
      <c r="AY2360" s="117"/>
      <c r="AZ2360" s="117"/>
      <c r="BA2360" s="117"/>
      <c r="BB2360" s="117"/>
      <c r="BC2360" s="117"/>
      <c r="BD2360" s="117"/>
      <c r="BE2360" s="117"/>
      <c r="BF2360" s="117"/>
      <c r="BG2360" s="117"/>
    </row>
    <row r="2361" spans="1:59">
      <c r="A2361" s="117"/>
      <c r="B2361" s="117"/>
      <c r="C2361" s="117"/>
      <c r="D2361" s="117"/>
      <c r="E2361" s="117"/>
      <c r="F2361" s="117"/>
      <c r="G2361" s="117"/>
      <c r="H2361" s="117"/>
      <c r="I2361" s="117"/>
      <c r="J2361" s="118"/>
      <c r="K2361" s="118"/>
      <c r="L2361" s="118"/>
      <c r="M2361" s="118"/>
      <c r="N2361" s="117"/>
      <c r="O2361" s="117"/>
      <c r="P2361" s="117"/>
      <c r="Q2361" s="117"/>
      <c r="R2361" s="117"/>
      <c r="S2361" s="117"/>
      <c r="T2361" s="117"/>
      <c r="U2361" s="117"/>
      <c r="V2361" s="117"/>
      <c r="W2361" s="117"/>
      <c r="X2361" s="117"/>
      <c r="Y2361" s="117"/>
      <c r="Z2361" s="117"/>
      <c r="AA2361" s="117"/>
      <c r="AB2361" s="117"/>
      <c r="AC2361" s="117"/>
      <c r="AD2361" s="117"/>
      <c r="AE2361" s="117"/>
      <c r="AF2361" s="117"/>
      <c r="AG2361" s="117"/>
      <c r="AH2361" s="117"/>
      <c r="AI2361" s="117"/>
      <c r="AJ2361" s="117"/>
      <c r="AK2361" s="117"/>
      <c r="AL2361" s="117"/>
      <c r="AM2361" s="117"/>
      <c r="AN2361" s="117"/>
      <c r="AO2361" s="117"/>
      <c r="AP2361" s="117"/>
      <c r="AQ2361" s="117"/>
      <c r="AR2361" s="117"/>
      <c r="AS2361" s="117"/>
      <c r="AT2361" s="117"/>
      <c r="AU2361" s="117"/>
      <c r="AV2361" s="117"/>
      <c r="AW2361" s="117"/>
      <c r="AX2361" s="117"/>
      <c r="AY2361" s="117"/>
      <c r="AZ2361" s="117"/>
      <c r="BA2361" s="117"/>
      <c r="BB2361" s="117"/>
      <c r="BC2361" s="117"/>
      <c r="BD2361" s="117"/>
      <c r="BE2361" s="117"/>
      <c r="BF2361" s="117"/>
      <c r="BG2361" s="117"/>
    </row>
    <row r="2362" spans="1:59">
      <c r="A2362" s="117"/>
      <c r="B2362" s="117"/>
      <c r="C2362" s="117"/>
      <c r="D2362" s="117"/>
      <c r="E2362" s="117"/>
      <c r="F2362" s="117"/>
      <c r="G2362" s="117"/>
      <c r="H2362" s="117"/>
      <c r="I2362" s="117"/>
      <c r="J2362" s="118"/>
      <c r="K2362" s="118"/>
      <c r="L2362" s="118"/>
      <c r="M2362" s="118"/>
      <c r="N2362" s="117"/>
      <c r="O2362" s="117"/>
      <c r="P2362" s="117"/>
      <c r="Q2362" s="117"/>
      <c r="R2362" s="117"/>
      <c r="S2362" s="117"/>
      <c r="T2362" s="117"/>
      <c r="U2362" s="117"/>
      <c r="V2362" s="117"/>
      <c r="W2362" s="117"/>
      <c r="X2362" s="117"/>
      <c r="Y2362" s="117"/>
      <c r="Z2362" s="117"/>
      <c r="AA2362" s="117"/>
      <c r="AB2362" s="117"/>
      <c r="AC2362" s="117"/>
      <c r="AD2362" s="117"/>
      <c r="AE2362" s="117"/>
      <c r="AF2362" s="117"/>
      <c r="AG2362" s="117"/>
      <c r="AH2362" s="117"/>
      <c r="AI2362" s="117"/>
      <c r="AJ2362" s="117"/>
      <c r="AK2362" s="117"/>
      <c r="AL2362" s="117"/>
      <c r="AM2362" s="117"/>
      <c r="AN2362" s="117"/>
      <c r="AO2362" s="117"/>
      <c r="AP2362" s="117"/>
      <c r="AQ2362" s="117"/>
      <c r="AR2362" s="117"/>
      <c r="AS2362" s="117"/>
      <c r="AT2362" s="117"/>
      <c r="AU2362" s="117"/>
      <c r="AV2362" s="117"/>
      <c r="AW2362" s="117"/>
      <c r="AX2362" s="117"/>
      <c r="AY2362" s="117"/>
      <c r="AZ2362" s="117"/>
      <c r="BA2362" s="117"/>
      <c r="BB2362" s="117"/>
      <c r="BC2362" s="117"/>
      <c r="BD2362" s="117"/>
      <c r="BE2362" s="117"/>
      <c r="BF2362" s="117"/>
      <c r="BG2362" s="117"/>
    </row>
    <row r="2363" spans="1:59">
      <c r="A2363" s="117"/>
      <c r="B2363" s="117"/>
      <c r="C2363" s="117"/>
      <c r="D2363" s="117"/>
      <c r="E2363" s="117"/>
      <c r="F2363" s="117"/>
      <c r="G2363" s="117"/>
      <c r="H2363" s="117"/>
      <c r="I2363" s="117"/>
      <c r="J2363" s="118"/>
      <c r="K2363" s="118"/>
      <c r="L2363" s="118"/>
      <c r="M2363" s="118"/>
      <c r="N2363" s="117"/>
      <c r="O2363" s="117"/>
      <c r="P2363" s="117"/>
      <c r="Q2363" s="117"/>
      <c r="R2363" s="117"/>
      <c r="S2363" s="117"/>
      <c r="T2363" s="117"/>
      <c r="U2363" s="117"/>
      <c r="V2363" s="117"/>
      <c r="W2363" s="117"/>
      <c r="X2363" s="117"/>
      <c r="Y2363" s="117"/>
      <c r="Z2363" s="117"/>
      <c r="AA2363" s="117"/>
      <c r="AB2363" s="117"/>
      <c r="AC2363" s="117"/>
      <c r="AD2363" s="117"/>
      <c r="AE2363" s="117"/>
      <c r="AF2363" s="117"/>
      <c r="AG2363" s="117"/>
      <c r="AH2363" s="117"/>
      <c r="AI2363" s="117"/>
      <c r="AJ2363" s="117"/>
      <c r="AK2363" s="117"/>
      <c r="AL2363" s="117"/>
      <c r="AM2363" s="117"/>
      <c r="AN2363" s="117"/>
      <c r="AO2363" s="117"/>
      <c r="AP2363" s="117"/>
      <c r="AQ2363" s="117"/>
      <c r="AR2363" s="117"/>
      <c r="AS2363" s="117"/>
      <c r="AT2363" s="117"/>
      <c r="AU2363" s="117"/>
      <c r="AV2363" s="117"/>
      <c r="AW2363" s="117"/>
      <c r="AX2363" s="117"/>
      <c r="AY2363" s="117"/>
      <c r="AZ2363" s="117"/>
      <c r="BA2363" s="117"/>
      <c r="BB2363" s="117"/>
      <c r="BC2363" s="117"/>
      <c r="BD2363" s="117"/>
      <c r="BE2363" s="117"/>
      <c r="BF2363" s="117"/>
      <c r="BG2363" s="117"/>
    </row>
    <row r="2364" spans="1:59">
      <c r="A2364" s="117"/>
      <c r="B2364" s="117"/>
      <c r="C2364" s="117"/>
      <c r="D2364" s="117"/>
      <c r="E2364" s="117"/>
      <c r="F2364" s="117"/>
      <c r="G2364" s="117"/>
      <c r="H2364" s="117"/>
      <c r="I2364" s="117"/>
      <c r="J2364" s="118"/>
      <c r="K2364" s="118"/>
      <c r="L2364" s="118"/>
      <c r="M2364" s="118"/>
      <c r="N2364" s="117"/>
      <c r="O2364" s="117"/>
      <c r="P2364" s="117"/>
      <c r="Q2364" s="117"/>
      <c r="R2364" s="117"/>
      <c r="S2364" s="117"/>
      <c r="T2364" s="117"/>
      <c r="U2364" s="117"/>
      <c r="V2364" s="117"/>
      <c r="W2364" s="117"/>
      <c r="X2364" s="117"/>
      <c r="Y2364" s="117"/>
      <c r="Z2364" s="117"/>
      <c r="AA2364" s="117"/>
      <c r="AB2364" s="117"/>
      <c r="AC2364" s="117"/>
      <c r="AD2364" s="117"/>
      <c r="AE2364" s="117"/>
      <c r="AF2364" s="117"/>
      <c r="AG2364" s="117"/>
      <c r="AH2364" s="117"/>
      <c r="AI2364" s="117"/>
      <c r="AJ2364" s="117"/>
      <c r="AK2364" s="117"/>
      <c r="AL2364" s="117"/>
      <c r="AM2364" s="117"/>
      <c r="AN2364" s="117"/>
      <c r="AO2364" s="117"/>
      <c r="AP2364" s="117"/>
      <c r="AQ2364" s="117"/>
      <c r="AR2364" s="117"/>
      <c r="AS2364" s="117"/>
      <c r="AT2364" s="117"/>
      <c r="AU2364" s="117"/>
      <c r="AV2364" s="117"/>
      <c r="AW2364" s="117"/>
      <c r="AX2364" s="117"/>
      <c r="AY2364" s="117"/>
      <c r="AZ2364" s="117"/>
      <c r="BA2364" s="117"/>
      <c r="BB2364" s="117"/>
      <c r="BC2364" s="117"/>
      <c r="BD2364" s="117"/>
      <c r="BE2364" s="117"/>
      <c r="BF2364" s="117"/>
      <c r="BG2364" s="117"/>
    </row>
    <row r="2365" spans="1:59">
      <c r="A2365" s="117"/>
      <c r="B2365" s="117"/>
      <c r="C2365" s="117"/>
      <c r="D2365" s="117"/>
      <c r="E2365" s="117"/>
      <c r="F2365" s="117"/>
      <c r="G2365" s="117"/>
      <c r="H2365" s="117"/>
      <c r="I2365" s="117"/>
      <c r="J2365" s="118"/>
      <c r="K2365" s="118"/>
      <c r="L2365" s="118"/>
      <c r="M2365" s="118"/>
      <c r="N2365" s="117"/>
      <c r="O2365" s="117"/>
      <c r="P2365" s="117"/>
      <c r="Q2365" s="117"/>
      <c r="R2365" s="117"/>
      <c r="S2365" s="117"/>
      <c r="T2365" s="117"/>
      <c r="U2365" s="117"/>
      <c r="V2365" s="117"/>
      <c r="W2365" s="117"/>
      <c r="X2365" s="117"/>
      <c r="Y2365" s="117"/>
      <c r="Z2365" s="117"/>
      <c r="AA2365" s="117"/>
      <c r="AB2365" s="117"/>
      <c r="AC2365" s="117"/>
      <c r="AD2365" s="117"/>
      <c r="AE2365" s="117"/>
      <c r="AF2365" s="117"/>
      <c r="AG2365" s="117"/>
      <c r="AH2365" s="117"/>
      <c r="AI2365" s="117"/>
      <c r="AJ2365" s="117"/>
      <c r="AK2365" s="117"/>
      <c r="AL2365" s="117"/>
      <c r="AM2365" s="117"/>
      <c r="AN2365" s="117"/>
      <c r="AO2365" s="117"/>
      <c r="AP2365" s="117"/>
      <c r="AQ2365" s="117"/>
      <c r="AR2365" s="117"/>
      <c r="AS2365" s="117"/>
      <c r="AT2365" s="117"/>
      <c r="AU2365" s="117"/>
      <c r="AV2365" s="117"/>
      <c r="AW2365" s="117"/>
      <c r="AX2365" s="117"/>
      <c r="AY2365" s="117"/>
      <c r="AZ2365" s="117"/>
      <c r="BA2365" s="117"/>
      <c r="BB2365" s="117"/>
      <c r="BC2365" s="117"/>
      <c r="BD2365" s="117"/>
      <c r="BE2365" s="117"/>
      <c r="BF2365" s="117"/>
      <c r="BG2365" s="117"/>
    </row>
    <row r="2366" spans="1:59">
      <c r="A2366" s="117"/>
      <c r="B2366" s="117"/>
      <c r="C2366" s="117"/>
      <c r="D2366" s="117"/>
      <c r="E2366" s="117"/>
      <c r="F2366" s="117"/>
      <c r="G2366" s="117"/>
      <c r="H2366" s="117"/>
      <c r="I2366" s="117"/>
      <c r="J2366" s="118"/>
      <c r="K2366" s="118"/>
      <c r="L2366" s="118"/>
      <c r="M2366" s="118"/>
      <c r="N2366" s="117"/>
      <c r="O2366" s="117"/>
      <c r="P2366" s="117"/>
      <c r="Q2366" s="117"/>
      <c r="R2366" s="117"/>
      <c r="S2366" s="117"/>
      <c r="T2366" s="117"/>
      <c r="U2366" s="117"/>
      <c r="V2366" s="117"/>
      <c r="W2366" s="117"/>
      <c r="X2366" s="117"/>
      <c r="Y2366" s="117"/>
      <c r="Z2366" s="117"/>
      <c r="AA2366" s="117"/>
      <c r="AB2366" s="117"/>
      <c r="AC2366" s="117"/>
      <c r="AD2366" s="117"/>
      <c r="AE2366" s="117"/>
      <c r="AF2366" s="117"/>
      <c r="AG2366" s="117"/>
      <c r="AH2366" s="117"/>
      <c r="AI2366" s="117"/>
      <c r="AJ2366" s="117"/>
      <c r="AK2366" s="117"/>
      <c r="AL2366" s="117"/>
      <c r="AM2366" s="117"/>
      <c r="AN2366" s="117"/>
      <c r="AO2366" s="117"/>
      <c r="AP2366" s="117"/>
      <c r="AQ2366" s="117"/>
      <c r="AR2366" s="117"/>
      <c r="AS2366" s="117"/>
      <c r="AT2366" s="117"/>
      <c r="AU2366" s="117"/>
      <c r="AV2366" s="117"/>
      <c r="AW2366" s="117"/>
      <c r="AX2366" s="117"/>
      <c r="AY2366" s="117"/>
      <c r="AZ2366" s="117"/>
      <c r="BA2366" s="117"/>
      <c r="BB2366" s="117"/>
      <c r="BC2366" s="117"/>
      <c r="BD2366" s="117"/>
      <c r="BE2366" s="117"/>
      <c r="BF2366" s="117"/>
      <c r="BG2366" s="117"/>
    </row>
    <row r="2367" spans="1:59">
      <c r="A2367" s="117"/>
      <c r="B2367" s="117"/>
      <c r="C2367" s="117"/>
      <c r="D2367" s="117"/>
      <c r="E2367" s="117"/>
      <c r="F2367" s="117"/>
      <c r="G2367" s="117"/>
      <c r="H2367" s="117"/>
      <c r="I2367" s="117"/>
      <c r="J2367" s="118"/>
      <c r="K2367" s="118"/>
      <c r="L2367" s="118"/>
      <c r="M2367" s="118"/>
      <c r="N2367" s="117"/>
      <c r="O2367" s="117"/>
      <c r="P2367" s="117"/>
      <c r="Q2367" s="117"/>
      <c r="R2367" s="117"/>
      <c r="S2367" s="117"/>
      <c r="T2367" s="117"/>
      <c r="U2367" s="117"/>
      <c r="V2367" s="117"/>
      <c r="W2367" s="117"/>
      <c r="X2367" s="117"/>
      <c r="Y2367" s="117"/>
      <c r="Z2367" s="117"/>
      <c r="AA2367" s="117"/>
      <c r="AB2367" s="117"/>
      <c r="AC2367" s="117"/>
      <c r="AD2367" s="117"/>
      <c r="AE2367" s="117"/>
      <c r="AF2367" s="117"/>
      <c r="AG2367" s="117"/>
      <c r="AH2367" s="117"/>
      <c r="AI2367" s="117"/>
      <c r="AJ2367" s="117"/>
      <c r="AK2367" s="117"/>
      <c r="AL2367" s="117"/>
      <c r="AM2367" s="117"/>
      <c r="AN2367" s="117"/>
      <c r="AO2367" s="117"/>
      <c r="AP2367" s="117"/>
      <c r="AQ2367" s="117"/>
      <c r="AR2367" s="117"/>
      <c r="AS2367" s="117"/>
      <c r="AT2367" s="117"/>
      <c r="AU2367" s="117"/>
      <c r="AV2367" s="117"/>
      <c r="AW2367" s="117"/>
      <c r="AX2367" s="117"/>
      <c r="AY2367" s="117"/>
      <c r="AZ2367" s="117"/>
      <c r="BA2367" s="117"/>
      <c r="BB2367" s="117"/>
      <c r="BC2367" s="117"/>
      <c r="BD2367" s="117"/>
      <c r="BE2367" s="117"/>
      <c r="BF2367" s="117"/>
      <c r="BG2367" s="117"/>
    </row>
    <row r="2368" spans="1:59">
      <c r="A2368" s="117"/>
      <c r="B2368" s="117"/>
      <c r="C2368" s="117"/>
      <c r="D2368" s="117"/>
      <c r="E2368" s="117"/>
      <c r="F2368" s="117"/>
      <c r="G2368" s="117"/>
      <c r="H2368" s="117"/>
      <c r="I2368" s="117"/>
      <c r="J2368" s="118"/>
      <c r="K2368" s="118"/>
      <c r="L2368" s="118"/>
      <c r="M2368" s="118"/>
      <c r="N2368" s="117"/>
      <c r="O2368" s="117"/>
      <c r="P2368" s="117"/>
      <c r="Q2368" s="117"/>
      <c r="R2368" s="117"/>
      <c r="S2368" s="117"/>
      <c r="T2368" s="117"/>
      <c r="U2368" s="117"/>
      <c r="V2368" s="117"/>
      <c r="W2368" s="117"/>
      <c r="X2368" s="117"/>
      <c r="Y2368" s="117"/>
      <c r="Z2368" s="117"/>
      <c r="AA2368" s="117"/>
      <c r="AB2368" s="117"/>
      <c r="AC2368" s="117"/>
      <c r="AD2368" s="117"/>
      <c r="AE2368" s="117"/>
      <c r="AF2368" s="117"/>
      <c r="AG2368" s="117"/>
      <c r="AH2368" s="117"/>
      <c r="AI2368" s="117"/>
      <c r="AJ2368" s="117"/>
      <c r="AK2368" s="117"/>
      <c r="AL2368" s="117"/>
      <c r="AM2368" s="117"/>
      <c r="AN2368" s="117"/>
      <c r="AO2368" s="117"/>
      <c r="AP2368" s="117"/>
      <c r="AQ2368" s="117"/>
      <c r="AR2368" s="117"/>
      <c r="AS2368" s="117"/>
      <c r="AT2368" s="117"/>
      <c r="AU2368" s="117"/>
      <c r="AV2368" s="117"/>
      <c r="AW2368" s="117"/>
      <c r="AX2368" s="117"/>
      <c r="AY2368" s="117"/>
      <c r="AZ2368" s="117"/>
      <c r="BA2368" s="117"/>
      <c r="BB2368" s="117"/>
      <c r="BC2368" s="117"/>
      <c r="BD2368" s="117"/>
      <c r="BE2368" s="117"/>
      <c r="BF2368" s="117"/>
      <c r="BG2368" s="117"/>
    </row>
    <row r="2369" spans="1:59">
      <c r="A2369" s="117"/>
      <c r="B2369" s="117"/>
      <c r="C2369" s="117"/>
      <c r="D2369" s="117"/>
      <c r="E2369" s="117"/>
      <c r="F2369" s="117"/>
      <c r="G2369" s="117"/>
      <c r="H2369" s="117"/>
      <c r="I2369" s="117"/>
      <c r="J2369" s="118"/>
      <c r="K2369" s="118"/>
      <c r="L2369" s="118"/>
      <c r="M2369" s="118"/>
      <c r="N2369" s="117"/>
      <c r="O2369" s="117"/>
      <c r="P2369" s="117"/>
      <c r="Q2369" s="117"/>
      <c r="R2369" s="117"/>
      <c r="S2369" s="117"/>
      <c r="T2369" s="117"/>
      <c r="U2369" s="117"/>
      <c r="V2369" s="117"/>
      <c r="W2369" s="117"/>
      <c r="X2369" s="117"/>
      <c r="Y2369" s="117"/>
      <c r="Z2369" s="117"/>
      <c r="AA2369" s="117"/>
      <c r="AB2369" s="117"/>
      <c r="AC2369" s="117"/>
      <c r="AD2369" s="117"/>
      <c r="AE2369" s="117"/>
      <c r="AF2369" s="117"/>
      <c r="AG2369" s="117"/>
      <c r="AH2369" s="117"/>
      <c r="AI2369" s="117"/>
      <c r="AJ2369" s="117"/>
      <c r="AK2369" s="117"/>
      <c r="AL2369" s="117"/>
      <c r="AM2369" s="117"/>
      <c r="AN2369" s="117"/>
      <c r="AO2369" s="117"/>
      <c r="AP2369" s="117"/>
      <c r="AQ2369" s="117"/>
      <c r="AR2369" s="117"/>
      <c r="AS2369" s="117"/>
      <c r="AT2369" s="117"/>
      <c r="AU2369" s="117"/>
      <c r="AV2369" s="117"/>
      <c r="AW2369" s="117"/>
      <c r="AX2369" s="117"/>
      <c r="AY2369" s="117"/>
      <c r="AZ2369" s="117"/>
      <c r="BA2369" s="117"/>
      <c r="BB2369" s="117"/>
      <c r="BC2369" s="117"/>
      <c r="BD2369" s="117"/>
      <c r="BE2369" s="117"/>
      <c r="BF2369" s="117"/>
      <c r="BG2369" s="117"/>
    </row>
    <row r="2370" spans="1:59">
      <c r="A2370" s="117"/>
      <c r="B2370" s="117"/>
      <c r="C2370" s="117"/>
      <c r="D2370" s="117"/>
      <c r="E2370" s="117"/>
      <c r="F2370" s="117"/>
      <c r="G2370" s="117"/>
      <c r="H2370" s="117"/>
      <c r="I2370" s="117"/>
      <c r="J2370" s="118"/>
      <c r="K2370" s="118"/>
      <c r="L2370" s="118"/>
      <c r="M2370" s="118"/>
      <c r="N2370" s="117"/>
      <c r="O2370" s="117"/>
      <c r="P2370" s="117"/>
      <c r="Q2370" s="117"/>
      <c r="R2370" s="117"/>
      <c r="S2370" s="117"/>
      <c r="T2370" s="117"/>
      <c r="U2370" s="117"/>
      <c r="V2370" s="117"/>
      <c r="W2370" s="117"/>
      <c r="X2370" s="117"/>
      <c r="Y2370" s="117"/>
      <c r="Z2370" s="117"/>
      <c r="AA2370" s="117"/>
      <c r="AB2370" s="117"/>
      <c r="AC2370" s="117"/>
      <c r="AD2370" s="117"/>
      <c r="AE2370" s="117"/>
      <c r="AF2370" s="117"/>
      <c r="AG2370" s="117"/>
      <c r="AH2370" s="117"/>
      <c r="AI2370" s="117"/>
      <c r="AJ2370" s="117"/>
      <c r="AK2370" s="117"/>
      <c r="AL2370" s="117"/>
      <c r="AM2370" s="117"/>
      <c r="AN2370" s="117"/>
      <c r="AO2370" s="117"/>
      <c r="AP2370" s="117"/>
      <c r="AQ2370" s="117"/>
      <c r="AR2370" s="117"/>
      <c r="AS2370" s="117"/>
      <c r="AT2370" s="117"/>
      <c r="AU2370" s="117"/>
      <c r="AV2370" s="117"/>
      <c r="AW2370" s="117"/>
      <c r="AX2370" s="117"/>
      <c r="AY2370" s="117"/>
      <c r="AZ2370" s="117"/>
      <c r="BA2370" s="117"/>
      <c r="BB2370" s="117"/>
      <c r="BC2370" s="117"/>
      <c r="BD2370" s="117"/>
      <c r="BE2370" s="117"/>
      <c r="BF2370" s="117"/>
      <c r="BG2370" s="117"/>
    </row>
    <row r="2371" spans="1:59">
      <c r="A2371" s="117"/>
      <c r="B2371" s="117"/>
      <c r="C2371" s="117"/>
      <c r="D2371" s="117"/>
      <c r="E2371" s="117"/>
      <c r="F2371" s="117"/>
      <c r="G2371" s="117"/>
      <c r="H2371" s="117"/>
      <c r="I2371" s="117"/>
      <c r="J2371" s="118"/>
      <c r="K2371" s="118"/>
      <c r="L2371" s="118"/>
      <c r="M2371" s="118"/>
      <c r="N2371" s="117"/>
      <c r="O2371" s="117"/>
      <c r="P2371" s="117"/>
      <c r="Q2371" s="117"/>
      <c r="R2371" s="117"/>
      <c r="S2371" s="117"/>
      <c r="T2371" s="117"/>
      <c r="U2371" s="117"/>
      <c r="V2371" s="117"/>
      <c r="W2371" s="117"/>
      <c r="X2371" s="117"/>
      <c r="Y2371" s="117"/>
      <c r="Z2371" s="117"/>
      <c r="AA2371" s="117"/>
      <c r="AB2371" s="117"/>
      <c r="AC2371" s="117"/>
      <c r="AD2371" s="117"/>
      <c r="AE2371" s="117"/>
      <c r="AF2371" s="117"/>
      <c r="AG2371" s="117"/>
      <c r="AH2371" s="117"/>
      <c r="AI2371" s="117"/>
      <c r="AJ2371" s="117"/>
      <c r="AK2371" s="117"/>
      <c r="AL2371" s="117"/>
      <c r="AM2371" s="117"/>
      <c r="AN2371" s="117"/>
      <c r="AO2371" s="117"/>
      <c r="AP2371" s="117"/>
      <c r="AQ2371" s="117"/>
      <c r="AR2371" s="117"/>
      <c r="AS2371" s="117"/>
      <c r="AT2371" s="117"/>
      <c r="AU2371" s="117"/>
      <c r="AV2371" s="117"/>
      <c r="AW2371" s="117"/>
      <c r="AX2371" s="117"/>
      <c r="AY2371" s="117"/>
      <c r="AZ2371" s="117"/>
      <c r="BA2371" s="117"/>
      <c r="BB2371" s="117"/>
      <c r="BC2371" s="117"/>
      <c r="BD2371" s="117"/>
      <c r="BE2371" s="117"/>
      <c r="BF2371" s="117"/>
      <c r="BG2371" s="117"/>
    </row>
    <row r="2372" spans="1:59">
      <c r="A2372" s="117"/>
      <c r="B2372" s="117"/>
      <c r="C2372" s="117"/>
      <c r="D2372" s="117"/>
      <c r="E2372" s="117"/>
      <c r="F2372" s="117"/>
      <c r="G2372" s="117"/>
      <c r="H2372" s="117"/>
      <c r="I2372" s="117"/>
      <c r="J2372" s="118"/>
      <c r="K2372" s="118"/>
      <c r="L2372" s="118"/>
      <c r="M2372" s="118"/>
      <c r="N2372" s="117"/>
      <c r="O2372" s="117"/>
      <c r="P2372" s="117"/>
      <c r="Q2372" s="117"/>
      <c r="R2372" s="117"/>
      <c r="S2372" s="117"/>
      <c r="T2372" s="117"/>
      <c r="U2372" s="117"/>
      <c r="V2372" s="117"/>
      <c r="W2372" s="117"/>
      <c r="X2372" s="117"/>
      <c r="Y2372" s="117"/>
      <c r="Z2372" s="117"/>
      <c r="AA2372" s="117"/>
      <c r="AB2372" s="117"/>
      <c r="AC2372" s="117"/>
      <c r="AD2372" s="117"/>
      <c r="AE2372" s="117"/>
      <c r="AF2372" s="117"/>
      <c r="AG2372" s="117"/>
      <c r="AH2372" s="117"/>
      <c r="AI2372" s="117"/>
      <c r="AJ2372" s="117"/>
      <c r="AK2372" s="117"/>
      <c r="AL2372" s="117"/>
      <c r="AM2372" s="117"/>
      <c r="AN2372" s="117"/>
      <c r="AO2372" s="117"/>
      <c r="AP2372" s="117"/>
      <c r="AQ2372" s="117"/>
      <c r="AR2372" s="117"/>
      <c r="AS2372" s="117"/>
      <c r="AT2372" s="117"/>
      <c r="AU2372" s="117"/>
      <c r="AV2372" s="117"/>
      <c r="AW2372" s="117"/>
      <c r="AX2372" s="117"/>
      <c r="AY2372" s="117"/>
      <c r="AZ2372" s="117"/>
      <c r="BA2372" s="117"/>
      <c r="BB2372" s="117"/>
      <c r="BC2372" s="117"/>
      <c r="BD2372" s="117"/>
      <c r="BE2372" s="117"/>
      <c r="BF2372" s="117"/>
      <c r="BG2372" s="117"/>
    </row>
    <row r="2373" spans="1:59">
      <c r="A2373" s="117"/>
      <c r="B2373" s="117"/>
      <c r="C2373" s="117"/>
      <c r="D2373" s="117"/>
      <c r="E2373" s="117"/>
      <c r="F2373" s="117"/>
      <c r="G2373" s="117"/>
      <c r="H2373" s="117"/>
      <c r="I2373" s="117"/>
      <c r="J2373" s="118"/>
      <c r="K2373" s="118"/>
      <c r="L2373" s="118"/>
      <c r="M2373" s="118"/>
      <c r="N2373" s="117"/>
      <c r="O2373" s="117"/>
      <c r="P2373" s="117"/>
      <c r="Q2373" s="117"/>
      <c r="R2373" s="117"/>
      <c r="S2373" s="117"/>
      <c r="T2373" s="117"/>
      <c r="U2373" s="117"/>
      <c r="V2373" s="117"/>
      <c r="W2373" s="117"/>
      <c r="X2373" s="117"/>
      <c r="Y2373" s="117"/>
      <c r="Z2373" s="117"/>
      <c r="AA2373" s="117"/>
      <c r="AB2373" s="117"/>
      <c r="AC2373" s="117"/>
      <c r="AD2373" s="117"/>
      <c r="AE2373" s="117"/>
      <c r="AF2373" s="117"/>
      <c r="AG2373" s="117"/>
      <c r="AH2373" s="117"/>
      <c r="AI2373" s="117"/>
      <c r="AJ2373" s="117"/>
      <c r="AK2373" s="117"/>
      <c r="AL2373" s="117"/>
      <c r="AM2373" s="117"/>
      <c r="AN2373" s="117"/>
      <c r="AO2373" s="117"/>
      <c r="AP2373" s="117"/>
      <c r="AQ2373" s="117"/>
      <c r="AR2373" s="117"/>
      <c r="AS2373" s="117"/>
      <c r="AT2373" s="117"/>
      <c r="AU2373" s="117"/>
      <c r="AV2373" s="117"/>
      <c r="AW2373" s="117"/>
      <c r="AX2373" s="117"/>
      <c r="AY2373" s="117"/>
      <c r="AZ2373" s="117"/>
      <c r="BA2373" s="117"/>
      <c r="BB2373" s="117"/>
      <c r="BC2373" s="117"/>
      <c r="BD2373" s="117"/>
      <c r="BE2373" s="117"/>
      <c r="BF2373" s="117"/>
      <c r="BG2373" s="117"/>
    </row>
    <row r="2374" spans="1:59">
      <c r="A2374" s="117"/>
      <c r="B2374" s="117"/>
      <c r="C2374" s="117"/>
      <c r="D2374" s="117"/>
      <c r="E2374" s="117"/>
      <c r="F2374" s="117"/>
      <c r="G2374" s="117"/>
      <c r="H2374" s="117"/>
      <c r="I2374" s="117"/>
      <c r="J2374" s="118"/>
      <c r="K2374" s="118"/>
      <c r="L2374" s="118"/>
      <c r="M2374" s="118"/>
      <c r="N2374" s="117"/>
      <c r="O2374" s="117"/>
      <c r="P2374" s="117"/>
      <c r="Q2374" s="117"/>
      <c r="R2374" s="117"/>
      <c r="S2374" s="117"/>
      <c r="T2374" s="117"/>
      <c r="U2374" s="117"/>
      <c r="V2374" s="117"/>
      <c r="W2374" s="117"/>
      <c r="X2374" s="117"/>
      <c r="Y2374" s="117"/>
      <c r="Z2374" s="117"/>
      <c r="AA2374" s="117"/>
      <c r="AB2374" s="117"/>
      <c r="AC2374" s="117"/>
      <c r="AD2374" s="117"/>
      <c r="AE2374" s="117"/>
      <c r="AF2374" s="117"/>
      <c r="AG2374" s="117"/>
      <c r="AH2374" s="117"/>
      <c r="AI2374" s="117"/>
      <c r="AJ2374" s="117"/>
      <c r="AK2374" s="117"/>
      <c r="AL2374" s="117"/>
      <c r="AM2374" s="117"/>
      <c r="AN2374" s="117"/>
      <c r="AO2374" s="117"/>
      <c r="AP2374" s="117"/>
      <c r="AQ2374" s="117"/>
      <c r="AR2374" s="117"/>
      <c r="AS2374" s="117"/>
      <c r="AT2374" s="117"/>
      <c r="AU2374" s="117"/>
      <c r="AV2374" s="117"/>
      <c r="AW2374" s="117"/>
      <c r="AX2374" s="117"/>
      <c r="AY2374" s="117"/>
      <c r="AZ2374" s="117"/>
      <c r="BA2374" s="117"/>
      <c r="BB2374" s="117"/>
      <c r="BC2374" s="117"/>
      <c r="BD2374" s="117"/>
      <c r="BE2374" s="117"/>
      <c r="BF2374" s="117"/>
      <c r="BG2374" s="117"/>
    </row>
    <row r="2375" spans="1:59">
      <c r="A2375" s="117"/>
      <c r="B2375" s="117"/>
      <c r="C2375" s="117"/>
      <c r="D2375" s="117"/>
      <c r="E2375" s="117"/>
      <c r="F2375" s="117"/>
      <c r="G2375" s="117"/>
      <c r="H2375" s="117"/>
      <c r="I2375" s="117"/>
      <c r="J2375" s="118"/>
      <c r="K2375" s="118"/>
      <c r="L2375" s="118"/>
      <c r="M2375" s="118"/>
      <c r="N2375" s="117"/>
      <c r="O2375" s="117"/>
      <c r="P2375" s="117"/>
      <c r="Q2375" s="117"/>
      <c r="R2375" s="117"/>
      <c r="S2375" s="117"/>
      <c r="T2375" s="117"/>
      <c r="U2375" s="117"/>
      <c r="V2375" s="117"/>
      <c r="W2375" s="117"/>
      <c r="X2375" s="117"/>
      <c r="Y2375" s="117"/>
      <c r="Z2375" s="117"/>
      <c r="AA2375" s="117"/>
      <c r="AB2375" s="117"/>
      <c r="AC2375" s="117"/>
      <c r="AD2375" s="117"/>
      <c r="AE2375" s="117"/>
      <c r="AF2375" s="117"/>
      <c r="AG2375" s="117"/>
      <c r="AH2375" s="117"/>
      <c r="AI2375" s="117"/>
      <c r="AJ2375" s="117"/>
      <c r="AK2375" s="117"/>
      <c r="AL2375" s="117"/>
      <c r="AM2375" s="117"/>
      <c r="AN2375" s="117"/>
      <c r="AO2375" s="117"/>
      <c r="AP2375" s="117"/>
      <c r="AQ2375" s="117"/>
      <c r="AR2375" s="117"/>
      <c r="AS2375" s="117"/>
      <c r="AT2375" s="117"/>
      <c r="AU2375" s="117"/>
      <c r="AV2375" s="117"/>
      <c r="AW2375" s="117"/>
      <c r="AX2375" s="117"/>
      <c r="AY2375" s="117"/>
      <c r="AZ2375" s="117"/>
      <c r="BA2375" s="117"/>
      <c r="BB2375" s="117"/>
      <c r="BC2375" s="117"/>
      <c r="BD2375" s="117"/>
      <c r="BE2375" s="117"/>
      <c r="BF2375" s="117"/>
      <c r="BG2375" s="117"/>
    </row>
    <row r="2376" spans="1:59">
      <c r="A2376" s="117"/>
      <c r="B2376" s="117"/>
      <c r="C2376" s="117"/>
      <c r="D2376" s="117"/>
      <c r="E2376" s="117"/>
      <c r="F2376" s="117"/>
      <c r="G2376" s="117"/>
      <c r="H2376" s="117"/>
      <c r="I2376" s="117"/>
      <c r="J2376" s="118"/>
      <c r="K2376" s="118"/>
      <c r="L2376" s="118"/>
      <c r="M2376" s="118"/>
      <c r="N2376" s="117"/>
      <c r="O2376" s="117"/>
      <c r="P2376" s="117"/>
      <c r="Q2376" s="117"/>
      <c r="R2376" s="117"/>
      <c r="S2376" s="117"/>
      <c r="T2376" s="117"/>
      <c r="U2376" s="117"/>
      <c r="V2376" s="117"/>
      <c r="W2376" s="117"/>
      <c r="X2376" s="117"/>
      <c r="Y2376" s="117"/>
      <c r="Z2376" s="117"/>
      <c r="AA2376" s="117"/>
      <c r="AB2376" s="117"/>
      <c r="AC2376" s="117"/>
      <c r="AD2376" s="117"/>
      <c r="AE2376" s="117"/>
      <c r="AF2376" s="117"/>
      <c r="AG2376" s="117"/>
      <c r="AH2376" s="117"/>
      <c r="AI2376" s="117"/>
      <c r="AJ2376" s="117"/>
      <c r="AK2376" s="117"/>
      <c r="AL2376" s="117"/>
      <c r="AM2376" s="117"/>
      <c r="AN2376" s="117"/>
      <c r="AO2376" s="117"/>
      <c r="AP2376" s="117"/>
      <c r="AQ2376" s="117"/>
      <c r="AR2376" s="117"/>
      <c r="AS2376" s="117"/>
      <c r="AT2376" s="117"/>
      <c r="AU2376" s="117"/>
      <c r="AV2376" s="117"/>
      <c r="AW2376" s="117"/>
      <c r="AX2376" s="117"/>
      <c r="AY2376" s="117"/>
      <c r="AZ2376" s="117"/>
      <c r="BA2376" s="117"/>
      <c r="BB2376" s="117"/>
      <c r="BC2376" s="117"/>
      <c r="BD2376" s="117"/>
      <c r="BE2376" s="117"/>
      <c r="BF2376" s="117"/>
      <c r="BG2376" s="117"/>
    </row>
    <row r="2377" spans="1:59">
      <c r="A2377" s="117"/>
      <c r="B2377" s="117"/>
      <c r="C2377" s="117"/>
      <c r="D2377" s="117"/>
      <c r="E2377" s="117"/>
      <c r="F2377" s="117"/>
      <c r="G2377" s="117"/>
      <c r="H2377" s="117"/>
      <c r="I2377" s="117"/>
      <c r="J2377" s="118"/>
      <c r="K2377" s="118"/>
      <c r="L2377" s="118"/>
      <c r="M2377" s="118"/>
      <c r="N2377" s="117"/>
      <c r="O2377" s="117"/>
      <c r="P2377" s="117"/>
      <c r="Q2377" s="117"/>
      <c r="R2377" s="117"/>
      <c r="S2377" s="117"/>
      <c r="T2377" s="117"/>
      <c r="U2377" s="117"/>
      <c r="V2377" s="117"/>
      <c r="W2377" s="117"/>
      <c r="X2377" s="117"/>
      <c r="Y2377" s="117"/>
      <c r="Z2377" s="117"/>
      <c r="AA2377" s="117"/>
      <c r="AB2377" s="117"/>
      <c r="AC2377" s="117"/>
      <c r="AD2377" s="117"/>
      <c r="AE2377" s="117"/>
      <c r="AF2377" s="117"/>
      <c r="AG2377" s="117"/>
      <c r="AH2377" s="117"/>
      <c r="AI2377" s="117"/>
      <c r="AJ2377" s="117"/>
      <c r="AK2377" s="117"/>
      <c r="AL2377" s="117"/>
      <c r="AM2377" s="117"/>
      <c r="AN2377" s="117"/>
      <c r="AO2377" s="117"/>
      <c r="AP2377" s="117"/>
      <c r="AQ2377" s="117"/>
      <c r="AR2377" s="117"/>
      <c r="AS2377" s="117"/>
      <c r="AT2377" s="117"/>
      <c r="AU2377" s="117"/>
      <c r="AV2377" s="117"/>
      <c r="AW2377" s="117"/>
      <c r="AX2377" s="117"/>
      <c r="AY2377" s="117"/>
      <c r="AZ2377" s="117"/>
      <c r="BA2377" s="117"/>
      <c r="BB2377" s="117"/>
      <c r="BC2377" s="117"/>
      <c r="BD2377" s="117"/>
      <c r="BE2377" s="117"/>
      <c r="BF2377" s="117"/>
      <c r="BG2377" s="117"/>
    </row>
    <row r="2378" spans="1:59">
      <c r="A2378" s="117"/>
      <c r="B2378" s="117"/>
      <c r="C2378" s="117"/>
      <c r="D2378" s="117"/>
      <c r="E2378" s="117"/>
      <c r="F2378" s="117"/>
      <c r="G2378" s="117"/>
      <c r="H2378" s="117"/>
      <c r="I2378" s="117"/>
      <c r="J2378" s="118"/>
      <c r="K2378" s="118"/>
      <c r="L2378" s="118"/>
      <c r="M2378" s="118"/>
      <c r="N2378" s="117"/>
      <c r="O2378" s="117"/>
      <c r="P2378" s="117"/>
      <c r="Q2378" s="117"/>
      <c r="R2378" s="117"/>
      <c r="S2378" s="117"/>
      <c r="T2378" s="117"/>
      <c r="U2378" s="117"/>
      <c r="V2378" s="117"/>
      <c r="W2378" s="117"/>
      <c r="X2378" s="117"/>
      <c r="Y2378" s="117"/>
      <c r="Z2378" s="117"/>
      <c r="AA2378" s="117"/>
      <c r="AB2378" s="117"/>
      <c r="AC2378" s="117"/>
      <c r="AD2378" s="117"/>
      <c r="AE2378" s="117"/>
      <c r="AF2378" s="117"/>
      <c r="AG2378" s="117"/>
      <c r="AH2378" s="117"/>
      <c r="AI2378" s="117"/>
      <c r="AJ2378" s="117"/>
      <c r="AK2378" s="117"/>
      <c r="AL2378" s="117"/>
      <c r="AM2378" s="117"/>
      <c r="AN2378" s="117"/>
      <c r="AO2378" s="117"/>
      <c r="AP2378" s="117"/>
      <c r="AQ2378" s="117"/>
      <c r="AR2378" s="117"/>
      <c r="AS2378" s="117"/>
      <c r="AT2378" s="117"/>
      <c r="AU2378" s="117"/>
      <c r="AV2378" s="117"/>
      <c r="AW2378" s="117"/>
      <c r="AX2378" s="117"/>
      <c r="AY2378" s="117"/>
      <c r="AZ2378" s="117"/>
      <c r="BA2378" s="117"/>
      <c r="BB2378" s="117"/>
      <c r="BC2378" s="117"/>
      <c r="BD2378" s="117"/>
      <c r="BE2378" s="117"/>
      <c r="BF2378" s="117"/>
      <c r="BG2378" s="117"/>
    </row>
    <row r="2379" spans="1:59">
      <c r="A2379" s="117"/>
      <c r="B2379" s="117"/>
      <c r="C2379" s="117"/>
      <c r="D2379" s="117"/>
      <c r="E2379" s="117"/>
      <c r="F2379" s="117"/>
      <c r="G2379" s="117"/>
      <c r="H2379" s="117"/>
      <c r="I2379" s="117"/>
      <c r="J2379" s="118"/>
      <c r="K2379" s="118"/>
      <c r="L2379" s="118"/>
      <c r="M2379" s="118"/>
      <c r="N2379" s="117"/>
      <c r="O2379" s="117"/>
      <c r="P2379" s="117"/>
      <c r="Q2379" s="117"/>
      <c r="R2379" s="117"/>
      <c r="S2379" s="117"/>
      <c r="T2379" s="117"/>
      <c r="U2379" s="117"/>
      <c r="V2379" s="117"/>
      <c r="W2379" s="117"/>
      <c r="X2379" s="117"/>
      <c r="Y2379" s="117"/>
      <c r="Z2379" s="117"/>
      <c r="AA2379" s="117"/>
      <c r="AB2379" s="117"/>
      <c r="AC2379" s="117"/>
      <c r="AD2379" s="117"/>
      <c r="AE2379" s="117"/>
      <c r="AF2379" s="117"/>
      <c r="AG2379" s="117"/>
      <c r="AH2379" s="117"/>
      <c r="AI2379" s="117"/>
      <c r="AJ2379" s="117"/>
      <c r="AK2379" s="117"/>
      <c r="AL2379" s="117"/>
      <c r="AM2379" s="117"/>
      <c r="AN2379" s="117"/>
      <c r="AO2379" s="117"/>
      <c r="AP2379" s="117"/>
      <c r="AQ2379" s="117"/>
      <c r="AR2379" s="117"/>
      <c r="AS2379" s="117"/>
      <c r="AT2379" s="117"/>
      <c r="AU2379" s="117"/>
      <c r="AV2379" s="117"/>
      <c r="AW2379" s="117"/>
      <c r="AX2379" s="117"/>
      <c r="AY2379" s="117"/>
      <c r="AZ2379" s="117"/>
      <c r="BA2379" s="117"/>
      <c r="BB2379" s="117"/>
      <c r="BC2379" s="117"/>
      <c r="BD2379" s="117"/>
      <c r="BE2379" s="117"/>
      <c r="BF2379" s="117"/>
      <c r="BG2379" s="117"/>
    </row>
    <row r="2380" spans="1:59">
      <c r="A2380" s="117"/>
      <c r="B2380" s="117"/>
      <c r="C2380" s="117"/>
      <c r="D2380" s="117"/>
      <c r="E2380" s="117"/>
      <c r="F2380" s="117"/>
      <c r="G2380" s="117"/>
      <c r="H2380" s="117"/>
      <c r="I2380" s="117"/>
      <c r="J2380" s="118"/>
      <c r="K2380" s="118"/>
      <c r="L2380" s="118"/>
      <c r="M2380" s="118"/>
      <c r="N2380" s="117"/>
      <c r="O2380" s="117"/>
      <c r="P2380" s="117"/>
      <c r="Q2380" s="117"/>
      <c r="R2380" s="117"/>
      <c r="S2380" s="117"/>
      <c r="T2380" s="117"/>
      <c r="U2380" s="117"/>
      <c r="V2380" s="117"/>
      <c r="W2380" s="117"/>
      <c r="X2380" s="117"/>
      <c r="Y2380" s="117"/>
      <c r="Z2380" s="117"/>
      <c r="AA2380" s="117"/>
      <c r="AB2380" s="117"/>
      <c r="AC2380" s="117"/>
      <c r="AD2380" s="117"/>
      <c r="AE2380" s="117"/>
      <c r="AF2380" s="117"/>
      <c r="AG2380" s="117"/>
      <c r="AH2380" s="117"/>
      <c r="AI2380" s="117"/>
      <c r="AJ2380" s="117"/>
      <c r="AK2380" s="117"/>
      <c r="AL2380" s="117"/>
      <c r="AM2380" s="117"/>
      <c r="AN2380" s="117"/>
      <c r="AO2380" s="117"/>
      <c r="AP2380" s="117"/>
      <c r="AQ2380" s="117"/>
      <c r="AR2380" s="117"/>
      <c r="AS2380" s="117"/>
      <c r="AT2380" s="117"/>
      <c r="AU2380" s="117"/>
      <c r="AV2380" s="117"/>
      <c r="AW2380" s="117"/>
      <c r="AX2380" s="117"/>
      <c r="AY2380" s="117"/>
      <c r="AZ2380" s="117"/>
      <c r="BA2380" s="117"/>
      <c r="BB2380" s="117"/>
      <c r="BC2380" s="117"/>
      <c r="BD2380" s="117"/>
      <c r="BE2380" s="117"/>
      <c r="BF2380" s="117"/>
      <c r="BG2380" s="117"/>
    </row>
    <row r="2381" spans="1:59">
      <c r="A2381" s="117"/>
      <c r="B2381" s="117"/>
      <c r="C2381" s="117"/>
      <c r="D2381" s="117"/>
      <c r="E2381" s="117"/>
      <c r="F2381" s="117"/>
      <c r="G2381" s="117"/>
      <c r="H2381" s="117"/>
      <c r="I2381" s="117"/>
      <c r="J2381" s="118"/>
      <c r="K2381" s="118"/>
      <c r="L2381" s="118"/>
      <c r="M2381" s="118"/>
      <c r="N2381" s="117"/>
      <c r="O2381" s="117"/>
      <c r="P2381" s="117"/>
      <c r="Q2381" s="117"/>
      <c r="R2381" s="117"/>
      <c r="S2381" s="117"/>
      <c r="T2381" s="117"/>
      <c r="U2381" s="117"/>
      <c r="V2381" s="117"/>
      <c r="W2381" s="117"/>
      <c r="X2381" s="117"/>
      <c r="Y2381" s="117"/>
      <c r="Z2381" s="117"/>
      <c r="AA2381" s="117"/>
      <c r="AB2381" s="117"/>
      <c r="AC2381" s="117"/>
      <c r="AD2381" s="117"/>
      <c r="AE2381" s="117"/>
      <c r="AF2381" s="117"/>
      <c r="AG2381" s="117"/>
      <c r="AH2381" s="117"/>
      <c r="AI2381" s="117"/>
      <c r="AJ2381" s="117"/>
      <c r="AK2381" s="117"/>
      <c r="AL2381" s="117"/>
      <c r="AM2381" s="117"/>
      <c r="AN2381" s="117"/>
      <c r="AO2381" s="117"/>
      <c r="AP2381" s="117"/>
      <c r="AQ2381" s="117"/>
      <c r="AR2381" s="117"/>
      <c r="AS2381" s="117"/>
      <c r="AT2381" s="117"/>
      <c r="AU2381" s="117"/>
      <c r="AV2381" s="117"/>
      <c r="AW2381" s="117"/>
      <c r="AX2381" s="117"/>
      <c r="AY2381" s="117"/>
      <c r="AZ2381" s="117"/>
      <c r="BA2381" s="117"/>
      <c r="BB2381" s="117"/>
      <c r="BC2381" s="117"/>
      <c r="BD2381" s="117"/>
      <c r="BE2381" s="117"/>
      <c r="BF2381" s="117"/>
      <c r="BG2381" s="117"/>
    </row>
    <row r="2382" spans="1:59">
      <c r="A2382" s="117"/>
      <c r="B2382" s="117"/>
      <c r="C2382" s="117"/>
      <c r="D2382" s="117"/>
      <c r="E2382" s="117"/>
      <c r="F2382" s="117"/>
      <c r="G2382" s="117"/>
      <c r="H2382" s="117"/>
      <c r="I2382" s="117"/>
      <c r="J2382" s="118"/>
      <c r="K2382" s="118"/>
      <c r="L2382" s="118"/>
      <c r="M2382" s="118"/>
      <c r="N2382" s="117"/>
      <c r="O2382" s="117"/>
      <c r="P2382" s="117"/>
      <c r="Q2382" s="117"/>
      <c r="R2382" s="117"/>
      <c r="S2382" s="117"/>
      <c r="T2382" s="117"/>
      <c r="U2382" s="117"/>
      <c r="V2382" s="117"/>
      <c r="W2382" s="117"/>
      <c r="X2382" s="117"/>
      <c r="Y2382" s="117"/>
      <c r="Z2382" s="117"/>
      <c r="AA2382" s="117"/>
      <c r="AB2382" s="117"/>
      <c r="AC2382" s="117"/>
      <c r="AD2382" s="117"/>
      <c r="AE2382" s="117"/>
      <c r="AF2382" s="117"/>
      <c r="AG2382" s="117"/>
      <c r="AH2382" s="117"/>
      <c r="AI2382" s="117"/>
      <c r="AJ2382" s="117"/>
      <c r="AK2382" s="117"/>
      <c r="AL2382" s="117"/>
      <c r="AM2382" s="117"/>
      <c r="AN2382" s="117"/>
      <c r="AO2382" s="117"/>
      <c r="AP2382" s="117"/>
      <c r="AQ2382" s="117"/>
      <c r="AR2382" s="117"/>
      <c r="AS2382" s="117"/>
      <c r="AT2382" s="117"/>
      <c r="AU2382" s="117"/>
      <c r="AV2382" s="117"/>
      <c r="AW2382" s="117"/>
      <c r="AX2382" s="117"/>
      <c r="AY2382" s="117"/>
      <c r="AZ2382" s="117"/>
      <c r="BA2382" s="117"/>
      <c r="BB2382" s="117"/>
      <c r="BC2382" s="117"/>
      <c r="BD2382" s="117"/>
      <c r="BE2382" s="117"/>
      <c r="BF2382" s="117"/>
      <c r="BG2382" s="117"/>
    </row>
    <row r="2383" spans="1:59">
      <c r="A2383" s="117"/>
      <c r="B2383" s="117"/>
      <c r="C2383" s="117"/>
      <c r="D2383" s="117"/>
      <c r="E2383" s="117"/>
      <c r="F2383" s="117"/>
      <c r="G2383" s="117"/>
      <c r="H2383" s="117"/>
      <c r="I2383" s="117"/>
      <c r="J2383" s="118"/>
      <c r="K2383" s="118"/>
      <c r="L2383" s="118"/>
      <c r="M2383" s="118"/>
      <c r="N2383" s="117"/>
      <c r="O2383" s="117"/>
      <c r="P2383" s="117"/>
      <c r="Q2383" s="117"/>
      <c r="R2383" s="117"/>
      <c r="S2383" s="117"/>
      <c r="T2383" s="117"/>
      <c r="U2383" s="117"/>
      <c r="V2383" s="117"/>
      <c r="W2383" s="117"/>
      <c r="X2383" s="117"/>
      <c r="Y2383" s="117"/>
      <c r="Z2383" s="117"/>
      <c r="AA2383" s="117"/>
      <c r="AB2383" s="117"/>
      <c r="AC2383" s="117"/>
      <c r="AD2383" s="117"/>
      <c r="AE2383" s="117"/>
      <c r="AF2383" s="117"/>
      <c r="AG2383" s="117"/>
      <c r="AH2383" s="117"/>
      <c r="AI2383" s="117"/>
      <c r="AJ2383" s="117"/>
      <c r="AK2383" s="117"/>
      <c r="AL2383" s="117"/>
      <c r="AM2383" s="117"/>
      <c r="AN2383" s="117"/>
      <c r="AO2383" s="117"/>
      <c r="AP2383" s="117"/>
      <c r="AQ2383" s="117"/>
      <c r="AR2383" s="117"/>
      <c r="AS2383" s="117"/>
      <c r="AT2383" s="117"/>
      <c r="AU2383" s="117"/>
      <c r="AV2383" s="117"/>
      <c r="AW2383" s="117"/>
      <c r="AX2383" s="117"/>
      <c r="AY2383" s="117"/>
      <c r="AZ2383" s="117"/>
      <c r="BA2383" s="117"/>
      <c r="BB2383" s="117"/>
      <c r="BC2383" s="117"/>
      <c r="BD2383" s="117"/>
      <c r="BE2383" s="117"/>
      <c r="BF2383" s="117"/>
      <c r="BG2383" s="117"/>
    </row>
    <row r="2384" spans="1:59">
      <c r="A2384" s="117"/>
      <c r="B2384" s="117"/>
      <c r="C2384" s="117"/>
      <c r="D2384" s="117"/>
      <c r="E2384" s="117"/>
      <c r="F2384" s="117"/>
      <c r="G2384" s="117"/>
      <c r="H2384" s="117"/>
      <c r="I2384" s="117"/>
      <c r="J2384" s="118"/>
      <c r="K2384" s="118"/>
      <c r="L2384" s="118"/>
      <c r="M2384" s="118"/>
      <c r="N2384" s="117"/>
      <c r="O2384" s="117"/>
      <c r="P2384" s="117"/>
      <c r="Q2384" s="117"/>
      <c r="R2384" s="117"/>
      <c r="S2384" s="117"/>
      <c r="T2384" s="117"/>
      <c r="U2384" s="117"/>
      <c r="V2384" s="117"/>
      <c r="W2384" s="117"/>
      <c r="X2384" s="117"/>
      <c r="Y2384" s="117"/>
      <c r="Z2384" s="117"/>
      <c r="AA2384" s="117"/>
      <c r="AB2384" s="117"/>
      <c r="AC2384" s="117"/>
      <c r="AD2384" s="117"/>
      <c r="AE2384" s="117"/>
      <c r="AF2384" s="117"/>
      <c r="AG2384" s="117"/>
      <c r="AH2384" s="117"/>
      <c r="AI2384" s="117"/>
      <c r="AJ2384" s="117"/>
      <c r="AK2384" s="117"/>
      <c r="AL2384" s="117"/>
      <c r="AM2384" s="117"/>
      <c r="AN2384" s="117"/>
      <c r="AO2384" s="117"/>
      <c r="AP2384" s="117"/>
      <c r="AQ2384" s="117"/>
      <c r="AR2384" s="117"/>
      <c r="AS2384" s="117"/>
      <c r="AT2384" s="117"/>
      <c r="AU2384" s="117"/>
      <c r="AV2384" s="117"/>
      <c r="AW2384" s="117"/>
      <c r="AX2384" s="117"/>
      <c r="AY2384" s="117"/>
      <c r="AZ2384" s="117"/>
      <c r="BA2384" s="117"/>
      <c r="BB2384" s="117"/>
      <c r="BC2384" s="117"/>
      <c r="BD2384" s="117"/>
      <c r="BE2384" s="117"/>
      <c r="BF2384" s="117"/>
      <c r="BG2384" s="117"/>
    </row>
    <row r="2385" spans="1:59">
      <c r="A2385" s="117"/>
      <c r="B2385" s="117"/>
      <c r="C2385" s="117"/>
      <c r="D2385" s="117"/>
      <c r="E2385" s="117"/>
      <c r="F2385" s="117"/>
      <c r="G2385" s="117"/>
      <c r="H2385" s="117"/>
      <c r="I2385" s="117"/>
      <c r="J2385" s="118"/>
      <c r="K2385" s="118"/>
      <c r="L2385" s="118"/>
      <c r="M2385" s="118"/>
      <c r="N2385" s="117"/>
      <c r="O2385" s="117"/>
      <c r="P2385" s="117"/>
      <c r="Q2385" s="117"/>
      <c r="R2385" s="117"/>
      <c r="S2385" s="117"/>
      <c r="T2385" s="117"/>
      <c r="U2385" s="117"/>
      <c r="V2385" s="117"/>
      <c r="W2385" s="117"/>
      <c r="X2385" s="117"/>
      <c r="Y2385" s="117"/>
      <c r="Z2385" s="117"/>
      <c r="AA2385" s="117"/>
      <c r="AB2385" s="117"/>
      <c r="AC2385" s="117"/>
      <c r="AD2385" s="117"/>
      <c r="AE2385" s="117"/>
      <c r="AF2385" s="117"/>
      <c r="AG2385" s="117"/>
      <c r="AH2385" s="117"/>
      <c r="AI2385" s="117"/>
      <c r="AJ2385" s="117"/>
      <c r="AK2385" s="117"/>
      <c r="AL2385" s="117"/>
      <c r="AM2385" s="117"/>
      <c r="AN2385" s="117"/>
      <c r="AO2385" s="117"/>
      <c r="AP2385" s="117"/>
      <c r="AQ2385" s="117"/>
      <c r="AR2385" s="117"/>
      <c r="AS2385" s="117"/>
      <c r="AT2385" s="117"/>
      <c r="AU2385" s="117"/>
      <c r="AV2385" s="117"/>
      <c r="AW2385" s="117"/>
      <c r="AX2385" s="117"/>
      <c r="AY2385" s="117"/>
      <c r="AZ2385" s="117"/>
      <c r="BA2385" s="117"/>
      <c r="BB2385" s="117"/>
      <c r="BC2385" s="117"/>
      <c r="BD2385" s="117"/>
      <c r="BE2385" s="117"/>
      <c r="BF2385" s="117"/>
      <c r="BG2385" s="117"/>
    </row>
    <row r="2386" spans="1:59">
      <c r="A2386" s="117"/>
      <c r="B2386" s="117"/>
      <c r="C2386" s="117"/>
      <c r="D2386" s="117"/>
      <c r="E2386" s="117"/>
      <c r="F2386" s="117"/>
      <c r="G2386" s="117"/>
      <c r="H2386" s="117"/>
      <c r="I2386" s="117"/>
      <c r="J2386" s="118"/>
      <c r="K2386" s="118"/>
      <c r="L2386" s="118"/>
      <c r="M2386" s="118"/>
      <c r="N2386" s="117"/>
      <c r="O2386" s="117"/>
      <c r="P2386" s="117"/>
      <c r="Q2386" s="117"/>
      <c r="R2386" s="117"/>
      <c r="S2386" s="117"/>
      <c r="T2386" s="117"/>
      <c r="U2386" s="117"/>
      <c r="V2386" s="117"/>
      <c r="W2386" s="117"/>
      <c r="X2386" s="117"/>
      <c r="Y2386" s="117"/>
      <c r="Z2386" s="117"/>
      <c r="AA2386" s="117"/>
      <c r="AB2386" s="117"/>
      <c r="AC2386" s="117"/>
      <c r="AD2386" s="117"/>
      <c r="AE2386" s="117"/>
      <c r="AF2386" s="117"/>
      <c r="AG2386" s="117"/>
      <c r="AH2386" s="117"/>
      <c r="AI2386" s="117"/>
      <c r="AJ2386" s="117"/>
      <c r="AK2386" s="117"/>
      <c r="AL2386" s="117"/>
      <c r="AM2386" s="117"/>
      <c r="AN2386" s="117"/>
      <c r="AO2386" s="117"/>
      <c r="AP2386" s="117"/>
      <c r="AQ2386" s="117"/>
      <c r="AR2386" s="117"/>
      <c r="AS2386" s="117"/>
      <c r="AT2386" s="117"/>
      <c r="AU2386" s="117"/>
      <c r="AV2386" s="117"/>
      <c r="AW2386" s="117"/>
      <c r="AX2386" s="117"/>
      <c r="AY2386" s="117"/>
      <c r="AZ2386" s="117"/>
      <c r="BA2386" s="117"/>
      <c r="BB2386" s="117"/>
      <c r="BC2386" s="117"/>
      <c r="BD2386" s="117"/>
      <c r="BE2386" s="117"/>
      <c r="BF2386" s="117"/>
      <c r="BG2386" s="117"/>
    </row>
    <row r="2387" spans="1:59">
      <c r="A2387" s="117"/>
      <c r="B2387" s="117"/>
      <c r="C2387" s="117"/>
      <c r="D2387" s="117"/>
      <c r="E2387" s="117"/>
      <c r="F2387" s="117"/>
      <c r="G2387" s="117"/>
      <c r="H2387" s="117"/>
      <c r="I2387" s="117"/>
      <c r="J2387" s="118"/>
      <c r="K2387" s="118"/>
      <c r="L2387" s="118"/>
      <c r="M2387" s="118"/>
      <c r="N2387" s="117"/>
      <c r="O2387" s="117"/>
      <c r="P2387" s="117"/>
      <c r="Q2387" s="117"/>
      <c r="R2387" s="117"/>
      <c r="S2387" s="117"/>
      <c r="T2387" s="117"/>
      <c r="U2387" s="117"/>
      <c r="V2387" s="117"/>
      <c r="W2387" s="117"/>
      <c r="X2387" s="117"/>
      <c r="Y2387" s="117"/>
      <c r="Z2387" s="117"/>
      <c r="AA2387" s="117"/>
      <c r="AB2387" s="117"/>
      <c r="AC2387" s="117"/>
      <c r="AD2387" s="117"/>
      <c r="AE2387" s="117"/>
      <c r="AF2387" s="117"/>
      <c r="AG2387" s="117"/>
      <c r="AH2387" s="117"/>
      <c r="AI2387" s="117"/>
      <c r="AJ2387" s="117"/>
      <c r="AK2387" s="117"/>
      <c r="AL2387" s="117"/>
      <c r="AM2387" s="117"/>
      <c r="AN2387" s="117"/>
      <c r="AO2387" s="117"/>
      <c r="AP2387" s="117"/>
      <c r="AQ2387" s="117"/>
      <c r="AR2387" s="117"/>
      <c r="AS2387" s="117"/>
      <c r="AT2387" s="117"/>
      <c r="AU2387" s="117"/>
      <c r="AV2387" s="117"/>
      <c r="AW2387" s="117"/>
      <c r="AX2387" s="117"/>
      <c r="AY2387" s="117"/>
      <c r="AZ2387" s="117"/>
      <c r="BA2387" s="117"/>
      <c r="BB2387" s="117"/>
      <c r="BC2387" s="117"/>
      <c r="BD2387" s="117"/>
      <c r="BE2387" s="117"/>
      <c r="BF2387" s="117"/>
      <c r="BG2387" s="117"/>
    </row>
    <row r="2388" spans="1:59">
      <c r="A2388" s="117"/>
      <c r="B2388" s="117"/>
      <c r="C2388" s="117"/>
      <c r="D2388" s="117"/>
      <c r="E2388" s="117"/>
      <c r="F2388" s="117"/>
      <c r="G2388" s="117"/>
      <c r="H2388" s="117"/>
      <c r="I2388" s="117"/>
      <c r="J2388" s="118"/>
      <c r="K2388" s="118"/>
      <c r="L2388" s="118"/>
      <c r="M2388" s="118"/>
      <c r="N2388" s="117"/>
      <c r="O2388" s="117"/>
      <c r="P2388" s="117"/>
      <c r="Q2388" s="117"/>
      <c r="R2388" s="117"/>
      <c r="S2388" s="117"/>
      <c r="T2388" s="117"/>
      <c r="U2388" s="117"/>
      <c r="V2388" s="117"/>
      <c r="W2388" s="117"/>
      <c r="X2388" s="117"/>
      <c r="Y2388" s="117"/>
      <c r="Z2388" s="117"/>
      <c r="AA2388" s="117"/>
      <c r="AB2388" s="117"/>
      <c r="AC2388" s="117"/>
      <c r="AD2388" s="117"/>
      <c r="AE2388" s="117"/>
      <c r="AF2388" s="117"/>
      <c r="AG2388" s="117"/>
      <c r="AH2388" s="117"/>
      <c r="AI2388" s="117"/>
      <c r="AJ2388" s="117"/>
      <c r="AK2388" s="117"/>
      <c r="AL2388" s="117"/>
      <c r="AM2388" s="117"/>
      <c r="AN2388" s="117"/>
      <c r="AO2388" s="117"/>
      <c r="AP2388" s="117"/>
      <c r="AQ2388" s="117"/>
      <c r="AR2388" s="117"/>
      <c r="AS2388" s="117"/>
      <c r="AT2388" s="117"/>
      <c r="AU2388" s="117"/>
      <c r="AV2388" s="117"/>
      <c r="AW2388" s="117"/>
      <c r="AX2388" s="117"/>
      <c r="AY2388" s="117"/>
      <c r="AZ2388" s="117"/>
      <c r="BA2388" s="117"/>
      <c r="BB2388" s="117"/>
      <c r="BC2388" s="117"/>
      <c r="BD2388" s="117"/>
      <c r="BE2388" s="117"/>
      <c r="BF2388" s="117"/>
      <c r="BG2388" s="117"/>
    </row>
    <row r="2389" spans="1:59">
      <c r="A2389" s="117"/>
      <c r="B2389" s="117"/>
      <c r="C2389" s="117"/>
      <c r="D2389" s="117"/>
      <c r="E2389" s="117"/>
      <c r="F2389" s="117"/>
      <c r="G2389" s="117"/>
      <c r="H2389" s="117"/>
      <c r="I2389" s="117"/>
      <c r="J2389" s="118"/>
      <c r="K2389" s="118"/>
      <c r="L2389" s="118"/>
      <c r="M2389" s="118"/>
      <c r="N2389" s="117"/>
      <c r="O2389" s="117"/>
      <c r="P2389" s="117"/>
      <c r="Q2389" s="117"/>
      <c r="R2389" s="117"/>
      <c r="S2389" s="117"/>
      <c r="T2389" s="117"/>
      <c r="U2389" s="117"/>
      <c r="V2389" s="117"/>
      <c r="W2389" s="117"/>
      <c r="X2389" s="117"/>
      <c r="Y2389" s="117"/>
      <c r="Z2389" s="117"/>
      <c r="AA2389" s="117"/>
      <c r="AB2389" s="117"/>
      <c r="AC2389" s="117"/>
      <c r="AD2389" s="117"/>
      <c r="AE2389" s="117"/>
      <c r="AF2389" s="117"/>
      <c r="AG2389" s="117"/>
      <c r="AH2389" s="117"/>
      <c r="AI2389" s="117"/>
      <c r="AJ2389" s="117"/>
      <c r="AK2389" s="117"/>
      <c r="AL2389" s="117"/>
      <c r="AM2389" s="117"/>
      <c r="AN2389" s="117"/>
      <c r="AO2389" s="117"/>
      <c r="AP2389" s="117"/>
      <c r="AQ2389" s="117"/>
      <c r="AR2389" s="117"/>
      <c r="AS2389" s="117"/>
      <c r="AT2389" s="117"/>
      <c r="AU2389" s="117"/>
      <c r="AV2389" s="117"/>
      <c r="AW2389" s="117"/>
      <c r="AX2389" s="117"/>
      <c r="AY2389" s="117"/>
      <c r="AZ2389" s="117"/>
      <c r="BA2389" s="117"/>
      <c r="BB2389" s="117"/>
      <c r="BC2389" s="117"/>
      <c r="BD2389" s="117"/>
      <c r="BE2389" s="117"/>
      <c r="BF2389" s="117"/>
      <c r="BG2389" s="117"/>
    </row>
    <row r="2390" spans="1:59">
      <c r="A2390" s="117"/>
      <c r="B2390" s="117"/>
      <c r="C2390" s="117"/>
      <c r="D2390" s="117"/>
      <c r="E2390" s="117"/>
      <c r="F2390" s="117"/>
      <c r="G2390" s="117"/>
      <c r="H2390" s="117"/>
      <c r="I2390" s="117"/>
      <c r="J2390" s="118"/>
      <c r="K2390" s="118"/>
      <c r="L2390" s="118"/>
      <c r="M2390" s="118"/>
      <c r="N2390" s="117"/>
      <c r="O2390" s="117"/>
      <c r="P2390" s="117"/>
      <c r="Q2390" s="117"/>
      <c r="R2390" s="117"/>
      <c r="S2390" s="117"/>
      <c r="T2390" s="117"/>
      <c r="U2390" s="117"/>
      <c r="V2390" s="117"/>
      <c r="W2390" s="117"/>
      <c r="X2390" s="117"/>
      <c r="Y2390" s="117"/>
      <c r="Z2390" s="117"/>
      <c r="AA2390" s="117"/>
      <c r="AB2390" s="117"/>
      <c r="AC2390" s="117"/>
      <c r="AD2390" s="117"/>
      <c r="AE2390" s="117"/>
      <c r="AF2390" s="117"/>
      <c r="AG2390" s="117"/>
      <c r="AH2390" s="117"/>
      <c r="AI2390" s="117"/>
      <c r="AJ2390" s="117"/>
      <c r="AK2390" s="117"/>
      <c r="AL2390" s="117"/>
      <c r="AM2390" s="117"/>
      <c r="AN2390" s="117"/>
      <c r="AO2390" s="117"/>
      <c r="AP2390" s="117"/>
      <c r="AQ2390" s="117"/>
      <c r="AR2390" s="117"/>
      <c r="AS2390" s="117"/>
      <c r="AT2390" s="117"/>
      <c r="AU2390" s="117"/>
      <c r="AV2390" s="117"/>
      <c r="AW2390" s="117"/>
      <c r="AX2390" s="117"/>
      <c r="AY2390" s="117"/>
      <c r="AZ2390" s="117"/>
      <c r="BA2390" s="117"/>
      <c r="BB2390" s="117"/>
      <c r="BC2390" s="117"/>
      <c r="BD2390" s="117"/>
      <c r="BE2390" s="117"/>
      <c r="BF2390" s="117"/>
      <c r="BG2390" s="117"/>
    </row>
    <row r="2391" spans="1:59">
      <c r="A2391" s="117"/>
      <c r="B2391" s="117"/>
      <c r="C2391" s="117"/>
      <c r="D2391" s="117"/>
      <c r="E2391" s="117"/>
      <c r="F2391" s="117"/>
      <c r="G2391" s="117"/>
      <c r="H2391" s="117"/>
      <c r="I2391" s="117"/>
      <c r="J2391" s="118"/>
      <c r="K2391" s="118"/>
      <c r="L2391" s="118"/>
      <c r="M2391" s="118"/>
      <c r="N2391" s="117"/>
      <c r="O2391" s="117"/>
      <c r="P2391" s="117"/>
      <c r="Q2391" s="117"/>
      <c r="R2391" s="117"/>
      <c r="S2391" s="117"/>
      <c r="T2391" s="117"/>
      <c r="U2391" s="117"/>
      <c r="V2391" s="117"/>
      <c r="W2391" s="117"/>
      <c r="X2391" s="117"/>
      <c r="Y2391" s="117"/>
      <c r="Z2391" s="117"/>
      <c r="AA2391" s="117"/>
      <c r="AB2391" s="117"/>
      <c r="AC2391" s="117"/>
      <c r="AD2391" s="117"/>
      <c r="AE2391" s="117"/>
      <c r="AF2391" s="117"/>
      <c r="AG2391" s="117"/>
      <c r="AH2391" s="117"/>
      <c r="AI2391" s="117"/>
      <c r="AJ2391" s="117"/>
      <c r="AK2391" s="117"/>
      <c r="AL2391" s="117"/>
      <c r="AM2391" s="117"/>
      <c r="AN2391" s="117"/>
      <c r="AO2391" s="117"/>
      <c r="AP2391" s="117"/>
      <c r="AQ2391" s="117"/>
      <c r="AR2391" s="117"/>
      <c r="AS2391" s="117"/>
      <c r="AT2391" s="117"/>
      <c r="AU2391" s="117"/>
      <c r="AV2391" s="117"/>
      <c r="AW2391" s="117"/>
      <c r="AX2391" s="117"/>
      <c r="AY2391" s="117"/>
      <c r="AZ2391" s="117"/>
      <c r="BA2391" s="117"/>
      <c r="BB2391" s="117"/>
      <c r="BC2391" s="117"/>
      <c r="BD2391" s="117"/>
      <c r="BE2391" s="117"/>
      <c r="BF2391" s="117"/>
      <c r="BG2391" s="117"/>
    </row>
    <row r="2392" spans="1:59">
      <c r="A2392" s="117"/>
      <c r="B2392" s="117"/>
      <c r="C2392" s="117"/>
      <c r="D2392" s="117"/>
      <c r="E2392" s="117"/>
      <c r="F2392" s="117"/>
      <c r="G2392" s="117"/>
      <c r="H2392" s="117"/>
      <c r="I2392" s="117"/>
      <c r="J2392" s="118"/>
      <c r="K2392" s="118"/>
      <c r="L2392" s="118"/>
      <c r="M2392" s="118"/>
      <c r="N2392" s="117"/>
      <c r="O2392" s="117"/>
      <c r="P2392" s="117"/>
      <c r="Q2392" s="117"/>
      <c r="R2392" s="117"/>
      <c r="S2392" s="117"/>
      <c r="T2392" s="117"/>
      <c r="U2392" s="117"/>
      <c r="V2392" s="117"/>
      <c r="W2392" s="117"/>
      <c r="X2392" s="117"/>
      <c r="Y2392" s="117"/>
      <c r="Z2392" s="117"/>
      <c r="AA2392" s="117"/>
      <c r="AB2392" s="117"/>
      <c r="AC2392" s="117"/>
      <c r="AD2392" s="117"/>
      <c r="AE2392" s="117"/>
      <c r="AF2392" s="117"/>
      <c r="AG2392" s="117"/>
      <c r="AH2392" s="117"/>
      <c r="AI2392" s="117"/>
      <c r="AJ2392" s="117"/>
      <c r="AK2392" s="117"/>
      <c r="AL2392" s="117"/>
      <c r="AM2392" s="117"/>
      <c r="AN2392" s="117"/>
      <c r="AO2392" s="117"/>
      <c r="AP2392" s="117"/>
      <c r="AQ2392" s="117"/>
      <c r="AR2392" s="117"/>
      <c r="AS2392" s="117"/>
      <c r="AT2392" s="117"/>
      <c r="AU2392" s="117"/>
      <c r="AV2392" s="117"/>
      <c r="AW2392" s="117"/>
      <c r="AX2392" s="117"/>
      <c r="AY2392" s="117"/>
      <c r="AZ2392" s="117"/>
      <c r="BA2392" s="117"/>
      <c r="BB2392" s="117"/>
      <c r="BC2392" s="117"/>
      <c r="BD2392" s="117"/>
      <c r="BE2392" s="117"/>
      <c r="BF2392" s="117"/>
      <c r="BG2392" s="117"/>
    </row>
    <row r="2393" spans="1:59">
      <c r="A2393" s="117"/>
      <c r="B2393" s="117"/>
      <c r="C2393" s="117"/>
      <c r="D2393" s="117"/>
      <c r="E2393" s="117"/>
      <c r="F2393" s="117"/>
      <c r="G2393" s="117"/>
      <c r="H2393" s="117"/>
      <c r="I2393" s="117"/>
      <c r="J2393" s="118"/>
      <c r="K2393" s="118"/>
      <c r="L2393" s="118"/>
      <c r="M2393" s="118"/>
      <c r="N2393" s="117"/>
      <c r="O2393" s="117"/>
      <c r="P2393" s="117"/>
      <c r="Q2393" s="117"/>
      <c r="R2393" s="117"/>
      <c r="S2393" s="117"/>
      <c r="T2393" s="117"/>
      <c r="U2393" s="117"/>
      <c r="V2393" s="117"/>
      <c r="W2393" s="117"/>
      <c r="X2393" s="117"/>
      <c r="Y2393" s="117"/>
      <c r="Z2393" s="117"/>
      <c r="AA2393" s="117"/>
      <c r="AB2393" s="117"/>
      <c r="AC2393" s="117"/>
      <c r="AD2393" s="117"/>
      <c r="AE2393" s="117"/>
      <c r="AF2393" s="117"/>
      <c r="AG2393" s="117"/>
      <c r="AH2393" s="117"/>
      <c r="AI2393" s="117"/>
      <c r="AJ2393" s="117"/>
      <c r="AK2393" s="117"/>
      <c r="AL2393" s="117"/>
      <c r="AM2393" s="117"/>
      <c r="AN2393" s="117"/>
      <c r="AO2393" s="117"/>
      <c r="AP2393" s="117"/>
      <c r="AQ2393" s="117"/>
      <c r="AR2393" s="117"/>
      <c r="AS2393" s="117"/>
      <c r="AT2393" s="117"/>
      <c r="AU2393" s="117"/>
      <c r="AV2393" s="117"/>
      <c r="AW2393" s="117"/>
      <c r="AX2393" s="117"/>
      <c r="AY2393" s="117"/>
      <c r="AZ2393" s="117"/>
      <c r="BA2393" s="117"/>
      <c r="BB2393" s="117"/>
      <c r="BC2393" s="117"/>
      <c r="BD2393" s="117"/>
      <c r="BE2393" s="117"/>
      <c r="BF2393" s="117"/>
      <c r="BG2393" s="117"/>
    </row>
    <row r="2394" spans="1:59">
      <c r="A2394" s="117"/>
      <c r="B2394" s="117"/>
      <c r="C2394" s="117"/>
      <c r="D2394" s="117"/>
      <c r="E2394" s="117"/>
      <c r="F2394" s="117"/>
      <c r="G2394" s="117"/>
      <c r="H2394" s="117"/>
      <c r="I2394" s="117"/>
      <c r="J2394" s="118"/>
      <c r="K2394" s="118"/>
      <c r="L2394" s="118"/>
      <c r="M2394" s="118"/>
      <c r="N2394" s="117"/>
      <c r="O2394" s="117"/>
      <c r="P2394" s="117"/>
      <c r="Q2394" s="117"/>
      <c r="R2394" s="117"/>
      <c r="S2394" s="117"/>
      <c r="T2394" s="117"/>
      <c r="U2394" s="117"/>
      <c r="V2394" s="117"/>
      <c r="W2394" s="117"/>
      <c r="X2394" s="117"/>
      <c r="Y2394" s="117"/>
      <c r="Z2394" s="117"/>
      <c r="AA2394" s="117"/>
      <c r="AB2394" s="117"/>
      <c r="AC2394" s="117"/>
      <c r="AD2394" s="117"/>
      <c r="AE2394" s="117"/>
      <c r="AF2394" s="117"/>
      <c r="AG2394" s="117"/>
      <c r="AH2394" s="117"/>
      <c r="AI2394" s="117"/>
      <c r="AJ2394" s="117"/>
      <c r="AK2394" s="117"/>
      <c r="AL2394" s="117"/>
      <c r="AM2394" s="117"/>
      <c r="AN2394" s="117"/>
      <c r="AO2394" s="117"/>
      <c r="AP2394" s="117"/>
      <c r="AQ2394" s="117"/>
      <c r="AR2394" s="117"/>
      <c r="AS2394" s="117"/>
      <c r="AT2394" s="117"/>
      <c r="AU2394" s="117"/>
      <c r="AV2394" s="117"/>
      <c r="AW2394" s="117"/>
      <c r="AX2394" s="117"/>
      <c r="AY2394" s="117"/>
      <c r="AZ2394" s="117"/>
      <c r="BA2394" s="117"/>
      <c r="BB2394" s="117"/>
      <c r="BC2394" s="117"/>
      <c r="BD2394" s="117"/>
      <c r="BE2394" s="117"/>
      <c r="BF2394" s="117"/>
      <c r="BG2394" s="117"/>
    </row>
    <row r="2395" spans="1:59">
      <c r="A2395" s="117"/>
      <c r="B2395" s="117"/>
      <c r="C2395" s="117"/>
      <c r="D2395" s="117"/>
      <c r="E2395" s="117"/>
      <c r="F2395" s="117"/>
      <c r="G2395" s="117"/>
      <c r="H2395" s="117"/>
      <c r="I2395" s="117"/>
      <c r="J2395" s="118"/>
      <c r="K2395" s="118"/>
      <c r="L2395" s="118"/>
      <c r="M2395" s="118"/>
      <c r="N2395" s="117"/>
      <c r="O2395" s="117"/>
      <c r="P2395" s="117"/>
      <c r="Q2395" s="117"/>
      <c r="R2395" s="117"/>
      <c r="S2395" s="117"/>
      <c r="T2395" s="117"/>
      <c r="U2395" s="117"/>
      <c r="V2395" s="117"/>
      <c r="W2395" s="117"/>
      <c r="X2395" s="117"/>
      <c r="Y2395" s="117"/>
      <c r="Z2395" s="117"/>
      <c r="AA2395" s="117"/>
      <c r="AB2395" s="117"/>
      <c r="AC2395" s="117"/>
      <c r="AD2395" s="117"/>
      <c r="AE2395" s="117"/>
      <c r="AF2395" s="117"/>
      <c r="AG2395" s="117"/>
      <c r="AH2395" s="117"/>
      <c r="AI2395" s="117"/>
      <c r="AJ2395" s="117"/>
      <c r="AK2395" s="117"/>
      <c r="AL2395" s="117"/>
      <c r="AM2395" s="117"/>
      <c r="AN2395" s="117"/>
      <c r="AO2395" s="117"/>
      <c r="AP2395" s="117"/>
      <c r="AQ2395" s="117"/>
      <c r="AR2395" s="117"/>
      <c r="AS2395" s="117"/>
      <c r="AT2395" s="117"/>
      <c r="AU2395" s="117"/>
      <c r="AV2395" s="117"/>
      <c r="AW2395" s="117"/>
      <c r="AX2395" s="117"/>
      <c r="AY2395" s="117"/>
      <c r="AZ2395" s="117"/>
      <c r="BA2395" s="117"/>
      <c r="BB2395" s="117"/>
      <c r="BC2395" s="117"/>
      <c r="BD2395" s="117"/>
      <c r="BE2395" s="117"/>
      <c r="BF2395" s="117"/>
      <c r="BG2395" s="117"/>
    </row>
    <row r="2396" spans="1:59">
      <c r="A2396" s="117"/>
      <c r="B2396" s="117"/>
      <c r="C2396" s="117"/>
      <c r="D2396" s="117"/>
      <c r="E2396" s="117"/>
      <c r="F2396" s="117"/>
      <c r="G2396" s="117"/>
      <c r="H2396" s="117"/>
      <c r="I2396" s="117"/>
      <c r="J2396" s="118"/>
      <c r="K2396" s="118"/>
      <c r="L2396" s="118"/>
      <c r="M2396" s="118"/>
      <c r="N2396" s="117"/>
      <c r="O2396" s="117"/>
      <c r="P2396" s="117"/>
      <c r="Q2396" s="117"/>
      <c r="R2396" s="117"/>
      <c r="S2396" s="117"/>
      <c r="T2396" s="117"/>
      <c r="U2396" s="117"/>
      <c r="V2396" s="117"/>
      <c r="W2396" s="117"/>
      <c r="X2396" s="117"/>
      <c r="Y2396" s="117"/>
      <c r="Z2396" s="117"/>
      <c r="AA2396" s="117"/>
      <c r="AB2396" s="117"/>
      <c r="AC2396" s="117"/>
      <c r="AD2396" s="117"/>
      <c r="AE2396" s="117"/>
      <c r="AF2396" s="117"/>
      <c r="AG2396" s="117"/>
      <c r="AH2396" s="117"/>
      <c r="AI2396" s="117"/>
      <c r="AJ2396" s="117"/>
      <c r="AK2396" s="117"/>
      <c r="AL2396" s="117"/>
      <c r="AM2396" s="117"/>
      <c r="AN2396" s="117"/>
      <c r="AO2396" s="117"/>
      <c r="AP2396" s="117"/>
      <c r="AQ2396" s="117"/>
      <c r="AR2396" s="117"/>
      <c r="AS2396" s="117"/>
      <c r="AT2396" s="117"/>
      <c r="AU2396" s="117"/>
      <c r="AV2396" s="117"/>
      <c r="AW2396" s="117"/>
      <c r="AX2396" s="117"/>
      <c r="AY2396" s="117"/>
      <c r="AZ2396" s="117"/>
      <c r="BA2396" s="117"/>
      <c r="BB2396" s="117"/>
      <c r="BC2396" s="117"/>
      <c r="BD2396" s="117"/>
      <c r="BE2396" s="117"/>
      <c r="BF2396" s="117"/>
      <c r="BG2396" s="117"/>
    </row>
    <row r="2397" spans="1:59">
      <c r="A2397" s="117"/>
      <c r="B2397" s="117"/>
      <c r="C2397" s="117"/>
      <c r="D2397" s="117"/>
      <c r="E2397" s="117"/>
      <c r="F2397" s="117"/>
      <c r="G2397" s="117"/>
      <c r="H2397" s="117"/>
      <c r="I2397" s="117"/>
      <c r="J2397" s="118"/>
      <c r="K2397" s="118"/>
      <c r="L2397" s="118"/>
      <c r="M2397" s="118"/>
      <c r="N2397" s="117"/>
      <c r="O2397" s="117"/>
      <c r="P2397" s="117"/>
      <c r="Q2397" s="117"/>
      <c r="R2397" s="117"/>
      <c r="S2397" s="117"/>
      <c r="T2397" s="117"/>
      <c r="U2397" s="117"/>
      <c r="V2397" s="117"/>
      <c r="W2397" s="117"/>
      <c r="X2397" s="117"/>
      <c r="Y2397" s="117"/>
      <c r="Z2397" s="117"/>
      <c r="AA2397" s="117"/>
      <c r="AB2397" s="117"/>
      <c r="AC2397" s="117"/>
      <c r="AD2397" s="117"/>
      <c r="AE2397" s="117"/>
      <c r="AF2397" s="117"/>
      <c r="AG2397" s="117"/>
      <c r="AH2397" s="117"/>
      <c r="AI2397" s="117"/>
      <c r="AJ2397" s="117"/>
      <c r="AK2397" s="117"/>
      <c r="AL2397" s="117"/>
      <c r="AM2397" s="117"/>
      <c r="AN2397" s="117"/>
      <c r="AO2397" s="117"/>
      <c r="AP2397" s="117"/>
      <c r="AQ2397" s="117"/>
      <c r="AR2397" s="117"/>
      <c r="AS2397" s="117"/>
      <c r="AT2397" s="117"/>
      <c r="AU2397" s="117"/>
      <c r="AV2397" s="117"/>
      <c r="AW2397" s="117"/>
      <c r="AX2397" s="117"/>
      <c r="AY2397" s="117"/>
      <c r="AZ2397" s="117"/>
      <c r="BA2397" s="117"/>
      <c r="BB2397" s="117"/>
      <c r="BC2397" s="117"/>
      <c r="BD2397" s="117"/>
      <c r="BE2397" s="117"/>
      <c r="BF2397" s="117"/>
      <c r="BG2397" s="117"/>
    </row>
    <row r="2398" spans="1:59">
      <c r="A2398" s="117"/>
      <c r="B2398" s="117"/>
      <c r="C2398" s="117"/>
      <c r="D2398" s="117"/>
      <c r="E2398" s="117"/>
      <c r="F2398" s="117"/>
      <c r="G2398" s="117"/>
      <c r="H2398" s="117"/>
      <c r="I2398" s="117"/>
      <c r="J2398" s="118"/>
      <c r="K2398" s="118"/>
      <c r="L2398" s="118"/>
      <c r="M2398" s="118"/>
      <c r="N2398" s="117"/>
      <c r="O2398" s="117"/>
      <c r="P2398" s="117"/>
      <c r="Q2398" s="117"/>
      <c r="R2398" s="117"/>
      <c r="S2398" s="117"/>
      <c r="T2398" s="117"/>
      <c r="U2398" s="117"/>
      <c r="V2398" s="117"/>
      <c r="W2398" s="117"/>
      <c r="X2398" s="117"/>
      <c r="Y2398" s="117"/>
      <c r="Z2398" s="117"/>
      <c r="AA2398" s="117"/>
      <c r="AB2398" s="117"/>
      <c r="AC2398" s="117"/>
      <c r="AD2398" s="117"/>
      <c r="AE2398" s="117"/>
      <c r="AF2398" s="117"/>
      <c r="AG2398" s="117"/>
      <c r="AH2398" s="117"/>
      <c r="AI2398" s="117"/>
      <c r="AJ2398" s="117"/>
      <c r="AK2398" s="117"/>
      <c r="AL2398" s="117"/>
      <c r="AM2398" s="117"/>
      <c r="AN2398" s="117"/>
      <c r="AO2398" s="117"/>
      <c r="AP2398" s="117"/>
      <c r="AQ2398" s="117"/>
      <c r="AR2398" s="117"/>
      <c r="AS2398" s="117"/>
      <c r="AT2398" s="117"/>
      <c r="AU2398" s="117"/>
      <c r="AV2398" s="117"/>
      <c r="AW2398" s="117"/>
      <c r="AX2398" s="117"/>
      <c r="AY2398" s="117"/>
      <c r="AZ2398" s="117"/>
      <c r="BA2398" s="117"/>
      <c r="BB2398" s="117"/>
      <c r="BC2398" s="117"/>
      <c r="BD2398" s="117"/>
      <c r="BE2398" s="117"/>
      <c r="BF2398" s="117"/>
      <c r="BG2398" s="117"/>
    </row>
    <row r="2399" spans="1:59">
      <c r="A2399" s="117"/>
      <c r="B2399" s="117"/>
      <c r="C2399" s="117"/>
      <c r="D2399" s="117"/>
      <c r="E2399" s="117"/>
      <c r="F2399" s="117"/>
      <c r="G2399" s="117"/>
      <c r="H2399" s="117"/>
      <c r="I2399" s="117"/>
      <c r="J2399" s="118"/>
      <c r="K2399" s="118"/>
      <c r="L2399" s="118"/>
      <c r="M2399" s="118"/>
      <c r="N2399" s="117"/>
      <c r="O2399" s="117"/>
      <c r="P2399" s="117"/>
      <c r="Q2399" s="117"/>
      <c r="R2399" s="117"/>
      <c r="S2399" s="117"/>
      <c r="T2399" s="117"/>
      <c r="U2399" s="117"/>
      <c r="V2399" s="117"/>
      <c r="W2399" s="117"/>
      <c r="X2399" s="117"/>
      <c r="Y2399" s="117"/>
      <c r="Z2399" s="117"/>
      <c r="AA2399" s="117"/>
      <c r="AB2399" s="117"/>
      <c r="AC2399" s="117"/>
      <c r="AD2399" s="117"/>
      <c r="AE2399" s="117"/>
      <c r="AF2399" s="117"/>
      <c r="AG2399" s="117"/>
      <c r="AH2399" s="117"/>
      <c r="AI2399" s="117"/>
      <c r="AJ2399" s="117"/>
      <c r="AK2399" s="117"/>
      <c r="AL2399" s="117"/>
      <c r="AM2399" s="117"/>
      <c r="AN2399" s="117"/>
      <c r="AO2399" s="117"/>
      <c r="AP2399" s="117"/>
      <c r="AQ2399" s="117"/>
      <c r="AR2399" s="117"/>
      <c r="AS2399" s="117"/>
      <c r="AT2399" s="117"/>
      <c r="AU2399" s="117"/>
      <c r="AV2399" s="117"/>
      <c r="AW2399" s="117"/>
      <c r="AX2399" s="117"/>
      <c r="AY2399" s="117"/>
      <c r="AZ2399" s="117"/>
      <c r="BA2399" s="117"/>
      <c r="BB2399" s="117"/>
      <c r="BC2399" s="117"/>
      <c r="BD2399" s="117"/>
      <c r="BE2399" s="117"/>
      <c r="BF2399" s="117"/>
      <c r="BG2399" s="117"/>
    </row>
    <row r="2400" spans="1:59">
      <c r="A2400" s="117"/>
      <c r="B2400" s="117"/>
      <c r="C2400" s="117"/>
      <c r="D2400" s="117"/>
      <c r="E2400" s="117"/>
      <c r="F2400" s="117"/>
      <c r="G2400" s="117"/>
      <c r="H2400" s="117"/>
      <c r="I2400" s="117"/>
      <c r="J2400" s="118"/>
      <c r="K2400" s="118"/>
      <c r="L2400" s="118"/>
      <c r="M2400" s="118"/>
      <c r="N2400" s="117"/>
      <c r="O2400" s="117"/>
      <c r="P2400" s="117"/>
      <c r="Q2400" s="117"/>
      <c r="R2400" s="117"/>
      <c r="S2400" s="117"/>
      <c r="T2400" s="117"/>
      <c r="U2400" s="117"/>
      <c r="V2400" s="117"/>
      <c r="W2400" s="117"/>
      <c r="X2400" s="117"/>
      <c r="Y2400" s="117"/>
      <c r="Z2400" s="117"/>
      <c r="AA2400" s="117"/>
      <c r="AB2400" s="117"/>
      <c r="AC2400" s="117"/>
      <c r="AD2400" s="117"/>
      <c r="AE2400" s="117"/>
      <c r="AF2400" s="117"/>
      <c r="AG2400" s="117"/>
      <c r="AH2400" s="117"/>
      <c r="AI2400" s="117"/>
      <c r="AJ2400" s="117"/>
      <c r="AK2400" s="117"/>
      <c r="AL2400" s="117"/>
      <c r="AM2400" s="117"/>
      <c r="AN2400" s="117"/>
      <c r="AO2400" s="117"/>
      <c r="AP2400" s="117"/>
      <c r="AQ2400" s="117"/>
      <c r="AR2400" s="117"/>
      <c r="AS2400" s="117"/>
      <c r="AT2400" s="117"/>
      <c r="AU2400" s="117"/>
      <c r="AV2400" s="117"/>
      <c r="AW2400" s="117"/>
      <c r="AX2400" s="117"/>
      <c r="AY2400" s="117"/>
      <c r="AZ2400" s="117"/>
      <c r="BA2400" s="117"/>
      <c r="BB2400" s="117"/>
      <c r="BC2400" s="117"/>
      <c r="BD2400" s="117"/>
      <c r="BE2400" s="117"/>
      <c r="BF2400" s="117"/>
      <c r="BG2400" s="117"/>
    </row>
    <row r="2401" spans="1:59">
      <c r="A2401" s="117"/>
      <c r="B2401" s="117"/>
      <c r="C2401" s="117"/>
      <c r="D2401" s="117"/>
      <c r="E2401" s="117"/>
      <c r="F2401" s="117"/>
      <c r="G2401" s="117"/>
      <c r="H2401" s="117"/>
      <c r="I2401" s="117"/>
      <c r="J2401" s="118"/>
      <c r="K2401" s="118"/>
      <c r="L2401" s="118"/>
      <c r="M2401" s="118"/>
      <c r="N2401" s="117"/>
      <c r="O2401" s="117"/>
      <c r="P2401" s="117"/>
      <c r="Q2401" s="117"/>
      <c r="R2401" s="117"/>
      <c r="S2401" s="117"/>
      <c r="T2401" s="117"/>
      <c r="U2401" s="117"/>
      <c r="V2401" s="117"/>
      <c r="W2401" s="117"/>
      <c r="X2401" s="117"/>
      <c r="Y2401" s="117"/>
      <c r="Z2401" s="117"/>
      <c r="AA2401" s="117"/>
      <c r="AB2401" s="117"/>
      <c r="AC2401" s="117"/>
      <c r="AD2401" s="117"/>
      <c r="AE2401" s="117"/>
      <c r="AF2401" s="117"/>
      <c r="AG2401" s="117"/>
      <c r="AH2401" s="117"/>
      <c r="AI2401" s="117"/>
      <c r="AJ2401" s="117"/>
      <c r="AK2401" s="117"/>
      <c r="AL2401" s="117"/>
      <c r="AM2401" s="117"/>
      <c r="AN2401" s="117"/>
      <c r="AO2401" s="117"/>
      <c r="AP2401" s="117"/>
      <c r="AQ2401" s="117"/>
      <c r="AR2401" s="117"/>
      <c r="AS2401" s="117"/>
      <c r="AT2401" s="117"/>
      <c r="AU2401" s="117"/>
      <c r="AV2401" s="117"/>
      <c r="AW2401" s="117"/>
      <c r="AX2401" s="117"/>
      <c r="AY2401" s="117"/>
      <c r="AZ2401" s="117"/>
      <c r="BA2401" s="117"/>
      <c r="BB2401" s="117"/>
      <c r="BC2401" s="117"/>
      <c r="BD2401" s="117"/>
      <c r="BE2401" s="117"/>
      <c r="BF2401" s="117"/>
      <c r="BG2401" s="117"/>
    </row>
    <row r="2402" spans="1:59">
      <c r="A2402" s="117"/>
      <c r="B2402" s="117"/>
      <c r="C2402" s="117"/>
      <c r="D2402" s="117"/>
      <c r="E2402" s="117"/>
      <c r="F2402" s="117"/>
      <c r="G2402" s="117"/>
      <c r="H2402" s="117"/>
      <c r="I2402" s="117"/>
      <c r="J2402" s="118"/>
      <c r="K2402" s="118"/>
      <c r="L2402" s="118"/>
      <c r="M2402" s="118"/>
      <c r="N2402" s="117"/>
      <c r="O2402" s="117"/>
      <c r="P2402" s="117"/>
      <c r="Q2402" s="117"/>
      <c r="R2402" s="117"/>
      <c r="S2402" s="117"/>
      <c r="T2402" s="117"/>
      <c r="U2402" s="117"/>
      <c r="V2402" s="117"/>
      <c r="W2402" s="117"/>
      <c r="X2402" s="117"/>
      <c r="Y2402" s="117"/>
      <c r="Z2402" s="117"/>
      <c r="AA2402" s="117"/>
      <c r="AB2402" s="117"/>
      <c r="AC2402" s="117"/>
      <c r="AD2402" s="117"/>
      <c r="AE2402" s="117"/>
      <c r="AF2402" s="117"/>
      <c r="AG2402" s="117"/>
      <c r="AH2402" s="117"/>
      <c r="AI2402" s="117"/>
      <c r="AJ2402" s="117"/>
      <c r="AK2402" s="117"/>
      <c r="AL2402" s="117"/>
      <c r="AM2402" s="117"/>
      <c r="AN2402" s="117"/>
      <c r="AO2402" s="117"/>
      <c r="AP2402" s="117"/>
      <c r="AQ2402" s="117"/>
      <c r="AR2402" s="117"/>
      <c r="AS2402" s="117"/>
      <c r="AT2402" s="117"/>
      <c r="AU2402" s="117"/>
      <c r="AV2402" s="117"/>
      <c r="AW2402" s="117"/>
      <c r="AX2402" s="117"/>
      <c r="AY2402" s="117"/>
      <c r="AZ2402" s="117"/>
      <c r="BA2402" s="117"/>
      <c r="BB2402" s="117"/>
      <c r="BC2402" s="117"/>
      <c r="BD2402" s="117"/>
      <c r="BE2402" s="117"/>
      <c r="BF2402" s="117"/>
      <c r="BG2402" s="117"/>
    </row>
    <row r="2403" spans="1:59">
      <c r="A2403" s="117"/>
      <c r="B2403" s="117"/>
      <c r="C2403" s="117"/>
      <c r="D2403" s="117"/>
      <c r="E2403" s="117"/>
      <c r="F2403" s="117"/>
      <c r="G2403" s="117"/>
      <c r="H2403" s="117"/>
      <c r="I2403" s="117"/>
      <c r="J2403" s="118"/>
      <c r="K2403" s="118"/>
      <c r="L2403" s="118"/>
      <c r="M2403" s="118"/>
      <c r="N2403" s="117"/>
      <c r="O2403" s="117"/>
      <c r="P2403" s="117"/>
      <c r="Q2403" s="117"/>
      <c r="R2403" s="117"/>
      <c r="S2403" s="117"/>
      <c r="T2403" s="117"/>
      <c r="U2403" s="117"/>
      <c r="V2403" s="117"/>
      <c r="W2403" s="117"/>
      <c r="X2403" s="117"/>
      <c r="Y2403" s="117"/>
      <c r="Z2403" s="117"/>
      <c r="AA2403" s="117"/>
      <c r="AB2403" s="117"/>
      <c r="AC2403" s="117"/>
      <c r="AD2403" s="117"/>
      <c r="AE2403" s="117"/>
      <c r="AF2403" s="117"/>
      <c r="AG2403" s="117"/>
      <c r="AH2403" s="117"/>
      <c r="AI2403" s="117"/>
      <c r="AJ2403" s="117"/>
      <c r="AK2403" s="117"/>
      <c r="AL2403" s="117"/>
      <c r="AM2403" s="117"/>
      <c r="AN2403" s="117"/>
      <c r="AO2403" s="117"/>
      <c r="AP2403" s="117"/>
      <c r="AQ2403" s="117"/>
      <c r="AR2403" s="117"/>
      <c r="AS2403" s="117"/>
      <c r="AT2403" s="117"/>
      <c r="AU2403" s="117"/>
      <c r="AV2403" s="117"/>
      <c r="AW2403" s="117"/>
      <c r="AX2403" s="117"/>
      <c r="AY2403" s="117"/>
      <c r="AZ2403" s="117"/>
      <c r="BA2403" s="117"/>
      <c r="BB2403" s="117"/>
      <c r="BC2403" s="117"/>
      <c r="BD2403" s="117"/>
      <c r="BE2403" s="117"/>
      <c r="BF2403" s="117"/>
      <c r="BG2403" s="117"/>
    </row>
    <row r="2404" spans="1:59">
      <c r="A2404" s="117"/>
      <c r="B2404" s="117"/>
      <c r="C2404" s="117"/>
      <c r="D2404" s="117"/>
      <c r="E2404" s="117"/>
      <c r="F2404" s="117"/>
      <c r="G2404" s="117"/>
      <c r="H2404" s="117"/>
      <c r="I2404" s="117"/>
      <c r="J2404" s="118"/>
      <c r="K2404" s="118"/>
      <c r="L2404" s="118"/>
      <c r="M2404" s="118"/>
      <c r="N2404" s="117"/>
      <c r="O2404" s="117"/>
      <c r="P2404" s="117"/>
      <c r="Q2404" s="117"/>
      <c r="R2404" s="117"/>
      <c r="S2404" s="117"/>
      <c r="T2404" s="117"/>
      <c r="U2404" s="117"/>
      <c r="V2404" s="117"/>
      <c r="W2404" s="117"/>
      <c r="X2404" s="117"/>
      <c r="Y2404" s="117"/>
      <c r="Z2404" s="117"/>
      <c r="AA2404" s="117"/>
      <c r="AB2404" s="117"/>
      <c r="AC2404" s="117"/>
      <c r="AD2404" s="117"/>
      <c r="AE2404" s="117"/>
      <c r="AF2404" s="117"/>
      <c r="AG2404" s="117"/>
      <c r="AH2404" s="117"/>
      <c r="AI2404" s="117"/>
      <c r="AJ2404" s="117"/>
      <c r="AK2404" s="117"/>
      <c r="AL2404" s="117"/>
      <c r="AM2404" s="117"/>
      <c r="AN2404" s="117"/>
      <c r="AO2404" s="117"/>
      <c r="AP2404" s="117"/>
      <c r="AQ2404" s="117"/>
      <c r="AR2404" s="117"/>
      <c r="AS2404" s="117"/>
      <c r="AT2404" s="117"/>
      <c r="AU2404" s="117"/>
      <c r="AV2404" s="117"/>
      <c r="AW2404" s="117"/>
      <c r="AX2404" s="117"/>
      <c r="AY2404" s="117"/>
      <c r="AZ2404" s="117"/>
      <c r="BA2404" s="117"/>
      <c r="BB2404" s="117"/>
      <c r="BC2404" s="117"/>
      <c r="BD2404" s="117"/>
      <c r="BE2404" s="117"/>
      <c r="BF2404" s="117"/>
      <c r="BG2404" s="117"/>
    </row>
    <row r="2405" spans="1:59">
      <c r="A2405" s="117"/>
      <c r="B2405" s="117"/>
      <c r="C2405" s="117"/>
      <c r="D2405" s="117"/>
      <c r="E2405" s="117"/>
      <c r="F2405" s="117"/>
      <c r="G2405" s="117"/>
      <c r="H2405" s="117"/>
      <c r="I2405" s="117"/>
      <c r="J2405" s="118"/>
      <c r="K2405" s="118"/>
      <c r="L2405" s="118"/>
      <c r="M2405" s="118"/>
      <c r="N2405" s="117"/>
      <c r="O2405" s="117"/>
      <c r="P2405" s="117"/>
      <c r="Q2405" s="117"/>
      <c r="R2405" s="117"/>
      <c r="S2405" s="117"/>
      <c r="T2405" s="117"/>
      <c r="U2405" s="117"/>
      <c r="V2405" s="117"/>
      <c r="W2405" s="117"/>
      <c r="X2405" s="117"/>
      <c r="Y2405" s="117"/>
      <c r="Z2405" s="117"/>
      <c r="AA2405" s="117"/>
      <c r="AB2405" s="117"/>
      <c r="AC2405" s="117"/>
      <c r="AD2405" s="117"/>
      <c r="AE2405" s="117"/>
      <c r="AF2405" s="117"/>
      <c r="AG2405" s="117"/>
      <c r="AH2405" s="117"/>
      <c r="AI2405" s="117"/>
      <c r="AJ2405" s="117"/>
      <c r="AK2405" s="117"/>
      <c r="AL2405" s="117"/>
      <c r="AM2405" s="117"/>
      <c r="AN2405" s="117"/>
      <c r="AO2405" s="117"/>
      <c r="AP2405" s="117"/>
      <c r="AQ2405" s="117"/>
      <c r="AR2405" s="117"/>
      <c r="AS2405" s="117"/>
      <c r="AT2405" s="117"/>
      <c r="AU2405" s="117"/>
      <c r="AV2405" s="117"/>
      <c r="AW2405" s="117"/>
      <c r="AX2405" s="117"/>
      <c r="AY2405" s="117"/>
      <c r="AZ2405" s="117"/>
      <c r="BA2405" s="117"/>
      <c r="BB2405" s="117"/>
      <c r="BC2405" s="117"/>
      <c r="BD2405" s="117"/>
      <c r="BE2405" s="117"/>
      <c r="BF2405" s="117"/>
      <c r="BG2405" s="117"/>
    </row>
    <row r="2406" spans="1:59">
      <c r="A2406" s="117"/>
      <c r="B2406" s="117"/>
      <c r="C2406" s="117"/>
      <c r="D2406" s="117"/>
      <c r="E2406" s="117"/>
      <c r="F2406" s="117"/>
      <c r="G2406" s="117"/>
      <c r="H2406" s="117"/>
      <c r="I2406" s="117"/>
      <c r="J2406" s="118"/>
      <c r="K2406" s="118"/>
      <c r="L2406" s="118"/>
      <c r="M2406" s="118"/>
      <c r="N2406" s="117"/>
      <c r="O2406" s="117"/>
      <c r="P2406" s="117"/>
      <c r="Q2406" s="117"/>
      <c r="R2406" s="117"/>
      <c r="S2406" s="117"/>
      <c r="T2406" s="117"/>
      <c r="U2406" s="117"/>
      <c r="V2406" s="117"/>
      <c r="W2406" s="117"/>
      <c r="X2406" s="117"/>
      <c r="Y2406" s="117"/>
      <c r="Z2406" s="117"/>
      <c r="AA2406" s="117"/>
      <c r="AB2406" s="117"/>
      <c r="AC2406" s="117"/>
      <c r="AD2406" s="117"/>
      <c r="AE2406" s="117"/>
      <c r="AF2406" s="117"/>
      <c r="AG2406" s="117"/>
      <c r="AH2406" s="117"/>
      <c r="AI2406" s="117"/>
      <c r="AJ2406" s="117"/>
      <c r="AK2406" s="117"/>
      <c r="AL2406" s="117"/>
      <c r="AM2406" s="117"/>
      <c r="AN2406" s="117"/>
      <c r="AO2406" s="117"/>
      <c r="AP2406" s="117"/>
      <c r="AQ2406" s="117"/>
      <c r="AR2406" s="117"/>
      <c r="AS2406" s="117"/>
      <c r="AT2406" s="117"/>
      <c r="AU2406" s="117"/>
      <c r="AV2406" s="117"/>
      <c r="AW2406" s="117"/>
      <c r="AX2406" s="117"/>
      <c r="AY2406" s="117"/>
      <c r="AZ2406" s="117"/>
      <c r="BA2406" s="117"/>
      <c r="BB2406" s="117"/>
      <c r="BC2406" s="117"/>
      <c r="BD2406" s="117"/>
      <c r="BE2406" s="117"/>
      <c r="BF2406" s="117"/>
      <c r="BG2406" s="117"/>
    </row>
    <row r="2407" spans="1:59">
      <c r="A2407" s="117"/>
      <c r="B2407" s="117"/>
      <c r="C2407" s="117"/>
      <c r="D2407" s="117"/>
      <c r="E2407" s="117"/>
      <c r="F2407" s="117"/>
      <c r="G2407" s="117"/>
      <c r="H2407" s="117"/>
      <c r="I2407" s="117"/>
      <c r="J2407" s="118"/>
      <c r="K2407" s="118"/>
      <c r="L2407" s="118"/>
      <c r="M2407" s="118"/>
      <c r="N2407" s="117"/>
      <c r="O2407" s="117"/>
      <c r="P2407" s="117"/>
      <c r="Q2407" s="117"/>
      <c r="R2407" s="117"/>
      <c r="S2407" s="117"/>
      <c r="T2407" s="117"/>
      <c r="U2407" s="117"/>
      <c r="V2407" s="117"/>
      <c r="W2407" s="117"/>
      <c r="X2407" s="117"/>
      <c r="Y2407" s="117"/>
      <c r="Z2407" s="117"/>
      <c r="AA2407" s="117"/>
      <c r="AB2407" s="117"/>
      <c r="AC2407" s="117"/>
      <c r="AD2407" s="117"/>
      <c r="AE2407" s="117"/>
      <c r="AF2407" s="117"/>
      <c r="AG2407" s="117"/>
      <c r="AH2407" s="117"/>
      <c r="AI2407" s="117"/>
      <c r="AJ2407" s="117"/>
      <c r="AK2407" s="117"/>
      <c r="AL2407" s="117"/>
      <c r="AM2407" s="117"/>
      <c r="AN2407" s="117"/>
      <c r="AO2407" s="117"/>
      <c r="AP2407" s="117"/>
      <c r="AQ2407" s="117"/>
      <c r="AR2407" s="117"/>
      <c r="AS2407" s="117"/>
      <c r="AT2407" s="117"/>
      <c r="AU2407" s="117"/>
      <c r="AV2407" s="117"/>
      <c r="AW2407" s="117"/>
      <c r="AX2407" s="117"/>
      <c r="AY2407" s="117"/>
      <c r="AZ2407" s="117"/>
      <c r="BA2407" s="117"/>
      <c r="BB2407" s="117"/>
      <c r="BC2407" s="117"/>
      <c r="BD2407" s="117"/>
      <c r="BE2407" s="117"/>
      <c r="BF2407" s="117"/>
      <c r="BG2407" s="117"/>
    </row>
    <row r="2408" spans="1:59">
      <c r="A2408" s="117"/>
      <c r="B2408" s="117"/>
      <c r="C2408" s="117"/>
      <c r="D2408" s="117"/>
      <c r="E2408" s="117"/>
      <c r="F2408" s="117"/>
      <c r="G2408" s="117"/>
      <c r="H2408" s="117"/>
      <c r="I2408" s="117"/>
      <c r="J2408" s="118"/>
      <c r="K2408" s="118"/>
      <c r="L2408" s="118"/>
      <c r="M2408" s="118"/>
      <c r="N2408" s="117"/>
      <c r="O2408" s="117"/>
      <c r="P2408" s="117"/>
      <c r="Q2408" s="117"/>
      <c r="R2408" s="117"/>
      <c r="S2408" s="117"/>
      <c r="T2408" s="117"/>
      <c r="U2408" s="117"/>
      <c r="V2408" s="117"/>
      <c r="W2408" s="117"/>
      <c r="X2408" s="117"/>
      <c r="Y2408" s="117"/>
      <c r="Z2408" s="117"/>
      <c r="AA2408" s="117"/>
      <c r="AB2408" s="117"/>
      <c r="AC2408" s="117"/>
      <c r="AD2408" s="117"/>
      <c r="AE2408" s="117"/>
      <c r="AF2408" s="117"/>
      <c r="AG2408" s="117"/>
      <c r="AH2408" s="117"/>
      <c r="AI2408" s="117"/>
      <c r="AJ2408" s="117"/>
      <c r="AK2408" s="117"/>
      <c r="AL2408" s="117"/>
      <c r="AM2408" s="117"/>
      <c r="AN2408" s="117"/>
      <c r="AO2408" s="117"/>
      <c r="AP2408" s="117"/>
      <c r="AQ2408" s="117"/>
      <c r="AR2408" s="117"/>
      <c r="AS2408" s="117"/>
      <c r="AT2408" s="117"/>
      <c r="AU2408" s="117"/>
      <c r="AV2408" s="117"/>
      <c r="AW2408" s="117"/>
      <c r="AX2408" s="117"/>
      <c r="AY2408" s="117"/>
      <c r="AZ2408" s="117"/>
      <c r="BA2408" s="117"/>
      <c r="BB2408" s="117"/>
      <c r="BC2408" s="117"/>
      <c r="BD2408" s="117"/>
      <c r="BE2408" s="117"/>
      <c r="BF2408" s="117"/>
      <c r="BG2408" s="117"/>
    </row>
    <row r="2409" spans="1:59">
      <c r="A2409" s="117"/>
      <c r="B2409" s="117"/>
      <c r="C2409" s="117"/>
      <c r="D2409" s="117"/>
      <c r="E2409" s="117"/>
      <c r="F2409" s="117"/>
      <c r="G2409" s="117"/>
      <c r="H2409" s="117"/>
      <c r="I2409" s="117"/>
      <c r="J2409" s="118"/>
      <c r="K2409" s="118"/>
      <c r="L2409" s="118"/>
      <c r="M2409" s="118"/>
      <c r="N2409" s="117"/>
      <c r="O2409" s="117"/>
      <c r="P2409" s="117"/>
      <c r="Q2409" s="117"/>
      <c r="R2409" s="117"/>
      <c r="S2409" s="117"/>
      <c r="T2409" s="117"/>
      <c r="U2409" s="117"/>
      <c r="V2409" s="117"/>
      <c r="W2409" s="117"/>
      <c r="X2409" s="117"/>
      <c r="Y2409" s="117"/>
      <c r="Z2409" s="117"/>
      <c r="AA2409" s="117"/>
      <c r="AB2409" s="117"/>
      <c r="AC2409" s="117"/>
      <c r="AD2409" s="117"/>
      <c r="AE2409" s="117"/>
      <c r="AF2409" s="117"/>
      <c r="AG2409" s="117"/>
      <c r="AH2409" s="117"/>
      <c r="AI2409" s="117"/>
      <c r="AJ2409" s="117"/>
      <c r="AK2409" s="117"/>
      <c r="AL2409" s="117"/>
      <c r="AM2409" s="117"/>
      <c r="AN2409" s="117"/>
      <c r="AO2409" s="117"/>
      <c r="AP2409" s="117"/>
      <c r="AQ2409" s="117"/>
      <c r="AR2409" s="117"/>
      <c r="AS2409" s="117"/>
      <c r="AT2409" s="117"/>
      <c r="AU2409" s="117"/>
      <c r="AV2409" s="117"/>
      <c r="AW2409" s="117"/>
      <c r="AX2409" s="117"/>
      <c r="AY2409" s="117"/>
      <c r="AZ2409" s="117"/>
      <c r="BA2409" s="117"/>
      <c r="BB2409" s="117"/>
      <c r="BC2409" s="117"/>
      <c r="BD2409" s="117"/>
      <c r="BE2409" s="117"/>
      <c r="BF2409" s="117"/>
      <c r="BG2409" s="117"/>
    </row>
    <row r="2410" spans="1:59">
      <c r="A2410" s="117"/>
      <c r="B2410" s="117"/>
      <c r="C2410" s="117"/>
      <c r="D2410" s="117"/>
      <c r="E2410" s="117"/>
      <c r="F2410" s="117"/>
      <c r="G2410" s="117"/>
      <c r="H2410" s="117"/>
      <c r="I2410" s="117"/>
      <c r="J2410" s="118"/>
      <c r="K2410" s="118"/>
      <c r="L2410" s="118"/>
      <c r="M2410" s="118"/>
      <c r="N2410" s="117"/>
      <c r="O2410" s="117"/>
      <c r="P2410" s="117"/>
      <c r="Q2410" s="117"/>
      <c r="R2410" s="117"/>
      <c r="S2410" s="117"/>
      <c r="T2410" s="117"/>
      <c r="U2410" s="117"/>
      <c r="V2410" s="117"/>
      <c r="W2410" s="117"/>
      <c r="X2410" s="117"/>
      <c r="Y2410" s="117"/>
      <c r="Z2410" s="117"/>
      <c r="AA2410" s="117"/>
      <c r="AB2410" s="117"/>
      <c r="AC2410" s="117"/>
      <c r="AD2410" s="117"/>
      <c r="AE2410" s="117"/>
      <c r="AF2410" s="117"/>
      <c r="AG2410" s="117"/>
      <c r="AH2410" s="117"/>
      <c r="AI2410" s="117"/>
      <c r="AJ2410" s="117"/>
      <c r="AK2410" s="117"/>
      <c r="AL2410" s="117"/>
      <c r="AM2410" s="117"/>
      <c r="AN2410" s="117"/>
      <c r="AO2410" s="117"/>
      <c r="AP2410" s="117"/>
      <c r="AQ2410" s="117"/>
      <c r="AR2410" s="117"/>
      <c r="AS2410" s="117"/>
      <c r="AT2410" s="117"/>
      <c r="AU2410" s="117"/>
      <c r="AV2410" s="117"/>
      <c r="AW2410" s="117"/>
      <c r="AX2410" s="117"/>
      <c r="AY2410" s="117"/>
      <c r="AZ2410" s="117"/>
      <c r="BA2410" s="117"/>
      <c r="BB2410" s="117"/>
      <c r="BC2410" s="117"/>
      <c r="BD2410" s="117"/>
      <c r="BE2410" s="117"/>
      <c r="BF2410" s="117"/>
      <c r="BG2410" s="117"/>
    </row>
    <row r="2411" spans="1:59">
      <c r="A2411" s="117"/>
      <c r="B2411" s="117"/>
      <c r="C2411" s="117"/>
      <c r="D2411" s="117"/>
      <c r="E2411" s="117"/>
      <c r="F2411" s="117"/>
      <c r="G2411" s="117"/>
      <c r="H2411" s="117"/>
      <c r="I2411" s="117"/>
      <c r="J2411" s="118"/>
      <c r="K2411" s="118"/>
      <c r="L2411" s="118"/>
      <c r="M2411" s="118"/>
      <c r="N2411" s="117"/>
      <c r="O2411" s="117"/>
      <c r="P2411" s="117"/>
      <c r="Q2411" s="117"/>
      <c r="R2411" s="117"/>
      <c r="S2411" s="117"/>
      <c r="T2411" s="117"/>
      <c r="U2411" s="117"/>
      <c r="V2411" s="117"/>
      <c r="W2411" s="117"/>
      <c r="X2411" s="117"/>
      <c r="Y2411" s="117"/>
      <c r="Z2411" s="117"/>
      <c r="AA2411" s="117"/>
      <c r="AB2411" s="117"/>
      <c r="AC2411" s="117"/>
      <c r="AD2411" s="117"/>
      <c r="AE2411" s="117"/>
      <c r="AF2411" s="117"/>
      <c r="AG2411" s="117"/>
      <c r="AH2411" s="117"/>
      <c r="AI2411" s="117"/>
      <c r="AJ2411" s="117"/>
      <c r="AK2411" s="117"/>
      <c r="AL2411" s="117"/>
      <c r="AM2411" s="117"/>
      <c r="AN2411" s="117"/>
      <c r="AO2411" s="117"/>
      <c r="AP2411" s="117"/>
      <c r="AQ2411" s="117"/>
      <c r="AR2411" s="117"/>
      <c r="AS2411" s="117"/>
      <c r="AT2411" s="117"/>
      <c r="AU2411" s="117"/>
      <c r="AV2411" s="117"/>
      <c r="AW2411" s="117"/>
      <c r="AX2411" s="117"/>
      <c r="AY2411" s="117"/>
      <c r="AZ2411" s="117"/>
      <c r="BA2411" s="117"/>
      <c r="BB2411" s="117"/>
      <c r="BC2411" s="117"/>
      <c r="BD2411" s="117"/>
      <c r="BE2411" s="117"/>
      <c r="BF2411" s="117"/>
      <c r="BG2411" s="117"/>
    </row>
    <row r="2412" spans="1:59">
      <c r="A2412" s="117"/>
      <c r="B2412" s="117"/>
      <c r="C2412" s="117"/>
      <c r="D2412" s="117"/>
      <c r="E2412" s="117"/>
      <c r="F2412" s="117"/>
      <c r="G2412" s="117"/>
      <c r="H2412" s="117"/>
      <c r="I2412" s="117"/>
      <c r="J2412" s="118"/>
      <c r="K2412" s="118"/>
      <c r="L2412" s="118"/>
      <c r="M2412" s="118"/>
      <c r="N2412" s="117"/>
      <c r="O2412" s="117"/>
      <c r="P2412" s="117"/>
      <c r="Q2412" s="117"/>
      <c r="R2412" s="117"/>
      <c r="S2412" s="117"/>
      <c r="T2412" s="117"/>
      <c r="U2412" s="117"/>
      <c r="V2412" s="117"/>
      <c r="W2412" s="117"/>
      <c r="X2412" s="117"/>
      <c r="Y2412" s="117"/>
      <c r="Z2412" s="117"/>
      <c r="AA2412" s="117"/>
      <c r="AB2412" s="117"/>
      <c r="AC2412" s="117"/>
      <c r="AD2412" s="117"/>
      <c r="AE2412" s="117"/>
      <c r="AF2412" s="117"/>
      <c r="AG2412" s="117"/>
      <c r="AH2412" s="117"/>
      <c r="AI2412" s="117"/>
      <c r="AJ2412" s="117"/>
      <c r="AK2412" s="117"/>
      <c r="AL2412" s="117"/>
      <c r="AM2412" s="117"/>
      <c r="AN2412" s="117"/>
      <c r="AO2412" s="117"/>
      <c r="AP2412" s="117"/>
      <c r="AQ2412" s="117"/>
      <c r="AR2412" s="117"/>
      <c r="AS2412" s="117"/>
      <c r="AT2412" s="117"/>
      <c r="AU2412" s="117"/>
      <c r="AV2412" s="117"/>
      <c r="AW2412" s="117"/>
      <c r="AX2412" s="117"/>
      <c r="AY2412" s="117"/>
      <c r="AZ2412" s="117"/>
      <c r="BA2412" s="117"/>
      <c r="BB2412" s="117"/>
      <c r="BC2412" s="117"/>
      <c r="BD2412" s="117"/>
      <c r="BE2412" s="117"/>
      <c r="BF2412" s="117"/>
      <c r="BG2412" s="117"/>
    </row>
    <row r="2413" spans="1:59">
      <c r="A2413" s="117"/>
      <c r="B2413" s="117"/>
      <c r="C2413" s="117"/>
      <c r="D2413" s="117"/>
      <c r="E2413" s="117"/>
      <c r="F2413" s="117"/>
      <c r="G2413" s="117"/>
      <c r="H2413" s="117"/>
      <c r="I2413" s="117"/>
      <c r="J2413" s="118"/>
      <c r="K2413" s="118"/>
      <c r="L2413" s="118"/>
      <c r="M2413" s="118"/>
      <c r="N2413" s="117"/>
      <c r="O2413" s="117"/>
      <c r="P2413" s="117"/>
      <c r="Q2413" s="117"/>
      <c r="R2413" s="117"/>
      <c r="S2413" s="117"/>
      <c r="T2413" s="117"/>
      <c r="U2413" s="117"/>
      <c r="V2413" s="117"/>
      <c r="W2413" s="117"/>
      <c r="X2413" s="117"/>
      <c r="Y2413" s="117"/>
      <c r="Z2413" s="117"/>
      <c r="AA2413" s="117"/>
      <c r="AB2413" s="117"/>
      <c r="AC2413" s="117"/>
      <c r="AD2413" s="117"/>
      <c r="AE2413" s="117"/>
      <c r="AF2413" s="117"/>
      <c r="AG2413" s="117"/>
      <c r="AH2413" s="117"/>
      <c r="AI2413" s="117"/>
      <c r="AJ2413" s="117"/>
      <c r="AK2413" s="117"/>
      <c r="AL2413" s="117"/>
      <c r="AM2413" s="117"/>
      <c r="AN2413" s="117"/>
      <c r="AO2413" s="117"/>
      <c r="AP2413" s="117"/>
      <c r="AQ2413" s="117"/>
      <c r="AR2413" s="117"/>
      <c r="AS2413" s="117"/>
      <c r="AT2413" s="117"/>
      <c r="AU2413" s="117"/>
      <c r="AV2413" s="117"/>
      <c r="AW2413" s="117"/>
      <c r="AX2413" s="117"/>
      <c r="AY2413" s="117"/>
      <c r="AZ2413" s="117"/>
      <c r="BA2413" s="117"/>
      <c r="BB2413" s="117"/>
      <c r="BC2413" s="117"/>
      <c r="BD2413" s="117"/>
      <c r="BE2413" s="117"/>
      <c r="BF2413" s="117"/>
      <c r="BG2413" s="117"/>
    </row>
    <row r="2414" spans="1:59">
      <c r="A2414" s="117"/>
      <c r="B2414" s="117"/>
      <c r="C2414" s="117"/>
      <c r="D2414" s="117"/>
      <c r="E2414" s="117"/>
      <c r="F2414" s="117"/>
      <c r="G2414" s="117"/>
      <c r="H2414" s="117"/>
      <c r="I2414" s="117"/>
      <c r="J2414" s="118"/>
      <c r="K2414" s="118"/>
      <c r="L2414" s="118"/>
      <c r="M2414" s="118"/>
      <c r="N2414" s="117"/>
      <c r="O2414" s="117"/>
      <c r="P2414" s="117"/>
      <c r="Q2414" s="117"/>
      <c r="R2414" s="117"/>
      <c r="S2414" s="117"/>
      <c r="T2414" s="117"/>
      <c r="U2414" s="117"/>
      <c r="V2414" s="117"/>
      <c r="W2414" s="117"/>
      <c r="X2414" s="117"/>
      <c r="Y2414" s="117"/>
      <c r="Z2414" s="117"/>
      <c r="AA2414" s="117"/>
      <c r="AB2414" s="117"/>
      <c r="AC2414" s="117"/>
      <c r="AD2414" s="117"/>
      <c r="AE2414" s="117"/>
      <c r="AF2414" s="117"/>
      <c r="AG2414" s="117"/>
      <c r="AH2414" s="117"/>
      <c r="AI2414" s="117"/>
      <c r="AJ2414" s="117"/>
      <c r="AK2414" s="117"/>
      <c r="AL2414" s="117"/>
      <c r="AM2414" s="117"/>
      <c r="AN2414" s="117"/>
      <c r="AO2414" s="117"/>
      <c r="AP2414" s="117"/>
      <c r="AQ2414" s="117"/>
      <c r="AR2414" s="117"/>
      <c r="AS2414" s="117"/>
      <c r="AT2414" s="117"/>
      <c r="AU2414" s="117"/>
      <c r="AV2414" s="117"/>
      <c r="AW2414" s="117"/>
      <c r="AX2414" s="117"/>
      <c r="AY2414" s="117"/>
      <c r="AZ2414" s="117"/>
      <c r="BA2414" s="117"/>
      <c r="BB2414" s="117"/>
      <c r="BC2414" s="117"/>
      <c r="BD2414" s="117"/>
      <c r="BE2414" s="117"/>
      <c r="BF2414" s="117"/>
      <c r="BG2414" s="117"/>
    </row>
    <row r="2415" spans="1:59">
      <c r="A2415" s="117"/>
      <c r="B2415" s="117"/>
      <c r="C2415" s="117"/>
      <c r="D2415" s="117"/>
      <c r="E2415" s="117"/>
      <c r="F2415" s="117"/>
      <c r="G2415" s="117"/>
      <c r="H2415" s="117"/>
      <c r="I2415" s="117"/>
      <c r="J2415" s="118"/>
      <c r="K2415" s="118"/>
      <c r="L2415" s="118"/>
      <c r="M2415" s="118"/>
      <c r="N2415" s="117"/>
      <c r="O2415" s="117"/>
      <c r="P2415" s="117"/>
      <c r="Q2415" s="117"/>
      <c r="R2415" s="117"/>
      <c r="S2415" s="117"/>
      <c r="T2415" s="117"/>
      <c r="U2415" s="117"/>
      <c r="V2415" s="117"/>
      <c r="W2415" s="117"/>
      <c r="X2415" s="117"/>
      <c r="Y2415" s="117"/>
      <c r="Z2415" s="117"/>
      <c r="AA2415" s="117"/>
      <c r="AB2415" s="117"/>
      <c r="AC2415" s="117"/>
      <c r="AD2415" s="117"/>
      <c r="AE2415" s="117"/>
      <c r="AF2415" s="117"/>
      <c r="AG2415" s="117"/>
      <c r="AH2415" s="117"/>
      <c r="AI2415" s="117"/>
      <c r="AJ2415" s="117"/>
      <c r="AK2415" s="117"/>
      <c r="AL2415" s="117"/>
      <c r="AM2415" s="117"/>
      <c r="AN2415" s="117"/>
      <c r="AO2415" s="117"/>
      <c r="AP2415" s="117"/>
      <c r="AQ2415" s="117"/>
      <c r="AR2415" s="117"/>
      <c r="AS2415" s="117"/>
      <c r="AT2415" s="117"/>
      <c r="AU2415" s="117"/>
      <c r="AV2415" s="117"/>
      <c r="AW2415" s="117"/>
      <c r="AX2415" s="117"/>
      <c r="AY2415" s="117"/>
      <c r="AZ2415" s="117"/>
      <c r="BA2415" s="117"/>
      <c r="BB2415" s="117"/>
      <c r="BC2415" s="117"/>
      <c r="BD2415" s="117"/>
      <c r="BE2415" s="117"/>
      <c r="BF2415" s="117"/>
      <c r="BG2415" s="117"/>
    </row>
    <row r="2416" spans="1:59">
      <c r="A2416" s="117"/>
      <c r="B2416" s="117"/>
      <c r="C2416" s="117"/>
      <c r="D2416" s="117"/>
      <c r="E2416" s="117"/>
      <c r="F2416" s="117"/>
      <c r="G2416" s="117"/>
      <c r="H2416" s="117"/>
      <c r="I2416" s="117"/>
      <c r="J2416" s="118"/>
      <c r="K2416" s="118"/>
      <c r="L2416" s="118"/>
      <c r="M2416" s="118"/>
      <c r="N2416" s="117"/>
      <c r="O2416" s="117"/>
      <c r="P2416" s="117"/>
      <c r="Q2416" s="117"/>
      <c r="R2416" s="117"/>
      <c r="S2416" s="117"/>
      <c r="T2416" s="117"/>
      <c r="U2416" s="117"/>
      <c r="V2416" s="117"/>
      <c r="W2416" s="117"/>
      <c r="X2416" s="117"/>
      <c r="Y2416" s="117"/>
      <c r="Z2416" s="117"/>
      <c r="AA2416" s="117"/>
      <c r="AB2416" s="117"/>
      <c r="AC2416" s="117"/>
      <c r="AD2416" s="117"/>
      <c r="AE2416" s="117"/>
      <c r="AF2416" s="117"/>
      <c r="AG2416" s="117"/>
      <c r="AH2416" s="117"/>
      <c r="AI2416" s="117"/>
      <c r="AJ2416" s="117"/>
      <c r="AK2416" s="117"/>
      <c r="AL2416" s="117"/>
      <c r="AM2416" s="117"/>
      <c r="AN2416" s="117"/>
      <c r="AO2416" s="117"/>
      <c r="AP2416" s="117"/>
      <c r="AQ2416" s="117"/>
      <c r="AR2416" s="117"/>
      <c r="AS2416" s="117"/>
      <c r="AT2416" s="117"/>
      <c r="AU2416" s="117"/>
      <c r="AV2416" s="117"/>
      <c r="AW2416" s="117"/>
      <c r="AX2416" s="117"/>
      <c r="AY2416" s="117"/>
      <c r="AZ2416" s="117"/>
      <c r="BA2416" s="117"/>
      <c r="BB2416" s="117"/>
      <c r="BC2416" s="117"/>
      <c r="BD2416" s="117"/>
      <c r="BE2416" s="117"/>
      <c r="BF2416" s="117"/>
      <c r="BG2416" s="117"/>
    </row>
    <row r="2417" spans="1:59">
      <c r="A2417" s="117"/>
      <c r="B2417" s="117"/>
      <c r="C2417" s="117"/>
      <c r="D2417" s="117"/>
      <c r="E2417" s="117"/>
      <c r="F2417" s="117"/>
      <c r="G2417" s="117"/>
      <c r="H2417" s="117"/>
      <c r="I2417" s="117"/>
      <c r="J2417" s="118"/>
      <c r="K2417" s="118"/>
      <c r="L2417" s="118"/>
      <c r="M2417" s="118"/>
      <c r="N2417" s="117"/>
      <c r="O2417" s="117"/>
      <c r="P2417" s="117"/>
      <c r="Q2417" s="117"/>
      <c r="R2417" s="117"/>
      <c r="S2417" s="117"/>
      <c r="T2417" s="117"/>
      <c r="U2417" s="117"/>
      <c r="V2417" s="117"/>
      <c r="W2417" s="117"/>
      <c r="X2417" s="117"/>
      <c r="Y2417" s="117"/>
      <c r="Z2417" s="117"/>
      <c r="AA2417" s="117"/>
      <c r="AB2417" s="117"/>
      <c r="AC2417" s="117"/>
      <c r="AD2417" s="117"/>
      <c r="AE2417" s="117"/>
      <c r="AF2417" s="117"/>
      <c r="AG2417" s="117"/>
      <c r="AH2417" s="117"/>
      <c r="AI2417" s="117"/>
      <c r="AJ2417" s="117"/>
      <c r="AK2417" s="117"/>
      <c r="AL2417" s="117"/>
      <c r="AM2417" s="117"/>
      <c r="AN2417" s="117"/>
      <c r="AO2417" s="117"/>
      <c r="AP2417" s="117"/>
      <c r="AQ2417" s="117"/>
      <c r="AR2417" s="117"/>
      <c r="AS2417" s="117"/>
      <c r="AT2417" s="117"/>
      <c r="AU2417" s="117"/>
      <c r="AV2417" s="117"/>
      <c r="AW2417" s="117"/>
      <c r="AX2417" s="117"/>
      <c r="AY2417" s="117"/>
      <c r="AZ2417" s="117"/>
      <c r="BA2417" s="117"/>
      <c r="BB2417" s="117"/>
      <c r="BC2417" s="117"/>
      <c r="BD2417" s="117"/>
      <c r="BE2417" s="117"/>
      <c r="BF2417" s="117"/>
      <c r="BG2417" s="117"/>
    </row>
    <row r="2418" spans="1:59">
      <c r="A2418" s="117"/>
      <c r="B2418" s="117"/>
      <c r="C2418" s="117"/>
      <c r="D2418" s="117"/>
      <c r="E2418" s="117"/>
      <c r="F2418" s="117"/>
      <c r="G2418" s="117"/>
      <c r="H2418" s="117"/>
      <c r="I2418" s="117"/>
      <c r="J2418" s="118"/>
      <c r="K2418" s="118"/>
      <c r="L2418" s="118"/>
      <c r="M2418" s="118"/>
      <c r="N2418" s="117"/>
      <c r="O2418" s="117"/>
      <c r="P2418" s="117"/>
      <c r="Q2418" s="117"/>
      <c r="R2418" s="117"/>
      <c r="S2418" s="117"/>
      <c r="T2418" s="117"/>
      <c r="U2418" s="117"/>
      <c r="V2418" s="117"/>
      <c r="W2418" s="117"/>
      <c r="X2418" s="117"/>
      <c r="Y2418" s="117"/>
      <c r="Z2418" s="117"/>
      <c r="AA2418" s="117"/>
      <c r="AB2418" s="117"/>
      <c r="AC2418" s="117"/>
      <c r="AD2418" s="117"/>
      <c r="AE2418" s="117"/>
      <c r="AF2418" s="117"/>
      <c r="AG2418" s="117"/>
      <c r="AH2418" s="117"/>
      <c r="AI2418" s="117"/>
      <c r="AJ2418" s="117"/>
      <c r="AK2418" s="117"/>
      <c r="AL2418" s="117"/>
      <c r="AM2418" s="117"/>
      <c r="AN2418" s="117"/>
      <c r="AO2418" s="117"/>
      <c r="AP2418" s="117"/>
      <c r="AQ2418" s="117"/>
      <c r="AR2418" s="117"/>
      <c r="AS2418" s="117"/>
      <c r="AT2418" s="117"/>
      <c r="AU2418" s="117"/>
      <c r="AV2418" s="117"/>
      <c r="AW2418" s="117"/>
      <c r="AX2418" s="117"/>
      <c r="AY2418" s="117"/>
      <c r="AZ2418" s="117"/>
      <c r="BA2418" s="117"/>
      <c r="BB2418" s="117"/>
      <c r="BC2418" s="117"/>
      <c r="BD2418" s="117"/>
      <c r="BE2418" s="117"/>
      <c r="BF2418" s="117"/>
      <c r="BG2418" s="117"/>
    </row>
    <row r="2419" spans="1:59">
      <c r="A2419" s="117"/>
      <c r="B2419" s="117"/>
      <c r="C2419" s="117"/>
      <c r="D2419" s="117"/>
      <c r="E2419" s="117"/>
      <c r="F2419" s="117"/>
      <c r="G2419" s="117"/>
      <c r="H2419" s="117"/>
      <c r="I2419" s="117"/>
      <c r="J2419" s="118"/>
      <c r="K2419" s="118"/>
      <c r="L2419" s="118"/>
      <c r="M2419" s="118"/>
      <c r="N2419" s="117"/>
      <c r="O2419" s="117"/>
      <c r="P2419" s="117"/>
      <c r="Q2419" s="117"/>
      <c r="R2419" s="117"/>
      <c r="S2419" s="117"/>
      <c r="T2419" s="117"/>
      <c r="U2419" s="117"/>
      <c r="V2419" s="117"/>
      <c r="W2419" s="117"/>
      <c r="X2419" s="117"/>
      <c r="Y2419" s="117"/>
      <c r="Z2419" s="117"/>
      <c r="AA2419" s="117"/>
      <c r="AB2419" s="117"/>
      <c r="AC2419" s="117"/>
      <c r="AD2419" s="117"/>
      <c r="AE2419" s="117"/>
      <c r="AF2419" s="117"/>
      <c r="AG2419" s="117"/>
      <c r="AH2419" s="117"/>
      <c r="AI2419" s="117"/>
      <c r="AJ2419" s="117"/>
      <c r="AK2419" s="117"/>
      <c r="AL2419" s="117"/>
      <c r="AM2419" s="117"/>
      <c r="AN2419" s="117"/>
      <c r="AO2419" s="117"/>
      <c r="AP2419" s="117"/>
      <c r="AQ2419" s="117"/>
      <c r="AR2419" s="117"/>
      <c r="AS2419" s="117"/>
      <c r="AT2419" s="117"/>
      <c r="AU2419" s="117"/>
      <c r="AV2419" s="117"/>
      <c r="AW2419" s="117"/>
      <c r="AX2419" s="117"/>
      <c r="AY2419" s="117"/>
      <c r="AZ2419" s="117"/>
      <c r="BA2419" s="117"/>
      <c r="BB2419" s="117"/>
      <c r="BC2419" s="117"/>
      <c r="BD2419" s="117"/>
      <c r="BE2419" s="117"/>
      <c r="BF2419" s="117"/>
      <c r="BG2419" s="117"/>
    </row>
    <row r="2420" spans="1:59">
      <c r="A2420" s="117"/>
      <c r="B2420" s="117"/>
      <c r="C2420" s="117"/>
      <c r="D2420" s="117"/>
      <c r="E2420" s="117"/>
      <c r="F2420" s="117"/>
      <c r="G2420" s="117"/>
      <c r="H2420" s="117"/>
      <c r="I2420" s="117"/>
      <c r="J2420" s="118"/>
      <c r="K2420" s="118"/>
      <c r="L2420" s="118"/>
      <c r="M2420" s="118"/>
      <c r="N2420" s="117"/>
      <c r="O2420" s="117"/>
      <c r="P2420" s="117"/>
      <c r="Q2420" s="117"/>
      <c r="R2420" s="117"/>
      <c r="S2420" s="117"/>
      <c r="T2420" s="117"/>
      <c r="U2420" s="117"/>
      <c r="V2420" s="117"/>
      <c r="W2420" s="117"/>
      <c r="X2420" s="117"/>
      <c r="Y2420" s="117"/>
      <c r="Z2420" s="117"/>
      <c r="AA2420" s="117"/>
      <c r="AB2420" s="117"/>
      <c r="AC2420" s="117"/>
      <c r="AD2420" s="117"/>
      <c r="AE2420" s="117"/>
      <c r="AF2420" s="117"/>
      <c r="AG2420" s="117"/>
      <c r="AH2420" s="117"/>
      <c r="AI2420" s="117"/>
      <c r="AJ2420" s="117"/>
      <c r="AK2420" s="117"/>
      <c r="AL2420" s="117"/>
      <c r="AM2420" s="117"/>
      <c r="AN2420" s="117"/>
      <c r="AO2420" s="117"/>
      <c r="AP2420" s="117"/>
      <c r="AQ2420" s="117"/>
      <c r="AR2420" s="117"/>
      <c r="AS2420" s="117"/>
      <c r="AT2420" s="117"/>
      <c r="AU2420" s="117"/>
      <c r="AV2420" s="117"/>
      <c r="AW2420" s="117"/>
      <c r="AX2420" s="117"/>
      <c r="AY2420" s="117"/>
      <c r="AZ2420" s="117"/>
      <c r="BA2420" s="117"/>
      <c r="BB2420" s="117"/>
      <c r="BC2420" s="117"/>
      <c r="BD2420" s="117"/>
      <c r="BE2420" s="117"/>
      <c r="BF2420" s="117"/>
      <c r="BG2420" s="117"/>
    </row>
    <row r="2421" spans="1:59">
      <c r="A2421" s="117"/>
      <c r="B2421" s="117"/>
      <c r="C2421" s="117"/>
      <c r="D2421" s="117"/>
      <c r="E2421" s="117"/>
      <c r="F2421" s="117"/>
      <c r="G2421" s="117"/>
      <c r="H2421" s="117"/>
      <c r="I2421" s="117"/>
      <c r="J2421" s="118"/>
      <c r="K2421" s="118"/>
      <c r="L2421" s="118"/>
      <c r="M2421" s="118"/>
      <c r="N2421" s="117"/>
      <c r="O2421" s="117"/>
      <c r="P2421" s="117"/>
      <c r="Q2421" s="117"/>
      <c r="R2421" s="117"/>
      <c r="S2421" s="117"/>
      <c r="T2421" s="117"/>
      <c r="U2421" s="117"/>
      <c r="V2421" s="117"/>
      <c r="W2421" s="117"/>
      <c r="X2421" s="117"/>
      <c r="Y2421" s="117"/>
      <c r="Z2421" s="117"/>
      <c r="AA2421" s="117"/>
      <c r="AB2421" s="117"/>
      <c r="AC2421" s="117"/>
      <c r="AD2421" s="117"/>
      <c r="AE2421" s="117"/>
      <c r="AF2421" s="117"/>
      <c r="AG2421" s="117"/>
      <c r="AH2421" s="117"/>
      <c r="AI2421" s="117"/>
      <c r="AJ2421" s="117"/>
      <c r="AK2421" s="117"/>
      <c r="AL2421" s="117"/>
      <c r="AM2421" s="117"/>
      <c r="AN2421" s="117"/>
      <c r="AO2421" s="117"/>
      <c r="AP2421" s="117"/>
      <c r="AQ2421" s="117"/>
      <c r="AR2421" s="117"/>
      <c r="AS2421" s="117"/>
      <c r="AT2421" s="117"/>
      <c r="AU2421" s="117"/>
      <c r="AV2421" s="117"/>
      <c r="AW2421" s="117"/>
      <c r="AX2421" s="117"/>
      <c r="AY2421" s="117"/>
      <c r="AZ2421" s="117"/>
      <c r="BA2421" s="117"/>
      <c r="BB2421" s="117"/>
      <c r="BC2421" s="117"/>
      <c r="BD2421" s="117"/>
      <c r="BE2421" s="117"/>
      <c r="BF2421" s="117"/>
      <c r="BG2421" s="117"/>
    </row>
    <row r="2422" spans="1:59">
      <c r="A2422" s="117"/>
      <c r="B2422" s="117"/>
      <c r="C2422" s="117"/>
      <c r="D2422" s="117"/>
      <c r="E2422" s="117"/>
      <c r="F2422" s="117"/>
      <c r="G2422" s="117"/>
      <c r="H2422" s="117"/>
      <c r="I2422" s="117"/>
      <c r="J2422" s="118"/>
      <c r="K2422" s="118"/>
      <c r="L2422" s="118"/>
      <c r="M2422" s="118"/>
      <c r="N2422" s="117"/>
      <c r="O2422" s="117"/>
      <c r="P2422" s="117"/>
      <c r="Q2422" s="117"/>
      <c r="R2422" s="117"/>
      <c r="S2422" s="117"/>
      <c r="T2422" s="117"/>
      <c r="U2422" s="117"/>
      <c r="V2422" s="117"/>
      <c r="W2422" s="117"/>
      <c r="X2422" s="117"/>
      <c r="Y2422" s="117"/>
      <c r="Z2422" s="117"/>
      <c r="AA2422" s="117"/>
      <c r="AB2422" s="117"/>
      <c r="AC2422" s="117"/>
      <c r="AD2422" s="117"/>
      <c r="AE2422" s="117"/>
      <c r="AF2422" s="117"/>
      <c r="AG2422" s="117"/>
      <c r="AH2422" s="117"/>
      <c r="AI2422" s="117"/>
      <c r="AJ2422" s="117"/>
      <c r="AK2422" s="117"/>
      <c r="AL2422" s="117"/>
      <c r="AM2422" s="117"/>
      <c r="AN2422" s="117"/>
      <c r="AO2422" s="117"/>
      <c r="AP2422" s="117"/>
      <c r="AQ2422" s="117"/>
      <c r="AR2422" s="117"/>
      <c r="AS2422" s="117"/>
      <c r="AT2422" s="117"/>
      <c r="AU2422" s="117"/>
      <c r="AV2422" s="117"/>
      <c r="AW2422" s="117"/>
      <c r="AX2422" s="117"/>
      <c r="AY2422" s="117"/>
      <c r="AZ2422" s="117"/>
      <c r="BA2422" s="117"/>
      <c r="BB2422" s="117"/>
      <c r="BC2422" s="117"/>
      <c r="BD2422" s="117"/>
      <c r="BE2422" s="117"/>
      <c r="BF2422" s="117"/>
      <c r="BG2422" s="117"/>
    </row>
    <row r="2423" spans="1:59">
      <c r="A2423" s="117"/>
      <c r="B2423" s="117"/>
      <c r="C2423" s="117"/>
      <c r="D2423" s="117"/>
      <c r="E2423" s="117"/>
      <c r="F2423" s="117"/>
      <c r="G2423" s="117"/>
      <c r="H2423" s="117"/>
      <c r="I2423" s="117"/>
      <c r="J2423" s="118"/>
      <c r="K2423" s="118"/>
      <c r="L2423" s="118"/>
      <c r="M2423" s="118"/>
      <c r="N2423" s="117"/>
      <c r="O2423" s="117"/>
      <c r="P2423" s="117"/>
      <c r="Q2423" s="117"/>
      <c r="R2423" s="117"/>
      <c r="S2423" s="117"/>
      <c r="T2423" s="117"/>
      <c r="U2423" s="117"/>
      <c r="V2423" s="117"/>
      <c r="W2423" s="117"/>
      <c r="X2423" s="117"/>
      <c r="Y2423" s="117"/>
      <c r="Z2423" s="117"/>
      <c r="AA2423" s="117"/>
      <c r="AB2423" s="117"/>
      <c r="AC2423" s="117"/>
      <c r="AD2423" s="117"/>
      <c r="AE2423" s="117"/>
      <c r="AF2423" s="117"/>
      <c r="AG2423" s="117"/>
      <c r="AH2423" s="117"/>
      <c r="AI2423" s="117"/>
      <c r="AJ2423" s="117"/>
      <c r="AK2423" s="117"/>
      <c r="AL2423" s="117"/>
      <c r="AM2423" s="117"/>
      <c r="AN2423" s="117"/>
      <c r="AO2423" s="117"/>
      <c r="AP2423" s="117"/>
      <c r="AQ2423" s="117"/>
      <c r="AR2423" s="117"/>
      <c r="AS2423" s="117"/>
      <c r="AT2423" s="117"/>
      <c r="AU2423" s="117"/>
      <c r="AV2423" s="117"/>
      <c r="AW2423" s="117"/>
      <c r="AX2423" s="117"/>
      <c r="AY2423" s="117"/>
      <c r="AZ2423" s="117"/>
      <c r="BA2423" s="117"/>
      <c r="BB2423" s="117"/>
      <c r="BC2423" s="117"/>
      <c r="BD2423" s="117"/>
      <c r="BE2423" s="117"/>
      <c r="BF2423" s="117"/>
      <c r="BG2423" s="117"/>
    </row>
    <row r="2424" spans="1:59">
      <c r="A2424" s="117"/>
      <c r="B2424" s="117"/>
      <c r="C2424" s="117"/>
      <c r="D2424" s="117"/>
      <c r="E2424" s="117"/>
      <c r="F2424" s="117"/>
      <c r="G2424" s="117"/>
      <c r="H2424" s="117"/>
      <c r="I2424" s="117"/>
      <c r="J2424" s="118"/>
      <c r="K2424" s="118"/>
      <c r="L2424" s="118"/>
      <c r="M2424" s="118"/>
      <c r="N2424" s="117"/>
      <c r="O2424" s="117"/>
      <c r="P2424" s="117"/>
      <c r="Q2424" s="117"/>
      <c r="R2424" s="117"/>
      <c r="S2424" s="117"/>
      <c r="T2424" s="117"/>
      <c r="U2424" s="117"/>
      <c r="V2424" s="117"/>
      <c r="W2424" s="117"/>
      <c r="X2424" s="117"/>
      <c r="Y2424" s="117"/>
      <c r="Z2424" s="117"/>
      <c r="AA2424" s="117"/>
      <c r="AB2424" s="117"/>
      <c r="AC2424" s="117"/>
      <c r="AD2424" s="117"/>
      <c r="AE2424" s="117"/>
      <c r="AF2424" s="117"/>
      <c r="AG2424" s="117"/>
      <c r="AH2424" s="117"/>
      <c r="AI2424" s="117"/>
      <c r="AJ2424" s="117"/>
      <c r="AK2424" s="117"/>
      <c r="AL2424" s="117"/>
      <c r="AM2424" s="117"/>
      <c r="AN2424" s="117"/>
      <c r="AO2424" s="117"/>
      <c r="AP2424" s="117"/>
      <c r="AQ2424" s="117"/>
      <c r="AR2424" s="117"/>
      <c r="AS2424" s="117"/>
      <c r="AT2424" s="117"/>
      <c r="AU2424" s="117"/>
      <c r="AV2424" s="117"/>
      <c r="AW2424" s="117"/>
      <c r="AX2424" s="117"/>
      <c r="AY2424" s="117"/>
      <c r="AZ2424" s="117"/>
      <c r="BA2424" s="117"/>
      <c r="BB2424" s="117"/>
      <c r="BC2424" s="117"/>
      <c r="BD2424" s="117"/>
      <c r="BE2424" s="117"/>
      <c r="BF2424" s="117"/>
      <c r="BG2424" s="117"/>
    </row>
    <row r="2425" spans="1:59">
      <c r="A2425" s="117"/>
      <c r="B2425" s="117"/>
      <c r="C2425" s="117"/>
      <c r="D2425" s="117"/>
      <c r="E2425" s="117"/>
      <c r="F2425" s="117"/>
      <c r="G2425" s="117"/>
      <c r="H2425" s="117"/>
      <c r="I2425" s="117"/>
      <c r="J2425" s="118"/>
      <c r="K2425" s="118"/>
      <c r="L2425" s="118"/>
      <c r="M2425" s="118"/>
      <c r="N2425" s="117"/>
      <c r="O2425" s="117"/>
      <c r="P2425" s="117"/>
      <c r="Q2425" s="117"/>
      <c r="R2425" s="117"/>
      <c r="S2425" s="117"/>
      <c r="T2425" s="117"/>
      <c r="U2425" s="117"/>
      <c r="V2425" s="117"/>
      <c r="W2425" s="117"/>
      <c r="X2425" s="117"/>
      <c r="Y2425" s="117"/>
      <c r="Z2425" s="117"/>
      <c r="AA2425" s="117"/>
      <c r="AB2425" s="117"/>
      <c r="AC2425" s="117"/>
      <c r="AD2425" s="117"/>
      <c r="AE2425" s="117"/>
      <c r="AF2425" s="117"/>
      <c r="AG2425" s="117"/>
      <c r="AH2425" s="117"/>
      <c r="AI2425" s="117"/>
      <c r="AJ2425" s="117"/>
      <c r="AK2425" s="117"/>
      <c r="AL2425" s="117"/>
      <c r="AM2425" s="117"/>
      <c r="AN2425" s="117"/>
      <c r="AO2425" s="117"/>
      <c r="AP2425" s="117"/>
      <c r="AQ2425" s="117"/>
      <c r="AR2425" s="117"/>
      <c r="AS2425" s="117"/>
      <c r="AT2425" s="117"/>
      <c r="AU2425" s="117"/>
      <c r="AV2425" s="117"/>
      <c r="AW2425" s="117"/>
      <c r="AX2425" s="117"/>
      <c r="AY2425" s="117"/>
      <c r="AZ2425" s="117"/>
      <c r="BA2425" s="117"/>
      <c r="BB2425" s="117"/>
      <c r="BC2425" s="117"/>
      <c r="BD2425" s="117"/>
      <c r="BE2425" s="117"/>
      <c r="BF2425" s="117"/>
      <c r="BG2425" s="117"/>
    </row>
    <row r="2426" spans="1:59">
      <c r="A2426" s="117"/>
      <c r="B2426" s="117"/>
      <c r="C2426" s="117"/>
      <c r="D2426" s="117"/>
      <c r="E2426" s="117"/>
      <c r="F2426" s="117"/>
      <c r="G2426" s="117"/>
      <c r="H2426" s="117"/>
      <c r="I2426" s="117"/>
      <c r="J2426" s="118"/>
      <c r="K2426" s="118"/>
      <c r="L2426" s="118"/>
      <c r="M2426" s="118"/>
      <c r="N2426" s="117"/>
      <c r="O2426" s="117"/>
      <c r="P2426" s="117"/>
      <c r="Q2426" s="117"/>
      <c r="R2426" s="117"/>
      <c r="S2426" s="117"/>
      <c r="T2426" s="117"/>
      <c r="U2426" s="117"/>
      <c r="V2426" s="117"/>
      <c r="W2426" s="117"/>
      <c r="X2426" s="117"/>
      <c r="Y2426" s="117"/>
      <c r="Z2426" s="117"/>
      <c r="AA2426" s="117"/>
      <c r="AB2426" s="117"/>
      <c r="AC2426" s="117"/>
      <c r="AD2426" s="117"/>
      <c r="AE2426" s="117"/>
      <c r="AF2426" s="117"/>
      <c r="AG2426" s="117"/>
      <c r="AH2426" s="117"/>
      <c r="AI2426" s="117"/>
      <c r="AJ2426" s="117"/>
      <c r="AK2426" s="117"/>
      <c r="AL2426" s="117"/>
      <c r="AM2426" s="117"/>
      <c r="AN2426" s="117"/>
      <c r="AO2426" s="117"/>
      <c r="AP2426" s="117"/>
      <c r="AQ2426" s="117"/>
      <c r="AR2426" s="117"/>
      <c r="AS2426" s="117"/>
      <c r="AT2426" s="117"/>
      <c r="AU2426" s="117"/>
      <c r="AV2426" s="117"/>
      <c r="AW2426" s="117"/>
      <c r="AX2426" s="117"/>
      <c r="AY2426" s="117"/>
      <c r="AZ2426" s="117"/>
      <c r="BA2426" s="117"/>
      <c r="BB2426" s="117"/>
      <c r="BC2426" s="117"/>
      <c r="BD2426" s="117"/>
      <c r="BE2426" s="117"/>
      <c r="BF2426" s="117"/>
      <c r="BG2426" s="117"/>
    </row>
    <row r="2427" spans="1:59">
      <c r="A2427" s="117"/>
      <c r="B2427" s="117"/>
      <c r="C2427" s="117"/>
      <c r="D2427" s="117"/>
      <c r="E2427" s="117"/>
      <c r="F2427" s="117"/>
      <c r="G2427" s="117"/>
      <c r="H2427" s="117"/>
      <c r="I2427" s="117"/>
      <c r="J2427" s="118"/>
      <c r="K2427" s="118"/>
      <c r="L2427" s="118"/>
      <c r="M2427" s="118"/>
      <c r="N2427" s="117"/>
      <c r="O2427" s="117"/>
      <c r="P2427" s="117"/>
      <c r="Q2427" s="117"/>
      <c r="R2427" s="117"/>
      <c r="S2427" s="117"/>
      <c r="T2427" s="117"/>
      <c r="U2427" s="117"/>
      <c r="V2427" s="117"/>
      <c r="W2427" s="117"/>
      <c r="X2427" s="117"/>
      <c r="Y2427" s="117"/>
      <c r="Z2427" s="117"/>
      <c r="AA2427" s="117"/>
      <c r="AB2427" s="117"/>
      <c r="AC2427" s="117"/>
      <c r="AD2427" s="117"/>
      <c r="AE2427" s="117"/>
      <c r="AF2427" s="117"/>
      <c r="AG2427" s="117"/>
      <c r="AH2427" s="117"/>
      <c r="AI2427" s="117"/>
      <c r="AJ2427" s="117"/>
      <c r="AK2427" s="117"/>
      <c r="AL2427" s="117"/>
      <c r="AM2427" s="117"/>
      <c r="AN2427" s="117"/>
      <c r="AO2427" s="117"/>
      <c r="AP2427" s="117"/>
      <c r="AQ2427" s="117"/>
      <c r="AR2427" s="117"/>
      <c r="AS2427" s="117"/>
      <c r="AT2427" s="117"/>
      <c r="AU2427" s="117"/>
      <c r="AV2427" s="117"/>
      <c r="AW2427" s="117"/>
      <c r="AX2427" s="117"/>
      <c r="AY2427" s="117"/>
      <c r="AZ2427" s="117"/>
      <c r="BA2427" s="117"/>
      <c r="BB2427" s="117"/>
      <c r="BC2427" s="117"/>
      <c r="BD2427" s="117"/>
      <c r="BE2427" s="117"/>
      <c r="BF2427" s="117"/>
      <c r="BG2427" s="117"/>
    </row>
    <row r="2428" spans="1:59">
      <c r="A2428" s="117"/>
      <c r="B2428" s="117"/>
      <c r="C2428" s="117"/>
      <c r="D2428" s="117"/>
      <c r="E2428" s="117"/>
      <c r="F2428" s="117"/>
      <c r="G2428" s="117"/>
      <c r="H2428" s="117"/>
      <c r="I2428" s="117"/>
      <c r="J2428" s="118"/>
      <c r="K2428" s="118"/>
      <c r="L2428" s="118"/>
      <c r="M2428" s="118"/>
      <c r="N2428" s="117"/>
      <c r="O2428" s="117"/>
      <c r="P2428" s="117"/>
      <c r="Q2428" s="117"/>
      <c r="R2428" s="117"/>
      <c r="S2428" s="117"/>
      <c r="T2428" s="117"/>
      <c r="U2428" s="117"/>
      <c r="V2428" s="117"/>
      <c r="W2428" s="117"/>
      <c r="X2428" s="117"/>
      <c r="Y2428" s="117"/>
      <c r="Z2428" s="117"/>
      <c r="AA2428" s="117"/>
      <c r="AB2428" s="117"/>
      <c r="AC2428" s="117"/>
      <c r="AD2428" s="117"/>
      <c r="AE2428" s="117"/>
      <c r="AF2428" s="117"/>
      <c r="AG2428" s="117"/>
      <c r="AH2428" s="117"/>
      <c r="AI2428" s="117"/>
      <c r="AJ2428" s="117"/>
      <c r="AK2428" s="117"/>
      <c r="AL2428" s="117"/>
      <c r="AM2428" s="117"/>
      <c r="AN2428" s="117"/>
      <c r="AO2428" s="117"/>
      <c r="AP2428" s="117"/>
      <c r="AQ2428" s="117"/>
      <c r="AR2428" s="117"/>
      <c r="AS2428" s="117"/>
      <c r="AT2428" s="117"/>
      <c r="AU2428" s="117"/>
      <c r="AV2428" s="117"/>
      <c r="AW2428" s="117"/>
      <c r="AX2428" s="117"/>
      <c r="AY2428" s="117"/>
      <c r="AZ2428" s="117"/>
      <c r="BA2428" s="117"/>
      <c r="BB2428" s="117"/>
      <c r="BC2428" s="117"/>
      <c r="BD2428" s="117"/>
      <c r="BE2428" s="117"/>
      <c r="BF2428" s="117"/>
      <c r="BG2428" s="117"/>
    </row>
    <row r="2429" spans="1:59">
      <c r="A2429" s="117"/>
      <c r="B2429" s="117"/>
      <c r="C2429" s="117"/>
      <c r="D2429" s="117"/>
      <c r="E2429" s="117"/>
      <c r="F2429" s="117"/>
      <c r="G2429" s="117"/>
      <c r="H2429" s="117"/>
      <c r="I2429" s="117"/>
      <c r="J2429" s="118"/>
      <c r="K2429" s="118"/>
      <c r="L2429" s="118"/>
      <c r="M2429" s="118"/>
      <c r="N2429" s="117"/>
      <c r="O2429" s="117"/>
      <c r="P2429" s="117"/>
      <c r="Q2429" s="117"/>
      <c r="R2429" s="117"/>
      <c r="S2429" s="117"/>
      <c r="T2429" s="117"/>
      <c r="U2429" s="117"/>
      <c r="V2429" s="117"/>
      <c r="W2429" s="117"/>
      <c r="X2429" s="117"/>
      <c r="Y2429" s="117"/>
      <c r="Z2429" s="117"/>
      <c r="AA2429" s="117"/>
      <c r="AB2429" s="117"/>
      <c r="AC2429" s="117"/>
      <c r="AD2429" s="117"/>
      <c r="AE2429" s="117"/>
      <c r="AF2429" s="117"/>
      <c r="AG2429" s="117"/>
      <c r="AH2429" s="117"/>
      <c r="AI2429" s="117"/>
      <c r="AJ2429" s="117"/>
      <c r="AK2429" s="117"/>
      <c r="AL2429" s="117"/>
      <c r="AM2429" s="117"/>
      <c r="AN2429" s="117"/>
      <c r="AO2429" s="117"/>
      <c r="AP2429" s="117"/>
      <c r="AQ2429" s="117"/>
      <c r="AR2429" s="117"/>
      <c r="AS2429" s="117"/>
      <c r="AT2429" s="117"/>
      <c r="AU2429" s="117"/>
      <c r="AV2429" s="117"/>
      <c r="AW2429" s="117"/>
      <c r="AX2429" s="117"/>
      <c r="AY2429" s="117"/>
      <c r="AZ2429" s="117"/>
      <c r="BA2429" s="117"/>
      <c r="BB2429" s="117"/>
      <c r="BC2429" s="117"/>
      <c r="BD2429" s="117"/>
      <c r="BE2429" s="117"/>
      <c r="BF2429" s="117"/>
      <c r="BG2429" s="117"/>
    </row>
    <row r="2430" spans="1:59">
      <c r="A2430" s="117"/>
      <c r="B2430" s="117"/>
      <c r="C2430" s="117"/>
      <c r="D2430" s="117"/>
      <c r="E2430" s="117"/>
      <c r="F2430" s="117"/>
      <c r="G2430" s="117"/>
      <c r="H2430" s="117"/>
      <c r="I2430" s="117"/>
      <c r="J2430" s="118"/>
      <c r="K2430" s="118"/>
      <c r="L2430" s="118"/>
      <c r="M2430" s="118"/>
      <c r="N2430" s="117"/>
      <c r="O2430" s="117"/>
      <c r="P2430" s="117"/>
      <c r="Q2430" s="117"/>
      <c r="R2430" s="117"/>
      <c r="S2430" s="117"/>
      <c r="T2430" s="117"/>
      <c r="U2430" s="117"/>
      <c r="V2430" s="117"/>
      <c r="W2430" s="117"/>
      <c r="X2430" s="117"/>
      <c r="Y2430" s="117"/>
      <c r="Z2430" s="117"/>
      <c r="AA2430" s="117"/>
      <c r="AB2430" s="117"/>
      <c r="AC2430" s="117"/>
      <c r="AD2430" s="117"/>
      <c r="AE2430" s="117"/>
      <c r="AF2430" s="117"/>
      <c r="AG2430" s="117"/>
      <c r="AH2430" s="117"/>
      <c r="AI2430" s="117"/>
      <c r="AJ2430" s="117"/>
      <c r="AK2430" s="117"/>
      <c r="AL2430" s="117"/>
      <c r="AM2430" s="117"/>
      <c r="AN2430" s="117"/>
      <c r="AO2430" s="117"/>
      <c r="AP2430" s="117"/>
      <c r="AQ2430" s="117"/>
      <c r="AR2430" s="117"/>
      <c r="AS2430" s="117"/>
      <c r="AT2430" s="117"/>
      <c r="AU2430" s="117"/>
      <c r="AV2430" s="117"/>
      <c r="AW2430" s="117"/>
      <c r="AX2430" s="117"/>
      <c r="AY2430" s="117"/>
      <c r="AZ2430" s="117"/>
      <c r="BA2430" s="117"/>
      <c r="BB2430" s="117"/>
      <c r="BC2430" s="117"/>
      <c r="BD2430" s="117"/>
      <c r="BE2430" s="117"/>
      <c r="BF2430" s="117"/>
      <c r="BG2430" s="117"/>
    </row>
    <row r="2431" spans="1:59">
      <c r="A2431" s="117"/>
      <c r="B2431" s="117"/>
      <c r="C2431" s="117"/>
      <c r="D2431" s="117"/>
      <c r="E2431" s="117"/>
      <c r="F2431" s="117"/>
      <c r="G2431" s="117"/>
      <c r="H2431" s="117"/>
      <c r="I2431" s="117"/>
      <c r="J2431" s="118"/>
      <c r="K2431" s="118"/>
      <c r="L2431" s="118"/>
      <c r="M2431" s="118"/>
      <c r="N2431" s="117"/>
      <c r="O2431" s="117"/>
      <c r="P2431" s="117"/>
      <c r="Q2431" s="117"/>
      <c r="R2431" s="117"/>
      <c r="S2431" s="117"/>
      <c r="T2431" s="117"/>
      <c r="U2431" s="117"/>
      <c r="V2431" s="117"/>
      <c r="W2431" s="117"/>
      <c r="X2431" s="117"/>
      <c r="Y2431" s="117"/>
      <c r="Z2431" s="117"/>
      <c r="AA2431" s="117"/>
      <c r="AB2431" s="117"/>
      <c r="AC2431" s="117"/>
      <c r="AD2431" s="117"/>
      <c r="AE2431" s="117"/>
      <c r="AF2431" s="117"/>
      <c r="AG2431" s="117"/>
      <c r="AH2431" s="117"/>
      <c r="AI2431" s="117"/>
      <c r="AJ2431" s="117"/>
      <c r="AK2431" s="117"/>
      <c r="AL2431" s="117"/>
      <c r="AM2431" s="117"/>
      <c r="AN2431" s="117"/>
      <c r="AO2431" s="117"/>
      <c r="AP2431" s="117"/>
      <c r="AQ2431" s="117"/>
      <c r="AR2431" s="117"/>
      <c r="AS2431" s="117"/>
      <c r="AT2431" s="117"/>
      <c r="AU2431" s="117"/>
      <c r="AV2431" s="117"/>
      <c r="AW2431" s="117"/>
      <c r="AX2431" s="117"/>
      <c r="AY2431" s="117"/>
      <c r="AZ2431" s="117"/>
      <c r="BA2431" s="117"/>
      <c r="BB2431" s="117"/>
      <c r="BC2431" s="117"/>
      <c r="BD2431" s="117"/>
      <c r="BE2431" s="117"/>
      <c r="BF2431" s="117"/>
      <c r="BG2431" s="117"/>
    </row>
    <row r="2432" spans="1:59">
      <c r="A2432" s="117"/>
      <c r="B2432" s="117"/>
      <c r="C2432" s="117"/>
      <c r="D2432" s="117"/>
      <c r="E2432" s="117"/>
      <c r="F2432" s="117"/>
      <c r="G2432" s="117"/>
      <c r="H2432" s="117"/>
      <c r="I2432" s="117"/>
      <c r="J2432" s="118"/>
      <c r="K2432" s="118"/>
      <c r="L2432" s="118"/>
      <c r="M2432" s="118"/>
      <c r="N2432" s="117"/>
      <c r="O2432" s="117"/>
      <c r="P2432" s="117"/>
      <c r="Q2432" s="117"/>
      <c r="R2432" s="117"/>
      <c r="S2432" s="117"/>
      <c r="T2432" s="117"/>
      <c r="U2432" s="117"/>
      <c r="V2432" s="117"/>
      <c r="W2432" s="117"/>
      <c r="X2432" s="117"/>
      <c r="Y2432" s="117"/>
      <c r="Z2432" s="117"/>
      <c r="AA2432" s="117"/>
      <c r="AB2432" s="117"/>
      <c r="AC2432" s="117"/>
      <c r="AD2432" s="117"/>
      <c r="AE2432" s="117"/>
      <c r="AF2432" s="117"/>
      <c r="AG2432" s="117"/>
      <c r="AH2432" s="117"/>
      <c r="AI2432" s="117"/>
      <c r="AJ2432" s="117"/>
      <c r="AK2432" s="117"/>
      <c r="AL2432" s="117"/>
      <c r="AM2432" s="117"/>
      <c r="AN2432" s="117"/>
      <c r="AO2432" s="117"/>
      <c r="AP2432" s="117"/>
      <c r="AQ2432" s="117"/>
      <c r="AR2432" s="117"/>
      <c r="AS2432" s="117"/>
      <c r="AT2432" s="117"/>
      <c r="AU2432" s="117"/>
      <c r="AV2432" s="117"/>
      <c r="AW2432" s="117"/>
      <c r="AX2432" s="117"/>
      <c r="AY2432" s="117"/>
      <c r="AZ2432" s="117"/>
      <c r="BA2432" s="117"/>
      <c r="BB2432" s="117"/>
      <c r="BC2432" s="117"/>
      <c r="BD2432" s="117"/>
      <c r="BE2432" s="117"/>
      <c r="BF2432" s="117"/>
      <c r="BG2432" s="117"/>
    </row>
    <row r="2433" spans="1:59">
      <c r="A2433" s="117"/>
      <c r="B2433" s="117"/>
      <c r="C2433" s="117"/>
      <c r="D2433" s="117"/>
      <c r="E2433" s="117"/>
      <c r="F2433" s="117"/>
      <c r="G2433" s="117"/>
      <c r="H2433" s="117"/>
      <c r="I2433" s="117"/>
      <c r="J2433" s="118"/>
      <c r="K2433" s="118"/>
      <c r="L2433" s="118"/>
      <c r="M2433" s="118"/>
      <c r="N2433" s="117"/>
      <c r="O2433" s="117"/>
      <c r="P2433" s="117"/>
      <c r="Q2433" s="117"/>
      <c r="R2433" s="117"/>
      <c r="S2433" s="117"/>
      <c r="T2433" s="117"/>
      <c r="U2433" s="117"/>
      <c r="V2433" s="117"/>
      <c r="W2433" s="117"/>
      <c r="X2433" s="117"/>
      <c r="Y2433" s="117"/>
      <c r="Z2433" s="117"/>
      <c r="AA2433" s="117"/>
      <c r="AB2433" s="117"/>
      <c r="AC2433" s="117"/>
      <c r="AD2433" s="117"/>
      <c r="AE2433" s="117"/>
      <c r="AF2433" s="117"/>
      <c r="AG2433" s="117"/>
      <c r="AH2433" s="117"/>
      <c r="AI2433" s="117"/>
      <c r="AJ2433" s="117"/>
      <c r="AK2433" s="117"/>
      <c r="AL2433" s="117"/>
      <c r="AM2433" s="117"/>
      <c r="AN2433" s="117"/>
      <c r="AO2433" s="117"/>
      <c r="AP2433" s="117"/>
      <c r="AQ2433" s="117"/>
      <c r="AR2433" s="117"/>
      <c r="AS2433" s="117"/>
      <c r="AT2433" s="117"/>
      <c r="AU2433" s="117"/>
      <c r="AV2433" s="117"/>
      <c r="AW2433" s="117"/>
      <c r="AX2433" s="117"/>
      <c r="AY2433" s="117"/>
      <c r="AZ2433" s="117"/>
      <c r="BA2433" s="117"/>
      <c r="BB2433" s="117"/>
      <c r="BC2433" s="117"/>
      <c r="BD2433" s="117"/>
      <c r="BE2433" s="117"/>
      <c r="BF2433" s="117"/>
      <c r="BG2433" s="117"/>
    </row>
    <row r="2434" spans="1:59">
      <c r="A2434" s="117"/>
      <c r="B2434" s="117"/>
      <c r="C2434" s="117"/>
      <c r="D2434" s="117"/>
      <c r="E2434" s="117"/>
      <c r="F2434" s="117"/>
      <c r="G2434" s="117"/>
      <c r="H2434" s="117"/>
      <c r="I2434" s="117"/>
      <c r="J2434" s="118"/>
      <c r="K2434" s="118"/>
      <c r="L2434" s="118"/>
      <c r="M2434" s="118"/>
      <c r="N2434" s="117"/>
      <c r="O2434" s="117"/>
      <c r="P2434" s="117"/>
      <c r="Q2434" s="117"/>
      <c r="R2434" s="117"/>
      <c r="S2434" s="117"/>
      <c r="T2434" s="117"/>
      <c r="U2434" s="117"/>
      <c r="V2434" s="117"/>
      <c r="W2434" s="117"/>
      <c r="X2434" s="117"/>
      <c r="Y2434" s="117"/>
      <c r="Z2434" s="117"/>
      <c r="AA2434" s="117"/>
      <c r="AB2434" s="117"/>
      <c r="AC2434" s="117"/>
      <c r="AD2434" s="117"/>
      <c r="AE2434" s="117"/>
      <c r="AF2434" s="117"/>
      <c r="AG2434" s="117"/>
      <c r="AH2434" s="117"/>
      <c r="AI2434" s="117"/>
      <c r="AJ2434" s="117"/>
      <c r="AK2434" s="117"/>
      <c r="AL2434" s="117"/>
      <c r="AM2434" s="117"/>
      <c r="AN2434" s="117"/>
      <c r="AO2434" s="117"/>
      <c r="AP2434" s="117"/>
      <c r="AQ2434" s="117"/>
      <c r="AR2434" s="117"/>
      <c r="AS2434" s="117"/>
      <c r="AT2434" s="117"/>
      <c r="AU2434" s="117"/>
      <c r="AV2434" s="117"/>
      <c r="AW2434" s="117"/>
      <c r="AX2434" s="117"/>
      <c r="AY2434" s="117"/>
      <c r="AZ2434" s="117"/>
      <c r="BA2434" s="117"/>
      <c r="BB2434" s="117"/>
      <c r="BC2434" s="117"/>
      <c r="BD2434" s="117"/>
      <c r="BE2434" s="117"/>
      <c r="BF2434" s="117"/>
      <c r="BG2434" s="117"/>
    </row>
    <row r="2435" spans="1:59">
      <c r="A2435" s="117"/>
      <c r="B2435" s="117"/>
      <c r="C2435" s="117"/>
      <c r="D2435" s="117"/>
      <c r="E2435" s="117"/>
      <c r="F2435" s="117"/>
      <c r="G2435" s="117"/>
      <c r="H2435" s="117"/>
      <c r="I2435" s="117"/>
      <c r="J2435" s="118"/>
      <c r="K2435" s="118"/>
      <c r="L2435" s="118"/>
      <c r="M2435" s="118"/>
      <c r="N2435" s="117"/>
      <c r="O2435" s="117"/>
      <c r="P2435" s="117"/>
      <c r="Q2435" s="117"/>
      <c r="R2435" s="117"/>
      <c r="S2435" s="117"/>
      <c r="T2435" s="117"/>
      <c r="U2435" s="117"/>
      <c r="V2435" s="117"/>
      <c r="W2435" s="117"/>
      <c r="X2435" s="117"/>
      <c r="Y2435" s="117"/>
      <c r="Z2435" s="117"/>
      <c r="AA2435" s="117"/>
      <c r="AB2435" s="117"/>
      <c r="AC2435" s="117"/>
      <c r="AD2435" s="117"/>
      <c r="AE2435" s="117"/>
      <c r="AF2435" s="117"/>
      <c r="AG2435" s="117"/>
      <c r="AH2435" s="117"/>
      <c r="AI2435" s="117"/>
      <c r="AJ2435" s="117"/>
      <c r="AK2435" s="117"/>
      <c r="AL2435" s="117"/>
      <c r="AM2435" s="117"/>
      <c r="AN2435" s="117"/>
      <c r="AO2435" s="117"/>
      <c r="AP2435" s="117"/>
      <c r="AQ2435" s="117"/>
      <c r="AR2435" s="117"/>
      <c r="AS2435" s="117"/>
      <c r="AT2435" s="117"/>
      <c r="AU2435" s="117"/>
      <c r="AV2435" s="117"/>
      <c r="AW2435" s="117"/>
      <c r="AX2435" s="117"/>
      <c r="AY2435" s="117"/>
      <c r="AZ2435" s="117"/>
      <c r="BA2435" s="117"/>
      <c r="BB2435" s="117"/>
      <c r="BC2435" s="117"/>
      <c r="BD2435" s="117"/>
      <c r="BE2435" s="117"/>
      <c r="BF2435" s="117"/>
      <c r="BG2435" s="117"/>
    </row>
    <row r="2436" spans="1:59">
      <c r="A2436" s="117"/>
      <c r="B2436" s="117"/>
      <c r="C2436" s="117"/>
      <c r="D2436" s="117"/>
      <c r="E2436" s="117"/>
      <c r="F2436" s="117"/>
      <c r="G2436" s="117"/>
      <c r="H2436" s="117"/>
      <c r="I2436" s="117"/>
      <c r="J2436" s="118"/>
      <c r="K2436" s="118"/>
      <c r="L2436" s="118"/>
      <c r="M2436" s="118"/>
      <c r="N2436" s="117"/>
      <c r="O2436" s="117"/>
      <c r="P2436" s="117"/>
      <c r="Q2436" s="117"/>
      <c r="R2436" s="117"/>
      <c r="S2436" s="117"/>
      <c r="T2436" s="117"/>
      <c r="U2436" s="117"/>
      <c r="V2436" s="117"/>
      <c r="W2436" s="117"/>
      <c r="X2436" s="117"/>
      <c r="Y2436" s="117"/>
      <c r="Z2436" s="117"/>
      <c r="AA2436" s="117"/>
      <c r="AB2436" s="117"/>
      <c r="AC2436" s="117"/>
      <c r="AD2436" s="117"/>
      <c r="AE2436" s="117"/>
      <c r="AF2436" s="117"/>
      <c r="AG2436" s="117"/>
      <c r="AH2436" s="117"/>
      <c r="AI2436" s="117"/>
      <c r="AJ2436" s="117"/>
      <c r="AK2436" s="117"/>
      <c r="AL2436" s="117"/>
      <c r="AM2436" s="117"/>
      <c r="AN2436" s="117"/>
      <c r="AO2436" s="117"/>
      <c r="AP2436" s="117"/>
      <c r="AQ2436" s="117"/>
      <c r="AR2436" s="117"/>
      <c r="AS2436" s="117"/>
      <c r="AT2436" s="117"/>
      <c r="AU2436" s="117"/>
      <c r="AV2436" s="117"/>
      <c r="AW2436" s="117"/>
      <c r="AX2436" s="117"/>
      <c r="AY2436" s="117"/>
      <c r="AZ2436" s="117"/>
      <c r="BA2436" s="117"/>
      <c r="BB2436" s="117"/>
      <c r="BC2436" s="117"/>
      <c r="BD2436" s="117"/>
      <c r="BE2436" s="117"/>
      <c r="BF2436" s="117"/>
      <c r="BG2436" s="117"/>
    </row>
    <row r="2437" spans="1:59">
      <c r="A2437" s="117"/>
      <c r="B2437" s="117"/>
      <c r="C2437" s="117"/>
      <c r="D2437" s="117"/>
      <c r="E2437" s="117"/>
      <c r="F2437" s="117"/>
      <c r="G2437" s="117"/>
      <c r="H2437" s="117"/>
      <c r="I2437" s="117"/>
      <c r="J2437" s="118"/>
      <c r="K2437" s="118"/>
      <c r="L2437" s="118"/>
      <c r="M2437" s="118"/>
      <c r="N2437" s="117"/>
      <c r="O2437" s="117"/>
      <c r="P2437" s="117"/>
      <c r="Q2437" s="117"/>
      <c r="R2437" s="117"/>
      <c r="S2437" s="117"/>
      <c r="T2437" s="117"/>
      <c r="U2437" s="117"/>
      <c r="V2437" s="117"/>
      <c r="W2437" s="117"/>
      <c r="X2437" s="117"/>
      <c r="Y2437" s="117"/>
      <c r="Z2437" s="117"/>
      <c r="AA2437" s="117"/>
      <c r="AB2437" s="117"/>
      <c r="AC2437" s="117"/>
      <c r="AD2437" s="117"/>
      <c r="AE2437" s="117"/>
      <c r="AF2437" s="117"/>
      <c r="AG2437" s="117"/>
      <c r="AH2437" s="117"/>
      <c r="AI2437" s="117"/>
      <c r="AJ2437" s="117"/>
      <c r="AK2437" s="117"/>
      <c r="AL2437" s="117"/>
      <c r="AM2437" s="117"/>
      <c r="AN2437" s="117"/>
      <c r="AO2437" s="117"/>
      <c r="AP2437" s="117"/>
      <c r="AQ2437" s="117"/>
      <c r="AR2437" s="117"/>
      <c r="AS2437" s="117"/>
      <c r="AT2437" s="117"/>
      <c r="AU2437" s="117"/>
      <c r="AV2437" s="117"/>
      <c r="AW2437" s="117"/>
      <c r="AX2437" s="117"/>
      <c r="AY2437" s="117"/>
      <c r="AZ2437" s="117"/>
      <c r="BA2437" s="117"/>
      <c r="BB2437" s="117"/>
      <c r="BC2437" s="117"/>
      <c r="BD2437" s="117"/>
      <c r="BE2437" s="117"/>
      <c r="BF2437" s="117"/>
      <c r="BG2437" s="117"/>
    </row>
    <row r="2438" spans="1:59">
      <c r="A2438" s="117"/>
      <c r="B2438" s="117"/>
      <c r="C2438" s="117"/>
      <c r="D2438" s="117"/>
      <c r="E2438" s="117"/>
      <c r="F2438" s="117"/>
      <c r="G2438" s="117"/>
      <c r="H2438" s="117"/>
      <c r="I2438" s="117"/>
      <c r="J2438" s="118"/>
      <c r="K2438" s="118"/>
      <c r="L2438" s="118"/>
      <c r="M2438" s="118"/>
      <c r="N2438" s="117"/>
      <c r="O2438" s="117"/>
      <c r="P2438" s="117"/>
      <c r="Q2438" s="117"/>
      <c r="R2438" s="117"/>
      <c r="S2438" s="117"/>
      <c r="T2438" s="117"/>
      <c r="U2438" s="117"/>
      <c r="V2438" s="117"/>
      <c r="W2438" s="117"/>
      <c r="X2438" s="117"/>
      <c r="Y2438" s="117"/>
      <c r="Z2438" s="117"/>
      <c r="AA2438" s="117"/>
      <c r="AB2438" s="117"/>
      <c r="AC2438" s="117"/>
      <c r="AD2438" s="117"/>
      <c r="AE2438" s="117"/>
      <c r="AF2438" s="117"/>
      <c r="AG2438" s="117"/>
      <c r="AH2438" s="117"/>
      <c r="AI2438" s="117"/>
      <c r="AJ2438" s="117"/>
      <c r="AK2438" s="117"/>
      <c r="AL2438" s="117"/>
      <c r="AM2438" s="117"/>
      <c r="AN2438" s="117"/>
      <c r="AO2438" s="117"/>
      <c r="AP2438" s="117"/>
      <c r="AQ2438" s="117"/>
      <c r="AR2438" s="117"/>
      <c r="AS2438" s="117"/>
      <c r="AT2438" s="117"/>
      <c r="AU2438" s="117"/>
      <c r="AV2438" s="117"/>
      <c r="AW2438" s="117"/>
      <c r="AX2438" s="117"/>
      <c r="AY2438" s="117"/>
      <c r="AZ2438" s="117"/>
      <c r="BA2438" s="117"/>
      <c r="BB2438" s="117"/>
      <c r="BC2438" s="117"/>
      <c r="BD2438" s="117"/>
      <c r="BE2438" s="117"/>
      <c r="BF2438" s="117"/>
      <c r="BG2438" s="117"/>
    </row>
    <row r="2439" spans="1:59">
      <c r="A2439" s="117"/>
      <c r="B2439" s="117"/>
      <c r="C2439" s="117"/>
      <c r="D2439" s="117"/>
      <c r="E2439" s="117"/>
      <c r="F2439" s="117"/>
      <c r="G2439" s="117"/>
      <c r="H2439" s="117"/>
      <c r="I2439" s="117"/>
      <c r="J2439" s="118"/>
      <c r="K2439" s="118"/>
      <c r="L2439" s="118"/>
      <c r="M2439" s="118"/>
      <c r="N2439" s="117"/>
      <c r="O2439" s="117"/>
      <c r="P2439" s="117"/>
      <c r="Q2439" s="117"/>
      <c r="R2439" s="117"/>
      <c r="S2439" s="117"/>
      <c r="T2439" s="117"/>
      <c r="U2439" s="117"/>
      <c r="V2439" s="117"/>
      <c r="W2439" s="117"/>
      <c r="X2439" s="117"/>
      <c r="Y2439" s="117"/>
      <c r="Z2439" s="117"/>
      <c r="AA2439" s="117"/>
      <c r="AB2439" s="117"/>
      <c r="AC2439" s="117"/>
      <c r="AD2439" s="117"/>
      <c r="AE2439" s="117"/>
      <c r="AF2439" s="117"/>
      <c r="AG2439" s="117"/>
      <c r="AH2439" s="117"/>
      <c r="AI2439" s="117"/>
      <c r="AJ2439" s="117"/>
      <c r="AK2439" s="117"/>
      <c r="AL2439" s="117"/>
      <c r="AM2439" s="117"/>
      <c r="AN2439" s="117"/>
      <c r="AO2439" s="117"/>
      <c r="AP2439" s="117"/>
      <c r="AQ2439" s="117"/>
      <c r="AR2439" s="117"/>
      <c r="AS2439" s="117"/>
      <c r="AT2439" s="117"/>
      <c r="AU2439" s="117"/>
      <c r="AV2439" s="117"/>
      <c r="AW2439" s="117"/>
      <c r="AX2439" s="117"/>
      <c r="AY2439" s="117"/>
      <c r="AZ2439" s="117"/>
      <c r="BA2439" s="117"/>
      <c r="BB2439" s="117"/>
      <c r="BC2439" s="117"/>
      <c r="BD2439" s="117"/>
      <c r="BE2439" s="117"/>
      <c r="BF2439" s="117"/>
      <c r="BG2439" s="117"/>
    </row>
    <row r="2440" spans="1:59">
      <c r="A2440" s="117"/>
      <c r="B2440" s="117"/>
      <c r="C2440" s="117"/>
      <c r="D2440" s="117"/>
      <c r="E2440" s="117"/>
      <c r="F2440" s="117"/>
      <c r="G2440" s="117"/>
      <c r="H2440" s="117"/>
      <c r="I2440" s="117"/>
      <c r="J2440" s="118"/>
      <c r="K2440" s="118"/>
      <c r="L2440" s="118"/>
      <c r="M2440" s="118"/>
      <c r="N2440" s="117"/>
      <c r="O2440" s="117"/>
      <c r="P2440" s="117"/>
      <c r="Q2440" s="117"/>
      <c r="R2440" s="117"/>
      <c r="S2440" s="117"/>
      <c r="T2440" s="117"/>
      <c r="U2440" s="117"/>
      <c r="V2440" s="117"/>
      <c r="W2440" s="117"/>
      <c r="X2440" s="117"/>
      <c r="Y2440" s="117"/>
      <c r="Z2440" s="117"/>
      <c r="AA2440" s="117"/>
      <c r="AB2440" s="117"/>
      <c r="AC2440" s="117"/>
      <c r="AD2440" s="117"/>
      <c r="AE2440" s="117"/>
      <c r="AF2440" s="117"/>
      <c r="AG2440" s="117"/>
      <c r="AH2440" s="117"/>
      <c r="AI2440" s="117"/>
      <c r="AJ2440" s="117"/>
      <c r="AK2440" s="117"/>
      <c r="AL2440" s="117"/>
      <c r="AM2440" s="117"/>
      <c r="AN2440" s="117"/>
      <c r="AO2440" s="117"/>
      <c r="AP2440" s="117"/>
      <c r="AQ2440" s="117"/>
      <c r="AR2440" s="117"/>
      <c r="AS2440" s="117"/>
      <c r="AT2440" s="117"/>
      <c r="AU2440" s="117"/>
      <c r="AV2440" s="117"/>
      <c r="AW2440" s="117"/>
      <c r="AX2440" s="117"/>
      <c r="AY2440" s="117"/>
      <c r="AZ2440" s="117"/>
      <c r="BA2440" s="117"/>
      <c r="BB2440" s="117"/>
      <c r="BC2440" s="117"/>
      <c r="BD2440" s="117"/>
      <c r="BE2440" s="117"/>
      <c r="BF2440" s="117"/>
      <c r="BG2440" s="117"/>
    </row>
    <row r="2441" spans="1:59">
      <c r="A2441" s="117"/>
      <c r="B2441" s="117"/>
      <c r="C2441" s="117"/>
      <c r="D2441" s="117"/>
      <c r="E2441" s="117"/>
      <c r="F2441" s="117"/>
      <c r="G2441" s="117"/>
      <c r="H2441" s="117"/>
      <c r="I2441" s="117"/>
      <c r="J2441" s="118"/>
      <c r="K2441" s="118"/>
      <c r="L2441" s="118"/>
      <c r="M2441" s="118"/>
      <c r="N2441" s="117"/>
      <c r="O2441" s="117"/>
      <c r="P2441" s="117"/>
      <c r="Q2441" s="117"/>
      <c r="R2441" s="117"/>
      <c r="S2441" s="117"/>
      <c r="T2441" s="117"/>
      <c r="U2441" s="117"/>
      <c r="V2441" s="117"/>
      <c r="W2441" s="117"/>
      <c r="X2441" s="117"/>
      <c r="Y2441" s="117"/>
      <c r="Z2441" s="117"/>
      <c r="AA2441" s="117"/>
      <c r="AB2441" s="117"/>
      <c r="AC2441" s="117"/>
      <c r="AD2441" s="117"/>
      <c r="AE2441" s="117"/>
      <c r="AF2441" s="117"/>
      <c r="AG2441" s="117"/>
      <c r="AH2441" s="117"/>
      <c r="AI2441" s="117"/>
      <c r="AJ2441" s="117"/>
      <c r="AK2441" s="117"/>
      <c r="AL2441" s="117"/>
      <c r="AM2441" s="117"/>
      <c r="AN2441" s="117"/>
      <c r="AO2441" s="117"/>
      <c r="AP2441" s="117"/>
      <c r="AQ2441" s="117"/>
      <c r="AR2441" s="117"/>
      <c r="AS2441" s="117"/>
      <c r="AT2441" s="117"/>
      <c r="AU2441" s="117"/>
      <c r="AV2441" s="117"/>
      <c r="AW2441" s="117"/>
      <c r="AX2441" s="117"/>
      <c r="AY2441" s="117"/>
      <c r="AZ2441" s="117"/>
      <c r="BA2441" s="117"/>
      <c r="BB2441" s="117"/>
      <c r="BC2441" s="117"/>
      <c r="BD2441" s="117"/>
      <c r="BE2441" s="117"/>
      <c r="BF2441" s="117"/>
      <c r="BG2441" s="117"/>
    </row>
    <row r="2442" spans="1:59">
      <c r="A2442" s="117"/>
      <c r="B2442" s="117"/>
      <c r="C2442" s="117"/>
      <c r="D2442" s="117"/>
      <c r="E2442" s="117"/>
      <c r="F2442" s="117"/>
      <c r="G2442" s="117"/>
      <c r="H2442" s="117"/>
      <c r="I2442" s="117"/>
      <c r="J2442" s="118"/>
      <c r="K2442" s="118"/>
      <c r="L2442" s="118"/>
      <c r="M2442" s="118"/>
      <c r="N2442" s="117"/>
      <c r="O2442" s="117"/>
      <c r="P2442" s="117"/>
      <c r="Q2442" s="117"/>
      <c r="R2442" s="117"/>
      <c r="S2442" s="117"/>
      <c r="T2442" s="117"/>
      <c r="U2442" s="117"/>
      <c r="V2442" s="117"/>
      <c r="W2442" s="117"/>
      <c r="X2442" s="117"/>
      <c r="Y2442" s="117"/>
      <c r="Z2442" s="117"/>
      <c r="AA2442" s="117"/>
      <c r="AB2442" s="117"/>
      <c r="AC2442" s="117"/>
      <c r="AD2442" s="117"/>
      <c r="AE2442" s="117"/>
      <c r="AF2442" s="117"/>
      <c r="AG2442" s="117"/>
      <c r="AH2442" s="117"/>
      <c r="AI2442" s="117"/>
      <c r="AJ2442" s="117"/>
      <c r="AK2442" s="117"/>
      <c r="AL2442" s="117"/>
      <c r="AM2442" s="117"/>
      <c r="AN2442" s="117"/>
      <c r="AO2442" s="117"/>
      <c r="AP2442" s="117"/>
      <c r="AQ2442" s="117"/>
      <c r="AR2442" s="117"/>
      <c r="AS2442" s="117"/>
      <c r="AT2442" s="117"/>
      <c r="AU2442" s="117"/>
      <c r="AV2442" s="117"/>
      <c r="AW2442" s="117"/>
      <c r="AX2442" s="117"/>
      <c r="AY2442" s="117"/>
      <c r="AZ2442" s="117"/>
      <c r="BA2442" s="117"/>
      <c r="BB2442" s="117"/>
      <c r="BC2442" s="117"/>
      <c r="BD2442" s="117"/>
      <c r="BE2442" s="117"/>
      <c r="BF2442" s="117"/>
      <c r="BG2442" s="117"/>
    </row>
    <row r="2443" spans="1:59">
      <c r="A2443" s="117"/>
      <c r="B2443" s="117"/>
      <c r="C2443" s="117"/>
      <c r="D2443" s="117"/>
      <c r="E2443" s="117"/>
      <c r="F2443" s="117"/>
      <c r="G2443" s="117"/>
      <c r="H2443" s="117"/>
      <c r="I2443" s="117"/>
      <c r="J2443" s="118"/>
      <c r="K2443" s="118"/>
      <c r="L2443" s="118"/>
      <c r="M2443" s="118"/>
      <c r="N2443" s="117"/>
      <c r="O2443" s="117"/>
      <c r="P2443" s="117"/>
      <c r="Q2443" s="117"/>
      <c r="R2443" s="117"/>
      <c r="S2443" s="117"/>
      <c r="T2443" s="117"/>
      <c r="U2443" s="117"/>
      <c r="V2443" s="117"/>
      <c r="W2443" s="117"/>
      <c r="X2443" s="117"/>
      <c r="Y2443" s="117"/>
      <c r="Z2443" s="117"/>
      <c r="AA2443" s="117"/>
      <c r="AB2443" s="117"/>
      <c r="AC2443" s="117"/>
      <c r="AD2443" s="117"/>
      <c r="AE2443" s="117"/>
      <c r="AF2443" s="117"/>
      <c r="AG2443" s="117"/>
      <c r="AH2443" s="117"/>
      <c r="AI2443" s="117"/>
      <c r="AJ2443" s="117"/>
      <c r="AK2443" s="117"/>
      <c r="AL2443" s="117"/>
      <c r="AM2443" s="117"/>
      <c r="AN2443" s="117"/>
      <c r="AO2443" s="117"/>
      <c r="AP2443" s="117"/>
      <c r="AQ2443" s="117"/>
      <c r="AR2443" s="117"/>
      <c r="AS2443" s="117"/>
      <c r="AT2443" s="117"/>
      <c r="AU2443" s="117"/>
      <c r="AV2443" s="117"/>
      <c r="AW2443" s="117"/>
      <c r="AX2443" s="117"/>
      <c r="AY2443" s="117"/>
      <c r="AZ2443" s="117"/>
      <c r="BA2443" s="117"/>
      <c r="BB2443" s="117"/>
      <c r="BC2443" s="117"/>
      <c r="BD2443" s="117"/>
      <c r="BE2443" s="117"/>
      <c r="BF2443" s="117"/>
      <c r="BG2443" s="117"/>
    </row>
    <row r="2444" spans="1:59">
      <c r="A2444" s="117"/>
      <c r="B2444" s="117"/>
      <c r="C2444" s="117"/>
      <c r="D2444" s="117"/>
      <c r="E2444" s="117"/>
      <c r="F2444" s="117"/>
      <c r="G2444" s="117"/>
      <c r="H2444" s="117"/>
      <c r="I2444" s="117"/>
      <c r="J2444" s="118"/>
      <c r="K2444" s="118"/>
      <c r="L2444" s="118"/>
      <c r="M2444" s="118"/>
      <c r="N2444" s="117"/>
      <c r="O2444" s="117"/>
      <c r="P2444" s="117"/>
      <c r="Q2444" s="117"/>
      <c r="R2444" s="117"/>
      <c r="S2444" s="117"/>
      <c r="T2444" s="117"/>
      <c r="U2444" s="117"/>
      <c r="V2444" s="117"/>
      <c r="W2444" s="117"/>
      <c r="X2444" s="117"/>
      <c r="Y2444" s="117"/>
      <c r="Z2444" s="117"/>
      <c r="AA2444" s="117"/>
      <c r="AB2444" s="117"/>
      <c r="AC2444" s="117"/>
      <c r="AD2444" s="117"/>
      <c r="AE2444" s="117"/>
      <c r="AF2444" s="117"/>
      <c r="AG2444" s="117"/>
      <c r="AH2444" s="117"/>
      <c r="AI2444" s="117"/>
      <c r="AJ2444" s="117"/>
      <c r="AK2444" s="117"/>
      <c r="AL2444" s="117"/>
      <c r="AM2444" s="117"/>
      <c r="AN2444" s="117"/>
      <c r="AO2444" s="117"/>
      <c r="AP2444" s="117"/>
      <c r="AQ2444" s="117"/>
      <c r="AR2444" s="117"/>
      <c r="AS2444" s="117"/>
      <c r="AT2444" s="117"/>
      <c r="AU2444" s="117"/>
      <c r="AV2444" s="117"/>
      <c r="AW2444" s="117"/>
      <c r="AX2444" s="117"/>
      <c r="AY2444" s="117"/>
      <c r="AZ2444" s="117"/>
      <c r="BA2444" s="117"/>
      <c r="BB2444" s="117"/>
      <c r="BC2444" s="117"/>
      <c r="BD2444" s="117"/>
      <c r="BE2444" s="117"/>
      <c r="BF2444" s="117"/>
      <c r="BG2444" s="117"/>
    </row>
    <row r="2445" spans="1:59">
      <c r="A2445" s="117"/>
      <c r="B2445" s="117"/>
      <c r="C2445" s="117"/>
      <c r="D2445" s="117"/>
      <c r="E2445" s="117"/>
      <c r="F2445" s="117"/>
      <c r="G2445" s="117"/>
      <c r="H2445" s="117"/>
      <c r="I2445" s="117"/>
      <c r="J2445" s="118"/>
      <c r="K2445" s="118"/>
      <c r="L2445" s="118"/>
      <c r="M2445" s="118"/>
      <c r="N2445" s="117"/>
      <c r="O2445" s="117"/>
      <c r="P2445" s="117"/>
      <c r="Q2445" s="117"/>
      <c r="R2445" s="117"/>
      <c r="S2445" s="117"/>
      <c r="T2445" s="117"/>
      <c r="U2445" s="117"/>
      <c r="V2445" s="117"/>
      <c r="W2445" s="117"/>
      <c r="X2445" s="117"/>
      <c r="Y2445" s="117"/>
      <c r="Z2445" s="117"/>
      <c r="AA2445" s="117"/>
      <c r="AB2445" s="117"/>
      <c r="AC2445" s="117"/>
      <c r="AD2445" s="117"/>
      <c r="AE2445" s="117"/>
      <c r="AF2445" s="117"/>
      <c r="AG2445" s="117"/>
      <c r="AH2445" s="117"/>
      <c r="AI2445" s="117"/>
      <c r="AJ2445" s="117"/>
      <c r="AK2445" s="117"/>
      <c r="AL2445" s="117"/>
      <c r="AM2445" s="117"/>
      <c r="AN2445" s="117"/>
      <c r="AO2445" s="117"/>
      <c r="AP2445" s="117"/>
      <c r="AQ2445" s="117"/>
      <c r="AR2445" s="117"/>
      <c r="AS2445" s="117"/>
      <c r="AT2445" s="117"/>
      <c r="AU2445" s="117"/>
      <c r="AV2445" s="117"/>
      <c r="AW2445" s="117"/>
      <c r="AX2445" s="117"/>
      <c r="AY2445" s="117"/>
      <c r="AZ2445" s="117"/>
      <c r="BA2445" s="117"/>
      <c r="BB2445" s="117"/>
      <c r="BC2445" s="117"/>
      <c r="BD2445" s="117"/>
      <c r="BE2445" s="117"/>
      <c r="BF2445" s="117"/>
      <c r="BG2445" s="117"/>
    </row>
    <row r="2446" spans="1:59">
      <c r="A2446" s="117"/>
      <c r="B2446" s="117"/>
      <c r="C2446" s="117"/>
      <c r="D2446" s="117"/>
      <c r="E2446" s="117"/>
      <c r="F2446" s="117"/>
      <c r="G2446" s="117"/>
      <c r="H2446" s="117"/>
      <c r="I2446" s="117"/>
      <c r="J2446" s="118"/>
      <c r="K2446" s="118"/>
      <c r="L2446" s="118"/>
      <c r="M2446" s="118"/>
      <c r="N2446" s="117"/>
      <c r="O2446" s="117"/>
      <c r="P2446" s="117"/>
      <c r="Q2446" s="117"/>
      <c r="R2446" s="117"/>
      <c r="S2446" s="117"/>
      <c r="T2446" s="117"/>
      <c r="U2446" s="117"/>
      <c r="V2446" s="117"/>
      <c r="W2446" s="117"/>
      <c r="X2446" s="117"/>
      <c r="Y2446" s="117"/>
      <c r="Z2446" s="117"/>
      <c r="AA2446" s="117"/>
      <c r="AB2446" s="117"/>
      <c r="AC2446" s="117"/>
      <c r="AD2446" s="117"/>
      <c r="AE2446" s="117"/>
      <c r="AF2446" s="117"/>
      <c r="AG2446" s="117"/>
      <c r="AH2446" s="117"/>
      <c r="AI2446" s="117"/>
      <c r="AJ2446" s="117"/>
      <c r="AK2446" s="117"/>
      <c r="AL2446" s="117"/>
      <c r="AM2446" s="117"/>
      <c r="AN2446" s="117"/>
      <c r="AO2446" s="117"/>
      <c r="AP2446" s="117"/>
      <c r="AQ2446" s="117"/>
      <c r="AR2446" s="117"/>
      <c r="AS2446" s="117"/>
      <c r="AT2446" s="117"/>
      <c r="AU2446" s="117"/>
      <c r="AV2446" s="117"/>
      <c r="AW2446" s="117"/>
      <c r="AX2446" s="117"/>
      <c r="AY2446" s="117"/>
      <c r="AZ2446" s="117"/>
      <c r="BA2446" s="117"/>
      <c r="BB2446" s="117"/>
      <c r="BC2446" s="117"/>
      <c r="BD2446" s="117"/>
      <c r="BE2446" s="117"/>
      <c r="BF2446" s="117"/>
      <c r="BG2446" s="117"/>
    </row>
    <row r="2447" spans="1:59">
      <c r="A2447" s="117"/>
      <c r="B2447" s="117"/>
      <c r="C2447" s="117"/>
      <c r="D2447" s="117"/>
      <c r="E2447" s="117"/>
      <c r="F2447" s="117"/>
      <c r="G2447" s="117"/>
      <c r="H2447" s="117"/>
      <c r="I2447" s="117"/>
      <c r="J2447" s="118"/>
      <c r="K2447" s="118"/>
      <c r="L2447" s="118"/>
      <c r="M2447" s="118"/>
      <c r="N2447" s="117"/>
      <c r="O2447" s="117"/>
      <c r="P2447" s="117"/>
      <c r="Q2447" s="117"/>
      <c r="R2447" s="117"/>
      <c r="S2447" s="117"/>
      <c r="T2447" s="117"/>
      <c r="U2447" s="117"/>
      <c r="V2447" s="117"/>
      <c r="W2447" s="117"/>
      <c r="X2447" s="117"/>
      <c r="Y2447" s="117"/>
      <c r="Z2447" s="117"/>
      <c r="AA2447" s="117"/>
      <c r="AB2447" s="117"/>
      <c r="AC2447" s="117"/>
      <c r="AD2447" s="117"/>
      <c r="AE2447" s="117"/>
      <c r="AF2447" s="117"/>
      <c r="AG2447" s="117"/>
      <c r="AH2447" s="117"/>
      <c r="AI2447" s="117"/>
      <c r="AJ2447" s="117"/>
      <c r="AK2447" s="117"/>
      <c r="AL2447" s="117"/>
      <c r="AM2447" s="117"/>
      <c r="AN2447" s="117"/>
      <c r="AO2447" s="117"/>
      <c r="AP2447" s="117"/>
      <c r="AQ2447" s="117"/>
      <c r="AR2447" s="117"/>
      <c r="AS2447" s="117"/>
      <c r="AT2447" s="117"/>
      <c r="AU2447" s="117"/>
      <c r="AV2447" s="117"/>
      <c r="AW2447" s="117"/>
      <c r="AX2447" s="117"/>
      <c r="AY2447" s="117"/>
      <c r="AZ2447" s="117"/>
      <c r="BA2447" s="117"/>
      <c r="BB2447" s="117"/>
      <c r="BC2447" s="117"/>
      <c r="BD2447" s="117"/>
      <c r="BE2447" s="117"/>
      <c r="BF2447" s="117"/>
      <c r="BG2447" s="117"/>
    </row>
    <row r="2448" spans="1:59">
      <c r="A2448" s="117"/>
      <c r="B2448" s="117"/>
      <c r="C2448" s="117"/>
      <c r="D2448" s="117"/>
      <c r="E2448" s="117"/>
      <c r="F2448" s="117"/>
      <c r="G2448" s="117"/>
      <c r="H2448" s="117"/>
      <c r="I2448" s="117"/>
      <c r="J2448" s="118"/>
      <c r="K2448" s="118"/>
      <c r="L2448" s="118"/>
      <c r="M2448" s="118"/>
      <c r="N2448" s="117"/>
      <c r="O2448" s="117"/>
      <c r="P2448" s="117"/>
      <c r="Q2448" s="117"/>
      <c r="R2448" s="117"/>
      <c r="S2448" s="117"/>
      <c r="T2448" s="117"/>
      <c r="U2448" s="117"/>
      <c r="V2448" s="117"/>
      <c r="W2448" s="117"/>
      <c r="X2448" s="117"/>
      <c r="Y2448" s="117"/>
      <c r="Z2448" s="117"/>
      <c r="AA2448" s="117"/>
      <c r="AB2448" s="117"/>
      <c r="AC2448" s="117"/>
      <c r="AD2448" s="117"/>
      <c r="AE2448" s="117"/>
      <c r="AF2448" s="117"/>
      <c r="AG2448" s="117"/>
      <c r="AH2448" s="117"/>
      <c r="AI2448" s="117"/>
      <c r="AJ2448" s="117"/>
      <c r="AK2448" s="117"/>
      <c r="AL2448" s="117"/>
      <c r="AM2448" s="117"/>
      <c r="AN2448" s="117"/>
      <c r="AO2448" s="117"/>
      <c r="AP2448" s="117"/>
      <c r="AQ2448" s="117"/>
      <c r="AR2448" s="117"/>
      <c r="AS2448" s="117"/>
      <c r="AT2448" s="117"/>
      <c r="AU2448" s="117"/>
      <c r="AV2448" s="117"/>
      <c r="AW2448" s="117"/>
      <c r="AX2448" s="117"/>
      <c r="AY2448" s="117"/>
      <c r="AZ2448" s="117"/>
      <c r="BA2448" s="117"/>
      <c r="BB2448" s="117"/>
      <c r="BC2448" s="117"/>
      <c r="BD2448" s="117"/>
      <c r="BE2448" s="117"/>
      <c r="BF2448" s="117"/>
      <c r="BG2448" s="117"/>
    </row>
    <row r="2449" spans="1:59">
      <c r="A2449" s="117"/>
      <c r="B2449" s="117"/>
      <c r="C2449" s="117"/>
      <c r="D2449" s="117"/>
      <c r="E2449" s="117"/>
      <c r="F2449" s="117"/>
      <c r="G2449" s="117"/>
      <c r="H2449" s="117"/>
      <c r="I2449" s="117"/>
      <c r="J2449" s="118"/>
      <c r="K2449" s="118"/>
      <c r="L2449" s="118"/>
      <c r="M2449" s="118"/>
      <c r="N2449" s="117"/>
      <c r="O2449" s="117"/>
      <c r="P2449" s="117"/>
      <c r="Q2449" s="117"/>
      <c r="R2449" s="117"/>
      <c r="S2449" s="117"/>
      <c r="T2449" s="117"/>
      <c r="U2449" s="117"/>
      <c r="V2449" s="117"/>
      <c r="W2449" s="117"/>
      <c r="X2449" s="117"/>
      <c r="Y2449" s="117"/>
      <c r="Z2449" s="117"/>
      <c r="AA2449" s="117"/>
      <c r="AB2449" s="117"/>
      <c r="AC2449" s="117"/>
      <c r="AD2449" s="117"/>
      <c r="AE2449" s="117"/>
      <c r="AF2449" s="117"/>
      <c r="AG2449" s="117"/>
      <c r="AH2449" s="117"/>
      <c r="AI2449" s="117"/>
      <c r="AJ2449" s="117"/>
      <c r="AK2449" s="117"/>
      <c r="AL2449" s="117"/>
      <c r="AM2449" s="117"/>
      <c r="AN2449" s="117"/>
      <c r="AO2449" s="117"/>
      <c r="AP2449" s="117"/>
      <c r="AQ2449" s="117"/>
      <c r="AR2449" s="117"/>
      <c r="AS2449" s="117"/>
      <c r="AT2449" s="117"/>
      <c r="AU2449" s="117"/>
      <c r="AV2449" s="117"/>
      <c r="AW2449" s="117"/>
      <c r="AX2449" s="117"/>
      <c r="AY2449" s="117"/>
      <c r="AZ2449" s="117"/>
      <c r="BA2449" s="117"/>
      <c r="BB2449" s="117"/>
      <c r="BC2449" s="117"/>
      <c r="BD2449" s="117"/>
      <c r="BE2449" s="117"/>
      <c r="BF2449" s="117"/>
      <c r="BG2449" s="117"/>
    </row>
    <row r="2450" spans="1:59">
      <c r="A2450" s="117"/>
      <c r="B2450" s="117"/>
      <c r="C2450" s="117"/>
      <c r="D2450" s="117"/>
      <c r="E2450" s="117"/>
      <c r="F2450" s="117"/>
      <c r="G2450" s="117"/>
      <c r="H2450" s="117"/>
      <c r="I2450" s="117"/>
      <c r="J2450" s="118"/>
      <c r="K2450" s="118"/>
      <c r="L2450" s="118"/>
      <c r="M2450" s="118"/>
      <c r="N2450" s="117"/>
      <c r="O2450" s="117"/>
      <c r="P2450" s="117"/>
      <c r="Q2450" s="117"/>
      <c r="R2450" s="117"/>
      <c r="S2450" s="117"/>
      <c r="T2450" s="117"/>
      <c r="U2450" s="117"/>
      <c r="V2450" s="117"/>
      <c r="W2450" s="117"/>
      <c r="X2450" s="117"/>
      <c r="Y2450" s="117"/>
      <c r="Z2450" s="117"/>
      <c r="AA2450" s="117"/>
      <c r="AB2450" s="117"/>
      <c r="AC2450" s="117"/>
      <c r="AD2450" s="117"/>
      <c r="AE2450" s="117"/>
      <c r="AF2450" s="117"/>
      <c r="AG2450" s="117"/>
      <c r="AH2450" s="117"/>
      <c r="AI2450" s="117"/>
      <c r="AJ2450" s="117"/>
      <c r="AK2450" s="117"/>
      <c r="AL2450" s="117"/>
      <c r="AM2450" s="117"/>
      <c r="AN2450" s="117"/>
      <c r="AO2450" s="117"/>
      <c r="AP2450" s="117"/>
      <c r="AQ2450" s="117"/>
      <c r="AR2450" s="117"/>
      <c r="AS2450" s="117"/>
      <c r="AT2450" s="117"/>
      <c r="AU2450" s="117"/>
      <c r="AV2450" s="117"/>
      <c r="AW2450" s="117"/>
      <c r="AX2450" s="117"/>
      <c r="AY2450" s="117"/>
      <c r="AZ2450" s="117"/>
      <c r="BA2450" s="117"/>
      <c r="BB2450" s="117"/>
      <c r="BC2450" s="117"/>
      <c r="BD2450" s="117"/>
      <c r="BE2450" s="117"/>
      <c r="BF2450" s="117"/>
      <c r="BG2450" s="117"/>
    </row>
    <row r="2451" spans="1:59">
      <c r="A2451" s="117"/>
      <c r="B2451" s="117"/>
      <c r="C2451" s="117"/>
      <c r="D2451" s="117"/>
      <c r="E2451" s="117"/>
      <c r="F2451" s="117"/>
      <c r="G2451" s="117"/>
      <c r="H2451" s="117"/>
      <c r="I2451" s="117"/>
      <c r="J2451" s="118"/>
      <c r="K2451" s="118"/>
      <c r="L2451" s="118"/>
      <c r="M2451" s="118"/>
      <c r="N2451" s="117"/>
      <c r="O2451" s="117"/>
      <c r="P2451" s="117"/>
      <c r="Q2451" s="117"/>
      <c r="R2451" s="117"/>
      <c r="S2451" s="117"/>
      <c r="T2451" s="117"/>
      <c r="U2451" s="117"/>
      <c r="V2451" s="117"/>
      <c r="W2451" s="117"/>
      <c r="X2451" s="117"/>
      <c r="Y2451" s="117"/>
      <c r="Z2451" s="117"/>
      <c r="AA2451" s="117"/>
      <c r="AB2451" s="117"/>
      <c r="AC2451" s="117"/>
      <c r="AD2451" s="117"/>
      <c r="AE2451" s="117"/>
      <c r="AF2451" s="117"/>
      <c r="AG2451" s="117"/>
      <c r="AH2451" s="117"/>
      <c r="AI2451" s="117"/>
      <c r="AJ2451" s="117"/>
      <c r="AK2451" s="117"/>
      <c r="AL2451" s="117"/>
      <c r="AM2451" s="117"/>
      <c r="AN2451" s="117"/>
      <c r="AO2451" s="117"/>
      <c r="AP2451" s="117"/>
      <c r="AQ2451" s="117"/>
      <c r="AR2451" s="117"/>
      <c r="AS2451" s="117"/>
      <c r="AT2451" s="117"/>
      <c r="AU2451" s="117"/>
      <c r="AV2451" s="117"/>
      <c r="AW2451" s="117"/>
      <c r="AX2451" s="117"/>
      <c r="AY2451" s="117"/>
      <c r="AZ2451" s="117"/>
      <c r="BA2451" s="117"/>
      <c r="BB2451" s="117"/>
      <c r="BC2451" s="117"/>
      <c r="BD2451" s="117"/>
      <c r="BE2451" s="117"/>
      <c r="BF2451" s="117"/>
      <c r="BG2451" s="117"/>
    </row>
    <row r="2452" spans="1:59">
      <c r="A2452" s="117"/>
      <c r="B2452" s="117"/>
      <c r="C2452" s="117"/>
      <c r="D2452" s="117"/>
      <c r="E2452" s="117"/>
      <c r="F2452" s="117"/>
      <c r="G2452" s="117"/>
      <c r="H2452" s="117"/>
      <c r="I2452" s="117"/>
      <c r="J2452" s="118"/>
      <c r="K2452" s="118"/>
      <c r="L2452" s="118"/>
      <c r="M2452" s="118"/>
      <c r="N2452" s="117"/>
      <c r="O2452" s="117"/>
      <c r="P2452" s="117"/>
      <c r="Q2452" s="117"/>
      <c r="R2452" s="117"/>
      <c r="S2452" s="117"/>
      <c r="T2452" s="117"/>
      <c r="U2452" s="117"/>
      <c r="V2452" s="117"/>
      <c r="W2452" s="117"/>
      <c r="X2452" s="117"/>
      <c r="Y2452" s="117"/>
      <c r="Z2452" s="117"/>
      <c r="AA2452" s="117"/>
      <c r="AB2452" s="117"/>
      <c r="AC2452" s="117"/>
      <c r="AD2452" s="117"/>
      <c r="AE2452" s="117"/>
      <c r="AF2452" s="117"/>
      <c r="AG2452" s="117"/>
      <c r="AH2452" s="117"/>
      <c r="AI2452" s="117"/>
      <c r="AJ2452" s="117"/>
      <c r="AK2452" s="117"/>
      <c r="AL2452" s="117"/>
      <c r="AM2452" s="117"/>
      <c r="AN2452" s="117"/>
      <c r="AO2452" s="117"/>
      <c r="AP2452" s="117"/>
      <c r="AQ2452" s="117"/>
      <c r="AR2452" s="117"/>
      <c r="AS2452" s="117"/>
      <c r="AT2452" s="117"/>
      <c r="AU2452" s="117"/>
      <c r="AV2452" s="117"/>
      <c r="AW2452" s="117"/>
      <c r="AX2452" s="117"/>
      <c r="AY2452" s="117"/>
      <c r="AZ2452" s="117"/>
      <c r="BA2452" s="117"/>
      <c r="BB2452" s="117"/>
      <c r="BC2452" s="117"/>
      <c r="BD2452" s="117"/>
      <c r="BE2452" s="117"/>
      <c r="BF2452" s="117"/>
      <c r="BG2452" s="117"/>
    </row>
    <row r="2453" spans="1:59">
      <c r="A2453" s="117"/>
      <c r="B2453" s="117"/>
      <c r="C2453" s="117"/>
      <c r="D2453" s="117"/>
      <c r="E2453" s="117"/>
      <c r="F2453" s="117"/>
      <c r="G2453" s="117"/>
      <c r="H2453" s="117"/>
      <c r="I2453" s="117"/>
      <c r="J2453" s="118"/>
      <c r="K2453" s="118"/>
      <c r="L2453" s="118"/>
      <c r="M2453" s="118"/>
      <c r="N2453" s="117"/>
      <c r="O2453" s="117"/>
      <c r="P2453" s="117"/>
      <c r="Q2453" s="117"/>
      <c r="R2453" s="117"/>
      <c r="S2453" s="117"/>
      <c r="T2453" s="117"/>
      <c r="U2453" s="117"/>
      <c r="V2453" s="117"/>
      <c r="W2453" s="117"/>
      <c r="X2453" s="117"/>
      <c r="Y2453" s="117"/>
      <c r="Z2453" s="117"/>
      <c r="AA2453" s="117"/>
      <c r="AB2453" s="117"/>
      <c r="AC2453" s="117"/>
      <c r="AD2453" s="117"/>
      <c r="AE2453" s="117"/>
      <c r="AF2453" s="117"/>
      <c r="AG2453" s="117"/>
      <c r="AH2453" s="117"/>
      <c r="AI2453" s="117"/>
      <c r="AJ2453" s="117"/>
      <c r="AK2453" s="117"/>
      <c r="AL2453" s="117"/>
      <c r="AM2453" s="117"/>
      <c r="AN2453" s="117"/>
      <c r="AO2453" s="117"/>
      <c r="AP2453" s="117"/>
      <c r="AQ2453" s="117"/>
      <c r="AR2453" s="117"/>
      <c r="AS2453" s="117"/>
      <c r="AT2453" s="117"/>
      <c r="AU2453" s="117"/>
      <c r="AV2453" s="117"/>
      <c r="AW2453" s="117"/>
      <c r="AX2453" s="117"/>
      <c r="AY2453" s="117"/>
      <c r="AZ2453" s="117"/>
      <c r="BA2453" s="117"/>
      <c r="BB2453" s="117"/>
      <c r="BC2453" s="117"/>
      <c r="BD2453" s="117"/>
      <c r="BE2453" s="117"/>
      <c r="BF2453" s="117"/>
      <c r="BG2453" s="117"/>
    </row>
    <row r="2454" spans="1:59">
      <c r="A2454" s="117"/>
      <c r="B2454" s="117"/>
      <c r="C2454" s="117"/>
      <c r="D2454" s="117"/>
      <c r="E2454" s="117"/>
      <c r="F2454" s="117"/>
      <c r="G2454" s="117"/>
      <c r="H2454" s="117"/>
      <c r="I2454" s="117"/>
      <c r="J2454" s="118"/>
      <c r="K2454" s="118"/>
      <c r="L2454" s="118"/>
      <c r="M2454" s="118"/>
      <c r="N2454" s="117"/>
      <c r="O2454" s="117"/>
      <c r="P2454" s="117"/>
      <c r="Q2454" s="117"/>
      <c r="R2454" s="117"/>
      <c r="S2454" s="117"/>
      <c r="T2454" s="117"/>
      <c r="U2454" s="117"/>
      <c r="V2454" s="117"/>
      <c r="W2454" s="117"/>
      <c r="X2454" s="117"/>
      <c r="Y2454" s="117"/>
      <c r="Z2454" s="117"/>
      <c r="AA2454" s="117"/>
      <c r="AB2454" s="117"/>
      <c r="AC2454" s="117"/>
      <c r="AD2454" s="117"/>
      <c r="AE2454" s="117"/>
      <c r="AF2454" s="117"/>
      <c r="AG2454" s="117"/>
      <c r="AH2454" s="117"/>
      <c r="AI2454" s="117"/>
      <c r="AJ2454" s="117"/>
      <c r="AK2454" s="117"/>
      <c r="AL2454" s="117"/>
      <c r="AM2454" s="117"/>
      <c r="AN2454" s="117"/>
      <c r="AO2454" s="117"/>
      <c r="AP2454" s="117"/>
      <c r="AQ2454" s="117"/>
      <c r="AR2454" s="117"/>
      <c r="AS2454" s="117"/>
      <c r="AT2454" s="117"/>
      <c r="AU2454" s="117"/>
      <c r="AV2454" s="117"/>
      <c r="AW2454" s="117"/>
      <c r="AX2454" s="117"/>
      <c r="AY2454" s="117"/>
      <c r="AZ2454" s="117"/>
      <c r="BA2454" s="117"/>
      <c r="BB2454" s="117"/>
      <c r="BC2454" s="117"/>
      <c r="BD2454" s="117"/>
      <c r="BE2454" s="117"/>
      <c r="BF2454" s="117"/>
      <c r="BG2454" s="117"/>
    </row>
    <row r="2455" spans="1:59">
      <c r="A2455" s="117"/>
      <c r="B2455" s="117"/>
      <c r="C2455" s="117"/>
      <c r="D2455" s="117"/>
      <c r="E2455" s="117"/>
      <c r="F2455" s="117"/>
      <c r="G2455" s="117"/>
      <c r="H2455" s="117"/>
      <c r="I2455" s="117"/>
      <c r="J2455" s="118"/>
      <c r="K2455" s="118"/>
      <c r="L2455" s="118"/>
      <c r="M2455" s="118"/>
      <c r="N2455" s="117"/>
      <c r="O2455" s="117"/>
      <c r="P2455" s="117"/>
      <c r="Q2455" s="117"/>
      <c r="R2455" s="117"/>
      <c r="S2455" s="117"/>
      <c r="T2455" s="117"/>
      <c r="U2455" s="117"/>
      <c r="V2455" s="117"/>
      <c r="W2455" s="117"/>
      <c r="X2455" s="117"/>
      <c r="Y2455" s="117"/>
      <c r="Z2455" s="117"/>
      <c r="AA2455" s="117"/>
      <c r="AB2455" s="117"/>
      <c r="AC2455" s="117"/>
      <c r="AD2455" s="117"/>
      <c r="AE2455" s="117"/>
      <c r="AF2455" s="117"/>
      <c r="AG2455" s="117"/>
      <c r="AH2455" s="117"/>
      <c r="AI2455" s="117"/>
      <c r="AJ2455" s="117"/>
      <c r="AK2455" s="117"/>
      <c r="AL2455" s="117"/>
      <c r="AM2455" s="117"/>
      <c r="AN2455" s="117"/>
      <c r="AO2455" s="117"/>
      <c r="AP2455" s="117"/>
      <c r="AQ2455" s="117"/>
      <c r="AR2455" s="117"/>
      <c r="AS2455" s="117"/>
      <c r="AT2455" s="117"/>
      <c r="AU2455" s="117"/>
      <c r="AV2455" s="117"/>
      <c r="AW2455" s="117"/>
      <c r="AX2455" s="117"/>
      <c r="AY2455" s="117"/>
      <c r="AZ2455" s="117"/>
      <c r="BA2455" s="117"/>
      <c r="BB2455" s="117"/>
      <c r="BC2455" s="117"/>
      <c r="BD2455" s="117"/>
      <c r="BE2455" s="117"/>
      <c r="BF2455" s="117"/>
      <c r="BG2455" s="117"/>
    </row>
    <row r="2456" spans="1:59">
      <c r="A2456" s="117"/>
      <c r="B2456" s="117"/>
      <c r="C2456" s="117"/>
      <c r="D2456" s="117"/>
      <c r="E2456" s="117"/>
      <c r="F2456" s="117"/>
      <c r="G2456" s="117"/>
      <c r="H2456" s="117"/>
      <c r="I2456" s="117"/>
      <c r="J2456" s="118"/>
      <c r="K2456" s="118"/>
      <c r="L2456" s="118"/>
      <c r="M2456" s="118"/>
      <c r="N2456" s="117"/>
      <c r="O2456" s="117"/>
      <c r="P2456" s="117"/>
      <c r="Q2456" s="117"/>
      <c r="R2456" s="117"/>
      <c r="S2456" s="117"/>
      <c r="T2456" s="117"/>
      <c r="U2456" s="117"/>
      <c r="V2456" s="117"/>
      <c r="W2456" s="117"/>
      <c r="X2456" s="117"/>
      <c r="Y2456" s="117"/>
      <c r="Z2456" s="117"/>
      <c r="AA2456" s="117"/>
      <c r="AB2456" s="117"/>
      <c r="AC2456" s="117"/>
      <c r="AD2456" s="117"/>
      <c r="AE2456" s="117"/>
      <c r="AF2456" s="117"/>
      <c r="AG2456" s="117"/>
      <c r="AH2456" s="117"/>
      <c r="AI2456" s="117"/>
      <c r="AJ2456" s="117"/>
      <c r="AK2456" s="117"/>
      <c r="AL2456" s="117"/>
      <c r="AM2456" s="117"/>
      <c r="AN2456" s="117"/>
      <c r="AO2456" s="117"/>
      <c r="AP2456" s="117"/>
      <c r="AQ2456" s="117"/>
      <c r="AR2456" s="117"/>
      <c r="AS2456" s="117"/>
      <c r="AT2456" s="117"/>
      <c r="AU2456" s="117"/>
      <c r="AV2456" s="117"/>
      <c r="AW2456" s="117"/>
      <c r="AX2456" s="117"/>
      <c r="AY2456" s="117"/>
      <c r="AZ2456" s="117"/>
      <c r="BA2456" s="117"/>
      <c r="BB2456" s="117"/>
      <c r="BC2456" s="117"/>
      <c r="BD2456" s="117"/>
      <c r="BE2456" s="117"/>
      <c r="BF2456" s="117"/>
      <c r="BG2456" s="117"/>
    </row>
    <row r="2457" spans="1:59">
      <c r="A2457" s="117"/>
      <c r="B2457" s="117"/>
      <c r="C2457" s="117"/>
      <c r="D2457" s="117"/>
      <c r="E2457" s="117"/>
      <c r="F2457" s="117"/>
      <c r="G2457" s="117"/>
      <c r="H2457" s="117"/>
      <c r="I2457" s="117"/>
      <c r="J2457" s="118"/>
      <c r="K2457" s="118"/>
      <c r="L2457" s="118"/>
      <c r="M2457" s="118"/>
      <c r="N2457" s="117"/>
      <c r="O2457" s="117"/>
      <c r="P2457" s="117"/>
      <c r="Q2457" s="117"/>
      <c r="R2457" s="117"/>
      <c r="S2457" s="117"/>
      <c r="T2457" s="117"/>
      <c r="U2457" s="117"/>
      <c r="V2457" s="117"/>
      <c r="W2457" s="117"/>
      <c r="X2457" s="117"/>
      <c r="Y2457" s="117"/>
      <c r="Z2457" s="117"/>
      <c r="AA2457" s="117"/>
      <c r="AB2457" s="117"/>
      <c r="AC2457" s="117"/>
      <c r="AD2457" s="117"/>
      <c r="AE2457" s="117"/>
      <c r="AF2457" s="117"/>
      <c r="AG2457" s="117"/>
      <c r="AH2457" s="117"/>
      <c r="AI2457" s="117"/>
      <c r="AJ2457" s="117"/>
      <c r="AK2457" s="117"/>
      <c r="AL2457" s="117"/>
      <c r="AM2457" s="117"/>
      <c r="AN2457" s="117"/>
      <c r="AO2457" s="117"/>
      <c r="AP2457" s="117"/>
      <c r="AQ2457" s="117"/>
      <c r="AR2457" s="117"/>
      <c r="AS2457" s="117"/>
      <c r="AT2457" s="117"/>
      <c r="AU2457" s="117"/>
      <c r="AV2457" s="117"/>
      <c r="AW2457" s="117"/>
      <c r="AX2457" s="117"/>
      <c r="AY2457" s="117"/>
      <c r="AZ2457" s="117"/>
      <c r="BA2457" s="117"/>
      <c r="BB2457" s="117"/>
      <c r="BC2457" s="117"/>
      <c r="BD2457" s="117"/>
      <c r="BE2457" s="117"/>
      <c r="BF2457" s="117"/>
      <c r="BG2457" s="117"/>
    </row>
    <row r="2458" spans="1:59">
      <c r="A2458" s="117"/>
      <c r="B2458" s="117"/>
      <c r="C2458" s="117"/>
      <c r="D2458" s="117"/>
      <c r="E2458" s="117"/>
      <c r="F2458" s="117"/>
      <c r="G2458" s="117"/>
      <c r="H2458" s="117"/>
      <c r="I2458" s="117"/>
      <c r="J2458" s="118"/>
      <c r="K2458" s="118"/>
      <c r="L2458" s="118"/>
      <c r="M2458" s="118"/>
      <c r="N2458" s="117"/>
      <c r="O2458" s="117"/>
      <c r="P2458" s="117"/>
      <c r="Q2458" s="117"/>
      <c r="R2458" s="117"/>
      <c r="S2458" s="117"/>
      <c r="T2458" s="117"/>
      <c r="U2458" s="117"/>
      <c r="V2458" s="117"/>
      <c r="W2458" s="117"/>
      <c r="X2458" s="117"/>
      <c r="Y2458" s="117"/>
      <c r="Z2458" s="117"/>
      <c r="AA2458" s="117"/>
      <c r="AB2458" s="117"/>
      <c r="AC2458" s="117"/>
      <c r="AD2458" s="117"/>
      <c r="AE2458" s="117"/>
      <c r="AF2458" s="117"/>
      <c r="AG2458" s="117"/>
      <c r="AH2458" s="117"/>
      <c r="AI2458" s="117"/>
      <c r="AJ2458" s="117"/>
      <c r="AK2458" s="117"/>
      <c r="AL2458" s="117"/>
      <c r="AM2458" s="117"/>
      <c r="AN2458" s="117"/>
      <c r="AO2458" s="117"/>
      <c r="AP2458" s="117"/>
      <c r="AQ2458" s="117"/>
      <c r="AR2458" s="117"/>
      <c r="AS2458" s="117"/>
      <c r="AT2458" s="117"/>
      <c r="AU2458" s="117"/>
      <c r="AV2458" s="117"/>
      <c r="AW2458" s="117"/>
      <c r="AX2458" s="117"/>
      <c r="AY2458" s="117"/>
      <c r="AZ2458" s="117"/>
      <c r="BA2458" s="117"/>
      <c r="BB2458" s="117"/>
      <c r="BC2458" s="117"/>
      <c r="BD2458" s="117"/>
      <c r="BE2458" s="117"/>
      <c r="BF2458" s="117"/>
      <c r="BG2458" s="117"/>
    </row>
    <row r="2459" spans="1:59">
      <c r="A2459" s="117"/>
      <c r="B2459" s="117"/>
      <c r="C2459" s="117"/>
      <c r="D2459" s="117"/>
      <c r="E2459" s="117"/>
      <c r="F2459" s="117"/>
      <c r="G2459" s="117"/>
      <c r="H2459" s="117"/>
      <c r="I2459" s="117"/>
      <c r="J2459" s="118"/>
      <c r="K2459" s="118"/>
      <c r="L2459" s="118"/>
      <c r="M2459" s="118"/>
      <c r="N2459" s="117"/>
      <c r="O2459" s="117"/>
      <c r="P2459" s="117"/>
      <c r="Q2459" s="117"/>
      <c r="R2459" s="117"/>
      <c r="S2459" s="117"/>
      <c r="T2459" s="117"/>
      <c r="U2459" s="117"/>
      <c r="V2459" s="117"/>
      <c r="W2459" s="117"/>
      <c r="X2459" s="117"/>
      <c r="Y2459" s="117"/>
      <c r="Z2459" s="117"/>
      <c r="AA2459" s="117"/>
      <c r="AB2459" s="117"/>
      <c r="AC2459" s="117"/>
      <c r="AD2459" s="117"/>
      <c r="AE2459" s="117"/>
      <c r="AF2459" s="117"/>
      <c r="AG2459" s="117"/>
      <c r="AH2459" s="117"/>
      <c r="AI2459" s="117"/>
      <c r="AJ2459" s="117"/>
      <c r="AK2459" s="117"/>
      <c r="AL2459" s="117"/>
      <c r="AM2459" s="117"/>
      <c r="AN2459" s="117"/>
      <c r="AO2459" s="117"/>
      <c r="AP2459" s="117"/>
      <c r="AQ2459" s="117"/>
      <c r="AR2459" s="117"/>
      <c r="AS2459" s="117"/>
      <c r="AT2459" s="117"/>
      <c r="AU2459" s="117"/>
      <c r="AV2459" s="117"/>
      <c r="AW2459" s="117"/>
      <c r="AX2459" s="117"/>
      <c r="AY2459" s="117"/>
      <c r="AZ2459" s="117"/>
      <c r="BA2459" s="117"/>
      <c r="BB2459" s="117"/>
      <c r="BC2459" s="117"/>
      <c r="BD2459" s="117"/>
      <c r="BE2459" s="117"/>
      <c r="BF2459" s="117"/>
      <c r="BG2459" s="117"/>
    </row>
    <row r="2460" spans="1:59">
      <c r="A2460" s="117"/>
      <c r="B2460" s="117"/>
      <c r="C2460" s="117"/>
      <c r="D2460" s="117"/>
      <c r="E2460" s="117"/>
      <c r="F2460" s="117"/>
      <c r="G2460" s="117"/>
      <c r="H2460" s="117"/>
      <c r="I2460" s="117"/>
      <c r="J2460" s="118"/>
      <c r="K2460" s="118"/>
      <c r="L2460" s="118"/>
      <c r="M2460" s="118"/>
      <c r="N2460" s="117"/>
      <c r="O2460" s="117"/>
      <c r="P2460" s="117"/>
      <c r="Q2460" s="117"/>
      <c r="R2460" s="117"/>
      <c r="S2460" s="117"/>
      <c r="T2460" s="117"/>
      <c r="U2460" s="117"/>
      <c r="V2460" s="117"/>
      <c r="W2460" s="117"/>
      <c r="X2460" s="117"/>
      <c r="Y2460" s="117"/>
      <c r="Z2460" s="117"/>
      <c r="AA2460" s="117"/>
      <c r="AB2460" s="117"/>
      <c r="AC2460" s="117"/>
      <c r="AD2460" s="117"/>
      <c r="AE2460" s="117"/>
      <c r="AF2460" s="117"/>
      <c r="AG2460" s="117"/>
      <c r="AH2460" s="117"/>
      <c r="AI2460" s="117"/>
      <c r="AJ2460" s="117"/>
      <c r="AK2460" s="117"/>
      <c r="AL2460" s="117"/>
      <c r="AM2460" s="117"/>
      <c r="AN2460" s="117"/>
      <c r="AO2460" s="117"/>
      <c r="AP2460" s="117"/>
      <c r="AQ2460" s="117"/>
      <c r="AR2460" s="117"/>
      <c r="AS2460" s="117"/>
      <c r="AT2460" s="117"/>
      <c r="AU2460" s="117"/>
      <c r="AV2460" s="117"/>
      <c r="AW2460" s="117"/>
      <c r="AX2460" s="117"/>
      <c r="AY2460" s="117"/>
      <c r="AZ2460" s="117"/>
      <c r="BA2460" s="117"/>
      <c r="BB2460" s="117"/>
      <c r="BC2460" s="117"/>
      <c r="BD2460" s="117"/>
      <c r="BE2460" s="117"/>
      <c r="BF2460" s="117"/>
      <c r="BG2460" s="117"/>
    </row>
    <row r="2461" spans="1:59">
      <c r="A2461" s="117"/>
      <c r="B2461" s="117"/>
      <c r="C2461" s="117"/>
      <c r="D2461" s="117"/>
      <c r="E2461" s="117"/>
      <c r="F2461" s="117"/>
      <c r="G2461" s="117"/>
      <c r="H2461" s="117"/>
      <c r="I2461" s="117"/>
      <c r="J2461" s="118"/>
      <c r="K2461" s="118"/>
      <c r="L2461" s="118"/>
      <c r="M2461" s="118"/>
      <c r="N2461" s="117"/>
      <c r="O2461" s="117"/>
      <c r="P2461" s="117"/>
      <c r="Q2461" s="117"/>
      <c r="R2461" s="117"/>
      <c r="S2461" s="117"/>
      <c r="T2461" s="117"/>
      <c r="U2461" s="117"/>
      <c r="V2461" s="117"/>
      <c r="W2461" s="117"/>
      <c r="X2461" s="117"/>
      <c r="Y2461" s="117"/>
      <c r="Z2461" s="117"/>
      <c r="AA2461" s="117"/>
      <c r="AB2461" s="117"/>
      <c r="AC2461" s="117"/>
      <c r="AD2461" s="117"/>
      <c r="AE2461" s="117"/>
      <c r="AF2461" s="117"/>
      <c r="AG2461" s="117"/>
      <c r="AH2461" s="117"/>
      <c r="AI2461" s="117"/>
      <c r="AJ2461" s="117"/>
      <c r="AK2461" s="117"/>
      <c r="AL2461" s="117"/>
      <c r="AM2461" s="117"/>
      <c r="AN2461" s="117"/>
      <c r="AO2461" s="117"/>
      <c r="AP2461" s="117"/>
      <c r="AQ2461" s="117"/>
      <c r="AR2461" s="117"/>
      <c r="AS2461" s="117"/>
      <c r="AT2461" s="117"/>
      <c r="AU2461" s="117"/>
      <c r="AV2461" s="117"/>
      <c r="AW2461" s="117"/>
      <c r="AX2461" s="117"/>
      <c r="AY2461" s="117"/>
      <c r="AZ2461" s="117"/>
      <c r="BA2461" s="117"/>
      <c r="BB2461" s="117"/>
      <c r="BC2461" s="117"/>
      <c r="BD2461" s="117"/>
      <c r="BE2461" s="117"/>
      <c r="BF2461" s="117"/>
      <c r="BG2461" s="117"/>
    </row>
    <row r="2462" spans="1:59">
      <c r="A2462" s="117"/>
      <c r="B2462" s="117"/>
      <c r="C2462" s="117"/>
      <c r="D2462" s="117"/>
      <c r="E2462" s="117"/>
      <c r="F2462" s="117"/>
      <c r="G2462" s="117"/>
      <c r="H2462" s="117"/>
      <c r="I2462" s="117"/>
      <c r="J2462" s="118"/>
      <c r="K2462" s="118"/>
      <c r="L2462" s="118"/>
      <c r="M2462" s="118"/>
      <c r="N2462" s="117"/>
      <c r="O2462" s="117"/>
      <c r="P2462" s="117"/>
      <c r="Q2462" s="117"/>
      <c r="R2462" s="117"/>
      <c r="S2462" s="117"/>
      <c r="T2462" s="117"/>
      <c r="U2462" s="117"/>
      <c r="V2462" s="117"/>
      <c r="W2462" s="117"/>
      <c r="X2462" s="117"/>
      <c r="Y2462" s="117"/>
      <c r="Z2462" s="117"/>
      <c r="AA2462" s="117"/>
      <c r="AB2462" s="117"/>
      <c r="AC2462" s="117"/>
      <c r="AD2462" s="117"/>
      <c r="AE2462" s="117"/>
      <c r="AF2462" s="117"/>
      <c r="AG2462" s="117"/>
      <c r="AH2462" s="117"/>
      <c r="AI2462" s="117"/>
      <c r="AJ2462" s="117"/>
      <c r="AK2462" s="117"/>
      <c r="AL2462" s="117"/>
      <c r="AM2462" s="117"/>
      <c r="AN2462" s="117"/>
      <c r="AO2462" s="117"/>
      <c r="AP2462" s="117"/>
      <c r="AQ2462" s="117"/>
      <c r="AR2462" s="117"/>
      <c r="AS2462" s="117"/>
      <c r="AT2462" s="117"/>
      <c r="AU2462" s="117"/>
      <c r="AV2462" s="117"/>
      <c r="AW2462" s="117"/>
      <c r="AX2462" s="117"/>
      <c r="AY2462" s="117"/>
      <c r="AZ2462" s="117"/>
      <c r="BA2462" s="117"/>
      <c r="BB2462" s="117"/>
      <c r="BC2462" s="117"/>
      <c r="BD2462" s="117"/>
      <c r="BE2462" s="117"/>
      <c r="BF2462" s="117"/>
      <c r="BG2462" s="117"/>
    </row>
    <row r="2463" spans="1:59">
      <c r="A2463" s="117"/>
      <c r="B2463" s="117"/>
      <c r="C2463" s="117"/>
      <c r="D2463" s="117"/>
      <c r="E2463" s="117"/>
      <c r="F2463" s="117"/>
      <c r="G2463" s="117"/>
      <c r="H2463" s="117"/>
      <c r="I2463" s="117"/>
      <c r="J2463" s="118"/>
      <c r="K2463" s="118"/>
      <c r="L2463" s="118"/>
      <c r="M2463" s="118"/>
      <c r="N2463" s="117"/>
      <c r="O2463" s="117"/>
      <c r="P2463" s="117"/>
      <c r="Q2463" s="117"/>
      <c r="R2463" s="117"/>
      <c r="S2463" s="117"/>
      <c r="T2463" s="117"/>
      <c r="U2463" s="117"/>
      <c r="V2463" s="117"/>
      <c r="W2463" s="117"/>
      <c r="X2463" s="117"/>
      <c r="Y2463" s="117"/>
      <c r="Z2463" s="117"/>
      <c r="AA2463" s="117"/>
      <c r="AB2463" s="117"/>
      <c r="AC2463" s="117"/>
      <c r="AD2463" s="117"/>
      <c r="AE2463" s="117"/>
      <c r="AF2463" s="117"/>
      <c r="AG2463" s="117"/>
      <c r="AH2463" s="117"/>
      <c r="AI2463" s="117"/>
      <c r="AJ2463" s="117"/>
      <c r="AK2463" s="117"/>
      <c r="AL2463" s="117"/>
      <c r="AM2463" s="117"/>
      <c r="AN2463" s="117"/>
      <c r="AO2463" s="117"/>
      <c r="AP2463" s="117"/>
      <c r="AQ2463" s="117"/>
      <c r="AR2463" s="117"/>
      <c r="AS2463" s="117"/>
      <c r="AT2463" s="117"/>
      <c r="AU2463" s="117"/>
      <c r="AV2463" s="117"/>
      <c r="AW2463" s="117"/>
      <c r="AX2463" s="117"/>
      <c r="AY2463" s="117"/>
      <c r="AZ2463" s="117"/>
      <c r="BA2463" s="117"/>
      <c r="BB2463" s="117"/>
      <c r="BC2463" s="117"/>
      <c r="BD2463" s="117"/>
      <c r="BE2463" s="117"/>
      <c r="BF2463" s="117"/>
      <c r="BG2463" s="117"/>
    </row>
    <row r="2464" spans="1:59">
      <c r="A2464" s="117"/>
      <c r="B2464" s="117"/>
      <c r="C2464" s="117"/>
      <c r="D2464" s="117"/>
      <c r="E2464" s="117"/>
      <c r="F2464" s="117"/>
      <c r="G2464" s="117"/>
      <c r="H2464" s="117"/>
      <c r="I2464" s="117"/>
      <c r="J2464" s="118"/>
      <c r="K2464" s="118"/>
      <c r="L2464" s="118"/>
      <c r="M2464" s="118"/>
      <c r="N2464" s="117"/>
      <c r="O2464" s="117"/>
      <c r="P2464" s="117"/>
      <c r="Q2464" s="117"/>
      <c r="R2464" s="117"/>
      <c r="S2464" s="117"/>
      <c r="T2464" s="117"/>
      <c r="U2464" s="117"/>
      <c r="V2464" s="117"/>
      <c r="W2464" s="117"/>
      <c r="X2464" s="117"/>
      <c r="Y2464" s="117"/>
      <c r="Z2464" s="117"/>
      <c r="AA2464" s="117"/>
      <c r="AB2464" s="117"/>
      <c r="AC2464" s="117"/>
      <c r="AD2464" s="117"/>
      <c r="AE2464" s="117"/>
      <c r="AF2464" s="117"/>
      <c r="AG2464" s="117"/>
      <c r="AH2464" s="117"/>
      <c r="AI2464" s="117"/>
      <c r="AJ2464" s="117"/>
      <c r="AK2464" s="117"/>
      <c r="AL2464" s="117"/>
      <c r="AM2464" s="117"/>
      <c r="AN2464" s="117"/>
      <c r="AO2464" s="117"/>
      <c r="AP2464" s="117"/>
      <c r="AQ2464" s="117"/>
      <c r="AR2464" s="117"/>
      <c r="AS2464" s="117"/>
      <c r="AT2464" s="117"/>
      <c r="AU2464" s="117"/>
      <c r="AV2464" s="117"/>
      <c r="AW2464" s="117"/>
      <c r="AX2464" s="117"/>
      <c r="AY2464" s="117"/>
      <c r="AZ2464" s="117"/>
      <c r="BA2464" s="117"/>
      <c r="BB2464" s="117"/>
      <c r="BC2464" s="117"/>
      <c r="BD2464" s="117"/>
      <c r="BE2464" s="117"/>
      <c r="BF2464" s="117"/>
      <c r="BG2464" s="117"/>
    </row>
    <row r="2465" spans="1:59">
      <c r="A2465" s="117"/>
      <c r="B2465" s="117"/>
      <c r="C2465" s="117"/>
      <c r="D2465" s="117"/>
      <c r="E2465" s="117"/>
      <c r="F2465" s="117"/>
      <c r="G2465" s="117"/>
      <c r="H2465" s="117"/>
      <c r="I2465" s="117"/>
      <c r="J2465" s="118"/>
      <c r="K2465" s="118"/>
      <c r="L2465" s="118"/>
      <c r="M2465" s="118"/>
      <c r="N2465" s="117"/>
      <c r="O2465" s="117"/>
      <c r="P2465" s="117"/>
      <c r="Q2465" s="117"/>
      <c r="R2465" s="117"/>
      <c r="S2465" s="117"/>
      <c r="T2465" s="117"/>
      <c r="U2465" s="117"/>
      <c r="V2465" s="117"/>
      <c r="W2465" s="117"/>
      <c r="X2465" s="117"/>
      <c r="Y2465" s="117"/>
      <c r="Z2465" s="117"/>
      <c r="AA2465" s="117"/>
      <c r="AB2465" s="117"/>
      <c r="AC2465" s="117"/>
      <c r="AD2465" s="117"/>
      <c r="AE2465" s="117"/>
      <c r="AF2465" s="117"/>
      <c r="AG2465" s="117"/>
      <c r="AH2465" s="117"/>
      <c r="AI2465" s="117"/>
      <c r="AJ2465" s="117"/>
      <c r="AK2465" s="117"/>
      <c r="AL2465" s="117"/>
      <c r="AM2465" s="117"/>
      <c r="AN2465" s="117"/>
      <c r="AO2465" s="117"/>
      <c r="AP2465" s="117"/>
      <c r="AQ2465" s="117"/>
      <c r="AR2465" s="117"/>
      <c r="AS2465" s="117"/>
      <c r="AT2465" s="117"/>
      <c r="AU2465" s="117"/>
      <c r="AV2465" s="117"/>
      <c r="AW2465" s="117"/>
      <c r="AX2465" s="117"/>
      <c r="AY2465" s="117"/>
      <c r="AZ2465" s="117"/>
      <c r="BA2465" s="117"/>
      <c r="BB2465" s="117"/>
      <c r="BC2465" s="117"/>
      <c r="BD2465" s="117"/>
      <c r="BE2465" s="117"/>
      <c r="BF2465" s="117"/>
      <c r="BG2465" s="117"/>
    </row>
    <row r="2466" spans="1:59">
      <c r="A2466" s="117"/>
      <c r="B2466" s="117"/>
      <c r="C2466" s="117"/>
      <c r="D2466" s="117"/>
      <c r="E2466" s="117"/>
      <c r="F2466" s="117"/>
      <c r="G2466" s="117"/>
      <c r="H2466" s="117"/>
      <c r="I2466" s="117"/>
      <c r="J2466" s="118"/>
      <c r="K2466" s="118"/>
      <c r="L2466" s="118"/>
      <c r="M2466" s="118"/>
      <c r="N2466" s="117"/>
      <c r="O2466" s="117"/>
      <c r="P2466" s="117"/>
      <c r="Q2466" s="117"/>
      <c r="R2466" s="117"/>
      <c r="S2466" s="117"/>
      <c r="T2466" s="117"/>
      <c r="U2466" s="117"/>
      <c r="V2466" s="117"/>
      <c r="W2466" s="117"/>
      <c r="X2466" s="117"/>
      <c r="Y2466" s="117"/>
      <c r="Z2466" s="117"/>
      <c r="AA2466" s="117"/>
      <c r="AB2466" s="117"/>
      <c r="AC2466" s="117"/>
      <c r="AD2466" s="117"/>
      <c r="AE2466" s="117"/>
      <c r="AF2466" s="117"/>
      <c r="AG2466" s="117"/>
      <c r="AH2466" s="117"/>
      <c r="AI2466" s="117"/>
      <c r="AJ2466" s="117"/>
      <c r="AK2466" s="117"/>
      <c r="AL2466" s="117"/>
      <c r="AM2466" s="117"/>
      <c r="AN2466" s="117"/>
      <c r="AO2466" s="117"/>
      <c r="AP2466" s="117"/>
      <c r="AQ2466" s="117"/>
      <c r="AR2466" s="117"/>
      <c r="AS2466" s="117"/>
      <c r="AT2466" s="117"/>
      <c r="AU2466" s="117"/>
      <c r="AV2466" s="117"/>
      <c r="AW2466" s="117"/>
      <c r="AX2466" s="117"/>
      <c r="AY2466" s="117"/>
      <c r="AZ2466" s="117"/>
      <c r="BA2466" s="117"/>
      <c r="BB2466" s="117"/>
      <c r="BC2466" s="117"/>
      <c r="BD2466" s="117"/>
      <c r="BE2466" s="117"/>
      <c r="BF2466" s="117"/>
      <c r="BG2466" s="117"/>
    </row>
    <row r="2467" spans="1:59">
      <c r="A2467" s="117"/>
      <c r="B2467" s="117"/>
      <c r="C2467" s="117"/>
      <c r="D2467" s="117"/>
      <c r="E2467" s="117"/>
      <c r="F2467" s="117"/>
      <c r="G2467" s="117"/>
      <c r="H2467" s="117"/>
      <c r="I2467" s="117"/>
      <c r="J2467" s="118"/>
      <c r="K2467" s="118"/>
      <c r="L2467" s="118"/>
      <c r="M2467" s="118"/>
      <c r="N2467" s="117"/>
      <c r="O2467" s="117"/>
      <c r="P2467" s="117"/>
      <c r="Q2467" s="117"/>
      <c r="R2467" s="117"/>
      <c r="S2467" s="117"/>
      <c r="T2467" s="117"/>
      <c r="U2467" s="117"/>
      <c r="V2467" s="117"/>
      <c r="W2467" s="117"/>
      <c r="X2467" s="117"/>
      <c r="Y2467" s="117"/>
      <c r="Z2467" s="117"/>
      <c r="AA2467" s="117"/>
      <c r="AB2467" s="117"/>
      <c r="AC2467" s="117"/>
      <c r="AD2467" s="117"/>
      <c r="AE2467" s="117"/>
      <c r="AF2467" s="117"/>
      <c r="AG2467" s="117"/>
      <c r="AH2467" s="117"/>
      <c r="AI2467" s="117"/>
      <c r="AJ2467" s="117"/>
      <c r="AK2467" s="117"/>
      <c r="AL2467" s="117"/>
      <c r="AM2467" s="117"/>
      <c r="AN2467" s="117"/>
      <c r="AO2467" s="117"/>
      <c r="AP2467" s="117"/>
      <c r="AQ2467" s="117"/>
      <c r="AR2467" s="117"/>
      <c r="AS2467" s="117"/>
      <c r="AT2467" s="117"/>
      <c r="AU2467" s="117"/>
      <c r="AV2467" s="117"/>
      <c r="AW2467" s="117"/>
      <c r="AX2467" s="117"/>
      <c r="AY2467" s="117"/>
      <c r="AZ2467" s="117"/>
      <c r="BA2467" s="117"/>
      <c r="BB2467" s="117"/>
      <c r="BC2467" s="117"/>
      <c r="BD2467" s="117"/>
      <c r="BE2467" s="117"/>
      <c r="BF2467" s="117"/>
      <c r="BG2467" s="117"/>
    </row>
    <row r="2468" spans="1:59">
      <c r="A2468" s="117"/>
      <c r="B2468" s="117"/>
      <c r="C2468" s="117"/>
      <c r="D2468" s="117"/>
      <c r="E2468" s="117"/>
      <c r="F2468" s="117"/>
      <c r="G2468" s="117"/>
      <c r="H2468" s="117"/>
      <c r="I2468" s="117"/>
      <c r="J2468" s="118"/>
      <c r="K2468" s="118"/>
      <c r="L2468" s="118"/>
      <c r="M2468" s="118"/>
      <c r="N2468" s="117"/>
      <c r="O2468" s="117"/>
      <c r="P2468" s="117"/>
      <c r="Q2468" s="117"/>
      <c r="R2468" s="117"/>
      <c r="S2468" s="117"/>
      <c r="T2468" s="117"/>
      <c r="U2468" s="117"/>
      <c r="V2468" s="117"/>
      <c r="W2468" s="117"/>
      <c r="X2468" s="117"/>
      <c r="Y2468" s="117"/>
      <c r="Z2468" s="117"/>
      <c r="AA2468" s="117"/>
      <c r="AB2468" s="117"/>
      <c r="AC2468" s="117"/>
      <c r="AD2468" s="117"/>
      <c r="AE2468" s="117"/>
      <c r="AF2468" s="117"/>
      <c r="AG2468" s="117"/>
      <c r="AH2468" s="117"/>
      <c r="AI2468" s="117"/>
      <c r="AJ2468" s="117"/>
      <c r="AK2468" s="117"/>
      <c r="AL2468" s="117"/>
      <c r="AM2468" s="117"/>
      <c r="AN2468" s="117"/>
      <c r="AO2468" s="117"/>
      <c r="AP2468" s="117"/>
      <c r="AQ2468" s="117"/>
      <c r="AR2468" s="117"/>
      <c r="AS2468" s="117"/>
      <c r="AT2468" s="117"/>
      <c r="AU2468" s="117"/>
      <c r="AV2468" s="117"/>
      <c r="AW2468" s="117"/>
      <c r="AX2468" s="117"/>
      <c r="AY2468" s="117"/>
      <c r="AZ2468" s="117"/>
      <c r="BA2468" s="117"/>
      <c r="BB2468" s="117"/>
      <c r="BC2468" s="117"/>
      <c r="BD2468" s="117"/>
      <c r="BE2468" s="117"/>
      <c r="BF2468" s="117"/>
      <c r="BG2468" s="117"/>
    </row>
    <row r="2469" spans="1:59">
      <c r="A2469" s="117"/>
      <c r="B2469" s="117"/>
      <c r="C2469" s="117"/>
      <c r="D2469" s="117"/>
      <c r="E2469" s="117"/>
      <c r="F2469" s="117"/>
      <c r="G2469" s="117"/>
      <c r="H2469" s="117"/>
      <c r="I2469" s="117"/>
      <c r="J2469" s="118"/>
      <c r="K2469" s="118"/>
      <c r="L2469" s="118"/>
      <c r="M2469" s="118"/>
      <c r="N2469" s="117"/>
      <c r="O2469" s="117"/>
      <c r="P2469" s="117"/>
      <c r="Q2469" s="117"/>
      <c r="R2469" s="117"/>
      <c r="S2469" s="117"/>
      <c r="T2469" s="117"/>
      <c r="U2469" s="117"/>
      <c r="V2469" s="117"/>
      <c r="W2469" s="117"/>
      <c r="X2469" s="117"/>
      <c r="Y2469" s="117"/>
      <c r="Z2469" s="117"/>
      <c r="AA2469" s="117"/>
      <c r="AB2469" s="117"/>
      <c r="AC2469" s="117"/>
      <c r="AD2469" s="117"/>
      <c r="AE2469" s="117"/>
      <c r="AF2469" s="117"/>
      <c r="AG2469" s="117"/>
      <c r="AH2469" s="117"/>
      <c r="AI2469" s="117"/>
      <c r="AJ2469" s="117"/>
      <c r="AK2469" s="117"/>
      <c r="AL2469" s="117"/>
      <c r="AM2469" s="117"/>
      <c r="AN2469" s="117"/>
      <c r="AO2469" s="117"/>
      <c r="AP2469" s="117"/>
      <c r="AQ2469" s="117"/>
      <c r="AR2469" s="117"/>
      <c r="AS2469" s="117"/>
      <c r="AT2469" s="117"/>
      <c r="AU2469" s="117"/>
      <c r="AV2469" s="117"/>
      <c r="AW2469" s="117"/>
      <c r="AX2469" s="117"/>
      <c r="AY2469" s="117"/>
      <c r="AZ2469" s="117"/>
      <c r="BA2469" s="117"/>
      <c r="BB2469" s="117"/>
      <c r="BC2469" s="117"/>
      <c r="BD2469" s="117"/>
      <c r="BE2469" s="117"/>
      <c r="BF2469" s="117"/>
      <c r="BG2469" s="117"/>
    </row>
    <row r="2470" spans="1:59">
      <c r="A2470" s="117"/>
      <c r="B2470" s="117"/>
      <c r="C2470" s="117"/>
      <c r="D2470" s="117"/>
      <c r="E2470" s="117"/>
      <c r="F2470" s="117"/>
      <c r="G2470" s="117"/>
      <c r="H2470" s="117"/>
      <c r="I2470" s="117"/>
      <c r="J2470" s="118"/>
      <c r="K2470" s="118"/>
      <c r="L2470" s="118"/>
      <c r="M2470" s="118"/>
      <c r="N2470" s="117"/>
      <c r="O2470" s="117"/>
      <c r="P2470" s="117"/>
      <c r="Q2470" s="117"/>
      <c r="R2470" s="117"/>
      <c r="S2470" s="117"/>
      <c r="T2470" s="117"/>
      <c r="U2470" s="117"/>
      <c r="V2470" s="117"/>
      <c r="W2470" s="117"/>
      <c r="X2470" s="117"/>
      <c r="Y2470" s="117"/>
      <c r="Z2470" s="117"/>
      <c r="AA2470" s="117"/>
      <c r="AB2470" s="117"/>
      <c r="AC2470" s="117"/>
      <c r="AD2470" s="117"/>
      <c r="AE2470" s="117"/>
      <c r="AF2470" s="117"/>
      <c r="AG2470" s="117"/>
      <c r="AH2470" s="117"/>
      <c r="AI2470" s="117"/>
      <c r="AJ2470" s="117"/>
      <c r="AK2470" s="117"/>
      <c r="AL2470" s="117"/>
      <c r="AM2470" s="117"/>
      <c r="AN2470" s="117"/>
      <c r="AO2470" s="117"/>
      <c r="AP2470" s="117"/>
      <c r="AQ2470" s="117"/>
      <c r="AR2470" s="117"/>
      <c r="AS2470" s="117"/>
      <c r="AT2470" s="117"/>
      <c r="AU2470" s="117"/>
      <c r="AV2470" s="117"/>
      <c r="AW2470" s="117"/>
      <c r="AX2470" s="117"/>
      <c r="AY2470" s="117"/>
      <c r="AZ2470" s="117"/>
      <c r="BA2470" s="117"/>
      <c r="BB2470" s="117"/>
      <c r="BC2470" s="117"/>
      <c r="BD2470" s="117"/>
      <c r="BE2470" s="117"/>
      <c r="BF2470" s="117"/>
      <c r="BG2470" s="117"/>
    </row>
    <row r="2471" spans="1:59">
      <c r="A2471" s="117"/>
      <c r="B2471" s="117"/>
      <c r="C2471" s="117"/>
      <c r="D2471" s="117"/>
      <c r="E2471" s="117"/>
      <c r="F2471" s="117"/>
      <c r="G2471" s="117"/>
      <c r="H2471" s="117"/>
      <c r="I2471" s="117"/>
      <c r="J2471" s="118"/>
      <c r="K2471" s="118"/>
      <c r="L2471" s="118"/>
      <c r="M2471" s="118"/>
      <c r="N2471" s="117"/>
      <c r="O2471" s="117"/>
      <c r="P2471" s="117"/>
      <c r="Q2471" s="117"/>
      <c r="R2471" s="117"/>
      <c r="S2471" s="117"/>
      <c r="T2471" s="117"/>
      <c r="U2471" s="117"/>
      <c r="V2471" s="117"/>
      <c r="W2471" s="117"/>
      <c r="X2471" s="117"/>
      <c r="Y2471" s="117"/>
      <c r="Z2471" s="117"/>
      <c r="AA2471" s="117"/>
      <c r="AB2471" s="117"/>
      <c r="AC2471" s="117"/>
      <c r="AD2471" s="117"/>
      <c r="AE2471" s="117"/>
      <c r="AF2471" s="117"/>
      <c r="AG2471" s="117"/>
      <c r="AH2471" s="117"/>
      <c r="AI2471" s="117"/>
      <c r="AJ2471" s="117"/>
      <c r="AK2471" s="117"/>
      <c r="AL2471" s="117"/>
      <c r="AM2471" s="117"/>
      <c r="AN2471" s="117"/>
      <c r="AO2471" s="117"/>
      <c r="AP2471" s="117"/>
      <c r="AQ2471" s="117"/>
      <c r="AR2471" s="117"/>
      <c r="AS2471" s="117"/>
      <c r="AT2471" s="117"/>
      <c r="AU2471" s="117"/>
      <c r="AV2471" s="117"/>
      <c r="AW2471" s="117"/>
      <c r="AX2471" s="117"/>
      <c r="AY2471" s="117"/>
      <c r="AZ2471" s="117"/>
      <c r="BA2471" s="117"/>
      <c r="BB2471" s="117"/>
      <c r="BC2471" s="117"/>
      <c r="BD2471" s="117"/>
      <c r="BE2471" s="117"/>
      <c r="BF2471" s="117"/>
      <c r="BG2471" s="117"/>
    </row>
    <row r="2472" spans="1:59">
      <c r="A2472" s="117"/>
      <c r="B2472" s="117"/>
      <c r="C2472" s="117"/>
      <c r="D2472" s="117"/>
      <c r="E2472" s="117"/>
      <c r="F2472" s="117"/>
      <c r="G2472" s="117"/>
      <c r="H2472" s="117"/>
      <c r="I2472" s="117"/>
      <c r="J2472" s="118"/>
      <c r="K2472" s="118"/>
      <c r="L2472" s="118"/>
      <c r="M2472" s="118"/>
      <c r="N2472" s="117"/>
      <c r="O2472" s="117"/>
      <c r="P2472" s="117"/>
      <c r="Q2472" s="117"/>
      <c r="R2472" s="117"/>
      <c r="S2472" s="117"/>
      <c r="T2472" s="117"/>
      <c r="U2472" s="117"/>
      <c r="V2472" s="117"/>
      <c r="W2472" s="117"/>
      <c r="X2472" s="117"/>
      <c r="Y2472" s="117"/>
      <c r="Z2472" s="117"/>
      <c r="AA2472" s="117"/>
      <c r="AB2472" s="117"/>
      <c r="AC2472" s="117"/>
      <c r="AD2472" s="117"/>
      <c r="AE2472" s="117"/>
      <c r="AF2472" s="117"/>
      <c r="AG2472" s="117"/>
      <c r="AH2472" s="117"/>
      <c r="AI2472" s="117"/>
      <c r="AJ2472" s="117"/>
      <c r="AK2472" s="117"/>
      <c r="AL2472" s="117"/>
      <c r="AM2472" s="117"/>
      <c r="AN2472" s="117"/>
      <c r="AO2472" s="117"/>
      <c r="AP2472" s="117"/>
      <c r="AQ2472" s="117"/>
      <c r="AR2472" s="117"/>
      <c r="AS2472" s="117"/>
      <c r="AT2472" s="117"/>
      <c r="AU2472" s="117"/>
      <c r="AV2472" s="117"/>
      <c r="AW2472" s="117"/>
      <c r="AX2472" s="117"/>
      <c r="AY2472" s="117"/>
      <c r="AZ2472" s="117"/>
      <c r="BA2472" s="117"/>
      <c r="BB2472" s="117"/>
      <c r="BC2472" s="117"/>
      <c r="BD2472" s="117"/>
      <c r="BE2472" s="117"/>
      <c r="BF2472" s="117"/>
      <c r="BG2472" s="117"/>
    </row>
    <row r="2473" spans="1:59">
      <c r="A2473" s="117"/>
      <c r="B2473" s="117"/>
      <c r="C2473" s="117"/>
      <c r="D2473" s="117"/>
      <c r="E2473" s="117"/>
      <c r="F2473" s="117"/>
      <c r="G2473" s="117"/>
      <c r="H2473" s="117"/>
      <c r="I2473" s="117"/>
      <c r="J2473" s="118"/>
      <c r="K2473" s="118"/>
      <c r="L2473" s="118"/>
      <c r="M2473" s="118"/>
      <c r="N2473" s="117"/>
      <c r="O2473" s="117"/>
      <c r="P2473" s="117"/>
      <c r="Q2473" s="117"/>
      <c r="R2473" s="117"/>
      <c r="S2473" s="117"/>
      <c r="T2473" s="117"/>
      <c r="U2473" s="117"/>
      <c r="V2473" s="117"/>
      <c r="W2473" s="117"/>
      <c r="X2473" s="117"/>
      <c r="Y2473" s="117"/>
      <c r="Z2473" s="117"/>
      <c r="AA2473" s="117"/>
      <c r="AB2473" s="117"/>
      <c r="AC2473" s="117"/>
      <c r="AD2473" s="117"/>
      <c r="AE2473" s="117"/>
      <c r="AF2473" s="117"/>
      <c r="AG2473" s="117"/>
      <c r="AH2473" s="117"/>
      <c r="AI2473" s="117"/>
      <c r="AJ2473" s="117"/>
      <c r="AK2473" s="117"/>
      <c r="AL2473" s="117"/>
      <c r="AM2473" s="117"/>
      <c r="AN2473" s="117"/>
      <c r="AO2473" s="117"/>
      <c r="AP2473" s="117"/>
      <c r="AQ2473" s="117"/>
      <c r="AR2473" s="117"/>
      <c r="AS2473" s="117"/>
      <c r="AT2473" s="117"/>
      <c r="AU2473" s="117"/>
      <c r="AV2473" s="117"/>
      <c r="AW2473" s="117"/>
      <c r="AX2473" s="117"/>
      <c r="AY2473" s="117"/>
      <c r="AZ2473" s="117"/>
      <c r="BA2473" s="117"/>
      <c r="BB2473" s="117"/>
      <c r="BC2473" s="117"/>
      <c r="BD2473" s="117"/>
      <c r="BE2473" s="117"/>
      <c r="BF2473" s="117"/>
      <c r="BG2473" s="117"/>
    </row>
    <row r="2474" spans="1:59">
      <c r="A2474" s="117"/>
      <c r="B2474" s="117"/>
      <c r="C2474" s="117"/>
      <c r="D2474" s="117"/>
      <c r="E2474" s="117"/>
      <c r="F2474" s="117"/>
      <c r="G2474" s="117"/>
      <c r="H2474" s="117"/>
      <c r="I2474" s="117"/>
      <c r="J2474" s="118"/>
      <c r="K2474" s="118"/>
      <c r="L2474" s="118"/>
      <c r="M2474" s="118"/>
      <c r="N2474" s="117"/>
      <c r="O2474" s="117"/>
      <c r="P2474" s="117"/>
      <c r="Q2474" s="117"/>
      <c r="R2474" s="117"/>
      <c r="S2474" s="117"/>
      <c r="T2474" s="117"/>
      <c r="U2474" s="117"/>
      <c r="V2474" s="117"/>
      <c r="W2474" s="117"/>
      <c r="X2474" s="117"/>
      <c r="Y2474" s="117"/>
      <c r="Z2474" s="117"/>
      <c r="AA2474" s="117"/>
      <c r="AB2474" s="117"/>
      <c r="AC2474" s="117"/>
      <c r="AD2474" s="117"/>
      <c r="AE2474" s="117"/>
      <c r="AF2474" s="117"/>
      <c r="AG2474" s="117"/>
      <c r="AH2474" s="117"/>
      <c r="AI2474" s="117"/>
      <c r="AJ2474" s="117"/>
      <c r="AK2474" s="117"/>
      <c r="AL2474" s="117"/>
      <c r="AM2474" s="117"/>
      <c r="AN2474" s="117"/>
      <c r="AO2474" s="117"/>
      <c r="AP2474" s="117"/>
      <c r="AQ2474" s="117"/>
      <c r="AR2474" s="117"/>
      <c r="AS2474" s="117"/>
      <c r="AT2474" s="117"/>
      <c r="AU2474" s="117"/>
      <c r="AV2474" s="117"/>
      <c r="AW2474" s="117"/>
      <c r="AX2474" s="117"/>
      <c r="AY2474" s="117"/>
      <c r="AZ2474" s="117"/>
      <c r="BA2474" s="117"/>
      <c r="BB2474" s="117"/>
      <c r="BC2474" s="117"/>
      <c r="BD2474" s="117"/>
      <c r="BE2474" s="117"/>
      <c r="BF2474" s="117"/>
      <c r="BG2474" s="117"/>
    </row>
    <row r="2475" spans="1:59">
      <c r="A2475" s="117"/>
      <c r="B2475" s="117"/>
      <c r="C2475" s="117"/>
      <c r="D2475" s="117"/>
      <c r="E2475" s="117"/>
      <c r="F2475" s="117"/>
      <c r="G2475" s="117"/>
      <c r="H2475" s="117"/>
      <c r="I2475" s="117"/>
      <c r="J2475" s="118"/>
      <c r="K2475" s="118"/>
      <c r="L2475" s="118"/>
      <c r="M2475" s="118"/>
      <c r="N2475" s="117"/>
      <c r="O2475" s="117"/>
      <c r="P2475" s="117"/>
      <c r="Q2475" s="117"/>
      <c r="R2475" s="117"/>
      <c r="S2475" s="117"/>
      <c r="T2475" s="117"/>
      <c r="U2475" s="117"/>
      <c r="V2475" s="117"/>
      <c r="W2475" s="117"/>
      <c r="X2475" s="117"/>
      <c r="Y2475" s="117"/>
      <c r="Z2475" s="117"/>
      <c r="AA2475" s="117"/>
      <c r="AB2475" s="117"/>
      <c r="AC2475" s="117"/>
      <c r="AD2475" s="117"/>
      <c r="AE2475" s="117"/>
      <c r="AF2475" s="117"/>
      <c r="AG2475" s="117"/>
      <c r="AH2475" s="117"/>
      <c r="AI2475" s="117"/>
      <c r="AJ2475" s="117"/>
      <c r="AK2475" s="117"/>
      <c r="AL2475" s="117"/>
      <c r="AM2475" s="117"/>
      <c r="AN2475" s="117"/>
      <c r="AO2475" s="117"/>
      <c r="AP2475" s="117"/>
      <c r="AQ2475" s="117"/>
      <c r="AR2475" s="117"/>
      <c r="AS2475" s="117"/>
      <c r="AT2475" s="117"/>
      <c r="AU2475" s="117"/>
      <c r="AV2475" s="117"/>
      <c r="AW2475" s="117"/>
      <c r="AX2475" s="117"/>
      <c r="AY2475" s="117"/>
      <c r="AZ2475" s="117"/>
      <c r="BA2475" s="117"/>
      <c r="BB2475" s="117"/>
      <c r="BC2475" s="117"/>
      <c r="BD2475" s="117"/>
      <c r="BE2475" s="117"/>
      <c r="BF2475" s="117"/>
      <c r="BG2475" s="117"/>
    </row>
    <row r="2476" spans="1:59">
      <c r="A2476" s="117"/>
      <c r="B2476" s="117"/>
      <c r="C2476" s="117"/>
      <c r="D2476" s="117"/>
      <c r="E2476" s="117"/>
      <c r="F2476" s="117"/>
      <c r="G2476" s="117"/>
      <c r="H2476" s="117"/>
      <c r="I2476" s="117"/>
      <c r="J2476" s="118"/>
      <c r="K2476" s="118"/>
      <c r="L2476" s="118"/>
      <c r="M2476" s="118"/>
      <c r="N2476" s="117"/>
      <c r="O2476" s="117"/>
      <c r="P2476" s="117"/>
      <c r="Q2476" s="117"/>
      <c r="R2476" s="117"/>
      <c r="S2476" s="117"/>
      <c r="T2476" s="117"/>
      <c r="U2476" s="117"/>
      <c r="V2476" s="117"/>
      <c r="W2476" s="117"/>
      <c r="X2476" s="117"/>
      <c r="Y2476" s="117"/>
      <c r="Z2476" s="117"/>
      <c r="AA2476" s="117"/>
      <c r="AB2476" s="117"/>
      <c r="AC2476" s="117"/>
      <c r="AD2476" s="117"/>
      <c r="AE2476" s="117"/>
      <c r="AF2476" s="117"/>
      <c r="AG2476" s="117"/>
      <c r="AH2476" s="117"/>
      <c r="AI2476" s="117"/>
      <c r="AJ2476" s="117"/>
      <c r="AK2476" s="117"/>
      <c r="AL2476" s="117"/>
      <c r="AM2476" s="117"/>
      <c r="AN2476" s="117"/>
      <c r="AO2476" s="117"/>
      <c r="AP2476" s="117"/>
      <c r="AQ2476" s="117"/>
      <c r="AR2476" s="117"/>
      <c r="AS2476" s="117"/>
      <c r="AT2476" s="117"/>
      <c r="AU2476" s="117"/>
      <c r="AV2476" s="117"/>
      <c r="AW2476" s="117"/>
      <c r="AX2476" s="117"/>
      <c r="AY2476" s="117"/>
      <c r="AZ2476" s="117"/>
      <c r="BA2476" s="117"/>
      <c r="BB2476" s="117"/>
      <c r="BC2476" s="117"/>
      <c r="BD2476" s="117"/>
      <c r="BE2476" s="117"/>
      <c r="BF2476" s="117"/>
      <c r="BG2476" s="117"/>
    </row>
    <row r="2477" spans="1:59">
      <c r="A2477" s="117"/>
      <c r="B2477" s="117"/>
      <c r="C2477" s="117"/>
      <c r="D2477" s="117"/>
      <c r="E2477" s="117"/>
      <c r="F2477" s="117"/>
      <c r="G2477" s="117"/>
      <c r="H2477" s="117"/>
      <c r="I2477" s="117"/>
      <c r="J2477" s="118"/>
      <c r="K2477" s="118"/>
      <c r="L2477" s="118"/>
      <c r="M2477" s="118"/>
      <c r="N2477" s="117"/>
      <c r="O2477" s="117"/>
      <c r="P2477" s="117"/>
      <c r="Q2477" s="117"/>
      <c r="R2477" s="117"/>
      <c r="S2477" s="117"/>
      <c r="T2477" s="117"/>
      <c r="U2477" s="117"/>
      <c r="V2477" s="117"/>
      <c r="W2477" s="117"/>
      <c r="X2477" s="117"/>
      <c r="Y2477" s="117"/>
      <c r="Z2477" s="117"/>
      <c r="AA2477" s="117"/>
      <c r="AB2477" s="117"/>
      <c r="AC2477" s="117"/>
      <c r="AD2477" s="117"/>
      <c r="AE2477" s="117"/>
      <c r="AF2477" s="117"/>
      <c r="AG2477" s="117"/>
      <c r="AH2477" s="117"/>
      <c r="AI2477" s="117"/>
      <c r="AJ2477" s="117"/>
      <c r="AK2477" s="117"/>
      <c r="AL2477" s="117"/>
      <c r="AM2477" s="117"/>
      <c r="AN2477" s="117"/>
      <c r="AO2477" s="117"/>
      <c r="AP2477" s="117"/>
      <c r="AQ2477" s="117"/>
      <c r="AR2477" s="117"/>
      <c r="AS2477" s="117"/>
      <c r="AT2477" s="117"/>
      <c r="AU2477" s="117"/>
      <c r="AV2477" s="117"/>
      <c r="AW2477" s="117"/>
      <c r="AX2477" s="117"/>
      <c r="AY2477" s="117"/>
      <c r="AZ2477" s="117"/>
      <c r="BA2477" s="117"/>
      <c r="BB2477" s="117"/>
      <c r="BC2477" s="117"/>
      <c r="BD2477" s="117"/>
      <c r="BE2477" s="117"/>
      <c r="BF2477" s="117"/>
      <c r="BG2477" s="117"/>
    </row>
    <row r="2478" spans="1:59">
      <c r="A2478" s="117"/>
      <c r="B2478" s="117"/>
      <c r="C2478" s="117"/>
      <c r="D2478" s="117"/>
      <c r="E2478" s="117"/>
      <c r="F2478" s="117"/>
      <c r="G2478" s="117"/>
      <c r="H2478" s="117"/>
      <c r="I2478" s="117"/>
      <c r="J2478" s="118"/>
      <c r="K2478" s="118"/>
      <c r="L2478" s="118"/>
      <c r="M2478" s="118"/>
      <c r="N2478" s="117"/>
      <c r="O2478" s="117"/>
      <c r="P2478" s="117"/>
      <c r="Q2478" s="117"/>
      <c r="R2478" s="117"/>
      <c r="S2478" s="117"/>
      <c r="T2478" s="117"/>
      <c r="U2478" s="117"/>
      <c r="V2478" s="117"/>
      <c r="W2478" s="117"/>
      <c r="X2478" s="117"/>
      <c r="Y2478" s="117"/>
      <c r="Z2478" s="117"/>
      <c r="AA2478" s="117"/>
      <c r="AB2478" s="117"/>
      <c r="AC2478" s="117"/>
      <c r="AD2478" s="117"/>
      <c r="AE2478" s="117"/>
      <c r="AF2478" s="117"/>
      <c r="AG2478" s="117"/>
      <c r="AH2478" s="117"/>
      <c r="AI2478" s="117"/>
      <c r="AJ2478" s="117"/>
      <c r="AK2478" s="117"/>
      <c r="AL2478" s="117"/>
      <c r="AM2478" s="117"/>
      <c r="AN2478" s="117"/>
      <c r="AO2478" s="117"/>
      <c r="AP2478" s="117"/>
      <c r="AQ2478" s="117"/>
      <c r="AR2478" s="117"/>
      <c r="AS2478" s="117"/>
      <c r="AT2478" s="117"/>
      <c r="AU2478" s="117"/>
      <c r="AV2478" s="117"/>
      <c r="AW2478" s="117"/>
      <c r="AX2478" s="117"/>
      <c r="AY2478" s="117"/>
      <c r="AZ2478" s="117"/>
      <c r="BA2478" s="117"/>
      <c r="BB2478" s="117"/>
      <c r="BC2478" s="117"/>
      <c r="BD2478" s="117"/>
      <c r="BE2478" s="117"/>
      <c r="BF2478" s="117"/>
      <c r="BG2478" s="117"/>
    </row>
    <row r="2479" spans="1:59">
      <c r="A2479" s="117"/>
      <c r="B2479" s="117"/>
      <c r="C2479" s="117"/>
      <c r="D2479" s="117"/>
      <c r="E2479" s="117"/>
      <c r="F2479" s="117"/>
      <c r="G2479" s="117"/>
      <c r="H2479" s="117"/>
      <c r="I2479" s="117"/>
      <c r="J2479" s="118"/>
      <c r="K2479" s="118"/>
      <c r="L2479" s="118"/>
      <c r="M2479" s="118"/>
      <c r="N2479" s="117"/>
      <c r="O2479" s="117"/>
      <c r="P2479" s="117"/>
      <c r="Q2479" s="117"/>
      <c r="R2479" s="117"/>
      <c r="S2479" s="117"/>
      <c r="T2479" s="117"/>
      <c r="U2479" s="117"/>
      <c r="V2479" s="117"/>
      <c r="W2479" s="117"/>
      <c r="X2479" s="117"/>
      <c r="Y2479" s="117"/>
      <c r="Z2479" s="117"/>
      <c r="AA2479" s="117"/>
      <c r="AB2479" s="117"/>
      <c r="AC2479" s="117"/>
      <c r="AD2479" s="117"/>
      <c r="AE2479" s="117"/>
      <c r="AF2479" s="117"/>
      <c r="AG2479" s="117"/>
      <c r="AH2479" s="117"/>
      <c r="AI2479" s="117"/>
      <c r="AJ2479" s="117"/>
      <c r="AK2479" s="117"/>
      <c r="AL2479" s="117"/>
      <c r="AM2479" s="117"/>
      <c r="AN2479" s="117"/>
      <c r="AO2479" s="117"/>
      <c r="AP2479" s="117"/>
      <c r="AQ2479" s="117"/>
      <c r="AR2479" s="117"/>
      <c r="AS2479" s="117"/>
      <c r="AT2479" s="117"/>
      <c r="AU2479" s="117"/>
      <c r="AV2479" s="117"/>
      <c r="AW2479" s="117"/>
      <c r="AX2479" s="117"/>
      <c r="AY2479" s="117"/>
      <c r="AZ2479" s="117"/>
      <c r="BA2479" s="117"/>
      <c r="BB2479" s="117"/>
      <c r="BC2479" s="117"/>
      <c r="BD2479" s="117"/>
      <c r="BE2479" s="117"/>
      <c r="BF2479" s="117"/>
      <c r="BG2479" s="117"/>
    </row>
    <row r="2480" spans="1:59">
      <c r="A2480" s="117"/>
      <c r="B2480" s="117"/>
      <c r="C2480" s="117"/>
      <c r="D2480" s="117"/>
      <c r="E2480" s="117"/>
      <c r="F2480" s="117"/>
      <c r="G2480" s="117"/>
      <c r="H2480" s="117"/>
      <c r="I2480" s="117"/>
      <c r="J2480" s="118"/>
      <c r="K2480" s="118"/>
      <c r="L2480" s="118"/>
      <c r="M2480" s="118"/>
      <c r="N2480" s="117"/>
      <c r="O2480" s="117"/>
      <c r="P2480" s="117"/>
      <c r="Q2480" s="117"/>
      <c r="R2480" s="117"/>
      <c r="S2480" s="117"/>
      <c r="T2480" s="117"/>
      <c r="U2480" s="117"/>
      <c r="V2480" s="117"/>
      <c r="W2480" s="117"/>
      <c r="X2480" s="117"/>
      <c r="Y2480" s="117"/>
      <c r="Z2480" s="117"/>
      <c r="AA2480" s="117"/>
      <c r="AB2480" s="117"/>
      <c r="AC2480" s="117"/>
      <c r="AD2480" s="117"/>
      <c r="AE2480" s="117"/>
      <c r="AF2480" s="117"/>
      <c r="AG2480" s="117"/>
      <c r="AH2480" s="117"/>
      <c r="AI2480" s="117"/>
      <c r="AJ2480" s="117"/>
      <c r="AK2480" s="117"/>
      <c r="AL2480" s="117"/>
      <c r="AM2480" s="117"/>
      <c r="AN2480" s="117"/>
      <c r="AO2480" s="117"/>
      <c r="AP2480" s="117"/>
      <c r="AQ2480" s="117"/>
      <c r="AR2480" s="117"/>
      <c r="AS2480" s="117"/>
      <c r="AT2480" s="117"/>
      <c r="AU2480" s="117"/>
      <c r="AV2480" s="117"/>
      <c r="AW2480" s="117"/>
      <c r="AX2480" s="117"/>
      <c r="AY2480" s="117"/>
      <c r="AZ2480" s="117"/>
      <c r="BA2480" s="117"/>
      <c r="BB2480" s="117"/>
      <c r="BC2480" s="117"/>
      <c r="BD2480" s="117"/>
      <c r="BE2480" s="117"/>
      <c r="BF2480" s="117"/>
      <c r="BG2480" s="117"/>
    </row>
    <row r="2481" spans="1:59">
      <c r="A2481" s="117"/>
      <c r="B2481" s="117"/>
      <c r="C2481" s="117"/>
      <c r="D2481" s="117"/>
      <c r="E2481" s="117"/>
      <c r="F2481" s="117"/>
      <c r="G2481" s="117"/>
      <c r="H2481" s="117"/>
      <c r="I2481" s="117"/>
      <c r="J2481" s="118"/>
      <c r="K2481" s="118"/>
      <c r="L2481" s="118"/>
      <c r="M2481" s="118"/>
      <c r="N2481" s="117"/>
      <c r="O2481" s="117"/>
      <c r="P2481" s="117"/>
      <c r="Q2481" s="117"/>
      <c r="R2481" s="117"/>
      <c r="S2481" s="117"/>
      <c r="T2481" s="117"/>
      <c r="U2481" s="117"/>
      <c r="V2481" s="117"/>
      <c r="W2481" s="117"/>
      <c r="X2481" s="117"/>
      <c r="Y2481" s="117"/>
      <c r="Z2481" s="117"/>
      <c r="AA2481" s="117"/>
      <c r="AB2481" s="117"/>
      <c r="AC2481" s="117"/>
      <c r="AD2481" s="117"/>
      <c r="AE2481" s="117"/>
      <c r="AF2481" s="117"/>
      <c r="AG2481" s="117"/>
      <c r="AH2481" s="117"/>
      <c r="AI2481" s="117"/>
      <c r="AJ2481" s="117"/>
      <c r="AK2481" s="117"/>
      <c r="AL2481" s="117"/>
      <c r="AM2481" s="117"/>
      <c r="AN2481" s="117"/>
      <c r="AO2481" s="117"/>
      <c r="AP2481" s="117"/>
      <c r="AQ2481" s="117"/>
      <c r="AR2481" s="117"/>
      <c r="AS2481" s="117"/>
      <c r="AT2481" s="117"/>
      <c r="AU2481" s="117"/>
      <c r="AV2481" s="117"/>
      <c r="AW2481" s="117"/>
      <c r="AX2481" s="117"/>
      <c r="AY2481" s="117"/>
      <c r="AZ2481" s="117"/>
      <c r="BA2481" s="117"/>
      <c r="BB2481" s="117"/>
      <c r="BC2481" s="117"/>
      <c r="BD2481" s="117"/>
      <c r="BE2481" s="117"/>
      <c r="BF2481" s="117"/>
      <c r="BG2481" s="117"/>
    </row>
    <row r="2482" spans="1:59">
      <c r="A2482" s="117"/>
      <c r="B2482" s="117"/>
      <c r="C2482" s="117"/>
      <c r="D2482" s="117"/>
      <c r="E2482" s="117"/>
      <c r="F2482" s="117"/>
      <c r="G2482" s="117"/>
      <c r="H2482" s="117"/>
      <c r="I2482" s="117"/>
      <c r="J2482" s="118"/>
      <c r="K2482" s="118"/>
      <c r="L2482" s="118"/>
      <c r="M2482" s="118"/>
      <c r="N2482" s="117"/>
      <c r="O2482" s="117"/>
      <c r="P2482" s="117"/>
      <c r="Q2482" s="117"/>
      <c r="R2482" s="117"/>
      <c r="S2482" s="117"/>
      <c r="T2482" s="117"/>
      <c r="U2482" s="117"/>
      <c r="V2482" s="117"/>
      <c r="W2482" s="117"/>
      <c r="X2482" s="117"/>
      <c r="Y2482" s="117"/>
      <c r="Z2482" s="117"/>
      <c r="AA2482" s="117"/>
      <c r="AB2482" s="117"/>
      <c r="AC2482" s="117"/>
      <c r="AD2482" s="117"/>
      <c r="AE2482" s="117"/>
      <c r="AF2482" s="117"/>
      <c r="AG2482" s="117"/>
      <c r="AH2482" s="117"/>
      <c r="AI2482" s="117"/>
      <c r="AJ2482" s="117"/>
      <c r="AK2482" s="117"/>
      <c r="AL2482" s="117"/>
      <c r="AM2482" s="117"/>
      <c r="AN2482" s="117"/>
      <c r="AO2482" s="117"/>
      <c r="AP2482" s="117"/>
      <c r="AQ2482" s="117"/>
      <c r="AR2482" s="117"/>
      <c r="AS2482" s="117"/>
      <c r="AT2482" s="117"/>
      <c r="AU2482" s="117"/>
      <c r="AV2482" s="117"/>
      <c r="AW2482" s="117"/>
      <c r="AX2482" s="117"/>
      <c r="AY2482" s="117"/>
      <c r="AZ2482" s="117"/>
      <c r="BA2482" s="117"/>
      <c r="BB2482" s="117"/>
      <c r="BC2482" s="117"/>
      <c r="BD2482" s="117"/>
      <c r="BE2482" s="117"/>
      <c r="BF2482" s="117"/>
      <c r="BG2482" s="117"/>
    </row>
    <row r="2483" spans="1:59">
      <c r="A2483" s="117"/>
      <c r="B2483" s="117"/>
      <c r="C2483" s="117"/>
      <c r="D2483" s="117"/>
      <c r="E2483" s="117"/>
      <c r="F2483" s="117"/>
      <c r="G2483" s="117"/>
      <c r="H2483" s="117"/>
      <c r="I2483" s="117"/>
      <c r="J2483" s="118"/>
      <c r="K2483" s="118"/>
      <c r="L2483" s="118"/>
      <c r="M2483" s="118"/>
      <c r="N2483" s="117"/>
      <c r="O2483" s="117"/>
      <c r="P2483" s="117"/>
      <c r="Q2483" s="117"/>
      <c r="R2483" s="117"/>
      <c r="S2483" s="117"/>
      <c r="T2483" s="117"/>
      <c r="U2483" s="117"/>
      <c r="V2483" s="117"/>
      <c r="W2483" s="117"/>
      <c r="X2483" s="117"/>
      <c r="Y2483" s="117"/>
      <c r="Z2483" s="117"/>
      <c r="AA2483" s="117"/>
      <c r="AB2483" s="117"/>
      <c r="AC2483" s="117"/>
      <c r="AD2483" s="117"/>
      <c r="AE2483" s="117"/>
      <c r="AF2483" s="117"/>
      <c r="AG2483" s="117"/>
      <c r="AH2483" s="117"/>
      <c r="AI2483" s="117"/>
      <c r="AJ2483" s="117"/>
      <c r="AK2483" s="117"/>
      <c r="AL2483" s="117"/>
      <c r="AM2483" s="117"/>
      <c r="AN2483" s="117"/>
      <c r="AO2483" s="117"/>
      <c r="AP2483" s="117"/>
      <c r="AQ2483" s="117"/>
      <c r="AR2483" s="117"/>
      <c r="AS2483" s="117"/>
      <c r="AT2483" s="117"/>
      <c r="AU2483" s="117"/>
      <c r="AV2483" s="117"/>
      <c r="AW2483" s="117"/>
      <c r="AX2483" s="117"/>
      <c r="AY2483" s="117"/>
      <c r="AZ2483" s="117"/>
      <c r="BA2483" s="117"/>
      <c r="BB2483" s="117"/>
      <c r="BC2483" s="117"/>
      <c r="BD2483" s="117"/>
      <c r="BE2483" s="117"/>
      <c r="BF2483" s="117"/>
      <c r="BG2483" s="117"/>
    </row>
    <row r="2484" spans="1:59">
      <c r="A2484" s="117"/>
      <c r="B2484" s="117"/>
      <c r="C2484" s="117"/>
      <c r="D2484" s="117"/>
      <c r="E2484" s="117"/>
      <c r="F2484" s="117"/>
      <c r="G2484" s="117"/>
      <c r="H2484" s="117"/>
      <c r="I2484" s="117"/>
      <c r="J2484" s="118"/>
      <c r="K2484" s="118"/>
      <c r="L2484" s="118"/>
      <c r="M2484" s="118"/>
      <c r="N2484" s="117"/>
      <c r="O2484" s="117"/>
      <c r="P2484" s="117"/>
      <c r="Q2484" s="117"/>
      <c r="R2484" s="117"/>
      <c r="S2484" s="117"/>
      <c r="T2484" s="117"/>
      <c r="U2484" s="117"/>
      <c r="V2484" s="117"/>
      <c r="W2484" s="117"/>
      <c r="X2484" s="117"/>
      <c r="Y2484" s="117"/>
      <c r="Z2484" s="117"/>
      <c r="AA2484" s="117"/>
      <c r="AB2484" s="117"/>
      <c r="AC2484" s="117"/>
      <c r="AD2484" s="117"/>
      <c r="AE2484" s="117"/>
      <c r="AF2484" s="117"/>
      <c r="AG2484" s="117"/>
      <c r="AH2484" s="117"/>
      <c r="AI2484" s="117"/>
      <c r="AJ2484" s="117"/>
      <c r="AK2484" s="117"/>
      <c r="AL2484" s="117"/>
      <c r="AM2484" s="117"/>
      <c r="AN2484" s="117"/>
      <c r="AO2484" s="117"/>
      <c r="AP2484" s="117"/>
      <c r="AQ2484" s="117"/>
      <c r="AR2484" s="117"/>
      <c r="AS2484" s="117"/>
      <c r="AT2484" s="117"/>
      <c r="AU2484" s="117"/>
      <c r="AV2484" s="117"/>
      <c r="AW2484" s="117"/>
      <c r="AX2484" s="117"/>
      <c r="AY2484" s="117"/>
      <c r="AZ2484" s="117"/>
      <c r="BA2484" s="117"/>
      <c r="BB2484" s="117"/>
      <c r="BC2484" s="117"/>
      <c r="BD2484" s="117"/>
      <c r="BE2484" s="117"/>
      <c r="BF2484" s="117"/>
      <c r="BG2484" s="117"/>
    </row>
    <row r="2485" spans="1:59">
      <c r="A2485" s="117"/>
      <c r="B2485" s="117"/>
      <c r="C2485" s="117"/>
      <c r="D2485" s="117"/>
      <c r="E2485" s="117"/>
      <c r="F2485" s="117"/>
      <c r="G2485" s="117"/>
      <c r="H2485" s="117"/>
      <c r="I2485" s="117"/>
      <c r="J2485" s="118"/>
      <c r="K2485" s="118"/>
      <c r="L2485" s="118"/>
      <c r="M2485" s="118"/>
      <c r="N2485" s="117"/>
      <c r="O2485" s="117"/>
      <c r="P2485" s="117"/>
      <c r="Q2485" s="117"/>
      <c r="R2485" s="117"/>
      <c r="S2485" s="117"/>
      <c r="T2485" s="117"/>
      <c r="U2485" s="117"/>
      <c r="V2485" s="117"/>
      <c r="W2485" s="117"/>
      <c r="X2485" s="117"/>
      <c r="Y2485" s="117"/>
      <c r="Z2485" s="117"/>
      <c r="AA2485" s="117"/>
      <c r="AB2485" s="117"/>
      <c r="AC2485" s="117"/>
      <c r="AD2485" s="117"/>
      <c r="AE2485" s="117"/>
      <c r="AF2485" s="117"/>
      <c r="AG2485" s="117"/>
      <c r="AH2485" s="117"/>
      <c r="AI2485" s="117"/>
      <c r="AJ2485" s="117"/>
      <c r="AK2485" s="117"/>
      <c r="AL2485" s="117"/>
      <c r="AM2485" s="117"/>
      <c r="AN2485" s="117"/>
      <c r="AO2485" s="117"/>
      <c r="AP2485" s="117"/>
      <c r="AQ2485" s="117"/>
      <c r="AR2485" s="117"/>
      <c r="AS2485" s="117"/>
      <c r="AT2485" s="117"/>
      <c r="AU2485" s="117"/>
      <c r="AV2485" s="117"/>
      <c r="AW2485" s="117"/>
      <c r="AX2485" s="117"/>
      <c r="AY2485" s="117"/>
      <c r="AZ2485" s="117"/>
      <c r="BA2485" s="117"/>
      <c r="BB2485" s="117"/>
      <c r="BC2485" s="117"/>
      <c r="BD2485" s="117"/>
      <c r="BE2485" s="117"/>
      <c r="BF2485" s="117"/>
      <c r="BG2485" s="117"/>
    </row>
    <row r="2486" spans="1:59">
      <c r="A2486" s="117"/>
      <c r="B2486" s="117"/>
      <c r="C2486" s="117"/>
      <c r="D2486" s="117"/>
      <c r="E2486" s="117"/>
      <c r="F2486" s="117"/>
      <c r="G2486" s="117"/>
      <c r="H2486" s="117"/>
      <c r="I2486" s="117"/>
      <c r="J2486" s="118"/>
      <c r="K2486" s="118"/>
      <c r="L2486" s="118"/>
      <c r="M2486" s="118"/>
      <c r="N2486" s="117"/>
      <c r="O2486" s="117"/>
      <c r="P2486" s="117"/>
      <c r="Q2486" s="117"/>
      <c r="R2486" s="117"/>
      <c r="S2486" s="117"/>
      <c r="T2486" s="117"/>
      <c r="U2486" s="117"/>
      <c r="V2486" s="117"/>
      <c r="W2486" s="117"/>
      <c r="X2486" s="117"/>
      <c r="Y2486" s="117"/>
      <c r="Z2486" s="117"/>
      <c r="AA2486" s="117"/>
      <c r="AB2486" s="117"/>
      <c r="AC2486" s="117"/>
      <c r="AD2486" s="117"/>
      <c r="AE2486" s="117"/>
      <c r="AF2486" s="117"/>
      <c r="AG2486" s="117"/>
      <c r="AH2486" s="117"/>
      <c r="AI2486" s="117"/>
      <c r="AJ2486" s="117"/>
      <c r="AK2486" s="117"/>
      <c r="AL2486" s="117"/>
      <c r="AM2486" s="117"/>
      <c r="AN2486" s="117"/>
      <c r="AO2486" s="117"/>
      <c r="AP2486" s="117"/>
      <c r="AQ2486" s="117"/>
      <c r="AR2486" s="117"/>
      <c r="AS2486" s="117"/>
      <c r="AT2486" s="117"/>
      <c r="AU2486" s="117"/>
      <c r="AV2486" s="117"/>
      <c r="AW2486" s="117"/>
      <c r="AX2486" s="117"/>
      <c r="AY2486" s="117"/>
      <c r="AZ2486" s="117"/>
      <c r="BA2486" s="117"/>
      <c r="BB2486" s="117"/>
      <c r="BC2486" s="117"/>
      <c r="BD2486" s="117"/>
      <c r="BE2486" s="117"/>
      <c r="BF2486" s="117"/>
      <c r="BG2486" s="117"/>
    </row>
    <row r="2487" spans="1:59">
      <c r="A2487" s="117"/>
      <c r="B2487" s="117"/>
      <c r="C2487" s="117"/>
      <c r="D2487" s="117"/>
      <c r="E2487" s="117"/>
      <c r="F2487" s="117"/>
      <c r="G2487" s="117"/>
      <c r="H2487" s="117"/>
      <c r="I2487" s="117"/>
      <c r="J2487" s="118"/>
      <c r="K2487" s="118"/>
      <c r="L2487" s="118"/>
      <c r="M2487" s="118"/>
      <c r="N2487" s="117"/>
      <c r="O2487" s="117"/>
      <c r="P2487" s="117"/>
      <c r="Q2487" s="117"/>
      <c r="R2487" s="117"/>
      <c r="S2487" s="117"/>
      <c r="T2487" s="117"/>
      <c r="U2487" s="117"/>
      <c r="V2487" s="117"/>
      <c r="W2487" s="117"/>
      <c r="X2487" s="117"/>
      <c r="Y2487" s="117"/>
      <c r="Z2487" s="117"/>
      <c r="AA2487" s="117"/>
      <c r="AB2487" s="117"/>
      <c r="AC2487" s="117"/>
      <c r="AD2487" s="117"/>
      <c r="AE2487" s="117"/>
      <c r="AF2487" s="117"/>
      <c r="AG2487" s="117"/>
      <c r="AH2487" s="117"/>
      <c r="AI2487" s="117"/>
      <c r="AJ2487" s="117"/>
      <c r="AK2487" s="117"/>
      <c r="AL2487" s="117"/>
      <c r="AM2487" s="117"/>
      <c r="AN2487" s="117"/>
      <c r="AO2487" s="117"/>
      <c r="AP2487" s="117"/>
      <c r="AQ2487" s="117"/>
      <c r="AR2487" s="117"/>
      <c r="AS2487" s="117"/>
      <c r="AT2487" s="117"/>
      <c r="AU2487" s="117"/>
      <c r="AV2487" s="117"/>
      <c r="AW2487" s="117"/>
      <c r="AX2487" s="117"/>
      <c r="AY2487" s="117"/>
      <c r="AZ2487" s="117"/>
      <c r="BA2487" s="117"/>
      <c r="BB2487" s="117"/>
      <c r="BC2487" s="117"/>
      <c r="BD2487" s="117"/>
      <c r="BE2487" s="117"/>
      <c r="BF2487" s="117"/>
      <c r="BG2487" s="117"/>
    </row>
    <row r="2488" spans="1:59">
      <c r="A2488" s="117"/>
      <c r="B2488" s="117"/>
      <c r="C2488" s="117"/>
      <c r="D2488" s="117"/>
      <c r="E2488" s="117"/>
      <c r="F2488" s="117"/>
      <c r="G2488" s="117"/>
      <c r="H2488" s="117"/>
      <c r="I2488" s="117"/>
      <c r="J2488" s="118"/>
      <c r="K2488" s="118"/>
      <c r="L2488" s="118"/>
      <c r="M2488" s="118"/>
      <c r="N2488" s="117"/>
      <c r="O2488" s="117"/>
      <c r="P2488" s="117"/>
      <c r="Q2488" s="117"/>
      <c r="R2488" s="117"/>
      <c r="S2488" s="117"/>
      <c r="T2488" s="117"/>
      <c r="U2488" s="117"/>
      <c r="V2488" s="117"/>
      <c r="W2488" s="117"/>
      <c r="X2488" s="117"/>
      <c r="Y2488" s="117"/>
      <c r="Z2488" s="117"/>
      <c r="AA2488" s="117"/>
      <c r="AB2488" s="117"/>
      <c r="AC2488" s="117"/>
      <c r="AD2488" s="117"/>
      <c r="AE2488" s="117"/>
      <c r="AF2488" s="117"/>
      <c r="AG2488" s="117"/>
      <c r="AH2488" s="117"/>
      <c r="AI2488" s="117"/>
      <c r="AJ2488" s="117"/>
      <c r="AK2488" s="117"/>
      <c r="AL2488" s="117"/>
      <c r="AM2488" s="117"/>
      <c r="AN2488" s="117"/>
      <c r="AO2488" s="117"/>
      <c r="AP2488" s="117"/>
      <c r="AQ2488" s="117"/>
      <c r="AR2488" s="117"/>
      <c r="AS2488" s="117"/>
      <c r="AT2488" s="117"/>
      <c r="AU2488" s="117"/>
      <c r="AV2488" s="117"/>
      <c r="AW2488" s="117"/>
      <c r="AX2488" s="117"/>
      <c r="AY2488" s="117"/>
      <c r="AZ2488" s="117"/>
      <c r="BA2488" s="117"/>
      <c r="BB2488" s="117"/>
      <c r="BC2488" s="117"/>
      <c r="BD2488" s="117"/>
      <c r="BE2488" s="117"/>
      <c r="BF2488" s="117"/>
      <c r="BG2488" s="117"/>
    </row>
    <row r="2489" spans="1:59">
      <c r="A2489" s="117"/>
      <c r="B2489" s="117"/>
      <c r="C2489" s="117"/>
      <c r="D2489" s="117"/>
      <c r="E2489" s="117"/>
      <c r="F2489" s="117"/>
      <c r="G2489" s="117"/>
      <c r="H2489" s="117"/>
      <c r="I2489" s="117"/>
      <c r="J2489" s="118"/>
      <c r="K2489" s="118"/>
      <c r="L2489" s="118"/>
      <c r="M2489" s="118"/>
      <c r="N2489" s="117"/>
      <c r="O2489" s="117"/>
      <c r="P2489" s="117"/>
      <c r="Q2489" s="117"/>
      <c r="R2489" s="117"/>
      <c r="S2489" s="117"/>
      <c r="T2489" s="117"/>
      <c r="U2489" s="117"/>
      <c r="V2489" s="117"/>
      <c r="W2489" s="117"/>
      <c r="X2489" s="117"/>
      <c r="Y2489" s="117"/>
      <c r="Z2489" s="117"/>
      <c r="AA2489" s="117"/>
      <c r="AB2489" s="117"/>
      <c r="AC2489" s="117"/>
      <c r="AD2489" s="117"/>
      <c r="AE2489" s="117"/>
      <c r="AF2489" s="117"/>
      <c r="AG2489" s="117"/>
      <c r="AH2489" s="117"/>
      <c r="AI2489" s="117"/>
      <c r="AJ2489" s="117"/>
      <c r="AK2489" s="117"/>
      <c r="AL2489" s="117"/>
      <c r="AM2489" s="117"/>
      <c r="AN2489" s="117"/>
      <c r="AO2489" s="117"/>
      <c r="AP2489" s="117"/>
      <c r="AQ2489" s="117"/>
      <c r="AR2489" s="117"/>
      <c r="AS2489" s="117"/>
      <c r="AT2489" s="117"/>
      <c r="AU2489" s="117"/>
      <c r="AV2489" s="117"/>
      <c r="AW2489" s="117"/>
      <c r="AX2489" s="117"/>
      <c r="AY2489" s="117"/>
      <c r="AZ2489" s="117"/>
      <c r="BA2489" s="117"/>
      <c r="BB2489" s="117"/>
      <c r="BC2489" s="117"/>
      <c r="BD2489" s="117"/>
      <c r="BE2489" s="117"/>
      <c r="BF2489" s="117"/>
      <c r="BG2489" s="117"/>
    </row>
    <row r="2490" spans="1:59">
      <c r="A2490" s="117"/>
      <c r="B2490" s="117"/>
      <c r="C2490" s="117"/>
      <c r="D2490" s="117"/>
      <c r="E2490" s="117"/>
      <c r="F2490" s="117"/>
      <c r="G2490" s="117"/>
      <c r="H2490" s="117"/>
      <c r="I2490" s="117"/>
      <c r="J2490" s="118"/>
      <c r="K2490" s="118"/>
      <c r="L2490" s="118"/>
      <c r="M2490" s="118"/>
      <c r="N2490" s="117"/>
      <c r="O2490" s="117"/>
      <c r="P2490" s="117"/>
      <c r="Q2490" s="117"/>
      <c r="R2490" s="117"/>
      <c r="S2490" s="117"/>
      <c r="T2490" s="117"/>
      <c r="U2490" s="117"/>
      <c r="V2490" s="117"/>
      <c r="W2490" s="117"/>
      <c r="X2490" s="117"/>
      <c r="Y2490" s="117"/>
      <c r="Z2490" s="117"/>
      <c r="AA2490" s="117"/>
      <c r="AB2490" s="117"/>
      <c r="AC2490" s="117"/>
      <c r="AD2490" s="117"/>
      <c r="AE2490" s="117"/>
      <c r="AF2490" s="117"/>
      <c r="AG2490" s="117"/>
      <c r="AH2490" s="117"/>
      <c r="AI2490" s="117"/>
      <c r="AJ2490" s="117"/>
      <c r="AK2490" s="117"/>
      <c r="AL2490" s="117"/>
      <c r="AM2490" s="117"/>
      <c r="AN2490" s="117"/>
      <c r="AO2490" s="117"/>
      <c r="AP2490" s="117"/>
      <c r="AQ2490" s="117"/>
      <c r="AR2490" s="117"/>
      <c r="AS2490" s="117"/>
      <c r="AT2490" s="117"/>
      <c r="AU2490" s="117"/>
      <c r="AV2490" s="117"/>
      <c r="AW2490" s="117"/>
      <c r="AX2490" s="117"/>
      <c r="AY2490" s="117"/>
      <c r="AZ2490" s="117"/>
      <c r="BA2490" s="117"/>
      <c r="BB2490" s="117"/>
      <c r="BC2490" s="117"/>
      <c r="BD2490" s="117"/>
      <c r="BE2490" s="117"/>
      <c r="BF2490" s="117"/>
      <c r="BG2490" s="117"/>
    </row>
    <row r="2491" spans="1:59">
      <c r="A2491" s="117"/>
      <c r="B2491" s="117"/>
      <c r="C2491" s="117"/>
      <c r="D2491" s="117"/>
      <c r="E2491" s="117"/>
      <c r="F2491" s="117"/>
      <c r="G2491" s="117"/>
      <c r="H2491" s="117"/>
      <c r="I2491" s="117"/>
      <c r="J2491" s="118"/>
      <c r="K2491" s="118"/>
      <c r="L2491" s="118"/>
      <c r="M2491" s="118"/>
      <c r="N2491" s="117"/>
      <c r="O2491" s="117"/>
      <c r="P2491" s="117"/>
      <c r="Q2491" s="117"/>
      <c r="R2491" s="117"/>
      <c r="S2491" s="117"/>
      <c r="T2491" s="117"/>
      <c r="U2491" s="117"/>
      <c r="V2491" s="117"/>
      <c r="W2491" s="117"/>
      <c r="X2491" s="117"/>
      <c r="Y2491" s="117"/>
      <c r="Z2491" s="117"/>
      <c r="AA2491" s="117"/>
      <c r="AB2491" s="117"/>
      <c r="AC2491" s="117"/>
      <c r="AD2491" s="117"/>
      <c r="AE2491" s="117"/>
      <c r="AF2491" s="117"/>
      <c r="AG2491" s="117"/>
      <c r="AH2491" s="117"/>
      <c r="AI2491" s="117"/>
      <c r="AJ2491" s="117"/>
      <c r="AK2491" s="117"/>
      <c r="AL2491" s="117"/>
      <c r="AM2491" s="117"/>
      <c r="AN2491" s="117"/>
      <c r="AO2491" s="117"/>
      <c r="AP2491" s="117"/>
      <c r="AQ2491" s="117"/>
      <c r="AR2491" s="117"/>
      <c r="AS2491" s="117"/>
      <c r="AT2491" s="117"/>
      <c r="AU2491" s="117"/>
      <c r="AV2491" s="117"/>
      <c r="AW2491" s="117"/>
      <c r="AX2491" s="117"/>
      <c r="AY2491" s="117"/>
      <c r="AZ2491" s="117"/>
      <c r="BA2491" s="117"/>
      <c r="BB2491" s="117"/>
      <c r="BC2491" s="117"/>
      <c r="BD2491" s="117"/>
      <c r="BE2491" s="117"/>
      <c r="BF2491" s="117"/>
      <c r="BG2491" s="117"/>
    </row>
    <row r="2492" spans="1:59">
      <c r="A2492" s="117"/>
      <c r="B2492" s="117"/>
      <c r="C2492" s="117"/>
      <c r="D2492" s="117"/>
      <c r="E2492" s="117"/>
      <c r="F2492" s="117"/>
      <c r="G2492" s="117"/>
      <c r="H2492" s="117"/>
      <c r="I2492" s="117"/>
      <c r="J2492" s="118"/>
      <c r="K2492" s="118"/>
      <c r="L2492" s="118"/>
      <c r="M2492" s="118"/>
      <c r="N2492" s="117"/>
      <c r="O2492" s="117"/>
      <c r="P2492" s="117"/>
      <c r="Q2492" s="117"/>
      <c r="R2492" s="117"/>
      <c r="S2492" s="117"/>
      <c r="T2492" s="117"/>
      <c r="U2492" s="117"/>
      <c r="V2492" s="117"/>
      <c r="W2492" s="117"/>
      <c r="X2492" s="117"/>
      <c r="Y2492" s="117"/>
      <c r="Z2492" s="117"/>
      <c r="AA2492" s="117"/>
      <c r="AB2492" s="117"/>
      <c r="AC2492" s="117"/>
      <c r="AD2492" s="117"/>
      <c r="AE2492" s="117"/>
      <c r="AF2492" s="117"/>
      <c r="AG2492" s="117"/>
      <c r="AH2492" s="117"/>
      <c r="AI2492" s="117"/>
      <c r="AJ2492" s="117"/>
      <c r="AK2492" s="117"/>
      <c r="AL2492" s="117"/>
      <c r="AM2492" s="117"/>
      <c r="AN2492" s="117"/>
      <c r="AO2492" s="117"/>
      <c r="AP2492" s="117"/>
      <c r="AQ2492" s="117"/>
      <c r="AR2492" s="117"/>
      <c r="AS2492" s="117"/>
      <c r="AT2492" s="117"/>
      <c r="AU2492" s="117"/>
      <c r="AV2492" s="117"/>
      <c r="AW2492" s="117"/>
      <c r="AX2492" s="117"/>
      <c r="AY2492" s="117"/>
      <c r="AZ2492" s="117"/>
      <c r="BA2492" s="117"/>
      <c r="BB2492" s="117"/>
      <c r="BC2492" s="117"/>
      <c r="BD2492" s="117"/>
      <c r="BE2492" s="117"/>
      <c r="BF2492" s="117"/>
      <c r="BG2492" s="117"/>
    </row>
    <row r="2493" spans="1:59">
      <c r="A2493" s="117"/>
      <c r="B2493" s="117"/>
      <c r="C2493" s="117"/>
      <c r="D2493" s="117"/>
      <c r="E2493" s="117"/>
      <c r="F2493" s="117"/>
      <c r="G2493" s="117"/>
      <c r="H2493" s="117"/>
      <c r="I2493" s="117"/>
      <c r="J2493" s="118"/>
      <c r="K2493" s="118"/>
      <c r="L2493" s="118"/>
      <c r="M2493" s="118"/>
      <c r="N2493" s="117"/>
      <c r="O2493" s="117"/>
      <c r="P2493" s="117"/>
      <c r="Q2493" s="117"/>
      <c r="R2493" s="117"/>
      <c r="S2493" s="117"/>
      <c r="T2493" s="117"/>
      <c r="U2493" s="117"/>
      <c r="V2493" s="117"/>
      <c r="W2493" s="117"/>
      <c r="X2493" s="117"/>
      <c r="Y2493" s="117"/>
      <c r="Z2493" s="117"/>
      <c r="AA2493" s="117"/>
      <c r="AB2493" s="117"/>
      <c r="AC2493" s="117"/>
      <c r="AD2493" s="117"/>
      <c r="AE2493" s="117"/>
      <c r="AF2493" s="117"/>
      <c r="AG2493" s="117"/>
      <c r="AH2493" s="117"/>
      <c r="AI2493" s="117"/>
      <c r="AJ2493" s="117"/>
      <c r="AK2493" s="117"/>
      <c r="AL2493" s="117"/>
      <c r="AM2493" s="117"/>
      <c r="AN2493" s="117"/>
      <c r="AO2493" s="117"/>
      <c r="AP2493" s="117"/>
      <c r="AQ2493" s="117"/>
      <c r="AR2493" s="117"/>
      <c r="AS2493" s="117"/>
      <c r="AT2493" s="117"/>
      <c r="AU2493" s="117"/>
      <c r="AV2493" s="117"/>
      <c r="AW2493" s="117"/>
      <c r="AX2493" s="117"/>
      <c r="AY2493" s="117"/>
      <c r="AZ2493" s="117"/>
      <c r="BA2493" s="117"/>
      <c r="BB2493" s="117"/>
      <c r="BC2493" s="117"/>
      <c r="BD2493" s="117"/>
      <c r="BE2493" s="117"/>
      <c r="BF2493" s="117"/>
      <c r="BG2493" s="117"/>
    </row>
    <row r="2494" spans="1:59">
      <c r="A2494" s="117"/>
      <c r="B2494" s="117"/>
      <c r="C2494" s="117"/>
      <c r="D2494" s="117"/>
      <c r="E2494" s="117"/>
      <c r="F2494" s="117"/>
      <c r="G2494" s="117"/>
      <c r="H2494" s="117"/>
      <c r="I2494" s="117"/>
      <c r="J2494" s="118"/>
      <c r="K2494" s="118"/>
      <c r="L2494" s="118"/>
      <c r="M2494" s="118"/>
      <c r="N2494" s="117"/>
      <c r="O2494" s="117"/>
      <c r="P2494" s="117"/>
      <c r="Q2494" s="117"/>
      <c r="R2494" s="117"/>
      <c r="S2494" s="117"/>
      <c r="T2494" s="117"/>
      <c r="U2494" s="117"/>
      <c r="V2494" s="117"/>
      <c r="W2494" s="117"/>
      <c r="X2494" s="117"/>
      <c r="Y2494" s="117"/>
      <c r="Z2494" s="117"/>
      <c r="AA2494" s="117"/>
      <c r="AB2494" s="117"/>
      <c r="AC2494" s="117"/>
      <c r="AD2494" s="117"/>
      <c r="AE2494" s="117"/>
      <c r="AF2494" s="117"/>
      <c r="AG2494" s="117"/>
      <c r="AH2494" s="117"/>
      <c r="AI2494" s="117"/>
      <c r="AJ2494" s="117"/>
      <c r="AK2494" s="117"/>
      <c r="AL2494" s="117"/>
      <c r="AM2494" s="117"/>
      <c r="AN2494" s="117"/>
      <c r="AO2494" s="117"/>
      <c r="AP2494" s="117"/>
      <c r="AQ2494" s="117"/>
      <c r="AR2494" s="117"/>
      <c r="AS2494" s="117"/>
      <c r="AT2494" s="117"/>
      <c r="AU2494" s="117"/>
      <c r="AV2494" s="117"/>
      <c r="AW2494" s="117"/>
      <c r="AX2494" s="117"/>
      <c r="AY2494" s="117"/>
      <c r="AZ2494" s="117"/>
      <c r="BA2494" s="117"/>
      <c r="BB2494" s="117"/>
      <c r="BC2494" s="117"/>
      <c r="BD2494" s="117"/>
      <c r="BE2494" s="117"/>
      <c r="BF2494" s="117"/>
      <c r="BG2494" s="117"/>
    </row>
    <row r="2495" spans="1:59">
      <c r="A2495" s="117"/>
      <c r="B2495" s="117"/>
      <c r="C2495" s="117"/>
      <c r="D2495" s="117"/>
      <c r="E2495" s="117"/>
      <c r="F2495" s="117"/>
      <c r="G2495" s="117"/>
      <c r="H2495" s="117"/>
      <c r="I2495" s="117"/>
      <c r="J2495" s="118"/>
      <c r="K2495" s="118"/>
      <c r="L2495" s="118"/>
      <c r="M2495" s="118"/>
      <c r="N2495" s="117"/>
      <c r="O2495" s="117"/>
      <c r="P2495" s="117"/>
      <c r="Q2495" s="117"/>
      <c r="R2495" s="117"/>
      <c r="S2495" s="117"/>
      <c r="T2495" s="117"/>
      <c r="U2495" s="117"/>
      <c r="V2495" s="117"/>
      <c r="W2495" s="117"/>
      <c r="X2495" s="117"/>
      <c r="Y2495" s="117"/>
      <c r="Z2495" s="117"/>
      <c r="AA2495" s="117"/>
      <c r="AB2495" s="117"/>
      <c r="AC2495" s="117"/>
      <c r="AD2495" s="117"/>
      <c r="AE2495" s="117"/>
      <c r="AF2495" s="117"/>
      <c r="AG2495" s="117"/>
      <c r="AH2495" s="117"/>
      <c r="AI2495" s="117"/>
      <c r="AJ2495" s="117"/>
      <c r="AK2495" s="117"/>
      <c r="AL2495" s="117"/>
      <c r="AM2495" s="117"/>
      <c r="AN2495" s="117"/>
      <c r="AO2495" s="117"/>
      <c r="AP2495" s="117"/>
      <c r="AQ2495" s="117"/>
      <c r="AR2495" s="117"/>
      <c r="AS2495" s="117"/>
      <c r="AT2495" s="117"/>
      <c r="AU2495" s="117"/>
      <c r="AV2495" s="117"/>
      <c r="AW2495" s="117"/>
      <c r="AX2495" s="117"/>
      <c r="AY2495" s="117"/>
      <c r="AZ2495" s="117"/>
      <c r="BA2495" s="117"/>
      <c r="BB2495" s="117"/>
      <c r="BC2495" s="117"/>
      <c r="BD2495" s="117"/>
      <c r="BE2495" s="117"/>
      <c r="BF2495" s="117"/>
      <c r="BG2495" s="117"/>
    </row>
    <row r="2496" spans="1:59">
      <c r="A2496" s="117"/>
      <c r="B2496" s="117"/>
      <c r="C2496" s="117"/>
      <c r="D2496" s="117"/>
      <c r="E2496" s="117"/>
      <c r="F2496" s="117"/>
      <c r="G2496" s="117"/>
      <c r="H2496" s="117"/>
      <c r="I2496" s="117"/>
      <c r="J2496" s="118"/>
      <c r="K2496" s="118"/>
      <c r="L2496" s="118"/>
      <c r="M2496" s="118"/>
      <c r="N2496" s="117"/>
      <c r="O2496" s="117"/>
      <c r="P2496" s="117"/>
      <c r="Q2496" s="117"/>
      <c r="R2496" s="117"/>
      <c r="S2496" s="117"/>
      <c r="T2496" s="117"/>
      <c r="U2496" s="117"/>
      <c r="V2496" s="117"/>
      <c r="W2496" s="117"/>
      <c r="X2496" s="117"/>
      <c r="Y2496" s="117"/>
      <c r="Z2496" s="117"/>
      <c r="AA2496" s="117"/>
      <c r="AB2496" s="117"/>
      <c r="AC2496" s="117"/>
      <c r="AD2496" s="117"/>
      <c r="AE2496" s="117"/>
      <c r="AF2496" s="117"/>
      <c r="AG2496" s="117"/>
      <c r="AH2496" s="117"/>
      <c r="AI2496" s="117"/>
      <c r="AJ2496" s="117"/>
      <c r="AK2496" s="117"/>
      <c r="AL2496" s="117"/>
      <c r="AM2496" s="117"/>
      <c r="AN2496" s="117"/>
      <c r="AO2496" s="117"/>
      <c r="AP2496" s="117"/>
      <c r="AQ2496" s="117"/>
      <c r="AR2496" s="117"/>
      <c r="AS2496" s="117"/>
      <c r="AT2496" s="117"/>
      <c r="AU2496" s="117"/>
      <c r="AV2496" s="117"/>
      <c r="AW2496" s="117"/>
      <c r="AX2496" s="117"/>
      <c r="AY2496" s="117"/>
      <c r="AZ2496" s="117"/>
      <c r="BA2496" s="117"/>
      <c r="BB2496" s="117"/>
      <c r="BC2496" s="117"/>
      <c r="BD2496" s="117"/>
      <c r="BE2496" s="117"/>
      <c r="BF2496" s="117"/>
      <c r="BG2496" s="117"/>
    </row>
    <row r="2497" spans="1:59">
      <c r="A2497" s="117"/>
      <c r="B2497" s="117"/>
      <c r="C2497" s="117"/>
      <c r="D2497" s="117"/>
      <c r="E2497" s="117"/>
      <c r="F2497" s="117"/>
      <c r="G2497" s="117"/>
      <c r="H2497" s="117"/>
      <c r="I2497" s="117"/>
      <c r="J2497" s="118"/>
      <c r="K2497" s="118"/>
      <c r="L2497" s="118"/>
      <c r="M2497" s="118"/>
      <c r="N2497" s="117"/>
      <c r="O2497" s="117"/>
      <c r="P2497" s="117"/>
      <c r="Q2497" s="117"/>
      <c r="R2497" s="117"/>
      <c r="S2497" s="117"/>
      <c r="T2497" s="117"/>
      <c r="U2497" s="117"/>
      <c r="V2497" s="117"/>
      <c r="W2497" s="117"/>
      <c r="X2497" s="117"/>
      <c r="Y2497" s="117"/>
      <c r="Z2497" s="117"/>
      <c r="AA2497" s="117"/>
      <c r="AB2497" s="117"/>
      <c r="AC2497" s="117"/>
      <c r="AD2497" s="117"/>
      <c r="AE2497" s="117"/>
      <c r="AF2497" s="117"/>
      <c r="AG2497" s="117"/>
      <c r="AH2497" s="117"/>
      <c r="AI2497" s="117"/>
      <c r="AJ2497" s="117"/>
      <c r="AK2497" s="117"/>
      <c r="AL2497" s="117"/>
      <c r="AM2497" s="117"/>
      <c r="AN2497" s="117"/>
      <c r="AO2497" s="117"/>
      <c r="AP2497" s="117"/>
      <c r="AQ2497" s="117"/>
      <c r="AR2497" s="117"/>
      <c r="AS2497" s="117"/>
      <c r="AT2497" s="117"/>
      <c r="AU2497" s="117"/>
      <c r="AV2497" s="117"/>
      <c r="AW2497" s="117"/>
      <c r="AX2497" s="117"/>
      <c r="AY2497" s="117"/>
      <c r="AZ2497" s="117"/>
      <c r="BA2497" s="117"/>
      <c r="BB2497" s="117"/>
      <c r="BC2497" s="117"/>
      <c r="BD2497" s="117"/>
      <c r="BE2497" s="117"/>
      <c r="BF2497" s="117"/>
      <c r="BG2497" s="117"/>
    </row>
    <row r="2498" spans="1:59">
      <c r="A2498" s="117"/>
      <c r="B2498" s="117"/>
      <c r="C2498" s="117"/>
      <c r="D2498" s="117"/>
      <c r="E2498" s="117"/>
      <c r="F2498" s="117"/>
      <c r="G2498" s="117"/>
      <c r="H2498" s="117"/>
      <c r="I2498" s="117"/>
      <c r="J2498" s="118"/>
      <c r="K2498" s="118"/>
      <c r="L2498" s="118"/>
      <c r="M2498" s="118"/>
      <c r="N2498" s="117"/>
      <c r="O2498" s="117"/>
      <c r="P2498" s="117"/>
      <c r="Q2498" s="117"/>
      <c r="R2498" s="117"/>
      <c r="S2498" s="117"/>
      <c r="T2498" s="117"/>
      <c r="U2498" s="117"/>
      <c r="V2498" s="117"/>
      <c r="W2498" s="117"/>
      <c r="X2498" s="117"/>
      <c r="Y2498" s="117"/>
      <c r="Z2498" s="117"/>
      <c r="AA2498" s="117"/>
      <c r="AB2498" s="117"/>
      <c r="AC2498" s="117"/>
      <c r="AD2498" s="117"/>
      <c r="AE2498" s="117"/>
      <c r="AF2498" s="117"/>
      <c r="AG2498" s="117"/>
      <c r="AH2498" s="117"/>
      <c r="AI2498" s="117"/>
      <c r="AJ2498" s="117"/>
      <c r="AK2498" s="117"/>
      <c r="AL2498" s="117"/>
      <c r="AM2498" s="117"/>
      <c r="AN2498" s="117"/>
      <c r="AO2498" s="117"/>
      <c r="AP2498" s="117"/>
      <c r="AQ2498" s="117"/>
      <c r="AR2498" s="117"/>
      <c r="AS2498" s="117"/>
      <c r="AT2498" s="117"/>
      <c r="AU2498" s="117"/>
      <c r="AV2498" s="117"/>
      <c r="AW2498" s="117"/>
      <c r="AX2498" s="117"/>
      <c r="AY2498" s="117"/>
      <c r="AZ2498" s="117"/>
      <c r="BA2498" s="117"/>
      <c r="BB2498" s="117"/>
      <c r="BC2498" s="117"/>
      <c r="BD2498" s="117"/>
      <c r="BE2498" s="117"/>
      <c r="BF2498" s="117"/>
      <c r="BG2498" s="117"/>
    </row>
    <row r="2499" spans="1:59">
      <c r="A2499" s="117"/>
      <c r="B2499" s="117"/>
      <c r="C2499" s="117"/>
      <c r="D2499" s="117"/>
      <c r="E2499" s="117"/>
      <c r="F2499" s="117"/>
      <c r="G2499" s="117"/>
      <c r="H2499" s="117"/>
      <c r="I2499" s="117"/>
      <c r="J2499" s="118"/>
      <c r="K2499" s="118"/>
      <c r="L2499" s="118"/>
      <c r="M2499" s="118"/>
      <c r="N2499" s="117"/>
      <c r="O2499" s="117"/>
      <c r="P2499" s="117"/>
      <c r="Q2499" s="117"/>
      <c r="R2499" s="117"/>
      <c r="S2499" s="117"/>
      <c r="T2499" s="117"/>
      <c r="U2499" s="117"/>
      <c r="V2499" s="117"/>
      <c r="W2499" s="117"/>
      <c r="X2499" s="117"/>
      <c r="Y2499" s="117"/>
      <c r="Z2499" s="117"/>
      <c r="AA2499" s="117"/>
      <c r="AB2499" s="117"/>
      <c r="AC2499" s="117"/>
      <c r="AD2499" s="117"/>
      <c r="AE2499" s="117"/>
      <c r="AF2499" s="117"/>
      <c r="AG2499" s="117"/>
      <c r="AH2499" s="117"/>
      <c r="AI2499" s="117"/>
      <c r="AJ2499" s="117"/>
      <c r="AK2499" s="117"/>
      <c r="AL2499" s="117"/>
      <c r="AM2499" s="117"/>
      <c r="AN2499" s="117"/>
      <c r="AO2499" s="117"/>
      <c r="AP2499" s="117"/>
      <c r="AQ2499" s="117"/>
      <c r="AR2499" s="117"/>
      <c r="AS2499" s="117"/>
      <c r="AT2499" s="117"/>
      <c r="AU2499" s="117"/>
      <c r="AV2499" s="117"/>
      <c r="AW2499" s="117"/>
      <c r="AX2499" s="117"/>
      <c r="AY2499" s="117"/>
      <c r="AZ2499" s="117"/>
      <c r="BA2499" s="117"/>
      <c r="BB2499" s="117"/>
      <c r="BC2499" s="117"/>
      <c r="BD2499" s="117"/>
      <c r="BE2499" s="117"/>
      <c r="BF2499" s="117"/>
      <c r="BG2499" s="117"/>
    </row>
    <row r="2500" spans="1:59">
      <c r="A2500" s="117"/>
      <c r="B2500" s="117"/>
      <c r="C2500" s="117"/>
      <c r="D2500" s="117"/>
      <c r="E2500" s="117"/>
      <c r="F2500" s="117"/>
      <c r="G2500" s="117"/>
      <c r="H2500" s="117"/>
      <c r="I2500" s="117"/>
      <c r="J2500" s="118"/>
      <c r="K2500" s="118"/>
      <c r="L2500" s="118"/>
      <c r="M2500" s="118"/>
      <c r="N2500" s="117"/>
      <c r="O2500" s="117"/>
      <c r="P2500" s="117"/>
      <c r="Q2500" s="117"/>
      <c r="R2500" s="117"/>
      <c r="S2500" s="117"/>
      <c r="T2500" s="117"/>
      <c r="U2500" s="117"/>
      <c r="V2500" s="117"/>
      <c r="W2500" s="117"/>
      <c r="X2500" s="117"/>
      <c r="Y2500" s="117"/>
      <c r="Z2500" s="117"/>
      <c r="AA2500" s="117"/>
      <c r="AB2500" s="117"/>
      <c r="AC2500" s="117"/>
      <c r="AD2500" s="117"/>
      <c r="AE2500" s="117"/>
      <c r="AF2500" s="117"/>
      <c r="AG2500" s="117"/>
      <c r="AH2500" s="117"/>
      <c r="AI2500" s="117"/>
      <c r="AJ2500" s="117"/>
      <c r="AK2500" s="117"/>
      <c r="AL2500" s="117"/>
      <c r="AM2500" s="117"/>
      <c r="AN2500" s="117"/>
      <c r="AO2500" s="117"/>
      <c r="AP2500" s="117"/>
      <c r="AQ2500" s="117"/>
      <c r="AR2500" s="117"/>
      <c r="AS2500" s="117"/>
      <c r="AT2500" s="117"/>
      <c r="AU2500" s="117"/>
      <c r="AV2500" s="117"/>
      <c r="AW2500" s="117"/>
      <c r="AX2500" s="117"/>
      <c r="AY2500" s="117"/>
      <c r="AZ2500" s="117"/>
      <c r="BA2500" s="117"/>
      <c r="BB2500" s="117"/>
      <c r="BC2500" s="117"/>
      <c r="BD2500" s="117"/>
      <c r="BE2500" s="117"/>
      <c r="BF2500" s="117"/>
      <c r="BG2500" s="117"/>
    </row>
    <row r="2501" spans="1:59">
      <c r="A2501" s="117"/>
      <c r="B2501" s="117"/>
      <c r="C2501" s="117"/>
      <c r="D2501" s="117"/>
      <c r="E2501" s="117"/>
      <c r="F2501" s="117"/>
      <c r="G2501" s="117"/>
      <c r="H2501" s="117"/>
      <c r="I2501" s="117"/>
      <c r="J2501" s="118"/>
      <c r="K2501" s="118"/>
      <c r="L2501" s="118"/>
      <c r="M2501" s="118"/>
      <c r="N2501" s="117"/>
      <c r="O2501" s="117"/>
      <c r="P2501" s="117"/>
      <c r="Q2501" s="117"/>
      <c r="R2501" s="117"/>
      <c r="S2501" s="117"/>
      <c r="T2501" s="117"/>
      <c r="U2501" s="117"/>
      <c r="V2501" s="117"/>
      <c r="W2501" s="117"/>
      <c r="X2501" s="117"/>
      <c r="Y2501" s="117"/>
      <c r="Z2501" s="117"/>
      <c r="AA2501" s="117"/>
      <c r="AB2501" s="117"/>
      <c r="AC2501" s="117"/>
      <c r="AD2501" s="117"/>
      <c r="AE2501" s="117"/>
      <c r="AF2501" s="117"/>
      <c r="AG2501" s="117"/>
      <c r="AH2501" s="117"/>
      <c r="AI2501" s="117"/>
      <c r="AJ2501" s="117"/>
      <c r="AK2501" s="117"/>
      <c r="AL2501" s="117"/>
      <c r="AM2501" s="117"/>
      <c r="AN2501" s="117"/>
      <c r="AO2501" s="117"/>
      <c r="AP2501" s="117"/>
      <c r="AQ2501" s="117"/>
      <c r="AR2501" s="117"/>
      <c r="AS2501" s="117"/>
      <c r="AT2501" s="117"/>
      <c r="AU2501" s="117"/>
      <c r="AV2501" s="117"/>
      <c r="AW2501" s="117"/>
      <c r="AX2501" s="117"/>
      <c r="AY2501" s="117"/>
      <c r="AZ2501" s="117"/>
      <c r="BA2501" s="117"/>
      <c r="BB2501" s="117"/>
      <c r="BC2501" s="117"/>
      <c r="BD2501" s="117"/>
      <c r="BE2501" s="117"/>
      <c r="BF2501" s="117"/>
      <c r="BG2501" s="117"/>
    </row>
    <row r="2502" spans="1:59">
      <c r="A2502" s="117"/>
      <c r="B2502" s="117"/>
      <c r="C2502" s="117"/>
      <c r="D2502" s="117"/>
      <c r="E2502" s="117"/>
      <c r="F2502" s="117"/>
      <c r="G2502" s="117"/>
      <c r="H2502" s="117"/>
      <c r="I2502" s="117"/>
      <c r="J2502" s="118"/>
      <c r="K2502" s="118"/>
      <c r="L2502" s="118"/>
      <c r="M2502" s="118"/>
      <c r="N2502" s="117"/>
      <c r="O2502" s="117"/>
      <c r="P2502" s="117"/>
      <c r="Q2502" s="117"/>
      <c r="R2502" s="117"/>
      <c r="S2502" s="117"/>
      <c r="T2502" s="117"/>
      <c r="U2502" s="117"/>
      <c r="V2502" s="117"/>
      <c r="W2502" s="117"/>
      <c r="X2502" s="117"/>
      <c r="Y2502" s="117"/>
      <c r="Z2502" s="117"/>
      <c r="AA2502" s="117"/>
      <c r="AB2502" s="117"/>
      <c r="AC2502" s="117"/>
      <c r="AD2502" s="117"/>
      <c r="AE2502" s="117"/>
      <c r="AF2502" s="117"/>
      <c r="AG2502" s="117"/>
      <c r="AH2502" s="117"/>
      <c r="AI2502" s="117"/>
      <c r="AJ2502" s="117"/>
      <c r="AK2502" s="117"/>
      <c r="AL2502" s="117"/>
      <c r="AM2502" s="117"/>
      <c r="AN2502" s="117"/>
      <c r="AO2502" s="117"/>
      <c r="AP2502" s="117"/>
      <c r="AQ2502" s="117"/>
      <c r="AR2502" s="117"/>
      <c r="AS2502" s="117"/>
      <c r="AT2502" s="117"/>
      <c r="AU2502" s="117"/>
      <c r="AV2502" s="117"/>
      <c r="AW2502" s="117"/>
      <c r="AX2502" s="117"/>
      <c r="AY2502" s="117"/>
      <c r="AZ2502" s="117"/>
      <c r="BA2502" s="117"/>
      <c r="BB2502" s="117"/>
      <c r="BC2502" s="117"/>
      <c r="BD2502" s="117"/>
      <c r="BE2502" s="117"/>
      <c r="BF2502" s="117"/>
      <c r="BG2502" s="117"/>
    </row>
    <row r="2503" spans="1:59">
      <c r="A2503" s="117"/>
      <c r="B2503" s="117"/>
      <c r="C2503" s="117"/>
      <c r="D2503" s="117"/>
      <c r="E2503" s="117"/>
      <c r="F2503" s="117"/>
      <c r="G2503" s="117"/>
      <c r="H2503" s="117"/>
      <c r="I2503" s="117"/>
      <c r="J2503" s="118"/>
      <c r="K2503" s="118"/>
      <c r="L2503" s="118"/>
      <c r="M2503" s="118"/>
      <c r="N2503" s="117"/>
      <c r="O2503" s="117"/>
      <c r="P2503" s="117"/>
      <c r="Q2503" s="117"/>
      <c r="R2503" s="117"/>
      <c r="S2503" s="117"/>
      <c r="T2503" s="117"/>
      <c r="U2503" s="117"/>
      <c r="V2503" s="117"/>
      <c r="W2503" s="117"/>
      <c r="X2503" s="117"/>
      <c r="Y2503" s="117"/>
      <c r="Z2503" s="117"/>
      <c r="AA2503" s="117"/>
      <c r="AB2503" s="117"/>
      <c r="AC2503" s="117"/>
      <c r="AD2503" s="117"/>
      <c r="AE2503" s="117"/>
      <c r="AF2503" s="117"/>
      <c r="AG2503" s="117"/>
      <c r="AH2503" s="117"/>
      <c r="AI2503" s="117"/>
      <c r="AJ2503" s="117"/>
      <c r="AK2503" s="117"/>
      <c r="AL2503" s="117"/>
      <c r="AM2503" s="117"/>
      <c r="AN2503" s="117"/>
      <c r="AO2503" s="117"/>
      <c r="AP2503" s="117"/>
      <c r="AQ2503" s="117"/>
      <c r="AR2503" s="117"/>
      <c r="AS2503" s="117"/>
      <c r="AT2503" s="117"/>
      <c r="AU2503" s="117"/>
      <c r="AV2503" s="117"/>
      <c r="AW2503" s="117"/>
      <c r="AX2503" s="117"/>
      <c r="AY2503" s="117"/>
      <c r="AZ2503" s="117"/>
      <c r="BA2503" s="117"/>
      <c r="BB2503" s="117"/>
      <c r="BC2503" s="117"/>
      <c r="BD2503" s="117"/>
      <c r="BE2503" s="117"/>
      <c r="BF2503" s="117"/>
      <c r="BG2503" s="117"/>
    </row>
    <row r="2504" spans="1:59">
      <c r="A2504" s="117"/>
      <c r="B2504" s="117"/>
      <c r="C2504" s="117"/>
      <c r="D2504" s="117"/>
      <c r="E2504" s="117"/>
      <c r="F2504" s="117"/>
      <c r="G2504" s="117"/>
      <c r="H2504" s="117"/>
      <c r="I2504" s="117"/>
      <c r="J2504" s="118"/>
      <c r="K2504" s="118"/>
      <c r="L2504" s="118"/>
      <c r="M2504" s="118"/>
      <c r="N2504" s="117"/>
      <c r="O2504" s="117"/>
      <c r="P2504" s="117"/>
      <c r="Q2504" s="117"/>
      <c r="R2504" s="117"/>
      <c r="S2504" s="117"/>
      <c r="T2504" s="117"/>
      <c r="U2504" s="117"/>
      <c r="V2504" s="117"/>
      <c r="W2504" s="117"/>
      <c r="X2504" s="117"/>
      <c r="Y2504" s="117"/>
      <c r="Z2504" s="117"/>
      <c r="AA2504" s="117"/>
      <c r="AB2504" s="117"/>
      <c r="AC2504" s="117"/>
      <c r="AD2504" s="117"/>
      <c r="AE2504" s="117"/>
      <c r="AF2504" s="117"/>
      <c r="AG2504" s="117"/>
      <c r="AH2504" s="117"/>
      <c r="AI2504" s="117"/>
      <c r="AJ2504" s="117"/>
      <c r="AK2504" s="117"/>
      <c r="AL2504" s="117"/>
      <c r="AM2504" s="117"/>
      <c r="AN2504" s="117"/>
      <c r="AO2504" s="117"/>
      <c r="AP2504" s="117"/>
      <c r="AQ2504" s="117"/>
      <c r="AR2504" s="117"/>
      <c r="AS2504" s="117"/>
      <c r="AT2504" s="117"/>
      <c r="AU2504" s="117"/>
      <c r="AV2504" s="117"/>
      <c r="AW2504" s="117"/>
      <c r="AX2504" s="117"/>
      <c r="AY2504" s="117"/>
      <c r="AZ2504" s="117"/>
      <c r="BA2504" s="117"/>
      <c r="BB2504" s="117"/>
      <c r="BC2504" s="117"/>
      <c r="BD2504" s="117"/>
      <c r="BE2504" s="117"/>
      <c r="BF2504" s="117"/>
      <c r="BG2504" s="117"/>
    </row>
    <row r="2505" spans="1:59">
      <c r="A2505" s="117"/>
      <c r="B2505" s="117"/>
      <c r="C2505" s="117"/>
      <c r="D2505" s="117"/>
      <c r="E2505" s="117"/>
      <c r="F2505" s="117"/>
      <c r="G2505" s="117"/>
      <c r="H2505" s="117"/>
      <c r="I2505" s="117"/>
      <c r="J2505" s="118"/>
      <c r="K2505" s="118"/>
      <c r="L2505" s="118"/>
      <c r="M2505" s="118"/>
      <c r="N2505" s="117"/>
      <c r="O2505" s="117"/>
      <c r="P2505" s="117"/>
      <c r="Q2505" s="117"/>
      <c r="R2505" s="117"/>
      <c r="S2505" s="117"/>
      <c r="T2505" s="117"/>
      <c r="U2505" s="117"/>
      <c r="V2505" s="117"/>
      <c r="W2505" s="117"/>
      <c r="X2505" s="117"/>
      <c r="Y2505" s="117"/>
      <c r="Z2505" s="117"/>
      <c r="AA2505" s="117"/>
      <c r="AB2505" s="117"/>
      <c r="AC2505" s="117"/>
      <c r="AD2505" s="117"/>
      <c r="AE2505" s="117"/>
      <c r="AF2505" s="117"/>
      <c r="AG2505" s="117"/>
      <c r="AH2505" s="117"/>
      <c r="AI2505" s="117"/>
      <c r="AJ2505" s="117"/>
      <c r="AK2505" s="117"/>
      <c r="AL2505" s="117"/>
      <c r="AM2505" s="117"/>
      <c r="AN2505" s="117"/>
      <c r="AO2505" s="117"/>
      <c r="AP2505" s="117"/>
      <c r="AQ2505" s="117"/>
      <c r="AR2505" s="117"/>
      <c r="AS2505" s="117"/>
      <c r="AT2505" s="117"/>
      <c r="AU2505" s="117"/>
      <c r="AV2505" s="117"/>
      <c r="AW2505" s="117"/>
      <c r="AX2505" s="117"/>
      <c r="AY2505" s="117"/>
      <c r="AZ2505" s="117"/>
      <c r="BA2505" s="117"/>
      <c r="BB2505" s="117"/>
      <c r="BC2505" s="117"/>
      <c r="BD2505" s="117"/>
      <c r="BE2505" s="117"/>
      <c r="BF2505" s="117"/>
      <c r="BG2505" s="117"/>
    </row>
    <row r="2506" spans="1:59">
      <c r="A2506" s="117"/>
      <c r="B2506" s="117"/>
      <c r="C2506" s="117"/>
      <c r="D2506" s="117"/>
      <c r="E2506" s="117"/>
      <c r="F2506" s="117"/>
      <c r="G2506" s="117"/>
      <c r="H2506" s="117"/>
      <c r="I2506" s="117"/>
      <c r="J2506" s="118"/>
      <c r="K2506" s="118"/>
      <c r="L2506" s="118"/>
      <c r="M2506" s="118"/>
      <c r="N2506" s="117"/>
      <c r="O2506" s="117"/>
      <c r="P2506" s="117"/>
      <c r="Q2506" s="117"/>
      <c r="R2506" s="117"/>
      <c r="S2506" s="117"/>
      <c r="T2506" s="117"/>
      <c r="U2506" s="117"/>
      <c r="V2506" s="117"/>
      <c r="W2506" s="117"/>
      <c r="X2506" s="117"/>
      <c r="Y2506" s="117"/>
      <c r="Z2506" s="117"/>
      <c r="AA2506" s="117"/>
      <c r="AB2506" s="117"/>
      <c r="AC2506" s="117"/>
      <c r="AD2506" s="117"/>
      <c r="AE2506" s="117"/>
      <c r="AF2506" s="117"/>
      <c r="AG2506" s="117"/>
      <c r="AH2506" s="117"/>
      <c r="AI2506" s="117"/>
      <c r="AJ2506" s="117"/>
      <c r="AK2506" s="117"/>
      <c r="AL2506" s="117"/>
      <c r="AM2506" s="117"/>
      <c r="AN2506" s="117"/>
      <c r="AO2506" s="117"/>
      <c r="AP2506" s="117"/>
      <c r="AQ2506" s="117"/>
      <c r="AR2506" s="117"/>
      <c r="AS2506" s="117"/>
      <c r="AT2506" s="117"/>
      <c r="AU2506" s="117"/>
      <c r="AV2506" s="117"/>
      <c r="AW2506" s="117"/>
      <c r="AX2506" s="117"/>
      <c r="AY2506" s="117"/>
      <c r="AZ2506" s="117"/>
      <c r="BA2506" s="117"/>
      <c r="BB2506" s="117"/>
      <c r="BC2506" s="117"/>
      <c r="BD2506" s="117"/>
      <c r="BE2506" s="117"/>
      <c r="BF2506" s="117"/>
      <c r="BG2506" s="117"/>
    </row>
    <row r="2507" spans="1:59">
      <c r="A2507" s="117"/>
      <c r="B2507" s="117"/>
      <c r="C2507" s="117"/>
      <c r="D2507" s="117"/>
      <c r="E2507" s="117"/>
      <c r="F2507" s="117"/>
      <c r="G2507" s="117"/>
      <c r="H2507" s="117"/>
      <c r="I2507" s="117"/>
      <c r="J2507" s="118"/>
      <c r="K2507" s="118"/>
      <c r="L2507" s="118"/>
      <c r="M2507" s="118"/>
      <c r="N2507" s="117"/>
      <c r="O2507" s="117"/>
      <c r="P2507" s="117"/>
      <c r="Q2507" s="117"/>
      <c r="R2507" s="117"/>
      <c r="S2507" s="117"/>
      <c r="T2507" s="117"/>
      <c r="U2507" s="117"/>
      <c r="V2507" s="117"/>
      <c r="W2507" s="117"/>
      <c r="X2507" s="117"/>
      <c r="Y2507" s="117"/>
      <c r="Z2507" s="117"/>
      <c r="AA2507" s="117"/>
      <c r="AB2507" s="117"/>
      <c r="AC2507" s="117"/>
      <c r="AD2507" s="117"/>
      <c r="AE2507" s="117"/>
      <c r="AF2507" s="117"/>
      <c r="AG2507" s="117"/>
      <c r="AH2507" s="117"/>
      <c r="AI2507" s="117"/>
      <c r="AJ2507" s="117"/>
      <c r="AK2507" s="117"/>
      <c r="AL2507" s="117"/>
      <c r="AM2507" s="117"/>
      <c r="AN2507" s="117"/>
      <c r="AO2507" s="117"/>
      <c r="AP2507" s="117"/>
      <c r="AQ2507" s="117"/>
      <c r="AR2507" s="117"/>
      <c r="AS2507" s="117"/>
      <c r="AT2507" s="117"/>
      <c r="AU2507" s="117"/>
      <c r="AV2507" s="117"/>
      <c r="AW2507" s="117"/>
      <c r="AX2507" s="117"/>
      <c r="AY2507" s="117"/>
      <c r="AZ2507" s="117"/>
      <c r="BA2507" s="117"/>
      <c r="BB2507" s="117"/>
      <c r="BC2507" s="117"/>
      <c r="BD2507" s="117"/>
      <c r="BE2507" s="117"/>
      <c r="BF2507" s="117"/>
      <c r="BG2507" s="117"/>
    </row>
    <row r="2508" spans="1:59">
      <c r="A2508" s="117"/>
      <c r="B2508" s="117"/>
      <c r="C2508" s="117"/>
      <c r="D2508" s="117"/>
      <c r="E2508" s="117"/>
      <c r="F2508" s="117"/>
      <c r="G2508" s="117"/>
      <c r="H2508" s="117"/>
      <c r="I2508" s="117"/>
      <c r="J2508" s="118"/>
      <c r="K2508" s="118"/>
      <c r="L2508" s="118"/>
      <c r="M2508" s="118"/>
      <c r="N2508" s="117"/>
      <c r="O2508" s="117"/>
      <c r="P2508" s="117"/>
      <c r="Q2508" s="117"/>
      <c r="R2508" s="117"/>
      <c r="S2508" s="117"/>
      <c r="T2508" s="117"/>
      <c r="U2508" s="117"/>
      <c r="V2508" s="117"/>
      <c r="W2508" s="117"/>
      <c r="X2508" s="117"/>
      <c r="Y2508" s="117"/>
      <c r="Z2508" s="117"/>
      <c r="AA2508" s="117"/>
      <c r="AB2508" s="117"/>
      <c r="AC2508" s="117"/>
      <c r="AD2508" s="117"/>
      <c r="AE2508" s="117"/>
      <c r="AF2508" s="117"/>
      <c r="AG2508" s="117"/>
      <c r="AH2508" s="117"/>
      <c r="AI2508" s="117"/>
      <c r="AJ2508" s="117"/>
      <c r="AK2508" s="117"/>
      <c r="AL2508" s="117"/>
      <c r="AM2508" s="117"/>
      <c r="AN2508" s="117"/>
      <c r="AO2508" s="117"/>
      <c r="AP2508" s="117"/>
      <c r="AQ2508" s="117"/>
      <c r="AR2508" s="117"/>
      <c r="AS2508" s="117"/>
      <c r="AT2508" s="117"/>
      <c r="AU2508" s="117"/>
      <c r="AV2508" s="117"/>
      <c r="AW2508" s="117"/>
      <c r="AX2508" s="117"/>
      <c r="AY2508" s="117"/>
      <c r="AZ2508" s="117"/>
      <c r="BA2508" s="117"/>
      <c r="BB2508" s="117"/>
      <c r="BC2508" s="117"/>
      <c r="BD2508" s="117"/>
      <c r="BE2508" s="117"/>
      <c r="BF2508" s="117"/>
      <c r="BG2508" s="117"/>
    </row>
    <row r="2509" spans="1:59">
      <c r="A2509" s="117"/>
      <c r="B2509" s="117"/>
      <c r="C2509" s="117"/>
      <c r="D2509" s="117"/>
      <c r="E2509" s="117"/>
      <c r="F2509" s="117"/>
      <c r="G2509" s="117"/>
      <c r="H2509" s="117"/>
      <c r="I2509" s="117"/>
      <c r="J2509" s="118"/>
      <c r="K2509" s="118"/>
      <c r="L2509" s="118"/>
      <c r="M2509" s="118"/>
      <c r="N2509" s="117"/>
      <c r="O2509" s="117"/>
      <c r="P2509" s="117"/>
      <c r="Q2509" s="117"/>
      <c r="R2509" s="117"/>
      <c r="S2509" s="117"/>
      <c r="T2509" s="117"/>
      <c r="U2509" s="117"/>
      <c r="V2509" s="117"/>
      <c r="W2509" s="117"/>
      <c r="X2509" s="117"/>
      <c r="Y2509" s="117"/>
      <c r="Z2509" s="117"/>
      <c r="AA2509" s="117"/>
      <c r="AB2509" s="117"/>
      <c r="AC2509" s="117"/>
      <c r="AD2509" s="117"/>
      <c r="AE2509" s="117"/>
      <c r="AF2509" s="117"/>
      <c r="AG2509" s="117"/>
      <c r="AH2509" s="117"/>
      <c r="AI2509" s="117"/>
      <c r="AJ2509" s="117"/>
      <c r="AK2509" s="117"/>
      <c r="AL2509" s="117"/>
      <c r="AM2509" s="117"/>
      <c r="AN2509" s="117"/>
      <c r="AO2509" s="117"/>
      <c r="AP2509" s="117"/>
      <c r="AQ2509" s="117"/>
      <c r="AR2509" s="117"/>
      <c r="AS2509" s="117"/>
      <c r="AT2509" s="117"/>
      <c r="AU2509" s="117"/>
      <c r="AV2509" s="117"/>
      <c r="AW2509" s="117"/>
      <c r="AX2509" s="117"/>
      <c r="AY2509" s="117"/>
      <c r="AZ2509" s="117"/>
      <c r="BA2509" s="117"/>
      <c r="BB2509" s="117"/>
      <c r="BC2509" s="117"/>
      <c r="BD2509" s="117"/>
      <c r="BE2509" s="117"/>
      <c r="BF2509" s="117"/>
      <c r="BG2509" s="117"/>
    </row>
    <row r="2510" spans="1:59">
      <c r="A2510" s="117"/>
      <c r="B2510" s="117"/>
      <c r="C2510" s="117"/>
      <c r="D2510" s="117"/>
      <c r="E2510" s="117"/>
      <c r="F2510" s="117"/>
      <c r="G2510" s="117"/>
      <c r="H2510" s="117"/>
      <c r="I2510" s="117"/>
      <c r="J2510" s="118"/>
      <c r="K2510" s="118"/>
      <c r="L2510" s="118"/>
      <c r="M2510" s="118"/>
      <c r="N2510" s="117"/>
      <c r="O2510" s="117"/>
      <c r="P2510" s="117"/>
      <c r="Q2510" s="117"/>
      <c r="R2510" s="117"/>
      <c r="S2510" s="117"/>
      <c r="T2510" s="117"/>
      <c r="U2510" s="117"/>
      <c r="V2510" s="117"/>
      <c r="W2510" s="117"/>
      <c r="X2510" s="117"/>
      <c r="Y2510" s="117"/>
      <c r="Z2510" s="117"/>
      <c r="AA2510" s="117"/>
      <c r="AB2510" s="117"/>
      <c r="AC2510" s="117"/>
      <c r="AD2510" s="117"/>
      <c r="AE2510" s="117"/>
      <c r="AF2510" s="117"/>
      <c r="AG2510" s="117"/>
      <c r="AH2510" s="117"/>
      <c r="AI2510" s="117"/>
      <c r="AJ2510" s="117"/>
      <c r="AK2510" s="117"/>
      <c r="AL2510" s="117"/>
      <c r="AM2510" s="117"/>
      <c r="AN2510" s="117"/>
      <c r="AO2510" s="117"/>
      <c r="AP2510" s="117"/>
      <c r="AQ2510" s="117"/>
      <c r="AR2510" s="117"/>
      <c r="AS2510" s="117"/>
      <c r="AT2510" s="117"/>
      <c r="AU2510" s="117"/>
      <c r="AV2510" s="117"/>
      <c r="AW2510" s="117"/>
      <c r="AX2510" s="117"/>
      <c r="AY2510" s="117"/>
      <c r="AZ2510" s="117"/>
      <c r="BA2510" s="117"/>
      <c r="BB2510" s="117"/>
      <c r="BC2510" s="117"/>
      <c r="BD2510" s="117"/>
      <c r="BE2510" s="117"/>
      <c r="BF2510" s="117"/>
      <c r="BG2510" s="117"/>
    </row>
    <row r="2511" spans="1:59">
      <c r="A2511" s="117"/>
      <c r="B2511" s="117"/>
      <c r="C2511" s="117"/>
      <c r="D2511" s="117"/>
      <c r="E2511" s="117"/>
      <c r="F2511" s="117"/>
      <c r="G2511" s="117"/>
      <c r="H2511" s="117"/>
      <c r="I2511" s="117"/>
      <c r="J2511" s="118"/>
      <c r="K2511" s="118"/>
      <c r="L2511" s="118"/>
      <c r="M2511" s="118"/>
      <c r="N2511" s="117"/>
      <c r="O2511" s="117"/>
      <c r="P2511" s="117"/>
      <c r="Q2511" s="117"/>
      <c r="R2511" s="117"/>
      <c r="S2511" s="117"/>
      <c r="T2511" s="117"/>
      <c r="U2511" s="117"/>
      <c r="V2511" s="117"/>
      <c r="W2511" s="117"/>
      <c r="X2511" s="117"/>
      <c r="Y2511" s="117"/>
      <c r="Z2511" s="117"/>
      <c r="AA2511" s="117"/>
      <c r="AB2511" s="117"/>
      <c r="AC2511" s="117"/>
      <c r="AD2511" s="117"/>
      <c r="AE2511" s="117"/>
      <c r="AF2511" s="117"/>
      <c r="AG2511" s="117"/>
      <c r="AH2511" s="117"/>
      <c r="AI2511" s="117"/>
      <c r="AJ2511" s="117"/>
      <c r="AK2511" s="117"/>
      <c r="AL2511" s="117"/>
      <c r="AM2511" s="117"/>
      <c r="AN2511" s="117"/>
      <c r="AO2511" s="117"/>
      <c r="AP2511" s="117"/>
      <c r="AQ2511" s="117"/>
      <c r="AR2511" s="117"/>
      <c r="AS2511" s="117"/>
      <c r="AT2511" s="117"/>
      <c r="AU2511" s="117"/>
      <c r="AV2511" s="117"/>
      <c r="AW2511" s="117"/>
      <c r="AX2511" s="117"/>
      <c r="AY2511" s="117"/>
      <c r="AZ2511" s="117"/>
      <c r="BA2511" s="117"/>
      <c r="BB2511" s="117"/>
      <c r="BC2511" s="117"/>
      <c r="BD2511" s="117"/>
      <c r="BE2511" s="117"/>
      <c r="BF2511" s="117"/>
      <c r="BG2511" s="117"/>
    </row>
    <row r="2512" spans="1:59">
      <c r="A2512" s="117"/>
      <c r="B2512" s="117"/>
      <c r="C2512" s="117"/>
      <c r="D2512" s="117"/>
      <c r="E2512" s="117"/>
      <c r="F2512" s="117"/>
      <c r="G2512" s="117"/>
      <c r="H2512" s="117"/>
      <c r="I2512" s="117"/>
      <c r="J2512" s="118"/>
      <c r="K2512" s="118"/>
      <c r="L2512" s="118"/>
      <c r="M2512" s="118"/>
      <c r="N2512" s="117"/>
      <c r="O2512" s="117"/>
      <c r="P2512" s="117"/>
      <c r="Q2512" s="117"/>
      <c r="R2512" s="117"/>
      <c r="S2512" s="117"/>
      <c r="T2512" s="117"/>
      <c r="U2512" s="117"/>
      <c r="V2512" s="117"/>
      <c r="W2512" s="117"/>
      <c r="X2512" s="117"/>
      <c r="Y2512" s="117"/>
      <c r="Z2512" s="117"/>
      <c r="AA2512" s="117"/>
      <c r="AB2512" s="117"/>
      <c r="AC2512" s="117"/>
      <c r="AD2512" s="117"/>
      <c r="AE2512" s="117"/>
      <c r="AF2512" s="117"/>
      <c r="AG2512" s="117"/>
      <c r="AH2512" s="117"/>
      <c r="AI2512" s="117"/>
      <c r="AJ2512" s="117"/>
      <c r="AK2512" s="117"/>
      <c r="AL2512" s="117"/>
      <c r="AM2512" s="117"/>
      <c r="AN2512" s="117"/>
      <c r="AO2512" s="117"/>
      <c r="AP2512" s="117"/>
      <c r="AQ2512" s="117"/>
      <c r="AR2512" s="117"/>
      <c r="AS2512" s="117"/>
      <c r="AT2512" s="117"/>
      <c r="AU2512" s="117"/>
      <c r="AV2512" s="117"/>
      <c r="AW2512" s="117"/>
      <c r="AX2512" s="117"/>
      <c r="AY2512" s="117"/>
      <c r="AZ2512" s="117"/>
      <c r="BA2512" s="117"/>
      <c r="BB2512" s="117"/>
      <c r="BC2512" s="117"/>
      <c r="BD2512" s="117"/>
      <c r="BE2512" s="117"/>
      <c r="BF2512" s="117"/>
      <c r="BG2512" s="117"/>
    </row>
    <row r="2513" spans="1:59">
      <c r="A2513" s="117"/>
      <c r="B2513" s="117"/>
      <c r="C2513" s="117"/>
      <c r="D2513" s="117"/>
      <c r="E2513" s="117"/>
      <c r="F2513" s="117"/>
      <c r="G2513" s="117"/>
      <c r="H2513" s="117"/>
      <c r="I2513" s="117"/>
      <c r="J2513" s="118"/>
      <c r="K2513" s="118"/>
      <c r="L2513" s="118"/>
      <c r="M2513" s="118"/>
      <c r="N2513" s="117"/>
      <c r="O2513" s="117"/>
      <c r="P2513" s="117"/>
      <c r="Q2513" s="117"/>
      <c r="R2513" s="117"/>
      <c r="S2513" s="117"/>
      <c r="T2513" s="117"/>
      <c r="U2513" s="117"/>
      <c r="V2513" s="117"/>
      <c r="W2513" s="117"/>
      <c r="X2513" s="117"/>
      <c r="Y2513" s="117"/>
      <c r="Z2513" s="117"/>
      <c r="AA2513" s="117"/>
      <c r="AB2513" s="117"/>
      <c r="AC2513" s="117"/>
      <c r="AD2513" s="117"/>
      <c r="AE2513" s="117"/>
      <c r="AF2513" s="117"/>
      <c r="AG2513" s="117"/>
      <c r="AH2513" s="117"/>
      <c r="AI2513" s="117"/>
      <c r="AJ2513" s="117"/>
      <c r="AK2513" s="117"/>
      <c r="AL2513" s="117"/>
      <c r="AM2513" s="117"/>
      <c r="AN2513" s="117"/>
      <c r="AO2513" s="117"/>
      <c r="AP2513" s="117"/>
      <c r="AQ2513" s="117"/>
      <c r="AR2513" s="117"/>
      <c r="AS2513" s="117"/>
      <c r="AT2513" s="117"/>
      <c r="AU2513" s="117"/>
      <c r="AV2513" s="117"/>
      <c r="AW2513" s="117"/>
      <c r="AX2513" s="117"/>
      <c r="AY2513" s="117"/>
      <c r="AZ2513" s="117"/>
      <c r="BA2513" s="117"/>
      <c r="BB2513" s="117"/>
      <c r="BC2513" s="117"/>
      <c r="BD2513" s="117"/>
      <c r="BE2513" s="117"/>
      <c r="BF2513" s="117"/>
      <c r="BG2513" s="117"/>
    </row>
    <row r="2514" spans="1:59">
      <c r="A2514" s="117"/>
      <c r="B2514" s="117"/>
      <c r="C2514" s="117"/>
      <c r="D2514" s="117"/>
      <c r="E2514" s="117"/>
      <c r="F2514" s="117"/>
      <c r="G2514" s="117"/>
      <c r="H2514" s="117"/>
      <c r="I2514" s="117"/>
      <c r="J2514" s="118"/>
      <c r="K2514" s="118"/>
      <c r="L2514" s="118"/>
      <c r="M2514" s="118"/>
      <c r="N2514" s="117"/>
      <c r="O2514" s="117"/>
      <c r="P2514" s="117"/>
      <c r="Q2514" s="117"/>
      <c r="R2514" s="117"/>
      <c r="S2514" s="117"/>
      <c r="T2514" s="117"/>
      <c r="U2514" s="117"/>
      <c r="V2514" s="117"/>
      <c r="W2514" s="117"/>
      <c r="X2514" s="117"/>
      <c r="Y2514" s="117"/>
      <c r="Z2514" s="117"/>
      <c r="AA2514" s="117"/>
      <c r="AB2514" s="117"/>
      <c r="AC2514" s="117"/>
      <c r="AD2514" s="117"/>
      <c r="AE2514" s="117"/>
      <c r="AF2514" s="117"/>
      <c r="AG2514" s="117"/>
      <c r="AH2514" s="117"/>
      <c r="AI2514" s="117"/>
      <c r="AJ2514" s="117"/>
      <c r="AK2514" s="117"/>
      <c r="AL2514" s="117"/>
      <c r="AM2514" s="117"/>
      <c r="AN2514" s="117"/>
      <c r="AO2514" s="117"/>
      <c r="AP2514" s="117"/>
      <c r="AQ2514" s="117"/>
      <c r="AR2514" s="117"/>
      <c r="AS2514" s="117"/>
      <c r="AT2514" s="117"/>
      <c r="AU2514" s="117"/>
      <c r="AV2514" s="117"/>
      <c r="AW2514" s="117"/>
      <c r="AX2514" s="117"/>
      <c r="AY2514" s="117"/>
      <c r="AZ2514" s="117"/>
      <c r="BA2514" s="117"/>
      <c r="BB2514" s="117"/>
      <c r="BC2514" s="117"/>
      <c r="BD2514" s="117"/>
      <c r="BE2514" s="117"/>
      <c r="BF2514" s="117"/>
      <c r="BG2514" s="117"/>
    </row>
    <row r="2515" spans="1:59">
      <c r="A2515" s="117"/>
      <c r="B2515" s="117"/>
      <c r="C2515" s="117"/>
      <c r="D2515" s="117"/>
      <c r="E2515" s="117"/>
      <c r="F2515" s="117"/>
      <c r="G2515" s="117"/>
      <c r="H2515" s="117"/>
      <c r="I2515" s="117"/>
      <c r="J2515" s="118"/>
      <c r="K2515" s="118"/>
      <c r="L2515" s="118"/>
      <c r="M2515" s="118"/>
      <c r="N2515" s="117"/>
      <c r="O2515" s="117"/>
      <c r="P2515" s="117"/>
      <c r="Q2515" s="117"/>
      <c r="R2515" s="117"/>
      <c r="S2515" s="117"/>
      <c r="T2515" s="117"/>
      <c r="U2515" s="117"/>
      <c r="V2515" s="117"/>
      <c r="W2515" s="117"/>
      <c r="X2515" s="117"/>
      <c r="Y2515" s="117"/>
      <c r="Z2515" s="117"/>
      <c r="AA2515" s="117"/>
      <c r="AB2515" s="117"/>
      <c r="AC2515" s="117"/>
      <c r="AD2515" s="117"/>
      <c r="AE2515" s="117"/>
      <c r="AF2515" s="117"/>
      <c r="AG2515" s="117"/>
      <c r="AH2515" s="117"/>
      <c r="AI2515" s="117"/>
      <c r="AJ2515" s="117"/>
      <c r="AK2515" s="117"/>
      <c r="AL2515" s="117"/>
      <c r="AM2515" s="117"/>
      <c r="AN2515" s="117"/>
      <c r="AO2515" s="117"/>
      <c r="AP2515" s="117"/>
      <c r="AQ2515" s="117"/>
      <c r="AR2515" s="117"/>
      <c r="AS2515" s="117"/>
      <c r="AT2515" s="117"/>
      <c r="AU2515" s="117"/>
      <c r="AV2515" s="117"/>
      <c r="AW2515" s="117"/>
      <c r="AX2515" s="117"/>
      <c r="AY2515" s="117"/>
      <c r="AZ2515" s="117"/>
      <c r="BA2515" s="117"/>
      <c r="BB2515" s="117"/>
      <c r="BC2515" s="117"/>
      <c r="BD2515" s="117"/>
      <c r="BE2515" s="117"/>
      <c r="BF2515" s="117"/>
      <c r="BG2515" s="117"/>
    </row>
    <row r="2516" spans="1:59">
      <c r="A2516" s="117"/>
      <c r="B2516" s="117"/>
      <c r="C2516" s="117"/>
      <c r="D2516" s="117"/>
      <c r="E2516" s="117"/>
      <c r="F2516" s="117"/>
      <c r="G2516" s="117"/>
      <c r="H2516" s="117"/>
      <c r="I2516" s="117"/>
      <c r="J2516" s="118"/>
      <c r="K2516" s="118"/>
      <c r="L2516" s="118"/>
      <c r="M2516" s="118"/>
      <c r="N2516" s="117"/>
      <c r="O2516" s="117"/>
      <c r="P2516" s="117"/>
      <c r="Q2516" s="117"/>
      <c r="R2516" s="117"/>
      <c r="S2516" s="117"/>
      <c r="T2516" s="117"/>
      <c r="U2516" s="117"/>
      <c r="V2516" s="117"/>
      <c r="W2516" s="117"/>
      <c r="X2516" s="117"/>
      <c r="Y2516" s="117"/>
      <c r="Z2516" s="117"/>
      <c r="AA2516" s="117"/>
      <c r="AB2516" s="117"/>
      <c r="AC2516" s="117"/>
      <c r="AD2516" s="117"/>
      <c r="AE2516" s="117"/>
      <c r="AF2516" s="117"/>
      <c r="AG2516" s="117"/>
      <c r="AH2516" s="117"/>
      <c r="AI2516" s="117"/>
      <c r="AJ2516" s="117"/>
      <c r="AK2516" s="117"/>
      <c r="AL2516" s="117"/>
      <c r="AM2516" s="117"/>
      <c r="AN2516" s="117"/>
      <c r="AO2516" s="117"/>
      <c r="AP2516" s="117"/>
      <c r="AQ2516" s="117"/>
      <c r="AR2516" s="117"/>
      <c r="AS2516" s="117"/>
      <c r="AT2516" s="117"/>
      <c r="AU2516" s="117"/>
      <c r="AV2516" s="117"/>
      <c r="AW2516" s="117"/>
      <c r="AX2516" s="117"/>
      <c r="AY2516" s="117"/>
      <c r="AZ2516" s="117"/>
      <c r="BA2516" s="117"/>
      <c r="BB2516" s="117"/>
      <c r="BC2516" s="117"/>
      <c r="BD2516" s="117"/>
      <c r="BE2516" s="117"/>
      <c r="BF2516" s="117"/>
      <c r="BG2516" s="117"/>
    </row>
    <row r="2517" spans="1:59">
      <c r="A2517" s="117"/>
      <c r="B2517" s="117"/>
      <c r="C2517" s="117"/>
      <c r="D2517" s="117"/>
      <c r="E2517" s="117"/>
      <c r="F2517" s="117"/>
      <c r="G2517" s="117"/>
      <c r="H2517" s="117"/>
      <c r="I2517" s="117"/>
      <c r="J2517" s="118"/>
      <c r="K2517" s="118"/>
      <c r="L2517" s="118"/>
      <c r="M2517" s="118"/>
      <c r="N2517" s="117"/>
      <c r="O2517" s="117"/>
      <c r="P2517" s="117"/>
      <c r="Q2517" s="117"/>
      <c r="R2517" s="117"/>
      <c r="S2517" s="117"/>
      <c r="T2517" s="117"/>
      <c r="U2517" s="117"/>
      <c r="V2517" s="117"/>
      <c r="W2517" s="117"/>
      <c r="X2517" s="117"/>
      <c r="Y2517" s="117"/>
      <c r="Z2517" s="117"/>
      <c r="AA2517" s="117"/>
      <c r="AB2517" s="117"/>
      <c r="AC2517" s="117"/>
      <c r="AD2517" s="117"/>
      <c r="AE2517" s="117"/>
      <c r="AF2517" s="117"/>
      <c r="AG2517" s="117"/>
      <c r="AH2517" s="117"/>
      <c r="AI2517" s="117"/>
      <c r="AJ2517" s="117"/>
      <c r="AK2517" s="117"/>
      <c r="AL2517" s="117"/>
      <c r="AM2517" s="117"/>
      <c r="AN2517" s="117"/>
      <c r="AO2517" s="117"/>
      <c r="AP2517" s="117"/>
      <c r="AQ2517" s="117"/>
      <c r="AR2517" s="117"/>
      <c r="AS2517" s="117"/>
      <c r="AT2517" s="117"/>
      <c r="AU2517" s="117"/>
      <c r="AV2517" s="117"/>
      <c r="AW2517" s="117"/>
      <c r="AX2517" s="117"/>
      <c r="AY2517" s="117"/>
      <c r="AZ2517" s="117"/>
      <c r="BA2517" s="117"/>
      <c r="BB2517" s="117"/>
      <c r="BC2517" s="117"/>
      <c r="BD2517" s="117"/>
      <c r="BE2517" s="117"/>
      <c r="BF2517" s="117"/>
      <c r="BG2517" s="117"/>
    </row>
    <row r="2518" spans="1:59">
      <c r="A2518" s="117"/>
      <c r="B2518" s="117"/>
      <c r="C2518" s="117"/>
      <c r="D2518" s="117"/>
      <c r="E2518" s="117"/>
      <c r="F2518" s="117"/>
      <c r="G2518" s="117"/>
      <c r="H2518" s="117"/>
      <c r="I2518" s="117"/>
      <c r="J2518" s="118"/>
      <c r="K2518" s="118"/>
      <c r="L2518" s="118"/>
      <c r="M2518" s="118"/>
      <c r="N2518" s="117"/>
      <c r="O2518" s="117"/>
      <c r="P2518" s="117"/>
      <c r="Q2518" s="117"/>
      <c r="R2518" s="117"/>
      <c r="S2518" s="117"/>
      <c r="T2518" s="117"/>
      <c r="U2518" s="117"/>
      <c r="V2518" s="117"/>
      <c r="W2518" s="117"/>
      <c r="X2518" s="117"/>
      <c r="Y2518" s="117"/>
      <c r="Z2518" s="117"/>
      <c r="AA2518" s="117"/>
      <c r="AB2518" s="117"/>
      <c r="AC2518" s="117"/>
      <c r="AD2518" s="117"/>
      <c r="AE2518" s="117"/>
      <c r="AF2518" s="117"/>
      <c r="AG2518" s="117"/>
      <c r="AH2518" s="117"/>
      <c r="AI2518" s="117"/>
      <c r="AJ2518" s="117"/>
      <c r="AK2518" s="117"/>
      <c r="AL2518" s="117"/>
      <c r="AM2518" s="117"/>
      <c r="AN2518" s="117"/>
      <c r="AO2518" s="117"/>
      <c r="AP2518" s="117"/>
      <c r="AQ2518" s="117"/>
      <c r="AR2518" s="117"/>
      <c r="AS2518" s="117"/>
      <c r="AT2518" s="117"/>
      <c r="AU2518" s="117"/>
      <c r="AV2518" s="117"/>
      <c r="AW2518" s="117"/>
      <c r="AX2518" s="117"/>
      <c r="AY2518" s="117"/>
      <c r="AZ2518" s="117"/>
      <c r="BA2518" s="117"/>
      <c r="BB2518" s="117"/>
      <c r="BC2518" s="117"/>
      <c r="BD2518" s="117"/>
      <c r="BE2518" s="117"/>
      <c r="BF2518" s="117"/>
      <c r="BG2518" s="117"/>
    </row>
    <row r="2519" spans="1:59">
      <c r="A2519" s="117"/>
      <c r="B2519" s="117"/>
      <c r="C2519" s="117"/>
      <c r="D2519" s="117"/>
      <c r="E2519" s="117"/>
      <c r="F2519" s="117"/>
      <c r="G2519" s="117"/>
      <c r="H2519" s="117"/>
      <c r="I2519" s="117"/>
      <c r="J2519" s="118"/>
      <c r="K2519" s="118"/>
      <c r="L2519" s="118"/>
      <c r="M2519" s="118"/>
      <c r="N2519" s="117"/>
      <c r="O2519" s="117"/>
      <c r="P2519" s="117"/>
      <c r="Q2519" s="117"/>
      <c r="R2519" s="117"/>
      <c r="S2519" s="117"/>
      <c r="T2519" s="117"/>
      <c r="U2519" s="117"/>
      <c r="V2519" s="117"/>
      <c r="W2519" s="117"/>
      <c r="X2519" s="117"/>
      <c r="Y2519" s="117"/>
      <c r="Z2519" s="117"/>
      <c r="AA2519" s="117"/>
      <c r="AB2519" s="117"/>
      <c r="AC2519" s="117"/>
      <c r="AD2519" s="117"/>
      <c r="AE2519" s="117"/>
      <c r="AF2519" s="117"/>
      <c r="AG2519" s="117"/>
      <c r="AH2519" s="117"/>
      <c r="AI2519" s="117"/>
      <c r="AJ2519" s="117"/>
      <c r="AK2519" s="117"/>
      <c r="AL2519" s="117"/>
      <c r="AM2519" s="117"/>
      <c r="AN2519" s="117"/>
      <c r="AO2519" s="117"/>
      <c r="AP2519" s="117"/>
      <c r="AQ2519" s="117"/>
      <c r="AR2519" s="117"/>
      <c r="AS2519" s="117"/>
      <c r="AT2519" s="117"/>
      <c r="AU2519" s="117"/>
      <c r="AV2519" s="117"/>
      <c r="AW2519" s="117"/>
      <c r="AX2519" s="117"/>
      <c r="AY2519" s="117"/>
      <c r="AZ2519" s="117"/>
      <c r="BA2519" s="117"/>
      <c r="BB2519" s="117"/>
      <c r="BC2519" s="117"/>
      <c r="BD2519" s="117"/>
      <c r="BE2519" s="117"/>
      <c r="BF2519" s="117"/>
      <c r="BG2519" s="117"/>
    </row>
    <row r="2520" spans="1:59">
      <c r="A2520" s="117"/>
      <c r="B2520" s="117"/>
      <c r="C2520" s="117"/>
      <c r="D2520" s="117"/>
      <c r="E2520" s="117"/>
      <c r="F2520" s="117"/>
      <c r="G2520" s="117"/>
      <c r="H2520" s="117"/>
      <c r="I2520" s="117"/>
      <c r="J2520" s="118"/>
      <c r="K2520" s="118"/>
      <c r="L2520" s="118"/>
      <c r="M2520" s="118"/>
      <c r="N2520" s="117"/>
      <c r="O2520" s="117"/>
      <c r="P2520" s="117"/>
      <c r="Q2520" s="117"/>
      <c r="R2520" s="117"/>
      <c r="S2520" s="117"/>
      <c r="T2520" s="117"/>
      <c r="U2520" s="117"/>
      <c r="V2520" s="117"/>
      <c r="W2520" s="117"/>
      <c r="X2520" s="117"/>
      <c r="Y2520" s="117"/>
      <c r="Z2520" s="117"/>
      <c r="AA2520" s="117"/>
      <c r="AB2520" s="117"/>
      <c r="AC2520" s="117"/>
      <c r="AD2520" s="117"/>
      <c r="AE2520" s="117"/>
      <c r="AF2520" s="117"/>
      <c r="AG2520" s="117"/>
      <c r="AH2520" s="117"/>
      <c r="AI2520" s="117"/>
      <c r="AJ2520" s="117"/>
      <c r="AK2520" s="117"/>
      <c r="AL2520" s="117"/>
      <c r="AM2520" s="117"/>
      <c r="AN2520" s="117"/>
      <c r="AO2520" s="117"/>
      <c r="AP2520" s="117"/>
      <c r="AQ2520" s="117"/>
      <c r="AR2520" s="117"/>
      <c r="AS2520" s="117"/>
      <c r="AT2520" s="117"/>
      <c r="AU2520" s="117"/>
      <c r="AV2520" s="117"/>
      <c r="AW2520" s="117"/>
      <c r="AX2520" s="117"/>
      <c r="AY2520" s="117"/>
      <c r="AZ2520" s="117"/>
      <c r="BA2520" s="117"/>
      <c r="BB2520" s="117"/>
      <c r="BC2520" s="117"/>
      <c r="BD2520" s="117"/>
      <c r="BE2520" s="117"/>
      <c r="BF2520" s="117"/>
      <c r="BG2520" s="117"/>
    </row>
    <row r="2521" spans="1:59">
      <c r="A2521" s="117"/>
      <c r="B2521" s="117"/>
      <c r="C2521" s="117"/>
      <c r="D2521" s="117"/>
      <c r="E2521" s="117"/>
      <c r="F2521" s="117"/>
      <c r="G2521" s="117"/>
      <c r="H2521" s="117"/>
      <c r="I2521" s="117"/>
      <c r="J2521" s="118"/>
      <c r="K2521" s="118"/>
      <c r="L2521" s="118"/>
      <c r="M2521" s="118"/>
      <c r="N2521" s="117"/>
      <c r="O2521" s="117"/>
      <c r="P2521" s="117"/>
      <c r="Q2521" s="117"/>
      <c r="R2521" s="117"/>
      <c r="S2521" s="117"/>
      <c r="T2521" s="117"/>
      <c r="U2521" s="117"/>
      <c r="V2521" s="117"/>
      <c r="W2521" s="117"/>
      <c r="X2521" s="117"/>
      <c r="Y2521" s="117"/>
      <c r="Z2521" s="117"/>
      <c r="AA2521" s="117"/>
      <c r="AB2521" s="117"/>
      <c r="AC2521" s="117"/>
      <c r="AD2521" s="117"/>
      <c r="AE2521" s="117"/>
      <c r="AF2521" s="117"/>
      <c r="AG2521" s="117"/>
      <c r="AH2521" s="117"/>
      <c r="AI2521" s="117"/>
      <c r="AJ2521" s="117"/>
      <c r="AK2521" s="117"/>
      <c r="AL2521" s="117"/>
      <c r="AM2521" s="117"/>
      <c r="AN2521" s="117"/>
      <c r="AO2521" s="117"/>
      <c r="AP2521" s="117"/>
      <c r="AQ2521" s="117"/>
      <c r="AR2521" s="117"/>
      <c r="AS2521" s="117"/>
      <c r="AT2521" s="117"/>
      <c r="AU2521" s="117"/>
      <c r="AV2521" s="117"/>
      <c r="AW2521" s="117"/>
      <c r="AX2521" s="117"/>
      <c r="AY2521" s="117"/>
      <c r="AZ2521" s="117"/>
      <c r="BA2521" s="117"/>
      <c r="BB2521" s="117"/>
      <c r="BC2521" s="117"/>
      <c r="BD2521" s="117"/>
      <c r="BE2521" s="117"/>
      <c r="BF2521" s="117"/>
      <c r="BG2521" s="117"/>
    </row>
    <row r="2522" spans="1:59">
      <c r="A2522" s="117"/>
      <c r="B2522" s="117"/>
      <c r="C2522" s="117"/>
      <c r="D2522" s="117"/>
      <c r="E2522" s="117"/>
      <c r="F2522" s="117"/>
      <c r="G2522" s="117"/>
      <c r="H2522" s="117"/>
      <c r="I2522" s="117"/>
      <c r="J2522" s="118"/>
      <c r="K2522" s="118"/>
      <c r="L2522" s="118"/>
      <c r="M2522" s="118"/>
      <c r="N2522" s="117"/>
      <c r="O2522" s="117"/>
      <c r="P2522" s="117"/>
      <c r="Q2522" s="117"/>
      <c r="R2522" s="117"/>
      <c r="S2522" s="117"/>
      <c r="T2522" s="117"/>
      <c r="U2522" s="117"/>
      <c r="V2522" s="117"/>
      <c r="W2522" s="117"/>
      <c r="X2522" s="117"/>
      <c r="Y2522" s="117"/>
      <c r="Z2522" s="117"/>
      <c r="AA2522" s="117"/>
      <c r="AB2522" s="117"/>
      <c r="AC2522" s="117"/>
      <c r="AD2522" s="117"/>
      <c r="AE2522" s="117"/>
      <c r="AF2522" s="117"/>
      <c r="AG2522" s="117"/>
      <c r="AH2522" s="117"/>
      <c r="AI2522" s="117"/>
      <c r="AJ2522" s="117"/>
      <c r="AK2522" s="117"/>
      <c r="AL2522" s="117"/>
      <c r="AM2522" s="117"/>
      <c r="AN2522" s="117"/>
      <c r="AO2522" s="117"/>
      <c r="AP2522" s="117"/>
      <c r="AQ2522" s="117"/>
      <c r="AR2522" s="117"/>
      <c r="AS2522" s="117"/>
      <c r="AT2522" s="117"/>
      <c r="AU2522" s="117"/>
      <c r="AV2522" s="117"/>
      <c r="AW2522" s="117"/>
      <c r="AX2522" s="117"/>
      <c r="AY2522" s="117"/>
      <c r="AZ2522" s="117"/>
      <c r="BA2522" s="117"/>
      <c r="BB2522" s="117"/>
      <c r="BC2522" s="117"/>
      <c r="BD2522" s="117"/>
      <c r="BE2522" s="117"/>
      <c r="BF2522" s="117"/>
      <c r="BG2522" s="117"/>
    </row>
    <row r="2523" spans="1:59">
      <c r="A2523" s="117"/>
      <c r="B2523" s="117"/>
      <c r="C2523" s="117"/>
      <c r="D2523" s="117"/>
      <c r="E2523" s="117"/>
      <c r="F2523" s="117"/>
      <c r="G2523" s="117"/>
      <c r="H2523" s="117"/>
      <c r="I2523" s="117"/>
      <c r="J2523" s="118"/>
      <c r="K2523" s="118"/>
      <c r="L2523" s="118"/>
      <c r="M2523" s="118"/>
      <c r="N2523" s="117"/>
      <c r="O2523" s="117"/>
      <c r="P2523" s="117"/>
      <c r="Q2523" s="117"/>
      <c r="R2523" s="117"/>
      <c r="S2523" s="117"/>
      <c r="T2523" s="117"/>
      <c r="U2523" s="117"/>
      <c r="V2523" s="117"/>
      <c r="W2523" s="117"/>
      <c r="X2523" s="117"/>
      <c r="Y2523" s="117"/>
      <c r="Z2523" s="117"/>
      <c r="AA2523" s="117"/>
      <c r="AB2523" s="117"/>
      <c r="AC2523" s="117"/>
      <c r="AD2523" s="117"/>
      <c r="AE2523" s="117"/>
      <c r="AF2523" s="117"/>
      <c r="AG2523" s="117"/>
      <c r="AH2523" s="117"/>
      <c r="AI2523" s="117"/>
      <c r="AJ2523" s="117"/>
      <c r="AK2523" s="117"/>
      <c r="AL2523" s="117"/>
      <c r="AM2523" s="117"/>
      <c r="AN2523" s="117"/>
      <c r="AO2523" s="117"/>
      <c r="AP2523" s="117"/>
      <c r="AQ2523" s="117"/>
      <c r="AR2523" s="117"/>
      <c r="AS2523" s="117"/>
      <c r="AT2523" s="117"/>
      <c r="AU2523" s="117"/>
      <c r="AV2523" s="117"/>
      <c r="AW2523" s="117"/>
      <c r="AX2523" s="117"/>
      <c r="AY2523" s="117"/>
      <c r="AZ2523" s="117"/>
      <c r="BA2523" s="117"/>
      <c r="BB2523" s="117"/>
      <c r="BC2523" s="117"/>
      <c r="BD2523" s="117"/>
      <c r="BE2523" s="117"/>
      <c r="BF2523" s="117"/>
      <c r="BG2523" s="117"/>
    </row>
    <row r="2524" spans="1:59">
      <c r="A2524" s="117"/>
      <c r="B2524" s="117"/>
      <c r="C2524" s="117"/>
      <c r="D2524" s="117"/>
      <c r="E2524" s="117"/>
      <c r="F2524" s="117"/>
      <c r="G2524" s="117"/>
      <c r="H2524" s="117"/>
      <c r="I2524" s="117"/>
      <c r="J2524" s="118"/>
      <c r="K2524" s="118"/>
      <c r="L2524" s="118"/>
      <c r="M2524" s="118"/>
      <c r="N2524" s="117"/>
      <c r="O2524" s="117"/>
      <c r="P2524" s="117"/>
      <c r="Q2524" s="117"/>
      <c r="R2524" s="117"/>
      <c r="S2524" s="117"/>
      <c r="T2524" s="117"/>
      <c r="U2524" s="117"/>
      <c r="V2524" s="117"/>
      <c r="W2524" s="117"/>
      <c r="X2524" s="117"/>
      <c r="Y2524" s="117"/>
      <c r="Z2524" s="117"/>
      <c r="AA2524" s="117"/>
      <c r="AB2524" s="117"/>
      <c r="AC2524" s="117"/>
      <c r="AD2524" s="117"/>
      <c r="AE2524" s="117"/>
      <c r="AF2524" s="117"/>
      <c r="AG2524" s="117"/>
      <c r="AH2524" s="117"/>
      <c r="AI2524" s="117"/>
      <c r="AJ2524" s="117"/>
      <c r="AK2524" s="117"/>
      <c r="AL2524" s="117"/>
      <c r="AM2524" s="117"/>
      <c r="AN2524" s="117"/>
      <c r="AO2524" s="117"/>
      <c r="AP2524" s="117"/>
      <c r="AQ2524" s="117"/>
      <c r="AR2524" s="117"/>
      <c r="AS2524" s="117"/>
      <c r="AT2524" s="117"/>
      <c r="AU2524" s="117"/>
      <c r="AV2524" s="117"/>
      <c r="AW2524" s="117"/>
      <c r="AX2524" s="117"/>
      <c r="AY2524" s="117"/>
      <c r="AZ2524" s="117"/>
      <c r="BA2524" s="117"/>
      <c r="BB2524" s="117"/>
      <c r="BC2524" s="117"/>
      <c r="BD2524" s="117"/>
      <c r="BE2524" s="117"/>
      <c r="BF2524" s="117"/>
      <c r="BG2524" s="117"/>
    </row>
    <row r="2525" spans="1:59">
      <c r="A2525" s="117"/>
      <c r="B2525" s="117"/>
      <c r="C2525" s="117"/>
      <c r="D2525" s="117"/>
      <c r="E2525" s="117"/>
      <c r="F2525" s="117"/>
      <c r="G2525" s="117"/>
      <c r="H2525" s="117"/>
      <c r="I2525" s="117"/>
      <c r="J2525" s="118"/>
      <c r="K2525" s="118"/>
      <c r="L2525" s="118"/>
      <c r="M2525" s="118"/>
      <c r="N2525" s="117"/>
      <c r="O2525" s="117"/>
      <c r="P2525" s="117"/>
      <c r="Q2525" s="117"/>
      <c r="R2525" s="117"/>
      <c r="S2525" s="117"/>
      <c r="T2525" s="117"/>
      <c r="U2525" s="117"/>
      <c r="V2525" s="117"/>
      <c r="W2525" s="117"/>
      <c r="X2525" s="117"/>
      <c r="Y2525" s="117"/>
      <c r="Z2525" s="117"/>
      <c r="AA2525" s="117"/>
      <c r="AB2525" s="117"/>
      <c r="AC2525" s="117"/>
      <c r="AD2525" s="117"/>
      <c r="AE2525" s="117"/>
      <c r="AF2525" s="117"/>
      <c r="AG2525" s="117"/>
      <c r="AH2525" s="117"/>
      <c r="AI2525" s="117"/>
      <c r="AJ2525" s="117"/>
      <c r="AK2525" s="117"/>
      <c r="AL2525" s="117"/>
      <c r="AM2525" s="117"/>
      <c r="AN2525" s="117"/>
      <c r="AO2525" s="117"/>
      <c r="AP2525" s="117"/>
      <c r="AQ2525" s="117"/>
      <c r="AR2525" s="117"/>
      <c r="AS2525" s="117"/>
      <c r="AT2525" s="117"/>
      <c r="AU2525" s="117"/>
      <c r="AV2525" s="117"/>
      <c r="AW2525" s="117"/>
      <c r="AX2525" s="117"/>
      <c r="AY2525" s="117"/>
      <c r="AZ2525" s="117"/>
      <c r="BA2525" s="117"/>
      <c r="BB2525" s="117"/>
      <c r="BC2525" s="117"/>
      <c r="BD2525" s="117"/>
      <c r="BE2525" s="117"/>
      <c r="BF2525" s="117"/>
      <c r="BG2525" s="117"/>
    </row>
    <row r="2526" spans="1:59">
      <c r="A2526" s="117"/>
      <c r="B2526" s="117"/>
      <c r="C2526" s="117"/>
      <c r="D2526" s="117"/>
      <c r="E2526" s="117"/>
      <c r="F2526" s="117"/>
      <c r="G2526" s="117"/>
      <c r="H2526" s="117"/>
      <c r="I2526" s="117"/>
      <c r="J2526" s="118"/>
      <c r="K2526" s="118"/>
      <c r="L2526" s="118"/>
      <c r="M2526" s="118"/>
      <c r="N2526" s="117"/>
      <c r="O2526" s="117"/>
      <c r="P2526" s="117"/>
      <c r="Q2526" s="117"/>
      <c r="R2526" s="117"/>
      <c r="S2526" s="117"/>
      <c r="T2526" s="117"/>
      <c r="U2526" s="117"/>
      <c r="V2526" s="117"/>
      <c r="W2526" s="117"/>
      <c r="X2526" s="117"/>
      <c r="Y2526" s="117"/>
      <c r="Z2526" s="117"/>
      <c r="AA2526" s="117"/>
      <c r="AB2526" s="117"/>
      <c r="AC2526" s="117"/>
      <c r="AD2526" s="117"/>
      <c r="AE2526" s="117"/>
      <c r="AF2526" s="117"/>
      <c r="AG2526" s="117"/>
      <c r="AH2526" s="117"/>
      <c r="AI2526" s="117"/>
      <c r="AJ2526" s="117"/>
      <c r="AK2526" s="117"/>
      <c r="AL2526" s="117"/>
      <c r="AM2526" s="117"/>
      <c r="AN2526" s="117"/>
      <c r="AO2526" s="117"/>
      <c r="AP2526" s="117"/>
      <c r="AQ2526" s="117"/>
      <c r="AR2526" s="117"/>
      <c r="AS2526" s="117"/>
      <c r="AT2526" s="117"/>
      <c r="AU2526" s="117"/>
      <c r="AV2526" s="117"/>
      <c r="AW2526" s="117"/>
      <c r="AX2526" s="117"/>
      <c r="AY2526" s="117"/>
      <c r="AZ2526" s="117"/>
      <c r="BA2526" s="117"/>
      <c r="BB2526" s="117"/>
      <c r="BC2526" s="117"/>
      <c r="BD2526" s="117"/>
      <c r="BE2526" s="117"/>
      <c r="BF2526" s="117"/>
      <c r="BG2526" s="117"/>
    </row>
    <row r="2527" spans="1:59">
      <c r="A2527" s="117"/>
      <c r="B2527" s="117"/>
      <c r="C2527" s="117"/>
      <c r="D2527" s="117"/>
      <c r="E2527" s="117"/>
      <c r="F2527" s="117"/>
      <c r="G2527" s="117"/>
      <c r="H2527" s="117"/>
      <c r="I2527" s="117"/>
      <c r="J2527" s="118"/>
      <c r="K2527" s="118"/>
      <c r="L2527" s="118"/>
      <c r="M2527" s="118"/>
      <c r="N2527" s="117"/>
      <c r="O2527" s="117"/>
      <c r="P2527" s="117"/>
      <c r="Q2527" s="117"/>
      <c r="R2527" s="117"/>
      <c r="S2527" s="117"/>
      <c r="T2527" s="117"/>
      <c r="U2527" s="117"/>
      <c r="V2527" s="117"/>
      <c r="W2527" s="117"/>
      <c r="X2527" s="117"/>
      <c r="Y2527" s="117"/>
      <c r="Z2527" s="117"/>
      <c r="AA2527" s="117"/>
      <c r="AB2527" s="117"/>
      <c r="AC2527" s="117"/>
      <c r="AD2527" s="117"/>
      <c r="AE2527" s="117"/>
      <c r="AF2527" s="117"/>
      <c r="AG2527" s="117"/>
      <c r="AH2527" s="117"/>
      <c r="AI2527" s="117"/>
      <c r="AJ2527" s="117"/>
      <c r="AK2527" s="117"/>
      <c r="AL2527" s="117"/>
      <c r="AM2527" s="117"/>
      <c r="AN2527" s="117"/>
      <c r="AO2527" s="117"/>
      <c r="AP2527" s="117"/>
      <c r="AQ2527" s="117"/>
      <c r="AR2527" s="117"/>
      <c r="AS2527" s="117"/>
      <c r="AT2527" s="117"/>
      <c r="AU2527" s="117"/>
      <c r="AV2527" s="117"/>
      <c r="AW2527" s="117"/>
      <c r="AX2527" s="117"/>
      <c r="AY2527" s="117"/>
      <c r="AZ2527" s="117"/>
      <c r="BA2527" s="117"/>
      <c r="BB2527" s="117"/>
      <c r="BC2527" s="117"/>
      <c r="BD2527" s="117"/>
      <c r="BE2527" s="117"/>
      <c r="BF2527" s="117"/>
      <c r="BG2527" s="117"/>
    </row>
    <row r="2528" spans="1:59">
      <c r="A2528" s="117"/>
      <c r="B2528" s="117"/>
      <c r="C2528" s="117"/>
      <c r="D2528" s="117"/>
      <c r="E2528" s="117"/>
      <c r="F2528" s="117"/>
      <c r="G2528" s="117"/>
      <c r="H2528" s="117"/>
      <c r="I2528" s="117"/>
      <c r="J2528" s="118"/>
      <c r="K2528" s="118"/>
      <c r="L2528" s="118"/>
      <c r="M2528" s="118"/>
      <c r="N2528" s="117"/>
      <c r="O2528" s="117"/>
      <c r="P2528" s="117"/>
      <c r="Q2528" s="117"/>
      <c r="R2528" s="117"/>
      <c r="S2528" s="117"/>
      <c r="T2528" s="117"/>
      <c r="U2528" s="117"/>
      <c r="V2528" s="117"/>
      <c r="W2528" s="117"/>
      <c r="X2528" s="117"/>
      <c r="Y2528" s="117"/>
      <c r="Z2528" s="117"/>
      <c r="AA2528" s="117"/>
      <c r="AB2528" s="117"/>
      <c r="AC2528" s="117"/>
      <c r="AD2528" s="117"/>
      <c r="AE2528" s="117"/>
      <c r="AF2528" s="117"/>
      <c r="AG2528" s="117"/>
      <c r="AH2528" s="117"/>
      <c r="AI2528" s="117"/>
      <c r="AJ2528" s="117"/>
      <c r="AK2528" s="117"/>
      <c r="AL2528" s="117"/>
      <c r="AM2528" s="117"/>
      <c r="AN2528" s="117"/>
      <c r="AO2528" s="117"/>
      <c r="AP2528" s="117"/>
      <c r="AQ2528" s="117"/>
      <c r="AR2528" s="117"/>
      <c r="AS2528" s="117"/>
      <c r="AT2528" s="117"/>
      <c r="AU2528" s="117"/>
      <c r="AV2528" s="117"/>
      <c r="AW2528" s="117"/>
      <c r="AX2528" s="117"/>
      <c r="AY2528" s="117"/>
      <c r="AZ2528" s="117"/>
      <c r="BA2528" s="117"/>
      <c r="BB2528" s="117"/>
      <c r="BC2528" s="117"/>
      <c r="BD2528" s="117"/>
      <c r="BE2528" s="117"/>
      <c r="BF2528" s="117"/>
      <c r="BG2528" s="117"/>
    </row>
    <row r="2529" spans="1:59">
      <c r="A2529" s="117"/>
      <c r="B2529" s="117"/>
      <c r="C2529" s="117"/>
      <c r="D2529" s="117"/>
      <c r="E2529" s="117"/>
      <c r="F2529" s="117"/>
      <c r="G2529" s="117"/>
      <c r="H2529" s="117"/>
      <c r="I2529" s="117"/>
      <c r="J2529" s="118"/>
      <c r="K2529" s="118"/>
      <c r="L2529" s="118"/>
      <c r="M2529" s="118"/>
      <c r="N2529" s="117"/>
      <c r="O2529" s="117"/>
      <c r="P2529" s="117"/>
      <c r="Q2529" s="117"/>
      <c r="R2529" s="117"/>
      <c r="S2529" s="117"/>
      <c r="T2529" s="117"/>
      <c r="U2529" s="117"/>
      <c r="V2529" s="117"/>
      <c r="W2529" s="117"/>
      <c r="X2529" s="117"/>
      <c r="Y2529" s="117"/>
      <c r="Z2529" s="117"/>
      <c r="AA2529" s="117"/>
      <c r="AB2529" s="117"/>
      <c r="AC2529" s="117"/>
      <c r="AD2529" s="117"/>
      <c r="AE2529" s="117"/>
      <c r="AF2529" s="117"/>
      <c r="AG2529" s="117"/>
      <c r="AH2529" s="117"/>
      <c r="AI2529" s="117"/>
      <c r="AJ2529" s="117"/>
      <c r="AK2529" s="117"/>
      <c r="AL2529" s="117"/>
      <c r="AM2529" s="117"/>
      <c r="AN2529" s="117"/>
      <c r="AO2529" s="117"/>
      <c r="AP2529" s="117"/>
      <c r="AQ2529" s="117"/>
      <c r="AR2529" s="117"/>
      <c r="AS2529" s="117"/>
      <c r="AT2529" s="117"/>
      <c r="AU2529" s="117"/>
      <c r="AV2529" s="117"/>
      <c r="AW2529" s="117"/>
      <c r="AX2529" s="117"/>
      <c r="AY2529" s="117"/>
      <c r="AZ2529" s="117"/>
      <c r="BA2529" s="117"/>
      <c r="BB2529" s="117"/>
      <c r="BC2529" s="117"/>
      <c r="BD2529" s="117"/>
      <c r="BE2529" s="117"/>
      <c r="BF2529" s="117"/>
      <c r="BG2529" s="117"/>
    </row>
    <row r="2530" spans="1:59">
      <c r="A2530" s="117"/>
      <c r="B2530" s="117"/>
      <c r="C2530" s="117"/>
      <c r="D2530" s="117"/>
      <c r="E2530" s="117"/>
      <c r="F2530" s="117"/>
      <c r="G2530" s="117"/>
      <c r="H2530" s="117"/>
      <c r="I2530" s="117"/>
      <c r="J2530" s="118"/>
      <c r="K2530" s="118"/>
      <c r="L2530" s="118"/>
      <c r="M2530" s="118"/>
      <c r="N2530" s="117"/>
      <c r="O2530" s="117"/>
      <c r="P2530" s="117"/>
      <c r="Q2530" s="117"/>
      <c r="R2530" s="117"/>
      <c r="S2530" s="117"/>
      <c r="T2530" s="117"/>
      <c r="U2530" s="117"/>
      <c r="V2530" s="117"/>
      <c r="W2530" s="117"/>
      <c r="X2530" s="117"/>
      <c r="Y2530" s="117"/>
      <c r="Z2530" s="117"/>
      <c r="AA2530" s="117"/>
      <c r="AB2530" s="117"/>
      <c r="AC2530" s="117"/>
      <c r="AD2530" s="117"/>
      <c r="AE2530" s="117"/>
      <c r="AF2530" s="117"/>
      <c r="AG2530" s="117"/>
      <c r="AH2530" s="117"/>
      <c r="AI2530" s="117"/>
      <c r="AJ2530" s="117"/>
      <c r="AK2530" s="117"/>
      <c r="AL2530" s="117"/>
      <c r="AM2530" s="117"/>
      <c r="AN2530" s="117"/>
      <c r="AO2530" s="117"/>
      <c r="AP2530" s="117"/>
      <c r="AQ2530" s="117"/>
      <c r="AR2530" s="117"/>
      <c r="AS2530" s="117"/>
      <c r="AT2530" s="117"/>
      <c r="AU2530" s="117"/>
      <c r="AV2530" s="117"/>
      <c r="AW2530" s="117"/>
      <c r="AX2530" s="117"/>
      <c r="AY2530" s="117"/>
      <c r="AZ2530" s="117"/>
      <c r="BA2530" s="117"/>
      <c r="BB2530" s="117"/>
      <c r="BC2530" s="117"/>
      <c r="BD2530" s="117"/>
      <c r="BE2530" s="117"/>
      <c r="BF2530" s="117"/>
      <c r="BG2530" s="117"/>
    </row>
    <row r="2531" spans="1:59">
      <c r="A2531" s="117"/>
      <c r="B2531" s="117"/>
      <c r="C2531" s="117"/>
      <c r="D2531" s="117"/>
      <c r="E2531" s="117"/>
      <c r="F2531" s="117"/>
      <c r="G2531" s="117"/>
      <c r="H2531" s="117"/>
      <c r="I2531" s="117"/>
      <c r="J2531" s="118"/>
      <c r="K2531" s="118"/>
      <c r="L2531" s="118"/>
      <c r="M2531" s="118"/>
      <c r="N2531" s="117"/>
      <c r="O2531" s="117"/>
      <c r="P2531" s="117"/>
      <c r="Q2531" s="117"/>
      <c r="R2531" s="117"/>
      <c r="S2531" s="117"/>
      <c r="T2531" s="117"/>
      <c r="U2531" s="117"/>
      <c r="V2531" s="117"/>
      <c r="W2531" s="117"/>
      <c r="X2531" s="117"/>
      <c r="Y2531" s="117"/>
      <c r="Z2531" s="117"/>
      <c r="AA2531" s="117"/>
      <c r="AB2531" s="117"/>
      <c r="AC2531" s="117"/>
      <c r="AD2531" s="117"/>
      <c r="AE2531" s="117"/>
      <c r="AF2531" s="117"/>
      <c r="AG2531" s="117"/>
      <c r="AH2531" s="117"/>
      <c r="AI2531" s="117"/>
      <c r="AJ2531" s="117"/>
      <c r="AK2531" s="117"/>
      <c r="AL2531" s="117"/>
      <c r="AM2531" s="117"/>
      <c r="AN2531" s="117"/>
      <c r="AO2531" s="117"/>
      <c r="AP2531" s="117"/>
      <c r="AQ2531" s="117"/>
      <c r="AR2531" s="117"/>
      <c r="AS2531" s="117"/>
      <c r="AT2531" s="117"/>
      <c r="AU2531" s="117"/>
      <c r="AV2531" s="117"/>
      <c r="AW2531" s="117"/>
      <c r="AX2531" s="117"/>
      <c r="AY2531" s="117"/>
      <c r="AZ2531" s="117"/>
      <c r="BA2531" s="117"/>
      <c r="BB2531" s="117"/>
      <c r="BC2531" s="117"/>
      <c r="BD2531" s="117"/>
      <c r="BE2531" s="117"/>
      <c r="BF2531" s="117"/>
      <c r="BG2531" s="117"/>
    </row>
    <row r="2532" spans="1:59">
      <c r="A2532" s="117"/>
      <c r="B2532" s="117"/>
      <c r="C2532" s="117"/>
      <c r="D2532" s="117"/>
      <c r="E2532" s="117"/>
      <c r="F2532" s="117"/>
      <c r="G2532" s="117"/>
      <c r="H2532" s="117"/>
      <c r="I2532" s="117"/>
      <c r="J2532" s="118"/>
      <c r="K2532" s="118"/>
      <c r="L2532" s="118"/>
      <c r="M2532" s="118"/>
      <c r="N2532" s="117"/>
      <c r="O2532" s="117"/>
      <c r="P2532" s="117"/>
      <c r="Q2532" s="117"/>
      <c r="R2532" s="117"/>
      <c r="S2532" s="117"/>
      <c r="T2532" s="117"/>
      <c r="U2532" s="117"/>
      <c r="V2532" s="117"/>
      <c r="W2532" s="117"/>
      <c r="X2532" s="117"/>
      <c r="Y2532" s="117"/>
      <c r="Z2532" s="117"/>
      <c r="AA2532" s="117"/>
      <c r="AB2532" s="117"/>
      <c r="AC2532" s="117"/>
      <c r="AD2532" s="117"/>
      <c r="AE2532" s="117"/>
      <c r="AF2532" s="117"/>
      <c r="AG2532" s="117"/>
      <c r="AH2532" s="117"/>
      <c r="AI2532" s="117"/>
      <c r="AJ2532" s="117"/>
      <c r="AK2532" s="117"/>
      <c r="AL2532" s="117"/>
      <c r="AM2532" s="117"/>
      <c r="AN2532" s="117"/>
      <c r="AO2532" s="117"/>
      <c r="AP2532" s="117"/>
      <c r="AQ2532" s="117"/>
      <c r="AR2532" s="117"/>
      <c r="AS2532" s="117"/>
      <c r="AT2532" s="117"/>
      <c r="AU2532" s="117"/>
      <c r="AV2532" s="117"/>
      <c r="AW2532" s="117"/>
      <c r="AX2532" s="117"/>
      <c r="AY2532" s="117"/>
      <c r="AZ2532" s="117"/>
      <c r="BA2532" s="117"/>
      <c r="BB2532" s="117"/>
      <c r="BC2532" s="117"/>
      <c r="BD2532" s="117"/>
      <c r="BE2532" s="117"/>
      <c r="BF2532" s="117"/>
      <c r="BG2532" s="117"/>
    </row>
    <row r="2533" spans="1:59">
      <c r="A2533" s="117"/>
      <c r="B2533" s="117"/>
      <c r="C2533" s="117"/>
      <c r="D2533" s="117"/>
      <c r="E2533" s="117"/>
      <c r="F2533" s="117"/>
      <c r="G2533" s="117"/>
      <c r="H2533" s="117"/>
      <c r="I2533" s="117"/>
      <c r="J2533" s="118"/>
      <c r="K2533" s="118"/>
      <c r="L2533" s="118"/>
      <c r="M2533" s="118"/>
      <c r="N2533" s="117"/>
      <c r="O2533" s="117"/>
      <c r="P2533" s="117"/>
      <c r="Q2533" s="117"/>
      <c r="R2533" s="117"/>
      <c r="S2533" s="117"/>
      <c r="T2533" s="117"/>
      <c r="U2533" s="117"/>
      <c r="V2533" s="117"/>
      <c r="W2533" s="117"/>
      <c r="X2533" s="117"/>
      <c r="Y2533" s="117"/>
      <c r="Z2533" s="117"/>
      <c r="AA2533" s="117"/>
      <c r="AB2533" s="117"/>
      <c r="AC2533" s="117"/>
      <c r="AD2533" s="117"/>
      <c r="AE2533" s="117"/>
      <c r="AF2533" s="117"/>
      <c r="AG2533" s="117"/>
      <c r="AH2533" s="117"/>
      <c r="AI2533" s="117"/>
      <c r="AJ2533" s="117"/>
      <c r="AK2533" s="117"/>
      <c r="AL2533" s="117"/>
      <c r="AM2533" s="117"/>
      <c r="AN2533" s="117"/>
      <c r="AO2533" s="117"/>
      <c r="AP2533" s="117"/>
      <c r="AQ2533" s="117"/>
      <c r="AR2533" s="117"/>
      <c r="AS2533" s="117"/>
      <c r="AT2533" s="117"/>
      <c r="AU2533" s="117"/>
      <c r="AV2533" s="117"/>
      <c r="AW2533" s="117"/>
      <c r="AX2533" s="117"/>
      <c r="AY2533" s="117"/>
      <c r="AZ2533" s="117"/>
      <c r="BA2533" s="117"/>
      <c r="BB2533" s="117"/>
      <c r="BC2533" s="117"/>
      <c r="BD2533" s="117"/>
      <c r="BE2533" s="117"/>
      <c r="BF2533" s="117"/>
      <c r="BG2533" s="117"/>
    </row>
    <row r="2534" spans="1:59">
      <c r="A2534" s="117"/>
      <c r="B2534" s="117"/>
      <c r="C2534" s="117"/>
      <c r="D2534" s="117"/>
      <c r="E2534" s="117"/>
      <c r="F2534" s="117"/>
      <c r="G2534" s="117"/>
      <c r="H2534" s="117"/>
      <c r="I2534" s="117"/>
      <c r="J2534" s="118"/>
      <c r="K2534" s="118"/>
      <c r="L2534" s="118"/>
      <c r="M2534" s="118"/>
      <c r="N2534" s="117"/>
      <c r="O2534" s="117"/>
      <c r="P2534" s="117"/>
      <c r="Q2534" s="117"/>
      <c r="R2534" s="117"/>
      <c r="S2534" s="117"/>
      <c r="T2534" s="117"/>
      <c r="U2534" s="117"/>
      <c r="V2534" s="117"/>
      <c r="W2534" s="117"/>
      <c r="X2534" s="117"/>
      <c r="Y2534" s="117"/>
      <c r="Z2534" s="117"/>
      <c r="AA2534" s="117"/>
      <c r="AB2534" s="117"/>
      <c r="AC2534" s="117"/>
      <c r="AD2534" s="117"/>
      <c r="AE2534" s="117"/>
      <c r="AF2534" s="117"/>
      <c r="AG2534" s="117"/>
      <c r="AH2534" s="117"/>
      <c r="AI2534" s="117"/>
      <c r="AJ2534" s="117"/>
      <c r="AK2534" s="117"/>
      <c r="AL2534" s="117"/>
      <c r="AM2534" s="117"/>
      <c r="AN2534" s="117"/>
      <c r="AO2534" s="117"/>
      <c r="AP2534" s="117"/>
      <c r="AQ2534" s="117"/>
      <c r="AR2534" s="117"/>
      <c r="AS2534" s="117"/>
      <c r="AT2534" s="117"/>
      <c r="AU2534" s="117"/>
      <c r="AV2534" s="117"/>
      <c r="AW2534" s="117"/>
      <c r="AX2534" s="117"/>
      <c r="AY2534" s="117"/>
      <c r="AZ2534" s="117"/>
      <c r="BA2534" s="117"/>
      <c r="BB2534" s="117"/>
      <c r="BC2534" s="117"/>
      <c r="BD2534" s="117"/>
      <c r="BE2534" s="117"/>
      <c r="BF2534" s="117"/>
      <c r="BG2534" s="117"/>
    </row>
    <row r="2535" spans="1:59">
      <c r="A2535" s="117"/>
      <c r="B2535" s="117"/>
      <c r="C2535" s="117"/>
      <c r="D2535" s="117"/>
      <c r="E2535" s="117"/>
      <c r="F2535" s="117"/>
      <c r="G2535" s="117"/>
      <c r="H2535" s="117"/>
      <c r="I2535" s="117"/>
      <c r="J2535" s="118"/>
      <c r="K2535" s="118"/>
      <c r="L2535" s="118"/>
      <c r="M2535" s="118"/>
      <c r="N2535" s="117"/>
      <c r="O2535" s="117"/>
      <c r="P2535" s="117"/>
      <c r="Q2535" s="117"/>
      <c r="R2535" s="117"/>
      <c r="S2535" s="117"/>
      <c r="T2535" s="117"/>
      <c r="U2535" s="117"/>
      <c r="V2535" s="117"/>
      <c r="W2535" s="117"/>
      <c r="X2535" s="117"/>
      <c r="Y2535" s="117"/>
      <c r="Z2535" s="117"/>
      <c r="AA2535" s="117"/>
      <c r="AB2535" s="117"/>
      <c r="AC2535" s="117"/>
      <c r="AD2535" s="117"/>
      <c r="AE2535" s="117"/>
      <c r="AF2535" s="117"/>
      <c r="AG2535" s="117"/>
      <c r="AH2535" s="117"/>
      <c r="AI2535" s="117"/>
      <c r="AJ2535" s="117"/>
      <c r="AK2535" s="117"/>
      <c r="AL2535" s="117"/>
      <c r="AM2535" s="117"/>
      <c r="AN2535" s="117"/>
      <c r="AO2535" s="117"/>
      <c r="AP2535" s="117"/>
      <c r="AQ2535" s="117"/>
      <c r="AR2535" s="117"/>
      <c r="AS2535" s="117"/>
      <c r="AT2535" s="117"/>
      <c r="AU2535" s="117"/>
      <c r="AV2535" s="117"/>
      <c r="AW2535" s="117"/>
      <c r="AX2535" s="117"/>
      <c r="AY2535" s="117"/>
      <c r="AZ2535" s="117"/>
      <c r="BA2535" s="117"/>
      <c r="BB2535" s="117"/>
      <c r="BC2535" s="117"/>
      <c r="BD2535" s="117"/>
      <c r="BE2535" s="117"/>
      <c r="BF2535" s="117"/>
      <c r="BG2535" s="117"/>
    </row>
    <row r="2536" spans="1:59">
      <c r="A2536" s="117"/>
      <c r="B2536" s="117"/>
      <c r="C2536" s="117"/>
      <c r="D2536" s="117"/>
      <c r="E2536" s="117"/>
      <c r="F2536" s="117"/>
      <c r="G2536" s="117"/>
      <c r="H2536" s="117"/>
      <c r="I2536" s="117"/>
      <c r="J2536" s="118"/>
      <c r="K2536" s="118"/>
      <c r="L2536" s="118"/>
      <c r="M2536" s="118"/>
      <c r="N2536" s="117"/>
      <c r="O2536" s="117"/>
      <c r="P2536" s="117"/>
      <c r="Q2536" s="117"/>
      <c r="R2536" s="117"/>
      <c r="S2536" s="117"/>
      <c r="T2536" s="117"/>
      <c r="U2536" s="117"/>
      <c r="V2536" s="117"/>
      <c r="W2536" s="117"/>
      <c r="X2536" s="117"/>
      <c r="Y2536" s="117"/>
      <c r="Z2536" s="117"/>
      <c r="AA2536" s="117"/>
      <c r="AB2536" s="117"/>
      <c r="AC2536" s="117"/>
      <c r="AD2536" s="117"/>
      <c r="AE2536" s="117"/>
      <c r="AF2536" s="117"/>
      <c r="AG2536" s="117"/>
      <c r="AH2536" s="117"/>
      <c r="AI2536" s="117"/>
      <c r="AJ2536" s="117"/>
      <c r="AK2536" s="117"/>
      <c r="AL2536" s="117"/>
      <c r="AM2536" s="117"/>
      <c r="AN2536" s="117"/>
      <c r="AO2536" s="117"/>
      <c r="AP2536" s="117"/>
      <c r="AQ2536" s="117"/>
      <c r="AR2536" s="117"/>
      <c r="AS2536" s="117"/>
      <c r="AT2536" s="117"/>
      <c r="AU2536" s="117"/>
      <c r="AV2536" s="117"/>
      <c r="AW2536" s="117"/>
      <c r="AX2536" s="117"/>
      <c r="AY2536" s="117"/>
      <c r="AZ2536" s="117"/>
      <c r="BA2536" s="117"/>
      <c r="BB2536" s="117"/>
      <c r="BC2536" s="117"/>
      <c r="BD2536" s="117"/>
      <c r="BE2536" s="117"/>
      <c r="BF2536" s="117"/>
      <c r="BG2536" s="117"/>
    </row>
    <row r="2537" spans="1:59">
      <c r="A2537" s="117"/>
      <c r="B2537" s="117"/>
      <c r="C2537" s="117"/>
      <c r="D2537" s="117"/>
      <c r="E2537" s="117"/>
      <c r="F2537" s="117"/>
      <c r="G2537" s="117"/>
      <c r="H2537" s="117"/>
      <c r="I2537" s="117"/>
      <c r="J2537" s="118"/>
      <c r="K2537" s="118"/>
      <c r="L2537" s="118"/>
      <c r="M2537" s="118"/>
      <c r="N2537" s="117"/>
      <c r="O2537" s="117"/>
      <c r="P2537" s="117"/>
      <c r="Q2537" s="117"/>
      <c r="R2537" s="117"/>
      <c r="S2537" s="117"/>
      <c r="T2537" s="117"/>
      <c r="U2537" s="117"/>
      <c r="V2537" s="117"/>
      <c r="W2537" s="117"/>
      <c r="X2537" s="117"/>
      <c r="Y2537" s="117"/>
      <c r="Z2537" s="117"/>
      <c r="AA2537" s="117"/>
      <c r="AB2537" s="117"/>
      <c r="AC2537" s="117"/>
      <c r="AD2537" s="117"/>
      <c r="AE2537" s="117"/>
      <c r="AF2537" s="117"/>
      <c r="AG2537" s="117"/>
      <c r="AH2537" s="117"/>
      <c r="AI2537" s="117"/>
      <c r="AJ2537" s="117"/>
      <c r="AK2537" s="117"/>
      <c r="AL2537" s="117"/>
      <c r="AM2537" s="117"/>
      <c r="AN2537" s="117"/>
      <c r="AO2537" s="117"/>
      <c r="AP2537" s="117"/>
      <c r="AQ2537" s="117"/>
      <c r="AR2537" s="117"/>
      <c r="AS2537" s="117"/>
      <c r="AT2537" s="117"/>
      <c r="AU2537" s="117"/>
      <c r="AV2537" s="117"/>
      <c r="AW2537" s="117"/>
      <c r="AX2537" s="117"/>
      <c r="AY2537" s="117"/>
      <c r="AZ2537" s="117"/>
      <c r="BA2537" s="117"/>
      <c r="BB2537" s="117"/>
      <c r="BC2537" s="117"/>
      <c r="BD2537" s="117"/>
      <c r="BE2537" s="117"/>
      <c r="BF2537" s="117"/>
      <c r="BG2537" s="117"/>
    </row>
    <row r="2538" spans="1:59">
      <c r="A2538" s="117"/>
      <c r="B2538" s="117"/>
      <c r="C2538" s="117"/>
      <c r="D2538" s="117"/>
      <c r="E2538" s="117"/>
      <c r="F2538" s="117"/>
      <c r="G2538" s="117"/>
      <c r="H2538" s="117"/>
      <c r="I2538" s="117"/>
      <c r="J2538" s="118"/>
      <c r="K2538" s="118"/>
      <c r="L2538" s="118"/>
      <c r="M2538" s="118"/>
      <c r="N2538" s="117"/>
      <c r="O2538" s="117"/>
      <c r="P2538" s="117"/>
      <c r="Q2538" s="117"/>
      <c r="R2538" s="117"/>
      <c r="S2538" s="117"/>
      <c r="T2538" s="117"/>
      <c r="U2538" s="117"/>
      <c r="V2538" s="117"/>
      <c r="W2538" s="117"/>
      <c r="X2538" s="117"/>
      <c r="Y2538" s="117"/>
      <c r="Z2538" s="117"/>
      <c r="AA2538" s="117"/>
      <c r="AB2538" s="117"/>
      <c r="AC2538" s="117"/>
      <c r="AD2538" s="117"/>
      <c r="AE2538" s="117"/>
      <c r="AF2538" s="117"/>
      <c r="AG2538" s="117"/>
      <c r="AH2538" s="117"/>
      <c r="AI2538" s="117"/>
      <c r="AJ2538" s="117"/>
      <c r="AK2538" s="117"/>
      <c r="AL2538" s="117"/>
      <c r="AM2538" s="117"/>
      <c r="AN2538" s="117"/>
      <c r="AO2538" s="117"/>
      <c r="AP2538" s="117"/>
      <c r="AQ2538" s="117"/>
      <c r="AR2538" s="117"/>
      <c r="AS2538" s="117"/>
      <c r="AT2538" s="117"/>
      <c r="AU2538" s="117"/>
      <c r="AV2538" s="117"/>
      <c r="AW2538" s="117"/>
      <c r="AX2538" s="117"/>
      <c r="AY2538" s="117"/>
      <c r="AZ2538" s="117"/>
      <c r="BA2538" s="117"/>
      <c r="BB2538" s="117"/>
      <c r="BC2538" s="117"/>
      <c r="BD2538" s="117"/>
      <c r="BE2538" s="117"/>
      <c r="BF2538" s="117"/>
      <c r="BG2538" s="117"/>
    </row>
    <row r="2539" spans="1:59">
      <c r="A2539" s="117"/>
      <c r="B2539" s="117"/>
      <c r="C2539" s="117"/>
      <c r="D2539" s="117"/>
      <c r="E2539" s="117"/>
      <c r="F2539" s="117"/>
      <c r="G2539" s="117"/>
      <c r="H2539" s="117"/>
      <c r="I2539" s="117"/>
      <c r="J2539" s="118"/>
      <c r="K2539" s="118"/>
      <c r="L2539" s="118"/>
      <c r="M2539" s="118"/>
      <c r="N2539" s="117"/>
      <c r="O2539" s="117"/>
      <c r="P2539" s="117"/>
      <c r="Q2539" s="117"/>
      <c r="R2539" s="117"/>
      <c r="S2539" s="117"/>
      <c r="T2539" s="117"/>
      <c r="U2539" s="117"/>
      <c r="V2539" s="117"/>
      <c r="W2539" s="117"/>
      <c r="X2539" s="117"/>
      <c r="Y2539" s="117"/>
      <c r="Z2539" s="117"/>
      <c r="AA2539" s="117"/>
      <c r="AB2539" s="117"/>
      <c r="AC2539" s="117"/>
      <c r="AD2539" s="117"/>
      <c r="AE2539" s="117"/>
      <c r="AF2539" s="117"/>
      <c r="AG2539" s="117"/>
      <c r="AH2539" s="117"/>
      <c r="AI2539" s="117"/>
      <c r="AJ2539" s="117"/>
      <c r="AK2539" s="117"/>
      <c r="AL2539" s="117"/>
      <c r="AM2539" s="117"/>
      <c r="AN2539" s="117"/>
      <c r="AO2539" s="117"/>
      <c r="AP2539" s="117"/>
      <c r="AQ2539" s="117"/>
      <c r="AR2539" s="117"/>
      <c r="AS2539" s="117"/>
      <c r="AT2539" s="117"/>
      <c r="AU2539" s="117"/>
      <c r="AV2539" s="117"/>
      <c r="AW2539" s="117"/>
      <c r="AX2539" s="117"/>
      <c r="AY2539" s="117"/>
      <c r="AZ2539" s="117"/>
      <c r="BA2539" s="117"/>
      <c r="BB2539" s="117"/>
      <c r="BC2539" s="117"/>
      <c r="BD2539" s="117"/>
      <c r="BE2539" s="117"/>
      <c r="BF2539" s="117"/>
      <c r="BG2539" s="117"/>
    </row>
    <row r="2540" spans="1:59">
      <c r="A2540" s="117"/>
      <c r="B2540" s="117"/>
      <c r="C2540" s="117"/>
      <c r="D2540" s="117"/>
      <c r="E2540" s="117"/>
      <c r="F2540" s="117"/>
      <c r="G2540" s="117"/>
      <c r="H2540" s="117"/>
      <c r="I2540" s="117"/>
      <c r="J2540" s="118"/>
      <c r="K2540" s="118"/>
      <c r="L2540" s="118"/>
      <c r="M2540" s="118"/>
      <c r="N2540" s="117"/>
      <c r="O2540" s="117"/>
      <c r="P2540" s="117"/>
      <c r="Q2540" s="117"/>
      <c r="R2540" s="117"/>
      <c r="S2540" s="117"/>
      <c r="T2540" s="117"/>
      <c r="U2540" s="117"/>
      <c r="V2540" s="117"/>
      <c r="W2540" s="117"/>
      <c r="X2540" s="117"/>
      <c r="Y2540" s="117"/>
      <c r="Z2540" s="117"/>
      <c r="AA2540" s="117"/>
      <c r="AB2540" s="117"/>
      <c r="AC2540" s="117"/>
      <c r="AD2540" s="117"/>
      <c r="AE2540" s="117"/>
      <c r="AF2540" s="117"/>
      <c r="AG2540" s="117"/>
      <c r="AH2540" s="117"/>
      <c r="AI2540" s="117"/>
      <c r="AJ2540" s="117"/>
      <c r="AK2540" s="117"/>
      <c r="AL2540" s="117"/>
      <c r="AM2540" s="117"/>
      <c r="AN2540" s="117"/>
      <c r="AO2540" s="117"/>
      <c r="AP2540" s="117"/>
      <c r="AQ2540" s="117"/>
      <c r="AR2540" s="117"/>
      <c r="AS2540" s="117"/>
      <c r="AT2540" s="117"/>
      <c r="AU2540" s="117"/>
      <c r="AV2540" s="117"/>
      <c r="AW2540" s="117"/>
      <c r="AX2540" s="117"/>
      <c r="AY2540" s="117"/>
      <c r="AZ2540" s="117"/>
      <c r="BA2540" s="117"/>
      <c r="BB2540" s="117"/>
      <c r="BC2540" s="117"/>
      <c r="BD2540" s="117"/>
      <c r="BE2540" s="117"/>
      <c r="BF2540" s="117"/>
      <c r="BG2540" s="117"/>
    </row>
    <row r="2541" spans="1:59">
      <c r="A2541" s="117"/>
      <c r="B2541" s="117"/>
      <c r="C2541" s="117"/>
      <c r="D2541" s="117"/>
      <c r="E2541" s="117"/>
      <c r="F2541" s="117"/>
      <c r="G2541" s="117"/>
      <c r="H2541" s="117"/>
      <c r="I2541" s="117"/>
      <c r="J2541" s="118"/>
      <c r="K2541" s="118"/>
      <c r="L2541" s="118"/>
      <c r="M2541" s="118"/>
      <c r="N2541" s="117"/>
      <c r="O2541" s="117"/>
      <c r="P2541" s="117"/>
      <c r="Q2541" s="117"/>
      <c r="R2541" s="117"/>
      <c r="S2541" s="117"/>
      <c r="T2541" s="117"/>
      <c r="U2541" s="117"/>
      <c r="V2541" s="117"/>
      <c r="W2541" s="117"/>
      <c r="X2541" s="117"/>
      <c r="Y2541" s="117"/>
      <c r="Z2541" s="117"/>
      <c r="AA2541" s="117"/>
      <c r="AB2541" s="117"/>
      <c r="AC2541" s="117"/>
      <c r="AD2541" s="117"/>
      <c r="AE2541" s="117"/>
      <c r="AF2541" s="117"/>
      <c r="AG2541" s="117"/>
      <c r="AH2541" s="117"/>
      <c r="AI2541" s="117"/>
      <c r="AJ2541" s="117"/>
      <c r="AK2541" s="117"/>
      <c r="AL2541" s="117"/>
      <c r="AM2541" s="117"/>
      <c r="AN2541" s="117"/>
      <c r="AO2541" s="117"/>
      <c r="AP2541" s="117"/>
      <c r="AQ2541" s="117"/>
      <c r="AR2541" s="117"/>
      <c r="AS2541" s="117"/>
      <c r="AT2541" s="117"/>
      <c r="AU2541" s="117"/>
      <c r="AV2541" s="117"/>
      <c r="AW2541" s="117"/>
      <c r="AX2541" s="117"/>
      <c r="AY2541" s="117"/>
      <c r="AZ2541" s="117"/>
      <c r="BA2541" s="117"/>
      <c r="BB2541" s="117"/>
      <c r="BC2541" s="117"/>
      <c r="BD2541" s="117"/>
      <c r="BE2541" s="117"/>
      <c r="BF2541" s="117"/>
      <c r="BG2541" s="117"/>
    </row>
    <row r="2542" spans="1:59">
      <c r="A2542" s="117"/>
      <c r="B2542" s="117"/>
      <c r="C2542" s="117"/>
      <c r="D2542" s="117"/>
      <c r="E2542" s="117"/>
      <c r="F2542" s="117"/>
      <c r="G2542" s="117"/>
      <c r="H2542" s="117"/>
      <c r="I2542" s="117"/>
      <c r="J2542" s="118"/>
      <c r="K2542" s="118"/>
      <c r="L2542" s="118"/>
      <c r="M2542" s="118"/>
      <c r="N2542" s="117"/>
      <c r="O2542" s="117"/>
      <c r="P2542" s="117"/>
      <c r="Q2542" s="117"/>
      <c r="R2542" s="117"/>
      <c r="S2542" s="117"/>
      <c r="T2542" s="117"/>
      <c r="U2542" s="117"/>
      <c r="V2542" s="117"/>
      <c r="W2542" s="117"/>
      <c r="X2542" s="117"/>
      <c r="Y2542" s="117"/>
      <c r="Z2542" s="117"/>
      <c r="AA2542" s="117"/>
      <c r="AB2542" s="117"/>
      <c r="AC2542" s="117"/>
      <c r="AD2542" s="117"/>
      <c r="AE2542" s="117"/>
      <c r="AF2542" s="117"/>
      <c r="AG2542" s="117"/>
      <c r="AH2542" s="117"/>
      <c r="AI2542" s="117"/>
      <c r="AJ2542" s="117"/>
      <c r="AK2542" s="117"/>
      <c r="AL2542" s="117"/>
      <c r="AM2542" s="117"/>
      <c r="AN2542" s="117"/>
      <c r="AO2542" s="117"/>
      <c r="AP2542" s="117"/>
      <c r="AQ2542" s="117"/>
      <c r="AR2542" s="117"/>
      <c r="AS2542" s="117"/>
      <c r="AT2542" s="117"/>
      <c r="AU2542" s="117"/>
      <c r="AV2542" s="117"/>
      <c r="AW2542" s="117"/>
      <c r="AX2542" s="117"/>
      <c r="AY2542" s="117"/>
      <c r="AZ2542" s="117"/>
      <c r="BA2542" s="117"/>
      <c r="BB2542" s="117"/>
      <c r="BC2542" s="117"/>
      <c r="BD2542" s="117"/>
      <c r="BE2542" s="117"/>
      <c r="BF2542" s="117"/>
      <c r="BG2542" s="117"/>
    </row>
    <row r="2543" spans="1:59">
      <c r="A2543" s="117"/>
      <c r="B2543" s="117"/>
      <c r="C2543" s="117"/>
      <c r="D2543" s="117"/>
      <c r="E2543" s="117"/>
      <c r="F2543" s="117"/>
      <c r="G2543" s="117"/>
      <c r="H2543" s="117"/>
      <c r="I2543" s="117"/>
      <c r="J2543" s="118"/>
      <c r="K2543" s="118"/>
      <c r="L2543" s="118"/>
      <c r="M2543" s="118"/>
      <c r="N2543" s="117"/>
      <c r="O2543" s="117"/>
      <c r="P2543" s="117"/>
      <c r="Q2543" s="117"/>
      <c r="R2543" s="117"/>
      <c r="S2543" s="117"/>
      <c r="T2543" s="117"/>
      <c r="U2543" s="117"/>
      <c r="V2543" s="117"/>
      <c r="W2543" s="117"/>
      <c r="X2543" s="117"/>
      <c r="Y2543" s="117"/>
      <c r="Z2543" s="117"/>
      <c r="AA2543" s="117"/>
      <c r="AB2543" s="117"/>
      <c r="AC2543" s="117"/>
      <c r="AD2543" s="117"/>
      <c r="AE2543" s="117"/>
      <c r="AF2543" s="117"/>
      <c r="AG2543" s="117"/>
      <c r="AH2543" s="117"/>
      <c r="AI2543" s="117"/>
      <c r="AJ2543" s="117"/>
      <c r="AK2543" s="117"/>
      <c r="AL2543" s="117"/>
      <c r="AM2543" s="117"/>
      <c r="AN2543" s="117"/>
      <c r="AO2543" s="117"/>
      <c r="AP2543" s="117"/>
      <c r="AQ2543" s="117"/>
      <c r="AR2543" s="117"/>
      <c r="AS2543" s="117"/>
      <c r="AT2543" s="117"/>
      <c r="AU2543" s="117"/>
      <c r="AV2543" s="117"/>
      <c r="AW2543" s="117"/>
      <c r="AX2543" s="117"/>
      <c r="AY2543" s="117"/>
      <c r="AZ2543" s="117"/>
      <c r="BA2543" s="117"/>
      <c r="BB2543" s="117"/>
      <c r="BC2543" s="117"/>
      <c r="BD2543" s="117"/>
      <c r="BE2543" s="117"/>
      <c r="BF2543" s="117"/>
      <c r="BG2543" s="117"/>
    </row>
    <row r="2544" spans="1:59">
      <c r="A2544" s="117"/>
      <c r="B2544" s="117"/>
      <c r="C2544" s="117"/>
      <c r="D2544" s="117"/>
      <c r="E2544" s="117"/>
      <c r="F2544" s="117"/>
      <c r="G2544" s="117"/>
      <c r="H2544" s="117"/>
      <c r="I2544" s="117"/>
      <c r="J2544" s="118"/>
      <c r="K2544" s="118"/>
      <c r="L2544" s="118"/>
      <c r="M2544" s="118"/>
      <c r="N2544" s="117"/>
      <c r="O2544" s="117"/>
      <c r="P2544" s="117"/>
      <c r="Q2544" s="117"/>
      <c r="R2544" s="117"/>
      <c r="S2544" s="117"/>
      <c r="T2544" s="117"/>
      <c r="U2544" s="117"/>
      <c r="V2544" s="117"/>
      <c r="W2544" s="117"/>
      <c r="X2544" s="117"/>
      <c r="Y2544" s="117"/>
      <c r="Z2544" s="117"/>
      <c r="AA2544" s="117"/>
      <c r="AB2544" s="117"/>
      <c r="AC2544" s="117"/>
      <c r="AD2544" s="117"/>
      <c r="AE2544" s="117"/>
      <c r="AF2544" s="117"/>
      <c r="AG2544" s="117"/>
      <c r="AH2544" s="117"/>
      <c r="AI2544" s="117"/>
      <c r="AJ2544" s="117"/>
      <c r="AK2544" s="117"/>
      <c r="AL2544" s="117"/>
      <c r="AM2544" s="117"/>
      <c r="AN2544" s="117"/>
      <c r="AO2544" s="117"/>
      <c r="AP2544" s="117"/>
      <c r="AQ2544" s="117"/>
      <c r="AR2544" s="117"/>
      <c r="AS2544" s="117"/>
      <c r="AT2544" s="117"/>
      <c r="AU2544" s="117"/>
      <c r="AV2544" s="117"/>
      <c r="AW2544" s="117"/>
      <c r="AX2544" s="117"/>
      <c r="AY2544" s="117"/>
      <c r="AZ2544" s="117"/>
      <c r="BA2544" s="117"/>
      <c r="BB2544" s="117"/>
      <c r="BC2544" s="117"/>
      <c r="BD2544" s="117"/>
      <c r="BE2544" s="117"/>
      <c r="BF2544" s="117"/>
      <c r="BG2544" s="117"/>
    </row>
    <row r="2545" spans="1:59">
      <c r="A2545" s="117"/>
      <c r="B2545" s="117"/>
      <c r="C2545" s="117"/>
      <c r="D2545" s="117"/>
      <c r="E2545" s="117"/>
      <c r="F2545" s="117"/>
      <c r="G2545" s="117"/>
      <c r="H2545" s="117"/>
      <c r="I2545" s="117"/>
      <c r="J2545" s="118"/>
      <c r="K2545" s="118"/>
      <c r="L2545" s="118"/>
      <c r="M2545" s="118"/>
      <c r="N2545" s="117"/>
      <c r="O2545" s="117"/>
      <c r="P2545" s="117"/>
      <c r="Q2545" s="117"/>
      <c r="R2545" s="117"/>
      <c r="S2545" s="117"/>
      <c r="T2545" s="117"/>
      <c r="U2545" s="117"/>
      <c r="V2545" s="117"/>
      <c r="W2545" s="117"/>
      <c r="X2545" s="117"/>
      <c r="Y2545" s="117"/>
      <c r="Z2545" s="117"/>
      <c r="AA2545" s="117"/>
      <c r="AB2545" s="117"/>
      <c r="AC2545" s="117"/>
      <c r="AD2545" s="117"/>
      <c r="AE2545" s="117"/>
      <c r="AF2545" s="117"/>
      <c r="AG2545" s="117"/>
      <c r="AH2545" s="117"/>
      <c r="AI2545" s="117"/>
      <c r="AJ2545" s="117"/>
      <c r="AK2545" s="117"/>
      <c r="AL2545" s="117"/>
      <c r="AM2545" s="117"/>
      <c r="AN2545" s="117"/>
      <c r="AO2545" s="117"/>
      <c r="AP2545" s="117"/>
      <c r="AQ2545" s="117"/>
      <c r="AR2545" s="117"/>
      <c r="AS2545" s="117"/>
      <c r="AT2545" s="117"/>
      <c r="AU2545" s="117"/>
      <c r="AV2545" s="117"/>
      <c r="AW2545" s="117"/>
      <c r="AX2545" s="117"/>
      <c r="AY2545" s="117"/>
      <c r="AZ2545" s="117"/>
      <c r="BA2545" s="117"/>
      <c r="BB2545" s="117"/>
      <c r="BC2545" s="117"/>
      <c r="BD2545" s="117"/>
      <c r="BE2545" s="117"/>
      <c r="BF2545" s="117"/>
      <c r="BG2545" s="117"/>
    </row>
    <row r="2546" spans="1:59">
      <c r="A2546" s="117"/>
      <c r="B2546" s="117"/>
      <c r="C2546" s="117"/>
      <c r="D2546" s="117"/>
      <c r="E2546" s="117"/>
      <c r="F2546" s="117"/>
      <c r="G2546" s="117"/>
      <c r="H2546" s="117"/>
      <c r="I2546" s="117"/>
      <c r="J2546" s="118"/>
      <c r="K2546" s="118"/>
      <c r="L2546" s="118"/>
      <c r="M2546" s="118"/>
      <c r="N2546" s="117"/>
      <c r="O2546" s="117"/>
      <c r="P2546" s="117"/>
      <c r="Q2546" s="117"/>
      <c r="R2546" s="117"/>
      <c r="S2546" s="117"/>
      <c r="T2546" s="117"/>
      <c r="U2546" s="117"/>
      <c r="V2546" s="117"/>
      <c r="W2546" s="117"/>
      <c r="X2546" s="117"/>
      <c r="Y2546" s="117"/>
      <c r="Z2546" s="117"/>
      <c r="AA2546" s="117"/>
      <c r="AB2546" s="117"/>
      <c r="AC2546" s="117"/>
      <c r="AD2546" s="117"/>
      <c r="AE2546" s="117"/>
      <c r="AF2546" s="117"/>
      <c r="AG2546" s="117"/>
      <c r="AH2546" s="117"/>
      <c r="AI2546" s="117"/>
      <c r="AJ2546" s="117"/>
      <c r="AK2546" s="117"/>
      <c r="AL2546" s="117"/>
      <c r="AM2546" s="117"/>
      <c r="AN2546" s="117"/>
      <c r="AO2546" s="117"/>
      <c r="AP2546" s="117"/>
      <c r="AQ2546" s="117"/>
      <c r="AR2546" s="117"/>
      <c r="AS2546" s="117"/>
      <c r="AT2546" s="117"/>
      <c r="AU2546" s="117"/>
      <c r="AV2546" s="117"/>
      <c r="AW2546" s="117"/>
      <c r="AX2546" s="117"/>
      <c r="AY2546" s="117"/>
      <c r="AZ2546" s="117"/>
      <c r="BA2546" s="117"/>
      <c r="BB2546" s="117"/>
      <c r="BC2546" s="117"/>
      <c r="BD2546" s="117"/>
      <c r="BE2546" s="117"/>
      <c r="BF2546" s="117"/>
      <c r="BG2546" s="117"/>
    </row>
    <row r="2547" spans="1:59">
      <c r="A2547" s="117"/>
      <c r="B2547" s="117"/>
      <c r="C2547" s="117"/>
      <c r="D2547" s="117"/>
      <c r="E2547" s="117"/>
      <c r="F2547" s="117"/>
      <c r="G2547" s="117"/>
      <c r="H2547" s="117"/>
      <c r="I2547" s="117"/>
      <c r="J2547" s="118"/>
      <c r="K2547" s="118"/>
      <c r="L2547" s="118"/>
      <c r="M2547" s="118"/>
      <c r="N2547" s="117"/>
      <c r="O2547" s="117"/>
      <c r="P2547" s="117"/>
      <c r="Q2547" s="117"/>
      <c r="R2547" s="117"/>
      <c r="S2547" s="117"/>
      <c r="T2547" s="117"/>
      <c r="U2547" s="117"/>
      <c r="V2547" s="117"/>
      <c r="W2547" s="117"/>
      <c r="X2547" s="117"/>
      <c r="Y2547" s="117"/>
      <c r="Z2547" s="117"/>
      <c r="AA2547" s="117"/>
      <c r="AB2547" s="117"/>
      <c r="AC2547" s="117"/>
      <c r="AD2547" s="117"/>
      <c r="AE2547" s="117"/>
      <c r="AF2547" s="117"/>
      <c r="AG2547" s="117"/>
      <c r="AH2547" s="117"/>
      <c r="AI2547" s="117"/>
      <c r="AJ2547" s="117"/>
      <c r="AK2547" s="117"/>
      <c r="AL2547" s="117"/>
      <c r="AM2547" s="117"/>
      <c r="AN2547" s="117"/>
      <c r="AO2547" s="117"/>
      <c r="AP2547" s="117"/>
      <c r="AQ2547" s="117"/>
      <c r="AR2547" s="117"/>
      <c r="AS2547" s="117"/>
      <c r="AT2547" s="117"/>
      <c r="AU2547" s="117"/>
      <c r="AV2547" s="117"/>
      <c r="AW2547" s="117"/>
      <c r="AX2547" s="117"/>
      <c r="AY2547" s="117"/>
      <c r="AZ2547" s="117"/>
      <c r="BA2547" s="117"/>
      <c r="BB2547" s="117"/>
      <c r="BC2547" s="117"/>
      <c r="BD2547" s="117"/>
      <c r="BE2547" s="117"/>
      <c r="BF2547" s="117"/>
      <c r="BG2547" s="117"/>
    </row>
    <row r="2548" spans="1:59">
      <c r="A2548" s="117"/>
      <c r="B2548" s="117"/>
      <c r="C2548" s="117"/>
      <c r="D2548" s="117"/>
      <c r="E2548" s="117"/>
      <c r="F2548" s="117"/>
      <c r="G2548" s="117"/>
      <c r="H2548" s="117"/>
      <c r="I2548" s="117"/>
      <c r="J2548" s="118"/>
      <c r="K2548" s="118"/>
      <c r="L2548" s="118"/>
      <c r="M2548" s="118"/>
      <c r="N2548" s="117"/>
      <c r="O2548" s="117"/>
      <c r="P2548" s="117"/>
      <c r="Q2548" s="117"/>
      <c r="R2548" s="117"/>
      <c r="S2548" s="117"/>
      <c r="T2548" s="117"/>
      <c r="U2548" s="117"/>
      <c r="V2548" s="117"/>
      <c r="W2548" s="117"/>
      <c r="X2548" s="117"/>
      <c r="Y2548" s="117"/>
      <c r="Z2548" s="117"/>
      <c r="AA2548" s="117"/>
      <c r="AB2548" s="117"/>
      <c r="AC2548" s="117"/>
      <c r="AD2548" s="117"/>
      <c r="AE2548" s="117"/>
      <c r="AF2548" s="117"/>
      <c r="AG2548" s="117"/>
      <c r="AH2548" s="117"/>
      <c r="AI2548" s="117"/>
      <c r="AJ2548" s="117"/>
      <c r="AK2548" s="117"/>
      <c r="AL2548" s="117"/>
      <c r="AM2548" s="117"/>
      <c r="AN2548" s="117"/>
      <c r="AO2548" s="117"/>
      <c r="AP2548" s="117"/>
      <c r="AQ2548" s="117"/>
      <c r="AR2548" s="117"/>
      <c r="AS2548" s="117"/>
      <c r="AT2548" s="117"/>
      <c r="AU2548" s="117"/>
      <c r="AV2548" s="117"/>
      <c r="AW2548" s="117"/>
      <c r="AX2548" s="117"/>
      <c r="AY2548" s="117"/>
      <c r="AZ2548" s="117"/>
      <c r="BA2548" s="117"/>
      <c r="BB2548" s="117"/>
      <c r="BC2548" s="117"/>
      <c r="BD2548" s="117"/>
      <c r="BE2548" s="117"/>
      <c r="BF2548" s="117"/>
      <c r="BG2548" s="117"/>
    </row>
    <row r="2549" spans="1:59">
      <c r="A2549" s="117"/>
      <c r="B2549" s="117"/>
      <c r="C2549" s="117"/>
      <c r="D2549" s="117"/>
      <c r="E2549" s="117"/>
      <c r="F2549" s="117"/>
      <c r="G2549" s="117"/>
      <c r="H2549" s="117"/>
      <c r="I2549" s="117"/>
      <c r="J2549" s="118"/>
      <c r="K2549" s="118"/>
      <c r="L2549" s="118"/>
      <c r="M2549" s="118"/>
      <c r="N2549" s="117"/>
      <c r="O2549" s="117"/>
      <c r="P2549" s="117"/>
      <c r="Q2549" s="117"/>
      <c r="R2549" s="117"/>
      <c r="S2549" s="117"/>
      <c r="T2549" s="117"/>
      <c r="U2549" s="117"/>
      <c r="V2549" s="117"/>
      <c r="W2549" s="117"/>
      <c r="X2549" s="117"/>
      <c r="Y2549" s="117"/>
      <c r="Z2549" s="117"/>
      <c r="AA2549" s="117"/>
      <c r="AB2549" s="117"/>
      <c r="AC2549" s="117"/>
      <c r="AD2549" s="117"/>
      <c r="AE2549" s="117"/>
      <c r="AF2549" s="117"/>
      <c r="AG2549" s="117"/>
      <c r="AH2549" s="117"/>
      <c r="AI2549" s="117"/>
      <c r="AJ2549" s="117"/>
      <c r="AK2549" s="117"/>
      <c r="AL2549" s="117"/>
      <c r="AM2549" s="117"/>
      <c r="AN2549" s="117"/>
      <c r="AO2549" s="117"/>
      <c r="AP2549" s="117"/>
      <c r="AQ2549" s="117"/>
      <c r="AR2549" s="117"/>
      <c r="AS2549" s="117"/>
      <c r="AT2549" s="117"/>
      <c r="AU2549" s="117"/>
      <c r="AV2549" s="117"/>
      <c r="AW2549" s="117"/>
      <c r="AX2549" s="117"/>
      <c r="AY2549" s="117"/>
      <c r="AZ2549" s="117"/>
      <c r="BA2549" s="117"/>
      <c r="BB2549" s="117"/>
      <c r="BC2549" s="117"/>
      <c r="BD2549" s="117"/>
      <c r="BE2549" s="117"/>
      <c r="BF2549" s="117"/>
      <c r="BG2549" s="117"/>
    </row>
    <row r="2550" spans="1:59">
      <c r="A2550" s="117"/>
      <c r="B2550" s="117"/>
      <c r="C2550" s="117"/>
      <c r="D2550" s="117"/>
      <c r="E2550" s="117"/>
      <c r="F2550" s="117"/>
      <c r="G2550" s="117"/>
      <c r="H2550" s="117"/>
      <c r="I2550" s="117"/>
      <c r="J2550" s="118"/>
      <c r="K2550" s="118"/>
      <c r="L2550" s="118"/>
      <c r="M2550" s="118"/>
      <c r="N2550" s="117"/>
      <c r="O2550" s="117"/>
      <c r="P2550" s="117"/>
      <c r="Q2550" s="117"/>
      <c r="R2550" s="117"/>
      <c r="S2550" s="117"/>
      <c r="T2550" s="117"/>
      <c r="U2550" s="117"/>
      <c r="V2550" s="117"/>
      <c r="W2550" s="117"/>
      <c r="X2550" s="117"/>
      <c r="Y2550" s="117"/>
      <c r="Z2550" s="117"/>
      <c r="AA2550" s="117"/>
      <c r="AB2550" s="117"/>
      <c r="AC2550" s="117"/>
      <c r="AD2550" s="117"/>
      <c r="AE2550" s="117"/>
      <c r="AF2550" s="117"/>
      <c r="AG2550" s="117"/>
      <c r="AH2550" s="117"/>
      <c r="AI2550" s="117"/>
      <c r="AJ2550" s="117"/>
      <c r="AK2550" s="117"/>
      <c r="AL2550" s="117"/>
      <c r="AM2550" s="117"/>
      <c r="AN2550" s="117"/>
      <c r="AO2550" s="117"/>
      <c r="AP2550" s="117"/>
      <c r="AQ2550" s="117"/>
      <c r="AR2550" s="117"/>
      <c r="AS2550" s="117"/>
      <c r="AT2550" s="117"/>
      <c r="AU2550" s="117"/>
      <c r="AV2550" s="117"/>
      <c r="AW2550" s="117"/>
      <c r="AX2550" s="117"/>
      <c r="AY2550" s="117"/>
      <c r="AZ2550" s="117"/>
      <c r="BA2550" s="117"/>
      <c r="BB2550" s="117"/>
      <c r="BC2550" s="117"/>
      <c r="BD2550" s="117"/>
      <c r="BE2550" s="117"/>
      <c r="BF2550" s="117"/>
      <c r="BG2550" s="117"/>
    </row>
    <row r="2551" spans="1:59">
      <c r="A2551" s="117"/>
      <c r="B2551" s="117"/>
      <c r="C2551" s="117"/>
      <c r="D2551" s="117"/>
      <c r="E2551" s="117"/>
      <c r="F2551" s="117"/>
      <c r="G2551" s="117"/>
      <c r="H2551" s="117"/>
      <c r="I2551" s="117"/>
      <c r="J2551" s="118"/>
      <c r="K2551" s="118"/>
      <c r="L2551" s="118"/>
      <c r="M2551" s="118"/>
      <c r="N2551" s="117"/>
      <c r="O2551" s="117"/>
      <c r="P2551" s="117"/>
      <c r="Q2551" s="117"/>
      <c r="R2551" s="117"/>
      <c r="S2551" s="117"/>
      <c r="T2551" s="117"/>
      <c r="U2551" s="117"/>
      <c r="V2551" s="117"/>
      <c r="W2551" s="117"/>
      <c r="X2551" s="117"/>
      <c r="Y2551" s="117"/>
      <c r="Z2551" s="117"/>
      <c r="AA2551" s="117"/>
      <c r="AB2551" s="117"/>
      <c r="AC2551" s="117"/>
      <c r="AD2551" s="117"/>
      <c r="AE2551" s="117"/>
      <c r="AF2551" s="117"/>
      <c r="AG2551" s="117"/>
      <c r="AH2551" s="117"/>
      <c r="AI2551" s="117"/>
      <c r="AJ2551" s="117"/>
      <c r="AK2551" s="117"/>
      <c r="AL2551" s="117"/>
      <c r="AM2551" s="117"/>
      <c r="AN2551" s="117"/>
      <c r="AO2551" s="117"/>
      <c r="AP2551" s="117"/>
      <c r="AQ2551" s="117"/>
      <c r="AR2551" s="117"/>
      <c r="AS2551" s="117"/>
      <c r="AT2551" s="117"/>
      <c r="AU2551" s="117"/>
      <c r="AV2551" s="117"/>
      <c r="AW2551" s="117"/>
      <c r="AX2551" s="117"/>
      <c r="AY2551" s="117"/>
      <c r="AZ2551" s="117"/>
      <c r="BA2551" s="117"/>
      <c r="BB2551" s="117"/>
      <c r="BC2551" s="117"/>
      <c r="BD2551" s="117"/>
      <c r="BE2551" s="117"/>
      <c r="BF2551" s="117"/>
      <c r="BG2551" s="117"/>
    </row>
    <row r="2552" spans="1:59">
      <c r="A2552" s="117"/>
      <c r="B2552" s="117"/>
      <c r="C2552" s="117"/>
      <c r="D2552" s="117"/>
      <c r="E2552" s="117"/>
      <c r="F2552" s="117"/>
      <c r="G2552" s="117"/>
      <c r="H2552" s="117"/>
      <c r="I2552" s="117"/>
      <c r="J2552" s="118"/>
      <c r="K2552" s="118"/>
      <c r="L2552" s="118"/>
      <c r="M2552" s="118"/>
      <c r="N2552" s="117"/>
      <c r="O2552" s="117"/>
      <c r="P2552" s="117"/>
      <c r="Q2552" s="117"/>
      <c r="R2552" s="117"/>
      <c r="S2552" s="117"/>
      <c r="T2552" s="117"/>
      <c r="U2552" s="117"/>
      <c r="V2552" s="117"/>
      <c r="W2552" s="117"/>
      <c r="X2552" s="117"/>
      <c r="Y2552" s="117"/>
      <c r="Z2552" s="117"/>
      <c r="AA2552" s="117"/>
      <c r="AB2552" s="117"/>
      <c r="AC2552" s="117"/>
      <c r="AD2552" s="117"/>
      <c r="AE2552" s="117"/>
      <c r="AF2552" s="117"/>
      <c r="AG2552" s="117"/>
      <c r="AH2552" s="117"/>
      <c r="AI2552" s="117"/>
      <c r="AJ2552" s="117"/>
      <c r="AK2552" s="117"/>
      <c r="AL2552" s="117"/>
      <c r="AM2552" s="117"/>
      <c r="AN2552" s="117"/>
      <c r="AO2552" s="117"/>
      <c r="AP2552" s="117"/>
      <c r="AQ2552" s="117"/>
      <c r="AR2552" s="117"/>
      <c r="AS2552" s="117"/>
      <c r="AT2552" s="117"/>
      <c r="AU2552" s="117"/>
      <c r="AV2552" s="117"/>
      <c r="AW2552" s="117"/>
      <c r="AX2552" s="117"/>
      <c r="AY2552" s="117"/>
      <c r="AZ2552" s="117"/>
      <c r="BA2552" s="117"/>
      <c r="BB2552" s="117"/>
      <c r="BC2552" s="117"/>
      <c r="BD2552" s="117"/>
      <c r="BE2552" s="117"/>
      <c r="BF2552" s="117"/>
      <c r="BG2552" s="117"/>
    </row>
    <row r="2553" spans="1:59">
      <c r="A2553" s="117"/>
      <c r="B2553" s="117"/>
      <c r="C2553" s="117"/>
      <c r="D2553" s="117"/>
      <c r="E2553" s="117"/>
      <c r="F2553" s="117"/>
      <c r="G2553" s="117"/>
      <c r="H2553" s="117"/>
      <c r="I2553" s="117"/>
      <c r="J2553" s="118"/>
      <c r="K2553" s="118"/>
      <c r="L2553" s="118"/>
      <c r="M2553" s="118"/>
      <c r="N2553" s="117"/>
      <c r="O2553" s="117"/>
      <c r="P2553" s="117"/>
      <c r="Q2553" s="117"/>
      <c r="R2553" s="117"/>
      <c r="S2553" s="117"/>
      <c r="T2553" s="117"/>
      <c r="U2553" s="117"/>
      <c r="V2553" s="117"/>
      <c r="W2553" s="117"/>
      <c r="X2553" s="117"/>
      <c r="Y2553" s="117"/>
      <c r="Z2553" s="117"/>
      <c r="AA2553" s="117"/>
      <c r="AB2553" s="117"/>
      <c r="AC2553" s="117"/>
      <c r="AD2553" s="117"/>
      <c r="AE2553" s="117"/>
      <c r="AF2553" s="117"/>
      <c r="AG2553" s="117"/>
      <c r="AH2553" s="117"/>
      <c r="AI2553" s="117"/>
      <c r="AJ2553" s="117"/>
      <c r="AK2553" s="117"/>
      <c r="AL2553" s="117"/>
      <c r="AM2553" s="117"/>
      <c r="AN2553" s="117"/>
      <c r="AO2553" s="117"/>
      <c r="AP2553" s="117"/>
      <c r="AQ2553" s="117"/>
      <c r="AR2553" s="117"/>
      <c r="AS2553" s="117"/>
      <c r="AT2553" s="117"/>
      <c r="AU2553" s="117"/>
      <c r="AV2553" s="117"/>
      <c r="AW2553" s="117"/>
      <c r="AX2553" s="117"/>
      <c r="AY2553" s="117"/>
      <c r="AZ2553" s="117"/>
      <c r="BA2553" s="117"/>
      <c r="BB2553" s="117"/>
      <c r="BC2553" s="117"/>
      <c r="BD2553" s="117"/>
      <c r="BE2553" s="117"/>
      <c r="BF2553" s="117"/>
      <c r="BG2553" s="117"/>
    </row>
    <row r="2554" spans="1:59">
      <c r="A2554" s="117"/>
      <c r="B2554" s="117"/>
      <c r="C2554" s="117"/>
      <c r="D2554" s="117"/>
      <c r="E2554" s="117"/>
      <c r="F2554" s="117"/>
      <c r="G2554" s="117"/>
      <c r="H2554" s="117"/>
      <c r="I2554" s="117"/>
      <c r="J2554" s="118"/>
      <c r="K2554" s="118"/>
      <c r="L2554" s="118"/>
      <c r="M2554" s="118"/>
      <c r="N2554" s="117"/>
      <c r="O2554" s="117"/>
      <c r="P2554" s="117"/>
      <c r="Q2554" s="117"/>
      <c r="R2554" s="117"/>
      <c r="S2554" s="117"/>
      <c r="T2554" s="117"/>
      <c r="U2554" s="117"/>
      <c r="V2554" s="117"/>
      <c r="W2554" s="117"/>
      <c r="X2554" s="117"/>
      <c r="Y2554" s="117"/>
      <c r="Z2554" s="117"/>
      <c r="AA2554" s="117"/>
      <c r="AB2554" s="117"/>
      <c r="AC2554" s="117"/>
      <c r="AD2554" s="117"/>
      <c r="AE2554" s="117"/>
      <c r="AF2554" s="117"/>
      <c r="AG2554" s="117"/>
      <c r="AH2554" s="117"/>
      <c r="AI2554" s="117"/>
      <c r="AJ2554" s="117"/>
      <c r="AK2554" s="117"/>
      <c r="AL2554" s="117"/>
      <c r="AM2554" s="117"/>
      <c r="AN2554" s="117"/>
      <c r="AO2554" s="117"/>
      <c r="AP2554" s="117"/>
      <c r="AQ2554" s="117"/>
      <c r="AR2554" s="117"/>
      <c r="AS2554" s="117"/>
      <c r="AT2554" s="117"/>
      <c r="AU2554" s="117"/>
      <c r="AV2554" s="117"/>
      <c r="AW2554" s="117"/>
      <c r="AX2554" s="117"/>
      <c r="AY2554" s="117"/>
      <c r="AZ2554" s="117"/>
      <c r="BA2554" s="117"/>
      <c r="BB2554" s="117"/>
      <c r="BC2554" s="117"/>
      <c r="BD2554" s="117"/>
      <c r="BE2554" s="117"/>
      <c r="BF2554" s="117"/>
      <c r="BG2554" s="117"/>
    </row>
    <row r="2555" spans="1:59">
      <c r="A2555" s="117"/>
      <c r="B2555" s="117"/>
      <c r="C2555" s="117"/>
      <c r="D2555" s="117"/>
      <c r="E2555" s="117"/>
      <c r="F2555" s="117"/>
      <c r="G2555" s="117"/>
      <c r="H2555" s="117"/>
      <c r="I2555" s="117"/>
      <c r="J2555" s="118"/>
      <c r="K2555" s="118"/>
      <c r="L2555" s="118"/>
      <c r="M2555" s="118"/>
      <c r="N2555" s="117"/>
      <c r="O2555" s="117"/>
      <c r="P2555" s="117"/>
      <c r="Q2555" s="117"/>
      <c r="R2555" s="117"/>
      <c r="S2555" s="117"/>
      <c r="T2555" s="117"/>
      <c r="U2555" s="117"/>
      <c r="V2555" s="117"/>
      <c r="W2555" s="117"/>
      <c r="X2555" s="117"/>
      <c r="Y2555" s="117"/>
      <c r="Z2555" s="117"/>
      <c r="AA2555" s="117"/>
      <c r="AB2555" s="117"/>
      <c r="AC2555" s="117"/>
      <c r="AD2555" s="117"/>
      <c r="AE2555" s="117"/>
      <c r="AF2555" s="117"/>
      <c r="AG2555" s="117"/>
      <c r="AH2555" s="117"/>
      <c r="AI2555" s="117"/>
      <c r="AJ2555" s="117"/>
      <c r="AK2555" s="117"/>
      <c r="AL2555" s="117"/>
      <c r="AM2555" s="117"/>
      <c r="AN2555" s="117"/>
      <c r="AO2555" s="117"/>
      <c r="AP2555" s="117"/>
      <c r="AQ2555" s="117"/>
      <c r="AR2555" s="117"/>
      <c r="AS2555" s="117"/>
      <c r="AT2555" s="117"/>
      <c r="AU2555" s="117"/>
      <c r="AV2555" s="117"/>
      <c r="AW2555" s="117"/>
      <c r="AX2555" s="117"/>
      <c r="AY2555" s="117"/>
      <c r="AZ2555" s="117"/>
      <c r="BA2555" s="117"/>
      <c r="BB2555" s="117"/>
      <c r="BC2555" s="117"/>
      <c r="BD2555" s="117"/>
      <c r="BE2555" s="117"/>
      <c r="BF2555" s="117"/>
      <c r="BG2555" s="117"/>
    </row>
    <row r="2556" spans="1:59">
      <c r="A2556" s="117"/>
      <c r="B2556" s="117"/>
      <c r="C2556" s="117"/>
      <c r="D2556" s="117"/>
      <c r="E2556" s="117"/>
      <c r="F2556" s="117"/>
      <c r="G2556" s="117"/>
      <c r="H2556" s="117"/>
      <c r="I2556" s="117"/>
      <c r="J2556" s="118"/>
      <c r="K2556" s="118"/>
      <c r="L2556" s="118"/>
      <c r="M2556" s="118"/>
      <c r="N2556" s="117"/>
      <c r="O2556" s="117"/>
      <c r="P2556" s="117"/>
      <c r="Q2556" s="117"/>
      <c r="R2556" s="117"/>
      <c r="S2556" s="117"/>
      <c r="T2556" s="117"/>
      <c r="U2556" s="117"/>
      <c r="V2556" s="117"/>
      <c r="W2556" s="117"/>
      <c r="X2556" s="117"/>
      <c r="Y2556" s="117"/>
      <c r="Z2556" s="117"/>
      <c r="AA2556" s="117"/>
      <c r="AB2556" s="117"/>
      <c r="AC2556" s="117"/>
      <c r="AD2556" s="117"/>
      <c r="AE2556" s="117"/>
      <c r="AF2556" s="117"/>
      <c r="AG2556" s="117"/>
      <c r="AH2556" s="117"/>
      <c r="AI2556" s="117"/>
      <c r="AJ2556" s="117"/>
      <c r="AK2556" s="117"/>
      <c r="AL2556" s="117"/>
      <c r="AM2556" s="117"/>
      <c r="AN2556" s="117"/>
      <c r="AO2556" s="117"/>
      <c r="AP2556" s="117"/>
      <c r="AQ2556" s="117"/>
      <c r="AR2556" s="117"/>
      <c r="AS2556" s="117"/>
      <c r="AT2556" s="117"/>
      <c r="AU2556" s="117"/>
      <c r="AV2556" s="117"/>
      <c r="AW2556" s="117"/>
      <c r="AX2556" s="117"/>
      <c r="AY2556" s="117"/>
      <c r="AZ2556" s="117"/>
      <c r="BA2556" s="117"/>
      <c r="BB2556" s="117"/>
      <c r="BC2556" s="117"/>
      <c r="BD2556" s="117"/>
      <c r="BE2556" s="117"/>
      <c r="BF2556" s="117"/>
      <c r="BG2556" s="117"/>
    </row>
    <row r="2557" spans="1:59">
      <c r="A2557" s="117"/>
      <c r="B2557" s="117"/>
      <c r="C2557" s="117"/>
      <c r="D2557" s="117"/>
      <c r="E2557" s="117"/>
      <c r="F2557" s="117"/>
      <c r="G2557" s="117"/>
      <c r="H2557" s="117"/>
      <c r="I2557" s="117"/>
      <c r="J2557" s="118"/>
      <c r="K2557" s="118"/>
      <c r="L2557" s="118"/>
      <c r="M2557" s="118"/>
      <c r="N2557" s="117"/>
      <c r="O2557" s="117"/>
      <c r="P2557" s="117"/>
      <c r="Q2557" s="117"/>
      <c r="R2557" s="117"/>
      <c r="S2557" s="117"/>
      <c r="T2557" s="117"/>
      <c r="U2557" s="117"/>
      <c r="V2557" s="117"/>
      <c r="W2557" s="117"/>
      <c r="X2557" s="117"/>
      <c r="Y2557" s="117"/>
      <c r="Z2557" s="117"/>
      <c r="AA2557" s="117"/>
      <c r="AB2557" s="117"/>
      <c r="AC2557" s="117"/>
      <c r="AD2557" s="117"/>
      <c r="AE2557" s="117"/>
      <c r="AF2557" s="117"/>
      <c r="AG2557" s="117"/>
      <c r="AH2557" s="117"/>
      <c r="AI2557" s="117"/>
      <c r="AJ2557" s="117"/>
      <c r="AK2557" s="117"/>
      <c r="AL2557" s="117"/>
      <c r="AM2557" s="117"/>
      <c r="AN2557" s="117"/>
      <c r="AO2557" s="117"/>
      <c r="AP2557" s="117"/>
      <c r="AQ2557" s="117"/>
      <c r="AR2557" s="117"/>
      <c r="AS2557" s="117"/>
      <c r="AT2557" s="117"/>
      <c r="AU2557" s="117"/>
      <c r="AV2557" s="117"/>
      <c r="AW2557" s="117"/>
      <c r="AX2557" s="117"/>
      <c r="AY2557" s="117"/>
      <c r="AZ2557" s="117"/>
      <c r="BA2557" s="117"/>
      <c r="BB2557" s="117"/>
      <c r="BC2557" s="117"/>
      <c r="BD2557" s="117"/>
      <c r="BE2557" s="117"/>
      <c r="BF2557" s="117"/>
      <c r="BG2557" s="117"/>
    </row>
    <row r="2558" spans="1:59">
      <c r="A2558" s="117"/>
      <c r="B2558" s="117"/>
      <c r="C2558" s="117"/>
      <c r="D2558" s="117"/>
      <c r="E2558" s="117"/>
      <c r="F2558" s="117"/>
      <c r="G2558" s="117"/>
      <c r="H2558" s="117"/>
      <c r="I2558" s="117"/>
      <c r="J2558" s="118"/>
      <c r="K2558" s="118"/>
      <c r="L2558" s="118"/>
      <c r="M2558" s="118"/>
      <c r="N2558" s="117"/>
      <c r="O2558" s="117"/>
      <c r="P2558" s="117"/>
      <c r="Q2558" s="117"/>
      <c r="R2558" s="117"/>
      <c r="S2558" s="117"/>
      <c r="T2558" s="117"/>
      <c r="U2558" s="117"/>
      <c r="V2558" s="117"/>
      <c r="W2558" s="117"/>
      <c r="X2558" s="117"/>
      <c r="Y2558" s="117"/>
      <c r="Z2558" s="117"/>
      <c r="AA2558" s="117"/>
      <c r="AB2558" s="117"/>
      <c r="AC2558" s="117"/>
      <c r="AD2558" s="117"/>
      <c r="AE2558" s="117"/>
      <c r="AF2558" s="117"/>
      <c r="AG2558" s="117"/>
      <c r="AH2558" s="117"/>
      <c r="AI2558" s="117"/>
      <c r="AJ2558" s="117"/>
      <c r="AK2558" s="117"/>
      <c r="AL2558" s="117"/>
      <c r="AM2558" s="117"/>
      <c r="AN2558" s="117"/>
      <c r="AO2558" s="117"/>
      <c r="AP2558" s="117"/>
      <c r="AQ2558" s="117"/>
      <c r="AR2558" s="117"/>
      <c r="AS2558" s="117"/>
      <c r="AT2558" s="117"/>
      <c r="AU2558" s="117"/>
      <c r="AV2558" s="117"/>
      <c r="AW2558" s="117"/>
      <c r="AX2558" s="117"/>
      <c r="AY2558" s="117"/>
      <c r="AZ2558" s="117"/>
      <c r="BA2558" s="117"/>
      <c r="BB2558" s="117"/>
      <c r="BC2558" s="117"/>
      <c r="BD2558" s="117"/>
      <c r="BE2558" s="117"/>
      <c r="BF2558" s="117"/>
      <c r="BG2558" s="117"/>
    </row>
    <row r="2559" spans="1:59">
      <c r="A2559" s="117"/>
      <c r="B2559" s="117"/>
      <c r="C2559" s="117"/>
      <c r="D2559" s="117"/>
      <c r="E2559" s="117"/>
      <c r="F2559" s="117"/>
      <c r="G2559" s="117"/>
      <c r="H2559" s="117"/>
      <c r="I2559" s="117"/>
      <c r="J2559" s="118"/>
      <c r="K2559" s="118"/>
      <c r="L2559" s="118"/>
      <c r="M2559" s="118"/>
      <c r="N2559" s="117"/>
      <c r="O2559" s="117"/>
      <c r="P2559" s="117"/>
      <c r="Q2559" s="117"/>
      <c r="R2559" s="117"/>
      <c r="S2559" s="117"/>
      <c r="T2559" s="117"/>
      <c r="U2559" s="117"/>
      <c r="V2559" s="117"/>
      <c r="W2559" s="117"/>
      <c r="X2559" s="117"/>
      <c r="Y2559" s="117"/>
      <c r="Z2559" s="117"/>
      <c r="AA2559" s="117"/>
      <c r="AB2559" s="117"/>
      <c r="AC2559" s="117"/>
      <c r="AD2559" s="117"/>
      <c r="AE2559" s="117"/>
      <c r="AF2559" s="117"/>
      <c r="AG2559" s="117"/>
      <c r="AH2559" s="117"/>
      <c r="AI2559" s="117"/>
      <c r="AJ2559" s="117"/>
      <c r="AK2559" s="117"/>
      <c r="AL2559" s="117"/>
      <c r="AM2559" s="117"/>
      <c r="AN2559" s="117"/>
      <c r="AO2559" s="117"/>
      <c r="AP2559" s="117"/>
      <c r="AQ2559" s="117"/>
      <c r="AR2559" s="117"/>
      <c r="AS2559" s="117"/>
      <c r="AT2559" s="117"/>
      <c r="AU2559" s="117"/>
      <c r="AV2559" s="117"/>
      <c r="AW2559" s="117"/>
      <c r="AX2559" s="117"/>
      <c r="AY2559" s="117"/>
      <c r="AZ2559" s="117"/>
      <c r="BA2559" s="117"/>
      <c r="BB2559" s="117"/>
      <c r="BC2559" s="117"/>
      <c r="BD2559" s="117"/>
      <c r="BE2559" s="117"/>
      <c r="BF2559" s="117"/>
      <c r="BG2559" s="117"/>
    </row>
    <row r="2560" spans="1:59">
      <c r="A2560" s="117"/>
      <c r="B2560" s="117"/>
      <c r="C2560" s="117"/>
      <c r="D2560" s="117"/>
      <c r="E2560" s="117"/>
      <c r="F2560" s="117"/>
      <c r="G2560" s="117"/>
      <c r="H2560" s="117"/>
      <c r="I2560" s="117"/>
      <c r="J2560" s="118"/>
      <c r="K2560" s="118"/>
      <c r="L2560" s="118"/>
      <c r="M2560" s="118"/>
      <c r="N2560" s="117"/>
      <c r="O2560" s="117"/>
      <c r="P2560" s="117"/>
      <c r="Q2560" s="117"/>
      <c r="R2560" s="117"/>
      <c r="S2560" s="117"/>
      <c r="T2560" s="117"/>
      <c r="U2560" s="117"/>
      <c r="V2560" s="117"/>
      <c r="W2560" s="117"/>
      <c r="X2560" s="117"/>
      <c r="Y2560" s="117"/>
      <c r="Z2560" s="117"/>
      <c r="AA2560" s="117"/>
      <c r="AB2560" s="117"/>
      <c r="AC2560" s="117"/>
      <c r="AD2560" s="117"/>
      <c r="AE2560" s="117"/>
      <c r="AF2560" s="117"/>
      <c r="AG2560" s="117"/>
      <c r="AH2560" s="117"/>
      <c r="AI2560" s="117"/>
      <c r="AJ2560" s="117"/>
      <c r="AK2560" s="117"/>
      <c r="AL2560" s="117"/>
      <c r="AM2560" s="117"/>
      <c r="AN2560" s="117"/>
      <c r="AO2560" s="117"/>
      <c r="AP2560" s="117"/>
      <c r="AQ2560" s="117"/>
      <c r="AR2560" s="117"/>
      <c r="AS2560" s="117"/>
      <c r="AT2560" s="117"/>
      <c r="AU2560" s="117"/>
      <c r="AV2560" s="117"/>
      <c r="AW2560" s="117"/>
      <c r="AX2560" s="117"/>
      <c r="AY2560" s="117"/>
      <c r="AZ2560" s="117"/>
      <c r="BA2560" s="117"/>
      <c r="BB2560" s="117"/>
      <c r="BC2560" s="117"/>
      <c r="BD2560" s="117"/>
      <c r="BE2560" s="117"/>
      <c r="BF2560" s="117"/>
      <c r="BG2560" s="117"/>
    </row>
    <row r="2561" spans="1:59">
      <c r="A2561" s="117"/>
      <c r="B2561" s="117"/>
      <c r="C2561" s="117"/>
      <c r="D2561" s="117"/>
      <c r="E2561" s="117"/>
      <c r="F2561" s="117"/>
      <c r="G2561" s="117"/>
      <c r="H2561" s="117"/>
      <c r="I2561" s="117"/>
      <c r="J2561" s="118"/>
      <c r="K2561" s="118"/>
      <c r="L2561" s="118"/>
      <c r="M2561" s="118"/>
      <c r="N2561" s="117"/>
      <c r="O2561" s="117"/>
      <c r="P2561" s="117"/>
      <c r="Q2561" s="117"/>
      <c r="R2561" s="117"/>
      <c r="S2561" s="117"/>
      <c r="T2561" s="117"/>
      <c r="U2561" s="117"/>
      <c r="V2561" s="117"/>
      <c r="W2561" s="117"/>
      <c r="X2561" s="117"/>
      <c r="Y2561" s="117"/>
      <c r="Z2561" s="117"/>
      <c r="AA2561" s="117"/>
      <c r="AB2561" s="117"/>
      <c r="AC2561" s="117"/>
      <c r="AD2561" s="117"/>
      <c r="AE2561" s="117"/>
      <c r="AF2561" s="117"/>
      <c r="AG2561" s="117"/>
      <c r="AH2561" s="117"/>
      <c r="AI2561" s="117"/>
      <c r="AJ2561" s="117"/>
      <c r="AK2561" s="117"/>
      <c r="AL2561" s="117"/>
      <c r="AM2561" s="117"/>
      <c r="AN2561" s="117"/>
      <c r="AO2561" s="117"/>
      <c r="AP2561" s="117"/>
      <c r="AQ2561" s="117"/>
      <c r="AR2561" s="117"/>
      <c r="AS2561" s="117"/>
      <c r="AT2561" s="117"/>
      <c r="AU2561" s="117"/>
      <c r="AV2561" s="117"/>
      <c r="AW2561" s="117"/>
      <c r="AX2561" s="117"/>
      <c r="AY2561" s="117"/>
      <c r="AZ2561" s="117"/>
      <c r="BA2561" s="117"/>
      <c r="BB2561" s="117"/>
      <c r="BC2561" s="117"/>
      <c r="BD2561" s="117"/>
      <c r="BE2561" s="117"/>
      <c r="BF2561" s="117"/>
      <c r="BG2561" s="117"/>
    </row>
    <row r="2562" spans="1:59">
      <c r="A2562" s="117"/>
      <c r="B2562" s="117"/>
      <c r="C2562" s="117"/>
      <c r="D2562" s="117"/>
      <c r="E2562" s="117"/>
      <c r="F2562" s="117"/>
      <c r="G2562" s="117"/>
      <c r="H2562" s="117"/>
      <c r="I2562" s="117"/>
      <c r="J2562" s="118"/>
      <c r="K2562" s="118"/>
      <c r="L2562" s="118"/>
      <c r="M2562" s="118"/>
      <c r="N2562" s="117"/>
      <c r="O2562" s="117"/>
      <c r="P2562" s="117"/>
      <c r="Q2562" s="117"/>
      <c r="R2562" s="117"/>
      <c r="S2562" s="117"/>
      <c r="T2562" s="117"/>
      <c r="U2562" s="117"/>
      <c r="V2562" s="117"/>
      <c r="W2562" s="117"/>
      <c r="X2562" s="117"/>
      <c r="Y2562" s="117"/>
      <c r="Z2562" s="117"/>
      <c r="AA2562" s="117"/>
      <c r="AB2562" s="117"/>
      <c r="AC2562" s="117"/>
      <c r="AD2562" s="117"/>
      <c r="AE2562" s="117"/>
      <c r="AF2562" s="117"/>
      <c r="AG2562" s="117"/>
      <c r="AH2562" s="117"/>
      <c r="AI2562" s="117"/>
      <c r="AJ2562" s="117"/>
      <c r="AK2562" s="117"/>
      <c r="AL2562" s="117"/>
      <c r="AM2562" s="117"/>
      <c r="AN2562" s="117"/>
      <c r="AO2562" s="117"/>
      <c r="AP2562" s="117"/>
      <c r="AQ2562" s="117"/>
      <c r="AR2562" s="117"/>
      <c r="AS2562" s="117"/>
      <c r="AT2562" s="117"/>
      <c r="AU2562" s="117"/>
      <c r="AV2562" s="117"/>
      <c r="AW2562" s="117"/>
      <c r="AX2562" s="117"/>
      <c r="AY2562" s="117"/>
      <c r="AZ2562" s="117"/>
      <c r="BA2562" s="117"/>
      <c r="BB2562" s="117"/>
      <c r="BC2562" s="117"/>
      <c r="BD2562" s="117"/>
      <c r="BE2562" s="117"/>
      <c r="BF2562" s="117"/>
      <c r="BG2562" s="117"/>
    </row>
    <row r="2563" spans="1:59">
      <c r="A2563" s="117"/>
      <c r="B2563" s="117"/>
      <c r="C2563" s="117"/>
      <c r="D2563" s="117"/>
      <c r="E2563" s="117"/>
      <c r="F2563" s="117"/>
      <c r="G2563" s="117"/>
      <c r="H2563" s="117"/>
      <c r="I2563" s="117"/>
      <c r="J2563" s="118"/>
      <c r="K2563" s="118"/>
      <c r="L2563" s="118"/>
      <c r="M2563" s="118"/>
      <c r="N2563" s="117"/>
      <c r="O2563" s="117"/>
      <c r="P2563" s="117"/>
      <c r="Q2563" s="117"/>
      <c r="R2563" s="117"/>
      <c r="S2563" s="117"/>
      <c r="T2563" s="117"/>
      <c r="U2563" s="117"/>
      <c r="V2563" s="117"/>
      <c r="W2563" s="117"/>
      <c r="X2563" s="117"/>
      <c r="Y2563" s="117"/>
      <c r="Z2563" s="117"/>
      <c r="AA2563" s="117"/>
      <c r="AB2563" s="117"/>
      <c r="AC2563" s="117"/>
      <c r="AD2563" s="117"/>
      <c r="AE2563" s="117"/>
      <c r="AF2563" s="117"/>
      <c r="AG2563" s="117"/>
      <c r="AH2563" s="117"/>
      <c r="AI2563" s="117"/>
      <c r="AJ2563" s="117"/>
      <c r="AK2563" s="117"/>
      <c r="AL2563" s="117"/>
      <c r="AM2563" s="117"/>
      <c r="AN2563" s="117"/>
      <c r="AO2563" s="117"/>
      <c r="AP2563" s="117"/>
      <c r="AQ2563" s="117"/>
      <c r="AR2563" s="117"/>
      <c r="AS2563" s="117"/>
      <c r="AT2563" s="117"/>
      <c r="AU2563" s="117"/>
      <c r="AV2563" s="117"/>
      <c r="AW2563" s="117"/>
      <c r="AX2563" s="117"/>
      <c r="AY2563" s="117"/>
      <c r="AZ2563" s="117"/>
      <c r="BA2563" s="117"/>
      <c r="BB2563" s="117"/>
      <c r="BC2563" s="117"/>
      <c r="BD2563" s="117"/>
      <c r="BE2563" s="117"/>
      <c r="BF2563" s="117"/>
      <c r="BG2563" s="117"/>
    </row>
    <row r="2564" spans="1:59">
      <c r="A2564" s="117"/>
      <c r="B2564" s="117"/>
      <c r="C2564" s="117"/>
      <c r="D2564" s="117"/>
      <c r="E2564" s="117"/>
      <c r="F2564" s="117"/>
      <c r="G2564" s="117"/>
      <c r="H2564" s="117"/>
      <c r="I2564" s="117"/>
      <c r="J2564" s="118"/>
      <c r="K2564" s="118"/>
      <c r="L2564" s="118"/>
      <c r="M2564" s="118"/>
      <c r="N2564" s="117"/>
      <c r="O2564" s="117"/>
      <c r="P2564" s="117"/>
      <c r="Q2564" s="117"/>
      <c r="R2564" s="117"/>
      <c r="S2564" s="117"/>
      <c r="T2564" s="117"/>
      <c r="U2564" s="117"/>
      <c r="V2564" s="117"/>
      <c r="W2564" s="117"/>
      <c r="X2564" s="117"/>
      <c r="Y2564" s="117"/>
      <c r="Z2564" s="117"/>
      <c r="AA2564" s="117"/>
      <c r="AB2564" s="117"/>
      <c r="AC2564" s="117"/>
      <c r="AD2564" s="117"/>
      <c r="AE2564" s="117"/>
      <c r="AF2564" s="117"/>
      <c r="AG2564" s="117"/>
      <c r="AH2564" s="117"/>
      <c r="AI2564" s="117"/>
      <c r="AJ2564" s="117"/>
      <c r="AK2564" s="117"/>
      <c r="AL2564" s="117"/>
      <c r="AM2564" s="117"/>
      <c r="AN2564" s="117"/>
      <c r="AO2564" s="117"/>
      <c r="AP2564" s="117"/>
      <c r="AQ2564" s="117"/>
      <c r="AR2564" s="117"/>
      <c r="AS2564" s="117"/>
      <c r="AT2564" s="117"/>
      <c r="AU2564" s="117"/>
      <c r="AV2564" s="117"/>
      <c r="AW2564" s="117"/>
      <c r="AX2564" s="117"/>
      <c r="AY2564" s="117"/>
      <c r="AZ2564" s="117"/>
      <c r="BA2564" s="117"/>
      <c r="BB2564" s="117"/>
      <c r="BC2564" s="117"/>
      <c r="BD2564" s="117"/>
      <c r="BE2564" s="117"/>
      <c r="BF2564" s="117"/>
      <c r="BG2564" s="117"/>
    </row>
    <row r="2565" spans="1:59">
      <c r="A2565" s="117"/>
      <c r="B2565" s="117"/>
      <c r="C2565" s="117"/>
      <c r="D2565" s="117"/>
      <c r="E2565" s="117"/>
      <c r="F2565" s="117"/>
      <c r="G2565" s="117"/>
      <c r="H2565" s="117"/>
      <c r="I2565" s="117"/>
      <c r="J2565" s="118"/>
      <c r="K2565" s="118"/>
      <c r="L2565" s="118"/>
      <c r="M2565" s="118"/>
      <c r="N2565" s="117"/>
      <c r="O2565" s="117"/>
      <c r="P2565" s="117"/>
      <c r="Q2565" s="117"/>
      <c r="R2565" s="117"/>
      <c r="S2565" s="117"/>
      <c r="T2565" s="117"/>
      <c r="U2565" s="117"/>
      <c r="V2565" s="117"/>
      <c r="W2565" s="117"/>
      <c r="X2565" s="117"/>
      <c r="Y2565" s="117"/>
      <c r="Z2565" s="117"/>
      <c r="AA2565" s="117"/>
      <c r="AB2565" s="117"/>
      <c r="AC2565" s="117"/>
      <c r="AD2565" s="117"/>
      <c r="AE2565" s="117"/>
      <c r="AF2565" s="117"/>
      <c r="AG2565" s="117"/>
      <c r="AH2565" s="117"/>
      <c r="AI2565" s="117"/>
      <c r="AJ2565" s="117"/>
      <c r="AK2565" s="117"/>
      <c r="AL2565" s="117"/>
      <c r="AM2565" s="117"/>
      <c r="AN2565" s="117"/>
      <c r="AO2565" s="117"/>
      <c r="AP2565" s="117"/>
      <c r="AQ2565" s="117"/>
      <c r="AR2565" s="117"/>
      <c r="AS2565" s="117"/>
      <c r="AT2565" s="117"/>
      <c r="AU2565" s="117"/>
      <c r="AV2565" s="117"/>
      <c r="AW2565" s="117"/>
      <c r="AX2565" s="117"/>
      <c r="AY2565" s="117"/>
      <c r="AZ2565" s="117"/>
      <c r="BA2565" s="117"/>
      <c r="BB2565" s="117"/>
      <c r="BC2565" s="117"/>
      <c r="BD2565" s="117"/>
      <c r="BE2565" s="117"/>
      <c r="BF2565" s="117"/>
      <c r="BG2565" s="117"/>
    </row>
    <row r="2566" spans="1:59">
      <c r="A2566" s="117"/>
      <c r="B2566" s="117"/>
      <c r="C2566" s="117"/>
      <c r="D2566" s="117"/>
      <c r="E2566" s="117"/>
      <c r="F2566" s="117"/>
      <c r="G2566" s="117"/>
      <c r="H2566" s="117"/>
      <c r="I2566" s="117"/>
      <c r="J2566" s="118"/>
      <c r="K2566" s="118"/>
      <c r="L2566" s="118"/>
      <c r="M2566" s="118"/>
      <c r="N2566" s="117"/>
      <c r="O2566" s="117"/>
      <c r="P2566" s="117"/>
      <c r="Q2566" s="117"/>
      <c r="R2566" s="117"/>
      <c r="S2566" s="117"/>
      <c r="T2566" s="117"/>
      <c r="U2566" s="117"/>
      <c r="V2566" s="117"/>
      <c r="W2566" s="117"/>
      <c r="X2566" s="117"/>
      <c r="Y2566" s="117"/>
      <c r="Z2566" s="117"/>
      <c r="AA2566" s="117"/>
      <c r="AB2566" s="117"/>
      <c r="AC2566" s="117"/>
      <c r="AD2566" s="117"/>
      <c r="AE2566" s="117"/>
      <c r="AF2566" s="117"/>
      <c r="AG2566" s="117"/>
      <c r="AH2566" s="117"/>
      <c r="AI2566" s="117"/>
      <c r="AJ2566" s="117"/>
      <c r="AK2566" s="117"/>
      <c r="AL2566" s="117"/>
      <c r="AM2566" s="117"/>
      <c r="AN2566" s="117"/>
      <c r="AO2566" s="117"/>
      <c r="AP2566" s="117"/>
      <c r="AQ2566" s="117"/>
      <c r="AR2566" s="117"/>
      <c r="AS2566" s="117"/>
      <c r="AT2566" s="117"/>
      <c r="AU2566" s="117"/>
      <c r="AV2566" s="117"/>
      <c r="AW2566" s="117"/>
      <c r="AX2566" s="117"/>
      <c r="AY2566" s="117"/>
      <c r="AZ2566" s="117"/>
      <c r="BA2566" s="117"/>
      <c r="BB2566" s="117"/>
      <c r="BC2566" s="117"/>
      <c r="BD2566" s="117"/>
      <c r="BE2566" s="117"/>
      <c r="BF2566" s="117"/>
      <c r="BG2566" s="117"/>
    </row>
    <row r="2567" spans="1:59">
      <c r="A2567" s="117"/>
      <c r="B2567" s="117"/>
      <c r="C2567" s="117"/>
      <c r="D2567" s="117"/>
      <c r="E2567" s="117"/>
      <c r="F2567" s="117"/>
      <c r="G2567" s="117"/>
      <c r="H2567" s="117"/>
      <c r="I2567" s="117"/>
      <c r="J2567" s="118"/>
      <c r="K2567" s="118"/>
      <c r="L2567" s="118"/>
      <c r="M2567" s="118"/>
      <c r="N2567" s="117"/>
      <c r="O2567" s="117"/>
      <c r="P2567" s="117"/>
      <c r="Q2567" s="117"/>
      <c r="R2567" s="117"/>
      <c r="S2567" s="117"/>
      <c r="T2567" s="117"/>
      <c r="U2567" s="117"/>
      <c r="V2567" s="117"/>
      <c r="W2567" s="117"/>
      <c r="X2567" s="117"/>
      <c r="Y2567" s="117"/>
      <c r="Z2567" s="117"/>
      <c r="AA2567" s="117"/>
      <c r="AB2567" s="117"/>
      <c r="AC2567" s="117"/>
      <c r="AD2567" s="117"/>
      <c r="AE2567" s="117"/>
      <c r="AF2567" s="117"/>
      <c r="AG2567" s="117"/>
      <c r="AH2567" s="117"/>
      <c r="AI2567" s="117"/>
      <c r="AJ2567" s="117"/>
      <c r="AK2567" s="117"/>
      <c r="AL2567" s="117"/>
      <c r="AM2567" s="117"/>
      <c r="AN2567" s="117"/>
      <c r="AO2567" s="117"/>
      <c r="AP2567" s="117"/>
      <c r="AQ2567" s="117"/>
      <c r="AR2567" s="117"/>
      <c r="AS2567" s="117"/>
      <c r="AT2567" s="117"/>
      <c r="AU2567" s="117"/>
      <c r="AV2567" s="117"/>
      <c r="AW2567" s="117"/>
      <c r="AX2567" s="117"/>
      <c r="AY2567" s="117"/>
      <c r="AZ2567" s="117"/>
      <c r="BA2567" s="117"/>
      <c r="BB2567" s="117"/>
      <c r="BC2567" s="117"/>
      <c r="BD2567" s="117"/>
      <c r="BE2567" s="117"/>
      <c r="BF2567" s="117"/>
      <c r="BG2567" s="117"/>
    </row>
    <row r="2568" spans="1:59">
      <c r="A2568" s="117"/>
      <c r="B2568" s="117"/>
      <c r="C2568" s="117"/>
      <c r="D2568" s="117"/>
      <c r="E2568" s="117"/>
      <c r="F2568" s="117"/>
      <c r="G2568" s="117"/>
      <c r="H2568" s="117"/>
      <c r="I2568" s="117"/>
      <c r="J2568" s="118"/>
      <c r="K2568" s="118"/>
      <c r="L2568" s="118"/>
      <c r="M2568" s="118"/>
      <c r="N2568" s="117"/>
      <c r="O2568" s="117"/>
      <c r="P2568" s="117"/>
      <c r="Q2568" s="117"/>
      <c r="R2568" s="117"/>
      <c r="S2568" s="117"/>
      <c r="T2568" s="117"/>
      <c r="U2568" s="117"/>
      <c r="V2568" s="117"/>
      <c r="W2568" s="117"/>
      <c r="X2568" s="117"/>
      <c r="Y2568" s="117"/>
      <c r="Z2568" s="117"/>
      <c r="AA2568" s="117"/>
      <c r="AB2568" s="117"/>
      <c r="AC2568" s="117"/>
      <c r="AD2568" s="117"/>
      <c r="AE2568" s="117"/>
      <c r="AF2568" s="117"/>
      <c r="AG2568" s="117"/>
      <c r="AH2568" s="117"/>
      <c r="AI2568" s="117"/>
      <c r="AJ2568" s="117"/>
      <c r="AK2568" s="117"/>
      <c r="AL2568" s="117"/>
      <c r="AM2568" s="117"/>
      <c r="AN2568" s="117"/>
      <c r="AO2568" s="117"/>
      <c r="AP2568" s="117"/>
      <c r="AQ2568" s="117"/>
      <c r="AR2568" s="117"/>
      <c r="AS2568" s="117"/>
      <c r="AT2568" s="117"/>
      <c r="AU2568" s="117"/>
      <c r="AV2568" s="117"/>
      <c r="AW2568" s="117"/>
      <c r="AX2568" s="117"/>
      <c r="AY2568" s="117"/>
      <c r="AZ2568" s="117"/>
      <c r="BA2568" s="117"/>
      <c r="BB2568" s="117"/>
      <c r="BC2568" s="117"/>
      <c r="BD2568" s="117"/>
      <c r="BE2568" s="117"/>
      <c r="BF2568" s="117"/>
      <c r="BG2568" s="117"/>
    </row>
    <row r="2569" spans="1:59">
      <c r="A2569" s="117"/>
      <c r="B2569" s="117"/>
      <c r="C2569" s="117"/>
      <c r="D2569" s="117"/>
      <c r="E2569" s="117"/>
      <c r="F2569" s="117"/>
      <c r="G2569" s="117"/>
      <c r="H2569" s="117"/>
      <c r="I2569" s="117"/>
      <c r="J2569" s="118"/>
      <c r="K2569" s="118"/>
      <c r="L2569" s="118"/>
      <c r="M2569" s="118"/>
      <c r="N2569" s="117"/>
      <c r="O2569" s="117"/>
      <c r="P2569" s="117"/>
      <c r="Q2569" s="117"/>
      <c r="R2569" s="117"/>
      <c r="S2569" s="117"/>
      <c r="T2569" s="117"/>
      <c r="U2569" s="117"/>
      <c r="V2569" s="117"/>
      <c r="W2569" s="117"/>
      <c r="X2569" s="117"/>
      <c r="Y2569" s="117"/>
      <c r="Z2569" s="117"/>
      <c r="AA2569" s="117"/>
      <c r="AB2569" s="117"/>
      <c r="AC2569" s="117"/>
      <c r="AD2569" s="117"/>
      <c r="AE2569" s="117"/>
      <c r="AF2569" s="117"/>
      <c r="AG2569" s="117"/>
      <c r="AH2569" s="117"/>
      <c r="AI2569" s="117"/>
      <c r="AJ2569" s="117"/>
      <c r="AK2569" s="117"/>
      <c r="AL2569" s="117"/>
      <c r="AM2569" s="117"/>
      <c r="AN2569" s="117"/>
      <c r="AO2569" s="117"/>
      <c r="AP2569" s="117"/>
      <c r="AQ2569" s="117"/>
      <c r="AR2569" s="117"/>
      <c r="AS2569" s="117"/>
      <c r="AT2569" s="117"/>
      <c r="AU2569" s="117"/>
      <c r="AV2569" s="117"/>
      <c r="AW2569" s="117"/>
      <c r="AX2569" s="117"/>
      <c r="AY2569" s="117"/>
      <c r="AZ2569" s="117"/>
      <c r="BA2569" s="117"/>
      <c r="BB2569" s="117"/>
      <c r="BC2569" s="117"/>
      <c r="BD2569" s="117"/>
      <c r="BE2569" s="117"/>
      <c r="BF2569" s="117"/>
      <c r="BG2569" s="117"/>
    </row>
    <row r="2570" spans="1:59">
      <c r="A2570" s="117"/>
      <c r="B2570" s="117"/>
      <c r="C2570" s="117"/>
      <c r="D2570" s="117"/>
      <c r="E2570" s="117"/>
      <c r="F2570" s="117"/>
      <c r="G2570" s="117"/>
      <c r="H2570" s="117"/>
      <c r="I2570" s="117"/>
      <c r="J2570" s="118"/>
      <c r="K2570" s="118"/>
      <c r="L2570" s="118"/>
      <c r="M2570" s="118"/>
      <c r="N2570" s="117"/>
      <c r="O2570" s="117"/>
      <c r="P2570" s="117"/>
      <c r="Q2570" s="117"/>
      <c r="R2570" s="117"/>
      <c r="S2570" s="117"/>
      <c r="T2570" s="117"/>
      <c r="U2570" s="117"/>
      <c r="V2570" s="117"/>
      <c r="W2570" s="117"/>
      <c r="X2570" s="117"/>
      <c r="Y2570" s="117"/>
      <c r="Z2570" s="117"/>
      <c r="AA2570" s="117"/>
      <c r="AB2570" s="117"/>
      <c r="AC2570" s="117"/>
      <c r="AD2570" s="117"/>
      <c r="AE2570" s="117"/>
      <c r="AF2570" s="117"/>
      <c r="AG2570" s="117"/>
      <c r="AH2570" s="117"/>
      <c r="AI2570" s="117"/>
      <c r="AJ2570" s="117"/>
      <c r="AK2570" s="117"/>
      <c r="AL2570" s="117"/>
      <c r="AM2570" s="117"/>
      <c r="AN2570" s="117"/>
      <c r="AO2570" s="117"/>
      <c r="AP2570" s="117"/>
      <c r="AQ2570" s="117"/>
      <c r="AR2570" s="117"/>
      <c r="AS2570" s="117"/>
      <c r="AT2570" s="117"/>
      <c r="AU2570" s="117"/>
      <c r="AV2570" s="117"/>
      <c r="AW2570" s="117"/>
      <c r="AX2570" s="117"/>
      <c r="AY2570" s="117"/>
      <c r="AZ2570" s="117"/>
      <c r="BA2570" s="117"/>
      <c r="BB2570" s="117"/>
      <c r="BC2570" s="117"/>
      <c r="BD2570" s="117"/>
      <c r="BE2570" s="117"/>
      <c r="BF2570" s="117"/>
      <c r="BG2570" s="117"/>
    </row>
    <row r="2571" spans="1:59">
      <c r="A2571" s="117"/>
      <c r="B2571" s="117"/>
      <c r="C2571" s="117"/>
      <c r="D2571" s="117"/>
      <c r="E2571" s="117"/>
      <c r="F2571" s="117"/>
      <c r="G2571" s="117"/>
      <c r="H2571" s="117"/>
      <c r="I2571" s="117"/>
      <c r="J2571" s="118"/>
      <c r="K2571" s="118"/>
      <c r="L2571" s="118"/>
      <c r="M2571" s="118"/>
      <c r="N2571" s="117"/>
      <c r="O2571" s="117"/>
      <c r="P2571" s="117"/>
      <c r="Q2571" s="117"/>
      <c r="R2571" s="117"/>
      <c r="S2571" s="117"/>
      <c r="T2571" s="117"/>
      <c r="U2571" s="117"/>
      <c r="V2571" s="117"/>
      <c r="W2571" s="117"/>
      <c r="X2571" s="117"/>
      <c r="Y2571" s="117"/>
      <c r="Z2571" s="117"/>
      <c r="AA2571" s="117"/>
      <c r="AB2571" s="117"/>
      <c r="AC2571" s="117"/>
      <c r="AD2571" s="117"/>
      <c r="AE2571" s="117"/>
      <c r="AF2571" s="117"/>
      <c r="AG2571" s="117"/>
      <c r="AH2571" s="117"/>
      <c r="AI2571" s="117"/>
      <c r="AJ2571" s="117"/>
      <c r="AK2571" s="117"/>
      <c r="AL2571" s="117"/>
      <c r="AM2571" s="117"/>
      <c r="AN2571" s="117"/>
      <c r="AO2571" s="117"/>
      <c r="AP2571" s="117"/>
      <c r="AQ2571" s="117"/>
      <c r="AR2571" s="117"/>
      <c r="AS2571" s="117"/>
      <c r="AT2571" s="117"/>
      <c r="AU2571" s="117"/>
      <c r="AV2571" s="117"/>
      <c r="AW2571" s="117"/>
      <c r="AX2571" s="117"/>
      <c r="AY2571" s="117"/>
      <c r="AZ2571" s="117"/>
      <c r="BA2571" s="117"/>
      <c r="BB2571" s="117"/>
      <c r="BC2571" s="117"/>
      <c r="BD2571" s="117"/>
      <c r="BE2571" s="117"/>
      <c r="BF2571" s="117"/>
      <c r="BG2571" s="117"/>
    </row>
    <row r="2572" spans="1:59">
      <c r="A2572" s="117"/>
      <c r="B2572" s="117"/>
      <c r="C2572" s="117"/>
      <c r="D2572" s="117"/>
      <c r="E2572" s="117"/>
      <c r="F2572" s="117"/>
      <c r="G2572" s="117"/>
      <c r="H2572" s="117"/>
      <c r="I2572" s="117"/>
      <c r="J2572" s="118"/>
      <c r="K2572" s="118"/>
      <c r="L2572" s="118"/>
      <c r="M2572" s="118"/>
      <c r="N2572" s="117"/>
      <c r="O2572" s="117"/>
      <c r="P2572" s="117"/>
      <c r="Q2572" s="117"/>
      <c r="R2572" s="117"/>
      <c r="S2572" s="117"/>
      <c r="T2572" s="117"/>
      <c r="U2572" s="117"/>
      <c r="V2572" s="117"/>
      <c r="W2572" s="117"/>
      <c r="X2572" s="117"/>
      <c r="Y2572" s="117"/>
      <c r="Z2572" s="117"/>
      <c r="AA2572" s="117"/>
      <c r="AB2572" s="117"/>
      <c r="AC2572" s="117"/>
      <c r="AD2572" s="117"/>
      <c r="AE2572" s="117"/>
      <c r="AF2572" s="117"/>
      <c r="AG2572" s="117"/>
      <c r="AH2572" s="117"/>
      <c r="AI2572" s="117"/>
      <c r="AJ2572" s="117"/>
      <c r="AK2572" s="117"/>
      <c r="AL2572" s="117"/>
      <c r="AM2572" s="117"/>
      <c r="AN2572" s="117"/>
      <c r="AO2572" s="117"/>
      <c r="AP2572" s="117"/>
      <c r="AQ2572" s="117"/>
      <c r="AR2572" s="117"/>
      <c r="AS2572" s="117"/>
      <c r="AT2572" s="117"/>
      <c r="AU2572" s="117"/>
      <c r="AV2572" s="117"/>
      <c r="AW2572" s="117"/>
      <c r="AX2572" s="117"/>
      <c r="AY2572" s="117"/>
      <c r="AZ2572" s="117"/>
      <c r="BA2572" s="117"/>
      <c r="BB2572" s="117"/>
      <c r="BC2572" s="117"/>
      <c r="BD2572" s="117"/>
      <c r="BE2572" s="117"/>
      <c r="BF2572" s="117"/>
      <c r="BG2572" s="117"/>
    </row>
    <row r="2573" spans="1:59">
      <c r="A2573" s="117"/>
      <c r="B2573" s="117"/>
      <c r="C2573" s="117"/>
      <c r="D2573" s="117"/>
      <c r="E2573" s="117"/>
      <c r="F2573" s="117"/>
      <c r="G2573" s="117"/>
      <c r="H2573" s="117"/>
      <c r="I2573" s="117"/>
      <c r="J2573" s="118"/>
      <c r="K2573" s="118"/>
      <c r="L2573" s="118"/>
      <c r="M2573" s="118"/>
      <c r="N2573" s="117"/>
      <c r="O2573" s="117"/>
      <c r="P2573" s="117"/>
      <c r="Q2573" s="117"/>
      <c r="R2573" s="117"/>
      <c r="S2573" s="117"/>
      <c r="T2573" s="117"/>
      <c r="U2573" s="117"/>
      <c r="V2573" s="117"/>
      <c r="W2573" s="117"/>
      <c r="X2573" s="117"/>
      <c r="Y2573" s="117"/>
      <c r="Z2573" s="117"/>
      <c r="AA2573" s="117"/>
      <c r="AB2573" s="117"/>
      <c r="AC2573" s="117"/>
      <c r="AD2573" s="117"/>
      <c r="AE2573" s="117"/>
      <c r="AF2573" s="117"/>
      <c r="AG2573" s="117"/>
      <c r="AH2573" s="117"/>
      <c r="AI2573" s="117"/>
      <c r="AJ2573" s="117"/>
      <c r="AK2573" s="117"/>
      <c r="AL2573" s="117"/>
      <c r="AM2573" s="117"/>
      <c r="AN2573" s="117"/>
      <c r="AO2573" s="117"/>
      <c r="AP2573" s="117"/>
      <c r="AQ2573" s="117"/>
      <c r="AR2573" s="117"/>
      <c r="AS2573" s="117"/>
      <c r="AT2573" s="117"/>
      <c r="AU2573" s="117"/>
      <c r="AV2573" s="117"/>
      <c r="AW2573" s="117"/>
      <c r="AX2573" s="117"/>
      <c r="AY2573" s="117"/>
      <c r="AZ2573" s="117"/>
      <c r="BA2573" s="117"/>
      <c r="BB2573" s="117"/>
      <c r="BC2573" s="117"/>
      <c r="BD2573" s="117"/>
      <c r="BE2573" s="117"/>
      <c r="BF2573" s="117"/>
      <c r="BG2573" s="117"/>
    </row>
    <row r="2574" spans="1:59">
      <c r="A2574" s="117"/>
      <c r="B2574" s="117"/>
      <c r="C2574" s="117"/>
      <c r="D2574" s="117"/>
      <c r="E2574" s="117"/>
      <c r="F2574" s="117"/>
      <c r="G2574" s="117"/>
      <c r="H2574" s="117"/>
      <c r="I2574" s="117"/>
      <c r="J2574" s="118"/>
      <c r="K2574" s="118"/>
      <c r="L2574" s="118"/>
      <c r="M2574" s="118"/>
      <c r="N2574" s="117"/>
      <c r="O2574" s="117"/>
      <c r="P2574" s="117"/>
      <c r="Q2574" s="117"/>
      <c r="R2574" s="117"/>
      <c r="S2574" s="117"/>
      <c r="T2574" s="117"/>
      <c r="U2574" s="117"/>
      <c r="V2574" s="117"/>
      <c r="W2574" s="117"/>
      <c r="X2574" s="117"/>
      <c r="Y2574" s="117"/>
      <c r="Z2574" s="117"/>
      <c r="AA2574" s="117"/>
      <c r="AB2574" s="117"/>
      <c r="AC2574" s="117"/>
      <c r="AD2574" s="117"/>
      <c r="AE2574" s="117"/>
      <c r="AF2574" s="117"/>
      <c r="AG2574" s="117"/>
      <c r="AH2574" s="117"/>
      <c r="AI2574" s="117"/>
      <c r="AJ2574" s="117"/>
      <c r="AK2574" s="117"/>
      <c r="AL2574" s="117"/>
      <c r="AM2574" s="117"/>
      <c r="AN2574" s="117"/>
      <c r="AO2574" s="117"/>
      <c r="AP2574" s="117"/>
      <c r="AQ2574" s="117"/>
      <c r="AR2574" s="117"/>
      <c r="AS2574" s="117"/>
      <c r="AT2574" s="117"/>
      <c r="AU2574" s="117"/>
      <c r="AV2574" s="117"/>
      <c r="AW2574" s="117"/>
      <c r="AX2574" s="117"/>
      <c r="AY2574" s="117"/>
      <c r="AZ2574" s="117"/>
      <c r="BA2574" s="117"/>
      <c r="BB2574" s="117"/>
      <c r="BC2574" s="117"/>
      <c r="BD2574" s="117"/>
      <c r="BE2574" s="117"/>
      <c r="BF2574" s="117"/>
      <c r="BG2574" s="117"/>
    </row>
    <row r="2575" spans="1:59">
      <c r="A2575" s="117"/>
      <c r="B2575" s="117"/>
      <c r="C2575" s="117"/>
      <c r="D2575" s="117"/>
      <c r="E2575" s="117"/>
      <c r="F2575" s="117"/>
      <c r="G2575" s="117"/>
      <c r="H2575" s="117"/>
      <c r="I2575" s="117"/>
      <c r="J2575" s="118"/>
      <c r="K2575" s="118"/>
      <c r="L2575" s="118"/>
      <c r="M2575" s="118"/>
      <c r="N2575" s="117"/>
      <c r="O2575" s="117"/>
      <c r="P2575" s="117"/>
      <c r="Q2575" s="117"/>
      <c r="R2575" s="117"/>
      <c r="S2575" s="117"/>
      <c r="T2575" s="117"/>
      <c r="U2575" s="117"/>
      <c r="V2575" s="117"/>
      <c r="W2575" s="117"/>
      <c r="X2575" s="117"/>
      <c r="Y2575" s="117"/>
      <c r="Z2575" s="117"/>
      <c r="AA2575" s="117"/>
      <c r="AB2575" s="117"/>
      <c r="AC2575" s="117"/>
      <c r="AD2575" s="117"/>
      <c r="AE2575" s="117"/>
      <c r="AF2575" s="117"/>
      <c r="AG2575" s="117"/>
      <c r="AH2575" s="117"/>
      <c r="AI2575" s="117"/>
      <c r="AJ2575" s="117"/>
      <c r="AK2575" s="117"/>
      <c r="AL2575" s="117"/>
      <c r="AM2575" s="117"/>
      <c r="AN2575" s="117"/>
      <c r="AO2575" s="117"/>
      <c r="AP2575" s="117"/>
      <c r="AQ2575" s="117"/>
      <c r="AR2575" s="117"/>
      <c r="AS2575" s="117"/>
      <c r="AT2575" s="117"/>
      <c r="AU2575" s="117"/>
      <c r="AV2575" s="117"/>
      <c r="AW2575" s="117"/>
      <c r="AX2575" s="117"/>
      <c r="AY2575" s="117"/>
      <c r="AZ2575" s="117"/>
      <c r="BA2575" s="117"/>
      <c r="BB2575" s="117"/>
      <c r="BC2575" s="117"/>
      <c r="BD2575" s="117"/>
      <c r="BE2575" s="117"/>
      <c r="BF2575" s="117"/>
      <c r="BG2575" s="117"/>
    </row>
    <row r="2576" spans="1:59">
      <c r="A2576" s="117"/>
      <c r="B2576" s="117"/>
      <c r="C2576" s="117"/>
      <c r="D2576" s="117"/>
      <c r="E2576" s="117"/>
      <c r="F2576" s="117"/>
      <c r="G2576" s="117"/>
      <c r="H2576" s="117"/>
      <c r="I2576" s="117"/>
      <c r="J2576" s="118"/>
      <c r="K2576" s="118"/>
      <c r="L2576" s="118"/>
      <c r="M2576" s="118"/>
      <c r="N2576" s="117"/>
      <c r="O2576" s="117"/>
      <c r="P2576" s="117"/>
      <c r="Q2576" s="117"/>
      <c r="R2576" s="117"/>
      <c r="S2576" s="117"/>
      <c r="T2576" s="117"/>
      <c r="U2576" s="117"/>
      <c r="V2576" s="117"/>
      <c r="W2576" s="117"/>
      <c r="X2576" s="117"/>
      <c r="Y2576" s="117"/>
      <c r="Z2576" s="117"/>
      <c r="AA2576" s="117"/>
      <c r="AB2576" s="117"/>
      <c r="AC2576" s="117"/>
      <c r="AD2576" s="117"/>
      <c r="AE2576" s="117"/>
      <c r="AF2576" s="117"/>
      <c r="AG2576" s="117"/>
      <c r="AH2576" s="117"/>
      <c r="AI2576" s="117"/>
      <c r="AJ2576" s="117"/>
      <c r="AK2576" s="117"/>
      <c r="AL2576" s="117"/>
      <c r="AM2576" s="117"/>
      <c r="AN2576" s="117"/>
      <c r="AO2576" s="117"/>
      <c r="AP2576" s="117"/>
      <c r="AQ2576" s="117"/>
      <c r="AR2576" s="117"/>
      <c r="AS2576" s="117"/>
      <c r="AT2576" s="117"/>
      <c r="AU2576" s="117"/>
      <c r="AV2576" s="117"/>
      <c r="AW2576" s="117"/>
      <c r="AX2576" s="117"/>
      <c r="AY2576" s="117"/>
      <c r="AZ2576" s="117"/>
      <c r="BA2576" s="117"/>
      <c r="BB2576" s="117"/>
      <c r="BC2576" s="117"/>
      <c r="BD2576" s="117"/>
      <c r="BE2576" s="117"/>
      <c r="BF2576" s="117"/>
      <c r="BG2576" s="117"/>
    </row>
    <row r="2577" spans="1:59">
      <c r="A2577" s="117"/>
      <c r="B2577" s="117"/>
      <c r="C2577" s="117"/>
      <c r="D2577" s="117"/>
      <c r="E2577" s="117"/>
      <c r="F2577" s="117"/>
      <c r="G2577" s="117"/>
      <c r="H2577" s="117"/>
      <c r="I2577" s="117"/>
      <c r="J2577" s="118"/>
      <c r="K2577" s="118"/>
      <c r="L2577" s="118"/>
      <c r="M2577" s="118"/>
      <c r="N2577" s="117"/>
      <c r="O2577" s="117"/>
      <c r="P2577" s="117"/>
      <c r="Q2577" s="117"/>
      <c r="R2577" s="117"/>
      <c r="S2577" s="117"/>
      <c r="T2577" s="117"/>
      <c r="U2577" s="117"/>
      <c r="V2577" s="117"/>
      <c r="W2577" s="117"/>
      <c r="X2577" s="117"/>
      <c r="Y2577" s="117"/>
      <c r="Z2577" s="117"/>
      <c r="AA2577" s="117"/>
      <c r="AB2577" s="117"/>
      <c r="AC2577" s="117"/>
      <c r="AD2577" s="117"/>
      <c r="AE2577" s="117"/>
      <c r="AF2577" s="117"/>
      <c r="AG2577" s="117"/>
      <c r="AH2577" s="117"/>
      <c r="AI2577" s="117"/>
      <c r="AJ2577" s="117"/>
      <c r="AK2577" s="117"/>
      <c r="AL2577" s="117"/>
      <c r="AM2577" s="117"/>
      <c r="AN2577" s="117"/>
      <c r="AO2577" s="117"/>
      <c r="AP2577" s="117"/>
      <c r="AQ2577" s="117"/>
      <c r="AR2577" s="117"/>
      <c r="AS2577" s="117"/>
      <c r="AT2577" s="117"/>
      <c r="AU2577" s="117"/>
      <c r="AV2577" s="117"/>
      <c r="AW2577" s="117"/>
      <c r="AX2577" s="117"/>
      <c r="AY2577" s="117"/>
      <c r="AZ2577" s="117"/>
      <c r="BA2577" s="117"/>
      <c r="BB2577" s="117"/>
      <c r="BC2577" s="117"/>
      <c r="BD2577" s="117"/>
      <c r="BE2577" s="117"/>
      <c r="BF2577" s="117"/>
      <c r="BG2577" s="117"/>
    </row>
    <row r="2578" spans="1:59">
      <c r="A2578" s="117"/>
      <c r="B2578" s="117"/>
      <c r="C2578" s="117"/>
      <c r="D2578" s="117"/>
      <c r="E2578" s="117"/>
      <c r="F2578" s="117"/>
      <c r="G2578" s="117"/>
      <c r="H2578" s="117"/>
      <c r="I2578" s="117"/>
      <c r="J2578" s="118"/>
      <c r="K2578" s="118"/>
      <c r="L2578" s="118"/>
      <c r="M2578" s="118"/>
      <c r="N2578" s="117"/>
      <c r="O2578" s="117"/>
      <c r="P2578" s="117"/>
      <c r="Q2578" s="117"/>
      <c r="R2578" s="117"/>
      <c r="S2578" s="117"/>
      <c r="T2578" s="117"/>
      <c r="U2578" s="117"/>
      <c r="V2578" s="117"/>
      <c r="W2578" s="117"/>
      <c r="X2578" s="117"/>
      <c r="Y2578" s="117"/>
      <c r="Z2578" s="117"/>
      <c r="AA2578" s="117"/>
      <c r="AB2578" s="117"/>
      <c r="AC2578" s="117"/>
      <c r="AD2578" s="117"/>
      <c r="AE2578" s="117"/>
      <c r="AF2578" s="117"/>
      <c r="AG2578" s="117"/>
      <c r="AH2578" s="117"/>
      <c r="AI2578" s="117"/>
      <c r="AJ2578" s="117"/>
      <c r="AK2578" s="117"/>
      <c r="AL2578" s="117"/>
      <c r="AM2578" s="117"/>
      <c r="AN2578" s="117"/>
      <c r="AO2578" s="117"/>
      <c r="AP2578" s="117"/>
      <c r="AQ2578" s="117"/>
      <c r="AR2578" s="117"/>
      <c r="AS2578" s="117"/>
      <c r="AT2578" s="117"/>
      <c r="AU2578" s="117"/>
      <c r="AV2578" s="117"/>
      <c r="AW2578" s="117"/>
      <c r="AX2578" s="117"/>
      <c r="AY2578" s="117"/>
      <c r="AZ2578" s="117"/>
      <c r="BA2578" s="117"/>
      <c r="BB2578" s="117"/>
      <c r="BC2578" s="117"/>
      <c r="BD2578" s="117"/>
      <c r="BE2578" s="117"/>
      <c r="BF2578" s="117"/>
      <c r="BG2578" s="117"/>
    </row>
    <row r="2579" spans="1:59">
      <c r="A2579" s="117"/>
      <c r="B2579" s="117"/>
      <c r="C2579" s="117"/>
      <c r="D2579" s="117"/>
      <c r="E2579" s="117"/>
      <c r="F2579" s="117"/>
      <c r="G2579" s="117"/>
      <c r="H2579" s="117"/>
      <c r="I2579" s="117"/>
      <c r="J2579" s="118"/>
      <c r="K2579" s="118"/>
      <c r="L2579" s="118"/>
      <c r="M2579" s="118"/>
      <c r="N2579" s="117"/>
      <c r="O2579" s="117"/>
      <c r="P2579" s="117"/>
      <c r="Q2579" s="117"/>
      <c r="R2579" s="117"/>
      <c r="S2579" s="117"/>
      <c r="T2579" s="117"/>
      <c r="U2579" s="117"/>
      <c r="V2579" s="117"/>
      <c r="W2579" s="117"/>
      <c r="X2579" s="117"/>
      <c r="Y2579" s="117"/>
      <c r="Z2579" s="117"/>
      <c r="AA2579" s="117"/>
      <c r="AB2579" s="117"/>
      <c r="AC2579" s="117"/>
      <c r="AD2579" s="117"/>
      <c r="AE2579" s="117"/>
      <c r="AF2579" s="117"/>
      <c r="AG2579" s="117"/>
      <c r="AH2579" s="117"/>
      <c r="AI2579" s="117"/>
      <c r="AJ2579" s="117"/>
      <c r="AK2579" s="117"/>
      <c r="AL2579" s="117"/>
      <c r="AM2579" s="117"/>
      <c r="AN2579" s="117"/>
      <c r="AO2579" s="117"/>
      <c r="AP2579" s="117"/>
      <c r="AQ2579" s="117"/>
      <c r="AR2579" s="117"/>
      <c r="AS2579" s="117"/>
      <c r="AT2579" s="117"/>
      <c r="AU2579" s="117"/>
      <c r="AV2579" s="117"/>
      <c r="AW2579" s="117"/>
      <c r="AX2579" s="117"/>
      <c r="AY2579" s="117"/>
      <c r="AZ2579" s="117"/>
      <c r="BA2579" s="117"/>
      <c r="BB2579" s="117"/>
      <c r="BC2579" s="117"/>
      <c r="BD2579" s="117"/>
      <c r="BE2579" s="117"/>
      <c r="BF2579" s="117"/>
      <c r="BG2579" s="117"/>
    </row>
    <row r="2580" spans="1:59">
      <c r="C2580" s="117"/>
      <c r="D2580" s="117"/>
      <c r="E2580" s="117"/>
      <c r="F2580" s="117"/>
      <c r="G2580" s="117"/>
      <c r="H2580" s="117"/>
      <c r="I2580" s="117"/>
      <c r="J2580" s="118"/>
      <c r="K2580" s="118"/>
      <c r="L2580" s="118"/>
      <c r="M2580" s="118"/>
      <c r="N2580" s="117"/>
      <c r="O2580" s="117"/>
      <c r="P2580" s="117"/>
      <c r="Q2580" s="117"/>
      <c r="R2580" s="117"/>
    </row>
    <row r="2581" spans="1:59">
      <c r="C2581" s="117"/>
      <c r="D2581" s="117"/>
      <c r="E2581" s="117"/>
      <c r="F2581" s="117"/>
      <c r="G2581" s="117"/>
      <c r="H2581" s="117"/>
      <c r="I2581" s="117"/>
      <c r="J2581" s="118"/>
      <c r="K2581" s="118"/>
      <c r="L2581" s="118"/>
      <c r="M2581" s="118"/>
      <c r="N2581" s="117"/>
      <c r="O2581" s="117"/>
      <c r="P2581" s="117"/>
      <c r="Q2581" s="117"/>
      <c r="R2581" s="117"/>
    </row>
  </sheetData>
  <phoneticPr fontId="0" type="noConversion"/>
  <printOptions horizontalCentered="1"/>
  <pageMargins left="0.35433070866141703" right="0.35433070866141703" top="0.62992125984252001" bottom="0.35433070866141703" header="0.511811023622047" footer="0.23622047244094499"/>
  <pageSetup paperSize="9" scale="54" orientation="landscape" r:id="rId1"/>
  <headerFooter alignWithMargins="0"/>
  <rowBreaks count="1" manualBreakCount="1">
    <brk id="62" min="1" max="18" man="1"/>
  </rowBreaks>
  <colBreaks count="1" manualBreakCount="1">
    <brk id="2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Module____11">
    <tabColor theme="0"/>
  </sheetPr>
  <dimension ref="B2:CH157"/>
  <sheetViews>
    <sheetView showGridLines="0" topLeftCell="A120" zoomScale="75" zoomScaleNormal="85" zoomScaleSheetLayoutView="70" workbookViewId="0">
      <selection activeCell="C149" sqref="C149"/>
    </sheetView>
  </sheetViews>
  <sheetFormatPr defaultRowHeight="12.75" outlineLevelRow="2" outlineLevelCol="1"/>
  <cols>
    <col min="1" max="1" width="1.28515625" style="374" customWidth="1"/>
    <col min="2" max="2" width="2.7109375" style="374" customWidth="1"/>
    <col min="3" max="4" width="11.7109375" style="374" customWidth="1"/>
    <col min="5" max="8" width="11.7109375" style="374" hidden="1" customWidth="1" outlineLevel="1"/>
    <col min="9" max="9" width="11.85546875" style="374" customWidth="1" collapsed="1"/>
    <col min="10" max="10" width="16.7109375" style="374" hidden="1" customWidth="1" outlineLevel="1"/>
    <col min="11" max="12" width="11.7109375" style="374" hidden="1" customWidth="1" outlineLevel="1"/>
    <col min="13" max="13" width="11.7109375" style="374" customWidth="1" collapsed="1"/>
    <col min="14" max="14" width="11.7109375" style="374" customWidth="1"/>
    <col min="15" max="15" width="13.42578125" style="374" customWidth="1"/>
    <col min="16" max="23" width="11.7109375" style="374" customWidth="1"/>
    <col min="24" max="24" width="11.7109375" style="970" customWidth="1"/>
    <col min="25" max="67" width="11.7109375" style="374" customWidth="1"/>
    <col min="68" max="16384" width="9.140625" style="374"/>
  </cols>
  <sheetData>
    <row r="2" spans="2:86" ht="11.25" customHeight="1">
      <c r="B2" s="965"/>
      <c r="C2" s="966"/>
      <c r="D2" s="419"/>
      <c r="E2" s="419"/>
      <c r="F2" s="419"/>
      <c r="G2" s="419"/>
      <c r="H2" s="419"/>
      <c r="I2" s="419"/>
      <c r="J2" s="965"/>
      <c r="K2" s="419"/>
      <c r="L2" s="419"/>
      <c r="M2" s="419"/>
      <c r="N2" s="419"/>
      <c r="O2" s="419"/>
      <c r="P2" s="419"/>
      <c r="Q2" s="419"/>
      <c r="R2" s="419"/>
      <c r="S2" s="419"/>
      <c r="T2" s="419"/>
      <c r="U2" s="419"/>
      <c r="V2" s="419"/>
    </row>
    <row r="3" spans="2:86" ht="27">
      <c r="B3" s="965"/>
      <c r="C3" s="499" t="s">
        <v>2031</v>
      </c>
      <c r="D3" s="117"/>
      <c r="E3" s="117"/>
      <c r="F3" s="117"/>
      <c r="G3" s="102"/>
      <c r="H3" s="102"/>
      <c r="I3" s="102"/>
      <c r="J3" s="971"/>
      <c r="K3" s="121"/>
      <c r="L3" s="121"/>
      <c r="M3" s="121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972"/>
    </row>
    <row r="4" spans="2:86" ht="3" customHeight="1">
      <c r="B4" s="965"/>
      <c r="C4" s="104"/>
      <c r="D4" s="104"/>
      <c r="E4" s="104"/>
      <c r="F4" s="104"/>
      <c r="G4" s="104"/>
      <c r="H4" s="104"/>
      <c r="I4" s="104"/>
      <c r="J4" s="104"/>
      <c r="K4" s="104"/>
      <c r="L4" s="420"/>
      <c r="M4" s="420"/>
      <c r="N4" s="420"/>
      <c r="O4" s="420"/>
      <c r="P4" s="104"/>
      <c r="Q4" s="104"/>
      <c r="R4" s="104"/>
      <c r="S4" s="104"/>
      <c r="T4" s="104"/>
      <c r="U4" s="104"/>
      <c r="V4" s="104"/>
      <c r="W4" s="104"/>
      <c r="X4" s="973"/>
    </row>
    <row r="5" spans="2:86" ht="20.100000000000001" customHeight="1">
      <c r="B5" s="965"/>
      <c r="C5" s="102"/>
      <c r="D5" s="102"/>
      <c r="E5" s="102"/>
      <c r="F5" s="102"/>
      <c r="G5" s="102"/>
      <c r="H5" s="102"/>
      <c r="I5" s="102"/>
      <c r="J5" s="967"/>
      <c r="K5" s="967"/>
      <c r="L5" s="121"/>
      <c r="M5" s="121"/>
      <c r="N5" s="121"/>
      <c r="O5" s="121"/>
      <c r="P5" s="102"/>
      <c r="Q5" s="102"/>
      <c r="R5" s="102"/>
      <c r="S5" s="102"/>
      <c r="T5" s="102"/>
      <c r="U5" s="102"/>
      <c r="V5" s="102"/>
      <c r="W5" s="102"/>
      <c r="X5" s="972"/>
    </row>
    <row r="6" spans="2:86" ht="20.100000000000001" customHeight="1">
      <c r="B6" s="965"/>
      <c r="C6" s="467" t="s">
        <v>540</v>
      </c>
      <c r="D6" s="468"/>
      <c r="E6" s="468"/>
      <c r="F6" s="468"/>
      <c r="G6" s="468"/>
      <c r="H6" s="91"/>
      <c r="I6" s="91"/>
      <c r="J6" s="91"/>
      <c r="K6" s="135"/>
      <c r="L6" s="90"/>
      <c r="M6" s="421"/>
      <c r="N6" s="91"/>
      <c r="O6" s="117"/>
      <c r="P6" s="974"/>
      <c r="Q6" s="974"/>
      <c r="R6" s="974"/>
      <c r="S6" s="974"/>
      <c r="T6" s="974"/>
      <c r="U6" s="974"/>
      <c r="V6" s="974"/>
      <c r="W6" s="972"/>
      <c r="X6" s="153"/>
    </row>
    <row r="7" spans="2:86" s="965" customFormat="1" ht="20.100000000000001" customHeight="1">
      <c r="B7" s="968"/>
      <c r="C7" s="546"/>
      <c r="D7" s="106"/>
      <c r="E7" s="106"/>
      <c r="F7" s="106"/>
      <c r="G7" s="546"/>
      <c r="H7" s="546"/>
      <c r="I7" s="92"/>
      <c r="J7" s="92">
        <v>1</v>
      </c>
      <c r="K7" s="92">
        <f t="shared" ref="K7:T7" si="0">J7+1</f>
        <v>2</v>
      </c>
      <c r="L7" s="92">
        <f t="shared" si="0"/>
        <v>3</v>
      </c>
      <c r="M7" s="92">
        <f>L7+1</f>
        <v>4</v>
      </c>
      <c r="N7" s="92">
        <f t="shared" si="0"/>
        <v>5</v>
      </c>
      <c r="O7" s="92">
        <f t="shared" si="0"/>
        <v>6</v>
      </c>
      <c r="P7" s="92">
        <f t="shared" si="0"/>
        <v>7</v>
      </c>
      <c r="Q7" s="92">
        <f t="shared" si="0"/>
        <v>8</v>
      </c>
      <c r="R7" s="92">
        <f t="shared" si="0"/>
        <v>9</v>
      </c>
      <c r="S7" s="92">
        <f t="shared" si="0"/>
        <v>10</v>
      </c>
      <c r="T7" s="92">
        <f t="shared" si="0"/>
        <v>11</v>
      </c>
      <c r="U7" s="92">
        <f>T7+1</f>
        <v>12</v>
      </c>
      <c r="V7" s="92">
        <f>U7+1</f>
        <v>13</v>
      </c>
      <c r="W7" s="76"/>
      <c r="X7" s="155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  <c r="BM7" s="76"/>
      <c r="BN7" s="76"/>
      <c r="BO7" s="76"/>
      <c r="BP7" s="76"/>
      <c r="BQ7" s="76"/>
      <c r="BR7" s="76"/>
      <c r="BS7" s="76"/>
      <c r="BT7" s="76"/>
      <c r="BU7" s="76"/>
      <c r="BV7" s="76"/>
      <c r="BW7" s="76"/>
      <c r="BX7" s="76"/>
      <c r="BY7" s="76"/>
      <c r="BZ7" s="76"/>
      <c r="CA7" s="76"/>
      <c r="CB7" s="76"/>
      <c r="CC7" s="76"/>
      <c r="CD7" s="76"/>
      <c r="CE7" s="76"/>
      <c r="CF7" s="76"/>
      <c r="CG7" s="76"/>
      <c r="CH7" s="76"/>
    </row>
    <row r="8" spans="2:86" ht="20.100000000000001" customHeight="1" outlineLevel="1">
      <c r="B8" s="965"/>
      <c r="C8" s="548"/>
      <c r="D8" s="469"/>
      <c r="E8" s="469"/>
      <c r="F8" s="469"/>
      <c r="G8" s="548"/>
      <c r="H8" s="548"/>
      <c r="I8" s="93"/>
      <c r="J8" s="93"/>
      <c r="K8" s="93"/>
      <c r="L8" s="93"/>
      <c r="M8" s="93"/>
      <c r="N8" s="93"/>
      <c r="O8" s="93"/>
      <c r="P8" s="93"/>
      <c r="Q8" s="970"/>
      <c r="R8" s="970"/>
      <c r="S8" s="970"/>
      <c r="T8" s="970"/>
      <c r="U8" s="970"/>
      <c r="V8" s="970"/>
      <c r="W8" s="76"/>
      <c r="X8" s="155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  <c r="CC8" s="76"/>
      <c r="CD8" s="76"/>
      <c r="CE8" s="76"/>
      <c r="CF8" s="76"/>
      <c r="CG8" s="76"/>
      <c r="CH8" s="76"/>
    </row>
    <row r="9" spans="2:86" s="965" customFormat="1" ht="19.5" customHeight="1" outlineLevel="1">
      <c r="B9" s="968"/>
      <c r="C9" s="471"/>
      <c r="D9" s="472"/>
      <c r="E9" s="506"/>
      <c r="F9" s="506"/>
      <c r="G9" s="471"/>
      <c r="H9" s="471"/>
      <c r="I9" s="94"/>
      <c r="J9" s="94" t="s">
        <v>499</v>
      </c>
      <c r="K9" s="94" t="s">
        <v>499</v>
      </c>
      <c r="L9" s="94" t="s">
        <v>499</v>
      </c>
      <c r="M9" s="94" t="s">
        <v>499</v>
      </c>
      <c r="N9" s="94" t="s">
        <v>499</v>
      </c>
      <c r="O9" s="94" t="s">
        <v>499</v>
      </c>
      <c r="P9" s="94" t="s">
        <v>499</v>
      </c>
      <c r="Q9" s="94" t="s">
        <v>499</v>
      </c>
      <c r="R9" s="94" t="s">
        <v>499</v>
      </c>
      <c r="S9" s="94" t="s">
        <v>499</v>
      </c>
      <c r="T9" s="94" t="s">
        <v>499</v>
      </c>
      <c r="U9" s="94" t="s">
        <v>499</v>
      </c>
      <c r="V9" s="94" t="s">
        <v>499</v>
      </c>
      <c r="W9" s="76"/>
      <c r="X9" s="155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  <c r="BM9" s="76"/>
      <c r="BN9" s="76"/>
      <c r="BO9" s="76"/>
      <c r="BP9" s="76"/>
      <c r="BQ9" s="76"/>
      <c r="BR9" s="76"/>
      <c r="BS9" s="76"/>
      <c r="BT9" s="76"/>
      <c r="BU9" s="76"/>
      <c r="BV9" s="76"/>
      <c r="BW9" s="76"/>
      <c r="BX9" s="76"/>
      <c r="BY9" s="76"/>
      <c r="BZ9" s="76"/>
      <c r="CA9" s="76"/>
      <c r="CB9" s="76"/>
      <c r="CC9" s="76"/>
      <c r="CD9" s="76"/>
      <c r="CE9" s="76"/>
      <c r="CF9" s="76"/>
      <c r="CG9" s="76"/>
      <c r="CH9" s="76"/>
    </row>
    <row r="10" spans="2:86" ht="3.75" customHeight="1" outlineLevel="1">
      <c r="B10" s="965"/>
      <c r="C10" s="889"/>
      <c r="D10" s="889"/>
      <c r="E10" s="889"/>
      <c r="F10" s="889"/>
      <c r="G10" s="889"/>
      <c r="K10" s="889"/>
      <c r="L10" s="975"/>
      <c r="M10" s="422"/>
      <c r="N10" s="422"/>
      <c r="O10" s="422"/>
      <c r="P10" s="76"/>
      <c r="Q10" s="76"/>
      <c r="R10" s="76"/>
      <c r="S10" s="76"/>
      <c r="T10" s="76"/>
      <c r="U10" s="76"/>
      <c r="V10" s="76"/>
      <c r="W10" s="76"/>
      <c r="X10" s="155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</row>
    <row r="11" spans="2:86" ht="20.100000000000001" customHeight="1" outlineLevel="2">
      <c r="B11" s="965"/>
      <c r="C11" s="881" t="s">
        <v>541</v>
      </c>
      <c r="D11" s="882"/>
      <c r="E11" s="882"/>
      <c r="F11" s="882"/>
      <c r="G11" s="882"/>
      <c r="H11" s="398"/>
      <c r="J11" s="108"/>
      <c r="K11" s="108">
        <v>37277</v>
      </c>
      <c r="L11" s="108">
        <v>23687</v>
      </c>
      <c r="M11" s="108" t="e">
        <f t="shared" ref="M11:R11" si="1">AVERAGE(M23,M35,M47,M63)</f>
        <v>#DIV/0!</v>
      </c>
      <c r="N11" s="108" t="e">
        <f t="shared" si="1"/>
        <v>#DIV/0!</v>
      </c>
      <c r="O11" s="108" t="e">
        <f t="shared" si="1"/>
        <v>#DIV/0!</v>
      </c>
      <c r="P11" s="108" t="e">
        <f t="shared" si="1"/>
        <v>#DIV/0!</v>
      </c>
      <c r="Q11" s="108" t="e">
        <f t="shared" si="1"/>
        <v>#DIV/0!</v>
      </c>
      <c r="R11" s="108" t="e">
        <f t="shared" si="1"/>
        <v>#DIV/0!</v>
      </c>
      <c r="S11" s="108" t="e">
        <f>AVERAGE(S23,S35,S47,S63)</f>
        <v>#DIV/0!</v>
      </c>
      <c r="T11" s="108" t="e">
        <f>AVERAGE(T23,T35,T47,T63)</f>
        <v>#DIV/0!</v>
      </c>
      <c r="U11" s="108" t="e">
        <f>AVERAGE(U23,U35,U47,U63)</f>
        <v>#DIV/0!</v>
      </c>
      <c r="V11" s="108" t="e">
        <f>AVERAGE(V23,V35,V47,V63)</f>
        <v>#DIV/0!</v>
      </c>
      <c r="W11" s="76"/>
      <c r="X11" s="155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</row>
    <row r="12" spans="2:86" ht="4.5" customHeight="1" outlineLevel="2">
      <c r="B12" s="965"/>
      <c r="C12" s="881"/>
      <c r="D12" s="882"/>
      <c r="E12" s="882"/>
      <c r="F12" s="882"/>
      <c r="G12" s="882"/>
      <c r="H12" s="398"/>
      <c r="J12" s="108"/>
      <c r="K12" s="108"/>
      <c r="L12" s="108"/>
      <c r="M12" s="108"/>
      <c r="N12" s="108"/>
      <c r="O12" s="108"/>
      <c r="P12" s="413"/>
      <c r="Q12" s="413"/>
      <c r="R12" s="413"/>
      <c r="S12" s="413"/>
      <c r="T12" s="413"/>
      <c r="U12" s="413"/>
      <c r="V12" s="413"/>
      <c r="W12" s="76"/>
      <c r="X12" s="155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  <c r="CC12" s="76"/>
      <c r="CD12" s="76"/>
      <c r="CE12" s="76"/>
      <c r="CF12" s="76"/>
      <c r="CG12" s="76"/>
      <c r="CH12" s="76"/>
    </row>
    <row r="13" spans="2:86" ht="20.100000000000001" customHeight="1" outlineLevel="2">
      <c r="B13" s="965"/>
      <c r="C13" s="881" t="s">
        <v>542</v>
      </c>
      <c r="D13" s="883"/>
      <c r="E13" s="883"/>
      <c r="F13" s="883"/>
      <c r="G13" s="883"/>
      <c r="H13" s="398"/>
      <c r="J13" s="108"/>
      <c r="K13" s="108">
        <v>7217</v>
      </c>
      <c r="L13" s="108">
        <v>8720</v>
      </c>
      <c r="M13" s="108" t="e">
        <f t="shared" ref="M13:R13" si="2">AVERAGE(M25,M37,M49,M65)</f>
        <v>#DIV/0!</v>
      </c>
      <c r="N13" s="108" t="e">
        <f t="shared" si="2"/>
        <v>#DIV/0!</v>
      </c>
      <c r="O13" s="108" t="e">
        <f t="shared" si="2"/>
        <v>#DIV/0!</v>
      </c>
      <c r="P13" s="108" t="e">
        <f t="shared" si="2"/>
        <v>#DIV/0!</v>
      </c>
      <c r="Q13" s="108" t="e">
        <f t="shared" si="2"/>
        <v>#DIV/0!</v>
      </c>
      <c r="R13" s="108" t="e">
        <f t="shared" si="2"/>
        <v>#DIV/0!</v>
      </c>
      <c r="S13" s="108" t="e">
        <f>AVERAGE(S25,S37,S49,S65)</f>
        <v>#DIV/0!</v>
      </c>
      <c r="T13" s="108" t="e">
        <f>AVERAGE(T25,T37,T49,T65)</f>
        <v>#DIV/0!</v>
      </c>
      <c r="U13" s="108" t="e">
        <f>AVERAGE(U25,U37,U49,U65)</f>
        <v>#DIV/0!</v>
      </c>
      <c r="V13" s="108" t="e">
        <f>AVERAGE(V25,V37,V49,V65)</f>
        <v>#DIV/0!</v>
      </c>
      <c r="W13" s="76"/>
      <c r="X13" s="155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6"/>
      <c r="CE13" s="76"/>
      <c r="CF13" s="76"/>
      <c r="CG13" s="76"/>
      <c r="CH13" s="76"/>
    </row>
    <row r="14" spans="2:86" ht="5.25" customHeight="1" outlineLevel="2">
      <c r="B14" s="965"/>
      <c r="C14" s="881"/>
      <c r="D14" s="883"/>
      <c r="E14" s="883"/>
      <c r="F14" s="883"/>
      <c r="G14" s="883"/>
      <c r="H14" s="398"/>
      <c r="J14" s="108"/>
      <c r="K14" s="108"/>
      <c r="L14" s="108"/>
      <c r="M14" s="108"/>
      <c r="N14" s="108"/>
      <c r="O14" s="108"/>
      <c r="P14" s="413"/>
      <c r="Q14" s="413"/>
      <c r="R14" s="413"/>
      <c r="S14" s="413"/>
      <c r="T14" s="413"/>
      <c r="U14" s="413"/>
      <c r="V14" s="413"/>
      <c r="W14" s="76"/>
      <c r="X14" s="155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  <c r="CC14" s="76"/>
      <c r="CD14" s="76"/>
      <c r="CE14" s="76"/>
      <c r="CF14" s="76"/>
      <c r="CG14" s="76"/>
      <c r="CH14" s="76"/>
    </row>
    <row r="15" spans="2:86" ht="20.100000000000001" customHeight="1" outlineLevel="2">
      <c r="B15" s="965"/>
      <c r="C15" s="881" t="s">
        <v>543</v>
      </c>
      <c r="D15" s="883"/>
      <c r="E15" s="883"/>
      <c r="F15" s="883"/>
      <c r="G15" s="883"/>
      <c r="H15" s="398"/>
      <c r="J15" s="108"/>
      <c r="K15" s="108">
        <v>3383</v>
      </c>
      <c r="L15" s="108">
        <v>1683.4</v>
      </c>
      <c r="M15" s="108" t="e">
        <f t="shared" ref="M15:R15" si="3">AVERAGE(M27,M39,M51,M67)</f>
        <v>#DIV/0!</v>
      </c>
      <c r="N15" s="108" t="e">
        <f t="shared" si="3"/>
        <v>#DIV/0!</v>
      </c>
      <c r="O15" s="108" t="e">
        <f t="shared" si="3"/>
        <v>#DIV/0!</v>
      </c>
      <c r="P15" s="108" t="e">
        <f t="shared" si="3"/>
        <v>#DIV/0!</v>
      </c>
      <c r="Q15" s="108" t="e">
        <f t="shared" si="3"/>
        <v>#DIV/0!</v>
      </c>
      <c r="R15" s="108" t="e">
        <f t="shared" si="3"/>
        <v>#DIV/0!</v>
      </c>
      <c r="S15" s="108" t="e">
        <f>AVERAGE(S27,S39,S51,S67)</f>
        <v>#DIV/0!</v>
      </c>
      <c r="T15" s="108" t="e">
        <f>AVERAGE(T27,T39,T51,T67)</f>
        <v>#DIV/0!</v>
      </c>
      <c r="U15" s="108" t="e">
        <f>AVERAGE(U27,U39,U51,U67)</f>
        <v>#DIV/0!</v>
      </c>
      <c r="V15" s="108" t="e">
        <f>AVERAGE(V27,V39,V51,V67)</f>
        <v>#DIV/0!</v>
      </c>
      <c r="W15" s="76"/>
      <c r="X15" s="155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  <c r="CC15" s="76"/>
      <c r="CD15" s="76"/>
      <c r="CE15" s="76"/>
      <c r="CF15" s="76"/>
      <c r="CG15" s="76"/>
      <c r="CH15" s="76"/>
    </row>
    <row r="16" spans="2:86" ht="5.25" customHeight="1" outlineLevel="2">
      <c r="C16" s="881"/>
      <c r="D16" s="883"/>
      <c r="E16" s="883"/>
      <c r="F16" s="883"/>
      <c r="G16" s="883"/>
      <c r="H16" s="398"/>
      <c r="J16" s="398"/>
      <c r="K16" s="413"/>
      <c r="L16" s="413"/>
      <c r="M16" s="413"/>
      <c r="N16" s="413"/>
      <c r="O16" s="413"/>
      <c r="P16" s="413"/>
      <c r="Q16" s="413"/>
      <c r="R16" s="413"/>
      <c r="S16" s="413"/>
      <c r="T16" s="413"/>
      <c r="U16" s="413"/>
      <c r="V16" s="413"/>
      <c r="W16" s="76"/>
      <c r="X16" s="155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</row>
    <row r="17" spans="2:86" ht="19.5" customHeight="1" outlineLevel="2">
      <c r="B17" s="965"/>
      <c r="C17" s="881" t="s">
        <v>544</v>
      </c>
      <c r="D17" s="883"/>
      <c r="E17" s="883"/>
      <c r="F17" s="883"/>
      <c r="G17" s="883"/>
      <c r="H17" s="398"/>
      <c r="J17" s="398"/>
      <c r="K17" s="108">
        <v>2593</v>
      </c>
      <c r="L17" s="108">
        <v>2071.5</v>
      </c>
      <c r="M17" s="108" t="e">
        <f t="shared" ref="M17:R17" si="4">AVERAGE(M29,M41,M53,M69)</f>
        <v>#DIV/0!</v>
      </c>
      <c r="N17" s="108" t="e">
        <f t="shared" si="4"/>
        <v>#DIV/0!</v>
      </c>
      <c r="O17" s="108" t="e">
        <f t="shared" si="4"/>
        <v>#DIV/0!</v>
      </c>
      <c r="P17" s="108" t="e">
        <f t="shared" si="4"/>
        <v>#DIV/0!</v>
      </c>
      <c r="Q17" s="108" t="e">
        <f t="shared" si="4"/>
        <v>#DIV/0!</v>
      </c>
      <c r="R17" s="108" t="e">
        <f t="shared" si="4"/>
        <v>#DIV/0!</v>
      </c>
      <c r="S17" s="108" t="e">
        <f>AVERAGE(S29,S41,S53,S69)</f>
        <v>#DIV/0!</v>
      </c>
      <c r="T17" s="108" t="e">
        <f>AVERAGE(T29,T41,T53,T69)</f>
        <v>#DIV/0!</v>
      </c>
      <c r="U17" s="108" t="e">
        <f>AVERAGE(U29,U41,U53,U69)</f>
        <v>#DIV/0!</v>
      </c>
      <c r="V17" s="108" t="e">
        <f>AVERAGE(V29,V41,V53,V69)</f>
        <v>#DIV/0!</v>
      </c>
      <c r="W17" s="76"/>
      <c r="X17" s="155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</row>
    <row r="18" spans="2:86" ht="4.5" customHeight="1" outlineLevel="2">
      <c r="B18" s="965"/>
      <c r="C18" s="881"/>
      <c r="D18" s="883"/>
      <c r="E18" s="883"/>
      <c r="F18" s="883"/>
      <c r="G18" s="883"/>
      <c r="H18" s="398"/>
      <c r="J18" s="423"/>
      <c r="K18" s="423"/>
      <c r="L18" s="423"/>
      <c r="M18" s="423"/>
      <c r="N18" s="423"/>
      <c r="O18" s="423"/>
      <c r="P18" s="423"/>
      <c r="Q18" s="423"/>
      <c r="R18" s="423"/>
      <c r="S18" s="423"/>
      <c r="T18" s="423"/>
      <c r="U18" s="423"/>
      <c r="V18" s="423"/>
      <c r="W18" s="76"/>
      <c r="X18" s="155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6"/>
      <c r="CE18" s="76"/>
      <c r="CF18" s="76"/>
      <c r="CG18" s="76"/>
      <c r="CH18" s="76"/>
    </row>
    <row r="19" spans="2:86" ht="19.5" customHeight="1" outlineLevel="2">
      <c r="B19" s="965"/>
      <c r="C19" s="881"/>
      <c r="D19" s="883"/>
      <c r="E19" s="883"/>
      <c r="F19" s="883"/>
      <c r="G19" s="883"/>
      <c r="H19" s="398"/>
      <c r="J19" s="144">
        <v>1</v>
      </c>
      <c r="K19" s="144">
        <f t="shared" ref="K19:P19" si="5">J19+1</f>
        <v>2</v>
      </c>
      <c r="L19" s="144">
        <f t="shared" si="5"/>
        <v>3</v>
      </c>
      <c r="M19" s="144">
        <f t="shared" si="5"/>
        <v>4</v>
      </c>
      <c r="N19" s="144">
        <f t="shared" si="5"/>
        <v>5</v>
      </c>
      <c r="O19" s="144">
        <f t="shared" si="5"/>
        <v>6</v>
      </c>
      <c r="P19" s="144">
        <f t="shared" si="5"/>
        <v>7</v>
      </c>
      <c r="Q19" s="144">
        <f t="shared" ref="Q19:V19" si="6">Q7</f>
        <v>8</v>
      </c>
      <c r="R19" s="144">
        <f t="shared" si="6"/>
        <v>9</v>
      </c>
      <c r="S19" s="144">
        <f t="shared" si="6"/>
        <v>10</v>
      </c>
      <c r="T19" s="144">
        <f t="shared" si="6"/>
        <v>11</v>
      </c>
      <c r="U19" s="144">
        <f t="shared" si="6"/>
        <v>12</v>
      </c>
      <c r="V19" s="144">
        <f t="shared" si="6"/>
        <v>13</v>
      </c>
      <c r="W19" s="76"/>
      <c r="X19" s="155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  <c r="CC19" s="76"/>
      <c r="CD19" s="76"/>
      <c r="CE19" s="76"/>
      <c r="CF19" s="76"/>
      <c r="CG19" s="76"/>
      <c r="CH19" s="76"/>
    </row>
    <row r="20" spans="2:86" ht="19.5" customHeight="1" outlineLevel="2">
      <c r="B20" s="965"/>
      <c r="C20" s="881"/>
      <c r="D20" s="883"/>
      <c r="E20" s="883"/>
      <c r="F20" s="883"/>
      <c r="G20" s="883"/>
      <c r="H20" s="398"/>
      <c r="J20" s="93"/>
      <c r="K20" s="93"/>
      <c r="L20" s="93"/>
      <c r="M20" s="93"/>
      <c r="N20" s="93"/>
      <c r="O20" s="93"/>
      <c r="P20" s="93"/>
      <c r="Q20" s="970"/>
      <c r="R20" s="970"/>
      <c r="S20" s="970"/>
      <c r="T20" s="970"/>
      <c r="U20" s="970"/>
      <c r="V20" s="970"/>
      <c r="W20" s="76"/>
      <c r="X20" s="155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  <c r="CC20" s="76"/>
      <c r="CD20" s="76"/>
      <c r="CE20" s="76"/>
      <c r="CF20" s="76"/>
      <c r="CG20" s="76"/>
      <c r="CH20" s="76"/>
    </row>
    <row r="21" spans="2:86" ht="20.100000000000001" customHeight="1" outlineLevel="1">
      <c r="B21" s="965"/>
      <c r="C21" s="976" t="s">
        <v>1186</v>
      </c>
      <c r="D21" s="886"/>
      <c r="E21" s="886"/>
      <c r="F21" s="886"/>
      <c r="G21" s="886"/>
      <c r="H21" s="887"/>
      <c r="I21" s="888"/>
      <c r="J21" s="94" t="s">
        <v>499</v>
      </c>
      <c r="K21" s="94" t="s">
        <v>499</v>
      </c>
      <c r="L21" s="94" t="s">
        <v>499</v>
      </c>
      <c r="M21" s="94" t="s">
        <v>499</v>
      </c>
      <c r="N21" s="94" t="s">
        <v>499</v>
      </c>
      <c r="O21" s="94" t="s">
        <v>499</v>
      </c>
      <c r="P21" s="94" t="s">
        <v>499</v>
      </c>
      <c r="Q21" s="94" t="s">
        <v>499</v>
      </c>
      <c r="R21" s="94" t="s">
        <v>499</v>
      </c>
      <c r="S21" s="94" t="s">
        <v>499</v>
      </c>
      <c r="T21" s="94" t="s">
        <v>499</v>
      </c>
      <c r="U21" s="94" t="s">
        <v>499</v>
      </c>
      <c r="V21" s="94" t="s">
        <v>499</v>
      </c>
      <c r="W21" s="76"/>
      <c r="X21" s="155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  <c r="CC21" s="76"/>
      <c r="CD21" s="76"/>
      <c r="CE21" s="76"/>
      <c r="CF21" s="76"/>
      <c r="CG21" s="76"/>
      <c r="CH21" s="76"/>
    </row>
    <row r="22" spans="2:86" ht="3.75" customHeight="1" outlineLevel="1">
      <c r="B22" s="965"/>
      <c r="C22" s="889"/>
      <c r="D22" s="889"/>
      <c r="E22" s="889"/>
      <c r="F22" s="889"/>
      <c r="G22" s="889"/>
      <c r="K22" s="889"/>
      <c r="L22" s="975"/>
      <c r="M22" s="422"/>
      <c r="N22" s="422"/>
      <c r="O22" s="422"/>
      <c r="P22" s="76"/>
      <c r="Q22" s="76"/>
      <c r="R22" s="76"/>
      <c r="S22" s="76"/>
      <c r="T22" s="76"/>
      <c r="U22" s="76"/>
      <c r="V22" s="76"/>
      <c r="W22" s="76"/>
      <c r="X22" s="155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</row>
    <row r="23" spans="2:86" ht="20.100000000000001" customHeight="1" outlineLevel="1">
      <c r="B23" s="965"/>
      <c r="C23" s="881" t="s">
        <v>541</v>
      </c>
      <c r="D23" s="882"/>
      <c r="E23" s="882"/>
      <c r="F23" s="882"/>
      <c r="G23" s="882"/>
      <c r="H23" s="398"/>
      <c r="J23" s="108"/>
      <c r="K23" s="108"/>
      <c r="L23" s="108">
        <v>29200</v>
      </c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76"/>
      <c r="X23" s="155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</row>
    <row r="24" spans="2:86" ht="4.5" customHeight="1" outlineLevel="1">
      <c r="B24" s="965"/>
      <c r="C24" s="881"/>
      <c r="D24" s="882"/>
      <c r="E24" s="882"/>
      <c r="F24" s="882"/>
      <c r="G24" s="882"/>
      <c r="H24" s="39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76"/>
      <c r="X24" s="155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</row>
    <row r="25" spans="2:86" ht="20.100000000000001" customHeight="1" outlineLevel="1">
      <c r="B25" s="965"/>
      <c r="C25" s="881" t="s">
        <v>542</v>
      </c>
      <c r="D25" s="883"/>
      <c r="E25" s="883"/>
      <c r="F25" s="883"/>
      <c r="G25" s="883"/>
      <c r="H25" s="398"/>
      <c r="J25" s="108"/>
      <c r="K25" s="108"/>
      <c r="L25" s="108">
        <v>6600</v>
      </c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76"/>
      <c r="X25" s="155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  <c r="CC25" s="76"/>
      <c r="CD25" s="76"/>
      <c r="CE25" s="76"/>
      <c r="CF25" s="76"/>
      <c r="CG25" s="76"/>
      <c r="CH25" s="76"/>
    </row>
    <row r="26" spans="2:86" ht="5.25" customHeight="1" outlineLevel="1">
      <c r="B26" s="965"/>
      <c r="C26" s="881"/>
      <c r="D26" s="883"/>
      <c r="E26" s="883"/>
      <c r="F26" s="883"/>
      <c r="G26" s="883"/>
      <c r="H26" s="39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76"/>
      <c r="X26" s="155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</row>
    <row r="27" spans="2:86" ht="20.100000000000001" customHeight="1" outlineLevel="1">
      <c r="B27" s="965"/>
      <c r="C27" s="881" t="s">
        <v>543</v>
      </c>
      <c r="D27" s="883"/>
      <c r="E27" s="883"/>
      <c r="F27" s="883"/>
      <c r="G27" s="883"/>
      <c r="H27" s="398"/>
      <c r="J27" s="108"/>
      <c r="K27" s="108"/>
      <c r="L27" s="108">
        <v>2534</v>
      </c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76"/>
      <c r="X27" s="155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  <c r="CC27" s="76"/>
      <c r="CD27" s="76"/>
      <c r="CE27" s="76"/>
      <c r="CF27" s="76"/>
      <c r="CG27" s="76"/>
      <c r="CH27" s="76"/>
    </row>
    <row r="28" spans="2:86" ht="5.25" customHeight="1" outlineLevel="1">
      <c r="C28" s="881"/>
      <c r="D28" s="883"/>
      <c r="E28" s="883"/>
      <c r="F28" s="883"/>
      <c r="G28" s="883"/>
      <c r="H28" s="398"/>
      <c r="J28" s="398"/>
      <c r="K28" s="413"/>
      <c r="L28" s="413"/>
      <c r="M28" s="413"/>
      <c r="N28" s="413"/>
      <c r="O28" s="413"/>
      <c r="P28" s="413"/>
      <c r="Q28" s="413"/>
      <c r="R28" s="413"/>
      <c r="S28" s="413"/>
      <c r="T28" s="413"/>
      <c r="U28" s="413"/>
      <c r="V28" s="413"/>
      <c r="W28" s="76"/>
      <c r="X28" s="155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6"/>
      <c r="CE28" s="76"/>
      <c r="CF28" s="76"/>
      <c r="CG28" s="76"/>
      <c r="CH28" s="76"/>
    </row>
    <row r="29" spans="2:86" ht="19.5" customHeight="1" outlineLevel="1">
      <c r="B29" s="965"/>
      <c r="C29" s="881" t="s">
        <v>544</v>
      </c>
      <c r="D29" s="883"/>
      <c r="E29" s="883"/>
      <c r="F29" s="883"/>
      <c r="G29" s="883"/>
      <c r="H29" s="398"/>
      <c r="J29" s="398"/>
      <c r="K29" s="398"/>
      <c r="L29" s="108">
        <v>2645</v>
      </c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76"/>
      <c r="X29" s="155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</row>
    <row r="30" spans="2:86" ht="4.5" customHeight="1" outlineLevel="1">
      <c r="B30" s="965"/>
      <c r="C30" s="881"/>
      <c r="D30" s="883"/>
      <c r="E30" s="883"/>
      <c r="F30" s="883"/>
      <c r="G30" s="883"/>
      <c r="H30" s="398"/>
      <c r="J30" s="423"/>
      <c r="K30" s="423"/>
      <c r="L30" s="423"/>
      <c r="M30" s="423"/>
      <c r="N30" s="423"/>
      <c r="O30" s="423"/>
      <c r="P30" s="423"/>
      <c r="Q30" s="423"/>
      <c r="R30" s="423"/>
      <c r="S30" s="423"/>
      <c r="T30" s="423"/>
      <c r="U30" s="423"/>
      <c r="V30" s="423"/>
      <c r="W30" s="76"/>
      <c r="X30" s="155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</row>
    <row r="31" spans="2:86" ht="20.100000000000001" customHeight="1" outlineLevel="1">
      <c r="B31" s="965"/>
      <c r="C31" s="881"/>
      <c r="D31" s="883"/>
      <c r="E31" s="883"/>
      <c r="F31" s="883"/>
      <c r="G31" s="883"/>
      <c r="H31" s="398"/>
      <c r="J31" s="144">
        <v>1</v>
      </c>
      <c r="K31" s="144">
        <f t="shared" ref="K31:P31" si="7">J31+1</f>
        <v>2</v>
      </c>
      <c r="L31" s="144">
        <f t="shared" si="7"/>
        <v>3</v>
      </c>
      <c r="M31" s="144">
        <f>L31+1</f>
        <v>4</v>
      </c>
      <c r="N31" s="144">
        <f t="shared" si="7"/>
        <v>5</v>
      </c>
      <c r="O31" s="144">
        <f t="shared" si="7"/>
        <v>6</v>
      </c>
      <c r="P31" s="144">
        <f t="shared" si="7"/>
        <v>7</v>
      </c>
      <c r="Q31" s="144">
        <f t="shared" ref="Q31:V31" si="8">Q19</f>
        <v>8</v>
      </c>
      <c r="R31" s="144">
        <f t="shared" si="8"/>
        <v>9</v>
      </c>
      <c r="S31" s="144">
        <f t="shared" si="8"/>
        <v>10</v>
      </c>
      <c r="T31" s="144">
        <f t="shared" si="8"/>
        <v>11</v>
      </c>
      <c r="U31" s="144">
        <f t="shared" si="8"/>
        <v>12</v>
      </c>
      <c r="V31" s="144">
        <f t="shared" si="8"/>
        <v>13</v>
      </c>
      <c r="W31" s="76"/>
      <c r="X31" s="155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</row>
    <row r="32" spans="2:86" ht="20.100000000000001" customHeight="1" outlineLevel="1">
      <c r="B32" s="965"/>
      <c r="C32" s="881"/>
      <c r="D32" s="883"/>
      <c r="E32" s="883"/>
      <c r="F32" s="883"/>
      <c r="G32" s="883"/>
      <c r="H32" s="398"/>
      <c r="J32" s="93"/>
      <c r="K32" s="93"/>
      <c r="L32" s="93"/>
      <c r="M32" s="93"/>
      <c r="N32" s="93"/>
      <c r="O32" s="93"/>
      <c r="P32" s="93"/>
      <c r="Q32" s="970"/>
      <c r="R32" s="970"/>
      <c r="S32" s="970"/>
      <c r="T32" s="970"/>
      <c r="U32" s="970"/>
      <c r="V32" s="970"/>
      <c r="W32" s="76"/>
      <c r="X32" s="155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6"/>
      <c r="CE32" s="76"/>
      <c r="CF32" s="76"/>
      <c r="CG32" s="76"/>
      <c r="CH32" s="76"/>
    </row>
    <row r="33" spans="2:86" s="423" customFormat="1" ht="20.100000000000001" customHeight="1" outlineLevel="1">
      <c r="B33" s="419"/>
      <c r="C33" s="976" t="s">
        <v>1187</v>
      </c>
      <c r="D33" s="886"/>
      <c r="E33" s="886"/>
      <c r="F33" s="886"/>
      <c r="G33" s="886"/>
      <c r="H33" s="887"/>
      <c r="I33" s="888"/>
      <c r="J33" s="94" t="s">
        <v>499</v>
      </c>
      <c r="K33" s="94" t="s">
        <v>499</v>
      </c>
      <c r="L33" s="94" t="s">
        <v>499</v>
      </c>
      <c r="M33" s="94" t="s">
        <v>499</v>
      </c>
      <c r="N33" s="94" t="s">
        <v>499</v>
      </c>
      <c r="O33" s="94" t="s">
        <v>499</v>
      </c>
      <c r="P33" s="94" t="s">
        <v>499</v>
      </c>
      <c r="Q33" s="94" t="s">
        <v>499</v>
      </c>
      <c r="R33" s="94" t="s">
        <v>499</v>
      </c>
      <c r="S33" s="94" t="s">
        <v>499</v>
      </c>
      <c r="T33" s="94" t="s">
        <v>499</v>
      </c>
      <c r="U33" s="94" t="s">
        <v>499</v>
      </c>
      <c r="V33" s="94" t="s">
        <v>499</v>
      </c>
      <c r="W33" s="76"/>
      <c r="X33" s="155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</row>
    <row r="34" spans="2:86" ht="3.75" customHeight="1" outlineLevel="1">
      <c r="B34" s="965"/>
      <c r="C34" s="889"/>
      <c r="D34" s="889"/>
      <c r="E34" s="889"/>
      <c r="F34" s="889"/>
      <c r="G34" s="889"/>
      <c r="K34" s="889"/>
      <c r="L34" s="975"/>
      <c r="M34" s="422"/>
      <c r="N34" s="422"/>
      <c r="O34" s="422"/>
      <c r="P34" s="76"/>
      <c r="Q34" s="76"/>
      <c r="R34" s="76"/>
      <c r="S34" s="76"/>
      <c r="T34" s="76"/>
      <c r="U34" s="76"/>
      <c r="V34" s="76"/>
      <c r="W34" s="76"/>
      <c r="X34" s="155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</row>
    <row r="35" spans="2:86" ht="20.100000000000001" customHeight="1" outlineLevel="1">
      <c r="B35" s="965"/>
      <c r="C35" s="881" t="s">
        <v>541</v>
      </c>
      <c r="D35" s="882"/>
      <c r="E35" s="882"/>
      <c r="F35" s="882"/>
      <c r="G35" s="882"/>
      <c r="H35" s="398"/>
      <c r="J35" s="108"/>
      <c r="K35" s="108"/>
      <c r="L35" s="108"/>
      <c r="M35" s="108"/>
      <c r="N35" s="108"/>
      <c r="O35" s="108"/>
      <c r="P35" s="398"/>
      <c r="Q35" s="398"/>
      <c r="R35" s="398"/>
      <c r="S35" s="398"/>
      <c r="T35" s="398"/>
      <c r="U35" s="398"/>
      <c r="V35" s="398"/>
      <c r="W35" s="76"/>
      <c r="X35" s="155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</row>
    <row r="36" spans="2:86" ht="4.5" customHeight="1" outlineLevel="1">
      <c r="B36" s="965"/>
      <c r="C36" s="881"/>
      <c r="D36" s="882"/>
      <c r="E36" s="882"/>
      <c r="F36" s="882"/>
      <c r="G36" s="882"/>
      <c r="H36" s="398"/>
      <c r="J36" s="108"/>
      <c r="K36" s="108"/>
      <c r="L36" s="108"/>
      <c r="M36" s="108"/>
      <c r="N36" s="108"/>
      <c r="O36" s="108"/>
      <c r="P36" s="413"/>
      <c r="Q36" s="398"/>
      <c r="R36" s="398"/>
      <c r="S36" s="398"/>
      <c r="T36" s="398"/>
      <c r="U36" s="398"/>
      <c r="V36" s="398"/>
      <c r="W36" s="76"/>
      <c r="X36" s="155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</row>
    <row r="37" spans="2:86" ht="20.100000000000001" customHeight="1" outlineLevel="1">
      <c r="B37" s="965"/>
      <c r="C37" s="881" t="s">
        <v>542</v>
      </c>
      <c r="D37" s="883"/>
      <c r="E37" s="883"/>
      <c r="F37" s="883"/>
      <c r="G37" s="883"/>
      <c r="H37" s="398"/>
      <c r="J37" s="108"/>
      <c r="K37" s="108"/>
      <c r="L37" s="108"/>
      <c r="M37" s="108"/>
      <c r="N37" s="108"/>
      <c r="O37" s="108"/>
      <c r="P37" s="413"/>
      <c r="Q37" s="413"/>
      <c r="R37" s="977"/>
      <c r="S37" s="977"/>
      <c r="T37" s="977"/>
      <c r="U37" s="977"/>
      <c r="V37" s="977"/>
      <c r="W37" s="76"/>
      <c r="X37" s="155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</row>
    <row r="38" spans="2:86" ht="5.25" customHeight="1" outlineLevel="1">
      <c r="B38" s="965"/>
      <c r="C38" s="881"/>
      <c r="D38" s="883"/>
      <c r="E38" s="883"/>
      <c r="F38" s="883"/>
      <c r="G38" s="883"/>
      <c r="H38" s="398"/>
      <c r="J38" s="108"/>
      <c r="K38" s="108"/>
      <c r="L38" s="108"/>
      <c r="M38" s="108"/>
      <c r="N38" s="108"/>
      <c r="O38" s="108"/>
      <c r="P38" s="413"/>
      <c r="Q38" s="413"/>
      <c r="R38" s="413"/>
      <c r="S38" s="413"/>
      <c r="T38" s="413"/>
      <c r="U38" s="413"/>
      <c r="V38" s="413"/>
      <c r="W38" s="76"/>
      <c r="X38" s="155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</row>
    <row r="39" spans="2:86" ht="20.100000000000001" customHeight="1" outlineLevel="1">
      <c r="B39" s="965"/>
      <c r="C39" s="881" t="s">
        <v>543</v>
      </c>
      <c r="D39" s="883"/>
      <c r="E39" s="883"/>
      <c r="F39" s="883"/>
      <c r="G39" s="883"/>
      <c r="H39" s="39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76"/>
      <c r="X39" s="155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</row>
    <row r="40" spans="2:86" ht="5.25" customHeight="1" outlineLevel="1">
      <c r="C40" s="881"/>
      <c r="D40" s="883"/>
      <c r="E40" s="883"/>
      <c r="F40" s="883"/>
      <c r="G40" s="883"/>
      <c r="H40" s="398"/>
      <c r="J40" s="398"/>
      <c r="K40" s="413"/>
      <c r="L40" s="413"/>
      <c r="M40" s="413"/>
      <c r="N40" s="413"/>
      <c r="O40" s="413"/>
      <c r="P40" s="413"/>
      <c r="Q40" s="108"/>
      <c r="R40" s="108"/>
      <c r="S40" s="108"/>
      <c r="T40" s="108"/>
      <c r="U40" s="108"/>
      <c r="V40" s="108"/>
      <c r="W40" s="76"/>
      <c r="X40" s="155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</row>
    <row r="41" spans="2:86" ht="19.5" customHeight="1" outlineLevel="1">
      <c r="B41" s="965"/>
      <c r="C41" s="881" t="s">
        <v>544</v>
      </c>
      <c r="D41" s="883"/>
      <c r="E41" s="883"/>
      <c r="F41" s="883"/>
      <c r="G41" s="883"/>
      <c r="H41" s="398"/>
      <c r="J41" s="398"/>
      <c r="K41" s="398"/>
      <c r="L41" s="39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76"/>
      <c r="X41" s="155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</row>
    <row r="42" spans="2:86" ht="4.5" customHeight="1" outlineLevel="1">
      <c r="B42" s="965"/>
      <c r="C42" s="881"/>
      <c r="D42" s="883"/>
      <c r="E42" s="883"/>
      <c r="F42" s="883"/>
      <c r="G42" s="883"/>
      <c r="H42" s="398"/>
      <c r="J42" s="423"/>
      <c r="K42" s="423"/>
      <c r="L42" s="423"/>
      <c r="M42" s="413"/>
      <c r="N42" s="413"/>
      <c r="O42" s="413"/>
      <c r="P42" s="413"/>
      <c r="Q42" s="108"/>
      <c r="R42" s="108"/>
      <c r="S42" s="108"/>
      <c r="T42" s="108"/>
      <c r="U42" s="108"/>
      <c r="V42" s="108"/>
      <c r="W42" s="76"/>
      <c r="X42" s="155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</row>
    <row r="43" spans="2:86" ht="19.5" customHeight="1" outlineLevel="1">
      <c r="B43" s="965"/>
      <c r="C43" s="881"/>
      <c r="D43" s="883"/>
      <c r="E43" s="883"/>
      <c r="F43" s="883"/>
      <c r="G43" s="883"/>
      <c r="H43" s="398"/>
      <c r="J43" s="144">
        <v>1</v>
      </c>
      <c r="K43" s="144">
        <f t="shared" ref="K43:P43" si="9">J43+1</f>
        <v>2</v>
      </c>
      <c r="L43" s="144">
        <f t="shared" si="9"/>
        <v>3</v>
      </c>
      <c r="M43" s="144">
        <f>L43+1</f>
        <v>4</v>
      </c>
      <c r="N43" s="144">
        <f t="shared" si="9"/>
        <v>5</v>
      </c>
      <c r="O43" s="144">
        <f t="shared" si="9"/>
        <v>6</v>
      </c>
      <c r="P43" s="144">
        <f t="shared" si="9"/>
        <v>7</v>
      </c>
      <c r="Q43" s="144">
        <f t="shared" ref="Q43:V43" si="10">Q31</f>
        <v>8</v>
      </c>
      <c r="R43" s="144">
        <f t="shared" si="10"/>
        <v>9</v>
      </c>
      <c r="S43" s="144">
        <f t="shared" si="10"/>
        <v>10</v>
      </c>
      <c r="T43" s="144">
        <f t="shared" si="10"/>
        <v>11</v>
      </c>
      <c r="U43" s="144">
        <f t="shared" si="10"/>
        <v>12</v>
      </c>
      <c r="V43" s="144">
        <f t="shared" si="10"/>
        <v>13</v>
      </c>
      <c r="W43" s="76"/>
      <c r="X43" s="155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</row>
    <row r="44" spans="2:86" ht="20.100000000000001" customHeight="1" outlineLevel="1">
      <c r="B44" s="965"/>
      <c r="C44" s="881"/>
      <c r="D44" s="883"/>
      <c r="E44" s="883"/>
      <c r="F44" s="883"/>
      <c r="G44" s="883"/>
      <c r="H44" s="398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76"/>
      <c r="X44" s="155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</row>
    <row r="45" spans="2:86" s="423" customFormat="1" ht="20.100000000000001" customHeight="1" outlineLevel="1">
      <c r="B45" s="419"/>
      <c r="C45" s="976" t="s">
        <v>1188</v>
      </c>
      <c r="D45" s="886"/>
      <c r="E45" s="886"/>
      <c r="F45" s="886"/>
      <c r="G45" s="886"/>
      <c r="H45" s="887"/>
      <c r="I45" s="888"/>
      <c r="J45" s="94" t="s">
        <v>499</v>
      </c>
      <c r="K45" s="94" t="s">
        <v>499</v>
      </c>
      <c r="L45" s="94" t="s">
        <v>499</v>
      </c>
      <c r="M45" s="94" t="s">
        <v>499</v>
      </c>
      <c r="N45" s="94" t="s">
        <v>499</v>
      </c>
      <c r="O45" s="94" t="s">
        <v>499</v>
      </c>
      <c r="P45" s="94" t="s">
        <v>499</v>
      </c>
      <c r="Q45" s="94" t="s">
        <v>499</v>
      </c>
      <c r="R45" s="94" t="s">
        <v>499</v>
      </c>
      <c r="S45" s="94" t="s">
        <v>499</v>
      </c>
      <c r="T45" s="94" t="s">
        <v>499</v>
      </c>
      <c r="U45" s="94" t="s">
        <v>499</v>
      </c>
      <c r="V45" s="94" t="s">
        <v>499</v>
      </c>
      <c r="W45" s="76"/>
      <c r="X45" s="155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</row>
    <row r="46" spans="2:86" ht="3.75" customHeight="1" outlineLevel="1">
      <c r="B46" s="965"/>
      <c r="C46" s="889"/>
      <c r="D46" s="889"/>
      <c r="E46" s="889"/>
      <c r="F46" s="889"/>
      <c r="G46" s="889"/>
      <c r="K46" s="889"/>
      <c r="L46" s="975"/>
      <c r="M46" s="422"/>
      <c r="N46" s="422"/>
      <c r="O46" s="422"/>
      <c r="P46" s="76"/>
      <c r="Q46" s="76"/>
      <c r="R46" s="76"/>
      <c r="S46" s="76"/>
      <c r="T46" s="76"/>
      <c r="U46" s="76"/>
      <c r="V46" s="76"/>
      <c r="W46" s="76"/>
      <c r="X46" s="155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</row>
    <row r="47" spans="2:86" ht="20.100000000000001" customHeight="1" outlineLevel="1">
      <c r="B47" s="965"/>
      <c r="C47" s="881" t="s">
        <v>541</v>
      </c>
      <c r="D47" s="882"/>
      <c r="E47" s="882"/>
      <c r="F47" s="882"/>
      <c r="G47" s="882"/>
      <c r="H47" s="398"/>
      <c r="J47" s="108"/>
      <c r="K47" s="108"/>
      <c r="L47" s="108">
        <v>33750</v>
      </c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76"/>
      <c r="X47" s="155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</row>
    <row r="48" spans="2:86" ht="4.5" customHeight="1" outlineLevel="1">
      <c r="B48" s="965"/>
      <c r="C48" s="881"/>
      <c r="D48" s="882"/>
      <c r="E48" s="882"/>
      <c r="F48" s="882"/>
      <c r="G48" s="882"/>
      <c r="H48" s="39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76"/>
      <c r="X48" s="155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</row>
    <row r="49" spans="2:86" ht="20.100000000000001" customHeight="1" outlineLevel="1">
      <c r="B49" s="965"/>
      <c r="C49" s="881" t="s">
        <v>542</v>
      </c>
      <c r="D49" s="883"/>
      <c r="E49" s="883"/>
      <c r="F49" s="883"/>
      <c r="G49" s="883"/>
      <c r="H49" s="398"/>
      <c r="J49" s="108"/>
      <c r="K49" s="108"/>
      <c r="L49" s="108">
        <v>6800</v>
      </c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76"/>
      <c r="X49" s="155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</row>
    <row r="50" spans="2:86" ht="5.25" customHeight="1" outlineLevel="1">
      <c r="B50" s="965"/>
      <c r="C50" s="881"/>
      <c r="D50" s="883"/>
      <c r="E50" s="883"/>
      <c r="F50" s="883"/>
      <c r="G50" s="883"/>
      <c r="H50" s="39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76"/>
      <c r="X50" s="155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</row>
    <row r="51" spans="2:86" ht="20.100000000000001" customHeight="1" outlineLevel="1">
      <c r="B51" s="965"/>
      <c r="C51" s="881" t="s">
        <v>543</v>
      </c>
      <c r="D51" s="883"/>
      <c r="E51" s="883"/>
      <c r="F51" s="883"/>
      <c r="G51" s="883"/>
      <c r="H51" s="398"/>
      <c r="J51" s="108"/>
      <c r="K51" s="108"/>
      <c r="L51" s="108">
        <v>3125</v>
      </c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76"/>
      <c r="X51" s="155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</row>
    <row r="52" spans="2:86" ht="5.25" customHeight="1" outlineLevel="1">
      <c r="C52" s="881"/>
      <c r="D52" s="883"/>
      <c r="E52" s="883"/>
      <c r="F52" s="883"/>
      <c r="G52" s="883"/>
      <c r="H52" s="398"/>
      <c r="J52" s="398"/>
      <c r="K52" s="413"/>
      <c r="L52" s="413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76"/>
      <c r="X52" s="155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</row>
    <row r="53" spans="2:86" ht="19.5" customHeight="1" outlineLevel="1">
      <c r="B53" s="965"/>
      <c r="C53" s="881" t="s">
        <v>544</v>
      </c>
      <c r="D53" s="883"/>
      <c r="E53" s="883"/>
      <c r="F53" s="883"/>
      <c r="G53" s="883"/>
      <c r="H53" s="398"/>
      <c r="J53" s="398"/>
      <c r="K53" s="398"/>
      <c r="L53" s="398">
        <v>2300</v>
      </c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76"/>
      <c r="X53" s="155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</row>
    <row r="54" spans="2:86" ht="6.75" customHeight="1" outlineLevel="1">
      <c r="B54" s="965"/>
      <c r="C54" s="881"/>
      <c r="D54" s="883"/>
      <c r="E54" s="883"/>
      <c r="F54" s="883"/>
      <c r="G54" s="883"/>
      <c r="H54" s="398"/>
      <c r="J54" s="398"/>
      <c r="K54" s="398"/>
      <c r="L54" s="39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76"/>
      <c r="X54" s="155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</row>
    <row r="55" spans="2:86" outlineLevel="1">
      <c r="B55" s="965"/>
      <c r="C55" s="881" t="s">
        <v>662</v>
      </c>
      <c r="D55" s="883"/>
      <c r="E55" s="883"/>
      <c r="F55" s="883"/>
      <c r="G55" s="883"/>
      <c r="H55" s="398"/>
      <c r="J55" s="398"/>
      <c r="K55" s="398"/>
      <c r="L55" s="39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6"/>
      <c r="X55" s="155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</row>
    <row r="56" spans="2:86" ht="6.75" customHeight="1" outlineLevel="1">
      <c r="B56" s="965"/>
      <c r="C56" s="881"/>
      <c r="D56" s="883"/>
      <c r="E56" s="883"/>
      <c r="F56" s="883"/>
      <c r="G56" s="883"/>
      <c r="H56" s="398"/>
      <c r="J56" s="398"/>
      <c r="K56" s="398"/>
      <c r="L56" s="39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76"/>
      <c r="X56" s="155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</row>
    <row r="57" spans="2:86" outlineLevel="1">
      <c r="B57" s="965"/>
      <c r="C57" s="881" t="s">
        <v>663</v>
      </c>
      <c r="D57" s="883"/>
      <c r="E57" s="883"/>
      <c r="F57" s="883"/>
      <c r="G57" s="883"/>
      <c r="H57" s="398"/>
      <c r="J57" s="398"/>
      <c r="K57" s="398"/>
      <c r="L57" s="39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76"/>
      <c r="X57" s="155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</row>
    <row r="58" spans="2:86" outlineLevel="1">
      <c r="B58" s="965"/>
      <c r="C58" s="881"/>
      <c r="D58" s="883"/>
      <c r="E58" s="883"/>
      <c r="F58" s="883"/>
      <c r="G58" s="883"/>
      <c r="H58" s="398"/>
      <c r="J58" s="423"/>
      <c r="K58" s="423"/>
      <c r="L58" s="423"/>
      <c r="M58" s="423"/>
      <c r="N58" s="423"/>
      <c r="O58" s="423"/>
      <c r="P58" s="423"/>
      <c r="Q58" s="423"/>
      <c r="R58" s="423"/>
      <c r="S58" s="423"/>
      <c r="T58" s="423"/>
      <c r="U58" s="423"/>
      <c r="V58" s="423"/>
      <c r="W58" s="76"/>
      <c r="X58" s="155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</row>
    <row r="59" spans="2:86" outlineLevel="1">
      <c r="J59" s="144">
        <v>1</v>
      </c>
      <c r="K59" s="144">
        <f t="shared" ref="K59:P59" si="11">J59+1</f>
        <v>2</v>
      </c>
      <c r="L59" s="144">
        <f t="shared" si="11"/>
        <v>3</v>
      </c>
      <c r="M59" s="144">
        <f t="shared" si="11"/>
        <v>4</v>
      </c>
      <c r="N59" s="144">
        <f t="shared" si="11"/>
        <v>5</v>
      </c>
      <c r="O59" s="144">
        <f t="shared" si="11"/>
        <v>6</v>
      </c>
      <c r="P59" s="144">
        <f t="shared" si="11"/>
        <v>7</v>
      </c>
      <c r="Q59" s="144">
        <f t="shared" ref="Q59:V59" si="12">Q120</f>
        <v>8</v>
      </c>
      <c r="R59" s="144">
        <f t="shared" si="12"/>
        <v>9</v>
      </c>
      <c r="S59" s="144">
        <f t="shared" si="12"/>
        <v>10</v>
      </c>
      <c r="T59" s="144">
        <f t="shared" si="12"/>
        <v>11</v>
      </c>
      <c r="U59" s="144">
        <f t="shared" si="12"/>
        <v>12</v>
      </c>
      <c r="V59" s="144">
        <f t="shared" si="12"/>
        <v>13</v>
      </c>
    </row>
    <row r="60" spans="2:86" outlineLevel="1"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</row>
    <row r="61" spans="2:86" ht="15" outlineLevel="1">
      <c r="C61" s="976" t="s">
        <v>1189</v>
      </c>
      <c r="D61" s="886"/>
      <c r="E61" s="886"/>
      <c r="F61" s="886"/>
      <c r="G61" s="886"/>
      <c r="H61" s="887"/>
      <c r="I61" s="888"/>
      <c r="J61" s="94" t="s">
        <v>499</v>
      </c>
      <c r="K61" s="94" t="s">
        <v>499</v>
      </c>
      <c r="L61" s="94" t="s">
        <v>499</v>
      </c>
      <c r="M61" s="94" t="s">
        <v>499</v>
      </c>
      <c r="N61" s="94" t="s">
        <v>499</v>
      </c>
      <c r="O61" s="94" t="s">
        <v>499</v>
      </c>
      <c r="P61" s="94" t="s">
        <v>499</v>
      </c>
      <c r="Q61" s="94" t="s">
        <v>499</v>
      </c>
      <c r="R61" s="94" t="s">
        <v>499</v>
      </c>
      <c r="S61" s="94" t="s">
        <v>499</v>
      </c>
      <c r="T61" s="94" t="s">
        <v>499</v>
      </c>
      <c r="U61" s="94" t="s">
        <v>499</v>
      </c>
      <c r="V61" s="94" t="s">
        <v>499</v>
      </c>
    </row>
    <row r="62" spans="2:86" outlineLevel="1">
      <c r="C62" s="889"/>
      <c r="D62" s="889"/>
      <c r="E62" s="889"/>
      <c r="F62" s="889"/>
      <c r="G62" s="889"/>
      <c r="K62" s="889"/>
      <c r="L62" s="975"/>
      <c r="M62" s="422"/>
      <c r="N62" s="422"/>
      <c r="O62" s="422"/>
      <c r="P62" s="76"/>
      <c r="Q62" s="76"/>
      <c r="R62" s="76"/>
      <c r="S62" s="76"/>
      <c r="T62" s="76"/>
      <c r="U62" s="76"/>
      <c r="V62" s="76"/>
    </row>
    <row r="63" spans="2:86" outlineLevel="1">
      <c r="C63" s="881" t="s">
        <v>541</v>
      </c>
      <c r="D63" s="882"/>
      <c r="E63" s="882"/>
      <c r="F63" s="882"/>
      <c r="G63" s="882"/>
      <c r="H63" s="398"/>
      <c r="J63" s="108"/>
      <c r="K63" s="108"/>
      <c r="L63" s="108">
        <f>AVERAGE(28863,25730,18987,10500)</f>
        <v>21020</v>
      </c>
      <c r="M63" s="108"/>
      <c r="N63" s="108"/>
      <c r="O63" s="108"/>
      <c r="P63" s="398"/>
      <c r="Q63" s="398"/>
      <c r="R63" s="398"/>
      <c r="S63" s="398"/>
      <c r="T63" s="398"/>
      <c r="U63" s="398"/>
      <c r="V63" s="398"/>
    </row>
    <row r="64" spans="2:86" outlineLevel="1">
      <c r="C64" s="881"/>
      <c r="D64" s="882"/>
      <c r="E64" s="882"/>
      <c r="F64" s="882"/>
      <c r="G64" s="882"/>
      <c r="H64" s="398"/>
      <c r="J64" s="108"/>
      <c r="K64" s="108"/>
      <c r="L64" s="108"/>
      <c r="M64" s="108"/>
      <c r="N64" s="108"/>
      <c r="O64" s="108"/>
      <c r="P64" s="413"/>
      <c r="Q64" s="413"/>
      <c r="R64" s="413"/>
      <c r="S64" s="413"/>
      <c r="T64" s="413"/>
      <c r="U64" s="413"/>
      <c r="V64" s="413"/>
    </row>
    <row r="65" spans="3:22" outlineLevel="1">
      <c r="C65" s="881" t="s">
        <v>542</v>
      </c>
      <c r="D65" s="883"/>
      <c r="E65" s="883"/>
      <c r="F65" s="883"/>
      <c r="G65" s="883"/>
      <c r="H65" s="398"/>
      <c r="J65" s="108">
        <v>6731</v>
      </c>
      <c r="K65" s="108">
        <v>7100</v>
      </c>
      <c r="L65" s="108">
        <v>7700</v>
      </c>
      <c r="M65" s="108"/>
      <c r="N65" s="108"/>
      <c r="O65" s="108"/>
      <c r="P65" s="413"/>
      <c r="Q65" s="413"/>
      <c r="R65" s="413"/>
      <c r="S65" s="413"/>
      <c r="T65" s="413"/>
      <c r="U65" s="413"/>
      <c r="V65" s="413"/>
    </row>
    <row r="66" spans="3:22" outlineLevel="1">
      <c r="C66" s="881"/>
      <c r="D66" s="883"/>
      <c r="E66" s="883"/>
      <c r="F66" s="883"/>
      <c r="G66" s="883"/>
      <c r="H66" s="398"/>
      <c r="J66" s="108"/>
      <c r="K66" s="108"/>
      <c r="L66" s="108"/>
      <c r="M66" s="108"/>
      <c r="N66" s="108"/>
      <c r="O66" s="108"/>
      <c r="P66" s="413"/>
      <c r="Q66" s="413"/>
      <c r="R66" s="413"/>
      <c r="S66" s="413"/>
      <c r="T66" s="413"/>
      <c r="U66" s="413"/>
      <c r="V66" s="413"/>
    </row>
    <row r="67" spans="3:22" outlineLevel="1">
      <c r="C67" s="881" t="s">
        <v>543</v>
      </c>
      <c r="D67" s="883"/>
      <c r="E67" s="883"/>
      <c r="F67" s="883"/>
      <c r="G67" s="883"/>
      <c r="H67" s="398"/>
      <c r="J67" s="108">
        <v>3273</v>
      </c>
      <c r="K67" s="108">
        <v>3247</v>
      </c>
      <c r="L67" s="108">
        <v>1875</v>
      </c>
      <c r="M67" s="108"/>
      <c r="N67" s="108"/>
      <c r="O67" s="108"/>
      <c r="P67" s="108"/>
      <c r="Q67" s="108"/>
      <c r="R67" s="108"/>
      <c r="S67" s="108"/>
      <c r="T67" s="108"/>
      <c r="U67" s="108"/>
      <c r="V67" s="108"/>
    </row>
    <row r="68" spans="3:22" outlineLevel="1">
      <c r="C68" s="881"/>
      <c r="D68" s="883"/>
      <c r="E68" s="883"/>
      <c r="F68" s="883"/>
      <c r="G68" s="883"/>
      <c r="H68" s="398"/>
      <c r="J68" s="398"/>
      <c r="K68" s="413"/>
      <c r="L68" s="413"/>
      <c r="M68" s="413"/>
      <c r="N68" s="413"/>
      <c r="O68" s="413"/>
      <c r="P68" s="413"/>
      <c r="Q68" s="413"/>
      <c r="R68" s="413"/>
      <c r="S68" s="413"/>
      <c r="T68" s="413"/>
      <c r="U68" s="413"/>
      <c r="V68" s="413"/>
    </row>
    <row r="69" spans="3:22" outlineLevel="1">
      <c r="C69" s="881" t="s">
        <v>544</v>
      </c>
      <c r="D69" s="883"/>
      <c r="E69" s="883"/>
      <c r="F69" s="883"/>
      <c r="G69" s="883"/>
      <c r="H69" s="398"/>
      <c r="J69" s="398">
        <v>1288</v>
      </c>
      <c r="K69" s="398">
        <v>2600</v>
      </c>
      <c r="L69" s="398">
        <v>2105</v>
      </c>
      <c r="M69" s="398"/>
      <c r="N69" s="398"/>
      <c r="O69" s="398"/>
      <c r="P69" s="413"/>
      <c r="Q69" s="413"/>
      <c r="R69" s="413"/>
      <c r="S69" s="413"/>
      <c r="T69" s="413"/>
      <c r="U69" s="413"/>
      <c r="V69" s="413"/>
    </row>
    <row r="70" spans="3:22" outlineLevel="1"/>
    <row r="71" spans="3:22" outlineLevel="1">
      <c r="C71" s="374" t="s">
        <v>651</v>
      </c>
      <c r="L71" s="374">
        <v>1.54</v>
      </c>
    </row>
    <row r="72" spans="3:22" outlineLevel="1"/>
    <row r="73" spans="3:22" outlineLevel="1"/>
    <row r="74" spans="3:22" ht="27" outlineLevel="1">
      <c r="C74" s="499" t="s">
        <v>2031</v>
      </c>
    </row>
    <row r="75" spans="3:22" outlineLevel="1">
      <c r="M75" s="1188"/>
      <c r="N75" s="1188"/>
      <c r="O75" s="1188"/>
      <c r="P75" s="1188"/>
      <c r="Q75" s="1188"/>
      <c r="R75" s="1188"/>
      <c r="S75" s="1188"/>
      <c r="T75" s="1188"/>
      <c r="U75" s="1188"/>
      <c r="V75" s="1188"/>
    </row>
    <row r="76" spans="3:22" ht="15" outlineLevel="1">
      <c r="C76" s="976" t="s">
        <v>690</v>
      </c>
      <c r="D76" s="886"/>
      <c r="E76" s="886"/>
      <c r="F76" s="886"/>
      <c r="G76" s="886"/>
      <c r="H76" s="887"/>
      <c r="I76" s="888"/>
      <c r="J76" s="94" t="s">
        <v>499</v>
      </c>
      <c r="K76" s="94" t="s">
        <v>499</v>
      </c>
      <c r="L76" s="94" t="s">
        <v>499</v>
      </c>
      <c r="M76" s="94" t="s">
        <v>499</v>
      </c>
      <c r="N76" s="94" t="s">
        <v>499</v>
      </c>
      <c r="O76" s="94" t="s">
        <v>499</v>
      </c>
      <c r="P76" s="94" t="s">
        <v>499</v>
      </c>
      <c r="Q76" s="94" t="s">
        <v>499</v>
      </c>
      <c r="R76" s="94" t="s">
        <v>499</v>
      </c>
      <c r="S76" s="94" t="s">
        <v>499</v>
      </c>
      <c r="T76" s="94" t="s">
        <v>499</v>
      </c>
      <c r="U76" s="94" t="s">
        <v>499</v>
      </c>
      <c r="V76" s="94" t="s">
        <v>499</v>
      </c>
    </row>
    <row r="77" spans="3:22" ht="15" outlineLevel="1">
      <c r="C77" s="979"/>
      <c r="D77" s="372"/>
      <c r="E77" s="372"/>
      <c r="F77" s="372"/>
      <c r="G77" s="372"/>
      <c r="H77" s="413"/>
      <c r="I77" s="423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</row>
    <row r="78" spans="3:22" outlineLevel="1">
      <c r="C78" s="881" t="s">
        <v>686</v>
      </c>
      <c r="O78" s="108"/>
      <c r="P78" s="108"/>
      <c r="Q78" s="108"/>
      <c r="R78" s="108"/>
      <c r="S78" s="108"/>
      <c r="T78" s="108"/>
      <c r="U78" s="108"/>
      <c r="V78" s="108"/>
    </row>
    <row r="79" spans="3:22" outlineLevel="1">
      <c r="C79" s="881"/>
      <c r="O79" s="108"/>
      <c r="P79" s="108"/>
      <c r="Q79" s="108"/>
      <c r="R79" s="108"/>
      <c r="S79" s="108"/>
      <c r="T79" s="108"/>
      <c r="U79" s="108"/>
      <c r="V79" s="108"/>
    </row>
    <row r="80" spans="3:22" outlineLevel="1">
      <c r="C80" s="881" t="s">
        <v>687</v>
      </c>
      <c r="O80" s="108"/>
      <c r="P80" s="108"/>
      <c r="Q80" s="108"/>
      <c r="R80" s="108"/>
      <c r="S80" s="108"/>
      <c r="T80" s="108"/>
      <c r="U80" s="108"/>
      <c r="V80" s="108"/>
    </row>
    <row r="81" spans="3:24" outlineLevel="1">
      <c r="C81" s="881"/>
      <c r="O81" s="108"/>
      <c r="P81" s="108"/>
      <c r="Q81" s="108"/>
      <c r="R81" s="108"/>
      <c r="S81" s="108"/>
      <c r="T81" s="108"/>
      <c r="U81" s="108"/>
      <c r="V81" s="108"/>
    </row>
    <row r="82" spans="3:24" outlineLevel="1">
      <c r="C82" s="881" t="s">
        <v>688</v>
      </c>
      <c r="O82" s="108"/>
      <c r="P82" s="108"/>
      <c r="Q82" s="108"/>
      <c r="R82" s="108"/>
      <c r="S82" s="108"/>
      <c r="T82" s="108"/>
      <c r="U82" s="108"/>
      <c r="V82" s="108"/>
    </row>
    <row r="83" spans="3:24" outlineLevel="1">
      <c r="C83" s="881"/>
      <c r="O83" s="108"/>
      <c r="P83" s="108"/>
      <c r="Q83" s="108"/>
      <c r="R83" s="108"/>
      <c r="S83" s="108"/>
      <c r="T83" s="108"/>
      <c r="U83" s="108"/>
      <c r="V83" s="108"/>
    </row>
    <row r="84" spans="3:24" outlineLevel="1">
      <c r="C84" s="881" t="s">
        <v>689</v>
      </c>
      <c r="O84" s="108"/>
      <c r="P84" s="108"/>
      <c r="Q84" s="108"/>
      <c r="R84" s="108"/>
      <c r="S84" s="108"/>
      <c r="T84" s="108"/>
      <c r="U84" s="108"/>
      <c r="V84" s="108"/>
    </row>
    <row r="85" spans="3:24" outlineLevel="1">
      <c r="C85" s="881"/>
      <c r="O85" s="108"/>
      <c r="P85" s="108"/>
      <c r="Q85" s="108"/>
      <c r="R85" s="108"/>
      <c r="S85" s="108"/>
      <c r="T85" s="108"/>
      <c r="U85" s="108"/>
      <c r="V85" s="108"/>
    </row>
    <row r="86" spans="3:24" outlineLevel="1">
      <c r="C86" s="881" t="s">
        <v>691</v>
      </c>
      <c r="O86" s="108"/>
      <c r="P86" s="108"/>
      <c r="Q86" s="108"/>
      <c r="R86" s="108"/>
      <c r="S86" s="108"/>
      <c r="T86" s="108"/>
      <c r="U86" s="108"/>
      <c r="V86" s="108"/>
    </row>
    <row r="87" spans="3:24" outlineLevel="1">
      <c r="C87" s="881"/>
      <c r="O87" s="108"/>
      <c r="P87" s="108"/>
      <c r="Q87" s="108"/>
      <c r="R87" s="108"/>
      <c r="S87" s="108"/>
      <c r="T87" s="108"/>
      <c r="U87" s="108"/>
      <c r="V87" s="108"/>
    </row>
    <row r="88" spans="3:24" outlineLevel="1">
      <c r="C88" s="881" t="s">
        <v>693</v>
      </c>
      <c r="O88" s="108"/>
      <c r="P88" s="108"/>
      <c r="Q88" s="108"/>
      <c r="R88" s="108"/>
      <c r="S88" s="108"/>
      <c r="T88" s="108"/>
      <c r="U88" s="108"/>
      <c r="V88" s="108"/>
    </row>
    <row r="89" spans="3:24" outlineLevel="1">
      <c r="C89" s="881"/>
      <c r="O89" s="108"/>
      <c r="P89" s="108"/>
      <c r="Q89" s="108"/>
      <c r="R89" s="108"/>
      <c r="S89" s="108"/>
      <c r="T89" s="108"/>
      <c r="U89" s="108"/>
      <c r="V89" s="108"/>
    </row>
    <row r="90" spans="3:24" outlineLevel="1">
      <c r="C90" s="881" t="s">
        <v>692</v>
      </c>
      <c r="O90" s="108"/>
      <c r="P90" s="108"/>
      <c r="Q90" s="108"/>
      <c r="R90" s="108"/>
      <c r="S90" s="108"/>
      <c r="T90" s="108"/>
      <c r="U90" s="108"/>
      <c r="V90" s="108"/>
    </row>
    <row r="91" spans="3:24" outlineLevel="1">
      <c r="C91" s="881" t="s">
        <v>1879</v>
      </c>
      <c r="O91" s="108"/>
      <c r="P91" s="108"/>
      <c r="Q91" s="108"/>
      <c r="R91" s="108"/>
      <c r="S91" s="108"/>
      <c r="T91" s="108"/>
      <c r="U91" s="108"/>
      <c r="V91" s="108"/>
    </row>
    <row r="92" spans="3:24" outlineLevel="1">
      <c r="C92" s="881" t="s">
        <v>1870</v>
      </c>
      <c r="O92" s="108"/>
      <c r="P92" s="108"/>
      <c r="Q92" s="108"/>
      <c r="R92" s="108"/>
      <c r="S92" s="1190"/>
    </row>
    <row r="93" spans="3:24" outlineLevel="1">
      <c r="C93" s="881"/>
      <c r="O93" s="108"/>
      <c r="P93" s="108"/>
      <c r="Q93" s="108"/>
    </row>
    <row r="94" spans="3:24" outlineLevel="1">
      <c r="C94" s="881" t="s">
        <v>1871</v>
      </c>
      <c r="O94" s="108"/>
      <c r="P94" s="108"/>
      <c r="Q94" s="108"/>
      <c r="R94" s="108"/>
    </row>
    <row r="95" spans="3:24" outlineLevel="1">
      <c r="C95" s="881"/>
      <c r="O95" s="108"/>
      <c r="P95" s="108"/>
      <c r="Q95" s="108"/>
    </row>
    <row r="96" spans="3:24" s="1186" customFormat="1">
      <c r="M96" s="1188"/>
      <c r="N96" s="1188"/>
      <c r="O96" s="1188"/>
      <c r="P96" s="1188"/>
      <c r="Q96" s="1188"/>
      <c r="R96" s="1188"/>
      <c r="S96" s="1188"/>
      <c r="T96" s="1188"/>
      <c r="U96" s="1188"/>
      <c r="V96" s="1188"/>
      <c r="X96" s="1187"/>
    </row>
    <row r="97" spans="3:24" ht="15" outlineLevel="1">
      <c r="C97" s="976" t="s">
        <v>1867</v>
      </c>
      <c r="D97" s="886"/>
      <c r="E97" s="886"/>
      <c r="F97" s="886"/>
      <c r="G97" s="886"/>
      <c r="H97" s="887"/>
      <c r="I97" s="888"/>
      <c r="J97" s="94" t="s">
        <v>499</v>
      </c>
      <c r="K97" s="94" t="s">
        <v>499</v>
      </c>
      <c r="L97" s="94" t="s">
        <v>499</v>
      </c>
      <c r="M97" s="94" t="s">
        <v>499</v>
      </c>
      <c r="N97" s="94" t="s">
        <v>499</v>
      </c>
      <c r="O97" s="94" t="s">
        <v>499</v>
      </c>
      <c r="P97" s="94" t="s">
        <v>499</v>
      </c>
      <c r="Q97" s="94" t="s">
        <v>499</v>
      </c>
      <c r="R97" s="94" t="s">
        <v>499</v>
      </c>
      <c r="S97" s="94" t="s">
        <v>499</v>
      </c>
      <c r="T97" s="94" t="s">
        <v>499</v>
      </c>
      <c r="U97" s="94" t="s">
        <v>499</v>
      </c>
      <c r="V97" s="94" t="s">
        <v>499</v>
      </c>
    </row>
    <row r="98" spans="3:24" ht="15" outlineLevel="1">
      <c r="C98" s="979"/>
      <c r="D98" s="372"/>
      <c r="E98" s="372"/>
      <c r="F98" s="372"/>
      <c r="G98" s="372"/>
      <c r="H98" s="413"/>
      <c r="I98" s="423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</row>
    <row r="99" spans="3:24" outlineLevel="1">
      <c r="C99" s="881" t="s">
        <v>1870</v>
      </c>
      <c r="O99" s="108"/>
      <c r="P99" s="108"/>
      <c r="Q99" s="108"/>
    </row>
    <row r="100" spans="3:24" outlineLevel="1">
      <c r="C100" s="881" t="s">
        <v>691</v>
      </c>
      <c r="O100" s="108"/>
      <c r="P100" s="108"/>
      <c r="Q100" s="108"/>
      <c r="R100" s="108"/>
      <c r="S100" s="108"/>
      <c r="T100" s="108"/>
      <c r="U100" s="108"/>
      <c r="V100" s="108"/>
    </row>
    <row r="101" spans="3:24" outlineLevel="1">
      <c r="C101" s="881" t="s">
        <v>1871</v>
      </c>
      <c r="O101" s="108"/>
      <c r="P101" s="108"/>
      <c r="Q101" s="108"/>
      <c r="R101" s="108"/>
      <c r="S101" s="108"/>
      <c r="T101" s="108"/>
      <c r="U101" s="108"/>
      <c r="V101" s="108"/>
    </row>
    <row r="102" spans="3:24" outlineLevel="1">
      <c r="C102" s="881" t="s">
        <v>1879</v>
      </c>
      <c r="O102" s="108"/>
      <c r="P102" s="108"/>
      <c r="Q102" s="108"/>
      <c r="R102" s="108"/>
      <c r="S102" s="108"/>
      <c r="T102" s="108"/>
      <c r="U102" s="108"/>
      <c r="V102" s="108"/>
    </row>
    <row r="103" spans="3:24" outlineLevel="1">
      <c r="C103" s="881"/>
      <c r="O103" s="108"/>
      <c r="P103" s="108"/>
      <c r="Q103" s="108"/>
    </row>
    <row r="104" spans="3:24" s="1186" customFormat="1">
      <c r="M104" s="1188"/>
      <c r="N104" s="1188"/>
      <c r="O104" s="1188"/>
      <c r="P104" s="1188"/>
      <c r="Q104" s="1188"/>
      <c r="R104" s="1188"/>
      <c r="S104" s="1188"/>
      <c r="T104" s="1188"/>
      <c r="U104" s="1188"/>
      <c r="V104" s="1188"/>
      <c r="X104" s="1187"/>
    </row>
    <row r="105" spans="3:24" ht="15" outlineLevel="1">
      <c r="C105" s="976" t="s">
        <v>1868</v>
      </c>
      <c r="D105" s="886"/>
      <c r="E105" s="886"/>
      <c r="F105" s="886"/>
      <c r="G105" s="886"/>
      <c r="H105" s="887"/>
      <c r="I105" s="888"/>
      <c r="J105" s="94" t="s">
        <v>499</v>
      </c>
      <c r="K105" s="94" t="s">
        <v>499</v>
      </c>
      <c r="L105" s="94" t="s">
        <v>499</v>
      </c>
      <c r="M105" s="94" t="s">
        <v>499</v>
      </c>
      <c r="N105" s="94" t="s">
        <v>499</v>
      </c>
      <c r="O105" s="94" t="s">
        <v>499</v>
      </c>
      <c r="P105" s="94" t="s">
        <v>499</v>
      </c>
      <c r="Q105" s="94" t="s">
        <v>499</v>
      </c>
      <c r="R105" s="94" t="s">
        <v>499</v>
      </c>
      <c r="S105" s="94" t="s">
        <v>499</v>
      </c>
      <c r="T105" s="94" t="s">
        <v>499</v>
      </c>
      <c r="U105" s="94" t="s">
        <v>499</v>
      </c>
      <c r="V105" s="94" t="s">
        <v>499</v>
      </c>
    </row>
    <row r="106" spans="3:24" ht="15" outlineLevel="1">
      <c r="C106" s="979"/>
      <c r="D106" s="372"/>
      <c r="E106" s="372"/>
      <c r="F106" s="372"/>
      <c r="G106" s="372"/>
      <c r="H106" s="413"/>
      <c r="I106" s="423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</row>
    <row r="107" spans="3:24" outlineLevel="1">
      <c r="C107" s="881" t="s">
        <v>1870</v>
      </c>
      <c r="O107" s="108"/>
      <c r="P107" s="108"/>
      <c r="Q107" s="108"/>
    </row>
    <row r="108" spans="3:24" outlineLevel="1">
      <c r="C108" s="881" t="s">
        <v>689</v>
      </c>
      <c r="O108" s="108"/>
      <c r="P108" s="108"/>
      <c r="Q108" s="108"/>
    </row>
    <row r="109" spans="3:24" outlineLevel="1">
      <c r="C109" s="881" t="s">
        <v>1871</v>
      </c>
      <c r="O109" s="108"/>
      <c r="P109" s="108"/>
      <c r="Q109" s="108"/>
    </row>
    <row r="110" spans="3:24" outlineLevel="1">
      <c r="C110" s="881" t="s">
        <v>1879</v>
      </c>
      <c r="O110" s="108"/>
      <c r="P110" s="108"/>
      <c r="Q110" s="108"/>
      <c r="R110" s="108"/>
      <c r="S110" s="108"/>
      <c r="T110" s="108"/>
      <c r="U110" s="108"/>
      <c r="V110" s="108"/>
    </row>
    <row r="111" spans="3:24" s="1186" customFormat="1" ht="22.5" customHeight="1">
      <c r="M111" s="1188"/>
      <c r="N111" s="1188"/>
      <c r="O111" s="1188"/>
      <c r="P111" s="1188"/>
      <c r="Q111" s="1188"/>
      <c r="R111" s="1188"/>
      <c r="S111" s="1188"/>
      <c r="T111" s="1188"/>
      <c r="U111" s="1188"/>
      <c r="V111" s="1188"/>
      <c r="X111" s="1187"/>
    </row>
    <row r="112" spans="3:24" ht="15">
      <c r="C112" s="976" t="s">
        <v>1869</v>
      </c>
      <c r="D112" s="886"/>
      <c r="E112" s="886"/>
      <c r="F112" s="886"/>
      <c r="G112" s="886"/>
      <c r="H112" s="887"/>
      <c r="I112" s="888"/>
      <c r="J112" s="94" t="s">
        <v>499</v>
      </c>
      <c r="K112" s="94" t="s">
        <v>499</v>
      </c>
      <c r="L112" s="94" t="s">
        <v>499</v>
      </c>
      <c r="M112" s="94" t="s">
        <v>499</v>
      </c>
      <c r="N112" s="94" t="s">
        <v>499</v>
      </c>
      <c r="O112" s="94" t="s">
        <v>499</v>
      </c>
      <c r="P112" s="94" t="s">
        <v>499</v>
      </c>
      <c r="Q112" s="94" t="s">
        <v>499</v>
      </c>
      <c r="R112" s="94" t="s">
        <v>499</v>
      </c>
      <c r="S112" s="94" t="s">
        <v>499</v>
      </c>
      <c r="T112" s="94" t="s">
        <v>499</v>
      </c>
      <c r="U112" s="94" t="s">
        <v>499</v>
      </c>
      <c r="V112" s="94" t="s">
        <v>499</v>
      </c>
    </row>
    <row r="113" spans="3:78" ht="15" outlineLevel="1">
      <c r="C113" s="979"/>
      <c r="D113" s="372"/>
      <c r="E113" s="372"/>
      <c r="F113" s="372"/>
      <c r="G113" s="372"/>
      <c r="H113" s="413"/>
      <c r="I113" s="423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</row>
    <row r="114" spans="3:78" outlineLevel="1">
      <c r="C114" s="881" t="s">
        <v>1870</v>
      </c>
      <c r="O114" s="108"/>
      <c r="P114" s="108"/>
      <c r="Q114" s="108"/>
    </row>
    <row r="115" spans="3:78" outlineLevel="1">
      <c r="C115" s="881"/>
      <c r="O115" s="108"/>
      <c r="P115" s="108"/>
      <c r="Q115" s="108"/>
    </row>
    <row r="116" spans="3:78" outlineLevel="1">
      <c r="C116" s="881" t="s">
        <v>1871</v>
      </c>
      <c r="O116" s="108"/>
      <c r="P116" s="108"/>
      <c r="Q116" s="108"/>
    </row>
    <row r="117" spans="3:78" outlineLevel="1">
      <c r="C117" s="881" t="s">
        <v>1879</v>
      </c>
      <c r="O117" s="108"/>
      <c r="P117" s="108"/>
      <c r="Q117" s="108"/>
      <c r="R117" s="108"/>
    </row>
    <row r="118" spans="3:78" s="1186" customFormat="1" ht="51.75" customHeight="1">
      <c r="X118" s="1187"/>
    </row>
    <row r="119" spans="3:78" ht="66.75" customHeight="1">
      <c r="C119" s="1977"/>
      <c r="D119" s="1978"/>
      <c r="E119" s="1978"/>
      <c r="F119" s="1978"/>
      <c r="G119" s="1978"/>
      <c r="H119" s="1978"/>
      <c r="I119" s="1978"/>
      <c r="J119" s="1978"/>
      <c r="K119" s="1978"/>
      <c r="L119" s="1978"/>
      <c r="M119" s="1978"/>
      <c r="N119" s="1978"/>
      <c r="O119" s="1978"/>
      <c r="P119" s="1978"/>
      <c r="Q119" s="1978"/>
      <c r="R119" s="1978"/>
      <c r="S119" s="1017"/>
      <c r="T119" s="1017"/>
      <c r="U119" s="1017"/>
      <c r="V119" s="1018"/>
    </row>
    <row r="120" spans="3:78" ht="15">
      <c r="C120" s="1019"/>
      <c r="D120" s="1020"/>
      <c r="E120" s="1020"/>
      <c r="F120" s="1020"/>
      <c r="G120" s="1020"/>
      <c r="H120" s="1021"/>
      <c r="I120" s="1022"/>
      <c r="J120" s="1023">
        <v>1</v>
      </c>
      <c r="K120" s="1023">
        <f t="shared" ref="K120:P120" si="13">J120+1</f>
        <v>2</v>
      </c>
      <c r="L120" s="1023">
        <f t="shared" si="13"/>
        <v>3</v>
      </c>
      <c r="M120" s="1023">
        <f>L120+1</f>
        <v>4</v>
      </c>
      <c r="N120" s="1023">
        <f t="shared" si="13"/>
        <v>5</v>
      </c>
      <c r="O120" s="1023">
        <f t="shared" si="13"/>
        <v>6</v>
      </c>
      <c r="P120" s="1023">
        <f t="shared" si="13"/>
        <v>7</v>
      </c>
      <c r="Q120" s="1023">
        <f t="shared" ref="Q120:V120" si="14">Q43</f>
        <v>8</v>
      </c>
      <c r="R120" s="1023">
        <f t="shared" si="14"/>
        <v>9</v>
      </c>
      <c r="S120" s="1023">
        <f t="shared" si="14"/>
        <v>10</v>
      </c>
      <c r="T120" s="1023">
        <f t="shared" si="14"/>
        <v>11</v>
      </c>
      <c r="U120" s="1023">
        <f t="shared" si="14"/>
        <v>12</v>
      </c>
      <c r="V120" s="1024">
        <f t="shared" si="14"/>
        <v>13</v>
      </c>
    </row>
    <row r="121" spans="3:78">
      <c r="C121" s="1025"/>
      <c r="D121" s="1020"/>
      <c r="E121" s="1020"/>
      <c r="F121" s="1020"/>
      <c r="G121" s="1020"/>
      <c r="H121" s="1021"/>
      <c r="I121" s="1022"/>
      <c r="J121" s="1026"/>
      <c r="K121" s="1026"/>
      <c r="L121" s="1026"/>
      <c r="M121" s="1026"/>
      <c r="N121" s="1026"/>
      <c r="O121" s="1026"/>
      <c r="P121" s="1026"/>
      <c r="Q121" s="1026"/>
      <c r="R121" s="1026"/>
      <c r="S121" s="1026"/>
      <c r="T121" s="1026"/>
      <c r="U121" s="1026"/>
      <c r="V121" s="1027"/>
    </row>
    <row r="122" spans="3:78" ht="15">
      <c r="C122" s="1028"/>
      <c r="D122" s="1029"/>
      <c r="E122" s="1029"/>
      <c r="F122" s="1029"/>
      <c r="G122" s="1029"/>
      <c r="H122" s="1030"/>
      <c r="I122" s="1031"/>
      <c r="J122" s="1032" t="s">
        <v>499</v>
      </c>
      <c r="K122" s="1032" t="s">
        <v>499</v>
      </c>
      <c r="L122" s="1032" t="s">
        <v>499</v>
      </c>
      <c r="M122" s="1032" t="s">
        <v>499</v>
      </c>
      <c r="N122" s="1032" t="s">
        <v>499</v>
      </c>
      <c r="O122" s="1032" t="s">
        <v>499</v>
      </c>
      <c r="P122" s="1032" t="s">
        <v>499</v>
      </c>
      <c r="Q122" s="1032" t="s">
        <v>499</v>
      </c>
      <c r="R122" s="1032" t="s">
        <v>499</v>
      </c>
      <c r="S122" s="1032" t="s">
        <v>499</v>
      </c>
      <c r="T122" s="1032" t="s">
        <v>499</v>
      </c>
      <c r="U122" s="1032" t="s">
        <v>499</v>
      </c>
      <c r="V122" s="1033" t="s">
        <v>499</v>
      </c>
    </row>
    <row r="123" spans="3:78">
      <c r="C123" s="1034"/>
      <c r="D123" s="1035"/>
      <c r="E123" s="1035"/>
      <c r="F123" s="1035"/>
      <c r="G123" s="1035"/>
      <c r="H123" s="1022"/>
      <c r="I123" s="1022"/>
      <c r="J123" s="1022"/>
      <c r="K123" s="1035"/>
      <c r="L123" s="1036"/>
      <c r="M123" s="1037"/>
      <c r="N123" s="1037"/>
      <c r="O123" s="1037"/>
      <c r="P123" s="1038"/>
      <c r="Q123" s="1038"/>
      <c r="R123" s="1038"/>
      <c r="S123" s="1038"/>
      <c r="T123" s="1038"/>
      <c r="U123" s="1038"/>
      <c r="V123" s="1039"/>
    </row>
    <row r="124" spans="3:78">
      <c r="C124" s="1025" t="s">
        <v>541</v>
      </c>
      <c r="D124" s="1035"/>
      <c r="E124" s="1035"/>
      <c r="F124" s="1035"/>
      <c r="G124" s="1035"/>
      <c r="H124" s="1021"/>
      <c r="I124" s="1022"/>
      <c r="J124" s="1040"/>
      <c r="K124" s="1040"/>
      <c r="L124" s="1040"/>
      <c r="M124" s="1040">
        <f>M141</f>
        <v>24000</v>
      </c>
      <c r="N124" s="1040">
        <f>N141</f>
        <v>22000</v>
      </c>
      <c r="O124" s="1040">
        <f>O141</f>
        <v>20000</v>
      </c>
      <c r="P124" s="1040">
        <f>P141</f>
        <v>21000</v>
      </c>
      <c r="Q124" s="1040">
        <v>22000</v>
      </c>
      <c r="R124" s="1550">
        <f>Total!V144</f>
        <v>25000</v>
      </c>
      <c r="S124" s="1550">
        <f>Total!W144</f>
        <v>25000</v>
      </c>
      <c r="T124" s="1550">
        <f>Total!X144</f>
        <v>25000</v>
      </c>
      <c r="U124" s="1550">
        <f>Total!Y144</f>
        <v>25000</v>
      </c>
      <c r="V124" s="1550">
        <f>Total!Z144</f>
        <v>25000</v>
      </c>
      <c r="W124" s="1190">
        <f>V124</f>
        <v>25000</v>
      </c>
      <c r="X124" s="1190">
        <f t="shared" ref="X124:BZ124" si="15">W124</f>
        <v>25000</v>
      </c>
      <c r="Y124" s="1190">
        <f t="shared" si="15"/>
        <v>25000</v>
      </c>
      <c r="Z124" s="1190">
        <f t="shared" si="15"/>
        <v>25000</v>
      </c>
      <c r="AA124" s="1190">
        <f t="shared" si="15"/>
        <v>25000</v>
      </c>
      <c r="AB124" s="1190">
        <f t="shared" si="15"/>
        <v>25000</v>
      </c>
      <c r="AC124" s="1190">
        <f t="shared" si="15"/>
        <v>25000</v>
      </c>
      <c r="AD124" s="1190">
        <f t="shared" si="15"/>
        <v>25000</v>
      </c>
      <c r="AE124" s="1190">
        <f t="shared" si="15"/>
        <v>25000</v>
      </c>
      <c r="AF124" s="1190">
        <f t="shared" si="15"/>
        <v>25000</v>
      </c>
      <c r="AG124" s="1190">
        <f t="shared" si="15"/>
        <v>25000</v>
      </c>
      <c r="AH124" s="1190">
        <f t="shared" si="15"/>
        <v>25000</v>
      </c>
      <c r="AI124" s="1190">
        <f t="shared" si="15"/>
        <v>25000</v>
      </c>
      <c r="AJ124" s="1190">
        <f t="shared" si="15"/>
        <v>25000</v>
      </c>
      <c r="AK124" s="1190">
        <f t="shared" si="15"/>
        <v>25000</v>
      </c>
      <c r="AL124" s="1190">
        <f t="shared" si="15"/>
        <v>25000</v>
      </c>
      <c r="AM124" s="1190">
        <f t="shared" si="15"/>
        <v>25000</v>
      </c>
      <c r="AN124" s="1190">
        <f t="shared" si="15"/>
        <v>25000</v>
      </c>
      <c r="AO124" s="1190">
        <f t="shared" si="15"/>
        <v>25000</v>
      </c>
      <c r="AP124" s="1190">
        <f t="shared" si="15"/>
        <v>25000</v>
      </c>
      <c r="AQ124" s="1190">
        <f t="shared" si="15"/>
        <v>25000</v>
      </c>
      <c r="AR124" s="1190">
        <f t="shared" si="15"/>
        <v>25000</v>
      </c>
      <c r="AS124" s="1190">
        <f t="shared" si="15"/>
        <v>25000</v>
      </c>
      <c r="AT124" s="1190">
        <f t="shared" si="15"/>
        <v>25000</v>
      </c>
      <c r="AU124" s="1190">
        <f t="shared" si="15"/>
        <v>25000</v>
      </c>
      <c r="AV124" s="1190">
        <f t="shared" si="15"/>
        <v>25000</v>
      </c>
      <c r="AW124" s="1190">
        <f t="shared" si="15"/>
        <v>25000</v>
      </c>
      <c r="AX124" s="1190">
        <f t="shared" si="15"/>
        <v>25000</v>
      </c>
      <c r="AY124" s="1190">
        <f t="shared" si="15"/>
        <v>25000</v>
      </c>
      <c r="AZ124" s="1190">
        <f t="shared" si="15"/>
        <v>25000</v>
      </c>
      <c r="BA124" s="1190">
        <f t="shared" si="15"/>
        <v>25000</v>
      </c>
      <c r="BB124" s="1190">
        <f t="shared" si="15"/>
        <v>25000</v>
      </c>
      <c r="BC124" s="1190">
        <f t="shared" si="15"/>
        <v>25000</v>
      </c>
      <c r="BD124" s="1190">
        <f t="shared" si="15"/>
        <v>25000</v>
      </c>
      <c r="BE124" s="1190">
        <f t="shared" si="15"/>
        <v>25000</v>
      </c>
      <c r="BF124" s="1190">
        <f t="shared" si="15"/>
        <v>25000</v>
      </c>
      <c r="BG124" s="1190">
        <f t="shared" si="15"/>
        <v>25000</v>
      </c>
      <c r="BH124" s="1190">
        <f t="shared" si="15"/>
        <v>25000</v>
      </c>
      <c r="BI124" s="1190">
        <f t="shared" si="15"/>
        <v>25000</v>
      </c>
      <c r="BJ124" s="1190">
        <f t="shared" si="15"/>
        <v>25000</v>
      </c>
      <c r="BK124" s="1190">
        <f t="shared" si="15"/>
        <v>25000</v>
      </c>
      <c r="BL124" s="1190">
        <f t="shared" si="15"/>
        <v>25000</v>
      </c>
      <c r="BM124" s="1190">
        <f t="shared" si="15"/>
        <v>25000</v>
      </c>
      <c r="BN124" s="1190">
        <f t="shared" si="15"/>
        <v>25000</v>
      </c>
      <c r="BO124" s="1190">
        <f t="shared" si="15"/>
        <v>25000</v>
      </c>
      <c r="BP124" s="1190">
        <f t="shared" si="15"/>
        <v>25000</v>
      </c>
      <c r="BQ124" s="1190">
        <f t="shared" si="15"/>
        <v>25000</v>
      </c>
      <c r="BR124" s="1190">
        <f t="shared" si="15"/>
        <v>25000</v>
      </c>
      <c r="BS124" s="1190">
        <f t="shared" si="15"/>
        <v>25000</v>
      </c>
      <c r="BT124" s="1190">
        <f t="shared" si="15"/>
        <v>25000</v>
      </c>
      <c r="BU124" s="1190">
        <f t="shared" si="15"/>
        <v>25000</v>
      </c>
      <c r="BV124" s="1190">
        <f t="shared" si="15"/>
        <v>25000</v>
      </c>
      <c r="BW124" s="1190">
        <f t="shared" si="15"/>
        <v>25000</v>
      </c>
      <c r="BX124" s="1190">
        <f t="shared" si="15"/>
        <v>25000</v>
      </c>
      <c r="BY124" s="1190">
        <f t="shared" si="15"/>
        <v>25000</v>
      </c>
      <c r="BZ124" s="1190">
        <f t="shared" si="15"/>
        <v>25000</v>
      </c>
    </row>
    <row r="125" spans="3:78">
      <c r="C125" s="1025" t="s">
        <v>1754</v>
      </c>
      <c r="D125" s="1035"/>
      <c r="E125" s="1035"/>
      <c r="F125" s="1035"/>
      <c r="G125" s="1035"/>
      <c r="H125" s="1021"/>
      <c r="I125" s="1022"/>
      <c r="J125" s="1040"/>
      <c r="K125" s="1040"/>
      <c r="L125" s="1040"/>
      <c r="M125" s="1040"/>
      <c r="N125" s="1040"/>
      <c r="O125" s="1040"/>
      <c r="P125" s="1040">
        <v>18000</v>
      </c>
      <c r="Q125" s="1040">
        <v>17000</v>
      </c>
      <c r="R125" s="1040">
        <f>Total!V145</f>
        <v>25000</v>
      </c>
      <c r="S125" s="1040">
        <f>Total!W145</f>
        <v>25000</v>
      </c>
      <c r="T125" s="1040">
        <f>Total!X145</f>
        <v>25000</v>
      </c>
      <c r="U125" s="1040">
        <f>Total!Y145</f>
        <v>25000</v>
      </c>
      <c r="V125" s="1040">
        <f>Total!Z145</f>
        <v>25000</v>
      </c>
    </row>
    <row r="126" spans="3:78">
      <c r="C126" s="1025"/>
      <c r="D126" s="1035"/>
      <c r="E126" s="1035"/>
      <c r="F126" s="1035"/>
      <c r="G126" s="1035"/>
      <c r="H126" s="1021"/>
      <c r="I126" s="1022"/>
      <c r="J126" s="1040"/>
      <c r="K126" s="1040"/>
      <c r="L126" s="1040"/>
      <c r="M126" s="1040"/>
      <c r="N126" s="1022"/>
      <c r="O126" s="1022"/>
      <c r="P126" s="1022"/>
      <c r="Q126" s="1022"/>
      <c r="R126" s="1022"/>
      <c r="S126" s="1022"/>
      <c r="T126" s="1022"/>
      <c r="U126" s="1022"/>
      <c r="V126" s="1041"/>
    </row>
    <row r="127" spans="3:78">
      <c r="C127" s="1025" t="s">
        <v>542</v>
      </c>
      <c r="D127" s="1020"/>
      <c r="E127" s="1020"/>
      <c r="F127" s="1020"/>
      <c r="G127" s="1020"/>
      <c r="H127" s="1021"/>
      <c r="I127" s="1022"/>
      <c r="J127" s="1040"/>
      <c r="K127" s="1040"/>
      <c r="L127" s="1040"/>
      <c r="M127" s="1040">
        <v>8000</v>
      </c>
      <c r="N127" s="1040">
        <v>8000</v>
      </c>
      <c r="O127" s="1040">
        <v>8000</v>
      </c>
      <c r="P127" s="1040">
        <v>8000</v>
      </c>
      <c r="Q127" s="1040">
        <v>9000</v>
      </c>
      <c r="R127" s="1040">
        <v>9000</v>
      </c>
      <c r="S127" s="1040">
        <v>9000</v>
      </c>
      <c r="T127" s="1040">
        <v>9000</v>
      </c>
      <c r="U127" s="1040">
        <v>9000</v>
      </c>
      <c r="V127" s="1040">
        <v>9000</v>
      </c>
    </row>
    <row r="128" spans="3:78" ht="9" customHeight="1">
      <c r="C128" s="1025"/>
      <c r="D128" s="1020"/>
      <c r="E128" s="1020"/>
      <c r="F128" s="1020"/>
      <c r="G128" s="1020"/>
      <c r="H128" s="1021"/>
      <c r="I128" s="1022"/>
      <c r="J128" s="1040"/>
      <c r="K128" s="1040"/>
      <c r="L128" s="1040"/>
      <c r="M128" s="1040"/>
      <c r="N128" s="1040"/>
      <c r="O128" s="1040"/>
      <c r="P128" s="1021"/>
      <c r="Q128" s="1021"/>
      <c r="R128" s="1021"/>
      <c r="S128" s="1021"/>
      <c r="T128" s="1021"/>
      <c r="U128" s="1021"/>
      <c r="V128" s="1021"/>
    </row>
    <row r="129" spans="3:22">
      <c r="C129" s="1025" t="s">
        <v>543</v>
      </c>
      <c r="D129" s="1020"/>
      <c r="E129" s="1020"/>
      <c r="F129" s="1020"/>
      <c r="G129" s="1020"/>
      <c r="H129" s="1021"/>
      <c r="I129" s="1022"/>
      <c r="J129" s="1040"/>
      <c r="K129" s="1040"/>
      <c r="L129" s="1040"/>
      <c r="M129" s="1040">
        <v>3000</v>
      </c>
      <c r="N129" s="1040">
        <v>3000</v>
      </c>
      <c r="O129" s="1040">
        <v>3000</v>
      </c>
      <c r="P129" s="1040">
        <v>3000</v>
      </c>
      <c r="Q129" s="1040">
        <v>3500</v>
      </c>
      <c r="R129" s="1040">
        <v>3500</v>
      </c>
      <c r="S129" s="1040">
        <v>3500</v>
      </c>
      <c r="T129" s="1040">
        <v>3500</v>
      </c>
      <c r="U129" s="1040">
        <v>3500</v>
      </c>
      <c r="V129" s="1040">
        <v>3500</v>
      </c>
    </row>
    <row r="130" spans="3:22">
      <c r="C130" s="1025"/>
      <c r="D130" s="1020"/>
      <c r="E130" s="1020"/>
      <c r="F130" s="1020"/>
      <c r="G130" s="1020"/>
      <c r="H130" s="1021"/>
      <c r="I130" s="1022"/>
      <c r="J130" s="1021"/>
      <c r="K130" s="1021"/>
      <c r="L130" s="1021"/>
      <c r="M130" s="1021"/>
      <c r="N130" s="1021"/>
      <c r="O130" s="1021"/>
      <c r="P130" s="1021"/>
      <c r="Q130" s="1021"/>
      <c r="R130" s="1021"/>
      <c r="S130" s="1021"/>
      <c r="T130" s="1021"/>
      <c r="U130" s="1021"/>
      <c r="V130" s="1021"/>
    </row>
    <row r="131" spans="3:22">
      <c r="C131" s="1025" t="s">
        <v>544</v>
      </c>
      <c r="D131" s="1020"/>
      <c r="E131" s="1020"/>
      <c r="F131" s="1020"/>
      <c r="G131" s="1020"/>
      <c r="H131" s="1021"/>
      <c r="I131" s="1022"/>
      <c r="J131" s="1021"/>
      <c r="K131" s="1021"/>
      <c r="L131" s="1021"/>
      <c r="M131" s="1040">
        <v>1800</v>
      </c>
      <c r="N131" s="1040">
        <v>1800</v>
      </c>
      <c r="O131" s="1040">
        <v>1800</v>
      </c>
      <c r="P131" s="1040">
        <v>1800</v>
      </c>
      <c r="Q131" s="1040">
        <v>2000</v>
      </c>
      <c r="R131" s="1040">
        <f>Total!V148</f>
        <v>2000</v>
      </c>
      <c r="S131" s="1040">
        <f>Total!W148</f>
        <v>2000</v>
      </c>
      <c r="T131" s="1040">
        <f>Total!X148</f>
        <v>2000</v>
      </c>
      <c r="U131" s="1040">
        <f>Total!Y148</f>
        <v>2000</v>
      </c>
      <c r="V131" s="1040">
        <f>Total!Z148</f>
        <v>2000</v>
      </c>
    </row>
    <row r="132" spans="3:22" ht="18.75" customHeight="1">
      <c r="C132" s="1025" t="s">
        <v>662</v>
      </c>
      <c r="D132" s="1022"/>
      <c r="E132" s="1022"/>
      <c r="F132" s="1022"/>
      <c r="G132" s="1022"/>
      <c r="H132" s="1022"/>
      <c r="I132" s="1022"/>
      <c r="J132" s="1022"/>
      <c r="K132" s="1022"/>
      <c r="L132" s="1022"/>
      <c r="M132" s="1022"/>
      <c r="N132" s="1022">
        <v>1600</v>
      </c>
      <c r="O132" s="1022">
        <v>1600</v>
      </c>
      <c r="P132" s="1022">
        <v>1600</v>
      </c>
      <c r="Q132" s="1022">
        <v>1800</v>
      </c>
      <c r="R132" s="1022">
        <v>1800</v>
      </c>
      <c r="S132" s="1022">
        <v>1800</v>
      </c>
      <c r="T132" s="1022">
        <v>1800</v>
      </c>
      <c r="U132" s="1022">
        <v>1800</v>
      </c>
      <c r="V132" s="1022">
        <v>1800</v>
      </c>
    </row>
    <row r="133" spans="3:22" ht="21.75" customHeight="1">
      <c r="C133" s="1025" t="s">
        <v>663</v>
      </c>
      <c r="D133" s="1022"/>
      <c r="E133" s="1022"/>
      <c r="F133" s="1022"/>
      <c r="G133" s="1022"/>
      <c r="H133" s="1022"/>
      <c r="I133" s="1022"/>
      <c r="J133" s="1022"/>
      <c r="K133" s="1022"/>
      <c r="L133" s="1022"/>
      <c r="M133" s="1022"/>
      <c r="N133" s="1022"/>
      <c r="O133" s="1022">
        <v>18</v>
      </c>
      <c r="P133" s="1022">
        <v>18</v>
      </c>
      <c r="Q133" s="1022">
        <v>20</v>
      </c>
      <c r="R133" s="1022">
        <v>20</v>
      </c>
      <c r="S133" s="1022">
        <v>20</v>
      </c>
      <c r="T133" s="1022">
        <v>20</v>
      </c>
      <c r="U133" s="1022">
        <v>20</v>
      </c>
      <c r="V133" s="1022">
        <v>20</v>
      </c>
    </row>
    <row r="134" spans="3:22" ht="21.75" customHeight="1">
      <c r="C134" s="1025" t="s">
        <v>1793</v>
      </c>
      <c r="D134" s="1022"/>
      <c r="E134" s="1022"/>
      <c r="F134" s="1022"/>
      <c r="G134" s="1022"/>
      <c r="H134" s="1022"/>
      <c r="I134" s="1022"/>
      <c r="J134" s="1022"/>
      <c r="K134" s="1022"/>
      <c r="L134" s="1022"/>
      <c r="M134" s="1022"/>
      <c r="N134" s="1022"/>
      <c r="O134" s="1022"/>
      <c r="P134" s="1022">
        <f>P133</f>
        <v>18</v>
      </c>
      <c r="Q134" s="1022">
        <f t="shared" ref="Q134:V134" si="16">Q133</f>
        <v>20</v>
      </c>
      <c r="R134" s="1022">
        <f t="shared" si="16"/>
        <v>20</v>
      </c>
      <c r="S134" s="1022">
        <f t="shared" si="16"/>
        <v>20</v>
      </c>
      <c r="T134" s="1022">
        <f t="shared" si="16"/>
        <v>20</v>
      </c>
      <c r="U134" s="1022">
        <f t="shared" si="16"/>
        <v>20</v>
      </c>
      <c r="V134" s="1022">
        <f t="shared" si="16"/>
        <v>20</v>
      </c>
    </row>
    <row r="135" spans="3:22" ht="21.75" customHeight="1">
      <c r="C135" s="1025" t="s">
        <v>1805</v>
      </c>
      <c r="D135" s="1022"/>
      <c r="E135" s="1022"/>
      <c r="F135" s="1022"/>
      <c r="G135" s="1022"/>
      <c r="H135" s="1022"/>
      <c r="I135" s="1022"/>
      <c r="J135" s="1022"/>
      <c r="K135" s="1022"/>
      <c r="L135" s="1022"/>
      <c r="M135" s="1022"/>
      <c r="N135" s="1022"/>
      <c r="O135" s="1022"/>
      <c r="P135" s="1022">
        <f>P132</f>
        <v>1600</v>
      </c>
      <c r="Q135" s="1022">
        <f t="shared" ref="Q135:V135" si="17">Q132</f>
        <v>1800</v>
      </c>
      <c r="R135" s="1022">
        <f t="shared" si="17"/>
        <v>1800</v>
      </c>
      <c r="S135" s="1022">
        <f t="shared" si="17"/>
        <v>1800</v>
      </c>
      <c r="T135" s="1022">
        <f t="shared" si="17"/>
        <v>1800</v>
      </c>
      <c r="U135" s="1022">
        <f t="shared" si="17"/>
        <v>1800</v>
      </c>
      <c r="V135" s="1022">
        <f t="shared" si="17"/>
        <v>1800</v>
      </c>
    </row>
    <row r="136" spans="3:22" ht="18.75" customHeight="1">
      <c r="C136" s="1042" t="s">
        <v>751</v>
      </c>
      <c r="D136" s="1031"/>
      <c r="E136" s="1031"/>
      <c r="F136" s="1031"/>
      <c r="G136" s="1031"/>
      <c r="H136" s="1031"/>
      <c r="I136" s="1031"/>
      <c r="J136" s="1031"/>
      <c r="K136" s="1031"/>
      <c r="L136" s="1031"/>
      <c r="M136" s="1031"/>
      <c r="N136" s="1031"/>
      <c r="O136" s="1031"/>
      <c r="P136" s="1043"/>
      <c r="Q136" s="1043">
        <v>0.05</v>
      </c>
      <c r="R136" s="1043">
        <v>0.05</v>
      </c>
      <c r="S136" s="1043">
        <v>0.05</v>
      </c>
      <c r="T136" s="1043">
        <v>0.05</v>
      </c>
      <c r="U136" s="1043">
        <v>0.05</v>
      </c>
      <c r="V136" s="1044">
        <v>0.05</v>
      </c>
    </row>
    <row r="137" spans="3:22" ht="29.25" customHeight="1">
      <c r="C137" s="881"/>
    </row>
    <row r="138" spans="3:22">
      <c r="I138" s="96"/>
      <c r="J138" s="96"/>
      <c r="K138" s="96"/>
      <c r="L138" s="96"/>
      <c r="M138" s="96"/>
      <c r="N138" s="426"/>
      <c r="O138" s="96"/>
      <c r="P138" s="96"/>
      <c r="Q138" s="96"/>
      <c r="R138" s="96"/>
      <c r="S138" s="96"/>
      <c r="T138" s="96"/>
      <c r="U138" s="96"/>
      <c r="V138" s="96"/>
    </row>
    <row r="139" spans="3:22" ht="15">
      <c r="C139" s="976" t="s">
        <v>675</v>
      </c>
      <c r="D139" s="886"/>
      <c r="E139" s="886"/>
      <c r="F139" s="886"/>
      <c r="G139" s="886"/>
      <c r="H139" s="887"/>
      <c r="I139" s="94"/>
      <c r="J139" s="94" t="s">
        <v>499</v>
      </c>
      <c r="K139" s="94" t="s">
        <v>499</v>
      </c>
      <c r="L139" s="94" t="s">
        <v>499</v>
      </c>
      <c r="M139" s="94" t="s">
        <v>499</v>
      </c>
      <c r="N139" s="94" t="s">
        <v>499</v>
      </c>
      <c r="O139" s="94" t="s">
        <v>499</v>
      </c>
      <c r="P139" s="94" t="s">
        <v>499</v>
      </c>
      <c r="Q139" s="94" t="s">
        <v>499</v>
      </c>
      <c r="R139" s="94" t="s">
        <v>499</v>
      </c>
      <c r="S139" s="94" t="s">
        <v>499</v>
      </c>
      <c r="T139" s="94" t="s">
        <v>499</v>
      </c>
      <c r="U139" s="94" t="s">
        <v>499</v>
      </c>
      <c r="V139" s="94" t="s">
        <v>499</v>
      </c>
    </row>
    <row r="140" spans="3:22">
      <c r="C140" s="889"/>
      <c r="D140" s="889"/>
      <c r="E140" s="889"/>
      <c r="F140" s="889"/>
      <c r="G140" s="889"/>
      <c r="K140" s="889"/>
      <c r="L140" s="975"/>
      <c r="M140" s="422"/>
      <c r="N140" s="422"/>
      <c r="O140" s="422"/>
      <c r="P140" s="76"/>
      <c r="Q140" s="76"/>
      <c r="R140" s="76"/>
      <c r="S140" s="76"/>
      <c r="T140" s="76"/>
      <c r="U140" s="76"/>
      <c r="V140" s="76"/>
    </row>
    <row r="141" spans="3:22">
      <c r="C141" s="881" t="s">
        <v>541</v>
      </c>
      <c r="D141" s="882"/>
      <c r="E141" s="882"/>
      <c r="F141" s="882"/>
      <c r="G141" s="882"/>
      <c r="H141" s="398"/>
      <c r="I141" s="969"/>
      <c r="J141" s="108">
        <v>12897.292663476874</v>
      </c>
      <c r="K141" s="108"/>
      <c r="L141" s="108"/>
      <c r="M141" s="108">
        <v>24000</v>
      </c>
      <c r="N141" s="108">
        <v>22000</v>
      </c>
      <c r="O141" s="108">
        <v>20000</v>
      </c>
      <c r="P141" s="398">
        <v>21000</v>
      </c>
      <c r="Q141" s="398"/>
      <c r="R141" s="398"/>
      <c r="S141" s="398"/>
      <c r="T141" s="398"/>
      <c r="U141" s="398"/>
      <c r="V141" s="398"/>
    </row>
    <row r="142" spans="3:22">
      <c r="C142" s="881"/>
      <c r="D142" s="882"/>
      <c r="E142" s="882"/>
      <c r="F142" s="882"/>
      <c r="G142" s="882"/>
      <c r="H142" s="398"/>
      <c r="J142" s="108"/>
      <c r="K142" s="108"/>
      <c r="L142" s="108"/>
      <c r="M142" s="108"/>
      <c r="N142" s="108"/>
      <c r="O142" s="108"/>
      <c r="P142" s="413"/>
      <c r="Q142" s="413"/>
      <c r="R142" s="413"/>
      <c r="S142" s="413"/>
      <c r="T142" s="413"/>
      <c r="U142" s="413"/>
      <c r="V142" s="413"/>
    </row>
    <row r="143" spans="3:22">
      <c r="C143" s="881" t="s">
        <v>542</v>
      </c>
      <c r="D143" s="883"/>
      <c r="E143" s="883"/>
      <c r="F143" s="883"/>
      <c r="G143" s="883"/>
      <c r="H143" s="398"/>
      <c r="I143" s="969"/>
      <c r="J143" s="108">
        <v>4655.0570175438597</v>
      </c>
      <c r="K143" s="108"/>
      <c r="L143" s="108"/>
      <c r="M143" s="108">
        <f>M127</f>
        <v>8000</v>
      </c>
      <c r="N143" s="108">
        <f t="shared" ref="N143:P143" si="18">N127</f>
        <v>8000</v>
      </c>
      <c r="O143" s="108">
        <f t="shared" si="18"/>
        <v>8000</v>
      </c>
      <c r="P143" s="108">
        <f t="shared" si="18"/>
        <v>8000</v>
      </c>
      <c r="Q143" s="413"/>
      <c r="R143" s="413"/>
      <c r="S143" s="413"/>
      <c r="T143" s="413"/>
      <c r="U143" s="413"/>
      <c r="V143" s="413"/>
    </row>
    <row r="144" spans="3:22">
      <c r="C144" s="881"/>
      <c r="D144" s="883"/>
      <c r="E144" s="883"/>
      <c r="F144" s="883"/>
      <c r="G144" s="883"/>
      <c r="H144" s="398"/>
      <c r="J144" s="108"/>
      <c r="K144" s="108"/>
      <c r="L144" s="108"/>
      <c r="M144" s="108"/>
      <c r="N144" s="108"/>
      <c r="O144" s="108"/>
      <c r="P144" s="413"/>
      <c r="Q144" s="413"/>
      <c r="R144" s="413"/>
      <c r="S144" s="413"/>
      <c r="T144" s="413"/>
      <c r="U144" s="413"/>
      <c r="V144" s="413"/>
    </row>
    <row r="145" spans="3:22">
      <c r="C145" s="881" t="s">
        <v>543</v>
      </c>
      <c r="D145" s="883"/>
      <c r="E145" s="883"/>
      <c r="F145" s="883"/>
      <c r="G145" s="883"/>
      <c r="H145" s="398"/>
      <c r="I145" s="969"/>
      <c r="J145" s="108">
        <v>1465.810606060606</v>
      </c>
      <c r="K145" s="108"/>
      <c r="L145" s="108"/>
      <c r="M145" s="108">
        <f>M129</f>
        <v>3000</v>
      </c>
      <c r="N145" s="108">
        <f t="shared" ref="N145:P145" si="19">N129</f>
        <v>3000</v>
      </c>
      <c r="O145" s="108">
        <f t="shared" si="19"/>
        <v>3000</v>
      </c>
      <c r="P145" s="108">
        <f t="shared" si="19"/>
        <v>3000</v>
      </c>
      <c r="Q145" s="108"/>
      <c r="R145" s="108"/>
      <c r="S145" s="108"/>
      <c r="T145" s="108"/>
      <c r="U145" s="108"/>
      <c r="V145" s="108"/>
    </row>
    <row r="146" spans="3:22">
      <c r="C146" s="881"/>
      <c r="D146" s="883"/>
      <c r="E146" s="883"/>
      <c r="F146" s="883"/>
      <c r="G146" s="883"/>
      <c r="H146" s="398"/>
      <c r="J146" s="398"/>
      <c r="K146" s="413"/>
      <c r="L146" s="413"/>
      <c r="M146" s="413"/>
      <c r="N146" s="413"/>
      <c r="O146" s="413"/>
      <c r="P146" s="413"/>
      <c r="Q146" s="413"/>
      <c r="R146" s="413"/>
      <c r="S146" s="413"/>
      <c r="T146" s="413"/>
      <c r="U146" s="413"/>
      <c r="V146" s="413"/>
    </row>
    <row r="147" spans="3:22">
      <c r="C147" s="881" t="s">
        <v>544</v>
      </c>
      <c r="D147" s="883"/>
      <c r="E147" s="883"/>
      <c r="F147" s="883"/>
      <c r="G147" s="883"/>
      <c r="H147" s="398"/>
      <c r="I147" s="969"/>
      <c r="J147" s="398">
        <v>1498.2627591706539</v>
      </c>
      <c r="K147" s="398"/>
      <c r="L147" s="398"/>
      <c r="M147" s="398">
        <f>M131</f>
        <v>1800</v>
      </c>
      <c r="N147" s="398">
        <f t="shared" ref="N147:P147" si="20">N131</f>
        <v>1800</v>
      </c>
      <c r="O147" s="398">
        <f t="shared" si="20"/>
        <v>1800</v>
      </c>
      <c r="P147" s="398">
        <f t="shared" si="20"/>
        <v>1800</v>
      </c>
      <c r="Q147" s="413"/>
      <c r="R147" s="413"/>
      <c r="S147" s="413"/>
      <c r="T147" s="413"/>
      <c r="U147" s="413"/>
      <c r="V147" s="413"/>
    </row>
    <row r="149" spans="3:22">
      <c r="C149" s="374" t="s">
        <v>651</v>
      </c>
      <c r="J149" s="374">
        <v>1.32</v>
      </c>
      <c r="M149" s="374">
        <f>'Control list'!I17</f>
        <v>1.1000000000000001</v>
      </c>
      <c r="N149" s="374">
        <f>'Control list'!J17</f>
        <v>1.1000000000000001</v>
      </c>
      <c r="O149" s="374">
        <f>'Control list'!K17</f>
        <v>1.1000000000000001</v>
      </c>
      <c r="P149" s="374">
        <f>'Control list'!L17</f>
        <v>1.05</v>
      </c>
    </row>
    <row r="151" spans="3:22">
      <c r="N151" s="425"/>
    </row>
    <row r="152" spans="3:22">
      <c r="N152" s="425"/>
    </row>
    <row r="153" spans="3:22">
      <c r="N153" s="425"/>
    </row>
    <row r="154" spans="3:22">
      <c r="N154" s="425"/>
    </row>
    <row r="155" spans="3:22">
      <c r="N155" s="425"/>
    </row>
    <row r="156" spans="3:22">
      <c r="N156" s="425"/>
    </row>
    <row r="157" spans="3:22">
      <c r="N157" s="425"/>
    </row>
  </sheetData>
  <mergeCells count="1">
    <mergeCell ref="C119:R119"/>
  </mergeCells>
  <phoneticPr fontId="7" type="noConversion"/>
  <printOptions horizontalCentered="1"/>
  <pageMargins left="0.35433070866141703" right="0.35433070866141703" top="0.62992125984252001" bottom="0.35433070866141703" header="0.511811023622047" footer="0.23622047244094499"/>
  <pageSetup paperSize="9" scale="53" fitToHeight="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rgb="FF00B050"/>
    <pageSetUpPr fitToPage="1"/>
  </sheetPr>
  <dimension ref="A1:AJ404"/>
  <sheetViews>
    <sheetView showGridLines="0" tabSelected="1" zoomScale="80" zoomScaleNormal="80" zoomScaleSheetLayoutView="85" workbookViewId="0">
      <pane xSplit="6" ySplit="5" topLeftCell="G6" activePane="bottomRight" state="frozen"/>
      <selection pane="topRight" activeCell="G1" sqref="G1"/>
      <selection pane="bottomLeft" activeCell="A7" sqref="A7"/>
      <selection pane="bottomRight" activeCell="W24" sqref="W24"/>
    </sheetView>
  </sheetViews>
  <sheetFormatPr defaultRowHeight="12.75" outlineLevelRow="2" outlineLevelCol="2"/>
  <cols>
    <col min="1" max="1" width="3.42578125" style="843" hidden="1" customWidth="1" outlineLevel="1"/>
    <col min="2" max="2" width="2.7109375" style="843" customWidth="1" collapsed="1"/>
    <col min="3" max="3" width="31.28515625" style="846" customWidth="1"/>
    <col min="4" max="4" width="1.28515625" style="843" customWidth="1"/>
    <col min="5" max="7" width="1.42578125" style="843" customWidth="1"/>
    <col min="8" max="8" width="3" style="843" customWidth="1"/>
    <col min="9" max="9" width="1.140625" style="843" hidden="1" customWidth="1" outlineLevel="1"/>
    <col min="10" max="10" width="16" style="843" hidden="1" customWidth="1" outlineLevel="2"/>
    <col min="11" max="11" width="13.5703125" style="843" hidden="1" customWidth="1" outlineLevel="2"/>
    <col min="12" max="12" width="13.5703125" style="843" hidden="1" customWidth="1" outlineLevel="1"/>
    <col min="13" max="13" width="13.42578125" style="926" hidden="1" customWidth="1" outlineLevel="1" collapsed="1"/>
    <col min="14" max="14" width="12.42578125" style="843" hidden="1" customWidth="1" outlineLevel="1" collapsed="1"/>
    <col min="15" max="15" width="12.7109375" style="898" hidden="1" customWidth="1" outlineLevel="1"/>
    <col min="16" max="16" width="11" style="898" customWidth="1" collapsed="1"/>
    <col min="17" max="17" width="12.7109375" style="898" customWidth="1"/>
    <col min="18" max="18" width="15" style="1351" customWidth="1"/>
    <col min="19" max="19" width="12.42578125" style="898" customWidth="1"/>
    <col min="20" max="20" width="11" style="898" customWidth="1"/>
    <col min="21" max="21" width="16.140625" style="1567" customWidth="1"/>
    <col min="22" max="27" width="12.7109375" style="898" bestFit="1" customWidth="1"/>
    <col min="28" max="28" width="11.7109375" style="843" customWidth="1"/>
    <col min="29" max="34" width="11.7109375" style="843" hidden="1" customWidth="1" outlineLevel="1"/>
    <col min="35" max="35" width="11.7109375" style="843" hidden="1" customWidth="1" outlineLevel="1" collapsed="1"/>
    <col min="36" max="36" width="11.7109375" style="843" customWidth="1" collapsed="1"/>
    <col min="37" max="60" width="11.7109375" style="843" customWidth="1"/>
    <col min="61" max="16384" width="9.140625" style="843"/>
  </cols>
  <sheetData>
    <row r="1" spans="1:36" ht="27.75" customHeight="1">
      <c r="B1" s="447"/>
      <c r="C1" s="890"/>
      <c r="J1" s="845"/>
      <c r="K1" s="845"/>
      <c r="L1" s="891">
        <v>1000000</v>
      </c>
      <c r="M1" s="892"/>
      <c r="N1" s="891"/>
      <c r="O1" s="893"/>
      <c r="P1" s="893"/>
      <c r="Q1" s="893"/>
      <c r="R1" s="1634"/>
      <c r="S1" s="1634"/>
      <c r="T1" s="1634"/>
      <c r="U1" s="1644"/>
      <c r="V1" s="893"/>
      <c r="W1" s="893"/>
      <c r="X1" s="893"/>
      <c r="Y1" s="893"/>
      <c r="Z1" s="893"/>
      <c r="AA1" s="893"/>
      <c r="AC1" s="1341" t="str">
        <f ca="1">IF(ROUND(R112,0)=ROUND(Q114,0),"ok","check")</f>
        <v>check</v>
      </c>
      <c r="AJ1" s="843">
        <v>0</v>
      </c>
    </row>
    <row r="2" spans="1:36" ht="22.5">
      <c r="B2" s="447"/>
      <c r="C2" s="894" t="s">
        <v>141</v>
      </c>
      <c r="J2" s="845"/>
      <c r="K2" s="895"/>
      <c r="L2" s="896"/>
      <c r="M2" s="897"/>
      <c r="N2" s="447"/>
      <c r="R2" s="1364"/>
      <c r="S2" s="1457"/>
      <c r="T2" s="1457"/>
      <c r="U2" s="1645"/>
      <c r="AC2" s="1341" t="str">
        <f>IF(ROUND(R112,0)=ROUND(R158,0),"ok","check")</f>
        <v>ok</v>
      </c>
    </row>
    <row r="3" spans="1:36" ht="3" customHeight="1">
      <c r="B3" s="447"/>
      <c r="C3" s="899"/>
      <c r="D3" s="900"/>
      <c r="E3" s="900"/>
      <c r="F3" s="900"/>
      <c r="G3" s="900"/>
      <c r="H3" s="900"/>
      <c r="I3" s="901"/>
      <c r="J3" s="902">
        <v>0</v>
      </c>
      <c r="K3" s="902">
        <v>1</v>
      </c>
      <c r="L3" s="902">
        <v>2</v>
      </c>
      <c r="M3" s="902">
        <v>3</v>
      </c>
      <c r="N3" s="902">
        <v>4</v>
      </c>
      <c r="O3" s="902">
        <v>5</v>
      </c>
      <c r="P3" s="902">
        <f t="shared" ref="P3:X3" si="0">O3+1</f>
        <v>6</v>
      </c>
      <c r="Q3" s="902">
        <f t="shared" si="0"/>
        <v>7</v>
      </c>
      <c r="R3" s="1352">
        <f t="shared" si="0"/>
        <v>8</v>
      </c>
      <c r="S3" s="902"/>
      <c r="T3" s="902"/>
      <c r="U3" s="1568"/>
      <c r="V3" s="902">
        <f>R3+1</f>
        <v>9</v>
      </c>
      <c r="W3" s="902">
        <f t="shared" si="0"/>
        <v>10</v>
      </c>
      <c r="X3" s="902">
        <f t="shared" si="0"/>
        <v>11</v>
      </c>
      <c r="Y3" s="902">
        <f>X3+1</f>
        <v>12</v>
      </c>
      <c r="Z3" s="902">
        <f>Y3+1</f>
        <v>13</v>
      </c>
      <c r="AA3" s="902"/>
      <c r="AC3" s="1341" t="str">
        <f>IF(ROUND(R116,0)=ROUND(R159,0),"ok","check")</f>
        <v>check</v>
      </c>
    </row>
    <row r="4" spans="1:36" ht="23.25">
      <c r="B4" s="447"/>
      <c r="C4" s="903"/>
      <c r="D4" s="904"/>
      <c r="E4" s="904"/>
      <c r="F4" s="904"/>
      <c r="G4" s="904"/>
      <c r="H4" s="904"/>
      <c r="I4" s="905"/>
      <c r="J4" s="905" t="s">
        <v>2089</v>
      </c>
      <c r="K4" s="1366" t="s">
        <v>2079</v>
      </c>
      <c r="L4" s="905" t="s">
        <v>2080</v>
      </c>
      <c r="M4" s="1366" t="s">
        <v>2081</v>
      </c>
      <c r="N4" s="905" t="s">
        <v>2082</v>
      </c>
      <c r="O4" s="1366" t="s">
        <v>2083</v>
      </c>
      <c r="P4" s="905" t="s">
        <v>2061</v>
      </c>
      <c r="Q4" s="1366" t="s">
        <v>2062</v>
      </c>
      <c r="R4" s="1446" t="s">
        <v>2058</v>
      </c>
      <c r="S4" s="1366" t="s">
        <v>2084</v>
      </c>
      <c r="T4" s="905" t="s">
        <v>2085</v>
      </c>
      <c r="U4" s="1569" t="s">
        <v>2086</v>
      </c>
      <c r="V4" s="905" t="s">
        <v>2064</v>
      </c>
      <c r="W4" s="905" t="s">
        <v>2065</v>
      </c>
      <c r="X4" s="905" t="s">
        <v>2066</v>
      </c>
      <c r="Y4" s="905" t="s">
        <v>2067</v>
      </c>
      <c r="Z4" s="905" t="s">
        <v>2068</v>
      </c>
      <c r="AA4" s="1006" t="s">
        <v>2087</v>
      </c>
      <c r="AC4" s="1341" t="str">
        <f ca="1">IF(ROUND(Q114,0)=ROUND(Q177,0),"ok","check")</f>
        <v>ok</v>
      </c>
    </row>
    <row r="5" spans="1:36">
      <c r="B5" s="447"/>
      <c r="C5" s="906" t="s">
        <v>1210</v>
      </c>
      <c r="D5" s="906"/>
      <c r="E5" s="907"/>
      <c r="F5" s="907"/>
      <c r="G5" s="907"/>
      <c r="H5" s="907"/>
      <c r="I5" s="908"/>
      <c r="J5" s="908"/>
      <c r="K5" s="908"/>
      <c r="L5" s="908"/>
      <c r="M5" s="908" t="s">
        <v>499</v>
      </c>
      <c r="N5" s="908" t="s">
        <v>499</v>
      </c>
      <c r="O5" s="908" t="s">
        <v>499</v>
      </c>
      <c r="P5" s="908" t="s">
        <v>499</v>
      </c>
      <c r="Q5" s="908" t="s">
        <v>499</v>
      </c>
      <c r="R5" s="1344" t="s">
        <v>499</v>
      </c>
      <c r="S5" s="908"/>
      <c r="T5" s="908"/>
      <c r="U5" s="1570"/>
      <c r="V5" s="908" t="s">
        <v>499</v>
      </c>
      <c r="W5" s="908" t="s">
        <v>499</v>
      </c>
      <c r="X5" s="908" t="s">
        <v>499</v>
      </c>
      <c r="Y5" s="908" t="s">
        <v>499</v>
      </c>
      <c r="Z5" s="908" t="s">
        <v>499</v>
      </c>
      <c r="AA5" s="908" t="s">
        <v>499</v>
      </c>
      <c r="AC5" s="1342" t="str">
        <f ca="1">IF(ROUND(Q114,0)&gt;50,"ok","check")</f>
        <v>ok</v>
      </c>
      <c r="AD5" s="1342" t="str">
        <f ca="1">IF(ROUND(R114,0)&gt;50,"ok","check")</f>
        <v>ok</v>
      </c>
      <c r="AE5" s="1342" t="str">
        <f ca="1">IF(ROUND(V114,0)&gt;50,"ok","check")</f>
        <v>ok</v>
      </c>
      <c r="AF5" s="1342" t="str">
        <f ca="1">IF(ROUND(W114,0)&gt;50,"ok","check")</f>
        <v>ok</v>
      </c>
      <c r="AG5" s="1342" t="str">
        <f ca="1">IF(ROUND(X114,0)&gt;50,"ok","check")</f>
        <v>ok</v>
      </c>
      <c r="AH5" s="1342" t="str">
        <f ca="1">IF(ROUND(Y114,0)&gt;50,"ok","check")</f>
        <v>ok</v>
      </c>
      <c r="AI5" s="1342" t="str">
        <f ca="1">IF(ROUND(Z114,0)&gt;50,"ok","check")</f>
        <v>ok</v>
      </c>
    </row>
    <row r="6" spans="1:36" s="762" customFormat="1" ht="26.25" customHeight="1">
      <c r="A6" s="843"/>
      <c r="B6" s="759" t="s">
        <v>522</v>
      </c>
      <c r="C6" s="760" t="s">
        <v>170</v>
      </c>
      <c r="D6" s="761"/>
      <c r="E6" s="761"/>
      <c r="F6" s="761"/>
      <c r="G6" s="761"/>
      <c r="H6" s="761"/>
      <c r="I6" s="165"/>
      <c r="J6" s="165">
        <f t="shared" ref="J6:O6" si="1">SUM(J7:J11)</f>
        <v>163.37693767910991</v>
      </c>
      <c r="K6" s="165">
        <f t="shared" si="1"/>
        <v>379.49912728047246</v>
      </c>
      <c r="L6" s="165">
        <f t="shared" si="1"/>
        <v>708.03894131340223</v>
      </c>
      <c r="M6" s="165">
        <f t="shared" si="1"/>
        <v>536.01305084116518</v>
      </c>
      <c r="N6" s="165">
        <f t="shared" si="1"/>
        <v>387.86287635356638</v>
      </c>
      <c r="O6" s="165">
        <f t="shared" si="1"/>
        <v>546.79591793661712</v>
      </c>
      <c r="P6" s="165">
        <f>SUM(P7:P16)</f>
        <v>448.47304429302847</v>
      </c>
      <c r="Q6" s="165">
        <f>SUM(Q7:Q16)</f>
        <v>618.96083887548559</v>
      </c>
      <c r="R6" s="1346">
        <f t="shared" ref="R6:AA6" si="2">SUM(R7:R16)</f>
        <v>1065.0409610710453</v>
      </c>
      <c r="S6" s="1596">
        <f t="shared" si="2"/>
        <v>368.65330382679542</v>
      </c>
      <c r="T6" s="1346">
        <f t="shared" si="2"/>
        <v>518.1246298360561</v>
      </c>
      <c r="U6" s="1572">
        <f t="shared" si="2"/>
        <v>886.77793366285164</v>
      </c>
      <c r="V6" s="165">
        <f t="shared" si="2"/>
        <v>1384.0599066722111</v>
      </c>
      <c r="W6" s="165">
        <f t="shared" si="2"/>
        <v>1463.6943738806262</v>
      </c>
      <c r="X6" s="165">
        <f t="shared" si="2"/>
        <v>1488.594905573616</v>
      </c>
      <c r="Y6" s="165">
        <f t="shared" si="2"/>
        <v>1492.5183301884249</v>
      </c>
      <c r="Z6" s="165">
        <f t="shared" si="2"/>
        <v>1426.5578698566665</v>
      </c>
      <c r="AA6" s="165">
        <f t="shared" si="2"/>
        <v>8142.203319834397</v>
      </c>
      <c r="AC6" s="1341" t="str">
        <f ca="1">IF((AC5:AI5)="ok","ok","check")</f>
        <v>ok</v>
      </c>
    </row>
    <row r="7" spans="1:36" ht="15.75" hidden="1" customHeight="1" outlineLevel="1">
      <c r="A7" s="843">
        <v>1</v>
      </c>
      <c r="B7" s="575"/>
      <c r="C7" s="884" t="s">
        <v>136</v>
      </c>
      <c r="D7" s="573"/>
      <c r="E7" s="573"/>
      <c r="F7" s="573"/>
      <c r="G7" s="573"/>
      <c r="H7" s="573"/>
      <c r="I7" s="424"/>
      <c r="J7" s="424">
        <f>(37828233.2876786+5337264.14911535)/1000000</f>
        <v>43.165497436793956</v>
      </c>
      <c r="K7" s="424">
        <f>('Ni segment'!J262)/1000000</f>
        <v>291.01205499999998</v>
      </c>
      <c r="L7" s="424">
        <f>('Ni segment'!K11)/1000000</f>
        <v>529.02024175999998</v>
      </c>
      <c r="M7" s="424">
        <f>('Ni segment'!L11)/1000000</f>
        <v>367.76665927704994</v>
      </c>
      <c r="N7" s="451">
        <f>(SUMIF('Ni segment'!$A$262:$A$285,Total!$A$7,'Ni segment'!M$262:M$285))/1000000</f>
        <v>249.1015015850482</v>
      </c>
      <c r="O7" s="451">
        <f>(SUMIF('Ni segment'!$A$262:$A$285,Total!$A$7,'Ni segment'!N$262:N$285))/1000000</f>
        <v>367.79924681279999</v>
      </c>
      <c r="P7" s="451">
        <f>(SUMIF('Ni segment'!$A:$A,Total!$A$7,'Ni segment'!O:O))/1000000</f>
        <v>268.18703142339797</v>
      </c>
      <c r="Q7" s="451">
        <f>(SUMIF('Ni segment'!$A$262:$A$285,Total!$A$7,'Ni segment'!P$262:P$285))/1000000</f>
        <v>432.82183128749995</v>
      </c>
      <c r="R7" s="1347">
        <f>(SUMIF('Ni segment'!$A$262:$A$285,Total!$A$7,'Ni segment'!Q$262:Q$285))/1000000</f>
        <v>453.97407647812315</v>
      </c>
      <c r="S7" s="1597">
        <f>(SUMIF('Ni segment'!$A$262:$A$285,Total!$A$7,'Ni segment'!R$262:R$285))/1000000</f>
        <v>281.47860879820746</v>
      </c>
      <c r="T7" s="1347">
        <f>(SUMIF('Ni segment'!$A$262:$A$285,Total!$A$7,'Ni segment'!S$262:S$285))/1000000</f>
        <v>233.18157521592386</v>
      </c>
      <c r="U7" s="1573">
        <f>(SUMIF('Ni segment'!$A$262:$A$285,Total!$A$7,'Ni segment'!T$262:T$285))/1000000</f>
        <v>514.66018401413135</v>
      </c>
      <c r="V7" s="451">
        <f>(SUMIF('Ni segment'!$A$262:$A$285,Total!$A$7,'Ni segment'!U$262:U$285))/1000000</f>
        <v>540.83283255394156</v>
      </c>
      <c r="W7" s="451">
        <f>(SUMIF('Ni segment'!$A$262:$A$285,Total!$A$7,'Ni segment'!V$262:V$285))/1000000</f>
        <v>520.56352034420433</v>
      </c>
      <c r="X7" s="451">
        <f>(SUMIF('Ni segment'!$A$262:$A$285,Total!$A$7,'Ni segment'!W$262:W$285))/1000000</f>
        <v>541.55621143275232</v>
      </c>
      <c r="Y7" s="451">
        <f>(SUMIF('Ni segment'!$A$262:$A$285,Total!$A$7,'Ni segment'!X$262:X$285))/1000000</f>
        <v>540.83283255394156</v>
      </c>
      <c r="Z7" s="451">
        <f>(SUMIF('Ni segment'!$A$262:$A$285,Total!$A$7,'Ni segment'!Y$262:Y$285))/1000000</f>
        <v>476.00611981156459</v>
      </c>
      <c r="AA7" s="451">
        <f>SUM(U7:Z7)</f>
        <v>3134.4517007105355</v>
      </c>
    </row>
    <row r="8" spans="1:36" ht="15.75" hidden="1" customHeight="1" outlineLevel="1">
      <c r="A8" s="843">
        <v>1</v>
      </c>
      <c r="B8" s="575"/>
      <c r="C8" s="884" t="s">
        <v>137</v>
      </c>
      <c r="D8" s="573"/>
      <c r="E8" s="573"/>
      <c r="F8" s="573"/>
      <c r="G8" s="573"/>
      <c r="H8" s="573"/>
      <c r="I8" s="424"/>
      <c r="J8" s="424">
        <v>12.339838</v>
      </c>
      <c r="K8" s="424">
        <f>('Cu segment'!J447+'Cu segment'!J224)/1000000</f>
        <v>43.445089000000003</v>
      </c>
      <c r="L8" s="424">
        <f>('Cu segment'!K222)/1000000</f>
        <v>48.275099565339552</v>
      </c>
      <c r="M8" s="424">
        <f>('Cu segment'!L447)/1000000</f>
        <v>54.247971495015129</v>
      </c>
      <c r="N8" s="451">
        <f>(SUMIF('Cu segment'!$A$222:$A$255,Total!$A$8,'Cu segment'!M$222:M$255))/1000000</f>
        <v>47.704832224652044</v>
      </c>
      <c r="O8" s="451">
        <f>(SUMIF('Cu segment'!$A$222:$A$255,Total!$A$8,'Cu segment'!N$222:N$255))/1000000</f>
        <v>69.57386398772033</v>
      </c>
      <c r="P8" s="451">
        <f>(SUMIF('Cu segment'!$A$222:$A$255,Total!$A$8,'Cu segment'!O$222:O$255))/1000000</f>
        <v>66.704839692401706</v>
      </c>
      <c r="Q8" s="451">
        <f>(SUMIF('Cu segment'!$A$222:$A$255,Total!$A$8,'Cu segment'!P$222:P$255))/1000000</f>
        <v>78.876219976671962</v>
      </c>
      <c r="R8" s="1347">
        <f>(SUMIF('Cu segment'!$A$222:$A$255,Total!$A$8,'Cu segment'!Q$222:Q$255))/1000000</f>
        <v>106.32210299785639</v>
      </c>
      <c r="S8" s="1597">
        <f>(SUMIF('Cu segment'!$A$222:$A$255,Total!$A$8,'Cu segment'!R$222:R$255))/1000000</f>
        <v>46.897493236936455</v>
      </c>
      <c r="T8" s="1347">
        <f>(SUMIF('Cu segment'!$A$222:$A$255,Total!$A$8,'Cu segment'!S$222:S$255))/1000000</f>
        <v>39.254971430084275</v>
      </c>
      <c r="U8" s="1573">
        <f>(SUMIF('Cu segment'!$A$222:$A$255,Total!$A$8,'Cu segment'!T$222:T$255))/1000000</f>
        <v>86.152464667020737</v>
      </c>
      <c r="V8" s="451">
        <f>(SUMIF('Cu segment'!$A$222:$A$255,Total!$A$8,'Cu segment'!U$222:U$255))/1000000</f>
        <v>117.07952187381488</v>
      </c>
      <c r="W8" s="451">
        <f>(SUMIF('Cu segment'!$A$222:$A$255,Total!$A$8,'Cu segment'!V$222:V$255))/1000000</f>
        <v>117.07952187381488</v>
      </c>
      <c r="X8" s="451">
        <f>(SUMIF('Cu segment'!$A$222:$A$255,Total!$A$8,'Cu segment'!W$222:W$255))/1000000</f>
        <v>117.07952187381488</v>
      </c>
      <c r="Y8" s="451">
        <f>(SUMIF('Cu segment'!$A$222:$A$255,Total!$A$8,'Cu segment'!X$222:X$255))/1000000</f>
        <v>117.07952187381488</v>
      </c>
      <c r="Z8" s="451">
        <f>(SUMIF('Cu segment'!$A$222:$A$255,Total!$A$8,'Cu segment'!Y$222:Y$255))/1000000</f>
        <v>112.39392114645489</v>
      </c>
      <c r="AA8" s="451">
        <f t="shared" ref="AA8:AA22" si="3">SUM(U8:Z8)</f>
        <v>666.86447330873511</v>
      </c>
    </row>
    <row r="9" spans="1:36" ht="15.75" hidden="1" customHeight="1" outlineLevel="1">
      <c r="A9" s="843">
        <v>1</v>
      </c>
      <c r="B9" s="575"/>
      <c r="C9" s="884" t="s">
        <v>138</v>
      </c>
      <c r="D9" s="573"/>
      <c r="E9" s="573"/>
      <c r="F9" s="573"/>
      <c r="G9" s="573"/>
      <c r="H9" s="573"/>
      <c r="I9" s="424"/>
      <c r="J9" s="424">
        <v>0</v>
      </c>
      <c r="K9" s="424">
        <f>('Zn Pb segment'!K51)/1000000</f>
        <v>39.728983280000001</v>
      </c>
      <c r="L9" s="424">
        <f>('Zn Pb segment'!L51)/1000000</f>
        <v>124.6908238557908</v>
      </c>
      <c r="M9" s="424">
        <f>('Zn Pb segment'!M51)/1000000</f>
        <v>104.8979840691002</v>
      </c>
      <c r="N9" s="451">
        <f>(SUMIF('Zn Pb segment'!$A$152:$A$180,Total!$A$9,'Zn Pb segment'!N$152:N$180))/1000000</f>
        <v>84.496032543866122</v>
      </c>
      <c r="O9" s="451">
        <f>(SUMIF('Zn Pb segment'!$A$152:$A$180,Total!$A$9,'Zn Pb segment'!O$152:O$180))/1000000</f>
        <v>101.22184713609684</v>
      </c>
      <c r="P9" s="451">
        <f>(SUMIF('Zn Pb segment'!$A:$A,Total!$A$9,'Zn Pb segment'!P:P))/1000000</f>
        <v>97.292045177228758</v>
      </c>
      <c r="Q9" s="451">
        <f>(SUMIF('Zn Pb segment'!$A:$A,Total!$A$9,'Zn Pb segment'!Q:Q))/1000000</f>
        <v>89.333545611313767</v>
      </c>
      <c r="R9" s="1347">
        <f>(SUMIF('Zn Pb segment'!$A:$A,Total!$A$9,'Zn Pb segment'!R:R))/1000000</f>
        <v>106.89999311603626</v>
      </c>
      <c r="S9" s="1597">
        <f>(SUMIF('Zn Pb segment'!$A:$A,Total!$A$9,'Zn Pb segment'!S:S))/1000000</f>
        <v>39.116290829463196</v>
      </c>
      <c r="T9" s="1347">
        <f>(SUMIF('Zn Pb segment'!$A:$A,Total!$A$9,'Zn Pb segment'!T:T))/1000000</f>
        <v>39.116290829463196</v>
      </c>
      <c r="U9" s="1573">
        <f>(SUMIF('Zn Pb segment'!$A:$A,Total!$A$9,'Zn Pb segment'!U:U))/1000000</f>
        <v>78.232581658926392</v>
      </c>
      <c r="V9" s="451">
        <f>(SUMIF('Zn Pb segment'!$A:$A,Total!$A$9,'Zn Pb segment'!V:V))/1000000</f>
        <v>102.31971353247179</v>
      </c>
      <c r="W9" s="451">
        <f>(SUMIF('Zn Pb segment'!$A:$A,Total!$A$9,'Zn Pb segment'!W:W))/1000000</f>
        <v>102.31971353247179</v>
      </c>
      <c r="X9" s="451">
        <f>(SUMIF('Zn Pb segment'!$A:$A,Total!$A$9,'Zn Pb segment'!X:X))/1000000</f>
        <v>102.31971353247179</v>
      </c>
      <c r="Y9" s="451">
        <f>(SUMIF('Zn Pb segment'!$A:$A,Total!$A$9,'Zn Pb segment'!Y:Y))/1000000</f>
        <v>102.31971353247179</v>
      </c>
      <c r="Z9" s="451">
        <f>(SUMIF('Zn Pb segment'!$A:$A,Total!$A$9,'Zn Pb segment'!Z:Z))/1000000</f>
        <v>102.31971353247179</v>
      </c>
      <c r="AA9" s="451">
        <f t="shared" si="3"/>
        <v>589.83114932128535</v>
      </c>
    </row>
    <row r="10" spans="1:36" ht="15.75" hidden="1" customHeight="1" outlineLevel="2">
      <c r="A10" s="843">
        <v>1</v>
      </c>
      <c r="B10" s="575"/>
      <c r="C10" s="884" t="s">
        <v>139</v>
      </c>
      <c r="D10" s="573"/>
      <c r="E10" s="573"/>
      <c r="F10" s="573"/>
      <c r="G10" s="573"/>
      <c r="H10" s="573"/>
      <c r="I10" s="424"/>
      <c r="J10" s="424">
        <v>107.87160224231594</v>
      </c>
      <c r="K10" s="424">
        <f>('Total Chemical'!J11)/1000000</f>
        <v>0</v>
      </c>
      <c r="L10" s="424">
        <f>('Total Chemical'!K11)/1000000</f>
        <v>0</v>
      </c>
      <c r="M10" s="424">
        <f>('Total Chemical'!L11+'Total Chemical'!L293)/1000000</f>
        <v>0</v>
      </c>
      <c r="N10" s="451">
        <f>(SUMIF('Total Chemical'!$A$289:$A$319,Total!$A$10,'Total Chemical'!M$289:M$319)+'Total Chemical'!M293)/1000000</f>
        <v>0</v>
      </c>
      <c r="O10" s="451">
        <f>(SUMIF('Total Chemical'!$A$289:$A$319,Total!$A$10,'Total Chemical'!N$289:N$319))/1000000</f>
        <v>0</v>
      </c>
      <c r="P10" s="451"/>
      <c r="Q10" s="451">
        <v>0</v>
      </c>
      <c r="R10" s="1347">
        <v>0</v>
      </c>
      <c r="S10" s="1597">
        <v>0</v>
      </c>
      <c r="T10" s="1347">
        <v>0</v>
      </c>
      <c r="U10" s="1573">
        <f>S10+T10</f>
        <v>0</v>
      </c>
      <c r="V10" s="451">
        <v>0</v>
      </c>
      <c r="W10" s="451">
        <v>0</v>
      </c>
      <c r="X10" s="451">
        <v>0</v>
      </c>
      <c r="Y10" s="451">
        <v>0</v>
      </c>
      <c r="Z10" s="451">
        <v>0</v>
      </c>
      <c r="AA10" s="451">
        <f t="shared" si="3"/>
        <v>0</v>
      </c>
    </row>
    <row r="11" spans="1:36" ht="15.75" hidden="1" customHeight="1" outlineLevel="1">
      <c r="A11" s="843">
        <v>1</v>
      </c>
      <c r="B11" s="575"/>
      <c r="C11" s="884" t="s">
        <v>140</v>
      </c>
      <c r="D11" s="573"/>
      <c r="E11" s="573"/>
      <c r="F11" s="573"/>
      <c r="G11" s="573"/>
      <c r="H11" s="573"/>
      <c r="I11" s="424"/>
      <c r="J11" s="424">
        <v>0</v>
      </c>
      <c r="K11" s="424">
        <f>('Real Estate'!J18)/1000000</f>
        <v>5.3130000004724938</v>
      </c>
      <c r="L11" s="424">
        <f>('Real Estate'!K18)/1000000</f>
        <v>6.0527761322718767</v>
      </c>
      <c r="M11" s="424">
        <f>('Real Estate'!L18)/1000000</f>
        <v>9.1004360000000002</v>
      </c>
      <c r="N11" s="424">
        <f>('Real Estate'!M18)/1000000</f>
        <v>6.5605099999999998</v>
      </c>
      <c r="O11" s="424">
        <f>('Real Estate'!N18)/1000000</f>
        <v>8.2009600000000002</v>
      </c>
      <c r="P11" s="424">
        <f>('Real Estate'!O18)/1000000</f>
        <v>7.9547650000000001</v>
      </c>
      <c r="Q11" s="424">
        <f>('Real Estate'!P18)/1000000</f>
        <v>8.3791630000000001</v>
      </c>
      <c r="R11" s="1348">
        <f>('Real Estate'!Q18)/1000000</f>
        <v>2.3218219243766081</v>
      </c>
      <c r="S11" s="1597">
        <f>('Real Estate'!R18)/1000000</f>
        <v>1.160910962188304</v>
      </c>
      <c r="T11" s="1347">
        <f>('Real Estate'!S18)/1000000</f>
        <v>1.160910962188304</v>
      </c>
      <c r="U11" s="1573">
        <f>S11+T11</f>
        <v>2.3218219243766081</v>
      </c>
      <c r="V11" s="424">
        <f>('Real Estate'!U18)/1000000</f>
        <v>2.6360532470085682</v>
      </c>
      <c r="W11" s="424">
        <f>('Real Estate'!V18)/1000000</f>
        <v>2.9974192680353231</v>
      </c>
      <c r="X11" s="424">
        <f>('Real Estate'!W18)/1000000</f>
        <v>3.4129901922160912</v>
      </c>
      <c r="Y11" s="424">
        <f>('Real Estate'!X18)/1000000</f>
        <v>3.8908967550239746</v>
      </c>
      <c r="Z11" s="424">
        <f>('Real Estate'!Y18)/1000000</f>
        <v>4.4404893022530407</v>
      </c>
      <c r="AA11" s="451">
        <f t="shared" si="3"/>
        <v>19.699670688913606</v>
      </c>
    </row>
    <row r="12" spans="1:36" ht="15.75" hidden="1" customHeight="1" outlineLevel="1">
      <c r="A12" s="843">
        <v>1</v>
      </c>
      <c r="B12" s="575"/>
      <c r="C12" s="884" t="s">
        <v>1808</v>
      </c>
      <c r="D12" s="573"/>
      <c r="E12" s="573"/>
      <c r="F12" s="573"/>
      <c r="G12" s="573"/>
      <c r="H12" s="573"/>
      <c r="I12" s="424"/>
      <c r="J12" s="424"/>
      <c r="K12" s="424"/>
      <c r="L12" s="424"/>
      <c r="M12" s="424"/>
      <c r="N12" s="424"/>
      <c r="O12" s="424"/>
      <c r="P12" s="424"/>
      <c r="Q12" s="424">
        <f>Kurilgeo!P112/1000000</f>
        <v>0</v>
      </c>
      <c r="R12" s="1348">
        <f>Kurilgeo!Q112/1000000</f>
        <v>65.445643712122447</v>
      </c>
      <c r="S12" s="1598">
        <f>Kurilgeo!R112/1000000</f>
        <v>0</v>
      </c>
      <c r="T12" s="1348">
        <f>Kurilgeo!S112/1000000</f>
        <v>44.233546683813714</v>
      </c>
      <c r="U12" s="1574">
        <f>S12+T12</f>
        <v>44.233546683813714</v>
      </c>
      <c r="V12" s="424">
        <f>Kurilgeo!U112/1000000</f>
        <v>44.49202563055605</v>
      </c>
      <c r="W12" s="424">
        <f>Kurilgeo!V112/1000000</f>
        <v>54.968834671339252</v>
      </c>
      <c r="X12" s="424">
        <f>Kurilgeo!W112/1000000</f>
        <v>58.461104351600312</v>
      </c>
      <c r="Y12" s="424">
        <f>Kurilgeo!X112/1000000</f>
        <v>62.630001282411953</v>
      </c>
      <c r="Z12" s="424">
        <f>Kurilgeo!Y112/1000000</f>
        <v>65.632261873161397</v>
      </c>
      <c r="AA12" s="451">
        <f t="shared" si="3"/>
        <v>330.41777449288264</v>
      </c>
    </row>
    <row r="13" spans="1:36" ht="16.5" hidden="1" customHeight="1" outlineLevel="1">
      <c r="A13" s="843">
        <v>1</v>
      </c>
      <c r="C13" s="884" t="s">
        <v>1979</v>
      </c>
      <c r="J13" s="843">
        <v>0</v>
      </c>
      <c r="K13" s="843">
        <v>0</v>
      </c>
      <c r="L13" s="843">
        <v>0</v>
      </c>
      <c r="M13" s="843">
        <v>0</v>
      </c>
      <c r="N13" s="447">
        <v>0</v>
      </c>
      <c r="O13" s="898">
        <v>0</v>
      </c>
      <c r="P13" s="451">
        <f>(SUMIF(DSO!$A:$A,Total!$A13,DSO!G:G))/1000000</f>
        <v>3.3343630000000002</v>
      </c>
      <c r="Q13" s="451">
        <f>(SUMIF(DSO!$A:$A,Total!$A13,DSO!H:H))/1000000</f>
        <v>9.5500790000000002</v>
      </c>
      <c r="R13" s="1347">
        <f>(SUMIF(DSO!$A:$A,Total!$A13,DSO!I:I))/1000000</f>
        <v>230.11875000000001</v>
      </c>
      <c r="S13" s="1597">
        <f>(SUMIF(DSO!$A:$A,Total!$A13,DSO!J:J))/1000000</f>
        <v>0</v>
      </c>
      <c r="T13" s="1347">
        <f>(SUMIF(DSO!$A:$A,Total!$A13,DSO!K:K))/1000000</f>
        <v>48.6</v>
      </c>
      <c r="U13" s="1573">
        <f>S13+T13</f>
        <v>48.6</v>
      </c>
      <c r="V13" s="451">
        <f>(SUMIF(DSO!$A:$A,Total!$A13,DSO!M:M))/1000000</f>
        <v>0</v>
      </c>
      <c r="W13" s="451">
        <f>(SUMIF(DSO!$A:$A,Total!$A13,DSO!N:N))/1000000</f>
        <v>0</v>
      </c>
      <c r="X13" s="451">
        <f>(SUMIF(DSO!$A:$A,Total!$A13,DSO!O:O))/1000000</f>
        <v>0</v>
      </c>
      <c r="Y13" s="451">
        <f>(SUMIF(DSO!$A:$A,Total!$A13,DSO!P:P))/1000000</f>
        <v>0</v>
      </c>
      <c r="Z13" s="451">
        <f>(SUMIF(DSO!$A:$A,Total!$A13,DSO!Q:Q))/1000000</f>
        <v>0</v>
      </c>
      <c r="AA13" s="451">
        <f t="shared" si="3"/>
        <v>48.6</v>
      </c>
    </row>
    <row r="14" spans="1:36" ht="16.5" hidden="1" customHeight="1" outlineLevel="1">
      <c r="A14" s="843">
        <v>1</v>
      </c>
      <c r="C14" s="884" t="s">
        <v>1753</v>
      </c>
      <c r="J14" s="843">
        <v>0</v>
      </c>
      <c r="K14" s="843">
        <v>0</v>
      </c>
      <c r="L14" s="843">
        <v>0</v>
      </c>
      <c r="M14" s="843">
        <v>0</v>
      </c>
      <c r="N14" s="447">
        <v>0</v>
      </c>
      <c r="O14" s="898">
        <v>0</v>
      </c>
      <c r="P14" s="451">
        <f>(SUMIF(Fenix!$A:$A,Total!$A14,Fenix!O:O))/1000000</f>
        <v>0</v>
      </c>
      <c r="Q14" s="451">
        <f>(SUMIF(Fenix!$A:$A,Total!$A14,Fenix!Q:Q))/1000000</f>
        <v>0</v>
      </c>
      <c r="R14" s="1347">
        <f>(SUMIF(Fenix!$A:$A,Total!$A14,Fenix!R:R))/1000000</f>
        <v>99.958572842530458</v>
      </c>
      <c r="S14" s="1597">
        <f>(SUMIF(Fenix!$A:$A,Total!$A14,Fenix!S:S))/1000000</f>
        <v>0</v>
      </c>
      <c r="T14" s="1347">
        <f>(SUMIF(Fenix!$A:$A,Total!$A14,Fenix!T:T))/1000000</f>
        <v>112.57733471458275</v>
      </c>
      <c r="U14" s="1573">
        <f>S14+T14</f>
        <v>112.57733471458275</v>
      </c>
      <c r="V14" s="451">
        <f>(SUMIF(Fenix!$A:$A,Total!$A14,Fenix!V:V))/1000000</f>
        <v>576.69975983441805</v>
      </c>
      <c r="W14" s="451">
        <f>(SUMIF(Fenix!$A:$A,Total!$A14,Fenix!W:W))/1000000</f>
        <v>665.76536419076069</v>
      </c>
      <c r="X14" s="451">
        <f>(SUMIF(Fenix!$A:$A,Total!$A14,Fenix!X:X))/1000000</f>
        <v>665.76536419076069</v>
      </c>
      <c r="Y14" s="451">
        <f>(SUMIF(Fenix!$A:$A,Total!$A14,Fenix!Y:Y))/1000000</f>
        <v>665.76536419076069</v>
      </c>
      <c r="Z14" s="451">
        <f>(SUMIF(Fenix!$A:$A,Total!$A14,Fenix!Z:Z))/1000000</f>
        <v>665.76536419076069</v>
      </c>
      <c r="AA14" s="451">
        <f t="shared" si="3"/>
        <v>3352.3385513120438</v>
      </c>
    </row>
    <row r="15" spans="1:36" ht="16.5" hidden="1" customHeight="1" outlineLevel="2">
      <c r="A15" s="843">
        <v>1</v>
      </c>
      <c r="C15" s="884" t="s">
        <v>860</v>
      </c>
      <c r="J15" s="843">
        <v>0</v>
      </c>
      <c r="K15" s="843">
        <v>0</v>
      </c>
      <c r="L15" s="843">
        <v>0</v>
      </c>
      <c r="M15" s="843">
        <v>0</v>
      </c>
      <c r="N15" s="447">
        <v>0</v>
      </c>
      <c r="O15" s="898">
        <v>0</v>
      </c>
      <c r="P15" s="451">
        <f>(SUMIF(Acquila!$A:$A,Total!$A$15,Acquila!G:G))/1000000</f>
        <v>0</v>
      </c>
      <c r="Q15" s="451">
        <f>(SUMIF(Acquila!$A:$A,Total!$A$15,Acquila!F:F))/1000000</f>
        <v>0</v>
      </c>
      <c r="R15" s="1347">
        <f>(SUMIF(Acquila!$A:$A,Total!$A$15,Acquila!$G:$G))/1000000</f>
        <v>0</v>
      </c>
      <c r="S15" s="1597">
        <f>(SUMIF(Acquila!$A:$A,Total!$A$15,Acquila!G:G))/1000000</f>
        <v>0</v>
      </c>
      <c r="T15" s="1347">
        <f>(SUMIF(Acquila!$A:$A,Total!$A$15,Acquila!G:G))/1000000</f>
        <v>0</v>
      </c>
      <c r="U15" s="1573">
        <f>(SUMIF(Acquila!$A:$A,Total!$A$15,Acquila!G:G))/1000000</f>
        <v>0</v>
      </c>
      <c r="V15" s="451">
        <f>(SUMIF(Acquila!$A:$A,Total!$A$15,Acquila!H:H))/1000000</f>
        <v>0</v>
      </c>
      <c r="W15" s="451">
        <f>(SUMIF(Acquila!$A:$A,Total!$A$15,Acquila!I:I))/1000000</f>
        <v>0</v>
      </c>
      <c r="X15" s="451">
        <f>(SUMIF(Acquila!$A:$A,Total!$A$15,Acquila!H:H))/1000000</f>
        <v>0</v>
      </c>
      <c r="Y15" s="451">
        <f>(SUMIF(Acquila!$A:$A,Total!$A$15,Acquila!I:I))/1000000</f>
        <v>0</v>
      </c>
      <c r="Z15" s="451">
        <f>(SUMIF(Acquila!$A:$A,Total!$A$15,Acquila!J:J))/1000000</f>
        <v>0</v>
      </c>
      <c r="AA15" s="451">
        <f t="shared" si="3"/>
        <v>0</v>
      </c>
    </row>
    <row r="16" spans="1:36" ht="16.5" hidden="1" customHeight="1" outlineLevel="1">
      <c r="C16" s="884" t="s">
        <v>2017</v>
      </c>
      <c r="M16" s="843"/>
      <c r="N16" s="447"/>
      <c r="P16" s="451">
        <v>5</v>
      </c>
      <c r="Q16" s="451"/>
      <c r="R16" s="1347"/>
      <c r="S16" s="1597"/>
      <c r="T16" s="1347"/>
      <c r="U16" s="1573"/>
      <c r="V16" s="451"/>
      <c r="W16" s="451"/>
      <c r="X16" s="451"/>
      <c r="Y16" s="451"/>
      <c r="Z16" s="451"/>
      <c r="AA16" s="451"/>
    </row>
    <row r="17" spans="1:27" s="762" customFormat="1" ht="15.75" customHeight="1" collapsed="1">
      <c r="A17" s="843"/>
      <c r="B17" s="759" t="s">
        <v>523</v>
      </c>
      <c r="C17" s="760" t="s">
        <v>191</v>
      </c>
      <c r="D17" s="761"/>
      <c r="E17" s="761"/>
      <c r="F17" s="761"/>
      <c r="G17" s="761"/>
      <c r="H17" s="761"/>
      <c r="I17" s="166"/>
      <c r="J17" s="166"/>
      <c r="K17" s="166"/>
      <c r="L17" s="166">
        <f>SUM(L18:L22)</f>
        <v>-307.90319309777067</v>
      </c>
      <c r="M17" s="166">
        <f>SUM(M18:M22)</f>
        <v>-275.3814610558303</v>
      </c>
      <c r="N17" s="166">
        <f>SUM(N18:N22)</f>
        <v>-145.36599619725706</v>
      </c>
      <c r="O17" s="166">
        <f>SUM(O18:O22)</f>
        <v>-255.04632719238049</v>
      </c>
      <c r="P17" s="166">
        <f>SUM(P18:P22)</f>
        <v>-247.79108215415269</v>
      </c>
      <c r="Q17" s="166">
        <f t="shared" ref="Q17:AA17" si="4">SUM(Q18:Q22)</f>
        <v>-290.10055577417972</v>
      </c>
      <c r="R17" s="1349">
        <f t="shared" si="4"/>
        <v>-523.43674415675912</v>
      </c>
      <c r="S17" s="1599">
        <f>SUM(S18:S22)</f>
        <v>-130.59072386728647</v>
      </c>
      <c r="T17" s="1349">
        <f>SUM(T18:T22)</f>
        <v>-169.92091366558913</v>
      </c>
      <c r="U17" s="1575">
        <f>S17+T17</f>
        <v>-300.51163753287562</v>
      </c>
      <c r="V17" s="166">
        <f t="shared" si="4"/>
        <v>-441.01175088720026</v>
      </c>
      <c r="W17" s="166">
        <f t="shared" si="4"/>
        <v>-454.2965000637214</v>
      </c>
      <c r="X17" s="166">
        <f t="shared" si="4"/>
        <v>-471.07490649227134</v>
      </c>
      <c r="Y17" s="166">
        <f t="shared" si="4"/>
        <v>-473.34719540750257</v>
      </c>
      <c r="Z17" s="166">
        <f t="shared" si="4"/>
        <v>-443.72617300938714</v>
      </c>
      <c r="AA17" s="166">
        <f t="shared" si="4"/>
        <v>-2621.5717309994584</v>
      </c>
    </row>
    <row r="18" spans="1:27" ht="14.25" hidden="1" customHeight="1" outlineLevel="1">
      <c r="A18" s="843">
        <v>3</v>
      </c>
      <c r="B18" s="575" t="s">
        <v>523</v>
      </c>
      <c r="C18" s="695" t="s">
        <v>191</v>
      </c>
      <c r="D18" s="573"/>
      <c r="E18" s="573"/>
      <c r="F18" s="573"/>
      <c r="G18" s="573"/>
      <c r="H18" s="573"/>
      <c r="I18" s="451"/>
      <c r="J18" s="451">
        <f>(SUMIF('Ni segment'!$A:$A,Total!$A18,'Ni segment'!I:I)+SUMIF('Zn Pb segment'!$A:$A,Total!$A18,'Zn Pb segment'!J:J)+SUMIF('Cu segment'!$A:$A,Total!$A18,'Cu segment'!I:I)+SUMIF('Total Chemical'!$A:$A,Total!$A18,'Total Chemical'!I:I))/1000000</f>
        <v>-6.04195229748413E-3</v>
      </c>
      <c r="K18" s="451">
        <f>(SUMIF('Ni segment'!$A:$A,Total!$A18,'Ni segment'!J:J)+SUMIF('Zn Pb segment'!$A:$A,Total!$A18,'Zn Pb segment'!K:K)+SUMIF('Cu segment'!$A:$A,Total!$A18,'Cu segment'!J:J)+SUMIF('Total Chemical'!$A:$A,Total!$A18,'Total Chemical'!J:J))/1000000</f>
        <v>-204.02253758475817</v>
      </c>
      <c r="L18" s="451">
        <f>(SUMIF('Ni segment'!$A:$A,Total!$A18,'Ni segment'!K:K)+SUMIF('Zn Pb segment'!$A:$A,Total!$A18,'Zn Pb segment'!L:L)+SUMIF('Cu segment'!$A:$A,Total!$A18,'Cu segment'!K:K)+SUMIF('Total Chemical'!$A:$A,Total!$A18,'Total Chemical'!K:K))/1000000</f>
        <v>-307.90319309777067</v>
      </c>
      <c r="M18" s="451">
        <f>(SUMIF('Ni segment'!$A:$A,Total!$A18,'Ni segment'!L:L)+SUMIF('Zn Pb segment'!$A:$A,Total!$A18,'Zn Pb segment'!M:M)+SUMIF('Cu segment'!$A:$A,Total!$A18,'Cu segment'!L:L)+SUMIF('Total Chemical'!$A:$A,Total!$A18,'Total Chemical'!L:L))/1000000</f>
        <v>-275.3814610558303</v>
      </c>
      <c r="N18" s="451">
        <f>(SUMIF('Ni segment'!$A:$A,Total!$A18,'Ni segment'!M:M)+SUMIF('Zn Pb segment'!$A:$A,Total!$A18,'Zn Pb segment'!N:N)+SUMIF('Cu segment'!$A:$A,Total!$A18,'Cu segment'!M:M)+SUMIF('Total Chemical'!$A:$A,Total!$A18,'Total Chemical'!M:M))/1000000</f>
        <v>-145.36599619725706</v>
      </c>
      <c r="O18" s="451">
        <f>(SUMIF('Ni segment'!$A:$A,Total!$A18,'Ni segment'!N:N)+SUMIF('Zn Pb segment'!$A:$A,Total!$A18,'Zn Pb segment'!O:O)+SUMIF('Cu segment'!$A:$A,Total!$A18,'Cu segment'!N:N)+SUMIF('Total Chemical'!$A:$A,Total!$A18,'Total Chemical'!N:N))/1000000</f>
        <v>-255.04632719238049</v>
      </c>
      <c r="P18" s="451">
        <f>(SUMIF('Ni segment'!$A:$A,Total!$A18,'Ni segment'!O:O)+SUMIF('Zn Pb segment'!$A:$A,Total!$A18,'Zn Pb segment'!P:P)+SUMIF('Cu segment'!$A:$A,Total!$A18,'Cu segment'!O:O))/1000000+('Real Estate'!$O$19)/1000000</f>
        <v>-244.25646815415269</v>
      </c>
      <c r="Q18" s="451">
        <f>(SUMIF('Ni segment'!$A:$A,Total!$A18,'Ni segment'!P:P)+SUMIF('Zn Pb segment'!$A:$A,Total!$A18,'Zn Pb segment'!Q:Q)+SUMIF('Cu segment'!$A:$A,Total!$A18,'Cu segment'!P:P))/1000000</f>
        <v>-272.18457677417973</v>
      </c>
      <c r="R18" s="1347">
        <f>(SUMIF('Ni segment'!$A:$A,Total!$A18,'Ni segment'!Q:Q)+SUMIF('Zn Pb segment'!$A:$A,Total!$A18,'Zn Pb segment'!R:R)+SUMIF('Cu segment'!$A:$A,Total!$A18,'Cu segment'!Q:Q))/1000000</f>
        <v>-293.13055709979</v>
      </c>
      <c r="S18" s="1597">
        <f>(SUMIF('Ni segment'!$A:$A,Total!$A18,'Ni segment'!R:R)+SUMIF('Zn Pb segment'!$A:$A,Total!$A18,'Zn Pb segment'!S:S)+SUMIF('Cu segment'!$A:$A,Total!$A18,'Cu segment'!R:R))/1000000</f>
        <v>-130.59072386728647</v>
      </c>
      <c r="T18" s="1347">
        <f>(SUMIF('Ni segment'!$A:$A,Total!$A18,'Ni segment'!S:S)+SUMIF('Zn Pb segment'!$A:$A,Total!$A18,'Zn Pb segment'!T:T)+SUMIF('Cu segment'!$A:$A,Total!$A18,'Cu segment'!S:S))/1000000</f>
        <v>-93.38272660861999</v>
      </c>
      <c r="U18" s="1573">
        <f>(SUMIF('Ni segment'!$A:$A,Total!$A18,'Ni segment'!T:T)+SUMIF('Zn Pb segment'!$A:$A,Total!$A18,'Zn Pb segment'!U:U)+SUMIF('Cu segment'!$A:$A,Total!$A18,'Cu segment'!T:T))/1000000</f>
        <v>-261.57701808240643</v>
      </c>
      <c r="V18" s="451">
        <f>(SUMIF('Ni segment'!$A:$A,Total!$A18,'Ni segment'!U:U)+SUMIF('Zn Pb segment'!$A:$A,Total!$A18,'Zn Pb segment'!V:V)+SUMIF('Cu segment'!$A:$A,Total!$A18,'Cu segment'!U:U))/1000000</f>
        <v>-310.77057218549584</v>
      </c>
      <c r="W18" s="451">
        <f>(SUMIF('Ni segment'!$A:$A,Total!$A18,'Ni segment'!V:V)+SUMIF('Zn Pb segment'!$A:$A,Total!$A18,'Zn Pb segment'!W:W)+SUMIF('Cu segment'!$A:$A,Total!$A18,'Cu segment'!V:V))/1000000</f>
        <v>-304.35928150058101</v>
      </c>
      <c r="X18" s="451">
        <f>(SUMIF('Ni segment'!$A:$A,Total!$A18,'Ni segment'!W:W)+SUMIF('Zn Pb segment'!$A:$A,Total!$A18,'Zn Pb segment'!X:X)+SUMIF('Cu segment'!$A:$A,Total!$A18,'Cu segment'!W:W))/1000000</f>
        <v>-321.13061634975588</v>
      </c>
      <c r="Y18" s="451">
        <f>(SUMIF('Ni segment'!$A:$A,Total!$A18,'Ni segment'!X:X)+SUMIF('Zn Pb segment'!$A:$A,Total!$A18,'Zn Pb segment'!Y:Y)+SUMIF('Cu segment'!$A:$A,Total!$A18,'Cu segment'!X:X))/1000000</f>
        <v>-323.3958336856121</v>
      </c>
      <c r="Z18" s="451">
        <f>(SUMIF('Ni segment'!$A:$A,Total!$A18,'Ni segment'!Y:Y)+SUMIF('Zn Pb segment'!$A:$A,Total!$A18,'Zn Pb segment'!Z:Z)+SUMIF('Cu segment'!$A:$A,Total!$A18,'Cu segment'!Y:Y))/1000000</f>
        <v>-293.76773970812178</v>
      </c>
      <c r="AA18" s="451">
        <f t="shared" si="3"/>
        <v>-1815.0010615119729</v>
      </c>
    </row>
    <row r="19" spans="1:27" ht="14.25" hidden="1" customHeight="1" outlineLevel="1">
      <c r="A19" s="843">
        <v>3</v>
      </c>
      <c r="B19" s="575" t="s">
        <v>523</v>
      </c>
      <c r="C19" s="695" t="s">
        <v>1809</v>
      </c>
      <c r="D19" s="573"/>
      <c r="E19" s="573"/>
      <c r="F19" s="573"/>
      <c r="G19" s="573"/>
      <c r="H19" s="573"/>
      <c r="I19" s="451"/>
      <c r="J19" s="451"/>
      <c r="K19" s="451"/>
      <c r="L19" s="451"/>
      <c r="M19" s="451"/>
      <c r="N19" s="451"/>
      <c r="O19" s="451"/>
      <c r="P19" s="451"/>
      <c r="Q19" s="451">
        <f>(SUMIF(Kurilgeo!$A:$A,Total!$A19,Kurilgeo!P:P))/1000000</f>
        <v>0</v>
      </c>
      <c r="R19" s="1347">
        <f>(SUMIF(Kurilgeo!$A:$A,Total!$A19,Kurilgeo!Q:Q))/1000000</f>
        <v>-9.4349900731250003</v>
      </c>
      <c r="S19" s="1597">
        <f>(SUMIF(Kurilgeo!$A:$A,Total!$A19,Kurilgeo!R:R))/1000000</f>
        <v>0</v>
      </c>
      <c r="T19" s="1347">
        <f>(SUMIF(Kurilgeo!$A:$A,Total!$A19,Kurilgeo!S:S))/1000000</f>
        <v>-9.4349900731250003</v>
      </c>
      <c r="U19" s="1573">
        <f>(SUMIF(Kurilgeo!$A:$A,Total!$A19,Kurilgeo!T:T))/1000000</f>
        <v>-9.4349900731250003</v>
      </c>
      <c r="V19" s="451">
        <f>(SUMIF(Kurilgeo!$A:$A,Total!$A19,Kurilgeo!U:U))/1000000</f>
        <v>-9.4420616524999996</v>
      </c>
      <c r="W19" s="451">
        <f>(SUMIF(Kurilgeo!$A:$A,Total!$A19,Kurilgeo!V:V))/1000000</f>
        <v>-9.4491332318750008</v>
      </c>
      <c r="X19" s="451">
        <f>(SUMIF(Kurilgeo!$A:$A,Total!$A19,Kurilgeo!W:W))/1000000</f>
        <v>-9.4562048112500019</v>
      </c>
      <c r="Y19" s="451">
        <f>(SUMIF(Kurilgeo!$A:$A,Total!$A19,Kurilgeo!X:X))/1000000</f>
        <v>-9.4632763906249995</v>
      </c>
      <c r="Z19" s="451">
        <f>(SUMIF(Kurilgeo!$A:$A,Total!$A19,Kurilgeo!Y:Y))/1000000</f>
        <v>-9.4703479700000006</v>
      </c>
      <c r="AA19" s="451">
        <f t="shared" si="3"/>
        <v>-56.716014129375004</v>
      </c>
    </row>
    <row r="20" spans="1:27" ht="15.75" hidden="1" customHeight="1" outlineLevel="1">
      <c r="A20" s="843">
        <v>3</v>
      </c>
      <c r="B20" s="575" t="s">
        <v>523</v>
      </c>
      <c r="C20" s="695" t="s">
        <v>867</v>
      </c>
      <c r="D20" s="573"/>
      <c r="E20" s="573"/>
      <c r="F20" s="573"/>
      <c r="G20" s="573"/>
      <c r="H20" s="573"/>
      <c r="I20" s="451"/>
      <c r="J20" s="451">
        <v>0</v>
      </c>
      <c r="K20" s="451">
        <v>0</v>
      </c>
      <c r="L20" s="451">
        <v>0</v>
      </c>
      <c r="M20" s="451">
        <v>0</v>
      </c>
      <c r="N20" s="451">
        <v>0</v>
      </c>
      <c r="O20" s="451">
        <v>0</v>
      </c>
      <c r="P20" s="451">
        <f>(SUMIF(DSO!$A:$A,Total!$A20,DSO!G:G))/1000000</f>
        <v>-3.5346139999999999</v>
      </c>
      <c r="Q20" s="451">
        <f>(SUMIF(DSO!$A:$A,Total!$A20,DSO!H:H))/1000000</f>
        <v>-17.915979</v>
      </c>
      <c r="R20" s="1347">
        <f>(SUMIF(DSO!$A:$A,Total!$A20,DSO!I:I))/1000000</f>
        <v>-189.16800000000001</v>
      </c>
      <c r="S20" s="1597">
        <f>(SUMIF(DSO!$A:$A,Total!$A20,DSO!J:J))/1000000</f>
        <v>0</v>
      </c>
      <c r="T20" s="1347">
        <f>(SUMIF(DSO!$A:$A,Total!$A20,DSO!K:K))/1000000</f>
        <v>-35.4</v>
      </c>
      <c r="U20" s="1573">
        <f>(SUMIF(DSO!$A:$A,Total!$A20,DSO!L:L))/1000000</f>
        <v>-35.4</v>
      </c>
      <c r="V20" s="451">
        <f>(SUMIF(DSO!$A:$A,Total!$A20,DSO!M:M))/1000000</f>
        <v>0</v>
      </c>
      <c r="W20" s="451">
        <f>(SUMIF(DSO!$A:$A,Total!$A20,DSO!N:N))/1000000</f>
        <v>0</v>
      </c>
      <c r="X20" s="451">
        <f>(SUMIF(DSO!$A:$A,Total!$A20,DSO!O:O))/1000000</f>
        <v>0</v>
      </c>
      <c r="Y20" s="451">
        <f>(SUMIF(DSO!$A:$A,Total!$A20,DSO!P:P))/1000000</f>
        <v>0</v>
      </c>
      <c r="Z20" s="451">
        <f>(SUMIF(DSO!$A:$A,Total!$A20,DSO!Q:Q))/1000000</f>
        <v>0</v>
      </c>
      <c r="AA20" s="451">
        <f t="shared" si="3"/>
        <v>-35.4</v>
      </c>
    </row>
    <row r="21" spans="1:27" ht="15.75" hidden="1" customHeight="1" outlineLevel="1">
      <c r="A21" s="843">
        <v>3</v>
      </c>
      <c r="B21" s="575" t="s">
        <v>523</v>
      </c>
      <c r="C21" s="695" t="s">
        <v>738</v>
      </c>
      <c r="D21" s="573"/>
      <c r="E21" s="573"/>
      <c r="F21" s="573"/>
      <c r="G21" s="573"/>
      <c r="H21" s="573"/>
      <c r="I21" s="451"/>
      <c r="J21" s="451">
        <v>0</v>
      </c>
      <c r="K21" s="451">
        <v>0</v>
      </c>
      <c r="L21" s="451">
        <v>0</v>
      </c>
      <c r="M21" s="451">
        <v>0</v>
      </c>
      <c r="N21" s="451">
        <v>0</v>
      </c>
      <c r="O21" s="451">
        <v>0</v>
      </c>
      <c r="P21" s="451">
        <f>(SUMIF(Fenix!$A:$A,Total!$A21,Fenix!P:P))/1000000</f>
        <v>0</v>
      </c>
      <c r="Q21" s="451">
        <f>(SUMIF(Fenix!$A:$A,Total!$A21,Fenix!Q:Q))/1000000</f>
        <v>0</v>
      </c>
      <c r="R21" s="1347">
        <f>(SUMIF(Fenix!$A:$A,Total!$A21,Fenix!R:R))/1000000</f>
        <v>-31.703196983844123</v>
      </c>
      <c r="S21" s="1597">
        <f>(SUMIF(Fenix!$A:$A,Total!$A21,Fenix!S:S))/1000000</f>
        <v>0</v>
      </c>
      <c r="T21" s="1347">
        <f>(SUMIF(Fenix!$A:$A,Total!$A21,Fenix!T:T))/1000000</f>
        <v>-31.703196983844123</v>
      </c>
      <c r="U21" s="1573">
        <f>(SUMIF(Fenix!$A:$A,Total!$A21,Fenix!U:U))/1000000</f>
        <v>-31.703196983844123</v>
      </c>
      <c r="V21" s="451">
        <f>(SUMIF(Fenix!$A:$A,Total!$A21,Fenix!V:V))/1000000</f>
        <v>-120.79911704920443</v>
      </c>
      <c r="W21" s="451">
        <f>(SUMIF(Fenix!$A:$A,Total!$A21,Fenix!W:W))/1000000</f>
        <v>-140.48808533126541</v>
      </c>
      <c r="X21" s="451">
        <f>(SUMIF(Fenix!$A:$A,Total!$A21,Fenix!X:X))/1000000</f>
        <v>-140.48808533126541</v>
      </c>
      <c r="Y21" s="451">
        <f>(SUMIF(Fenix!$A:$A,Total!$A21,Fenix!Y:Y))/1000000</f>
        <v>-140.48808533126541</v>
      </c>
      <c r="Z21" s="451">
        <f>(SUMIF(Fenix!$A:$A,Total!$A21,Fenix!Z:Z))/1000000</f>
        <v>-140.48808533126541</v>
      </c>
      <c r="AA21" s="451">
        <f t="shared" si="3"/>
        <v>-714.45465535811024</v>
      </c>
    </row>
    <row r="22" spans="1:27" ht="15.75" hidden="1" customHeight="1" outlineLevel="1">
      <c r="A22" s="843">
        <v>3</v>
      </c>
      <c r="B22" s="575" t="s">
        <v>523</v>
      </c>
      <c r="C22" s="695" t="s">
        <v>861</v>
      </c>
      <c r="D22" s="573"/>
      <c r="E22" s="573"/>
      <c r="F22" s="573"/>
      <c r="G22" s="573"/>
      <c r="H22" s="573"/>
      <c r="I22" s="451"/>
      <c r="J22" s="451">
        <v>0</v>
      </c>
      <c r="K22" s="451">
        <v>0</v>
      </c>
      <c r="L22" s="451">
        <v>0</v>
      </c>
      <c r="M22" s="451">
        <v>0</v>
      </c>
      <c r="N22" s="451">
        <v>0</v>
      </c>
      <c r="O22" s="451">
        <v>0</v>
      </c>
      <c r="P22" s="451">
        <f>(SUMIF(Acquila!$A:$A,Total!$A$22,Acquila!G:G))/1000000</f>
        <v>0</v>
      </c>
      <c r="Q22" s="451">
        <f>(SUMIF(Acquila!$A:$A,Total!$A$22,Acquila!F:F))/1000000</f>
        <v>0</v>
      </c>
      <c r="R22" s="1347">
        <f>(SUMIF(Acquila!$A:$A,Total!$A$22,Acquila!G:G))/1000000</f>
        <v>0</v>
      </c>
      <c r="S22" s="1597">
        <f>(SUMIF(Acquila!$A:$A,Total!$A$15,Acquila!G:G))/1000000</f>
        <v>0</v>
      </c>
      <c r="T22" s="1347">
        <f>(SUMIF(Acquila!$A:$A,Total!$A$15,Acquila!G:G))/1000000</f>
        <v>0</v>
      </c>
      <c r="U22" s="1573">
        <f>(SUMIF(Acquila!$A:$A,Total!$A$22,Acquila!J:J))/1000000</f>
        <v>0</v>
      </c>
      <c r="V22" s="451">
        <f>(SUMIF(Acquila!$A:$A,Total!$A$22,Acquila!H:H))/1000000</f>
        <v>0</v>
      </c>
      <c r="W22" s="451">
        <f>(SUMIF(Acquila!$A:$A,Total!$A$22,Acquila!I:I))/1000000</f>
        <v>0</v>
      </c>
      <c r="X22" s="451">
        <f>(SUMIF(Acquila!$A:$A,Total!$A$15,Acquila!H:H))/1000000</f>
        <v>0</v>
      </c>
      <c r="Y22" s="451">
        <f>(SUMIF(Acquila!$A:$A,Total!$A$15,Acquila!I:I))/1000000</f>
        <v>0</v>
      </c>
      <c r="Z22" s="451">
        <f>(SUMIF(Acquila!$A:$A,Total!$A$15,Acquila!J:J))/1000000</f>
        <v>0</v>
      </c>
      <c r="AA22" s="451">
        <f t="shared" si="3"/>
        <v>0</v>
      </c>
    </row>
    <row r="23" spans="1:27" s="762" customFormat="1" ht="15.75" customHeight="1" collapsed="1">
      <c r="A23" s="843">
        <v>7</v>
      </c>
      <c r="B23" s="759" t="s">
        <v>524</v>
      </c>
      <c r="C23" s="760" t="s">
        <v>185</v>
      </c>
      <c r="D23" s="761"/>
      <c r="E23" s="761"/>
      <c r="F23" s="761"/>
      <c r="G23" s="761"/>
      <c r="H23" s="761"/>
      <c r="I23" s="166"/>
      <c r="J23" s="166">
        <f t="shared" ref="J23:O23" si="5">J6+J18</f>
        <v>163.37089572681242</v>
      </c>
      <c r="K23" s="166">
        <f t="shared" si="5"/>
        <v>175.4765896957143</v>
      </c>
      <c r="L23" s="166">
        <f t="shared" si="5"/>
        <v>400.13574821563157</v>
      </c>
      <c r="M23" s="166">
        <f t="shared" si="5"/>
        <v>260.63158978533488</v>
      </c>
      <c r="N23" s="166">
        <f t="shared" si="5"/>
        <v>242.49688015630932</v>
      </c>
      <c r="O23" s="166">
        <f t="shared" si="5"/>
        <v>291.74959074423663</v>
      </c>
      <c r="P23" s="166">
        <f t="shared" ref="P23:AA23" si="6">P17+P6</f>
        <v>200.68196213887578</v>
      </c>
      <c r="Q23" s="166">
        <f t="shared" si="6"/>
        <v>328.86028310130587</v>
      </c>
      <c r="R23" s="1349">
        <f t="shared" si="6"/>
        <v>541.60421691428621</v>
      </c>
      <c r="S23" s="1599">
        <f>S17+S6</f>
        <v>238.06257995950895</v>
      </c>
      <c r="T23" s="1349">
        <f>T17+T6</f>
        <v>348.20371617046698</v>
      </c>
      <c r="U23" s="1575">
        <f>S23+T23</f>
        <v>586.2662961299759</v>
      </c>
      <c r="V23" s="166">
        <f t="shared" si="6"/>
        <v>943.04815578501086</v>
      </c>
      <c r="W23" s="166">
        <f t="shared" si="6"/>
        <v>1009.3978738169048</v>
      </c>
      <c r="X23" s="166">
        <f t="shared" si="6"/>
        <v>1017.5199990813446</v>
      </c>
      <c r="Y23" s="166">
        <f t="shared" si="6"/>
        <v>1019.1711347809223</v>
      </c>
      <c r="Z23" s="166">
        <f t="shared" si="6"/>
        <v>982.83169684727932</v>
      </c>
      <c r="AA23" s="166">
        <f t="shared" si="6"/>
        <v>5520.6315888349382</v>
      </c>
    </row>
    <row r="24" spans="1:27" ht="23.25" customHeight="1">
      <c r="A24" s="843">
        <v>5</v>
      </c>
      <c r="B24" s="575" t="s">
        <v>523</v>
      </c>
      <c r="C24" s="695" t="s">
        <v>15</v>
      </c>
      <c r="D24" s="573"/>
      <c r="E24" s="573"/>
      <c r="F24" s="573"/>
      <c r="G24" s="573"/>
      <c r="H24" s="573"/>
      <c r="I24" s="451"/>
      <c r="J24" s="451">
        <f>(SUMIF('Ni segment'!$A$262:$A$285,Total!$A$24,'Ni segment'!I$262:I$285)+SUMIF('Zn Pb segment'!$A$152:$A$180,Total!$A$24,'Zn Pb segment'!J$152:J$180)+SUMIF('Cu segment'!$A$222:$A$255,Total!$A$24,'Cu segment'!I$222:I$255)+SUMIF('Total Chemical'!$A$289:$A$319,Total!$A$24,'Total Chemical'!I$289:I$319))/1000000</f>
        <v>0</v>
      </c>
      <c r="K24" s="451">
        <f>(SUMIF('Ni segment'!$A$262:$A$285,Total!$A$24,'Ni segment'!J$262:J$285)+SUMIF('Zn Pb segment'!$A$152:$A$180,Total!$A$24,'Zn Pb segment'!K$152:K$180)+SUMIF('Cu segment'!$A$222:$A$255,Total!$A$24,'Cu segment'!J$222:J$255)+SUMIF('Total Chemical'!$A$289:$A$319,Total!$A$24,'Total Chemical'!J$289:J$319))/1000000</f>
        <v>-7.6437014673720434</v>
      </c>
      <c r="L24" s="451">
        <f>(SUMIF('Ni segment'!$A$262:$A$285,Total!$A$24,'Ni segment'!K$262:K$285)+SUMIF('Zn Pb segment'!$A$152:$A$180,Total!$A$24,'Zn Pb segment'!L$152:L$180)+SUMIF('Cu segment'!$A$222:$A$255,Total!$A$24,'Cu segment'!K$222:K$255)+SUMIF('Total Chemical'!$A$289:$A$319,Total!$A$24,'Total Chemical'!K$289:K$319))/1000000</f>
        <v>-3.4384806097725735</v>
      </c>
      <c r="M24" s="451">
        <f>(SUMIF('Ni segment'!$A:$A,Total!$A24,'Ni segment'!L:L)+SUMIF('Zn Pb segment'!$A:$A,Total!$A24,'Zn Pb segment'!M:M)+SUMIF('Cu segment'!$A:$A,Total!$A24,'Cu segment'!L:L)+SUMIF('Total Chemical'!$A:$A,Total!$A24,'Total Chemical'!L:L))/1000000</f>
        <v>-20.420179166351755</v>
      </c>
      <c r="N24" s="451">
        <f>(SUMIF('Ni segment'!$A:$A,Total!$A24,'Ni segment'!M:M)+SUMIF('Zn Pb segment'!$A:$A,Total!$A24,'Zn Pb segment'!N:N)+SUMIF('Cu segment'!$A:$A,Total!$A24,'Cu segment'!M:M)+SUMIF('Total Chemical'!$A:$A,Total!$A24,'Total Chemical'!M:M))/1000000</f>
        <v>-14.601301830797622</v>
      </c>
      <c r="O24" s="451">
        <f>(SUMIF('Ni segment'!$A:$A,Total!$A24,'Ni segment'!N:N)+SUMIF('Zn Pb segment'!$A:$A,Total!$A24,'Zn Pb segment'!O:O)+SUMIF('Cu segment'!$A:$A,Total!$A24,'Cu segment'!N:N)+SUMIF('Total Chemical'!$A:$A,Total!$A24,'Total Chemical'!N:N))/1000000</f>
        <v>-13.806171175663957</v>
      </c>
      <c r="P24" s="451">
        <f>(SUMIF('Ni segment'!$A:$A,Total!$A24,'Ni segment'!O:O)+SUMIF('Zn Pb segment'!$A:$A,Total!$A24,'Zn Pb segment'!P:P)+SUMIF('Cu segment'!$A:$A,Total!$A24,'Cu segment'!O:O))/1000000-9</f>
        <v>-24.745801433200867</v>
      </c>
      <c r="Q24" s="451">
        <f>(SUMIF('Ni segment'!$A:$A,Total!$A24,'Ni segment'!P:P)+SUMIF('Zn Pb segment'!$A:$A,Total!$A24,'Zn Pb segment'!Q:Q)+SUMIF('Cu segment'!$A:$A,Total!$A24,'Cu segment'!P:P))/1000000-7.7</f>
        <v>-23.626406817679324</v>
      </c>
      <c r="R24" s="1347">
        <f>(SUMIF('Ni segment'!$A:$A,Total!$A24,'Ni segment'!Q:Q)+SUMIF('Zn Pb segment'!$A:$A,Total!$A24,'Zn Pb segment'!R:R)+SUMIF('Cu segment'!$A:$A,Total!$A24,'Cu segment'!Q:Q))/1000000</f>
        <v>-13.757718399</v>
      </c>
      <c r="S24" s="1597">
        <f>(SUMIF('Ni segment'!$A:$A,Total!$A24,'Ni segment'!R:R)+SUMIF('Zn Pb segment'!$A:$A,Total!$A24,'Zn Pb segment'!S:S)+SUMIF('Cu segment'!$A:$A,Total!$A24,'Cu segment'!R:R))/1000000</f>
        <v>-5.8242531120000001</v>
      </c>
      <c r="T24" s="1347">
        <f>(SUMIF('Ni segment'!$A:$A,Total!$A24,'Ni segment'!S:S)+SUMIF('Zn Pb segment'!$A:$A,Total!$A24,'Zn Pb segment'!T:T)+SUMIF('Cu segment'!$A:$A,Total!$A24,'Cu segment'!S:S))/1000000</f>
        <v>-5.5085782739613212</v>
      </c>
      <c r="U24" s="1573">
        <f>(SUMIF('Ni segment'!$A:$A,Total!$A24,'Ni segment'!T:T)+SUMIF('Zn Pb segment'!$A:$A,Total!$A24,'Zn Pb segment'!U:U)+SUMIF('Cu segment'!$A:$A,Total!$A24,'Cu segment'!T:T))/1000000</f>
        <v>-11.332831385961322</v>
      </c>
      <c r="V24" s="451">
        <f>(SUMIF('Ni segment'!$A:$A,Total!$A24,'Ni segment'!U:U)+SUMIF('Zn Pb segment'!$A:$A,Total!$A24,'Zn Pb segment'!V:V)+SUMIF('Cu segment'!$A:$A,Total!$A24,'Cu segment'!U:U))/1000000</f>
        <v>-14.25618664788119</v>
      </c>
      <c r="W24" s="451">
        <f>(SUMIF('Ni segment'!$A:$A,Total!$A24,'Ni segment'!V:V)+SUMIF('Zn Pb segment'!$A:$A,Total!$A24,'Zn Pb segment'!W:W)+SUMIF('Cu segment'!$A:$A,Total!$A24,'Cu segment'!V:V))/1000000</f>
        <v>-14.3014528141789</v>
      </c>
      <c r="X24" s="451">
        <f>(SUMIF('Ni segment'!$A:$A,Total!$A24,'Ni segment'!W:W)+SUMIF('Zn Pb segment'!$A:$A,Total!$A24,'Zn Pb segment'!X:X)+SUMIF('Cu segment'!$A:$A,Total!$A24,'Cu segment'!W:W))/1000000</f>
        <v>-14.349625047991937</v>
      </c>
      <c r="Y24" s="451">
        <f>(SUMIF('Ni segment'!$A:$A,Total!$A24,'Ni segment'!X:X)+SUMIF('Zn Pb segment'!$A:$A,Total!$A24,'Zn Pb segment'!Y:Y)+SUMIF('Cu segment'!$A:$A,Total!$A24,'Cu segment'!X:X))/1000000</f>
        <v>-14.400889917547625</v>
      </c>
      <c r="Z24" s="451">
        <f>(SUMIF('Ni segment'!$A:$A,Total!$A24,'Ni segment'!Y:Y)+SUMIF('Zn Pb segment'!$A:$A,Total!$A24,'Zn Pb segment'!Z:Z)+SUMIF('Cu segment'!$A:$A,Total!$A24,'Cu segment'!Y:Y))/1000000</f>
        <v>-14.455445968669554</v>
      </c>
      <c r="AA24" s="451">
        <f t="shared" ref="AA24:AA30" si="7">SUM(U24:Z24)</f>
        <v>-83.096431782230525</v>
      </c>
    </row>
    <row r="25" spans="1:27" ht="15.75" customHeight="1">
      <c r="A25" s="843">
        <v>5</v>
      </c>
      <c r="B25" s="910" t="s">
        <v>523</v>
      </c>
      <c r="C25" s="695" t="s">
        <v>740</v>
      </c>
      <c r="D25" s="573"/>
      <c r="E25" s="573"/>
      <c r="F25" s="573"/>
      <c r="G25" s="573"/>
      <c r="H25" s="573"/>
      <c r="I25" s="451"/>
      <c r="J25" s="451">
        <v>0</v>
      </c>
      <c r="K25" s="451">
        <v>0</v>
      </c>
      <c r="L25" s="451">
        <v>0</v>
      </c>
      <c r="M25" s="451">
        <v>0</v>
      </c>
      <c r="N25" s="451">
        <v>0</v>
      </c>
      <c r="O25" s="451">
        <v>0</v>
      </c>
      <c r="P25" s="451">
        <f>(SUMIF(Fenix!$A:$A,Total!$A25,Fenix!P:P))/1000000</f>
        <v>0</v>
      </c>
      <c r="Q25" s="451">
        <f>(SUMIF(Fenix!$A:$A,Total!$A25,Fenix!Q:Q))/1000000</f>
        <v>0</v>
      </c>
      <c r="R25" s="1347">
        <f>(SUMIF(Fenix!$A:$A,Total!$A25,Fenix!R:R))/1000000</f>
        <v>-22.709249648817689</v>
      </c>
      <c r="S25" s="1597">
        <f>(SUMIF(Fenix!$A:$A,Total!$A25,Fenix!S:S))/1000000</f>
        <v>0</v>
      </c>
      <c r="T25" s="1347">
        <f>(SUMIF(Fenix!$A:$A,Total!$A25,Fenix!T:T))/1000000</f>
        <v>-23.327282513583924</v>
      </c>
      <c r="U25" s="1573">
        <f>(SUMIF(Fenix!$A:$A,Total!$A25,Fenix!U:U))/1000000</f>
        <v>-23.327282513583924</v>
      </c>
      <c r="V25" s="451">
        <f>(SUMIF(Fenix!$A:$A,Total!$A25,Fenix!V:V))/1000000</f>
        <v>-64.114660949200996</v>
      </c>
      <c r="W25" s="451">
        <f>(SUMIF(Fenix!$A:$A,Total!$A25,Fenix!W:W))/1000000</f>
        <v>-95.834717347539083</v>
      </c>
      <c r="X25" s="451">
        <f>(SUMIF(Fenix!$A:$A,Total!$A25,Fenix!X:X))/1000000</f>
        <v>-95.834717347539083</v>
      </c>
      <c r="Y25" s="451">
        <f>(SUMIF(Fenix!$A:$A,Total!$A25,Fenix!Y:Y))/1000000</f>
        <v>-95.834717347539083</v>
      </c>
      <c r="Z25" s="451">
        <f>(SUMIF(Fenix!$A:$A,Total!$A25,Fenix!Z:Z))/1000000</f>
        <v>-95.834717347539083</v>
      </c>
      <c r="AA25" s="451">
        <f t="shared" si="7"/>
        <v>-470.78081285294127</v>
      </c>
    </row>
    <row r="26" spans="1:27" ht="15.75" hidden="1" customHeight="1" outlineLevel="1">
      <c r="A26" s="843">
        <v>5</v>
      </c>
      <c r="B26" s="910" t="s">
        <v>523</v>
      </c>
      <c r="C26" s="695" t="s">
        <v>862</v>
      </c>
      <c r="D26" s="573"/>
      <c r="E26" s="573"/>
      <c r="F26" s="573"/>
      <c r="G26" s="573"/>
      <c r="H26" s="573"/>
      <c r="I26" s="451"/>
      <c r="J26" s="451">
        <v>0</v>
      </c>
      <c r="K26" s="451">
        <v>0</v>
      </c>
      <c r="L26" s="451">
        <v>0</v>
      </c>
      <c r="M26" s="451">
        <v>0</v>
      </c>
      <c r="N26" s="451">
        <v>0</v>
      </c>
      <c r="O26" s="451">
        <v>0</v>
      </c>
      <c r="P26" s="451">
        <f>(SUMIF(Acquila!$A:$A,Total!$A$26,Acquila!G:G))/1000000</f>
        <v>0</v>
      </c>
      <c r="Q26" s="451">
        <f>(SUMIF(Acquila!$A:$A,Total!$A$26,Acquila!F:F))/1000000</f>
        <v>0</v>
      </c>
      <c r="R26" s="1347">
        <f>(SUMIF(Acquila!$A:$A,Total!$A$26,Acquila!G:G))/1000000</f>
        <v>0</v>
      </c>
      <c r="S26" s="1597">
        <f>(SUMIF(Acquila!$A:$A,Total!$A$15,Acquila!G:G))/1000000</f>
        <v>0</v>
      </c>
      <c r="T26" s="1347">
        <f>(SUMIF(Acquila!$A:$A,Total!$A$15,Acquila!G:G))/1000000</f>
        <v>0</v>
      </c>
      <c r="U26" s="1573">
        <f>(SUMIF(Acquila!$A:$A,Total!$A$26,Acquila!J:J))/1000000</f>
        <v>0</v>
      </c>
      <c r="V26" s="451">
        <f>(SUMIF(Acquila!$A:$A,Total!$A$26,Acquila!H:H))/1000000</f>
        <v>0</v>
      </c>
      <c r="W26" s="451">
        <f>(SUMIF(Acquila!$A:$A,Total!$A$26,Acquila!I:I))/1000000</f>
        <v>0</v>
      </c>
      <c r="X26" s="451">
        <f>(SUMIF(Acquila!$A:$A,Total!$A$15,Acquila!H:H))/1000000</f>
        <v>0</v>
      </c>
      <c r="Y26" s="451">
        <f>(SUMIF(Acquila!$A:$A,Total!$A$15,Acquila!I:I))/1000000</f>
        <v>0</v>
      </c>
      <c r="Z26" s="451">
        <f>(SUMIF(Acquila!$A:$A,Total!$A$15,Acquila!J:J))/1000000</f>
        <v>0</v>
      </c>
      <c r="AA26" s="451">
        <f t="shared" si="7"/>
        <v>0</v>
      </c>
    </row>
    <row r="27" spans="1:27" ht="15.75" customHeight="1" collapsed="1">
      <c r="A27" s="843">
        <v>5</v>
      </c>
      <c r="B27" s="575" t="s">
        <v>523</v>
      </c>
      <c r="C27" s="351" t="s">
        <v>1810</v>
      </c>
      <c r="D27" s="573"/>
      <c r="E27" s="573"/>
      <c r="F27" s="573"/>
      <c r="G27" s="573"/>
      <c r="H27" s="573"/>
      <c r="I27" s="451"/>
      <c r="J27" s="451"/>
      <c r="K27" s="451"/>
      <c r="L27" s="451"/>
      <c r="M27" s="451"/>
      <c r="N27" s="451"/>
      <c r="O27" s="451"/>
      <c r="P27" s="451"/>
      <c r="Q27" s="451">
        <f>(SUMIF(Kurilgeo!$A:$A,Total!$A27,Kurilgeo!P:P))/1000000</f>
        <v>-0.39500000000000002</v>
      </c>
      <c r="R27" s="1347">
        <f>(SUMIF(Kurilgeo!$A:$A,Total!$A27,Kurilgeo!Q:Q))/1000000</f>
        <v>-7.9206237681932903</v>
      </c>
      <c r="S27" s="1597">
        <f>(SUMIF(Kurilgeo!$A:$A,Total!$A27,Kurilgeo!R:R))/1000000</f>
        <v>0</v>
      </c>
      <c r="T27" s="1347">
        <f>(SUMIF(Kurilgeo!$A:$A,Total!$A27,Kurilgeo!S:S))/1000000</f>
        <v>-7.9206237681932903</v>
      </c>
      <c r="U27" s="1573">
        <f>(SUMIF(Kurilgeo!$A:$A,Total!$A27,Kurilgeo!T:T))/1000000</f>
        <v>-7.9206237681932903</v>
      </c>
      <c r="V27" s="451">
        <f>(SUMIF(Kurilgeo!$A:$A,Total!$A27,Kurilgeo!U:U))/1000000</f>
        <v>-6.1398982312601467</v>
      </c>
      <c r="W27" s="451">
        <f>(SUMIF(Kurilgeo!$A:$A,Total!$A27,Kurilgeo!V:V))/1000000</f>
        <v>-7.0304269997267204</v>
      </c>
      <c r="X27" s="451">
        <f>(SUMIF(Kurilgeo!$A:$A,Total!$A27,Kurilgeo!W:W))/1000000</f>
        <v>-7.3272699225489095</v>
      </c>
      <c r="Y27" s="451">
        <f>(SUMIF(Kurilgeo!$A:$A,Total!$A27,Kurilgeo!X:X))/1000000</f>
        <v>-7.6816261616678991</v>
      </c>
      <c r="Z27" s="451">
        <f>(SUMIF(Kurilgeo!$A:$A,Total!$A27,Kurilgeo!Y:Y))/1000000</f>
        <v>-7.936818311881602</v>
      </c>
      <c r="AA27" s="451">
        <f t="shared" si="7"/>
        <v>-44.036663395278566</v>
      </c>
    </row>
    <row r="28" spans="1:27" ht="15.75" customHeight="1">
      <c r="A28" s="843">
        <v>5</v>
      </c>
      <c r="B28" s="575" t="s">
        <v>523</v>
      </c>
      <c r="C28" s="695" t="s">
        <v>1878</v>
      </c>
      <c r="D28" s="573"/>
      <c r="E28" s="573"/>
      <c r="F28" s="573"/>
      <c r="G28" s="573"/>
      <c r="H28" s="573"/>
      <c r="I28" s="451"/>
      <c r="J28" s="451"/>
      <c r="K28" s="451"/>
      <c r="L28" s="451"/>
      <c r="M28" s="451"/>
      <c r="N28" s="451"/>
      <c r="O28" s="451"/>
      <c r="P28" s="451">
        <f>(SUMIF(DSO!$A:$A,Total!$A28,DSO!G:G))/1000000</f>
        <v>0</v>
      </c>
      <c r="Q28" s="451">
        <v>-17</v>
      </c>
      <c r="R28" s="1347">
        <f>(SUMIF(DSO!$A:$A,Total!$A28,DSO!I:I))/1000000</f>
        <v>-3.314845</v>
      </c>
      <c r="S28" s="1597">
        <f>(SUMIF(DSO!$A:$A,Total!$A28,DSO!J:J))/1000000</f>
        <v>-1.6574225</v>
      </c>
      <c r="T28" s="1347">
        <f>(SUMIF(DSO!$A:$A,Total!$A28,DSO!K:K))/1000000</f>
        <v>-1.6574225</v>
      </c>
      <c r="U28" s="1573">
        <f>(SUMIF(DSO!$A:$A,Total!$A28,DSO!L:L))/1000000</f>
        <v>-3.314845</v>
      </c>
      <c r="V28" s="451">
        <f>(SUMIF(DSO!$A:$A,Total!$A28,DSO!M:M))/1000000</f>
        <v>0</v>
      </c>
      <c r="W28" s="451">
        <f>(SUMIF(DSO!$A:$A,Total!$A28,DSO!N:N))/1000000</f>
        <v>0</v>
      </c>
      <c r="X28" s="451">
        <f>(SUMIF(DSO!$A:$A,Total!$A28,DSO!O:O))/1000000</f>
        <v>0</v>
      </c>
      <c r="Y28" s="451">
        <f>(SUMIF(DSO!$A:$A,Total!$A28,DSO!P:P))/1000000</f>
        <v>0</v>
      </c>
      <c r="Z28" s="451">
        <f>(SUMIF(DSO!$A:$A,Total!$A28,DSO!Q:Q))/1000000</f>
        <v>0</v>
      </c>
      <c r="AA28" s="451">
        <f t="shared" si="7"/>
        <v>-3.314845</v>
      </c>
    </row>
    <row r="29" spans="1:27" ht="15.75" customHeight="1">
      <c r="A29" s="843">
        <v>55</v>
      </c>
      <c r="B29" s="575" t="s">
        <v>523</v>
      </c>
      <c r="C29" s="351" t="s">
        <v>737</v>
      </c>
      <c r="D29" s="573"/>
      <c r="E29" s="573"/>
      <c r="F29" s="573"/>
      <c r="G29" s="573"/>
      <c r="H29" s="573"/>
      <c r="I29" s="451"/>
      <c r="J29" s="451">
        <f>(SUMIF('Ni segment'!$A$262:$A$285,Total!$A$29,'Ni segment'!I$262:I$285)+SUMIF('Zn Pb segment'!$A$152:$A$180,Total!$A$29,'Zn Pb segment'!J$152:J$180)+SUMIF('Cu segment'!$A$222:$A$255,Total!$A$29,'Cu segment'!I$222:I$255)+SUMIF('Total Chemical'!$A$289:$A$319,Total!$A$29,'Total Chemical'!I$289:I$319))/1000000</f>
        <v>0</v>
      </c>
      <c r="K29" s="451">
        <f>(SUMIF('Ni segment'!$A$262:$A$285,Total!$A$29,'Ni segment'!J$262:J$285)+SUMIF('Zn Pb segment'!$A$152:$A$180,Total!$A$29,'Zn Pb segment'!K$152:K$180)+SUMIF('Cu segment'!$A$222:$A$255,Total!$A$29,'Cu segment'!J$222:J$255)+SUMIF('Total Chemical'!$A$289:$A$319,Total!$A$29,'Total Chemical'!J$289:J$319))/1000000</f>
        <v>-3.9393077633499995</v>
      </c>
      <c r="L29" s="451">
        <f>(SUMIF('Ni segment'!$A$262:$A$285,Total!$A$29,'Ni segment'!K$262:K$285)+SUMIF('Zn Pb segment'!$A$152:$A$180,Total!$A$29,'Zn Pb segment'!L$152:L$180)+SUMIF('Cu segment'!$A$222:$A$255,Total!$A$29,'Cu segment'!K$222:K$255)+SUMIF('Total Chemical'!$A$289:$A$319,Total!$A$29,'Total Chemical'!K$289:K$319))/1000000</f>
        <v>-16.663137812619464</v>
      </c>
      <c r="M29" s="451">
        <f>(SUMIF('Ni segment'!$A$262:$A$285,Total!$A$29,'Ni segment'!L$262:L$285)+SUMIF('Zn Pb segment'!$A$152:$A$180,Total!$A$29,'Zn Pb segment'!M$152:M$180)+SUMIF('Cu segment'!$A$222:$A$255,Total!$A$29,'Cu segment'!L$222:L$255)+SUMIF('Total Chemical'!$A$289:$A$319,Total!$A$29,'Total Chemical'!L$289:L$319))/1000000</f>
        <v>-22.8556976918332</v>
      </c>
      <c r="N29" s="451">
        <f>(SUMIF('Ni segment'!$A$262:$A$285,Total!$A$29,'Ni segment'!M$262:M$285)+SUMIF('Zn Pb segment'!$A$152:$A$180,Total!$A$29,'Zn Pb segment'!N$152:N$180)+SUMIF('Cu segment'!$A$222:$A$255,Total!$A$29,'Cu segment'!M$222:M$255)+SUMIF('Total Chemical'!$A$289:$A$319,Total!$A$29,'Total Chemical'!M$289:M$319))/1000000</f>
        <v>-14.033747600141959</v>
      </c>
      <c r="O29" s="451">
        <f ca="1">(SUMIF('Ni segment'!$A$262:$A$285,Total!A29,'Ni segment'!$N$262:$N$284)+SUMIF('Zn Pb segment'!$A$152:$A$180,Total!A29,'Zn Pb segment'!$O$152:$O$180)+SUMIF('Cu segment'!$A$222:$A$255,Total!A29,'Cu segment'!$N$222:$N$255)+SUMIF('Total Chemical'!$A$289:$A$319,Total!A29,'Total Chemical'!$N$289:$N$319))/1000000</f>
        <v>-17.418943886439319</v>
      </c>
      <c r="P29" s="451">
        <f ca="1">(SUMIF('Ni segment'!$A:$A,Total!$A29,'Ni segment'!O:O)+SUMIF('Zn Pb segment'!$A:$A,Total!$A29,'Zn Pb segment'!P:P)+SUMIF('Cu segment'!$A:$A,Total!$A29,'Cu segment'!O:O))/1000000</f>
        <v>-14.484354136092803</v>
      </c>
      <c r="Q29" s="451">
        <f ca="1">(SUMIF('Ni segment'!$A:$A,Total!$A29,'Ni segment'!P:P)+SUMIF('Zn Pb segment'!$A:$A,Total!$A29,'Zn Pb segment'!Q:Q)+SUMIF('Cu segment'!$A:$A,Total!$A29,'Cu segment'!P:P))/1000000</f>
        <v>-17.237355396275184</v>
      </c>
      <c r="R29" s="1347">
        <f ca="1">(SUMIF('Ni segment'!$A:$A,Total!$A29,'Ni segment'!Q:Q)+SUMIF('Zn Pb segment'!$A:$A,Total!$A29,'Zn Pb segment'!R:R)+SUMIF('Cu segment'!$A:$A,Total!$A29,'Cu segment'!Q:Q))/1000000</f>
        <v>-19.420725168468945</v>
      </c>
      <c r="S29" s="1597">
        <f ca="1">(SUMIF('Ni segment'!$A:$A,Total!$A29,'Ni segment'!R:R)+SUMIF('Zn Pb segment'!$A:$A,Total!$A29,'Zn Pb segment'!S:S)+SUMIF('Cu segment'!$A:$A,Total!$A29,'Cu segment'!R:R))/1000000</f>
        <v>-9.5049823489402563</v>
      </c>
      <c r="T29" s="1347">
        <f ca="1">(SUMIF('Ni segment'!$A:$A,Total!$A29,'Ni segment'!S:S)+SUMIF('Zn Pb segment'!$A:$A,Total!$A29,'Zn Pb segment'!T:T)+SUMIF('Cu segment'!$A:$A,Total!$A29,'Cu segment'!S:S))/1000000</f>
        <v>-9.5412553947417322</v>
      </c>
      <c r="U29" s="1573">
        <f ca="1">(SUMIF('Ni segment'!$A:$A,Total!$A29,'Ni segment'!T:T)+SUMIF('Zn Pb segment'!$A:$A,Total!$A29,'Zn Pb segment'!U:U)+SUMIF('Cu segment'!$A:$A,Total!$A29,'Cu segment'!T:T))/1000000</f>
        <v>-17.844272687926992</v>
      </c>
      <c r="V29" s="451">
        <f ca="1">(SUMIF('Ni segment'!$A:$A,Total!$A29,'Ni segment'!U:U)+SUMIF('Zn Pb segment'!$A:$A,Total!$A29,'Zn Pb segment'!V:V)+SUMIF('Cu segment'!$A:$A,Total!$A29,'Cu segment'!U:U))/1000000</f>
        <v>-20.675373110024452</v>
      </c>
      <c r="W29" s="451">
        <f ca="1">(SUMIF('Ni segment'!$A:$A,Total!$A29,'Ni segment'!V:V)+SUMIF('Zn Pb segment'!$A:$A,Total!$A29,'Zn Pb segment'!W:W)+SUMIF('Cu segment'!$A:$A,Total!$A29,'Cu segment'!V:V))/1000000</f>
        <v>-20.233410269970786</v>
      </c>
      <c r="X29" s="451">
        <f ca="1">(SUMIF('Ni segment'!$A:$A,Total!$A29,'Ni segment'!W:W)+SUMIF('Zn Pb segment'!$A:$A,Total!$A29,'Zn Pb segment'!X:X)+SUMIF('Cu segment'!$A:$A,Total!$A29,'Cu segment'!W:W))/1000000</f>
        <v>-20.81217955817727</v>
      </c>
      <c r="Y29" s="451">
        <f ca="1">(SUMIF('Ni segment'!$A:$A,Total!$A29,'Ni segment'!X:X)+SUMIF('Zn Pb segment'!$A:$A,Total!$A29,'Zn Pb segment'!Y:Y)+SUMIF('Cu segment'!$A:$A,Total!$A29,'Cu segment'!X:X))/1000000</f>
        <v>-20.861756159059695</v>
      </c>
      <c r="Z29" s="451">
        <f ca="1">(SUMIF('Ni segment'!$A:$A,Total!$A29,'Ni segment'!Y:Y)+SUMIF('Zn Pb segment'!$A:$A,Total!$A29,'Zn Pb segment'!Z:Z)+SUMIF('Cu segment'!$A:$A,Total!$A29,'Cu segment'!Y:Y))/1000000</f>
        <v>-19.172904417549141</v>
      </c>
      <c r="AA29" s="451">
        <f t="shared" ca="1" si="7"/>
        <v>-119.59989620270835</v>
      </c>
    </row>
    <row r="30" spans="1:27" ht="15.75" customHeight="1">
      <c r="A30" s="843">
        <v>55</v>
      </c>
      <c r="B30" s="575" t="s">
        <v>523</v>
      </c>
      <c r="C30" s="351" t="s">
        <v>739</v>
      </c>
      <c r="D30" s="573"/>
      <c r="E30" s="573"/>
      <c r="F30" s="573"/>
      <c r="G30" s="573"/>
      <c r="H30" s="573"/>
      <c r="I30" s="451"/>
      <c r="J30" s="451"/>
      <c r="K30" s="451"/>
      <c r="L30" s="451"/>
      <c r="M30" s="451"/>
      <c r="N30" s="451"/>
      <c r="O30" s="451"/>
      <c r="P30" s="451">
        <f>(SUMIF(Fenix!$A:$A,Total!$A30,Fenix!P:P))/1000000</f>
        <v>0</v>
      </c>
      <c r="Q30" s="451">
        <f>(SUMIF(Fenix!$A:$A,Total!$A30,Fenix!Q:Q))/1000000</f>
        <v>0</v>
      </c>
      <c r="R30" s="1347">
        <f>(SUMIF(Fenix!$A:$A,Total!$A30,Fenix!R:R))/1000000</f>
        <v>-10.831662526199668</v>
      </c>
      <c r="S30" s="1597">
        <f>(SUMIF(Fenix!$A:$A,Total!$A30,Fenix!S:S))/1000000</f>
        <v>0</v>
      </c>
      <c r="T30" s="1347">
        <f>(SUMIF(Fenix!$A:$A,Total!$A30,Fenix!T:T))/1000000</f>
        <v>-10.831662526199668</v>
      </c>
      <c r="U30" s="1573">
        <f>(SUMIF(Fenix!$A:$A,Total!$A30,Fenix!U:U))/1000000</f>
        <v>-10.831662526199668</v>
      </c>
      <c r="V30" s="451">
        <f>(SUMIF(Fenix!$A:$A,Total!$A30,Fenix!V:V))/1000000</f>
        <v>-14.246645278383198</v>
      </c>
      <c r="W30" s="451">
        <f>(SUMIF(Fenix!$A:$A,Total!$A30,Fenix!W:W))/1000000</f>
        <v>-14.901984228254408</v>
      </c>
      <c r="X30" s="451">
        <f>(SUMIF(Fenix!$A:$A,Total!$A30,Fenix!X:X))/1000000</f>
        <v>-14.901984228254408</v>
      </c>
      <c r="Y30" s="451">
        <f>(SUMIF(Fenix!$A:$A,Total!$A30,Fenix!Y:Y))/1000000</f>
        <v>-14.901984228254408</v>
      </c>
      <c r="Z30" s="451">
        <f>(SUMIF(Fenix!$A:$A,Total!$A30,Fenix!Z:Z))/1000000</f>
        <v>-14.901984228254408</v>
      </c>
      <c r="AA30" s="451">
        <f t="shared" si="7"/>
        <v>-84.686244717600502</v>
      </c>
    </row>
    <row r="31" spans="1:27" s="762" customFormat="1" ht="18" customHeight="1">
      <c r="A31" s="843"/>
      <c r="B31" s="759" t="s">
        <v>524</v>
      </c>
      <c r="C31" s="760" t="s">
        <v>347</v>
      </c>
      <c r="D31" s="761"/>
      <c r="E31" s="761"/>
      <c r="F31" s="761"/>
      <c r="G31" s="761"/>
      <c r="H31" s="761"/>
      <c r="I31" s="166"/>
      <c r="J31" s="166">
        <f t="shared" ref="J31:T31" si="8">J23+SUM(J24:J30)</f>
        <v>163.37089572681242</v>
      </c>
      <c r="K31" s="166">
        <f t="shared" si="8"/>
        <v>163.89358046499225</v>
      </c>
      <c r="L31" s="166">
        <f t="shared" si="8"/>
        <v>380.03412979323952</v>
      </c>
      <c r="M31" s="166">
        <f t="shared" si="8"/>
        <v>217.35571292714991</v>
      </c>
      <c r="N31" s="166">
        <f t="shared" si="8"/>
        <v>213.86183072536974</v>
      </c>
      <c r="O31" s="166">
        <f t="shared" ca="1" si="8"/>
        <v>260.52447568213336</v>
      </c>
      <c r="P31" s="166">
        <f t="shared" ca="1" si="8"/>
        <v>161.45180656958212</v>
      </c>
      <c r="Q31" s="166">
        <f t="shared" ca="1" si="8"/>
        <v>270.60152088735134</v>
      </c>
      <c r="R31" s="1349">
        <f t="shared" ca="1" si="8"/>
        <v>463.64939240360661</v>
      </c>
      <c r="S31" s="1599">
        <f t="shared" ca="1" si="8"/>
        <v>221.0759219985687</v>
      </c>
      <c r="T31" s="1349">
        <f t="shared" ca="1" si="8"/>
        <v>289.41689119378702</v>
      </c>
      <c r="U31" s="1575">
        <f ca="1">S31+T31</f>
        <v>510.4928131923557</v>
      </c>
      <c r="V31" s="166">
        <f t="shared" ref="V31:AA31" ca="1" si="9">V23+SUM(V24:V30)</f>
        <v>823.61539156826086</v>
      </c>
      <c r="W31" s="166">
        <f t="shared" ca="1" si="9"/>
        <v>857.095882157235</v>
      </c>
      <c r="X31" s="166">
        <f t="shared" ca="1" si="9"/>
        <v>864.294222976833</v>
      </c>
      <c r="Y31" s="166">
        <f t="shared" ca="1" si="9"/>
        <v>865.49016096685364</v>
      </c>
      <c r="Z31" s="166">
        <f t="shared" ca="1" si="9"/>
        <v>830.52982657338555</v>
      </c>
      <c r="AA31" s="166">
        <f t="shared" ca="1" si="9"/>
        <v>4715.1166948841792</v>
      </c>
    </row>
    <row r="32" spans="1:27" ht="24" customHeight="1">
      <c r="A32" s="843">
        <v>7</v>
      </c>
      <c r="B32" s="575" t="s">
        <v>523</v>
      </c>
      <c r="C32" s="695" t="s">
        <v>193</v>
      </c>
      <c r="D32" s="573"/>
      <c r="E32" s="573"/>
      <c r="F32" s="573"/>
      <c r="G32" s="573"/>
      <c r="H32" s="573"/>
      <c r="I32" s="451"/>
      <c r="J32" s="451">
        <f>(SUMIF('Ni segment'!$A$262:$A$285,Total!$A$32,'Ni segment'!I$262:I$285)+SUMIF('Zn Pb segment'!$A$152:$A$180,Total!$A$32,'Zn Pb segment'!J$152:J$180)+SUMIF('Cu segment'!$A$222:$A$255,Total!$A$32,'Cu segment'!I$222:I$255)+SUMIF('Total Chemical'!$A$289:$A$319,Total!$A$32,'Total Chemical'!I$289:I$319))/1000000</f>
        <v>0</v>
      </c>
      <c r="K32" s="451">
        <f>(SUMIF('Ni segment'!$A$262:$A$285,Total!$A$32,'Ni segment'!J$262:J$285)+SUMIF('Zn Pb segment'!$A$152:$A$180,Total!$A$32,'Zn Pb segment'!K$152:K$180)+SUMIF('Cu segment'!$A$222:$A$255,Total!$A$32,'Cu segment'!J$222:J$255)+SUMIF('Total Chemical'!$A$289:$A$319,Total!$A$32,'Total Chemical'!J$289:J$319))/1000000</f>
        <v>-19.187793727351821</v>
      </c>
      <c r="L32" s="451">
        <f ca="1">(SUMIF('Ni segment'!$A$262:$A$285,Total!$A$32,'Ni segment'!K$262:K$285)+SUMIF('Zn Pb segment'!$A$152:$A$180,Total!$A$32,'Zn Pb segment'!L$152:L$180)+SUMIF('Cu segment'!$A$222:$A$255,Total!$A$32,'Cu segment'!K$222:K$255)+SUMIF('Total Chemical'!$A$289:$A$319,Total!$A$32,'Total Chemical'!K$289:K$319))/1000000</f>
        <v>-20.170627060641845</v>
      </c>
      <c r="M32" s="451">
        <f ca="1">(SUMIF('Ni segment'!$A$262:$A$285,Total!$A$32,'Ni segment'!L$262:L$285)+SUMIF('Zn Pb segment'!$A$152:$A$180,Total!$A$32,'Zn Pb segment'!M$152:M$180)+SUMIF('Cu segment'!$A$222:$A$255,Total!$A$32,'Cu segment'!L$222:L$255)+SUMIF('Total Chemical'!$A$289:$A$319,Total!$A$32,'Total Chemical'!L$289:L$319))/1000000</f>
        <v>-20.837101657161082</v>
      </c>
      <c r="N32" s="451">
        <f ca="1">(SUMIF('Ni segment'!$A$262:$A$285,Total!$A$32,'Ni segment'!M$262:M$285)+SUMIF('Zn Pb segment'!$A$152:$A$180,Total!$A$32,'Zn Pb segment'!N$152:N$180)+SUMIF('Cu segment'!$A$222:$A$255,Total!$A$32,'Cu segment'!M$222:M$255)+SUMIF('Total Chemical'!$A$289:$A$319,Total!$A$32,'Total Chemical'!M$289:M$319))/1000000</f>
        <v>-17.960215900751447</v>
      </c>
      <c r="O32" s="451">
        <f ca="1">(SUMIF('Ni segment'!$A$262:$A$285,Total!A32,'Ni segment'!$N$262:$N$284)+SUMIF('Zn Pb segment'!$A$152:$A$180,Total!A32,'Zn Pb segment'!$O$152:$O$180)+SUMIF('Cu segment'!$A$222:$A$255,Total!A32,'Cu segment'!$N$222:$N$255)+SUMIF('Total Chemical'!$A$289:$A$319,Total!A32,'Total Chemical'!$N$289:$N$319))/1000000</f>
        <v>-18.894178157100651</v>
      </c>
      <c r="P32" s="451">
        <v>-23</v>
      </c>
      <c r="Q32" s="451">
        <v>-22</v>
      </c>
      <c r="R32" s="1347">
        <f ca="1">(SUMIF('Ni segment'!$A:$A,Total!$A32,'Ni segment'!Q:Q)+SUMIF('Zn Pb segment'!$A:$A,Total!$A32,'Zn Pb segment'!R:R)+SUMIF('Cu segment'!$A:$A,Total!$A32,'Cu segment'!Q:Q))/1000000</f>
        <v>-20.394214559817765</v>
      </c>
      <c r="S32" s="1597">
        <f ca="1">(SUMIF('Ni segment'!$A:$A,Total!$A32,'Ni segment'!R:R)+SUMIF('Zn Pb segment'!$A:$A,Total!$A32,'Zn Pb segment'!S:S)+SUMIF('Cu segment'!$A:$A,Total!$A32,'Cu segment'!R:R))/1000000</f>
        <v>-10.197107279908883</v>
      </c>
      <c r="T32" s="1347">
        <f ca="1">(SUMIF('Ni segment'!$A:$A,Total!$A32,'Ni segment'!S:S)+SUMIF('Zn Pb segment'!$A:$A,Total!$A32,'Zn Pb segment'!T:T)+SUMIF('Cu segment'!$A:$A,Total!$A32,'Cu segment'!S:S))/1000000</f>
        <v>-10.181373946575549</v>
      </c>
      <c r="U32" s="1573">
        <f ca="1">(SUMIF('Ni segment'!$A:$A,Total!$A32,'Ni segment'!T:T)+SUMIF('Zn Pb segment'!$A:$A,Total!$A32,'Zn Pb segment'!U:U)+SUMIF('Cu segment'!$A:$A,Total!$A32,'Cu segment'!T:T))/1000000</f>
        <v>-20.378481226484428</v>
      </c>
      <c r="V32" s="451">
        <f ca="1">(SUMIF('Ni segment'!$A:$A,Total!$A32,'Ni segment'!U:U)+SUMIF('Zn Pb segment'!$A:$A,Total!$A32,'Zn Pb segment'!V:V)+SUMIF('Cu segment'!$A:$A,Total!$A32,'Cu segment'!U:U))/1000000</f>
        <v>-21.581555585347559</v>
      </c>
      <c r="W32" s="451">
        <f ca="1">(SUMIF('Ni segment'!$A:$A,Total!$A32,'Ni segment'!V:V)+SUMIF('Zn Pb segment'!$A:$A,Total!$A32,'Zn Pb segment'!W:W)+SUMIF('Cu segment'!$A:$A,Total!$A32,'Cu segment'!V:V))/1000000</f>
        <v>-21.871035696231505</v>
      </c>
      <c r="X32" s="451">
        <f ca="1">(SUMIF('Ni segment'!$A:$A,Total!$A32,'Ni segment'!W:W)+SUMIF('Zn Pb segment'!$A:$A,Total!$A32,'Zn Pb segment'!X:X)+SUMIF('Cu segment'!$A:$A,Total!$A32,'Cu segment'!W:W))/1000000</f>
        <v>-18.986139857540497</v>
      </c>
      <c r="Y32" s="451">
        <f ca="1">(SUMIF('Ni segment'!$A:$A,Total!$A32,'Ni segment'!X:X)+SUMIF('Zn Pb segment'!$A:$A,Total!$A32,'Zn Pb segment'!Y:Y)+SUMIF('Cu segment'!$A:$A,Total!$A32,'Cu segment'!X:X))/1000000</f>
        <v>-19.559123635030062</v>
      </c>
      <c r="Z32" s="451">
        <f ca="1">(SUMIF('Ni segment'!$A:$A,Total!$A32,'Ni segment'!Y:Y)+SUMIF('Zn Pb segment'!$A:$A,Total!$A32,'Zn Pb segment'!Z:Z)+SUMIF('Cu segment'!$A:$A,Total!$A32,'Cu segment'!Y:Y))/1000000</f>
        <v>-20.946009829246123</v>
      </c>
      <c r="AA32" s="451">
        <f t="shared" ref="AA32:AA53" ca="1" si="10">SUM(U32:Z32)</f>
        <v>-123.32234582988016</v>
      </c>
    </row>
    <row r="33" spans="1:27" ht="15.75" customHeight="1">
      <c r="A33" s="843">
        <v>7</v>
      </c>
      <c r="B33" s="575" t="s">
        <v>523</v>
      </c>
      <c r="C33" s="695" t="s">
        <v>1811</v>
      </c>
      <c r="D33" s="573"/>
      <c r="E33" s="573"/>
      <c r="F33" s="573"/>
      <c r="G33" s="573"/>
      <c r="H33" s="573"/>
      <c r="I33" s="451"/>
      <c r="J33" s="451"/>
      <c r="K33" s="451"/>
      <c r="L33" s="451"/>
      <c r="M33" s="451"/>
      <c r="N33" s="451"/>
      <c r="O33" s="451"/>
      <c r="P33" s="451"/>
      <c r="Q33" s="451">
        <f>(SUMIF(Kurilgeo!$A:$A,Total!$A33,Kurilgeo!P:P))/1000000</f>
        <v>0</v>
      </c>
      <c r="R33" s="1347">
        <f>(SUMIF(Kurilgeo!$A:$A,Total!$A33,Kurilgeo!Q:Q))/1000000</f>
        <v>-1</v>
      </c>
      <c r="S33" s="1597">
        <f>(SUMIF(Kurilgeo!$A:$A,Total!$A33,Kurilgeo!R:R))/1000000</f>
        <v>0</v>
      </c>
      <c r="T33" s="1347">
        <f>(SUMIF(Kurilgeo!$A:$A,Total!$A33,Kurilgeo!S:S))/1000000</f>
        <v>-1</v>
      </c>
      <c r="U33" s="1573">
        <f>(SUMIF(Kurilgeo!$A:$A,Total!$A33,Kurilgeo!T:T))/1000000</f>
        <v>-1</v>
      </c>
      <c r="V33" s="451">
        <f>(SUMIF(Kurilgeo!$A:$A,Total!$A33,Kurilgeo!U:U))/1000000</f>
        <v>-1.0785714285714287</v>
      </c>
      <c r="W33" s="451">
        <f>(SUMIF(Kurilgeo!$A:$A,Total!$A33,Kurilgeo!V:V))/1000000</f>
        <v>-1.1737292142857143</v>
      </c>
      <c r="X33" s="451">
        <f>(SUMIF(Kurilgeo!$A:$A,Total!$A33,Kurilgeo!W:W))/1000000</f>
        <v>-1.242337</v>
      </c>
      <c r="Y33" s="451">
        <f>(SUMIF(Kurilgeo!$A:$A,Total!$A33,Kurilgeo!X:X))/1000000</f>
        <v>-1.2918025</v>
      </c>
      <c r="Z33" s="451">
        <f>(SUMIF(Kurilgeo!$A:$A,Total!$A33,Kurilgeo!Y:Y))/1000000</f>
        <v>-1.2918025</v>
      </c>
      <c r="AA33" s="451">
        <f t="shared" si="10"/>
        <v>-7.078242642857143</v>
      </c>
    </row>
    <row r="34" spans="1:27" ht="15" customHeight="1">
      <c r="A34" s="843">
        <v>7</v>
      </c>
      <c r="B34" s="575" t="s">
        <v>523</v>
      </c>
      <c r="C34" s="695" t="s">
        <v>745</v>
      </c>
      <c r="D34" s="573"/>
      <c r="E34" s="573"/>
      <c r="F34" s="573"/>
      <c r="G34" s="573"/>
      <c r="H34" s="573"/>
      <c r="I34" s="573"/>
      <c r="J34" s="912">
        <v>0</v>
      </c>
      <c r="K34" s="912">
        <v>0</v>
      </c>
      <c r="L34" s="912">
        <v>0</v>
      </c>
      <c r="M34" s="912">
        <v>0</v>
      </c>
      <c r="N34" s="447">
        <v>0</v>
      </c>
      <c r="O34" s="898">
        <v>0</v>
      </c>
      <c r="P34" s="451">
        <v>0</v>
      </c>
      <c r="Q34" s="451"/>
      <c r="R34" s="1347">
        <f>(SUMIF(Fenix!$A:$A,Total!$A34,Fenix!R:R))/1000000</f>
        <v>-39.463081891520787</v>
      </c>
      <c r="S34" s="1597">
        <f>(SUMIF(Fenix!$A:$A,Total!$A34,Fenix!S:S))/1000000</f>
        <v>0</v>
      </c>
      <c r="T34" s="1347">
        <f>(SUMIF(Fenix!$A:$A,Total!$A34,Fenix!T:T))/1000000</f>
        <v>-38.034142404202832</v>
      </c>
      <c r="U34" s="1573">
        <f>(SUMIF(Fenix!$A:$A,Total!$A34,Fenix!U:U))/1000000</f>
        <v>-38.034142404202832</v>
      </c>
      <c r="V34" s="451">
        <f>(SUMIF(Fenix!$A:$A,Total!$A34,Fenix!V:V))/1000000</f>
        <v>-59.472407152090412</v>
      </c>
      <c r="W34" s="451">
        <f>(SUMIF(Fenix!$A:$A,Total!$A34,Fenix!W:W))/1000000</f>
        <v>-63.630051825481203</v>
      </c>
      <c r="X34" s="451">
        <f>(SUMIF(Fenix!$A:$A,Total!$A34,Fenix!X:X))/1000000</f>
        <v>-58.960533704197871</v>
      </c>
      <c r="Y34" s="451">
        <f>(SUMIF(Fenix!$A:$A,Total!$A34,Fenix!Y:Y))/1000000</f>
        <v>-56.438354133656084</v>
      </c>
      <c r="Z34" s="451">
        <f>(SUMIF(Fenix!$A:$A,Total!$A34,Fenix!Z:Z))/1000000</f>
        <v>-56.265444937656092</v>
      </c>
      <c r="AA34" s="451">
        <f t="shared" si="10"/>
        <v>-332.80093415728447</v>
      </c>
    </row>
    <row r="35" spans="1:27" ht="15" hidden="1" customHeight="1" outlineLevel="1">
      <c r="A35" s="843">
        <v>7</v>
      </c>
      <c r="B35" s="575" t="s">
        <v>523</v>
      </c>
      <c r="C35" s="695" t="s">
        <v>863</v>
      </c>
      <c r="D35" s="573"/>
      <c r="E35" s="573"/>
      <c r="F35" s="573"/>
      <c r="G35" s="573"/>
      <c r="H35" s="573"/>
      <c r="I35" s="573"/>
      <c r="J35" s="912">
        <v>0</v>
      </c>
      <c r="K35" s="912">
        <v>0</v>
      </c>
      <c r="L35" s="912">
        <v>0</v>
      </c>
      <c r="M35" s="912">
        <v>0</v>
      </c>
      <c r="N35" s="447">
        <v>0</v>
      </c>
      <c r="O35" s="898">
        <v>0</v>
      </c>
      <c r="P35" s="451">
        <f>(SUMIF(Acquila!$A:$A,Total!$A$35,Acquila!G:G))/1000000</f>
        <v>0</v>
      </c>
      <c r="Q35" s="451">
        <f>(SUMIF(Acquila!$A:$A,Total!$A$35,Acquila!F:F))/1000000</f>
        <v>0</v>
      </c>
      <c r="R35" s="1347">
        <f>(SUMIF(Acquila!$A:$A,Total!$A$35,Acquila!G:G))/1000000</f>
        <v>0</v>
      </c>
      <c r="S35" s="1597">
        <f>(SUMIF(Acquila!$A:$A,Total!$A$15,Acquila!G:G))/1000000</f>
        <v>0</v>
      </c>
      <c r="T35" s="1347">
        <f>(SUMIF(Acquila!$A:$A,Total!$A$15,Acquila!G:G))/1000000</f>
        <v>0</v>
      </c>
      <c r="U35" s="1573">
        <f>(SUMIF(Acquila!$A:$A,Total!$A$35,Acquila!J:J))/1000000</f>
        <v>0</v>
      </c>
      <c r="V35" s="451">
        <f>(SUMIF(Acquila!$A:$A,Total!$A$35,Acquila!H:H))/1000000</f>
        <v>0</v>
      </c>
      <c r="W35" s="451">
        <f>(SUMIF(Acquila!$A:$A,Total!$A$35,Acquila!I:I))/1000000</f>
        <v>0</v>
      </c>
      <c r="X35" s="451">
        <f>(SUMIF(Acquila!$A:$A,Total!$A$15,Acquila!H:H))/1000000</f>
        <v>0</v>
      </c>
      <c r="Y35" s="451">
        <f>(SUMIF(Acquila!$A:$A,Total!$A$15,Acquila!I:I))/1000000</f>
        <v>0</v>
      </c>
      <c r="Z35" s="451">
        <f>(SUMIF(Acquila!$A:$A,Total!$A$15,Acquila!J:J))/1000000</f>
        <v>0</v>
      </c>
      <c r="AA35" s="451">
        <f t="shared" si="10"/>
        <v>0</v>
      </c>
    </row>
    <row r="36" spans="1:27" s="762" customFormat="1" ht="15.75" customHeight="1" collapsed="1">
      <c r="A36" s="843"/>
      <c r="B36" s="759" t="s">
        <v>524</v>
      </c>
      <c r="C36" s="760" t="s">
        <v>363</v>
      </c>
      <c r="D36" s="761"/>
      <c r="E36" s="761"/>
      <c r="F36" s="761"/>
      <c r="G36" s="761"/>
      <c r="H36" s="761"/>
      <c r="I36" s="166"/>
      <c r="J36" s="166">
        <f t="shared" ref="J36:O36" si="11">SUM(J31:J34)</f>
        <v>163.37089572681242</v>
      </c>
      <c r="K36" s="166">
        <f t="shared" si="11"/>
        <v>144.70578673764044</v>
      </c>
      <c r="L36" s="166">
        <f t="shared" ca="1" si="11"/>
        <v>359.86350273259768</v>
      </c>
      <c r="M36" s="166">
        <f t="shared" ca="1" si="11"/>
        <v>196.51861126998884</v>
      </c>
      <c r="N36" s="166">
        <f t="shared" ca="1" si="11"/>
        <v>195.90161482461829</v>
      </c>
      <c r="O36" s="166">
        <f t="shared" ca="1" si="11"/>
        <v>241.63029752503272</v>
      </c>
      <c r="P36" s="166">
        <f ca="1">SUM(P31:P35)</f>
        <v>138.45180656958212</v>
      </c>
      <c r="Q36" s="166">
        <f t="shared" ref="Q36:AA36" ca="1" si="12">SUM(Q31:Q35)</f>
        <v>248.60152088735134</v>
      </c>
      <c r="R36" s="1349">
        <f t="shared" ca="1" si="12"/>
        <v>402.79209595226803</v>
      </c>
      <c r="S36" s="1599">
        <f ca="1">SUM(S31:S35)</f>
        <v>210.87881471865981</v>
      </c>
      <c r="T36" s="1349">
        <f ca="1">SUM(T31:T35)</f>
        <v>240.20137484300864</v>
      </c>
      <c r="U36" s="1575">
        <f ca="1">S36+T36</f>
        <v>451.08018956166848</v>
      </c>
      <c r="V36" s="166">
        <f t="shared" ca="1" si="12"/>
        <v>741.4828574022514</v>
      </c>
      <c r="W36" s="166">
        <f t="shared" ca="1" si="12"/>
        <v>770.42106542123656</v>
      </c>
      <c r="X36" s="166">
        <f t="shared" ca="1" si="12"/>
        <v>785.10521241509468</v>
      </c>
      <c r="Y36" s="166">
        <f t="shared" ca="1" si="12"/>
        <v>788.20088069816745</v>
      </c>
      <c r="Z36" s="166">
        <f t="shared" ca="1" si="12"/>
        <v>752.02656930648334</v>
      </c>
      <c r="AA36" s="166">
        <f t="shared" ca="1" si="12"/>
        <v>4251.9151722541583</v>
      </c>
    </row>
    <row r="37" spans="1:27" ht="9" customHeight="1">
      <c r="B37" s="575"/>
      <c r="C37" s="573"/>
      <c r="D37" s="573"/>
      <c r="E37" s="573"/>
      <c r="F37" s="573"/>
      <c r="G37" s="573"/>
      <c r="H37" s="573"/>
      <c r="I37" s="573"/>
      <c r="J37" s="424"/>
      <c r="K37" s="424"/>
      <c r="L37" s="911"/>
      <c r="M37" s="913"/>
      <c r="N37" s="447"/>
      <c r="O37" s="447"/>
      <c r="P37" s="447"/>
      <c r="Q37" s="447"/>
      <c r="R37" s="1350"/>
      <c r="S37" s="1595"/>
      <c r="T37" s="1350"/>
      <c r="U37" s="1576"/>
      <c r="V37" s="447"/>
      <c r="W37" s="447"/>
      <c r="X37" s="447"/>
      <c r="Y37" s="447"/>
      <c r="Z37" s="447"/>
      <c r="AA37" s="451">
        <f t="shared" si="10"/>
        <v>0</v>
      </c>
    </row>
    <row r="38" spans="1:27" ht="15.75" customHeight="1">
      <c r="A38" s="843">
        <v>8</v>
      </c>
      <c r="B38" s="575" t="s">
        <v>523</v>
      </c>
      <c r="C38" s="884" t="s">
        <v>194</v>
      </c>
      <c r="D38" s="573"/>
      <c r="E38" s="573"/>
      <c r="F38" s="573"/>
      <c r="G38" s="573"/>
      <c r="H38" s="573"/>
      <c r="I38" s="451"/>
      <c r="J38" s="451">
        <f>(SUMIF('Ni segment'!$A$262:$A$285,Total!$A$38,'Ni segment'!I$262:I$285)+SUMIF('Zn Pb segment'!$A$152:$A$180,Total!$A$38,'Zn Pb segment'!J$152:J$180)+SUMIF('Cu segment'!$A$222:$A$255,Total!$A$38,'Cu segment'!I$222:I$255)+SUMIF('Total Chemical'!$A$289:$A$319,Total!$A$38,'Total Chemical'!I$289:I$319))/1000000</f>
        <v>-3.64E-3</v>
      </c>
      <c r="K38" s="451">
        <f>(SUMIF('Ni segment'!$A$262:$A$285,Total!$A$38,'Ni segment'!J$262:J$285)+SUMIF('Zn Pb segment'!$A$152:$A$180,Total!$A$38,'Zn Pb segment'!K$152:K$180)+SUMIF('Cu segment'!$A$222:$A$255,Total!$A$38,'Cu segment'!J$222:J$255)+SUMIF('Total Chemical'!$A$289:$A$319,Total!$A$38,'Total Chemical'!J$289:J$319))/1000000</f>
        <v>-6.4030067022422532</v>
      </c>
      <c r="L38" s="451">
        <f>(SUMIF('Ni segment'!$A$262:$A$285,Total!$A$38,'Ni segment'!K$262:K$285)+SUMIF('Zn Pb segment'!$A$152:$A$180,Total!$A$38,'Zn Pb segment'!L$152:L$180)+SUMIF('Cu segment'!$A$222:$A$255,Total!$A$38,'Cu segment'!K$222:K$255)+SUMIF('Total Chemical'!$A$289:$A$319,Total!$A$38,'Total Chemical'!K$289:K$319))/1000000</f>
        <v>-10.741544578021855</v>
      </c>
      <c r="M38" s="451">
        <f>(SUMIF('Ni segment'!$A$262:$A$285,Total!$A$38,'Ni segment'!L$262:L$285)+SUMIF('Zn Pb segment'!$A$152:$A$180,Total!$A$38,'Zn Pb segment'!M$152:M$180)+SUMIF('Cu segment'!$A$222:$A$255,Total!$A$38,'Cu segment'!L$222:L$255)+SUMIF('Total Chemical'!$A$289:$A$319,Total!$A$38,'Total Chemical'!L$289:L$319))/1000000</f>
        <v>-4.9682821293204382</v>
      </c>
      <c r="N38" s="451">
        <f ca="1">(SUMIF('Ni segment'!$A$262:$A$285,Total!$A$38,'Ni segment'!M$262:M$285)+SUMIF('Zn Pb segment'!$A$152:$A$180,Total!$A$38,'Zn Pb segment'!N$152:N$180)+SUMIF('Cu segment'!$A$222:$A$255,Total!$A$38,'Cu segment'!M$222:M$255)+SUMIF('Total Chemical'!$A$289:$A$319,Total!$A$38,'Total Chemical'!M$289:M$319))/1000000</f>
        <v>-3.1403054640724668</v>
      </c>
      <c r="O38" s="451">
        <f ca="1">(SUMIF('Ni segment'!$A$262:$A$285,Total!A38,'Ni segment'!N$262:N$285)+SUMIF('Zn Pb segment'!$A$152:$A$180,Total!A38,'Zn Pb segment'!O$152:O$180)+SUMIF('Cu segment'!$A$222:$A$255,Total!A38,'Cu segment'!N$222:N$255)+SUMIF('Total Chemical'!$A$289:$A$319,Total!A38,'Total Chemical'!N$289:N$319))/1000000</f>
        <v>-2.8240968171277427</v>
      </c>
      <c r="P38" s="451">
        <f>-0.53-1.7</f>
        <v>-2.23</v>
      </c>
      <c r="Q38" s="451">
        <v>-3.4</v>
      </c>
      <c r="R38" s="1347">
        <f ca="1">(SUMIF('Ni segment'!$A:$A,Total!$A38,'Ni segment'!Q:Q)+SUMIF(DSO!$A:$A,Total!$A38,DSO!I:I))/1000000</f>
        <v>-5.4128368560918458</v>
      </c>
      <c r="S38" s="1597">
        <f ca="1">(SUMIF('Ni segment'!$A:$A,Total!$A38,'Ni segment'!R:R)+SUMIF(DSO!$A:$A,Total!$A38,DSO!J:J))/1000000</f>
        <v>-2.0433026999999999</v>
      </c>
      <c r="T38" s="1347">
        <f ca="1">(SUMIF('Ni segment'!$A:$A,Total!$A38,'Ni segment'!S:S)+SUMIF(DSO!$A:$A,Total!$A38,DSO!K:K))/1000000</f>
        <v>-2.2078343386943637</v>
      </c>
      <c r="U38" s="1573">
        <f ca="1">(SUMIF('Ni segment'!$A:$A,Total!$A38,'Ni segment'!T:T))/1000000</f>
        <v>-4.2511370386943641</v>
      </c>
      <c r="V38" s="451">
        <f ca="1">(SUMIF('Ni segment'!$A:$A,Total!$A38,'Ni segment'!U:U)+SUMIF(DSO!$A:$A,Total!$A38,DSO!M:M))/1000000</f>
        <v>-6.1929828278413064</v>
      </c>
      <c r="W38" s="451">
        <f ca="1">(SUMIF('Ni segment'!$A:$A,Total!$A38,'Ni segment'!V:V)+SUMIF(DSO!$A:$A,Total!$A38,DSO!N:N))/1000000</f>
        <v>-4.873725636486836</v>
      </c>
      <c r="X38" s="451">
        <f ca="1">(SUMIF('Ni segment'!$A:$A,Total!$A38,'Ni segment'!W:W)+SUMIF(DSO!$A:$A,Total!$A38,DSO!O:O))/1000000</f>
        <v>-4.6226440608601553</v>
      </c>
      <c r="Y38" s="451">
        <f ca="1">(SUMIF('Ni segment'!$A:$A,Total!$A38,'Ni segment'!X:X)+SUMIF('Zn Pb segment'!$A:$A,Total!$A38,'Zn Pb segment'!Y:Y)+SUMIF('Cu segment'!$A:$A,Total!$A38,'Cu segment'!X:X)+SUMIF(DSO!$A:$A,Total!$A38,DSO!P:P))/1000000</f>
        <v>-4.6164918801129744</v>
      </c>
      <c r="Z38" s="451">
        <f ca="1">(SUMIF('Ni segment'!$A:$A,Total!$A38,'Ni segment'!Y:Y)+SUMIF('Zn Pb segment'!$A:$A,Total!$A38,'Zn Pb segment'!Z:Z)+SUMIF('Cu segment'!$A:$A,Total!$A38,'Cu segment'!Y:Y)+SUMIF(DSO!$A:$A,Total!$A38,DSO!Q:Q))/1000000</f>
        <v>-4.070419163019011</v>
      </c>
      <c r="AA38" s="451">
        <f t="shared" ca="1" si="10"/>
        <v>-28.62740060701465</v>
      </c>
    </row>
    <row r="39" spans="1:27" ht="15.75" customHeight="1">
      <c r="A39" s="843">
        <v>8</v>
      </c>
      <c r="B39" s="575" t="s">
        <v>523</v>
      </c>
      <c r="C39" s="884" t="s">
        <v>1812</v>
      </c>
      <c r="D39" s="573"/>
      <c r="E39" s="573"/>
      <c r="F39" s="573"/>
      <c r="G39" s="573"/>
      <c r="H39" s="573"/>
      <c r="I39" s="451"/>
      <c r="J39" s="451"/>
      <c r="K39" s="451"/>
      <c r="L39" s="451"/>
      <c r="M39" s="451"/>
      <c r="N39" s="451"/>
      <c r="O39" s="451"/>
      <c r="P39" s="451"/>
      <c r="Q39" s="451">
        <f>(SUMIF(Kurilgeo!$A:$A,Total!$A39,Kurilgeo!P:P))/1000000</f>
        <v>-0.3033333333333334</v>
      </c>
      <c r="R39" s="1347">
        <f>(SUMIF(Kurilgeo!$A:$A,Total!$A39,Kurilgeo!Q:Q))/1000000</f>
        <v>-1.2268749999999999</v>
      </c>
      <c r="S39" s="1597">
        <f>(SUMIF(Kurilgeo!$A:$A,Total!$A39,Kurilgeo!R:R))/1000000</f>
        <v>0</v>
      </c>
      <c r="T39" s="1347">
        <f>(SUMIF(Kurilgeo!$A:$A,Total!$A39,Kurilgeo!S:S))/1000000</f>
        <v>-1.2268749999999999</v>
      </c>
      <c r="U39" s="1573">
        <f>(SUMIF(Kurilgeo!$A:$A,Total!$A39,Kurilgeo!T:T))/1000000</f>
        <v>-1.2268749999999999</v>
      </c>
      <c r="V39" s="451">
        <f>(SUMIF(Kurilgeo!$A:$A,Total!$A39,Kurilgeo!U:U))/1000000</f>
        <v>-1.3</v>
      </c>
      <c r="W39" s="451">
        <f>(SUMIF(Kurilgeo!$A:$A,Total!$A39,Kurilgeo!V:V))/1000000</f>
        <v>-0.28437499999999999</v>
      </c>
      <c r="X39" s="451">
        <f>(SUMIF(Kurilgeo!$A:$A,Total!$A39,Kurilgeo!W:W))/1000000</f>
        <v>0</v>
      </c>
      <c r="Y39" s="451">
        <f>(SUMIF(Kurilgeo!$A:$A,Total!$A39,Kurilgeo!X:X))/1000000</f>
        <v>0</v>
      </c>
      <c r="Z39" s="451">
        <f>(SUMIF(Kurilgeo!$A:$A,Total!$A39,Kurilgeo!Y:Y))/1000000</f>
        <v>0</v>
      </c>
      <c r="AA39" s="451">
        <f t="shared" si="10"/>
        <v>-2.8112499999999998</v>
      </c>
    </row>
    <row r="40" spans="1:27" ht="15.75" hidden="1" customHeight="1" outlineLevel="1">
      <c r="A40" s="843">
        <v>8</v>
      </c>
      <c r="B40" s="575" t="s">
        <v>523</v>
      </c>
      <c r="C40" s="884" t="s">
        <v>1139</v>
      </c>
      <c r="D40" s="573"/>
      <c r="E40" s="573"/>
      <c r="F40" s="573"/>
      <c r="G40" s="573"/>
      <c r="H40" s="573"/>
      <c r="I40" s="451"/>
      <c r="J40" s="451">
        <v>0</v>
      </c>
      <c r="K40" s="451">
        <v>0</v>
      </c>
      <c r="L40" s="451">
        <v>0</v>
      </c>
      <c r="M40" s="451">
        <v>0</v>
      </c>
      <c r="N40" s="451">
        <v>0</v>
      </c>
      <c r="O40" s="451">
        <v>0</v>
      </c>
      <c r="P40" s="451">
        <f>(SUMIF(Fenix!$A:$A,Total!$A40,Fenix!O:O))/1000000</f>
        <v>0</v>
      </c>
      <c r="Q40" s="451">
        <f>(SUMIF(Fenix!$A:$A,Total!$A40,Fenix!Q:Q))/1000000</f>
        <v>0</v>
      </c>
      <c r="R40" s="1347">
        <f>(SUMIF(Fenix!$A:$A,Total!$A40,Fenix!R:R))/1000000</f>
        <v>0</v>
      </c>
      <c r="S40" s="1597">
        <f>(SUMIF(Fenix!$A:$A,Total!$A40,Fenix!S:S))/1000000</f>
        <v>0</v>
      </c>
      <c r="T40" s="1347">
        <f>(SUMIF(Fenix!$A:$A,Total!$A40,Fenix!T:T))/1000000</f>
        <v>0</v>
      </c>
      <c r="U40" s="1573">
        <f>(SUMIF(Fenix!$A:$A,Total!$A40,Fenix!U:U))/1000000</f>
        <v>0</v>
      </c>
      <c r="V40" s="451">
        <f>(SUMIF(Fenix!$A:$A,Total!$A40,Fenix!V:V))/1000000</f>
        <v>0</v>
      </c>
      <c r="W40" s="451">
        <f>(SUMIF(Fenix!$A:$A,Total!$A40,Fenix!W:W))/1000000</f>
        <v>0</v>
      </c>
      <c r="X40" s="451">
        <f>(SUMIF(Fenix!$A:$A,Total!$A40,Fenix!X:X))/1000000</f>
        <v>0</v>
      </c>
      <c r="Y40" s="451">
        <f>(SUMIF(Fenix!$A:$A,Total!$A40,Fenix!Y:Y))/1000000</f>
        <v>0</v>
      </c>
      <c r="Z40" s="451">
        <f>(SUMIF(Fenix!$A:$A,Total!$A40,Fenix!Z:Z))/1000000</f>
        <v>0</v>
      </c>
      <c r="AA40" s="451">
        <f t="shared" si="10"/>
        <v>0</v>
      </c>
    </row>
    <row r="41" spans="1:27" ht="15.75" customHeight="1" collapsed="1">
      <c r="A41" s="843">
        <v>8</v>
      </c>
      <c r="B41" s="575" t="s">
        <v>523</v>
      </c>
      <c r="C41" s="884" t="s">
        <v>2040</v>
      </c>
      <c r="D41" s="573"/>
      <c r="E41" s="573"/>
      <c r="F41" s="573"/>
      <c r="G41" s="573"/>
      <c r="H41" s="573"/>
      <c r="I41" s="451"/>
      <c r="J41" s="451">
        <v>0</v>
      </c>
      <c r="K41" s="451">
        <v>0</v>
      </c>
      <c r="L41" s="451">
        <v>0</v>
      </c>
      <c r="M41" s="451">
        <v>0</v>
      </c>
      <c r="N41" s="451">
        <v>0</v>
      </c>
      <c r="O41" s="451">
        <v>0</v>
      </c>
      <c r="P41" s="451">
        <f>(-8.5%*SUM($P$99:P99))/1000000</f>
        <v>0</v>
      </c>
      <c r="Q41" s="451"/>
      <c r="R41" s="1347">
        <f>(-R151*SUM($P$99:R100))</f>
        <v>-6.087460031294488</v>
      </c>
      <c r="S41" s="1597">
        <f>U41/2</f>
        <v>-3.5060728595043869</v>
      </c>
      <c r="T41" s="1347">
        <f>U41/2</f>
        <v>-3.5060728595043869</v>
      </c>
      <c r="U41" s="1573">
        <f>(-U151*AVERAGE(SUM($P$99:$Q$99),SUM($P$99:$Q$99,$U$99)))</f>
        <v>-7.0121457190087737</v>
      </c>
      <c r="V41" s="451">
        <f>(-V151*AVERAGE(SUM($P$99:$Q$99,SUM($U$99)),SUM($P$99:$Q$99,SUM($U$99,V99))))</f>
        <v>-5.1627743435802023</v>
      </c>
      <c r="W41" s="451">
        <f>(-W151*AVERAGE(SUM($P$99:$Q$99,SUM($U$99:V99)),SUM($P$99:$Q$99,SUM($U$99:W99))))</f>
        <v>-3.3134029681516308</v>
      </c>
      <c r="X41" s="451">
        <f>(-X151*AVERAGE(SUM($P$99:$Q$99,SUM($U$99:W99)),SUM($P$99:$Q$99,SUM($U$99:X99))))</f>
        <v>-1.1943318510563927</v>
      </c>
      <c r="Y41" s="451">
        <f>(-Y151*AVERAGE(SUM($P$99:$Q$99,SUM($U$99:X99)),SUM($P$99:$Q$99,SUM($U$99:Y99))))</f>
        <v>5.3578324560021431E-5</v>
      </c>
      <c r="Z41" s="451">
        <f>(-Z151*AVERAGE(SUM($P$99:$Q$99,SUM($U$99:Y99)),SUM($P$99:$Q$99,SUM($U$99:Z99))))</f>
        <v>5.3578324560021431E-5</v>
      </c>
      <c r="AA41" s="451">
        <f t="shared" si="10"/>
        <v>-16.682547725147877</v>
      </c>
    </row>
    <row r="42" spans="1:27" s="1279" customFormat="1" ht="15.75" customHeight="1">
      <c r="B42" s="1280" t="s">
        <v>523</v>
      </c>
      <c r="C42" s="1281" t="s">
        <v>2041</v>
      </c>
      <c r="D42" s="1282"/>
      <c r="E42" s="1282"/>
      <c r="F42" s="1282"/>
      <c r="G42" s="1282"/>
      <c r="H42" s="1282"/>
      <c r="I42" s="1282"/>
      <c r="J42" s="1283"/>
      <c r="K42" s="1283"/>
      <c r="L42" s="1283"/>
      <c r="M42" s="1283"/>
      <c r="N42" s="1283"/>
      <c r="O42" s="1283"/>
      <c r="P42" s="1283">
        <v>0</v>
      </c>
      <c r="Q42" s="1283">
        <v>0</v>
      </c>
      <c r="R42" s="1353">
        <v>0</v>
      </c>
      <c r="S42" s="1623">
        <v>0</v>
      </c>
      <c r="T42" s="1624">
        <f>SUM(Financing!H9:H13)/1000000</f>
        <v>-1.9124074074074071</v>
      </c>
      <c r="U42" s="1577">
        <f>T42</f>
        <v>-1.9124074074074071</v>
      </c>
      <c r="V42" s="1283">
        <f>SUM(Financing!H14:H20)/1000000</f>
        <v>-1.2039506172839507</v>
      </c>
      <c r="W42" s="1283">
        <v>0</v>
      </c>
      <c r="X42" s="1283">
        <v>0</v>
      </c>
      <c r="Y42" s="1283">
        <v>0</v>
      </c>
      <c r="Z42" s="1283">
        <v>0</v>
      </c>
      <c r="AA42" s="1283">
        <f t="shared" si="10"/>
        <v>-3.1163580246913578</v>
      </c>
    </row>
    <row r="43" spans="1:27" ht="15.75" hidden="1" customHeight="1" outlineLevel="1">
      <c r="A43" s="843">
        <v>8</v>
      </c>
      <c r="B43" s="575" t="s">
        <v>523</v>
      </c>
      <c r="C43" s="884" t="s">
        <v>1140</v>
      </c>
      <c r="D43" s="573"/>
      <c r="E43" s="573"/>
      <c r="F43" s="573"/>
      <c r="G43" s="573"/>
      <c r="H43" s="573"/>
      <c r="I43" s="451"/>
      <c r="J43" s="451"/>
      <c r="K43" s="451"/>
      <c r="L43" s="451"/>
      <c r="M43" s="451"/>
      <c r="N43" s="451"/>
      <c r="O43" s="451"/>
      <c r="P43" s="451">
        <f>SUMIF(Acquila!$A:$A,Total!$A$43,Acquila!G:G)</f>
        <v>0</v>
      </c>
      <c r="Q43" s="451">
        <f>(SUMIF(Acquila!$A:$A,Total!$A$43,Acquila!H:H))/1000000</f>
        <v>0</v>
      </c>
      <c r="R43" s="1347">
        <f>(SUMIF(Acquila!$A:$A,Total!$A$43,Acquila!I:I))/1000000</f>
        <v>0</v>
      </c>
      <c r="S43" s="1597">
        <f>(SUMIF(Acquila!$A:$A,Total!$A$15,Acquila!G:G))/1000000</f>
        <v>0</v>
      </c>
      <c r="T43" s="1347">
        <f>(SUMIF(Acquila!$A:$A,Total!$A$15,Acquila!G:G))/1000000</f>
        <v>0</v>
      </c>
      <c r="U43" s="1573">
        <f>(SUMIF(Acquila!$A:$A,Total!$A$15,Acquila!G:G))/1000000</f>
        <v>0</v>
      </c>
      <c r="V43" s="451">
        <f>(SUMIF(Acquila!$A:$A,Total!$A$43,Acquila!J:J))/1000000</f>
        <v>0</v>
      </c>
      <c r="W43" s="451">
        <v>0</v>
      </c>
      <c r="X43" s="451">
        <f>(SUMIF(Acquila!$A:$A,Total!$A$15,Acquila!H:H))/1000000</f>
        <v>0</v>
      </c>
      <c r="Y43" s="451">
        <f>(SUMIF(Acquila!$A:$A,Total!$A$15,Acquila!I:I))/1000000</f>
        <v>0</v>
      </c>
      <c r="Z43" s="451">
        <f>(SUMIF(Acquila!$A:$A,Total!$A$15,Acquila!J:J))/1000000</f>
        <v>0</v>
      </c>
      <c r="AA43" s="451">
        <f t="shared" si="10"/>
        <v>0</v>
      </c>
    </row>
    <row r="44" spans="1:27" ht="15.75" hidden="1" customHeight="1" outlineLevel="1">
      <c r="A44" s="843">
        <v>9</v>
      </c>
      <c r="B44" s="575" t="s">
        <v>525</v>
      </c>
      <c r="C44" s="884" t="s">
        <v>187</v>
      </c>
      <c r="D44" s="573"/>
      <c r="E44" s="573"/>
      <c r="F44" s="573"/>
      <c r="G44" s="573"/>
      <c r="H44" s="573"/>
      <c r="I44" s="451"/>
      <c r="J44" s="451">
        <f>(SUMIF('Ni segment'!$A:$A,Total!$A44,'Ni segment'!I:I)+SUMIF('Zn Pb segment'!$A:$A,Total!$A44,'Zn Pb segment'!J:J)+SUMIF('Cu segment'!$A:$A,Total!$A44,'Cu segment'!I:I)+SUMIF('Total Chemical'!$A:$A,Total!$A44,'Total Chemical'!I:I))/1000000</f>
        <v>9.3130000000000001E-3</v>
      </c>
      <c r="K44" s="451">
        <f>(SUMIF('Ni segment'!$A:$A,Total!$A44,'Ni segment'!J:J)+SUMIF('Zn Pb segment'!$A:$A,Total!$A44,'Zn Pb segment'!K:K)+SUMIF('Cu segment'!$A:$A,Total!$A44,'Cu segment'!J:J)+SUMIF('Total Chemical'!$A:$A,Total!$A44,'Total Chemical'!J:J))/1000000</f>
        <v>1.447298187967736E-2</v>
      </c>
      <c r="L44" s="451">
        <f ca="1">(SUMIF('Ni segment'!$A:$A,Total!$A44,'Ni segment'!K:K)+SUMIF('Zn Pb segment'!$A:$A,Total!$A44,'Zn Pb segment'!L:L)+SUMIF('Cu segment'!$A:$A,Total!$A44,'Cu segment'!K:K)+SUMIF('Total Chemical'!$A:$A,Total!$A44,'Total Chemical'!K:K))/1000000</f>
        <v>0</v>
      </c>
      <c r="M44" s="451">
        <f ca="1">(SUMIF('Ni segment'!$A:$A,Total!$A44,'Ni segment'!L:L)+SUMIF('Zn Pb segment'!$A:$A,Total!$A44,'Zn Pb segment'!M:M)+SUMIF('Cu segment'!$A:$A,Total!$A44,'Cu segment'!L:L)+SUMIF('Total Chemical'!$A:$A,Total!$A44,'Total Chemical'!L:L))/1000000</f>
        <v>0</v>
      </c>
      <c r="N44" s="451">
        <f ca="1">(SUMIF('Ni segment'!$A$262:$A$285,Total!A44,'Ni segment'!M$262:M$285)+SUMIF('Zn Pb segment'!$A$152:$A$180,Total!A44,'Zn Pb segment'!N$152:N$180)+SUMIF('Cu segment'!$A$222:$A$255,Total!A44,'Cu segment'!M$222:M$255)+SUMIF('Total Chemical'!$A$289:$A$319,Total!A44,'Total Chemical'!M$289:M$319))/1000000</f>
        <v>0</v>
      </c>
      <c r="O44" s="451">
        <f ca="1">(SUMIF('Ni segment'!$A$262:$A$285,Total!A44,'Ni segment'!N$262:N$285)+SUMIF('Zn Pb segment'!$A$152:$A$180,Total!A44,'Zn Pb segment'!O$152:O$180)+SUMIF('Cu segment'!$A$222:$A$255,Total!A44,'Cu segment'!N$222:N$255)+SUMIF('Total Chemical'!$A$289:$A$319,Total!A44,'Total Chemical'!N$289:N$319))/1000000</f>
        <v>0</v>
      </c>
      <c r="P44" s="451">
        <f ca="1">(SUMIF('Ni segment'!$A:$A,Total!$A44,'Ni segment'!O:O)+SUMIF('Zn Pb segment'!$A:$A,Total!$A44,'Zn Pb segment'!P:P)+SUMIF('Cu segment'!$A:$A,Total!$A44,'Cu segment'!O:O)+SUMIF('Total Chemical'!$A:$A,Total!$A44,'Total Chemical'!O:O)+SUMIF(Acquila!$A:$A,Total!$A44,Acquila!G:G))/1000000</f>
        <v>0</v>
      </c>
      <c r="Q44" s="451">
        <f ca="1">(SUMIF('Ni segment'!$A:$A,Total!$A44,'Ni segment'!P:P)+SUMIF('Zn Pb segment'!$A:$A,Total!$A44,'Zn Pb segment'!Q:Q)+SUMIF('Cu segment'!$A:$A,Total!$A44,'Cu segment'!P:P)+SUMIF('Total Chemical'!$A:$A,Total!$A44,'Total Chemical'!P:P)+SUMIF(Acquila!$A:$A,Total!$A44,Acquila!H:H))/1000000</f>
        <v>0</v>
      </c>
      <c r="R44" s="1347">
        <f ca="1">(SUMIF('Ni segment'!$A:$A,Total!$A44,'Ni segment'!Q:Q)+SUMIF('Zn Pb segment'!$A:$A,Total!$A44,'Zn Pb segment'!R:R)+SUMIF('Cu segment'!$A:$A,Total!$A44,'Cu segment'!Q:Q)+SUMIF('Total Chemical'!$A:$A,Total!$A44,'Total Chemical'!Q:Q)+SUMIF(Acquila!$A:$A,Total!$A44,Acquila!I:I))/1000000</f>
        <v>0</v>
      </c>
      <c r="S44" s="1597">
        <f ca="1">(SUMIF('Ni segment'!$A:$A,Total!$A44,'Ni segment'!R:R)+SUMIF('Zn Pb segment'!$A:$A,Total!$A44,'Zn Pb segment'!S:S)+SUMIF('Cu segment'!$A:$A,Total!$A44,'Cu segment'!R:R)+SUMIF('Total Chemical'!$A:$A,Total!$A44,'Total Chemical'!R:R)+SUMIF(Acquila!$A:$A,Total!$A44,Acquila!J:J))/1000000</f>
        <v>0</v>
      </c>
      <c r="T44" s="1347">
        <f ca="1">(SUMIF('Ni segment'!$A:$A,Total!$A44,'Ni segment'!S:S)+SUMIF('Zn Pb segment'!$A:$A,Total!$A44,'Zn Pb segment'!T:T)+SUMIF('Cu segment'!$A:$A,Total!$A44,'Cu segment'!S:S)+SUMIF('Total Chemical'!$A:$A,Total!$A44,'Total Chemical'!S:S)+SUMIF(Acquila!$A:$A,Total!$A44,Acquila!K:K))/1000000</f>
        <v>0</v>
      </c>
      <c r="U44" s="1573">
        <f ca="1">S44+T44</f>
        <v>0</v>
      </c>
      <c r="V44" s="451">
        <f ca="1">(SUMIF('Ni segment'!$A:$A,Total!$A44,'Ni segment'!U:U)+SUMIF('Zn Pb segment'!$A:$A,Total!$A44,'Zn Pb segment'!V:V)+SUMIF('Cu segment'!$A:$A,Total!$A44,'Cu segment'!U:U)+SUMIF('Total Chemical'!$A:$A,Total!$A44,'Total Chemical'!R:R)+SUMIF(Acquila!$A:$A,Total!$A44,Acquila!H:H))/1000000</f>
        <v>0</v>
      </c>
      <c r="W44" s="451">
        <f ca="1">(SUMIF('Ni segment'!$A:$A,Total!$A44,'Ni segment'!V:V)+SUMIF('Zn Pb segment'!$A:$A,Total!$A44,'Zn Pb segment'!W:W)+SUMIF('Cu segment'!$A:$A,Total!$A44,'Cu segment'!V:V)+SUMIF('Total Chemical'!$A:$A,Total!$A44,'Total Chemical'!S:S)+SUMIF(Acquila!$A:$A,Total!$A44,Acquila!I:I))/1000000</f>
        <v>0</v>
      </c>
      <c r="X44" s="451">
        <f ca="1">(SUMIF('Ni segment'!$A:$A,Total!$A44,'Ni segment'!W:W)+SUMIF('Zn Pb segment'!$A:$A,Total!$A44,'Zn Pb segment'!X:X)+SUMIF('Cu segment'!$A:$A,Total!$A44,'Cu segment'!W:W)+SUMIF('Total Chemical'!$A:$A,Total!$A44,'Total Chemical'!T:T)+SUMIF(Acquila!$A:$A,Total!$A44,Acquila!J:J))/1000000</f>
        <v>0</v>
      </c>
      <c r="Y44" s="451">
        <f ca="1">(SUMIF('Ni segment'!$A:$A,Total!$A44,'Ni segment'!X:X)+SUMIF('Zn Pb segment'!$A:$A,Total!$A44,'Zn Pb segment'!Y:Y)+SUMIF('Cu segment'!$A:$A,Total!$A44,'Cu segment'!X:X)+SUMIF('Total Chemical'!$A:$A,Total!$A44,'Total Chemical'!U:U)+SUMIF(Acquila!$A:$A,Total!$A44,Acquila!K:K))/1000000</f>
        <v>0</v>
      </c>
      <c r="Z44" s="451">
        <f ca="1">(SUMIF('Ni segment'!$A:$A,Total!$A44,'Ni segment'!Y:Y)+SUMIF('Zn Pb segment'!$A:$A,Total!$A44,'Zn Pb segment'!Z:Z)+SUMIF('Cu segment'!$A:$A,Total!$A44,'Cu segment'!Y:Y)+SUMIF('Total Chemical'!$A:$A,Total!$A44,'Total Chemical'!V:V)+SUMIF(Acquila!$A:$A,Total!$A44,Acquila!L:L))/1000000</f>
        <v>0</v>
      </c>
      <c r="AA44" s="451">
        <f t="shared" ca="1" si="10"/>
        <v>0</v>
      </c>
    </row>
    <row r="45" spans="1:27" ht="15.75" customHeight="1" collapsed="1">
      <c r="B45" s="575" t="s">
        <v>525</v>
      </c>
      <c r="C45" s="884" t="s">
        <v>1823</v>
      </c>
      <c r="D45" s="573"/>
      <c r="E45" s="573"/>
      <c r="F45" s="573"/>
      <c r="G45" s="573"/>
      <c r="H45" s="573"/>
      <c r="I45" s="424"/>
      <c r="J45" s="424">
        <v>0</v>
      </c>
      <c r="K45" s="424">
        <v>0</v>
      </c>
      <c r="L45" s="424">
        <v>0</v>
      </c>
      <c r="M45" s="424">
        <v>0</v>
      </c>
      <c r="N45" s="424">
        <v>0</v>
      </c>
      <c r="O45" s="424">
        <v>0</v>
      </c>
      <c r="P45" s="424"/>
      <c r="Q45" s="424">
        <f>('Real Estate'!P19)/1000000</f>
        <v>0</v>
      </c>
      <c r="R45" s="1347">
        <f>('Real Estate'!Q19)/1000000</f>
        <v>109</v>
      </c>
      <c r="S45" s="1597">
        <f>('Real Estate'!R19)/1000000</f>
        <v>23.6</v>
      </c>
      <c r="T45" s="1347">
        <f>('Real Estate'!S19)/1000000</f>
        <v>71.400000000000006</v>
      </c>
      <c r="U45" s="1573">
        <f>('Real Estate'!T19)/1000000</f>
        <v>95</v>
      </c>
      <c r="V45" s="424">
        <f>('Real Estate'!U19)/1000000</f>
        <v>60</v>
      </c>
      <c r="W45" s="424">
        <f>('Real Estate'!V19)/1000000</f>
        <v>30</v>
      </c>
      <c r="X45" s="424">
        <f>('Real Estate'!W19)/1000000</f>
        <v>0</v>
      </c>
      <c r="Y45" s="424">
        <f>('Real Estate'!X19)/1000000</f>
        <v>0</v>
      </c>
      <c r="Z45" s="424">
        <f>('Real Estate'!Y19)/1000000</f>
        <v>0</v>
      </c>
      <c r="AA45" s="451">
        <f t="shared" si="10"/>
        <v>185</v>
      </c>
    </row>
    <row r="46" spans="1:27">
      <c r="A46" s="843">
        <v>4</v>
      </c>
      <c r="B46" s="575" t="s">
        <v>525</v>
      </c>
      <c r="C46" s="884" t="s">
        <v>1185</v>
      </c>
      <c r="D46" s="573"/>
      <c r="E46" s="573"/>
      <c r="F46" s="573"/>
      <c r="G46" s="573"/>
      <c r="H46" s="573"/>
      <c r="I46" s="573"/>
      <c r="J46" s="451">
        <f>(SUMIF('Ni segment'!$A:$A,Total!$A46,'Ni segment'!I:I)+SUMIF('Zn Pb segment'!$A:$A,Total!$A46,'Zn Pb segment'!J:J)+SUMIF('Cu segment'!$A:$A,Total!$A46,'Cu segment'!I:I)+SUMIF('Total Chemical'!$A:$A,Total!$A46,'Total Chemical'!I:I))/1000000</f>
        <v>0</v>
      </c>
      <c r="K46" s="451">
        <f>(SUMIF('Ni segment'!$A:$A,Total!$A46,'Ni segment'!J:J)+SUMIF('Zn Pb segment'!$A:$A,Total!$A46,'Zn Pb segment'!K:K)+SUMIF('Cu segment'!$A:$A,Total!$A46,'Cu segment'!J:J)+SUMIF('Total Chemical'!$A:$A,Total!$A46,'Total Chemical'!J:J))/1000000</f>
        <v>10.502310111148404</v>
      </c>
      <c r="L46" s="451">
        <f>(SUMIF('Ni segment'!$A:$A,Total!$A46,'Ni segment'!K:K)+SUMIF('Zn Pb segment'!$A:$A,Total!$A46,'Zn Pb segment'!L:L)+SUMIF('Cu segment'!$A:$A,Total!$A46,'Cu segment'!K:K)+SUMIF('Total Chemical'!$A:$A,Total!$A46,'Total Chemical'!K:K))/1000000</f>
        <v>-11.460089440000001</v>
      </c>
      <c r="M46" s="451">
        <f>(SUMIF('Ni segment'!$A:$A,Total!$A46,'Ni segment'!L:L)+SUMIF('Zn Pb segment'!$A:$A,Total!$A46,'Zn Pb segment'!M:M)+SUMIF('Cu segment'!$A:$A,Total!$A46,'Cu segment'!L:L)+SUMIF('Total Chemical'!$A:$A,Total!$A46,'Total Chemical'!L:L))/1000000</f>
        <v>-47.165588171067448</v>
      </c>
      <c r="N46" s="451">
        <f>(SUMIF('Ni segment'!$A:$A,Total!$A46,'Ni segment'!M:M)+SUMIF('Zn Pb segment'!$A:$A,Total!$A46,'Zn Pb segment'!N:N)+SUMIF('Cu segment'!$A:$A,Total!$A46,'Cu segment'!M:M)+SUMIF('Total Chemical'!$A:$A,Total!$A46,'Total Chemical'!M:M))/1000000</f>
        <v>-10.227865</v>
      </c>
      <c r="O46" s="451">
        <f>(SUMIF('Ni segment'!$A:$A,Total!$A46,'Ni segment'!N:N)+SUMIF('Zn Pb segment'!$A:$A,Total!$A46,'Zn Pb segment'!O:O)+SUMIF('Cu segment'!$A:$A,Total!$A46,'Cu segment'!N:N)+SUMIF('Total Chemical'!$A:$A,Total!$A46,'Total Chemical'!N:N))/1000000</f>
        <v>-3.5786829999999998</v>
      </c>
      <c r="P46" s="451">
        <f>-7.9-P38</f>
        <v>-5.67</v>
      </c>
      <c r="Q46" s="451">
        <f>50.4-Q38</f>
        <v>53.8</v>
      </c>
      <c r="R46" s="1351">
        <v>0</v>
      </c>
      <c r="S46" s="1601">
        <v>0</v>
      </c>
      <c r="T46" s="1351">
        <v>0</v>
      </c>
      <c r="U46" s="1567">
        <f>S46+T46</f>
        <v>0</v>
      </c>
      <c r="V46" s="898">
        <v>0</v>
      </c>
      <c r="W46" s="898">
        <v>0</v>
      </c>
      <c r="X46" s="898">
        <v>0</v>
      </c>
      <c r="Y46" s="898">
        <v>0</v>
      </c>
      <c r="Z46" s="898">
        <v>0</v>
      </c>
      <c r="AA46" s="451">
        <f t="shared" si="10"/>
        <v>0</v>
      </c>
    </row>
    <row r="47" spans="1:27" s="762" customFormat="1" ht="15.75" customHeight="1">
      <c r="A47" s="843"/>
      <c r="B47" s="759" t="s">
        <v>524</v>
      </c>
      <c r="C47" s="760" t="s">
        <v>188</v>
      </c>
      <c r="D47" s="761"/>
      <c r="E47" s="761"/>
      <c r="F47" s="761"/>
      <c r="G47" s="761"/>
      <c r="H47" s="761"/>
      <c r="I47" s="166"/>
      <c r="J47" s="166">
        <f>SUM(J36:J46)</f>
        <v>163.37656872681242</v>
      </c>
      <c r="K47" s="166">
        <f t="shared" ref="K47:AA47" si="13">SUM(K36:K46)</f>
        <v>148.81956312842624</v>
      </c>
      <c r="L47" s="166">
        <f t="shared" ca="1" si="13"/>
        <v>337.66186871457586</v>
      </c>
      <c r="M47" s="166">
        <f t="shared" ca="1" si="13"/>
        <v>144.38474096960095</v>
      </c>
      <c r="N47" s="166">
        <f t="shared" ca="1" si="13"/>
        <v>182.53344436054581</v>
      </c>
      <c r="O47" s="166">
        <f t="shared" ca="1" si="13"/>
        <v>235.22751770790495</v>
      </c>
      <c r="P47" s="166">
        <f t="shared" ca="1" si="13"/>
        <v>130.55180656958214</v>
      </c>
      <c r="Q47" s="166">
        <f ca="1">SUM(Q36:Q46)</f>
        <v>298.69818755401798</v>
      </c>
      <c r="R47" s="1349">
        <f t="shared" ca="1" si="13"/>
        <v>499.06492406488167</v>
      </c>
      <c r="S47" s="1599">
        <f ca="1">SUM(S36:S46)</f>
        <v>228.92943915915541</v>
      </c>
      <c r="T47" s="1349">
        <f ca="1">SUM(T36:T46)</f>
        <v>302.74818523740248</v>
      </c>
      <c r="U47" s="1575">
        <f ca="1">S47+T47</f>
        <v>531.67762439655792</v>
      </c>
      <c r="V47" s="166">
        <f t="shared" ca="1" si="13"/>
        <v>787.62314961354605</v>
      </c>
      <c r="W47" s="166">
        <f t="shared" ca="1" si="13"/>
        <v>791.94956181659813</v>
      </c>
      <c r="X47" s="166">
        <f t="shared" ca="1" si="13"/>
        <v>779.28823650317815</v>
      </c>
      <c r="Y47" s="166">
        <f t="shared" ca="1" si="13"/>
        <v>783.58444239637902</v>
      </c>
      <c r="Z47" s="166">
        <f t="shared" ca="1" si="13"/>
        <v>747.95620372178894</v>
      </c>
      <c r="AA47" s="166">
        <f t="shared" ca="1" si="13"/>
        <v>4385.6776158973053</v>
      </c>
    </row>
    <row r="48" spans="1:27" ht="7.5" customHeight="1">
      <c r="B48" s="575"/>
      <c r="C48" s="695"/>
      <c r="D48" s="573"/>
      <c r="E48" s="573"/>
      <c r="F48" s="573"/>
      <c r="G48" s="573"/>
      <c r="H48" s="573"/>
      <c r="I48" s="573"/>
      <c r="J48" s="451"/>
      <c r="K48" s="451"/>
      <c r="L48" s="451"/>
      <c r="M48" s="451"/>
      <c r="N48" s="447"/>
      <c r="S48" s="1601"/>
      <c r="T48" s="1351"/>
      <c r="AA48" s="451">
        <f t="shared" si="10"/>
        <v>0</v>
      </c>
    </row>
    <row r="49" spans="1:30" ht="15.75" customHeight="1">
      <c r="A49" s="843">
        <v>10</v>
      </c>
      <c r="B49" s="575" t="s">
        <v>523</v>
      </c>
      <c r="C49" s="695" t="s">
        <v>189</v>
      </c>
      <c r="D49" s="573"/>
      <c r="E49" s="573"/>
      <c r="F49" s="573"/>
      <c r="G49" s="573"/>
      <c r="H49" s="573"/>
      <c r="I49" s="451"/>
      <c r="J49" s="451">
        <f>(SUMIF('Ni segment'!$A:$A,Total!$A49,'Ni segment'!I:I)+SUMIF('Zn Pb segment'!$A:$A,Total!$A49,'Zn Pb segment'!J:J)+SUMIF('Cu segment'!$A:$A,Total!$A49,'Cu segment'!I:I)+SUMIF('Total Chemical'!$A:$A,Total!$A49,'Total Chemical'!I:I))/1000000</f>
        <v>0</v>
      </c>
      <c r="K49" s="451">
        <f>(SUMIF('Ni segment'!$A:$A,Total!$A49,'Ni segment'!J:J)+SUMIF('Zn Pb segment'!$A:$A,Total!$A49,'Zn Pb segment'!K:K)+SUMIF('Cu segment'!$A:$A,Total!$A49,'Cu segment'!J:J)+SUMIF('Total Chemical'!$A:$A,Total!$A49,'Total Chemical'!J:J))/1000000</f>
        <v>-0.24125854426651569</v>
      </c>
      <c r="L49" s="451">
        <f ca="1">(SUMIF('Ni segment'!$A:$A,Total!$A49,'Ni segment'!K:K)+SUMIF('Zn Pb segment'!$A:$A,Total!$A49,'Zn Pb segment'!L:L)+SUMIF('Cu segment'!$A:$A,Total!$A49,'Cu segment'!K:K)+SUMIF('Total Chemical'!$A:$A,Total!$A49,'Total Chemical'!K:K))/1000000</f>
        <v>-0.73664565884043043</v>
      </c>
      <c r="M49" s="451">
        <f ca="1">(SUMIF('Ni segment'!$A:$A,Total!$A49,'Ni segment'!L:L)+SUMIF('Zn Pb segment'!$A:$A,Total!$A49,'Zn Pb segment'!M:M)+SUMIF('Cu segment'!$A:$A,Total!$A49,'Cu segment'!L:L)+SUMIF('Total Chemical'!$A:$A,Total!$A49,'Total Chemical'!L:L))/1000000</f>
        <v>-3.0206371184129037</v>
      </c>
      <c r="N49" s="451">
        <f>(SUMIF('Ni segment'!$A$262:$A$285,Total!A49,'Ni segment'!M$262:M$285)+SUMIF('Zn Pb segment'!$A$152:$A$180,Total!A49,'Zn Pb segment'!N$152:N$180)+SUMIF('Cu segment'!$A$222:$A$255,Total!A49,'Cu segment'!M$222:M$255)+SUMIF('Total Chemical'!$A$289:$A$319,Total!A49,'Total Chemical'!M$289:M$319))/1000000</f>
        <v>-2.6272296296296297E-2</v>
      </c>
      <c r="O49" s="451">
        <f ca="1">(SUMIF('Ni segment'!$A$262:$A$285,Total!A49,'Ni segment'!N$262:N$285)+SUMIF('Zn Pb segment'!$A$152:$A$180,Total!A49,'Zn Pb segment'!O$152:O$180)+SUMIF('Cu segment'!$A$222:$A$255,Total!A49,'Cu segment'!N$222:N$255)+SUMIF('Total Chemical'!$A$289:$A$319,Total!A49,'Total Chemical'!N$289:N$319))/1000000</f>
        <v>-1.6799940740740742E-2</v>
      </c>
      <c r="P49" s="1565">
        <v>0.122</v>
      </c>
      <c r="Q49" s="451">
        <f ca="1">(SUMIF('Ni segment'!$A$262:$A$285,Total!A49,'Ni segment'!P$262:P$284)+SUMIF('Zn Pb segment'!$A$152:$A$180,Total!A49,'Zn Pb segment'!Q$152:Q$180)+SUMIF('Cu segment'!$A$222:$A$255,Total!A49,'Cu segment'!P$222:P$255)+'Real Estate'!P22)/1000000</f>
        <v>-2.669851</v>
      </c>
      <c r="R49" s="1347">
        <f ca="1">(SUMIF('Ni segment'!$A$262:$A$285,Total!$A$49,'Ni segment'!Q$262:Q$284)+SUMIF('Zn Pb segment'!$A$152:$A$180,Total!$A$49,'Zn Pb segment'!R$152:R$180)+SUMIF('Cu segment'!$A$222:$A$255,Total!$A$49,'Cu segment'!Q$222:Q$255))/1000000</f>
        <v>-4.6097719975119444</v>
      </c>
      <c r="S49" s="1597">
        <f ca="1">(SUMIF('Ni segment'!$A$262:$A$285,Total!$A$49,'Ni segment'!R$262:R$284)+SUMIF('Zn Pb segment'!$A$152:$A$180,Total!$A$49,'Zn Pb segment'!S$152:S$180)+SUMIF('Cu segment'!$A$222:$A$255,Total!$A$49,'Cu segment'!R$222:R$255))/1000000</f>
        <v>-0.38247561661309398</v>
      </c>
      <c r="T49" s="1347">
        <f ca="1">(SUMIF('Ni segment'!$A$262:$A$285,Total!$A$49,'Ni segment'!S$262:S$284)+SUMIF('Zn Pb segment'!$A$152:$A$180,Total!$A$49,'Zn Pb segment'!T$152:T$180)+SUMIF('Cu segment'!$A$222:$A$255,Total!$A$49,'Cu segment'!S$222:S$255))/1000000</f>
        <v>-2.8454365652441487</v>
      </c>
      <c r="U49" s="1573">
        <f ca="1">(SUMIF('Ni segment'!$A$262:$A$285,Total!$A$49,'Ni segment'!T$262:T$284)+SUMIF('Zn Pb segment'!$A$152:$A$180,Total!$A$49,'Zn Pb segment'!U$152:U$180)+SUMIF('Cu segment'!$A$222:$A$255,Total!$A$49,'Cu segment'!T$222:T$255))/1000000</f>
        <v>-3.2279121818572429</v>
      </c>
      <c r="V49" s="451">
        <f ca="1">(SUMIF('Ni segment'!$A$262:$A$285,Total!$A$49,'Ni segment'!U$262:U$284)+SUMIF('Zn Pb segment'!$A$152:$A$180,Total!$A$49,'Zn Pb segment'!V$152:V$180)+SUMIF('Cu segment'!$A$222:$A$255,Total!$A$49,'Cu segment'!U$222:U$255))/1000000</f>
        <v>-5.9725173328538155</v>
      </c>
      <c r="W49" s="451">
        <f ca="1">(SUMIF('Ni segment'!$A$262:$A$285,Total!$A$49,'Ni segment'!V$262:V$284)+SUMIF('Zn Pb segment'!$A$152:$A$180,Total!$A$49,'Zn Pb segment'!W$152:W$180)+SUMIF('Cu segment'!$A$222:$A$255,Total!$A$49,'Cu segment'!V$222:V$255))/1000000</f>
        <v>-5.7629245758512724</v>
      </c>
      <c r="X49" s="451">
        <f ca="1">(SUMIF('Ni segment'!$A$262:$A$285,Total!$A$49,'Ni segment'!W$262:W$284)+SUMIF('Zn Pb segment'!$A$152:$A$180,Total!$A$49,'Zn Pb segment'!X$152:X$180)+SUMIF('Cu segment'!$A$222:$A$255,Total!$A$49,'Cu segment'!W$222:W$255))/1000000</f>
        <v>-5.9086989110027739</v>
      </c>
      <c r="Y49" s="451">
        <f ca="1">(SUMIF('Ni segment'!$A$262:$A$285,Total!$A$49,'Ni segment'!X$262:X$284)+SUMIF('Zn Pb segment'!$A$152:$A$180,Total!$A$49,'Zn Pb segment'!Y$152:Y$180)+SUMIF('Cu segment'!$A$222:$A$255,Total!$A$49,'Cu segment'!X$222:X$255))/1000000</f>
        <v>-5.8629075835919062</v>
      </c>
      <c r="Z49" s="451">
        <f ca="1">(SUMIF('Ni segment'!$A$262:$A$285,Total!$A$49,'Ni segment'!Y$262:Y$284)+SUMIF('Zn Pb segment'!$A$152:$A$180,Total!$A$49,'Zn Pb segment'!Z$152:Z$180)+SUMIF('Cu segment'!$A$222:$A$255,Total!$A$49,'Cu segment'!Y$222:Y$255))/1000000</f>
        <v>-5.1720888590139493</v>
      </c>
      <c r="AA49" s="451">
        <f t="shared" ca="1" si="10"/>
        <v>-31.907049444170958</v>
      </c>
      <c r="AC49" s="927"/>
    </row>
    <row r="50" spans="1:30" ht="15.75" customHeight="1">
      <c r="A50" s="843">
        <v>10</v>
      </c>
      <c r="B50" s="575" t="s">
        <v>523</v>
      </c>
      <c r="C50" s="695" t="s">
        <v>1813</v>
      </c>
      <c r="D50" s="573"/>
      <c r="E50" s="573"/>
      <c r="F50" s="573"/>
      <c r="G50" s="573"/>
      <c r="H50" s="573"/>
      <c r="I50" s="451"/>
      <c r="J50" s="451"/>
      <c r="K50" s="451"/>
      <c r="L50" s="451"/>
      <c r="M50" s="451"/>
      <c r="N50" s="451"/>
      <c r="O50" s="451"/>
      <c r="P50" s="451"/>
      <c r="Q50" s="451">
        <f>(SUMIF(Kurilgeo!$A:$A,Total!$A50,Kurilgeo!P:P))/1000000</f>
        <v>0</v>
      </c>
      <c r="R50" s="1347">
        <f>(SUMIF(Kurilgeo!$A:$A,Total!$A50,Kurilgeo!Q:Q))/1000000</f>
        <v>-9.1726309741608301</v>
      </c>
      <c r="S50" s="1597">
        <f>(SUMIF(Kurilgeo!$A:$A,Total!$A50,Kurilgeo!R:R))/1000000</f>
        <v>0</v>
      </c>
      <c r="T50" s="1347">
        <f>(SUMIF(Kurilgeo!$A:$A,Total!$A50,Kurilgeo!S:S))/1000000</f>
        <v>-9.1726309741608301</v>
      </c>
      <c r="U50" s="1573">
        <f>(SUMIF(Kurilgeo!$A:$A,Total!$A50,Kurilgeo!T:T))/1000000</f>
        <v>-9.1726309741608301</v>
      </c>
      <c r="V50" s="451">
        <f>(SUMIF(Kurilgeo!$A:$A,Total!$A50,Kurilgeo!U:U))/1000000</f>
        <v>-5.3062988636448942</v>
      </c>
      <c r="W50" s="451">
        <f>(SUMIF(Kurilgeo!$A:$A,Total!$A50,Kurilgeo!V:V))/1000000</f>
        <v>-7.4062340450903621</v>
      </c>
      <c r="X50" s="451">
        <f>(SUMIF(Kurilgeo!$A:$A,Total!$A50,Kurilgeo!W:W))/1000000</f>
        <v>-8.0870585235602803</v>
      </c>
      <c r="Y50" s="451">
        <f>(SUMIF(Kurilgeo!$A:$A,Total!$A50,Kurilgeo!X:X))/1000000</f>
        <v>-8.8386592460238109</v>
      </c>
      <c r="Z50" s="451">
        <f>(SUMIF(Kurilgeo!$A:$A,Total!$A50,Kurilgeo!Y:Y))/1000000</f>
        <v>-9.3866586182559573</v>
      </c>
      <c r="AA50" s="451">
        <f t="shared" si="10"/>
        <v>-48.197540270736134</v>
      </c>
      <c r="AC50" s="927"/>
    </row>
    <row r="51" spans="1:30" ht="15.75" customHeight="1">
      <c r="A51" s="843">
        <v>10</v>
      </c>
      <c r="B51" s="575" t="s">
        <v>523</v>
      </c>
      <c r="C51" s="695" t="s">
        <v>744</v>
      </c>
      <c r="D51" s="573"/>
      <c r="E51" s="573"/>
      <c r="F51" s="573"/>
      <c r="G51" s="573"/>
      <c r="H51" s="573"/>
      <c r="I51" s="451"/>
      <c r="J51" s="451">
        <v>0</v>
      </c>
      <c r="K51" s="451">
        <v>0</v>
      </c>
      <c r="L51" s="451">
        <v>0</v>
      </c>
      <c r="M51" s="451">
        <v>0</v>
      </c>
      <c r="N51" s="451">
        <v>0</v>
      </c>
      <c r="O51" s="451">
        <v>0</v>
      </c>
      <c r="P51" s="451">
        <f>(SUMIF(DSO!$A:$A,Total!$A51,DSO!G:G))/1000000</f>
        <v>-1.7819000000000002E-2</v>
      </c>
      <c r="Q51" s="451">
        <f>(SUMIF(DSO!$A:$A,Total!$A51,DSO!H:H))/1000000</f>
        <v>0</v>
      </c>
      <c r="R51" s="1347">
        <f>(SUMIF(DSO!$A:$A,Total!$A51,DSO!I:I))/1000000</f>
        <v>-14.752762499999999</v>
      </c>
      <c r="S51" s="1602">
        <f>(SUMIF(DSO!$A:$A,Total!$A51,DSO!J:J))/1000000</f>
        <v>0</v>
      </c>
      <c r="T51" s="1603">
        <f>(SUMIF(DSO!$A:$A,Total!$A51,DSO!K:K))/1000000</f>
        <v>-4.62</v>
      </c>
      <c r="U51" s="1573">
        <f>(SUMIF(DSO!$A:$A,Total!$A51,DSO!L:L))/1000000</f>
        <v>-4.62</v>
      </c>
      <c r="V51" s="451">
        <f>(SUMIF(DSO!$A:$A,Total!$A51,DSO!M:M))/1000000</f>
        <v>0</v>
      </c>
      <c r="W51" s="451">
        <f>(SUMIF(DSO!$A:$A,Total!$A51,DSO!N:N))/1000000</f>
        <v>0</v>
      </c>
      <c r="X51" s="451">
        <f>(SUMIF(DSO!$A:$A,Total!$A51,DSO!O:O))/1000000</f>
        <v>0</v>
      </c>
      <c r="Y51" s="451">
        <f>(SUMIF(DSO!$A:$A,Total!$A51,DSO!P:P))/1000000</f>
        <v>0</v>
      </c>
      <c r="Z51" s="451">
        <f>(SUMIF(DSO!$A:$A,Total!$A51,DSO!Q:Q))/1000000</f>
        <v>0</v>
      </c>
      <c r="AA51" s="451">
        <f t="shared" si="10"/>
        <v>-4.62</v>
      </c>
      <c r="AC51" s="927"/>
      <c r="AD51" s="927"/>
    </row>
    <row r="52" spans="1:30" ht="15.75" customHeight="1">
      <c r="A52" s="843">
        <v>10</v>
      </c>
      <c r="B52" s="575" t="s">
        <v>523</v>
      </c>
      <c r="C52" s="695" t="s">
        <v>743</v>
      </c>
      <c r="D52" s="573"/>
      <c r="E52" s="573"/>
      <c r="F52" s="573"/>
      <c r="G52" s="573"/>
      <c r="H52" s="573"/>
      <c r="I52" s="451"/>
      <c r="J52" s="451">
        <v>0</v>
      </c>
      <c r="K52" s="451">
        <v>0</v>
      </c>
      <c r="L52" s="451">
        <v>0</v>
      </c>
      <c r="M52" s="451">
        <v>0</v>
      </c>
      <c r="N52" s="447">
        <v>0</v>
      </c>
      <c r="O52" s="898">
        <v>0</v>
      </c>
      <c r="P52" s="451">
        <f>(SUMIF(Fenix!$A:$A,Total!$A52,Fenix!P:P))/1000000</f>
        <v>0</v>
      </c>
      <c r="Q52" s="451">
        <f>(SUMIF(Fenix!$A:$A,Total!$A52,Fenix!Q:Q))/1000000</f>
        <v>0</v>
      </c>
      <c r="R52" s="1347">
        <f>(SUMIF(Fenix!$A:$A,Total!$A52,Fenix!R:R))/1000000</f>
        <v>0</v>
      </c>
      <c r="S52" s="1597">
        <f>(SUMIF(Fenix!$A:$A,Total!$A52,Fenix!S:S))/1000000</f>
        <v>0</v>
      </c>
      <c r="T52" s="1347">
        <f>(SUMIF(Fenix!$A:$A,Total!$A52,Fenix!T:T))/1000000</f>
        <v>-2.6911255888931778</v>
      </c>
      <c r="U52" s="1573">
        <f>(SUMIF(Fenix!$A:$A,Total!$A52,Fenix!U:U))/1000000</f>
        <v>-2.6911255888931778</v>
      </c>
      <c r="V52" s="451">
        <f>(SUMIF(Fenix!$A:$A,Total!$A52,Fenix!V:V))/1000000</f>
        <v>-98.600748115717082</v>
      </c>
      <c r="W52" s="451">
        <f>(SUMIF(Fenix!$A:$A,Total!$A52,Fenix!W:W))/1000000</f>
        <v>-108.78226289204839</v>
      </c>
      <c r="X52" s="451">
        <f>(SUMIF(Fenix!$A:$A,Total!$A52,Fenix!X:X))/1000000</f>
        <v>-110.22981350964621</v>
      </c>
      <c r="Y52" s="451">
        <f>(SUMIF(Fenix!$A:$A,Total!$A52,Fenix!Y:Y))/1000000</f>
        <v>-111.01168917651417</v>
      </c>
      <c r="Z52" s="451">
        <f>(SUMIF(Fenix!$A:$A,Total!$A52,Fenix!Z:Z))/1000000</f>
        <v>-111.06529102727416</v>
      </c>
      <c r="AA52" s="451">
        <f t="shared" si="10"/>
        <v>-542.38093031009316</v>
      </c>
    </row>
    <row r="53" spans="1:30" ht="15" hidden="1" customHeight="1" outlineLevel="1">
      <c r="A53" s="843">
        <v>10</v>
      </c>
      <c r="B53" s="575" t="s">
        <v>523</v>
      </c>
      <c r="C53" s="695" t="s">
        <v>864</v>
      </c>
      <c r="D53" s="573"/>
      <c r="E53" s="573"/>
      <c r="F53" s="573"/>
      <c r="G53" s="573"/>
      <c r="H53" s="573"/>
      <c r="I53" s="451"/>
      <c r="J53" s="451">
        <v>0</v>
      </c>
      <c r="K53" s="451">
        <v>0</v>
      </c>
      <c r="L53" s="451">
        <v>0</v>
      </c>
      <c r="M53" s="451">
        <v>0</v>
      </c>
      <c r="N53" s="447">
        <v>0</v>
      </c>
      <c r="O53" s="898">
        <v>0</v>
      </c>
      <c r="P53" s="451">
        <f>(SUMIF(Acquila!$A:$A,Total!$A53,Acquila!G:G))/1000000</f>
        <v>0</v>
      </c>
      <c r="Q53" s="451">
        <f>(SUMIF(Acquila!$A:$A,Total!$A$53,Acquila!F:F))/1000000</f>
        <v>0</v>
      </c>
      <c r="R53" s="1347">
        <f>(SUMIF(Acquila!$A:$A,Total!$A$53,Acquila!G:G))/1000000</f>
        <v>0</v>
      </c>
      <c r="S53" s="1597">
        <f>(SUMIF(Acquila!$A:$A,Total!$A$15,Acquila!G:G))/1000000</f>
        <v>0</v>
      </c>
      <c r="T53" s="1347">
        <f>(SUMIF(Acquila!$A:$A,Total!$A$15,Acquila!G:G))/1000000</f>
        <v>0</v>
      </c>
      <c r="U53" s="1573">
        <f>(SUMIF(Acquila!$A:$A,Total!$A$53,Acquila!J:J))/1000000</f>
        <v>0</v>
      </c>
      <c r="V53" s="451">
        <f>(SUMIF(Acquila!$A:$A,Total!$A$53,Acquila!H:H))/1000000</f>
        <v>0</v>
      </c>
      <c r="W53" s="451">
        <f>(SUMIF(Acquila!$A:$A,Total!$A$53,Acquila!I:I))/1000000</f>
        <v>0</v>
      </c>
      <c r="X53" s="451">
        <f>(SUMIF(Acquila!$A:$A,Total!$A$15,Acquila!H:H))/1000000</f>
        <v>0</v>
      </c>
      <c r="Y53" s="451">
        <f>(SUMIF(Acquila!$A:$A,Total!$A$15,Acquila!I:I))/1000000</f>
        <v>0</v>
      </c>
      <c r="Z53" s="451">
        <f>(SUMIF(Acquila!$A:$A,Total!$A$15,Acquila!J:J))/1000000</f>
        <v>0</v>
      </c>
      <c r="AA53" s="451">
        <f t="shared" si="10"/>
        <v>0</v>
      </c>
    </row>
    <row r="54" spans="1:30" s="762" customFormat="1" ht="15.75" customHeight="1" collapsed="1">
      <c r="A54" s="843"/>
      <c r="B54" s="759" t="s">
        <v>524</v>
      </c>
      <c r="C54" s="760" t="s">
        <v>190</v>
      </c>
      <c r="D54" s="761"/>
      <c r="E54" s="761"/>
      <c r="F54" s="761"/>
      <c r="G54" s="761"/>
      <c r="H54" s="761"/>
      <c r="I54" s="166"/>
      <c r="J54" s="166">
        <f t="shared" ref="J54:O54" si="14">SUM(J47:J49)</f>
        <v>163.37656872681242</v>
      </c>
      <c r="K54" s="166">
        <f t="shared" si="14"/>
        <v>148.57830458415972</v>
      </c>
      <c r="L54" s="166">
        <f t="shared" ca="1" si="14"/>
        <v>336.92522305573544</v>
      </c>
      <c r="M54" s="166">
        <f t="shared" ca="1" si="14"/>
        <v>141.36410385118805</v>
      </c>
      <c r="N54" s="166">
        <f t="shared" ca="1" si="14"/>
        <v>182.50717206424952</v>
      </c>
      <c r="O54" s="166">
        <f t="shared" ca="1" si="14"/>
        <v>235.2107177671642</v>
      </c>
      <c r="P54" s="166">
        <f ca="1">SUM(P47:P53)</f>
        <v>130.65598756958215</v>
      </c>
      <c r="Q54" s="166">
        <f t="shared" ref="Q54:AA54" ca="1" si="15">SUM(Q47:Q53)</f>
        <v>296.02833655401798</v>
      </c>
      <c r="R54" s="1349">
        <f ca="1">SUM(R47:R53)</f>
        <v>470.5297585932089</v>
      </c>
      <c r="S54" s="1599">
        <f ca="1">SUM(S47:S53)</f>
        <v>228.5469635425423</v>
      </c>
      <c r="T54" s="1349">
        <f ca="1">SUM(T47:T53)</f>
        <v>283.41899210910435</v>
      </c>
      <c r="U54" s="1575">
        <f ca="1">S54+T54</f>
        <v>511.96595565164665</v>
      </c>
      <c r="V54" s="166">
        <f t="shared" ca="1" si="15"/>
        <v>677.7435853013302</v>
      </c>
      <c r="W54" s="166">
        <f t="shared" ca="1" si="15"/>
        <v>669.99814030360812</v>
      </c>
      <c r="X54" s="166">
        <f t="shared" ca="1" si="15"/>
        <v>655.06266555896889</v>
      </c>
      <c r="Y54" s="166">
        <f t="shared" ca="1" si="15"/>
        <v>657.87118639024914</v>
      </c>
      <c r="Z54" s="166">
        <f t="shared" ca="1" si="15"/>
        <v>622.33216521724489</v>
      </c>
      <c r="AA54" s="166">
        <f t="shared" ca="1" si="15"/>
        <v>3758.572095872305</v>
      </c>
    </row>
    <row r="55" spans="1:30" s="1007" customFormat="1" ht="15.75" customHeight="1">
      <c r="B55" s="1008"/>
      <c r="C55" s="917" t="s">
        <v>2018</v>
      </c>
      <c r="D55" s="1008"/>
      <c r="E55" s="1008"/>
      <c r="F55" s="1008"/>
      <c r="G55" s="1008"/>
      <c r="H55" s="1008"/>
      <c r="I55" s="1008"/>
      <c r="K55" s="1008"/>
      <c r="L55" s="1008"/>
      <c r="M55" s="1009"/>
      <c r="P55" s="451">
        <v>130.80000000000001</v>
      </c>
      <c r="Q55" s="451">
        <v>0</v>
      </c>
      <c r="R55" s="1345"/>
      <c r="S55" s="1600"/>
      <c r="T55" s="1345"/>
      <c r="U55" s="1571"/>
      <c r="V55" s="1009"/>
      <c r="W55" s="1009"/>
      <c r="X55" s="1009"/>
      <c r="Y55" s="1009"/>
      <c r="Z55" s="1009"/>
      <c r="AA55" s="1009"/>
    </row>
    <row r="56" spans="1:30" s="1007" customFormat="1" ht="15.75" customHeight="1">
      <c r="B56" s="1008"/>
      <c r="C56" s="917" t="s">
        <v>2019</v>
      </c>
      <c r="D56" s="1008"/>
      <c r="E56" s="1008"/>
      <c r="F56" s="1008"/>
      <c r="G56" s="1008"/>
      <c r="H56" s="1008"/>
      <c r="I56" s="1008"/>
      <c r="J56" s="1009"/>
      <c r="K56" s="1009"/>
      <c r="L56" s="1009"/>
      <c r="M56" s="1009"/>
      <c r="N56" s="1009"/>
      <c r="O56" s="1009"/>
      <c r="P56" s="451">
        <v>-5.9</v>
      </c>
      <c r="Q56" s="451">
        <v>0</v>
      </c>
      <c r="R56" s="1345"/>
      <c r="S56" s="1600"/>
      <c r="T56" s="1345"/>
      <c r="U56" s="1571"/>
      <c r="V56" s="1009"/>
      <c r="W56" s="1009"/>
      <c r="X56" s="1009"/>
      <c r="Y56" s="1009"/>
      <c r="Z56" s="1009"/>
      <c r="AA56" s="1009"/>
    </row>
    <row r="57" spans="1:30" s="1007" customFormat="1" ht="12.75" customHeight="1">
      <c r="B57" s="1008"/>
      <c r="C57" s="917" t="s">
        <v>2020</v>
      </c>
      <c r="D57" s="1010"/>
      <c r="E57" s="1010"/>
      <c r="F57" s="1010"/>
      <c r="G57" s="1010"/>
      <c r="H57" s="1010"/>
      <c r="I57" s="1010"/>
      <c r="J57" s="1009"/>
      <c r="K57" s="1009"/>
      <c r="L57" s="1009"/>
      <c r="M57" s="1009"/>
      <c r="N57" s="1009"/>
      <c r="O57" s="1009"/>
      <c r="P57" s="451">
        <f ca="1">SUM(P54:P56)</f>
        <v>255.55598756958213</v>
      </c>
      <c r="Q57" s="451">
        <f ca="1">SUM(Q54:Q56)</f>
        <v>296.02833655401798</v>
      </c>
      <c r="R57" s="1345"/>
      <c r="S57" s="1600"/>
      <c r="T57" s="1345"/>
      <c r="U57" s="1571"/>
      <c r="V57" s="1009"/>
      <c r="W57" s="1009"/>
      <c r="X57" s="1009"/>
      <c r="Y57" s="1009"/>
      <c r="Z57" s="1009"/>
      <c r="AA57" s="1009"/>
    </row>
    <row r="58" spans="1:30">
      <c r="S58" s="1601"/>
      <c r="T58" s="1351"/>
    </row>
    <row r="59" spans="1:30" ht="40.5" customHeight="1" collapsed="1">
      <c r="B59" s="685"/>
      <c r="C59" s="894" t="s">
        <v>142</v>
      </c>
      <c r="J59" s="845"/>
      <c r="K59" s="845"/>
      <c r="L59" s="891"/>
      <c r="M59" s="892"/>
      <c r="N59" s="891"/>
      <c r="O59" s="893"/>
      <c r="P59" s="893"/>
      <c r="Q59" s="893"/>
      <c r="R59" s="1634"/>
      <c r="S59" s="1646"/>
      <c r="T59" s="1646"/>
      <c r="U59" s="1645"/>
      <c r="V59" s="893"/>
      <c r="W59" s="893"/>
      <c r="X59" s="893"/>
      <c r="Y59" s="893"/>
      <c r="Z59" s="893"/>
      <c r="AA59" s="893"/>
    </row>
    <row r="60" spans="1:30" ht="2.25" customHeight="1">
      <c r="B60" s="447"/>
      <c r="C60" s="899"/>
      <c r="D60" s="900"/>
      <c r="E60" s="900"/>
      <c r="F60" s="900"/>
      <c r="G60" s="900"/>
      <c r="H60" s="900"/>
      <c r="I60" s="900"/>
      <c r="J60" s="902">
        <f t="shared" ref="J60:L61" si="16">J3</f>
        <v>0</v>
      </c>
      <c r="K60" s="902">
        <f t="shared" si="16"/>
        <v>1</v>
      </c>
      <c r="L60" s="902">
        <f t="shared" si="16"/>
        <v>2</v>
      </c>
      <c r="M60" s="902">
        <v>3</v>
      </c>
      <c r="N60" s="902">
        <v>4</v>
      </c>
      <c r="O60" s="902">
        <v>5</v>
      </c>
      <c r="P60" s="902">
        <f t="shared" ref="P60:R61" si="17">P3</f>
        <v>6</v>
      </c>
      <c r="Q60" s="902">
        <f t="shared" si="17"/>
        <v>7</v>
      </c>
      <c r="R60" s="1352">
        <f t="shared" si="17"/>
        <v>8</v>
      </c>
      <c r="S60" s="1604"/>
      <c r="T60" s="1352"/>
      <c r="U60" s="1568"/>
      <c r="V60" s="902">
        <f t="shared" ref="V60:X61" si="18">V3</f>
        <v>9</v>
      </c>
      <c r="W60" s="902">
        <f t="shared" si="18"/>
        <v>10</v>
      </c>
      <c r="X60" s="902">
        <f t="shared" si="18"/>
        <v>11</v>
      </c>
      <c r="Y60" s="902">
        <f>Y3</f>
        <v>12</v>
      </c>
      <c r="Z60" s="902">
        <f>Z3</f>
        <v>13</v>
      </c>
      <c r="AA60" s="902">
        <f>SUM(Q60:Z60)</f>
        <v>70</v>
      </c>
    </row>
    <row r="61" spans="1:30" ht="23.25">
      <c r="B61" s="447"/>
      <c r="C61" s="903"/>
      <c r="D61" s="904"/>
      <c r="E61" s="904"/>
      <c r="F61" s="904"/>
      <c r="G61" s="904"/>
      <c r="H61" s="904"/>
      <c r="I61" s="904"/>
      <c r="J61" s="905" t="str">
        <f t="shared" si="16"/>
        <v>0 Y</v>
      </c>
      <c r="K61" s="905" t="str">
        <f t="shared" si="16"/>
        <v>1 Y</v>
      </c>
      <c r="L61" s="905" t="str">
        <f t="shared" si="16"/>
        <v>2 Y</v>
      </c>
      <c r="M61" s="905" t="s">
        <v>2081</v>
      </c>
      <c r="N61" s="905" t="s">
        <v>2082</v>
      </c>
      <c r="O61" s="905" t="s">
        <v>2083</v>
      </c>
      <c r="P61" s="905" t="s">
        <v>2061</v>
      </c>
      <c r="Q61" s="905" t="str">
        <f t="shared" si="17"/>
        <v>7 Y</v>
      </c>
      <c r="R61" s="1343" t="str">
        <f t="shared" si="17"/>
        <v>Initial 8Y</v>
      </c>
      <c r="S61" s="1605" t="str">
        <f>S4</f>
        <v>1H 8 Y</v>
      </c>
      <c r="T61" s="1343" t="str">
        <f>T4</f>
        <v>2H 8 Y</v>
      </c>
      <c r="U61" s="1569" t="s">
        <v>2086</v>
      </c>
      <c r="V61" s="905" t="str">
        <f t="shared" si="18"/>
        <v>9 Y</v>
      </c>
      <c r="W61" s="905" t="str">
        <f t="shared" si="18"/>
        <v>10 Y</v>
      </c>
      <c r="X61" s="905" t="str">
        <f t="shared" si="18"/>
        <v>11 Y</v>
      </c>
      <c r="Y61" s="905" t="str">
        <f>Y4</f>
        <v>12 Y</v>
      </c>
      <c r="Z61" s="905" t="str">
        <f>Z4</f>
        <v>13 Y</v>
      </c>
      <c r="AA61" s="1006" t="str">
        <f>AA4</f>
        <v xml:space="preserve">Total
</v>
      </c>
    </row>
    <row r="62" spans="1:30">
      <c r="B62" s="447"/>
      <c r="C62" s="906" t="s">
        <v>1210</v>
      </c>
      <c r="D62" s="914"/>
      <c r="E62" s="907"/>
      <c r="F62" s="907"/>
      <c r="G62" s="907"/>
      <c r="H62" s="907"/>
      <c r="I62" s="907"/>
      <c r="J62" s="908" t="s">
        <v>499</v>
      </c>
      <c r="K62" s="908" t="s">
        <v>499</v>
      </c>
      <c r="L62" s="908" t="s">
        <v>499</v>
      </c>
      <c r="M62" s="908" t="s">
        <v>499</v>
      </c>
      <c r="N62" s="908" t="s">
        <v>499</v>
      </c>
      <c r="O62" s="908" t="s">
        <v>499</v>
      </c>
      <c r="P62" s="908" t="s">
        <v>499</v>
      </c>
      <c r="Q62" s="908" t="s">
        <v>499</v>
      </c>
      <c r="R62" s="1344" t="s">
        <v>499</v>
      </c>
      <c r="S62" s="1606"/>
      <c r="T62" s="1344"/>
      <c r="U62" s="1570"/>
      <c r="V62" s="908" t="s">
        <v>499</v>
      </c>
      <c r="W62" s="908" t="s">
        <v>499</v>
      </c>
      <c r="X62" s="908" t="s">
        <v>499</v>
      </c>
      <c r="Y62" s="908" t="s">
        <v>499</v>
      </c>
      <c r="Z62" s="908" t="s">
        <v>499</v>
      </c>
      <c r="AA62" s="908" t="str">
        <f>AA5</f>
        <v>($)</v>
      </c>
    </row>
    <row r="63" spans="1:30" ht="15" customHeight="1">
      <c r="B63" s="685"/>
      <c r="C63" s="695"/>
      <c r="D63" s="695"/>
      <c r="E63" s="695"/>
      <c r="F63" s="695"/>
      <c r="G63" s="695"/>
      <c r="H63" s="695"/>
      <c r="I63" s="695"/>
      <c r="J63" s="695"/>
      <c r="K63" s="915"/>
      <c r="L63" s="916"/>
      <c r="M63" s="916"/>
      <c r="N63" s="447"/>
      <c r="S63" s="1601"/>
      <c r="T63" s="1351"/>
    </row>
    <row r="64" spans="1:30" ht="15.75" customHeight="1">
      <c r="B64" s="447"/>
      <c r="C64" s="523" t="s">
        <v>198</v>
      </c>
      <c r="D64" s="695"/>
      <c r="E64" s="695"/>
      <c r="F64" s="695"/>
      <c r="G64" s="695"/>
      <c r="H64" s="695"/>
      <c r="I64" s="695"/>
      <c r="J64" s="695"/>
      <c r="K64" s="695"/>
      <c r="L64" s="695"/>
      <c r="M64" s="695"/>
      <c r="N64" s="447"/>
      <c r="S64" s="1601"/>
      <c r="T64" s="1351"/>
    </row>
    <row r="65" spans="1:27" ht="15.75" customHeight="1">
      <c r="B65" s="447"/>
      <c r="C65" s="1016" t="s">
        <v>363</v>
      </c>
      <c r="D65" s="695"/>
      <c r="E65" s="918"/>
      <c r="F65" s="453"/>
      <c r="G65" s="453"/>
      <c r="H65" s="453"/>
      <c r="I65" s="453"/>
      <c r="J65" s="424"/>
      <c r="K65" s="424"/>
      <c r="L65" s="424">
        <f t="shared" ref="L65:T65" ca="1" si="19">L36</f>
        <v>359.86350273259768</v>
      </c>
      <c r="M65" s="424">
        <f t="shared" ca="1" si="19"/>
        <v>196.51861126998884</v>
      </c>
      <c r="N65" s="424">
        <f ca="1">N36</f>
        <v>195.90161482461829</v>
      </c>
      <c r="O65" s="424">
        <f t="shared" ca="1" si="19"/>
        <v>241.63029752503272</v>
      </c>
      <c r="P65" s="165">
        <f t="shared" ca="1" si="19"/>
        <v>138.45180656958212</v>
      </c>
      <c r="Q65" s="165">
        <f t="shared" ca="1" si="19"/>
        <v>248.60152088735134</v>
      </c>
      <c r="R65" s="1346">
        <f t="shared" ca="1" si="19"/>
        <v>402.79209595226803</v>
      </c>
      <c r="S65" s="1596">
        <f t="shared" ca="1" si="19"/>
        <v>210.87881471865981</v>
      </c>
      <c r="T65" s="1346">
        <f t="shared" ca="1" si="19"/>
        <v>240.20137484300864</v>
      </c>
      <c r="U65" s="1572">
        <f t="shared" ref="U65:AA65" ca="1" si="20">U36</f>
        <v>451.08018956166848</v>
      </c>
      <c r="V65" s="165">
        <f t="shared" ca="1" si="20"/>
        <v>741.4828574022514</v>
      </c>
      <c r="W65" s="165">
        <f t="shared" ca="1" si="20"/>
        <v>770.42106542123656</v>
      </c>
      <c r="X65" s="165">
        <f t="shared" ca="1" si="20"/>
        <v>785.10521241509468</v>
      </c>
      <c r="Y65" s="165">
        <f t="shared" ca="1" si="20"/>
        <v>788.20088069816745</v>
      </c>
      <c r="Z65" s="165">
        <f t="shared" ca="1" si="20"/>
        <v>752.02656930648334</v>
      </c>
      <c r="AA65" s="165">
        <f t="shared" ca="1" si="20"/>
        <v>4251.9151722541583</v>
      </c>
    </row>
    <row r="66" spans="1:27" ht="15.75" customHeight="1">
      <c r="A66" s="843">
        <v>16</v>
      </c>
      <c r="B66" s="447"/>
      <c r="C66" s="917" t="s">
        <v>199</v>
      </c>
      <c r="D66" s="695"/>
      <c r="E66" s="918"/>
      <c r="F66" s="453"/>
      <c r="G66" s="453"/>
      <c r="H66" s="453"/>
      <c r="I66" s="453"/>
      <c r="J66" s="424"/>
      <c r="K66" s="424"/>
      <c r="L66" s="424">
        <f ca="1">-L32</f>
        <v>20.170627060641845</v>
      </c>
      <c r="M66" s="424">
        <f ca="1">-M32</f>
        <v>20.837101657161082</v>
      </c>
      <c r="N66" s="424">
        <f ca="1">-N32</f>
        <v>17.960215900751447</v>
      </c>
      <c r="O66" s="424">
        <f ca="1">-O32</f>
        <v>18.894178157100651</v>
      </c>
      <c r="P66" s="424">
        <f>-P32-P34-P35</f>
        <v>23</v>
      </c>
      <c r="Q66" s="424">
        <f>-SUM(Q32:Q35)</f>
        <v>22</v>
      </c>
      <c r="R66" s="1348">
        <f t="shared" ref="R66:Z66" ca="1" si="21">-SUM(R32:R35)</f>
        <v>60.857296451338556</v>
      </c>
      <c r="S66" s="1598">
        <f t="shared" ca="1" si="21"/>
        <v>10.197107279908883</v>
      </c>
      <c r="T66" s="1348">
        <f t="shared" ca="1" si="21"/>
        <v>49.21551635077838</v>
      </c>
      <c r="U66" s="1574">
        <f ca="1">-SUM(U32:U35)</f>
        <v>59.412623630687264</v>
      </c>
      <c r="V66" s="424">
        <f t="shared" ca="1" si="21"/>
        <v>82.132534166009407</v>
      </c>
      <c r="W66" s="424">
        <f t="shared" ca="1" si="21"/>
        <v>86.674816735998419</v>
      </c>
      <c r="X66" s="424">
        <f t="shared" ca="1" si="21"/>
        <v>79.189010561738371</v>
      </c>
      <c r="Y66" s="424">
        <f t="shared" ca="1" si="21"/>
        <v>77.289280268686142</v>
      </c>
      <c r="Z66" s="424">
        <f t="shared" ca="1" si="21"/>
        <v>78.50325726690221</v>
      </c>
      <c r="AA66" s="424">
        <f t="shared" ref="AA66:AA108" ca="1" si="22">SUM(U66:Z66)</f>
        <v>463.20152263002183</v>
      </c>
    </row>
    <row r="67" spans="1:27" ht="15.75" customHeight="1">
      <c r="A67" s="843">
        <v>11</v>
      </c>
      <c r="B67" s="447"/>
      <c r="C67" s="917" t="s">
        <v>200</v>
      </c>
      <c r="D67" s="695"/>
      <c r="E67" s="918"/>
      <c r="F67" s="453"/>
      <c r="G67" s="453"/>
      <c r="H67" s="453"/>
      <c r="I67" s="453"/>
      <c r="J67" s="424">
        <v>0</v>
      </c>
      <c r="K67" s="424">
        <v>0</v>
      </c>
      <c r="L67" s="424">
        <f>('Ni segment'!K360+'Zn Pb segment'!L277+'Total Chemical'!K416+'Cu segment'!K351)/1000000</f>
        <v>68.980222313358055</v>
      </c>
      <c r="M67" s="424">
        <f>('Ni segment'!L360+'Zn Pb segment'!M277+'Total Chemical'!L416+'Cu segment'!L351)/1000000</f>
        <v>27.762362296009986</v>
      </c>
      <c r="N67" s="424">
        <f>(SUMIF('Ni segment'!$A$360:$A$386,Total!A67,'Ni segment'!$M$360:$M$386)+SUMIF('Zn Pb segment'!$A$277:$A$306,Total!A67,'Zn Pb segment'!$N$277:$N$306)+SUMIF('Cu segment'!$A$351:$A$380,Total!A67,'Cu segment'!$M$351:$M$380)+SUMIF('Total Chemical'!$A$417:$A$446,Total!A67,'Total Chemical'!$M$417:$M$446))/1000000</f>
        <v>17.084653386287275</v>
      </c>
      <c r="O67" s="424">
        <f>(SUMIF('Ni segment'!$A$360:$A$386,Total!A67,'Ni segment'!$N$360:$N$386)+SUMIF('Zn Pb segment'!$A$277:$A$306,Total!A67,'Zn Pb segment'!$O$277:$O$306)+SUMIF('Cu segment'!$A$351:$A$380,Total!A67,'Cu segment'!$N$351:$N$380)+SUMIF('Total Chemical'!$A$417:$A$446,Total!A67,'Total Chemical'!$N$417:$N$446))/1000000</f>
        <v>-31.769471536916527</v>
      </c>
      <c r="P67" s="451">
        <f>(SUMIF('Ni segment'!$A:$A,Total!$A67,'Ni segment'!O:O)+SUMIF('Zn Pb segment'!$A:$A,Total!$A67,'Zn Pb segment'!P:P)+SUMIF('Cu segment'!$A:$A,Total!$A67,'Cu segment'!O:O)+SUMIF('Total Chemical'!$A:$A,Total!$A67,'Total Chemical'!O:O)+SUMIF(DSO!$A:$A,Total!$A67,DSO!G:G))/1000000</f>
        <v>17.876309979436776</v>
      </c>
      <c r="Q67" s="451">
        <f>(SUMIF('Ni segment'!$A:$A,Total!$A$67,'Ni segment'!P:P)+SUMIF('Zn Pb segment'!$A:$A,Total!$A$67,'Zn Pb segment'!Q:Q)+SUMIF('Cu segment'!$A:$A,Total!$A$67,'Cu segment'!P:P)+SUMIF(DSO!$A:$A,Total!$A67,DSO!H:H))/1000000</f>
        <v>12.843265141604267</v>
      </c>
      <c r="R67" s="1347">
        <f>(SUMIF('Ni segment'!$A:$A,Total!$A$67,'Ni segment'!Q:Q)+SUMIF('Zn Pb segment'!$A:$A,Total!$A$67,'Zn Pb segment'!R:R)+SUMIF('Cu segment'!$A:$A,Total!$A$67,'Cu segment'!Q:Q)+SUMIF(DSO!$A:$A,Total!$A67,DSO!I:I))/1000000</f>
        <v>-13.349886148479758</v>
      </c>
      <c r="S67" s="1597">
        <v>1</v>
      </c>
      <c r="T67" s="1347">
        <v>1</v>
      </c>
      <c r="U67" s="1573">
        <f>(SUMIF('Ni segment'!$A:$A,Total!$A$67,'Ni segment'!T:T)+SUMIF('Zn Pb segment'!$A:$A,Total!$A$67,'Zn Pb segment'!U:U)+SUMIF('Cu segment'!$A:$A,Total!$A$67,'Cu segment'!T:T)+SUMIF(DSO!$A:$A,Total!$A67,DSO!L:L))/1000000</f>
        <v>-3.1216770598577259</v>
      </c>
      <c r="V67" s="451">
        <f>(SUMIF('Ni segment'!$A:$A,Total!$A$67,'Ni segment'!U:U)+SUMIF('Zn Pb segment'!$A:$A,Total!$A$67,'Zn Pb segment'!V:V)+SUMIF('Cu segment'!$A:$A,Total!$A$67,'Cu segment'!U:U)+SUMIF(DSO!$A:$A,Total!$A67,DSO!M:M))/1000000</f>
        <v>-11.912260006100386</v>
      </c>
      <c r="W67" s="451">
        <f>(SUMIF('Ni segment'!$A:$A,Total!$A$67,'Ni segment'!V:V)+SUMIF('Zn Pb segment'!$A:$A,Total!$A$67,'Zn Pb segment'!W:W)+SUMIF('Cu segment'!$A:$A,Total!$A$67,'Cu segment'!V:V)+SUMIF(DSO!$A:$A,Total!$A67,DSO!N:N))/1000000</f>
        <v>3.1970659320070931</v>
      </c>
      <c r="X67" s="451">
        <f>(SUMIF('Ni segment'!$A:$A,Total!$A$67,'Ni segment'!W:W)+SUMIF('Zn Pb segment'!$A:$A,Total!$A$67,'Zn Pb segment'!X:X)+SUMIF('Cu segment'!$A:$A,Total!$A$67,'Cu segment'!W:W)+SUMIF(DSO!$A:$A,Total!$A67,DSO!O:O))/1000000</f>
        <v>-4.5227215317454155</v>
      </c>
      <c r="Y67" s="451">
        <f>(SUMIF('Ni segment'!$A:$A,Total!$A$67,'Ni segment'!X:X)+SUMIF('Zn Pb segment'!$A:$A,Total!$A$67,'Zn Pb segment'!Y:Y)+SUMIF('Cu segment'!$A:$A,Total!$A$67,'Cu segment'!X:X)+SUMIF(DSO!$A:$A,Total!$A67,DSO!P:P))/1000000</f>
        <v>-0.23531210661514104</v>
      </c>
      <c r="Z67" s="451">
        <f>(SUMIF('Ni segment'!$A:$A,Total!$A$67,'Ni segment'!Y:Y)+SUMIF('Zn Pb segment'!$A:$A,Total!$A$67,'Zn Pb segment'!Z:Z)+SUMIF('Cu segment'!$A:$A,Total!$A$67,'Cu segment'!Y:Y)+SUMIF(DSO!$A:$A,Total!$A67,DSO!Q:Q))/1000000</f>
        <v>11.182464315079615</v>
      </c>
      <c r="AA67" s="451">
        <f t="shared" si="22"/>
        <v>-5.4124404572319573</v>
      </c>
    </row>
    <row r="68" spans="1:27" ht="15.75" customHeight="1">
      <c r="A68" s="843">
        <v>11</v>
      </c>
      <c r="B68" s="447"/>
      <c r="C68" s="917" t="s">
        <v>1814</v>
      </c>
      <c r="D68" s="695"/>
      <c r="E68" s="918"/>
      <c r="F68" s="453"/>
      <c r="G68" s="453"/>
      <c r="H68" s="453"/>
      <c r="I68" s="453"/>
      <c r="J68" s="424"/>
      <c r="K68" s="424"/>
      <c r="L68" s="424"/>
      <c r="M68" s="424"/>
      <c r="N68" s="424"/>
      <c r="O68" s="424"/>
      <c r="P68" s="451"/>
      <c r="Q68" s="451">
        <f>(SUMIF(Kurilgeo!$A:$A,Total!$A68,Kurilgeo!P:P))/1000000</f>
        <v>0</v>
      </c>
      <c r="R68" s="1347">
        <f>(SUMIF(Kurilgeo!$A:$A,Total!$A68,Kurilgeo!Q:Q))/1000000</f>
        <v>-8</v>
      </c>
      <c r="S68" s="1602">
        <f>(SUMIF(Kurilgeo!$A:$A,Total!$A68,Kurilgeo!R:R))/1000000</f>
        <v>0</v>
      </c>
      <c r="T68" s="1603">
        <f>(SUMIF(Kurilgeo!$A:$A,Total!$A68,Kurilgeo!S:S))/1000000</f>
        <v>-8</v>
      </c>
      <c r="U68" s="1573">
        <f>(SUMIF(Kurilgeo!$A:$A,Total!$A68,Kurilgeo!T:T))/1000000</f>
        <v>-8</v>
      </c>
      <c r="V68" s="451">
        <f>(SUMIF(Kurilgeo!$A:$A,Total!$A68,Kurilgeo!U:U))/1000000</f>
        <v>0</v>
      </c>
      <c r="W68" s="451">
        <f>(SUMIF(Kurilgeo!$A:$A,Total!$A68,Kurilgeo!V:V))/1000000</f>
        <v>0</v>
      </c>
      <c r="X68" s="451">
        <f>(SUMIF(Kurilgeo!$A:$A,Total!$A68,Kurilgeo!W:W))/1000000</f>
        <v>0</v>
      </c>
      <c r="Y68" s="451">
        <f>(SUMIF(Kurilgeo!$A:$A,Total!$A68,Kurilgeo!X:X))/1000000</f>
        <v>0</v>
      </c>
      <c r="Z68" s="451">
        <f>(SUMIF(Kurilgeo!$A:$A,Total!$A68,Kurilgeo!Y:Y))/1000000</f>
        <v>0</v>
      </c>
      <c r="AA68" s="451">
        <f t="shared" si="22"/>
        <v>-8</v>
      </c>
    </row>
    <row r="69" spans="1:27" ht="15.75" customHeight="1">
      <c r="A69" s="843">
        <v>11</v>
      </c>
      <c r="B69" s="447"/>
      <c r="C69" s="917" t="s">
        <v>749</v>
      </c>
      <c r="D69" s="695"/>
      <c r="E69" s="918"/>
      <c r="F69" s="453"/>
      <c r="G69" s="453"/>
      <c r="H69" s="453"/>
      <c r="I69" s="453"/>
      <c r="J69" s="424"/>
      <c r="K69" s="424"/>
      <c r="L69" s="424"/>
      <c r="M69" s="424"/>
      <c r="N69" s="424"/>
      <c r="O69" s="424"/>
      <c r="P69" s="451">
        <f>SUMIF(Fenix!$A:$A,Total!$A69,Fenix!O:O)</f>
        <v>0</v>
      </c>
      <c r="Q69" s="451">
        <f>(SUMIF(Fenix!$A:$A,Total!$A69,Fenix!Q:Q))/1000000</f>
        <v>-22.805599606666672</v>
      </c>
      <c r="R69" s="1347">
        <f>(SUMIF(Fenix!$A:$A,Total!$A69,Fenix!R:R))/1000000</f>
        <v>-53.120368728649311</v>
      </c>
      <c r="S69" s="1602">
        <f>(SUMIF(Fenix!$A:$A,Total!$A69,Fenix!S:S))/1000000</f>
        <v>0</v>
      </c>
      <c r="T69" s="1603">
        <f>(SUMIF(Fenix!$A:$A,Total!$A69,Fenix!T:T))/1000000</f>
        <v>-42.470412757800482</v>
      </c>
      <c r="U69" s="1573">
        <f>(SUMIF(Fenix!$A:$A,Total!$A69,Fenix!U:U))/1000000</f>
        <v>-42.470412757800482</v>
      </c>
      <c r="V69" s="451">
        <f>(SUMIF(Fenix!$A:$A,Total!$A69,Fenix!V:V))/1000000</f>
        <v>-92.521426477034851</v>
      </c>
      <c r="W69" s="451">
        <f>(SUMIF(Fenix!$A:$A,Total!$A69,Fenix!W:W))/1000000</f>
        <v>-17.180377247682571</v>
      </c>
      <c r="X69" s="451">
        <f>(SUMIF(Fenix!$A:$A,Total!$A69,Fenix!X:X))/1000000</f>
        <v>0</v>
      </c>
      <c r="Y69" s="451">
        <f>(SUMIF(Fenix!$A:$A,Total!$A69,Fenix!Y:Y))/1000000</f>
        <v>0</v>
      </c>
      <c r="Z69" s="451">
        <f>(SUMIF(Fenix!$A:$A,Total!$A69,Fenix!Z:Z))/1000000</f>
        <v>0</v>
      </c>
      <c r="AA69" s="451">
        <f t="shared" si="22"/>
        <v>-152.17221648251791</v>
      </c>
    </row>
    <row r="70" spans="1:27" ht="15.75" hidden="1" customHeight="1" outlineLevel="1">
      <c r="A70" s="843">
        <v>11</v>
      </c>
      <c r="B70" s="447"/>
      <c r="C70" s="917" t="s">
        <v>866</v>
      </c>
      <c r="D70" s="695"/>
      <c r="E70" s="918"/>
      <c r="F70" s="453"/>
      <c r="G70" s="453"/>
      <c r="H70" s="453"/>
      <c r="I70" s="453"/>
      <c r="J70" s="424"/>
      <c r="K70" s="424"/>
      <c r="L70" s="424"/>
      <c r="M70" s="424"/>
      <c r="N70" s="424"/>
      <c r="O70" s="424"/>
      <c r="P70" s="451">
        <f>SUMIF(Acquila!$A:$A,Total!$A70,Acquila!G:G)</f>
        <v>0</v>
      </c>
      <c r="Q70" s="451">
        <f>(SUMIF(Acquila!$A:$A,Total!$A70,Acquila!F:F))/1000000</f>
        <v>0</v>
      </c>
      <c r="R70" s="1347">
        <f>(SUMIF(Acquila!$A:$A,Total!$A70,Acquila!G:G))/1000000</f>
        <v>0</v>
      </c>
      <c r="S70" s="1597">
        <v>0</v>
      </c>
      <c r="T70" s="1347">
        <v>0</v>
      </c>
      <c r="U70" s="1573">
        <f>(SUMIF(Acquila!$A:$A,Total!$A$15,Acquila!G:G))/1000000</f>
        <v>0</v>
      </c>
      <c r="V70" s="451">
        <f>(SUMIF(Acquila!$A:$A,Total!$A70,Acquila!H:H))/1000000</f>
        <v>0</v>
      </c>
      <c r="W70" s="451">
        <f>(SUMIF(Acquila!$A:$A,Total!$A70,Acquila!I:I))/1000000</f>
        <v>0</v>
      </c>
      <c r="X70" s="451">
        <f>(SUMIF(Acquila!$A:$A,Total!$A$15,Acquila!H:H))/1000000</f>
        <v>0</v>
      </c>
      <c r="Y70" s="451">
        <f>(SUMIF(Acquila!$A:$A,Total!$A$15,Acquila!I:I))/1000000</f>
        <v>0</v>
      </c>
      <c r="Z70" s="451">
        <f>(SUMIF(Acquila!$A:$A,Total!$A$15,Acquila!J:J))/1000000</f>
        <v>0</v>
      </c>
      <c r="AA70" s="451">
        <f t="shared" si="22"/>
        <v>0</v>
      </c>
    </row>
    <row r="71" spans="1:27" ht="15.75" customHeight="1" collapsed="1">
      <c r="A71" s="843">
        <v>12</v>
      </c>
      <c r="B71" s="447"/>
      <c r="C71" s="917" t="s">
        <v>201</v>
      </c>
      <c r="D71" s="695"/>
      <c r="E71" s="695"/>
      <c r="F71" s="695"/>
      <c r="G71" s="695"/>
      <c r="H71" s="695"/>
      <c r="I71" s="695"/>
      <c r="J71" s="424">
        <v>0</v>
      </c>
      <c r="K71" s="424">
        <v>0</v>
      </c>
      <c r="L71" s="424">
        <f>('Ni segment'!K361+'Zn Pb segment'!L278+'Total Chemical'!K417+'Cu segment'!K352)/1000000</f>
        <v>5.2669093630352259</v>
      </c>
      <c r="M71" s="424">
        <f>('Ni segment'!L361+'Zn Pb segment'!M278+'Total Chemical'!L417+'Cu segment'!L352)/1000000</f>
        <v>-3.7719915610656525</v>
      </c>
      <c r="N71" s="424">
        <f>(SUMIF('Ni segment'!$A$360:$A$386,Total!A71,'Ni segment'!$M$360:$M$386)+SUMIF('Zn Pb segment'!$A$277:$A$306,Total!A71,'Zn Pb segment'!$N$277:$N$306)+SUMIF('Cu segment'!$A$351:$A$380,Total!A71,'Cu segment'!$M$351:$M$380)+SUMIF('Total Chemical'!$A$417:$A$446,Total!A71,'Total Chemical'!$M$417:$M$446))/1000000</f>
        <v>-3.1365653940468348</v>
      </c>
      <c r="O71" s="424">
        <f>(SUMIF('Ni segment'!$A$360:$A$386,Total!A71,'Ni segment'!$N$360:$N$386)+SUMIF('Zn Pb segment'!$A$277:$A$306,Total!A71,'Zn Pb segment'!$O$277:$O$306)+SUMIF('Cu segment'!$A$351:$A$380,Total!A71,'Cu segment'!$N$351:$N$380)+SUMIF('Total Chemical'!$A$417:$A$446,Total!A71,'Total Chemical'!$N$417:$N$446))/1000000</f>
        <v>3.0555186347376635</v>
      </c>
      <c r="P71" s="451">
        <f>(SUMIF('Ni segment'!$A:$A,Total!$A71,'Ni segment'!O:O)+SUMIF('Zn Pb segment'!$A:$A,Total!$A71,'Zn Pb segment'!P:P)+SUMIF('Cu segment'!$A:$A,Total!$A71,'Cu segment'!O:O)+SUMIF('Total Chemical'!$A:$A,Total!$A71,'Total Chemical'!O:O)+SUMIF(Acquila!$A:$A,Total!$A71,Acquila!G:G)+SUMIF(Fenix!$A:$A,Total!$A71,Fenix!O:O)+SUMIF(DSO!$A:$A,Total!$A71,DSO!G:G))/1000000</f>
        <v>-3.416987698254871</v>
      </c>
      <c r="Q71" s="451">
        <f>(SUMIF('Ni segment'!$A:$A,Total!$A71,'Ni segment'!P:P)+SUMIF('Zn Pb segment'!$A:$A,Total!$A71,'Zn Pb segment'!Q:Q)+SUMIF('Cu segment'!$A:$A,Total!$A71,'Cu segment'!P:P)+SUMIF('Total Chemical'!$A:$A,Total!$A71,'Total Chemical'!P:P)+SUMIF(Acquila!$A:$A,Total!$A71,Acquila!H:H)+SUMIF(Fenix!$A:$A,Total!$A71,Fenix!P:P)+SUMIF(DSO!$A:$A,Total!$A71,DSO!H:H))/1000000</f>
        <v>4.3878334016706368</v>
      </c>
      <c r="R71" s="1347">
        <f>(SUMIF('Ni segment'!$A:$A,Total!$A71,'Ni segment'!Q:Q)+SUMIF('Zn Pb segment'!$A:$A,Total!$A71,'Zn Pb segment'!R:R)+SUMIF('Cu segment'!$A:$A,Total!$A71,'Cu segment'!Q:Q)+SUMIF('Total Chemical'!$A:$A,Total!$A71,'Total Chemical'!Q:Q)+SUMIF(Acquila!$A:$A,Total!$A71,Acquila!I:I)+SUMIF(Fenix!$A:$A,Total!$A71,Fenix!Q:Q)+SUMIF(DSO!$A:$A,Total!$A71,DSO!I:I))/1000000</f>
        <v>-0.70032445283258882</v>
      </c>
      <c r="S71" s="1597">
        <v>0</v>
      </c>
      <c r="T71" s="1347">
        <v>1</v>
      </c>
      <c r="U71" s="1573">
        <f>(SUMIF('Ni segment'!$A:$A,Total!$A71,'Ni segment'!T:T)+SUMIF('Zn Pb segment'!$A:$A,Total!$A71,'Zn Pb segment'!U:U)+SUMIF('Cu segment'!$A:$A,Total!$A71,'Cu segment'!T:T)+SUMIF(Acquila!$A:$A,Total!$A71,Acquila!L:L)+SUMIF(Fenix!$A:$A,Total!$A71,Fenix!T:T)+SUMIF(DSO!$A:$A,Total!$A71,DSO!L:L))/1000000</f>
        <v>2.3021246825853048</v>
      </c>
      <c r="V71" s="451">
        <f>(SUMIF('Ni segment'!$A:$A,Total!$A71,'Ni segment'!U:U)+SUMIF('Zn Pb segment'!$A:$A,Total!$A71,'Zn Pb segment'!V:V)+SUMIF('Cu segment'!$A:$A,Total!$A71,'Cu segment'!U:U)+SUMIF('Total Chemical'!$A:$A,Total!$A71,'Total Chemical'!R:R)+SUMIF(Acquila!$A:$A,Total!$A71,Acquila!H:H)+SUMIF(Fenix!$A:$A,Total!$A71,Fenix!R:R)+SUMIF(DSO!$A:$A,Total!$A71,DSO!M:M))/1000000</f>
        <v>4.0074025568106375</v>
      </c>
      <c r="W71" s="451">
        <f>(SUMIF('Ni segment'!$A:$A,Total!$A71,'Ni segment'!V:V)+SUMIF('Zn Pb segment'!$A:$A,Total!$A71,'Zn Pb segment'!W:W)+SUMIF('Cu segment'!$A:$A,Total!$A71,'Cu segment'!V:V)+SUMIF('Total Chemical'!$A:$A,Total!$A71,'Total Chemical'!S:S)+SUMIF(Acquila!$A:$A,Total!$A71,Acquila!I:I)+SUMIF(Fenix!$A:$A,Total!$A71,Fenix!V:V)+SUMIF(DSO!$A:$A,Total!$A71,DSO!N:N))/1000000</f>
        <v>-0.53350917362074901</v>
      </c>
      <c r="X71" s="451">
        <f>(SUMIF('Ni segment'!$A:$A,Total!$A71,'Ni segment'!W:W)+SUMIF('Zn Pb segment'!$A:$A,Total!$A71,'Zn Pb segment'!X:X)+SUMIF('Cu segment'!$A:$A,Total!$A71,'Cu segment'!W:W)+SUMIF('Total Chemical'!$A:$A,Total!$A71,'Total Chemical'!T:T)+SUMIF(Acquila!$A:$A,Total!$A71,Acquila!J:J)+SUMIF(Fenix!$A:$A,Total!$A71,Fenix!W:W)+SUMIF(DSO!$A:$A,Total!$A71,DSO!O:O))/1000000</f>
        <v>0.37419162145710971</v>
      </c>
      <c r="Y71" s="451">
        <f>(SUMIF('Ni segment'!$A:$A,Total!$A71,'Ni segment'!X:X)+SUMIF('Zn Pb segment'!$A:$A,Total!$A71,'Zn Pb segment'!Y:Y)+SUMIF('Cu segment'!$A:$A,Total!$A71,'Cu segment'!X:X)+SUMIF('Total Chemical'!$A:$A,Total!$A71,'Total Chemical'!U:U)+SUMIF(Acquila!$A:$A,Total!$A71,Acquila!K:K)+SUMIF(Fenix!$A:$A,Total!$A71,Fenix!X:X)+SUMIF(DSO!$A:$A,Total!$A71,DSO!P:P))/1000000</f>
        <v>-0.12331967294200644</v>
      </c>
      <c r="Z71" s="451">
        <f>(SUMIF('Ni segment'!$A:$A,Total!$A71,'Ni segment'!Y:Y)+SUMIF('Zn Pb segment'!$A:$A,Total!$A71,'Zn Pb segment'!Z:Z)+SUMIF('Cu segment'!$A:$A,Total!$A71,'Cu segment'!Y:Y)+SUMIF('Total Chemical'!$A:$A,Total!$A71,'Total Chemical'!V:V)+SUMIF(Acquila!$A:$A,Total!$A71,Acquila!L:L)+SUMIF(Fenix!$A:$A,Total!$A71,Fenix!Y:Y)+SUMIF(DSO!$A:$A,Total!$A71,DSO!Q:Q))/1000000</f>
        <v>-1.8868796193250361</v>
      </c>
      <c r="AA71" s="451">
        <f t="shared" si="22"/>
        <v>4.1400103949652598</v>
      </c>
    </row>
    <row r="72" spans="1:27" ht="15.75" customHeight="1">
      <c r="B72" s="447"/>
      <c r="C72" s="523" t="s">
        <v>202</v>
      </c>
      <c r="D72" s="760"/>
      <c r="E72" s="763"/>
      <c r="F72" s="701"/>
      <c r="G72" s="701"/>
      <c r="H72" s="701"/>
      <c r="I72" s="701"/>
      <c r="J72" s="165"/>
      <c r="K72" s="165"/>
      <c r="L72" s="165">
        <f t="shared" ref="L72:V72" ca="1" si="23">SUM(L65:L71)</f>
        <v>454.2812614696328</v>
      </c>
      <c r="M72" s="165">
        <f t="shared" ca="1" si="23"/>
        <v>241.34608366209426</v>
      </c>
      <c r="N72" s="165">
        <f t="shared" ca="1" si="23"/>
        <v>227.80991871761017</v>
      </c>
      <c r="O72" s="165">
        <f t="shared" ca="1" si="23"/>
        <v>231.81052277995451</v>
      </c>
      <c r="P72" s="165">
        <f t="shared" ca="1" si="23"/>
        <v>175.91112885076402</v>
      </c>
      <c r="Q72" s="165">
        <f t="shared" ca="1" si="23"/>
        <v>265.02701982395962</v>
      </c>
      <c r="R72" s="1346">
        <f t="shared" ca="1" si="23"/>
        <v>388.47881307364497</v>
      </c>
      <c r="S72" s="1607">
        <f t="shared" ca="1" si="23"/>
        <v>222.0759219985687</v>
      </c>
      <c r="T72" s="1608">
        <f t="shared" ca="1" si="23"/>
        <v>240.94647843598653</v>
      </c>
      <c r="U72" s="1572">
        <f ca="1">SUM(U65:U71)</f>
        <v>459.20284805728284</v>
      </c>
      <c r="V72" s="165">
        <f t="shared" ca="1" si="23"/>
        <v>723.18910764193618</v>
      </c>
      <c r="W72" s="165">
        <f ca="1">SUM(W65:W71)</f>
        <v>842.57906166793884</v>
      </c>
      <c r="X72" s="165">
        <f ca="1">SUM(X65:X71)</f>
        <v>860.14569306654471</v>
      </c>
      <c r="Y72" s="165">
        <f ca="1">SUM(Y65:Y71)</f>
        <v>865.13152918729645</v>
      </c>
      <c r="Z72" s="165">
        <f ca="1">SUM(Z65:Z71)</f>
        <v>839.8254112691402</v>
      </c>
      <c r="AA72" s="165">
        <f ca="1">SUM(AA65:AA71)</f>
        <v>4553.6720483393956</v>
      </c>
    </row>
    <row r="73" spans="1:27" ht="15.75" customHeight="1">
      <c r="A73" s="843">
        <v>13</v>
      </c>
      <c r="B73" s="447"/>
      <c r="C73" s="917" t="s">
        <v>203</v>
      </c>
      <c r="D73" s="695"/>
      <c r="E73" s="695"/>
      <c r="F73" s="695"/>
      <c r="G73" s="695"/>
      <c r="H73" s="695"/>
      <c r="I73" s="695"/>
      <c r="J73" s="424"/>
      <c r="K73" s="424"/>
      <c r="L73" s="424">
        <f t="shared" ref="L73:V74" si="24">L38</f>
        <v>-10.741544578021855</v>
      </c>
      <c r="M73" s="424">
        <f t="shared" si="24"/>
        <v>-4.9682821293204382</v>
      </c>
      <c r="N73" s="424">
        <f t="shared" ca="1" si="24"/>
        <v>-3.1403054640724668</v>
      </c>
      <c r="O73" s="424">
        <f t="shared" ca="1" si="24"/>
        <v>-2.8240968171277427</v>
      </c>
      <c r="P73" s="424">
        <f t="shared" si="24"/>
        <v>-2.23</v>
      </c>
      <c r="Q73" s="424">
        <f t="shared" si="24"/>
        <v>-3.4</v>
      </c>
      <c r="R73" s="1348">
        <f t="shared" ca="1" si="24"/>
        <v>-5.4128368560918458</v>
      </c>
      <c r="S73" s="1598">
        <f t="shared" ca="1" si="24"/>
        <v>-2.0433026999999999</v>
      </c>
      <c r="T73" s="1348">
        <f t="shared" ca="1" si="24"/>
        <v>-2.2078343386943637</v>
      </c>
      <c r="U73" s="1574">
        <f ca="1">U38</f>
        <v>-4.2511370386943641</v>
      </c>
      <c r="V73" s="424">
        <f t="shared" ca="1" si="24"/>
        <v>-6.1929828278413064</v>
      </c>
      <c r="W73" s="424">
        <f ca="1">W38</f>
        <v>-4.873725636486836</v>
      </c>
      <c r="X73" s="424">
        <f ca="1">X38</f>
        <v>-4.6226440608601553</v>
      </c>
      <c r="Y73" s="424">
        <f ca="1">Y38</f>
        <v>-4.6164918801129744</v>
      </c>
      <c r="Z73" s="424">
        <f ca="1">Z38</f>
        <v>-4.070419163019011</v>
      </c>
      <c r="AA73" s="424">
        <f t="shared" ca="1" si="22"/>
        <v>-28.62740060701465</v>
      </c>
    </row>
    <row r="74" spans="1:27" ht="15.75" customHeight="1">
      <c r="A74" s="843">
        <v>13</v>
      </c>
      <c r="B74" s="447"/>
      <c r="C74" s="917" t="s">
        <v>1812</v>
      </c>
      <c r="D74" s="695"/>
      <c r="E74" s="695"/>
      <c r="F74" s="695"/>
      <c r="G74" s="695"/>
      <c r="H74" s="695"/>
      <c r="I74" s="695"/>
      <c r="J74" s="424"/>
      <c r="K74" s="424"/>
      <c r="L74" s="424">
        <f t="shared" si="24"/>
        <v>0</v>
      </c>
      <c r="M74" s="424">
        <f t="shared" si="24"/>
        <v>0</v>
      </c>
      <c r="N74" s="424">
        <f t="shared" si="24"/>
        <v>0</v>
      </c>
      <c r="O74" s="424">
        <f t="shared" si="24"/>
        <v>0</v>
      </c>
      <c r="P74" s="424">
        <v>0</v>
      </c>
      <c r="Q74" s="451">
        <f>Q39</f>
        <v>-0.3033333333333334</v>
      </c>
      <c r="R74" s="1347">
        <f t="shared" ref="R74:Z74" si="25">R39</f>
        <v>-1.2268749999999999</v>
      </c>
      <c r="S74" s="1597">
        <f t="shared" si="25"/>
        <v>0</v>
      </c>
      <c r="T74" s="1347">
        <f t="shared" si="25"/>
        <v>-1.2268749999999999</v>
      </c>
      <c r="U74" s="1573">
        <f>U39</f>
        <v>-1.2268749999999999</v>
      </c>
      <c r="V74" s="451">
        <f t="shared" si="25"/>
        <v>-1.3</v>
      </c>
      <c r="W74" s="451">
        <f t="shared" si="25"/>
        <v>-0.28437499999999999</v>
      </c>
      <c r="X74" s="451">
        <f t="shared" si="25"/>
        <v>0</v>
      </c>
      <c r="Y74" s="451">
        <f t="shared" si="25"/>
        <v>0</v>
      </c>
      <c r="Z74" s="451">
        <f t="shared" si="25"/>
        <v>0</v>
      </c>
      <c r="AA74" s="424">
        <f t="shared" si="22"/>
        <v>-2.8112499999999998</v>
      </c>
    </row>
    <row r="75" spans="1:27" ht="15.75" customHeight="1">
      <c r="B75" s="447"/>
      <c r="C75" s="917" t="s">
        <v>724</v>
      </c>
      <c r="D75" s="695"/>
      <c r="E75" s="695"/>
      <c r="F75" s="695"/>
      <c r="G75" s="695"/>
      <c r="H75" s="695"/>
      <c r="I75" s="695"/>
      <c r="J75" s="424"/>
      <c r="K75" s="424"/>
      <c r="L75" s="424"/>
      <c r="M75" s="424"/>
      <c r="N75" s="424"/>
      <c r="O75" s="424"/>
      <c r="P75" s="424">
        <f>P40+P41+P43+P42</f>
        <v>0</v>
      </c>
      <c r="Q75" s="424">
        <f t="shared" ref="Q75:Z75" si="26">Q40+Q41+Q43+Q42</f>
        <v>0</v>
      </c>
      <c r="R75" s="1348">
        <f t="shared" si="26"/>
        <v>-6.087460031294488</v>
      </c>
      <c r="S75" s="1598">
        <f t="shared" si="26"/>
        <v>-3.5060728595043869</v>
      </c>
      <c r="T75" s="1348">
        <f t="shared" si="26"/>
        <v>-5.4184802669117937</v>
      </c>
      <c r="U75" s="1574">
        <f t="shared" si="26"/>
        <v>-8.9245531264161801</v>
      </c>
      <c r="V75" s="424">
        <f t="shared" si="26"/>
        <v>-6.3667249608641532</v>
      </c>
      <c r="W75" s="424">
        <f t="shared" si="26"/>
        <v>-3.3134029681516308</v>
      </c>
      <c r="X75" s="424">
        <f t="shared" si="26"/>
        <v>-1.1943318510563927</v>
      </c>
      <c r="Y75" s="424">
        <f t="shared" si="26"/>
        <v>5.3578324560021431E-5</v>
      </c>
      <c r="Z75" s="424">
        <f t="shared" si="26"/>
        <v>5.3578324560021431E-5</v>
      </c>
      <c r="AA75" s="424">
        <f t="shared" si="22"/>
        <v>-19.798905749839236</v>
      </c>
    </row>
    <row r="76" spans="1:27" ht="15.75" hidden="1" customHeight="1" outlineLevel="1">
      <c r="A76" s="843">
        <v>14</v>
      </c>
      <c r="B76" s="447"/>
      <c r="C76" s="917" t="s">
        <v>187</v>
      </c>
      <c r="D76" s="695"/>
      <c r="E76" s="695"/>
      <c r="F76" s="695"/>
      <c r="G76" s="695"/>
      <c r="H76" s="695"/>
      <c r="I76" s="695"/>
      <c r="J76" s="424"/>
      <c r="K76" s="424"/>
      <c r="L76" s="424">
        <f t="shared" ref="L76:X76" ca="1" si="27">L44</f>
        <v>0</v>
      </c>
      <c r="M76" s="424">
        <f t="shared" ca="1" si="27"/>
        <v>0</v>
      </c>
      <c r="N76" s="424">
        <f t="shared" ca="1" si="27"/>
        <v>0</v>
      </c>
      <c r="O76" s="424">
        <f t="shared" ca="1" si="27"/>
        <v>0</v>
      </c>
      <c r="P76" s="424">
        <f t="shared" ca="1" si="27"/>
        <v>0</v>
      </c>
      <c r="Q76" s="424">
        <f t="shared" ca="1" si="27"/>
        <v>0</v>
      </c>
      <c r="R76" s="1348">
        <f t="shared" ca="1" si="27"/>
        <v>0</v>
      </c>
      <c r="S76" s="1598">
        <f t="shared" ca="1" si="27"/>
        <v>0</v>
      </c>
      <c r="T76" s="1348">
        <f t="shared" ca="1" si="27"/>
        <v>0</v>
      </c>
      <c r="U76" s="1574">
        <f ca="1">U44</f>
        <v>0</v>
      </c>
      <c r="V76" s="424">
        <f t="shared" ca="1" si="27"/>
        <v>0</v>
      </c>
      <c r="W76" s="424">
        <f t="shared" ca="1" si="27"/>
        <v>0</v>
      </c>
      <c r="X76" s="424">
        <f t="shared" ca="1" si="27"/>
        <v>0</v>
      </c>
      <c r="Y76" s="424">
        <f ca="1">Y44</f>
        <v>0</v>
      </c>
      <c r="Z76" s="424">
        <f ca="1">Z44</f>
        <v>0</v>
      </c>
      <c r="AA76" s="424">
        <f t="shared" ca="1" si="22"/>
        <v>0</v>
      </c>
    </row>
    <row r="77" spans="1:27" ht="15.75" customHeight="1" collapsed="1">
      <c r="A77" s="843">
        <v>15</v>
      </c>
      <c r="B77" s="447"/>
      <c r="C77" s="516" t="s">
        <v>1984</v>
      </c>
      <c r="D77" s="760"/>
      <c r="E77" s="763"/>
      <c r="F77" s="701"/>
      <c r="G77" s="701"/>
      <c r="H77" s="701"/>
      <c r="I77" s="701"/>
      <c r="J77" s="424"/>
      <c r="K77" s="424"/>
      <c r="L77" s="424">
        <f ca="1">L49</f>
        <v>-0.73664565884043043</v>
      </c>
      <c r="M77" s="424">
        <f ca="1">M49</f>
        <v>-3.0206371184129037</v>
      </c>
      <c r="N77" s="424">
        <f>N49</f>
        <v>-2.6272296296296297E-2</v>
      </c>
      <c r="O77" s="424">
        <f ca="1">O49</f>
        <v>-1.6799940740740742E-2</v>
      </c>
      <c r="P77" s="424">
        <f>P49+P51+P52+P53</f>
        <v>0.104181</v>
      </c>
      <c r="Q77" s="424">
        <f ca="1">Q49+Q51+Q52+Q53+Q50+Q46-55</f>
        <v>-3.8698510000000041</v>
      </c>
      <c r="R77" s="1348">
        <f t="shared" ref="R77:Z77" ca="1" si="28">R49+R51+R52+R53+R50</f>
        <v>-28.535165471672777</v>
      </c>
      <c r="S77" s="1598">
        <f t="shared" ca="1" si="28"/>
        <v>-0.38247561661309398</v>
      </c>
      <c r="T77" s="1348">
        <f t="shared" ca="1" si="28"/>
        <v>-19.329193128298158</v>
      </c>
      <c r="U77" s="1574">
        <f ca="1">U49+U51+U52+U53+U50</f>
        <v>-19.71166874491125</v>
      </c>
      <c r="V77" s="424">
        <f t="shared" ca="1" si="28"/>
        <v>-109.87956431221579</v>
      </c>
      <c r="W77" s="424">
        <f t="shared" ca="1" si="28"/>
        <v>-121.95142151299002</v>
      </c>
      <c r="X77" s="424">
        <f t="shared" ca="1" si="28"/>
        <v>-124.22557094420927</v>
      </c>
      <c r="Y77" s="424">
        <f t="shared" ca="1" si="28"/>
        <v>-125.71325600612988</v>
      </c>
      <c r="Z77" s="424">
        <f t="shared" ca="1" si="28"/>
        <v>-125.62403850454407</v>
      </c>
      <c r="AA77" s="424">
        <f t="shared" ca="1" si="22"/>
        <v>-627.10552002500026</v>
      </c>
    </row>
    <row r="78" spans="1:27" ht="15.75" customHeight="1">
      <c r="B78" s="447"/>
      <c r="C78" s="523" t="s">
        <v>205</v>
      </c>
      <c r="D78" s="695"/>
      <c r="E78" s="695"/>
      <c r="F78" s="695"/>
      <c r="G78" s="695"/>
      <c r="H78" s="695"/>
      <c r="I78" s="695"/>
      <c r="J78" s="424"/>
      <c r="K78" s="424"/>
      <c r="L78" s="424">
        <f t="shared" ref="L78:Z78" ca="1" si="29">SUM(L73:L77,L65:L71)</f>
        <v>442.80307123277049</v>
      </c>
      <c r="M78" s="424">
        <f t="shared" ca="1" si="29"/>
        <v>233.35716441436091</v>
      </c>
      <c r="N78" s="424">
        <f t="shared" ca="1" si="29"/>
        <v>224.64334095724141</v>
      </c>
      <c r="O78" s="424">
        <f t="shared" ca="1" si="29"/>
        <v>228.96962602208606</v>
      </c>
      <c r="P78" s="165">
        <f t="shared" ca="1" si="29"/>
        <v>173.78530985076401</v>
      </c>
      <c r="Q78" s="165">
        <f t="shared" ca="1" si="29"/>
        <v>257.4538354906262</v>
      </c>
      <c r="R78" s="1346">
        <f t="shared" ca="1" si="29"/>
        <v>347.21647571458578</v>
      </c>
      <c r="S78" s="1596">
        <f t="shared" ca="1" si="29"/>
        <v>216.14407082245123</v>
      </c>
      <c r="T78" s="1346">
        <f t="shared" ca="1" si="29"/>
        <v>212.76409570208222</v>
      </c>
      <c r="U78" s="1572">
        <f ca="1">SUM(U73:U77,U65:U71)</f>
        <v>425.08861414726107</v>
      </c>
      <c r="V78" s="165">
        <f t="shared" ca="1" si="29"/>
        <v>599.44983554101498</v>
      </c>
      <c r="W78" s="165">
        <f t="shared" ca="1" si="29"/>
        <v>712.15613655031041</v>
      </c>
      <c r="X78" s="165">
        <f t="shared" ca="1" si="29"/>
        <v>730.10314621041903</v>
      </c>
      <c r="Y78" s="165">
        <f t="shared" ca="1" si="29"/>
        <v>734.80183487937813</v>
      </c>
      <c r="Z78" s="165">
        <f t="shared" ca="1" si="29"/>
        <v>710.13100717990164</v>
      </c>
      <c r="AA78" s="165">
        <f t="shared" ca="1" si="22"/>
        <v>3911.7305745082854</v>
      </c>
    </row>
    <row r="79" spans="1:27" ht="26.25" customHeight="1">
      <c r="B79" s="447"/>
      <c r="C79" s="523" t="s">
        <v>206</v>
      </c>
      <c r="D79" s="573"/>
      <c r="E79" s="573"/>
      <c r="F79" s="573"/>
      <c r="G79" s="573"/>
      <c r="H79" s="573"/>
      <c r="I79" s="573"/>
      <c r="J79" s="424"/>
      <c r="K79" s="424"/>
      <c r="L79" s="424"/>
      <c r="M79" s="424"/>
      <c r="N79" s="424"/>
      <c r="O79" s="424"/>
      <c r="P79" s="424"/>
      <c r="Q79" s="424"/>
      <c r="R79" s="1348"/>
      <c r="S79" s="1598"/>
      <c r="T79" s="1348"/>
      <c r="U79" s="1574"/>
      <c r="V79" s="424"/>
      <c r="W79" s="424"/>
      <c r="X79" s="424"/>
      <c r="Y79" s="424"/>
      <c r="Z79" s="424"/>
      <c r="AA79" s="424"/>
    </row>
    <row r="80" spans="1:27" ht="15.75" customHeight="1">
      <c r="A80" s="843">
        <v>16</v>
      </c>
      <c r="B80" s="447"/>
      <c r="C80" s="917" t="s">
        <v>207</v>
      </c>
      <c r="D80" s="573"/>
      <c r="E80" s="573"/>
      <c r="F80" s="573"/>
      <c r="G80" s="573"/>
      <c r="H80" s="573"/>
      <c r="I80" s="573"/>
      <c r="J80" s="424">
        <v>0</v>
      </c>
      <c r="K80" s="424">
        <v>0</v>
      </c>
      <c r="L80" s="424">
        <f>('Ni segment'!K370+'Zn Pb segment'!L286+'Total Chemical'!K425+'Cu segment'!K361)/1000000</f>
        <v>-25.221288994059414</v>
      </c>
      <c r="M80" s="424">
        <f>('Ni segment'!L370+'Zn Pb segment'!M286+'Total Chemical'!L425+'Cu segment'!L361)/1000000</f>
        <v>-13.475600999999999</v>
      </c>
      <c r="N80" s="424">
        <f>(SUMIF('Ni segment'!$A$360:$A$386,Total!A80,'Ni segment'!$M$360:$M$386)+SUMIF('Zn Pb segment'!$A$277:$A$306,Total!A80,'Zn Pb segment'!$N$277:$N$306)+SUMIF('Cu segment'!$A$351:$A$380,Total!A80,'Cu segment'!$M$351:$M$380)+SUMIF('Total Chemical'!$A$417:$A$446,Total!A80,'Total Chemical'!$M$417:$M$446))/1000000</f>
        <v>-7.4875600000000002</v>
      </c>
      <c r="O80" s="424">
        <f>(SUMIF('Ni segment'!$A$360:$A$386,Total!A80,'Ni segment'!$N$360:$N$386)+SUMIF('Zn Pb segment'!$A$277:$A$306,Total!A80,'Zn Pb segment'!$O$277:$O$306)+SUMIF('Cu segment'!$A$351:$A$380,Total!A80,'Cu segment'!$N$351:$N$380)+SUMIF('Total Chemical'!$A$417:$A$446,Total!A80,'Total Chemical'!$N$417:$N$446))/1000000</f>
        <v>-32.169280000000001</v>
      </c>
      <c r="P80" s="424">
        <f>(SUMIF('Ni segment'!$A:$A,Total!$A80,'Ni segment'!O:O)+SUMIF('Zn Pb segment'!$A:$A,Total!$A80,'Zn Pb segment'!P:P)+SUMIF('Cu segment'!$A:$A,Total!$A80,'Cu segment'!O:O)+SUMIF('Total Chemical'!$A:$A,Total!$A80,'Total Chemical'!O:O))/1000000</f>
        <v>-38.446590512999997</v>
      </c>
      <c r="Q80" s="424">
        <f>(SUMIF('Ni segment'!$A:$A,Total!$A80,'Ni segment'!P:P)+SUMIF('Zn Pb segment'!$A:$A,Total!$A80,'Zn Pb segment'!Q:Q)+SUMIF('Cu segment'!$A:$A,Total!$A80,'Cu segment'!P:P)+SUMIF('Total Chemical'!$A:$A,Total!$A80,'Total Chemical'!P:P))/1000000</f>
        <v>-19.63426055</v>
      </c>
      <c r="R80" s="1348">
        <f>(SUMIF('Ni segment'!$A:$A,Total!$A80,'Ni segment'!Q:Q)+SUMIF('Zn Pb segment'!$A:$A,Total!$A80,'Zn Pb segment'!R:R)+SUMIF('Cu segment'!$A:$A,Total!$A80,'Cu segment'!Q:Q)+SUMIF('Total Chemical'!$A:$A,Total!$A80,'Total Chemical'!Q:Q))/1000000</f>
        <v>-27.718948000000001</v>
      </c>
      <c r="S80" s="1609">
        <f>(SUMIF('Ni segment'!$A:$A,Total!$A80,'Ni segment'!R:R)+SUMIF('Zn Pb segment'!$A:$A,Total!$A80,'Zn Pb segment'!S:S)+SUMIF('Cu segment'!$A:$A,Total!$A80,'Cu segment'!R:R))/1000000</f>
        <v>-23.99972</v>
      </c>
      <c r="T80" s="1610">
        <f>(SUMIF('Ni segment'!$A:$A,Total!$A80,'Ni segment'!S:S)+SUMIF('Zn Pb segment'!$A:$A,Total!$A80,'Zn Pb segment'!T:T)+SUMIF('Cu segment'!$A:$A,Total!$A80,'Cu segment'!S:S))/1000000</f>
        <v>-7.4359739999999999</v>
      </c>
      <c r="U80" s="1574">
        <f>(SUMIF('Ni segment'!$A:$A,Total!$A80,'Ni segment'!T:T)+SUMIF('Zn Pb segment'!$A:$A,Total!$A80,'Zn Pb segment'!U:U)+SUMIF('Cu segment'!$A:$A,Total!$A80,'Cu segment'!T:T))/1000000</f>
        <v>-31.435694000000002</v>
      </c>
      <c r="V80" s="424">
        <f>(SUMIF('Ni segment'!$A:$A,Total!$A80,'Ni segment'!U:U)+SUMIF('Zn Pb segment'!$A:$A,Total!$A80,'Zn Pb segment'!V:V)+SUMIF('Cu segment'!$A:$A,Total!$A80,'Cu segment'!U:U)+SUMIF('Total Chemical'!$A:$A,Total!$A80,'Total Chemical'!R:R))/1000000</f>
        <v>-12.270033116623591</v>
      </c>
      <c r="W80" s="424">
        <f>(SUMIF('Ni segment'!$A:$A,Total!$A80,'Ni segment'!V:V)+SUMIF('Zn Pb segment'!$A:$A,Total!$A80,'Zn Pb segment'!W:W)+SUMIF('Cu segment'!$A:$A,Total!$A80,'Cu segment'!V:V)+SUMIF('Total Chemical'!$A:$A,Total!$A80,'Total Chemical'!S:S))/1000000</f>
        <v>-10.055540968219711</v>
      </c>
      <c r="X80" s="424">
        <f>(SUMIF('Ni segment'!$A:$A,Total!$A80,'Ni segment'!W:W)+SUMIF('Zn Pb segment'!$A:$A,Total!$A80,'Zn Pb segment'!X:X)+SUMIF('Cu segment'!$A:$A,Total!$A80,'Cu segment'!W:W)+SUMIF('Total Chemical'!$A:$A,Total!$A80,'Total Chemical'!T:T))/1000000</f>
        <v>-19.135116088219711</v>
      </c>
      <c r="Y80" s="424">
        <f>(SUMIF('Ni segment'!$A:$A,Total!$A80,'Ni segment'!X:X)+SUMIF('Zn Pb segment'!$A:$A,Total!$A80,'Zn Pb segment'!Y:Y)+SUMIF('Cu segment'!$A:$A,Total!$A80,'Cu segment'!X:X)+SUMIF('Total Chemical'!$A:$A,Total!$A80,'Total Chemical'!U:U))/1000000</f>
        <v>-18.402013888219713</v>
      </c>
      <c r="Z80" s="424">
        <f>(SUMIF('Ni segment'!$A:$A,Total!$A80,'Ni segment'!Y:Y)+SUMIF('Zn Pb segment'!$A:$A,Total!$A80,'Zn Pb segment'!Z:Z)+SUMIF('Cu segment'!$A:$A,Total!$A80,'Cu segment'!Y:Y)+SUMIF('Total Chemical'!$A:$A,Total!$A80,'Total Chemical'!V:V))/1000000</f>
        <v>-26.430076993507711</v>
      </c>
      <c r="AA80" s="424">
        <f t="shared" si="22"/>
        <v>-117.72847505479044</v>
      </c>
    </row>
    <row r="81" spans="1:27" ht="15.75" customHeight="1">
      <c r="A81" s="843">
        <v>24</v>
      </c>
      <c r="B81" s="447"/>
      <c r="C81" s="919" t="s">
        <v>208</v>
      </c>
      <c r="D81" s="573"/>
      <c r="E81" s="573"/>
      <c r="F81" s="573"/>
      <c r="G81" s="573"/>
      <c r="H81" s="573"/>
      <c r="I81" s="573"/>
      <c r="J81" s="424">
        <v>0</v>
      </c>
      <c r="K81" s="424">
        <v>0</v>
      </c>
      <c r="L81" s="424">
        <v>0</v>
      </c>
      <c r="M81" s="424">
        <v>0</v>
      </c>
      <c r="N81" s="424">
        <v>0</v>
      </c>
      <c r="O81" s="424">
        <v>0</v>
      </c>
      <c r="P81" s="424">
        <f>(SUMIF('Ni segment'!$A:$A,Total!$A81,'Ni segment'!O:O)+SUMIF('Zn Pb segment'!$A:$A,Total!$A81,'Zn Pb segment'!P:P)+SUMIF('Cu segment'!$A:$A,Total!$A81,'Cu segment'!O:O)+SUMIF('Total Chemical'!$A:$A,Total!$A81,'Total Chemical'!O:O))/1000000</f>
        <v>0</v>
      </c>
      <c r="Q81" s="424">
        <f>(SUMIF('Ni segment'!$A:$A,Total!$A81,'Ni segment'!P:P)+SUMIF('Zn Pb segment'!$A:$A,Total!$A81,'Zn Pb segment'!Q:Q)+SUMIF('Cu segment'!$A:$A,Total!$A81,'Cu segment'!P:P)+SUMIF('Total Chemical'!$A:$A,Total!$A81,'Total Chemical'!P:P))/1000000</f>
        <v>0</v>
      </c>
      <c r="R81" s="1348">
        <f>(SUMIF('Ni segment'!$A:$A,Total!$A81,'Ni segment'!Q:Q)+SUMIF('Zn Pb segment'!$A:$A,Total!$A81,'Zn Pb segment'!R:R)+SUMIF('Cu segment'!$A:$A,Total!$A81,'Cu segment'!Q:Q)+SUMIF('Total Chemical'!$A:$A,Total!$A81,'Total Chemical'!Q:Q))/1000000</f>
        <v>0</v>
      </c>
      <c r="S81" s="1598">
        <v>0</v>
      </c>
      <c r="T81" s="1348">
        <f>U81</f>
        <v>16.64</v>
      </c>
      <c r="U81" s="1574">
        <f>14.8*'Control list'!M17-8.9+10</f>
        <v>16.64</v>
      </c>
      <c r="V81" s="424">
        <f>(SUMIF('Ni segment'!$A:$A,Total!$A81,'Ni segment'!U:U)+SUMIF('Zn Pb segment'!$A:$A,Total!$A81,'Zn Pb segment'!V:V)+SUMIF('Cu segment'!$A:$A,Total!$A81,'Cu segment'!U:U)+SUMIF('Total Chemical'!$A:$A,Total!$A81,'Total Chemical'!R:R))/1000000</f>
        <v>0</v>
      </c>
      <c r="W81" s="424">
        <f>(SUMIF('Ni segment'!$A:$A,Total!$A81,'Ni segment'!V:V)+SUMIF('Zn Pb segment'!$A:$A,Total!$A81,'Zn Pb segment'!W:W)+SUMIF('Cu segment'!$A:$A,Total!$A81,'Cu segment'!V:V)+SUMIF('Total Chemical'!$A:$A,Total!$A81,'Total Chemical'!S:S))/1000000</f>
        <v>0</v>
      </c>
      <c r="X81" s="424">
        <f>(SUMIF('Ni segment'!$A:$A,Total!$A81,'Ni segment'!W:W)+SUMIF('Zn Pb segment'!$A:$A,Total!$A81,'Zn Pb segment'!X:X)+SUMIF('Cu segment'!$A:$A,Total!$A81,'Cu segment'!W:W)+SUMIF('Total Chemical'!$A:$A,Total!$A81,'Total Chemical'!T:T))/1000000</f>
        <v>0</v>
      </c>
      <c r="Y81" s="424">
        <f>(SUMIF('Ni segment'!$A:$A,Total!$A81,'Ni segment'!X:X)+SUMIF('Zn Pb segment'!$A:$A,Total!$A81,'Zn Pb segment'!Y:Y)+SUMIF('Cu segment'!$A:$A,Total!$A81,'Cu segment'!X:X)+SUMIF('Total Chemical'!$A:$A,Total!$A81,'Total Chemical'!U:U))/1000000</f>
        <v>0</v>
      </c>
      <c r="Z81" s="424">
        <f>(SUMIF('Ni segment'!$A:$A,Total!$A81,'Ni segment'!Y:Y)+SUMIF('Zn Pb segment'!$A:$A,Total!$A81,'Zn Pb segment'!Z:Z)+SUMIF('Cu segment'!$A:$A,Total!$A81,'Cu segment'!Y:Y)+SUMIF('Total Chemical'!$A:$A,Total!$A81,'Total Chemical'!V:V))/1000000</f>
        <v>0</v>
      </c>
      <c r="AA81" s="424">
        <f t="shared" si="22"/>
        <v>16.64</v>
      </c>
    </row>
    <row r="82" spans="1:27">
      <c r="A82" s="843">
        <v>16</v>
      </c>
      <c r="B82" s="447"/>
      <c r="C82" s="919" t="s">
        <v>746</v>
      </c>
      <c r="D82" s="573"/>
      <c r="E82" s="573"/>
      <c r="F82" s="573"/>
      <c r="G82" s="573"/>
      <c r="H82" s="573"/>
      <c r="I82" s="573"/>
      <c r="J82" s="424">
        <v>0</v>
      </c>
      <c r="K82" s="424">
        <v>0</v>
      </c>
      <c r="L82" s="424">
        <v>0</v>
      </c>
      <c r="M82" s="424">
        <v>0</v>
      </c>
      <c r="N82" s="424">
        <v>0</v>
      </c>
      <c r="O82" s="424">
        <v>0</v>
      </c>
      <c r="P82" s="451">
        <f>(SUMIF(DSO!$A:$A,Total!$A82,DSO!G:G))/1000000</f>
        <v>-17.645990000000001</v>
      </c>
      <c r="Q82" s="451">
        <f>(SUMIF(DSO!$A:$A,Total!$A82,DSO!H:H))/1000000</f>
        <v>-9.2414269999999998</v>
      </c>
      <c r="R82" s="1347">
        <f>(SUMIF(DSO!$A:$A,Total!$A82,DSO!I:I))/1000000</f>
        <v>-6.8716679999999997</v>
      </c>
      <c r="S82" s="1602">
        <f>(SUMIF(DSO!$A:$A,Total!$A82,DSO!J:J))/1000000</f>
        <v>-6.8716679999999997</v>
      </c>
      <c r="T82" s="1603">
        <f>(SUMIF(DSO!$A:$A,Total!$A82,DSO!K:K))/1000000</f>
        <v>0</v>
      </c>
      <c r="U82" s="1573">
        <f>(SUMIF(DSO!$A:$A,Total!$A82,DSO!L:L))/1000000</f>
        <v>-6.8716679999999997</v>
      </c>
      <c r="V82" s="451">
        <f>(SUMIF(DSO!$A:$A,Total!$A82,DSO!M:M))/1000000</f>
        <v>0</v>
      </c>
      <c r="W82" s="451">
        <f>(SUMIF(DSO!$A:$A,Total!$A82,DSO!N:N))/1000000</f>
        <v>0</v>
      </c>
      <c r="X82" s="451">
        <f>(SUMIF(DSO!$A:$A,Total!$A82,DSO!O:O))/1000000</f>
        <v>0</v>
      </c>
      <c r="Y82" s="451">
        <f>(SUMIF(DSO!$A:$A,Total!$A82,DSO!P:P))/1000000</f>
        <v>0</v>
      </c>
      <c r="Z82" s="451">
        <f>(SUMIF(DSO!$A:$A,Total!$A82,DSO!Q:Q))/1000000</f>
        <v>0</v>
      </c>
      <c r="AA82" s="451">
        <f t="shared" si="22"/>
        <v>-6.8716679999999997</v>
      </c>
    </row>
    <row r="83" spans="1:27">
      <c r="A83" s="843">
        <v>16</v>
      </c>
      <c r="B83" s="447"/>
      <c r="C83" s="920" t="s">
        <v>748</v>
      </c>
      <c r="D83" s="573"/>
      <c r="E83" s="573"/>
      <c r="F83" s="573"/>
      <c r="G83" s="573"/>
      <c r="H83" s="573"/>
      <c r="I83" s="573"/>
      <c r="J83" s="424">
        <v>0</v>
      </c>
      <c r="K83" s="424">
        <v>0</v>
      </c>
      <c r="L83" s="424">
        <v>0</v>
      </c>
      <c r="M83" s="424">
        <v>0</v>
      </c>
      <c r="N83" s="424">
        <v>0</v>
      </c>
      <c r="O83" s="424">
        <v>0</v>
      </c>
      <c r="P83" s="424">
        <f>('Indonesia Aquila'!C13)/1000000</f>
        <v>-32.5</v>
      </c>
      <c r="Q83" s="424">
        <f>('Indonesia Aquila'!D13)/1000000</f>
        <v>-6.9223100000000004</v>
      </c>
      <c r="R83" s="1348">
        <f>('Indonesia Aquila'!E13)/1000000</f>
        <v>-2.5826313333333331</v>
      </c>
      <c r="S83" s="1598">
        <f>-3</f>
        <v>-3</v>
      </c>
      <c r="T83" s="1348"/>
      <c r="U83" s="1574">
        <f>('Indonesia Aquila'!E13)/1000000</f>
        <v>-2.5826313333333331</v>
      </c>
      <c r="V83" s="424">
        <v>0</v>
      </c>
      <c r="W83" s="424">
        <v>0</v>
      </c>
      <c r="X83" s="424">
        <v>0</v>
      </c>
      <c r="Y83" s="424">
        <v>0</v>
      </c>
      <c r="Z83" s="424">
        <v>0</v>
      </c>
      <c r="AA83" s="424">
        <f t="shared" si="22"/>
        <v>-2.5826313333333331</v>
      </c>
    </row>
    <row r="84" spans="1:27">
      <c r="A84" s="843">
        <v>16</v>
      </c>
      <c r="B84" s="447"/>
      <c r="C84" s="920" t="s">
        <v>1212</v>
      </c>
      <c r="D84" s="573"/>
      <c r="E84" s="573"/>
      <c r="F84" s="573"/>
      <c r="G84" s="573"/>
      <c r="H84" s="573"/>
      <c r="I84" s="573"/>
      <c r="J84" s="424">
        <v>0</v>
      </c>
      <c r="K84" s="424">
        <v>0</v>
      </c>
      <c r="L84" s="424">
        <v>0</v>
      </c>
      <c r="M84" s="424">
        <v>0</v>
      </c>
      <c r="N84" s="424">
        <v>0</v>
      </c>
      <c r="O84" s="424">
        <v>0</v>
      </c>
      <c r="P84" s="424">
        <f>(SUMIF(Acquila!$A:$A,Total!$A84,Acquila!G:G))/1000000</f>
        <v>0</v>
      </c>
      <c r="Q84" s="424">
        <v>0</v>
      </c>
      <c r="R84" s="1348">
        <v>0</v>
      </c>
      <c r="S84" s="1598">
        <v>0</v>
      </c>
      <c r="T84" s="1348">
        <v>0</v>
      </c>
      <c r="U84" s="1574">
        <v>0</v>
      </c>
      <c r="V84" s="424">
        <v>0</v>
      </c>
      <c r="W84" s="424">
        <v>0</v>
      </c>
      <c r="X84" s="424">
        <v>0</v>
      </c>
      <c r="Y84" s="424">
        <v>0</v>
      </c>
      <c r="Z84" s="424">
        <v>0</v>
      </c>
      <c r="AA84" s="424">
        <f t="shared" si="22"/>
        <v>0</v>
      </c>
    </row>
    <row r="85" spans="1:27" ht="12.75" customHeight="1">
      <c r="B85" s="447"/>
      <c r="C85" s="919" t="s">
        <v>741</v>
      </c>
      <c r="D85" s="573"/>
      <c r="E85" s="573"/>
      <c r="F85" s="573"/>
      <c r="G85" s="573"/>
      <c r="H85" s="573"/>
      <c r="I85" s="573"/>
      <c r="J85" s="424">
        <v>0</v>
      </c>
      <c r="K85" s="424">
        <v>0</v>
      </c>
      <c r="L85" s="424">
        <v>0</v>
      </c>
      <c r="M85" s="424">
        <v>0</v>
      </c>
      <c r="N85" s="424">
        <v>0</v>
      </c>
      <c r="O85" s="424">
        <v>0</v>
      </c>
      <c r="P85" s="451">
        <f>-170</f>
        <v>-170</v>
      </c>
      <c r="Q85" s="424">
        <f>26-1</f>
        <v>25</v>
      </c>
      <c r="R85" s="1348">
        <v>0</v>
      </c>
      <c r="S85" s="1598"/>
      <c r="T85" s="1348"/>
      <c r="U85" s="1574">
        <v>0</v>
      </c>
      <c r="V85" s="424">
        <v>0</v>
      </c>
      <c r="W85" s="424">
        <v>0</v>
      </c>
      <c r="X85" s="424">
        <v>0</v>
      </c>
      <c r="Y85" s="424">
        <v>0</v>
      </c>
      <c r="Z85" s="424">
        <v>0</v>
      </c>
      <c r="AA85" s="424">
        <f t="shared" si="22"/>
        <v>0</v>
      </c>
    </row>
    <row r="86" spans="1:27" ht="15.75" customHeight="1">
      <c r="A86" s="843">
        <v>16</v>
      </c>
      <c r="B86" s="447"/>
      <c r="C86" s="919" t="s">
        <v>742</v>
      </c>
      <c r="D86" s="573"/>
      <c r="E86" s="573"/>
      <c r="F86" s="573"/>
      <c r="G86" s="573"/>
      <c r="H86" s="573"/>
      <c r="I86" s="573"/>
      <c r="J86" s="424">
        <v>0</v>
      </c>
      <c r="K86" s="424">
        <v>0</v>
      </c>
      <c r="L86" s="424">
        <v>0</v>
      </c>
      <c r="M86" s="424">
        <v>0</v>
      </c>
      <c r="N86" s="424">
        <v>0</v>
      </c>
      <c r="O86" s="424">
        <v>0</v>
      </c>
      <c r="P86" s="451">
        <f>-5</f>
        <v>-5</v>
      </c>
      <c r="Q86" s="451">
        <f>(SUMIF(Fenix!$A:$A,Total!$A86,Fenix!Q:Q))/1000000</f>
        <v>-171.30039500000001</v>
      </c>
      <c r="R86" s="1347">
        <f>(SUMIF(Fenix!$A:$A,Total!$A86,Fenix!R:R))/1000000</f>
        <v>-264.858</v>
      </c>
      <c r="S86" s="1602">
        <f>(SUMIF(Fenix!$A:$A,Total!$A86,Fenix!S:S))/1000000</f>
        <v>-141</v>
      </c>
      <c r="T86" s="1603">
        <f>(SUMIF(Fenix!$A:$A,Total!$A86,Fenix!T:T))/1000000</f>
        <v>-115.584315</v>
      </c>
      <c r="U86" s="1573">
        <f>(SUMIF(Fenix!$A:$A,Total!$A86,Fenix!U:U))/1000000</f>
        <v>-256.584315</v>
      </c>
      <c r="V86" s="451">
        <f>(SUMIF(Fenix!$A:$A,Total!$A86,Fenix!V:V))/1000000</f>
        <v>-31.998999999999999</v>
      </c>
      <c r="W86" s="451">
        <f>(SUMIF(Fenix!$A:$A,Total!$A86,Fenix!W:W))/1000000</f>
        <v>0</v>
      </c>
      <c r="X86" s="451">
        <f>(SUMIF(Fenix!$A:$A,Total!$A86,Fenix!X:X))/1000000</f>
        <v>-2</v>
      </c>
      <c r="Y86" s="451">
        <f>(SUMIF(Fenix!$A:$A,Total!$A86,Fenix!Y:Y))/1000000</f>
        <v>-2</v>
      </c>
      <c r="Z86" s="451">
        <f>(SUMIF(Fenix!$A:$A,Total!$A86,Fenix!Z:Z))/1000000</f>
        <v>-2</v>
      </c>
      <c r="AA86" s="451">
        <f t="shared" si="22"/>
        <v>-294.58331500000003</v>
      </c>
    </row>
    <row r="87" spans="1:27" ht="15.75" customHeight="1">
      <c r="A87" s="843">
        <v>16</v>
      </c>
      <c r="B87" s="447"/>
      <c r="C87" s="919" t="s">
        <v>1815</v>
      </c>
      <c r="D87" s="573"/>
      <c r="E87" s="573"/>
      <c r="F87" s="573"/>
      <c r="G87" s="573"/>
      <c r="H87" s="573"/>
      <c r="I87" s="573"/>
      <c r="J87" s="424"/>
      <c r="K87" s="424"/>
      <c r="L87" s="424"/>
      <c r="M87" s="424"/>
      <c r="N87" s="424"/>
      <c r="O87" s="424"/>
      <c r="P87" s="451"/>
      <c r="Q87" s="451">
        <f>(SUMIF(Kurilgeo!$A:$A,Total!$A87,Kurilgeo!P:P))/1000000</f>
        <v>-14</v>
      </c>
      <c r="R87" s="1347">
        <f>(SUMIF(Kurilgeo!$A:$A,Total!$A87,Kurilgeo!Q:Q))/1000000</f>
        <v>-2.2000000000000002</v>
      </c>
      <c r="S87" s="1602">
        <f>(SUMIF(Kurilgeo!$A:$A,Total!$A87,Kurilgeo!R:R))/1000000</f>
        <v>0</v>
      </c>
      <c r="T87" s="1603">
        <f>(SUMIF(Kurilgeo!$A:$A,Total!$A87,Kurilgeo!S:S))/1000000</f>
        <v>-2.2000000000000002</v>
      </c>
      <c r="U87" s="1573">
        <f>(SUMIF(Kurilgeo!$A:$A,Total!$A87,Kurilgeo!T:T))/1000000</f>
        <v>-2.2000000000000002</v>
      </c>
      <c r="V87" s="451"/>
      <c r="W87" s="451"/>
      <c r="X87" s="451"/>
      <c r="Y87" s="451">
        <f>(SUMIF(Kurilgeo!$A:$A,Total!$A87,Kurilgeo!X:X))/1000000</f>
        <v>0</v>
      </c>
      <c r="Z87" s="451">
        <f>(SUMIF(Kurilgeo!$A:$A,Total!$A87,Kurilgeo!Y:Y))/1000000</f>
        <v>0</v>
      </c>
      <c r="AA87" s="451">
        <f t="shared" si="22"/>
        <v>-2.2000000000000002</v>
      </c>
    </row>
    <row r="88" spans="1:27" ht="15.75" customHeight="1">
      <c r="B88" s="575"/>
      <c r="C88" s="919" t="s">
        <v>1822</v>
      </c>
      <c r="D88" s="573"/>
      <c r="E88" s="573"/>
      <c r="F88" s="573"/>
      <c r="G88" s="573"/>
      <c r="H88" s="573"/>
      <c r="I88" s="573"/>
      <c r="J88" s="424"/>
      <c r="K88" s="424"/>
      <c r="L88" s="424"/>
      <c r="M88" s="424"/>
      <c r="N88" s="424"/>
      <c r="O88" s="424"/>
      <c r="P88" s="451">
        <f>P45</f>
        <v>0</v>
      </c>
      <c r="Q88" s="451">
        <f t="shared" ref="Q88:Z88" si="30">Q45</f>
        <v>0</v>
      </c>
      <c r="R88" s="1347">
        <f t="shared" si="30"/>
        <v>109</v>
      </c>
      <c r="S88" s="1602">
        <f t="shared" si="30"/>
        <v>23.6</v>
      </c>
      <c r="T88" s="1603">
        <f t="shared" si="30"/>
        <v>71.400000000000006</v>
      </c>
      <c r="U88" s="1573">
        <f>U45</f>
        <v>95</v>
      </c>
      <c r="V88" s="451">
        <f t="shared" si="30"/>
        <v>60</v>
      </c>
      <c r="W88" s="451">
        <f t="shared" si="30"/>
        <v>30</v>
      </c>
      <c r="X88" s="451">
        <f t="shared" si="30"/>
        <v>0</v>
      </c>
      <c r="Y88" s="451">
        <f t="shared" si="30"/>
        <v>0</v>
      </c>
      <c r="Z88" s="451">
        <f t="shared" si="30"/>
        <v>0</v>
      </c>
      <c r="AA88" s="451">
        <f t="shared" si="22"/>
        <v>185</v>
      </c>
    </row>
    <row r="89" spans="1:27" ht="15.75" customHeight="1">
      <c r="B89" s="447"/>
      <c r="C89" s="919" t="s">
        <v>1208</v>
      </c>
      <c r="D89" s="573"/>
      <c r="E89" s="573"/>
      <c r="F89" s="573"/>
      <c r="G89" s="573"/>
      <c r="H89" s="573"/>
      <c r="I89" s="573"/>
      <c r="J89" s="424">
        <v>0</v>
      </c>
      <c r="K89" s="424">
        <v>0</v>
      </c>
      <c r="L89" s="424">
        <v>0</v>
      </c>
      <c r="M89" s="424">
        <v>0</v>
      </c>
      <c r="N89" s="424">
        <v>0</v>
      </c>
      <c r="O89" s="424">
        <v>0</v>
      </c>
      <c r="P89" s="424">
        <v>0</v>
      </c>
      <c r="Q89" s="424">
        <f>-0.5</f>
        <v>-0.5</v>
      </c>
      <c r="R89" s="1348">
        <v>0</v>
      </c>
      <c r="S89" s="1598"/>
      <c r="T89" s="1348"/>
      <c r="U89" s="1574">
        <v>0</v>
      </c>
      <c r="V89" s="424">
        <v>0</v>
      </c>
      <c r="W89" s="424">
        <v>0</v>
      </c>
      <c r="X89" s="424">
        <v>0</v>
      </c>
      <c r="Y89" s="424">
        <v>0</v>
      </c>
      <c r="Z89" s="424">
        <v>0</v>
      </c>
      <c r="AA89" s="424">
        <f t="shared" si="22"/>
        <v>0</v>
      </c>
    </row>
    <row r="90" spans="1:27" ht="15.75" customHeight="1">
      <c r="B90" s="447"/>
      <c r="C90" s="523" t="s">
        <v>211</v>
      </c>
      <c r="D90" s="695"/>
      <c r="E90" s="695"/>
      <c r="F90" s="695"/>
      <c r="G90" s="695"/>
      <c r="H90" s="695"/>
      <c r="I90" s="695"/>
      <c r="J90" s="424"/>
      <c r="K90" s="424"/>
      <c r="L90" s="424">
        <f>SUM(L80:L80)</f>
        <v>-25.221288994059414</v>
      </c>
      <c r="M90" s="424">
        <f>SUM(M80:M80)</f>
        <v>-13.475600999999999</v>
      </c>
      <c r="N90" s="424">
        <f>SUM(N80:N80)</f>
        <v>-7.4875600000000002</v>
      </c>
      <c r="O90" s="424">
        <f>SUM(O80:O80)</f>
        <v>-32.169280000000001</v>
      </c>
      <c r="P90" s="165">
        <f t="shared" ref="P90:X90" si="31">SUM(P80:P89)</f>
        <v>-263.59258051300003</v>
      </c>
      <c r="Q90" s="165">
        <f t="shared" si="31"/>
        <v>-196.59839255000003</v>
      </c>
      <c r="R90" s="1346">
        <f t="shared" si="31"/>
        <v>-195.23124733333333</v>
      </c>
      <c r="S90" s="1596">
        <f t="shared" si="31"/>
        <v>-151.271388</v>
      </c>
      <c r="T90" s="1346">
        <f t="shared" si="31"/>
        <v>-37.180289000000002</v>
      </c>
      <c r="U90" s="1572">
        <f>SUM(U80:U89)</f>
        <v>-188.03430833333334</v>
      </c>
      <c r="V90" s="165">
        <f t="shared" si="31"/>
        <v>15.730966883376411</v>
      </c>
      <c r="W90" s="165">
        <f t="shared" si="31"/>
        <v>19.944459031780291</v>
      </c>
      <c r="X90" s="165">
        <f t="shared" si="31"/>
        <v>-21.135116088219711</v>
      </c>
      <c r="Y90" s="165">
        <f>SUM(Y80:Y89)</f>
        <v>-20.402013888219713</v>
      </c>
      <c r="Z90" s="165">
        <f>SUM(Z80:Z89)</f>
        <v>-28.430076993507711</v>
      </c>
      <c r="AA90" s="165">
        <f>SUM(AA80:AA89)</f>
        <v>-222.32608938812376</v>
      </c>
    </row>
    <row r="91" spans="1:27" ht="5.25" customHeight="1">
      <c r="B91" s="447"/>
      <c r="C91" s="695"/>
      <c r="D91" s="695"/>
      <c r="E91" s="695"/>
      <c r="F91" s="695"/>
      <c r="G91" s="695"/>
      <c r="H91" s="695"/>
      <c r="I91" s="695"/>
      <c r="J91" s="424"/>
      <c r="K91" s="424"/>
      <c r="L91" s="424"/>
      <c r="M91" s="424"/>
      <c r="N91" s="424"/>
      <c r="O91" s="424"/>
      <c r="P91" s="424"/>
      <c r="Q91" s="424"/>
      <c r="R91" s="1348"/>
      <c r="S91" s="1598"/>
      <c r="T91" s="1348"/>
      <c r="U91" s="1574"/>
      <c r="V91" s="424"/>
      <c r="W91" s="424"/>
      <c r="X91" s="424"/>
      <c r="Y91" s="424"/>
      <c r="Z91" s="424"/>
      <c r="AA91" s="424">
        <f t="shared" si="22"/>
        <v>0</v>
      </c>
    </row>
    <row r="92" spans="1:27" ht="15.75" customHeight="1">
      <c r="B92" s="447"/>
      <c r="C92" s="523" t="s">
        <v>212</v>
      </c>
      <c r="D92" s="695"/>
      <c r="E92" s="695"/>
      <c r="F92" s="695"/>
      <c r="G92" s="695"/>
      <c r="H92" s="695"/>
      <c r="I92" s="695"/>
      <c r="J92" s="424"/>
      <c r="K92" s="424"/>
      <c r="L92" s="424">
        <f t="shared" ref="L92:AA92" ca="1" si="32">SUM(L90,L78)</f>
        <v>417.58178223871107</v>
      </c>
      <c r="M92" s="424">
        <f t="shared" ca="1" si="32"/>
        <v>219.8815634143609</v>
      </c>
      <c r="N92" s="424">
        <f t="shared" ca="1" si="32"/>
        <v>217.1557809572414</v>
      </c>
      <c r="O92" s="424">
        <f t="shared" ca="1" si="32"/>
        <v>196.80034602208605</v>
      </c>
      <c r="P92" s="424">
        <f t="shared" ca="1" si="32"/>
        <v>-89.807270662236022</v>
      </c>
      <c r="Q92" s="424">
        <f t="shared" ca="1" si="32"/>
        <v>60.855442940626176</v>
      </c>
      <c r="R92" s="1348">
        <f t="shared" ca="1" si="32"/>
        <v>151.98522838125245</v>
      </c>
      <c r="S92" s="1598">
        <f t="shared" ca="1" si="32"/>
        <v>64.872682822451225</v>
      </c>
      <c r="T92" s="1348">
        <f t="shared" ca="1" si="32"/>
        <v>175.5838067020822</v>
      </c>
      <c r="U92" s="1574">
        <f ca="1">SUM(U90,U78)</f>
        <v>237.05430581392773</v>
      </c>
      <c r="V92" s="424">
        <f t="shared" ca="1" si="32"/>
        <v>615.18080242439135</v>
      </c>
      <c r="W92" s="424">
        <f t="shared" ca="1" si="32"/>
        <v>732.1005955820907</v>
      </c>
      <c r="X92" s="424">
        <f t="shared" ca="1" si="32"/>
        <v>708.96803012219937</v>
      </c>
      <c r="Y92" s="424">
        <f t="shared" ca="1" si="32"/>
        <v>714.39982099115844</v>
      </c>
      <c r="Z92" s="424">
        <f t="shared" ca="1" si="32"/>
        <v>681.70093018639398</v>
      </c>
      <c r="AA92" s="424">
        <f t="shared" ca="1" si="32"/>
        <v>3689.4044851201616</v>
      </c>
    </row>
    <row r="93" spans="1:27" ht="23.25" customHeight="1">
      <c r="B93" s="447"/>
      <c r="C93" s="695" t="s">
        <v>718</v>
      </c>
      <c r="D93" s="695"/>
      <c r="E93" s="695"/>
      <c r="F93" s="695"/>
      <c r="G93" s="695"/>
      <c r="H93" s="695"/>
      <c r="I93" s="695"/>
      <c r="J93" s="424"/>
      <c r="K93" s="424"/>
      <c r="L93" s="424">
        <f t="shared" ref="L93:T93" ca="1" si="33">IF(L92&lt;0,L92,0)</f>
        <v>0</v>
      </c>
      <c r="M93" s="424">
        <f t="shared" ca="1" si="33"/>
        <v>0</v>
      </c>
      <c r="N93" s="424">
        <f t="shared" ca="1" si="33"/>
        <v>0</v>
      </c>
      <c r="O93" s="424">
        <f t="shared" ca="1" si="33"/>
        <v>0</v>
      </c>
      <c r="P93" s="424">
        <f t="shared" ca="1" si="33"/>
        <v>-89.807270662236022</v>
      </c>
      <c r="Q93" s="424">
        <f t="shared" ca="1" si="33"/>
        <v>0</v>
      </c>
      <c r="R93" s="1348">
        <f t="shared" ca="1" si="33"/>
        <v>0</v>
      </c>
      <c r="S93" s="1598">
        <f t="shared" ca="1" si="33"/>
        <v>0</v>
      </c>
      <c r="T93" s="1348">
        <f t="shared" ca="1" si="33"/>
        <v>0</v>
      </c>
      <c r="U93" s="1574">
        <f t="shared" ref="U93:AA93" ca="1" si="34">IF(U92&lt;0,U92,0)</f>
        <v>0</v>
      </c>
      <c r="V93" s="424">
        <f t="shared" ca="1" si="34"/>
        <v>0</v>
      </c>
      <c r="W93" s="424">
        <f t="shared" ca="1" si="34"/>
        <v>0</v>
      </c>
      <c r="X93" s="424">
        <f t="shared" ca="1" si="34"/>
        <v>0</v>
      </c>
      <c r="Y93" s="424">
        <f t="shared" ca="1" si="34"/>
        <v>0</v>
      </c>
      <c r="Z93" s="424">
        <f t="shared" ca="1" si="34"/>
        <v>0</v>
      </c>
      <c r="AA93" s="424">
        <f t="shared" ca="1" si="34"/>
        <v>0</v>
      </c>
    </row>
    <row r="94" spans="1:27" ht="15.75" customHeight="1">
      <c r="B94" s="447"/>
      <c r="C94" s="523" t="s">
        <v>213</v>
      </c>
      <c r="D94" s="573"/>
      <c r="E94" s="692"/>
      <c r="F94" s="692"/>
      <c r="G94" s="692"/>
      <c r="H94" s="692"/>
      <c r="I94" s="692"/>
      <c r="J94" s="424"/>
      <c r="K94" s="424"/>
      <c r="L94" s="424"/>
      <c r="M94" s="424"/>
      <c r="N94" s="424"/>
      <c r="O94" s="424"/>
      <c r="P94" s="424"/>
      <c r="Q94" s="424"/>
      <c r="R94" s="1348"/>
      <c r="S94" s="1598"/>
      <c r="T94" s="1348"/>
      <c r="U94" s="1574"/>
      <c r="V94" s="424"/>
      <c r="W94" s="424"/>
      <c r="X94" s="424"/>
      <c r="Y94" s="424"/>
      <c r="Z94" s="424"/>
      <c r="AA94" s="424"/>
    </row>
    <row r="95" spans="1:27" ht="15.75" customHeight="1">
      <c r="A95" s="843">
        <v>17</v>
      </c>
      <c r="B95" s="447"/>
      <c r="C95" s="884" t="s">
        <v>214</v>
      </c>
      <c r="D95" s="695"/>
      <c r="E95" s="695"/>
      <c r="F95" s="695"/>
      <c r="G95" s="695"/>
      <c r="H95" s="695"/>
      <c r="I95" s="695"/>
      <c r="J95" s="424">
        <v>0</v>
      </c>
      <c r="K95" s="424">
        <v>0</v>
      </c>
      <c r="L95" s="424">
        <f>('Ni segment'!K381+'Zn Pb segment'!L297+'Total Chemical'!K436+'Cu segment'!K372)/1000000</f>
        <v>15.429132507666665</v>
      </c>
      <c r="M95" s="424">
        <f>('Ni segment'!L381+'Zn Pb segment'!M297+'Total Chemical'!L436+'Cu segment'!L372)/1000000</f>
        <v>0.99157399999999996</v>
      </c>
      <c r="N95" s="424">
        <f>(SUMIF('Ni segment'!$A$360:$A$386,Total!A95,'Ni segment'!$M$360:$M$386)+SUMIF('Zn Pb segment'!$A$277:$A$306,Total!A95,'Zn Pb segment'!$N$277:$N$306)+SUMIF('Cu segment'!$A$351:$A$380,Total!A95,'Cu segment'!$M$351:$M$380)+SUMIF('Total Chemical'!$A$417:$A$446,Total!A95,'Total Chemical'!$M$417:$M$446))/1000000</f>
        <v>-5.3309640999999992</v>
      </c>
      <c r="O95" s="424">
        <f>(SUMIF('Ni segment'!$A$360:$A$386,Total!A95,'Ni segment'!$N$360:$N$386)+SUMIF('Zn Pb segment'!$A$277:$A$306,Total!A95,'Zn Pb segment'!$O$277:$O$306)+SUMIF('Cu segment'!$A$351:$A$380,Total!A95,'Cu segment'!$N$351:$N$380)+SUMIF('Total Chemical'!$A$417:$A$446,Total!A95,'Total Chemical'!$N$417:$N$446))/1000000</f>
        <v>-2.2275794385371741</v>
      </c>
      <c r="P95" s="451">
        <f>(SUMIF('Ni segment'!$A:$A,Total!$A95,'Ni segment'!O:O)+SUMIF('Zn Pb segment'!$A:$A,Total!$A95,'Zn Pb segment'!P:P)+SUMIF('Cu segment'!$A:$A,Total!$A95,'Cu segment'!O:O)+SUMIF('Total Chemical'!$A:$A,Total!$A95,'Total Chemical'!O:O)+SUMIF(DSO!$A:$A,Total!$A95,DSO!G:G))/1000000</f>
        <v>-6.6976095375744196</v>
      </c>
      <c r="Q95" s="451">
        <f>(SUMIF('Ni segment'!$A:$A,Total!$A95,'Ni segment'!P:P)+SUMIF('Zn Pb segment'!$A:$A,Total!$A95,'Zn Pb segment'!Q:Q)+SUMIF('Cu segment'!$A:$A,Total!$A95,'Cu segment'!P:P)+SUMIF(DSO!$A:$A,Total!$A95,DSO!H:H))/1000000-'Cu segment'!P536/1000000-'Zn Pb segment'!Q486/1000000</f>
        <v>-3.0465158999999957</v>
      </c>
      <c r="R95" s="1347">
        <f>(SUMIF('Ni segment'!$A:$A,Total!$A95,'Ni segment'!Q:Q)+SUMIF(DSO!$A:$A,Total!$A95,DSO!I:I))/1000000</f>
        <v>11.449</v>
      </c>
      <c r="S95" s="1597">
        <f>U95/2</f>
        <v>4.4995000000000003</v>
      </c>
      <c r="T95" s="1347">
        <f>U95/2</f>
        <v>4.4995000000000003</v>
      </c>
      <c r="U95" s="1573">
        <f>(SUMIF('Ni segment'!$A:$A,Total!$A95,'Ni segment'!T:T)+SUMIF(DSO!$A:$A,Total!$A95,DSO!L:L))/1000000</f>
        <v>8.9990000000000006</v>
      </c>
      <c r="V95" s="451">
        <f>(SUMIF('Ni segment'!$A:$A,Total!$A95,'Ni segment'!U:U)+SUMIF(DSO!$A:$A,Total!$A95,DSO!M:M))/1000000</f>
        <v>-7.56</v>
      </c>
      <c r="W95" s="451">
        <f>(SUMIF('Ni segment'!$A:$A,Total!$A95,'Ni segment'!V:V)+SUMIF(DSO!$A:$A,Total!$A95,DSO!N:N))/1000000</f>
        <v>-7.45</v>
      </c>
      <c r="X95" s="451">
        <f>(SUMIF('Ni segment'!$A:$A,Total!$A95,'Ni segment'!W:W)+SUMIF(DSO!$A:$A,Total!$A95,DSO!O:O))/1000000</f>
        <v>0</v>
      </c>
      <c r="Y95" s="451">
        <f>(SUMIF('Ni segment'!$A:$A,Total!$A95,'Ni segment'!X:X)+SUMIF('Zn Pb segment'!$A:$A,Total!$A95,'Zn Pb segment'!Y:Y)+SUMIF('Cu segment'!$A:$A,Total!$A95,'Cu segment'!X:X)+SUMIF(DSO!$A:$A,Total!$A95,DSO!P:P))/1000000</f>
        <v>0</v>
      </c>
      <c r="Z95" s="451">
        <f>(SUMIF('Ni segment'!$A:$A,Total!$A95,'Ni segment'!Y:Y)+SUMIF('Zn Pb segment'!$A:$A,Total!$A95,'Zn Pb segment'!Z:Z)+SUMIF('Cu segment'!$A:$A,Total!$A95,'Cu segment'!Y:Y)+SUMIF(DSO!$A:$A,Total!$A95,DSO!Q:Q))/1000000</f>
        <v>0</v>
      </c>
      <c r="AA95" s="451">
        <f t="shared" si="22"/>
        <v>-6.0109999999999992</v>
      </c>
    </row>
    <row r="96" spans="1:27" ht="15.75" customHeight="1">
      <c r="A96" s="843">
        <v>18</v>
      </c>
      <c r="B96" s="447"/>
      <c r="C96" s="884" t="s">
        <v>215</v>
      </c>
      <c r="D96" s="695"/>
      <c r="E96" s="695"/>
      <c r="F96" s="695"/>
      <c r="G96" s="695"/>
      <c r="H96" s="695"/>
      <c r="I96" s="695"/>
      <c r="J96" s="424">
        <v>0</v>
      </c>
      <c r="K96" s="424">
        <v>0</v>
      </c>
      <c r="L96" s="424">
        <f>('Ni segment'!K382+'Zn Pb segment'!L298+'Total Chemical'!K437+'Cu segment'!K373)/1000000</f>
        <v>0.79152299999999998</v>
      </c>
      <c r="M96" s="424">
        <f ca="1">('Ni segment'!L382+'Zn Pb segment'!M298+'Total Chemical'!L437+'Cu segment'!L373)/1000000</f>
        <v>-3.9408799999999999</v>
      </c>
      <c r="N96" s="424">
        <f ca="1">(SUMIF('Ni segment'!$A$360:$A$386,Total!A96,'Ni segment'!$M$360:$M$386)+SUMIF('Zn Pb segment'!$A$277:$A$306,Total!A96,'Zn Pb segment'!$N$277:$N$306)+SUMIF('Cu segment'!$A$351:$A$380,Total!A96,'Cu segment'!$M$351:$M$380)+SUMIF('Total Chemical'!$A$417:$A$446,Total!A96,'Total Chemical'!$M$417:$M$446))/1000000</f>
        <v>0</v>
      </c>
      <c r="O96" s="424">
        <f ca="1">(SUMIF('Ni segment'!$A$360:$A$386,Total!A96,'Ni segment'!$N$360:$N$386)+SUMIF('Zn Pb segment'!$A$277:$A$306,Total!A96,'Zn Pb segment'!$O$277:$O$306)+SUMIF('Cu segment'!$A$351:$A$380,Total!A96,'Cu segment'!$N$351:$N$380)+SUMIF('Total Chemical'!$A$417:$A$446,Total!A96,'Total Chemical'!$N$417:$N$446))/1000000</f>
        <v>0</v>
      </c>
      <c r="P96" s="451">
        <f ca="1">(SUMIF('Ni segment'!$A:$A,Total!$A96,'Ni segment'!O:O)+SUMIF('Zn Pb segment'!$A:$A,Total!$A96,'Zn Pb segment'!P:P)+SUMIF('Cu segment'!$A:$A,Total!$A96,'Cu segment'!O:O)+SUMIF('Total Chemical'!$A:$A,Total!$A96,'Total Chemical'!O:O)+SUMIF(DSO!$A:$A,Total!$A96,DSO!G:G))/1000000</f>
        <v>0</v>
      </c>
      <c r="Q96" s="451">
        <f ca="1">(SUMIF('Ni segment'!$A:$A,Total!$A96,'Ni segment'!P:P)+SUMIF('Zn Pb segment'!$A:$A,Total!$A96,'Zn Pb segment'!Q:Q)+SUMIF('Cu segment'!$A:$A,Total!$A96,'Cu segment'!P:P)+SUMIF('Total Chemical'!$A:$A,Total!$A96,'Total Chemical'!P:P)+SUMIF(DSO!$A:$A,Total!$A96,DSO!H:H))/1000000+10</f>
        <v>10</v>
      </c>
      <c r="R96" s="1347">
        <f ca="1">(SUMIF('Ni segment'!$A:$A,Total!$A96,'Ni segment'!Q:Q)+SUMIF('Zn Pb segment'!$A:$A,Total!$A96,'Zn Pb segment'!R:R)+SUMIF('Cu segment'!$A:$A,Total!$A96,'Cu segment'!Q:Q)+SUMIF('Total Chemical'!$A:$A,Total!$A96,'Total Chemical'!Q:Q)+SUMIF(DSO!$A:$A,Total!$A96,DSO!I:I))/1000000</f>
        <v>0</v>
      </c>
      <c r="S96" s="1597">
        <f t="shared" ref="S96:S108" ca="1" si="35">U96/2</f>
        <v>-5</v>
      </c>
      <c r="T96" s="1347">
        <f t="shared" ref="T96:T108" ca="1" si="36">U96/2</f>
        <v>-5</v>
      </c>
      <c r="U96" s="1573">
        <f ca="1">(SUMIF('Ni segment'!$A:$A,Total!$A96,'Ni segment'!T:T)+SUMIF('Zn Pb segment'!$A:$A,Total!$A96,'Zn Pb segment'!U:U)+SUMIF('Cu segment'!$A:$A,Total!$A96,'Cu segment'!T:T)+SUMIF('Total Chemical'!$A:$A,Total!$A96,'Total Chemical'!T:T)+SUMIF(DSO!$A:$A,Total!$A96,DSO!L:L))/1000000-10</f>
        <v>-10</v>
      </c>
      <c r="V96" s="451">
        <f ca="1">(SUMIF('Ni segment'!$A:$A,Total!$A96,'Ni segment'!U:U)+SUMIF('Zn Pb segment'!$A:$A,Total!$A96,'Zn Pb segment'!V:V)+SUMIF('Cu segment'!$A:$A,Total!$A96,'Cu segment'!U:U)+SUMIF('Total Chemical'!$A:$A,Total!$A96,'Total Chemical'!R:R)+SUMIF(DSO!$A:$A,Total!$A96,DSO!M:M))/1000000</f>
        <v>0</v>
      </c>
      <c r="W96" s="451">
        <f ca="1">(SUMIF('Ni segment'!$A:$A,Total!$A96,'Ni segment'!V:V)+SUMIF('Zn Pb segment'!$A:$A,Total!$A96,'Zn Pb segment'!W:W)+SUMIF('Cu segment'!$A:$A,Total!$A96,'Cu segment'!V:V)+SUMIF('Total Chemical'!$A:$A,Total!$A96,'Total Chemical'!S:S)+SUMIF(DSO!$A:$A,Total!$A96,DSO!N:N))/1000000</f>
        <v>0</v>
      </c>
      <c r="X96" s="451">
        <f ca="1">(SUMIF('Ni segment'!$A:$A,Total!$A96,'Ni segment'!W:W)+SUMIF('Zn Pb segment'!$A:$A,Total!$A96,'Zn Pb segment'!X:X)+SUMIF('Cu segment'!$A:$A,Total!$A96,'Cu segment'!W:W)+SUMIF('Total Chemical'!$A:$A,Total!$A96,'Total Chemical'!T:T)+SUMIF(DSO!$A:$A,Total!$A96,DSO!O:O))/1000000</f>
        <v>0</v>
      </c>
      <c r="Y96" s="451">
        <f ca="1">(SUMIF('Ni segment'!$A:$A,Total!$A96,'Ni segment'!X:X)+SUMIF('Zn Pb segment'!$A:$A,Total!$A96,'Zn Pb segment'!Y:Y)+SUMIF('Cu segment'!$A:$A,Total!$A96,'Cu segment'!X:X)+SUMIF('Total Chemical'!$A:$A,Total!$A96,'Total Chemical'!U:U)+SUMIF(DSO!$A:$A,Total!$A96,DSO!P:P))/1000000</f>
        <v>0</v>
      </c>
      <c r="Z96" s="451">
        <f ca="1">(SUMIF('Ni segment'!$A:$A,Total!$A96,'Ni segment'!Y:Y)+SUMIF('Zn Pb segment'!$A:$A,Total!$A96,'Zn Pb segment'!Z:Z)+SUMIF('Cu segment'!$A:$A,Total!$A96,'Cu segment'!Y:Y)+SUMIF('Total Chemical'!$A:$A,Total!$A96,'Total Chemical'!V:V)+SUMIF(DSO!$A:$A,Total!$A96,DSO!Q:Q))/1000000</f>
        <v>0</v>
      </c>
      <c r="AA96" s="451">
        <f t="shared" ca="1" si="22"/>
        <v>-10</v>
      </c>
    </row>
    <row r="97" spans="1:29" ht="15.75" customHeight="1">
      <c r="A97" s="843">
        <v>17</v>
      </c>
      <c r="B97" s="447"/>
      <c r="C97" s="884" t="s">
        <v>1816</v>
      </c>
      <c r="D97" s="695"/>
      <c r="E97" s="695"/>
      <c r="F97" s="695"/>
      <c r="G97" s="695"/>
      <c r="H97" s="695"/>
      <c r="I97" s="695"/>
      <c r="J97" s="424"/>
      <c r="K97" s="424"/>
      <c r="L97" s="424"/>
      <c r="M97" s="424"/>
      <c r="N97" s="424"/>
      <c r="O97" s="424"/>
      <c r="P97" s="451"/>
      <c r="Q97" s="451">
        <f>(SUMIF(Kurilgeo!$A:$A,Total!$A97,Kurilgeo!P:P))/1000000</f>
        <v>7</v>
      </c>
      <c r="R97" s="1347">
        <f>(SUMIF(Kurilgeo!$A:$A,Total!$A97,Kurilgeo!Q:Q))/1000000</f>
        <v>4.875</v>
      </c>
      <c r="S97" s="1597">
        <f t="shared" si="35"/>
        <v>2.4375</v>
      </c>
      <c r="T97" s="1347">
        <f t="shared" si="36"/>
        <v>2.4375</v>
      </c>
      <c r="U97" s="1573">
        <f>(SUMIF(Kurilgeo!$A:$A,Total!$A97,Kurilgeo!T:T))/1000000</f>
        <v>4.875</v>
      </c>
      <c r="V97" s="451">
        <f>(SUMIF(Kurilgeo!$A:$A,Total!$A97,Kurilgeo!U:U))/1000000</f>
        <v>-7.5</v>
      </c>
      <c r="W97" s="451">
        <f>(SUMIF(Kurilgeo!$A:$A,Total!$A97,Kurilgeo!V:V))/1000000</f>
        <v>-4.375</v>
      </c>
      <c r="X97" s="451">
        <f>(SUMIF(Kurilgeo!$A:$A,Total!$A97,Kurilgeo!W:W))/1000000</f>
        <v>0</v>
      </c>
      <c r="Y97" s="451">
        <f>(SUMIF(Kurilgeo!$A:$A,Total!$A97,Kurilgeo!X:X))/1000000</f>
        <v>0</v>
      </c>
      <c r="Z97" s="451">
        <f>(SUMIF(Kurilgeo!$A:$A,Total!$A97,Kurilgeo!Y:Y))/1000000</f>
        <v>0</v>
      </c>
      <c r="AA97" s="451">
        <f t="shared" si="22"/>
        <v>-7</v>
      </c>
    </row>
    <row r="98" spans="1:29" ht="15.75" hidden="1" customHeight="1" outlineLevel="1">
      <c r="A98" s="843">
        <v>17</v>
      </c>
      <c r="B98" s="447"/>
      <c r="C98" s="884" t="s">
        <v>1138</v>
      </c>
      <c r="D98" s="695"/>
      <c r="E98" s="695"/>
      <c r="F98" s="695"/>
      <c r="G98" s="695"/>
      <c r="H98" s="695"/>
      <c r="I98" s="695"/>
      <c r="J98" s="424"/>
      <c r="K98" s="424"/>
      <c r="L98" s="424"/>
      <c r="M98" s="424"/>
      <c r="N98" s="424"/>
      <c r="O98" s="424"/>
      <c r="P98" s="451">
        <f>SUMIF(Fenix!$A:$A,Total!$A98,Fenix!O:O)</f>
        <v>0</v>
      </c>
      <c r="Q98" s="451">
        <f>(SUMIF(Fenix!$A:$A,Total!$A98,Fenix!Q:Q))/1000000</f>
        <v>0</v>
      </c>
      <c r="R98" s="1347">
        <f>(SUMIF(Fenix!$A:$A,Total!$A98,Fenix!R:R))/1000000</f>
        <v>0</v>
      </c>
      <c r="S98" s="1597">
        <f t="shared" si="35"/>
        <v>0</v>
      </c>
      <c r="T98" s="1347">
        <f t="shared" si="36"/>
        <v>0</v>
      </c>
      <c r="U98" s="1573">
        <f>(SUMIF(Fenix!$A:$A,Total!$A98,Fenix!U:U))/1000000</f>
        <v>0</v>
      </c>
      <c r="V98" s="451">
        <f>(SUMIF(Fenix!$A:$A,Total!$A98,Fenix!V:V))/1000000</f>
        <v>0</v>
      </c>
      <c r="W98" s="451">
        <f>(SUMIF(Fenix!$A:$A,Total!$A98,Fenix!W:W))/1000000</f>
        <v>0</v>
      </c>
      <c r="X98" s="451">
        <f>(SUMIF(Fenix!$A:$A,Total!$A98,Fenix!X:X))/1000000</f>
        <v>0</v>
      </c>
      <c r="Y98" s="451">
        <f>(SUMIF(Fenix!$A:$A,Total!$A98,Fenix!Y:Y))/1000000</f>
        <v>0</v>
      </c>
      <c r="Z98" s="451">
        <f>(SUMIF(Fenix!$A:$A,Total!$A98,Fenix!Z:Z))/1000000</f>
        <v>0</v>
      </c>
      <c r="AA98" s="451">
        <f t="shared" si="22"/>
        <v>0</v>
      </c>
    </row>
    <row r="99" spans="1:29" ht="15.75" customHeight="1" collapsed="1">
      <c r="B99" s="447"/>
      <c r="C99" s="884" t="s">
        <v>1819</v>
      </c>
      <c r="D99" s="695"/>
      <c r="E99" s="695"/>
      <c r="F99" s="695"/>
      <c r="G99" s="695"/>
      <c r="H99" s="695"/>
      <c r="I99" s="695"/>
      <c r="J99" s="424"/>
      <c r="K99" s="424"/>
      <c r="L99" s="424"/>
      <c r="M99" s="424"/>
      <c r="N99" s="424"/>
      <c r="O99" s="424"/>
      <c r="P99" s="451">
        <v>0</v>
      </c>
      <c r="Q99" s="451">
        <f>('Cu segment'!P530+'Zn Pb segment'!Q486+96500000-1838972)/1000000</f>
        <v>128.0134097858558</v>
      </c>
      <c r="R99" s="1347">
        <f>('Cu segment'!Q372+'Zn Pb segment'!R297-22057142)/1000000</f>
        <v>-29.828570571428571</v>
      </c>
      <c r="S99" s="1597">
        <f t="shared" si="35"/>
        <v>-14.914285285714286</v>
      </c>
      <c r="T99" s="1347">
        <f t="shared" si="36"/>
        <v>-14.914285285714286</v>
      </c>
      <c r="U99" s="1573">
        <f>('Cu segment'!T372+'Zn Pb segment'!U297-22057142)/1000000</f>
        <v>-29.828570571428571</v>
      </c>
      <c r="V99" s="451">
        <f>('Cu segment'!U372+'Zn Pb segment'!V297-22057142)/1000000</f>
        <v>-29.828570571428571</v>
      </c>
      <c r="W99" s="451">
        <f>('Cu segment'!V372+'Zn Pb segment'!W297-22057142)/1000000</f>
        <v>-29.828570571428571</v>
      </c>
      <c r="X99" s="451">
        <f>('Cu segment'!W372+'Zn Pb segment'!X297-28490467)/1000000</f>
        <v>-38.52856223809524</v>
      </c>
      <c r="Y99" s="451">
        <v>0</v>
      </c>
      <c r="Z99" s="451">
        <v>0</v>
      </c>
      <c r="AA99" s="451">
        <f t="shared" si="22"/>
        <v>-128.01427395238096</v>
      </c>
    </row>
    <row r="100" spans="1:29" s="1279" customFormat="1" ht="15.75" customHeight="1">
      <c r="B100" s="1280"/>
      <c r="C100" s="1281" t="s">
        <v>2013</v>
      </c>
      <c r="D100" s="1282"/>
      <c r="E100" s="1282"/>
      <c r="F100" s="1282"/>
      <c r="G100" s="1282"/>
      <c r="H100" s="1282"/>
      <c r="I100" s="1282"/>
      <c r="J100" s="1283"/>
      <c r="K100" s="1283"/>
      <c r="L100" s="1283"/>
      <c r="M100" s="1283"/>
      <c r="N100" s="1283"/>
      <c r="O100" s="1283"/>
      <c r="P100" s="1283"/>
      <c r="Q100" s="1283">
        <v>0</v>
      </c>
      <c r="R100" s="1353">
        <v>0</v>
      </c>
      <c r="S100" s="1623">
        <v>0</v>
      </c>
      <c r="T100" s="1624">
        <f>Financing!C8/1000000</f>
        <v>50</v>
      </c>
      <c r="U100" s="1577">
        <f>S100+T100</f>
        <v>50</v>
      </c>
      <c r="V100" s="1283">
        <v>0</v>
      </c>
      <c r="W100" s="1283">
        <v>0</v>
      </c>
      <c r="X100" s="1283">
        <v>0</v>
      </c>
      <c r="Y100" s="1283">
        <v>0</v>
      </c>
      <c r="Z100" s="1283">
        <v>0</v>
      </c>
      <c r="AA100" s="1283">
        <f t="shared" si="22"/>
        <v>50</v>
      </c>
    </row>
    <row r="101" spans="1:29" s="1279" customFormat="1" ht="15.75" customHeight="1">
      <c r="A101" s="843"/>
      <c r="B101" s="1280"/>
      <c r="C101" s="1281" t="s">
        <v>2027</v>
      </c>
      <c r="D101" s="1282"/>
      <c r="E101" s="1282"/>
      <c r="F101" s="1282"/>
      <c r="G101" s="1282"/>
      <c r="H101" s="1282"/>
      <c r="I101" s="1282"/>
      <c r="J101" s="1283"/>
      <c r="K101" s="1283"/>
      <c r="L101" s="1283"/>
      <c r="M101" s="1283"/>
      <c r="N101" s="1283"/>
      <c r="O101" s="1283"/>
      <c r="P101" s="1283"/>
      <c r="Q101" s="1283"/>
      <c r="R101" s="1353"/>
      <c r="S101" s="1623"/>
      <c r="T101" s="1624">
        <f>SUM(Financing!C9:C13)/1000000</f>
        <v>-11.111111111111112</v>
      </c>
      <c r="U101" s="1577">
        <f>S101+T101</f>
        <v>-11.111111111111112</v>
      </c>
      <c r="V101" s="1623">
        <f>(SUM(Financing!C14:C20))/1000000</f>
        <v>-38.888888888888893</v>
      </c>
      <c r="W101" s="1283">
        <v>0</v>
      </c>
      <c r="X101" s="1283">
        <v>0</v>
      </c>
      <c r="Y101" s="1283">
        <v>0</v>
      </c>
      <c r="Z101" s="1283">
        <v>0</v>
      </c>
      <c r="AA101" s="1283">
        <f t="shared" si="22"/>
        <v>-50.000000000000007</v>
      </c>
    </row>
    <row r="102" spans="1:29" ht="15.75" hidden="1" customHeight="1" outlineLevel="1">
      <c r="A102" s="843">
        <v>27</v>
      </c>
      <c r="B102" s="447"/>
      <c r="C102" s="884" t="s">
        <v>865</v>
      </c>
      <c r="D102" s="695"/>
      <c r="E102" s="695"/>
      <c r="F102" s="695"/>
      <c r="G102" s="695"/>
      <c r="H102" s="695"/>
      <c r="I102" s="695"/>
      <c r="J102" s="424"/>
      <c r="K102" s="424"/>
      <c r="L102" s="424"/>
      <c r="M102" s="424"/>
      <c r="N102" s="424"/>
      <c r="O102" s="424"/>
      <c r="P102" s="451">
        <f>SUMIF(Acquila!$A:$A,Total!$A102,Acquila!G:G)</f>
        <v>0</v>
      </c>
      <c r="Q102" s="451">
        <f>(SUMIF(Acquila!$A:$A,Total!$A102,Acquila!F:F))/1000000</f>
        <v>0</v>
      </c>
      <c r="R102" s="1347">
        <f>(SUMIF(Acquila!$A:$A,Total!$A102,Acquila!G:G))/1000000</f>
        <v>0</v>
      </c>
      <c r="S102" s="1597">
        <f t="shared" si="35"/>
        <v>0</v>
      </c>
      <c r="T102" s="1347">
        <f t="shared" si="36"/>
        <v>0</v>
      </c>
      <c r="U102" s="1573">
        <f>(SUMIF(Acquila!$A:$A,Total!$A102,Acquila!J:J))/1000000</f>
        <v>0</v>
      </c>
      <c r="V102" s="451">
        <f>(SUMIF(Acquila!$A:$A,Total!$A102,Acquila!H:H))/1000000</f>
        <v>0</v>
      </c>
      <c r="W102" s="451">
        <v>0</v>
      </c>
      <c r="X102" s="451">
        <f>(SUMIF(Acquila!$A:$A,Total!$A102,Acquila!J:J))/1000000</f>
        <v>0</v>
      </c>
      <c r="Y102" s="451">
        <f>(SUMIF(Acquila!$A:$A,Total!$A102,Acquila!K:K))/1000000</f>
        <v>0</v>
      </c>
      <c r="Z102" s="451">
        <f>(SUMIF(Acquila!$A:$A,Total!$A102,Acquila!L:L))/1000000</f>
        <v>0</v>
      </c>
      <c r="AA102" s="451">
        <f t="shared" si="22"/>
        <v>0</v>
      </c>
    </row>
    <row r="103" spans="1:29" ht="15.75" hidden="1" customHeight="1" outlineLevel="1">
      <c r="A103" s="843">
        <v>19</v>
      </c>
      <c r="B103" s="447"/>
      <c r="C103" s="884" t="s">
        <v>451</v>
      </c>
      <c r="D103" s="695"/>
      <c r="E103" s="695"/>
      <c r="F103" s="695"/>
      <c r="G103" s="695"/>
      <c r="H103" s="695"/>
      <c r="I103" s="695"/>
      <c r="J103" s="424"/>
      <c r="K103" s="424"/>
      <c r="L103" s="424"/>
      <c r="M103" s="424"/>
      <c r="N103" s="424">
        <f>SUMIF('Ni segment'!$A$360:$A$386,Total!A103,'Ni segment'!$M$360:$M$386)+SUMIF('Zn Pb segment'!$A$277:$A$306,Total!A103,'Zn Pb segment'!$N$277:$N$306)+SUMIF('Cu segment'!$A$351:$A$380,Total!A103,'Cu segment'!$M$351:$M$380)+SUMIF('Total Chemical'!$A$417:$A$446,Total!A103,'Total Chemical'!$M$417:$M$446)</f>
        <v>0</v>
      </c>
      <c r="O103" s="424">
        <f>SUMIF('Ni segment'!$A$360:$A$386,Total!A103,'Ni segment'!$N$360:$N$386)+SUMIF('Zn Pb segment'!$A$277:$A$306,Total!A103,'Zn Pb segment'!$O$277:$O$306)+SUMIF('Cu segment'!$A$351:$A$380,Total!A103,'Cu segment'!$N$351:$N$380)+SUMIF('Total Chemical'!$A$417:$A$446,Total!A103,'Total Chemical'!$N$417:$N$446)</f>
        <v>0</v>
      </c>
      <c r="P103" s="424">
        <f>SUMIF('Ni segment'!$A$360:$A$386,Total!A103,'Ni segment'!$O$360:$O$386)+SUMIF('Zn Pb segment'!$A$277:$A$306,Total!A103,'Zn Pb segment'!$P$277:$P$306)+SUMIF('Cu segment'!$A$351:$A$380,Total!A103,'Cu segment'!$O$351:$O$380)+SUMIF('Total Chemical'!$A$417:$A$446,Total!A103,'Total Chemical'!$O$417:$O$446)</f>
        <v>0</v>
      </c>
      <c r="Q103" s="424">
        <f>(SUMIF('Ni segment'!$A$360:$A$386,Total!A103,'Ni segment'!$P$360:$P$386)+SUMIF('Zn Pb segment'!$A$277:$A$306,Total!A103,'Zn Pb segment'!$Q$277:$Q$306)+SUMIF('Cu segment'!$A$351:$A$380,Total!A103,'Cu segment'!$P$351:$P$380))/1000000</f>
        <v>0</v>
      </c>
      <c r="R103" s="1348">
        <f>(SUMIF('Ni segment'!$A$360:$A$386,Total!A103,'Ni segment'!$Q$360:$Q$386)+SUMIF('Zn Pb segment'!$A$277:$A$306,Total!A103,'Zn Pb segment'!$R$277:$R$306)+SUMIF('Cu segment'!$A$351:$A$380,Total!A103,'Cu segment'!$Q$351:$Q$380))/1000000</f>
        <v>0</v>
      </c>
      <c r="S103" s="1597">
        <f t="shared" si="35"/>
        <v>0</v>
      </c>
      <c r="T103" s="1347">
        <f t="shared" si="36"/>
        <v>0</v>
      </c>
      <c r="U103" s="1574">
        <f>(SUMIF('Ni segment'!$A$360:$A$386,Total!D103,'Ni segment'!$Q$360:$Q$386)+SUMIF('Zn Pb segment'!$A$277:$A$306,Total!D103,'Zn Pb segment'!$R$277:$R$306)+SUMIF('Cu segment'!$A$351:$A$380,Total!D103,'Cu segment'!$Q$351:$Q$380))/1000000</f>
        <v>0</v>
      </c>
      <c r="V103" s="424">
        <f>(SUMIF('Ni segment'!$A$360:$A$386,Total!A103,'Ni segment'!$U$360:$U$386)+SUMIF('Zn Pb segment'!$A$277:$A$306,Total!A103,'Zn Pb segment'!$V$277:$V$306)+SUMIF('Cu segment'!$A$351:$A$380,Total!A103,'Cu segment'!$U$351:$U$380))/1000000</f>
        <v>0</v>
      </c>
      <c r="W103" s="424">
        <f>(SUMIF('Ni segment'!$A$360:$A$386,Total!B103,'Ni segment'!$U$360:$U$386)+SUMIF('Zn Pb segment'!$A$277:$A$306,Total!B103,'Zn Pb segment'!$V$277:$V$306)+SUMIF('Cu segment'!$A$351:$A$380,Total!B103,'Cu segment'!$U$351:$U$380))/1000000</f>
        <v>0</v>
      </c>
      <c r="X103" s="424">
        <f>(SUMIF('Ni segment'!$A$360:$A$386,Total!C103,'Ni segment'!$U$360:$U$386)+SUMIF('Zn Pb segment'!$A$277:$A$306,Total!C103,'Zn Pb segment'!$V$277:$V$306)+SUMIF('Cu segment'!$A$351:$A$380,Total!C103,'Cu segment'!$U$351:$U$380))/1000000</f>
        <v>0</v>
      </c>
      <c r="Y103" s="424">
        <f>(SUMIF('Ni segment'!$A$360:$A$386,Total!D103,'Ni segment'!$U$360:$U$386)+SUMIF('Zn Pb segment'!$A$277:$A$306,Total!D103,'Zn Pb segment'!$V$277:$V$306)+SUMIF('Cu segment'!$A$351:$A$380,Total!D103,'Cu segment'!$U$351:$U$380))/1000000</f>
        <v>0</v>
      </c>
      <c r="Z103" s="424">
        <f>(SUMIF('Ni segment'!$A$360:$A$386,Total!E103,'Ni segment'!$U$360:$U$386)+SUMIF('Zn Pb segment'!$A$277:$A$306,Total!E103,'Zn Pb segment'!$V$277:$V$306)+SUMIF('Cu segment'!$A$351:$A$380,Total!E103,'Cu segment'!$U$351:$U$380))/1000000</f>
        <v>0</v>
      </c>
      <c r="AA103" s="424">
        <f t="shared" si="22"/>
        <v>0</v>
      </c>
    </row>
    <row r="104" spans="1:29" ht="15.75" customHeight="1" collapsed="1">
      <c r="A104" s="843">
        <v>20</v>
      </c>
      <c r="B104" s="447"/>
      <c r="C104" s="884" t="s">
        <v>1198</v>
      </c>
      <c r="D104" s="695"/>
      <c r="E104" s="695"/>
      <c r="F104" s="695"/>
      <c r="G104" s="695"/>
      <c r="H104" s="695"/>
      <c r="I104" s="695"/>
      <c r="J104" s="424"/>
      <c r="K104" s="424"/>
      <c r="L104" s="424">
        <f>'Zn Pb segment'!L300+'Total Chemical'!K439+'Cu segment'!K375</f>
        <v>0</v>
      </c>
      <c r="M104" s="424">
        <f>'Zn Pb segment'!M300+'Total Chemical'!L439+'Cu segment'!L375</f>
        <v>0</v>
      </c>
      <c r="N104" s="424">
        <f>SUMIF('Ni segment'!$A$360:$A$386,Total!A104,'Ni segment'!$M$360:$M$386)+SUMIF('Zn Pb segment'!$A$277:$A$306,Total!A104,'Zn Pb segment'!$N$277:$N$306)+SUMIF('Cu segment'!$A$351:$A$380,Total!A104,'Cu segment'!$M$351:$M$380)+SUMIF('Total Chemical'!$A$417:$A$446,Total!A104,'Total Chemical'!$M$417:$M$446)</f>
        <v>0</v>
      </c>
      <c r="O104" s="424">
        <f>SUMIF('Ni segment'!$A$360:$A$386,Total!A104,'Ni segment'!$N$360:$N$386)+SUMIF('Zn Pb segment'!$A$277:$A$306,Total!A104,'Zn Pb segment'!$O$277:$O$306)+SUMIF('Cu segment'!$A$351:$A$380,Total!A104,'Cu segment'!$N$351:$N$380)+SUMIF('Total Chemical'!$A$417:$A$446,Total!A104,'Total Chemical'!$N$417:$N$446)</f>
        <v>0</v>
      </c>
      <c r="P104" s="451">
        <f>-72</f>
        <v>-72</v>
      </c>
      <c r="Q104" s="451">
        <v>-93.5</v>
      </c>
      <c r="R104" s="1347">
        <v>-20</v>
      </c>
      <c r="S104" s="1597">
        <v>0</v>
      </c>
      <c r="T104" s="1347">
        <v>0</v>
      </c>
      <c r="U104" s="1573">
        <v>0</v>
      </c>
      <c r="V104" s="451">
        <f>(R104)</f>
        <v>-20</v>
      </c>
      <c r="W104" s="451">
        <f>(V104)</f>
        <v>-20</v>
      </c>
      <c r="X104" s="451">
        <f>(W104)</f>
        <v>-20</v>
      </c>
      <c r="Y104" s="451">
        <f>(X104)</f>
        <v>-20</v>
      </c>
      <c r="Z104" s="451">
        <f>(Y104)</f>
        <v>-20</v>
      </c>
      <c r="AA104" s="451">
        <f t="shared" si="22"/>
        <v>-100</v>
      </c>
    </row>
    <row r="105" spans="1:29" ht="15.75" hidden="1" customHeight="1" outlineLevel="1">
      <c r="A105" s="843">
        <v>21</v>
      </c>
      <c r="B105" s="447"/>
      <c r="C105" s="884" t="s">
        <v>373</v>
      </c>
      <c r="D105" s="695"/>
      <c r="E105" s="695"/>
      <c r="F105" s="695"/>
      <c r="G105" s="695"/>
      <c r="H105" s="695"/>
      <c r="I105" s="695"/>
      <c r="J105" s="424"/>
      <c r="K105" s="424"/>
      <c r="L105" s="424"/>
      <c r="M105" s="424">
        <f>'Zn Pb segment'!M301+'Total Chemical'!L440+'Cu segment'!L376</f>
        <v>0</v>
      </c>
      <c r="N105" s="424">
        <f>SUMIF('Ni segment'!$A$360:$A$386,Total!A105,'Ni segment'!$M$360:$M$386)+SUMIF('Zn Pb segment'!$A$277:$A$306,Total!A105,'Zn Pb segment'!$N$277:$N$306)+SUMIF('Cu segment'!$A$351:$A$380,Total!A105,'Cu segment'!$M$351:$M$380)+SUMIF('Total Chemical'!$A$417:$A$446,Total!A105,'Total Chemical'!$M$417:$M$446)</f>
        <v>0</v>
      </c>
      <c r="O105" s="424">
        <f>SUMIF('Ni segment'!$A$360:$A$386,Total!A105,'Ni segment'!$N$360:$N$386)+SUMIF('Zn Pb segment'!$A$277:$A$306,Total!A105,'Zn Pb segment'!$O$277:$O$306)+SUMIF('Cu segment'!$A$351:$A$380,Total!A105,'Cu segment'!$N$351:$N$380)+SUMIF('Total Chemical'!$A$417:$A$446,Total!A105,'Total Chemical'!$N$417:$N$446)</f>
        <v>0</v>
      </c>
      <c r="P105" s="424">
        <f>SUMIF('Ni segment'!$A$360:$A$386,Total!A105,'Ni segment'!$O$360:$O$386)+SUMIF('Zn Pb segment'!$A$277:$A$306,Total!A105,'Zn Pb segment'!$P$277:$P$306)+SUMIF('Cu segment'!$A$351:$A$380,Total!A105,'Cu segment'!$O$351:$O$380)+SUMIF('Total Chemical'!$A$417:$A$446,Total!A105,'Total Chemical'!$O$417:$O$446)</f>
        <v>0</v>
      </c>
      <c r="Q105" s="424">
        <f>(SUMIF('Ni segment'!$A$360:$A$386,Total!A105,'Ni segment'!$P$360:$P$386)+SUMIF('Zn Pb segment'!$A$277:$A$306,Total!A105,'Zn Pb segment'!$Q$277:$Q$306)+SUMIF('Cu segment'!$A$351:$A$380,Total!A105,'Cu segment'!$P$351:$P$380))/1000000</f>
        <v>0</v>
      </c>
      <c r="R105" s="1348">
        <f>(SUMIF('Ni segment'!$A$360:$A$386,Total!A105,'Ni segment'!$Q$360:$Q$386)+SUMIF('Zn Pb segment'!$A$277:$A$306,Total!A105,'Zn Pb segment'!$R$277:$R$306)+SUMIF('Cu segment'!$A$351:$A$380,Total!A105,'Cu segment'!$Q$351:$Q$380))/1000000</f>
        <v>0</v>
      </c>
      <c r="S105" s="1597">
        <f t="shared" si="35"/>
        <v>0</v>
      </c>
      <c r="T105" s="1347">
        <f t="shared" si="36"/>
        <v>0</v>
      </c>
      <c r="U105" s="1574">
        <f>(SUMIF('Ni segment'!$A$360:$A$386,Total!D105,'Ni segment'!$Q$360:$Q$386)+SUMIF('Zn Pb segment'!$A$277:$A$306,Total!D105,'Zn Pb segment'!$R$277:$R$306)+SUMIF('Cu segment'!$A$351:$A$380,Total!D105,'Cu segment'!$Q$351:$Q$380))/1000000</f>
        <v>0</v>
      </c>
      <c r="V105" s="424">
        <f>(SUMIF('Ni segment'!$A$360:$A$386,Total!A105,'Ni segment'!$U$360:$U$386)+SUMIF('Zn Pb segment'!$A$277:$A$306,Total!A105,'Zn Pb segment'!$V$277:$V$306)+SUMIF('Cu segment'!$A$351:$A$380,Total!A105,'Cu segment'!$U$351:$U$380))/1000000</f>
        <v>0</v>
      </c>
      <c r="W105" s="424">
        <f>(SUMIF('Ni segment'!$A$360:$A$386,Total!B105,'Ni segment'!$U$360:$U$386)+SUMIF('Zn Pb segment'!$A$277:$A$306,Total!B105,'Zn Pb segment'!$V$277:$V$306)+SUMIF('Cu segment'!$A$351:$A$380,Total!B105,'Cu segment'!$U$351:$U$380))/1000000</f>
        <v>0</v>
      </c>
      <c r="X105" s="424">
        <f>(SUMIF('Ni segment'!$A$360:$A$386,Total!C105,'Ni segment'!$U$360:$U$386)+SUMIF('Zn Pb segment'!$A$277:$A$306,Total!C105,'Zn Pb segment'!$V$277:$V$306)+SUMIF('Cu segment'!$A$351:$A$380,Total!C105,'Cu segment'!$U$351:$U$380))/1000000</f>
        <v>0</v>
      </c>
      <c r="Y105" s="424">
        <f>(SUMIF('Ni segment'!$A$360:$A$386,Total!D105,'Ni segment'!$U$360:$U$386)+SUMIF('Zn Pb segment'!$A$277:$A$306,Total!D105,'Zn Pb segment'!$V$277:$V$306)+SUMIF('Cu segment'!$A$351:$A$380,Total!D105,'Cu segment'!$U$351:$U$380))/1000000</f>
        <v>0</v>
      </c>
      <c r="Z105" s="424">
        <f>(SUMIF('Ni segment'!$A$360:$A$386,Total!E105,'Ni segment'!$U$360:$U$386)+SUMIF('Zn Pb segment'!$A$277:$A$306,Total!E105,'Zn Pb segment'!$V$277:$V$306)+SUMIF('Cu segment'!$A$351:$A$380,Total!E105,'Cu segment'!$U$351:$U$380))/1000000</f>
        <v>0</v>
      </c>
      <c r="AA105" s="424">
        <f t="shared" si="22"/>
        <v>0</v>
      </c>
    </row>
    <row r="106" spans="1:29" ht="15.75" hidden="1" customHeight="1" outlineLevel="1">
      <c r="A106" s="843">
        <v>22</v>
      </c>
      <c r="B106" s="447"/>
      <c r="C106" s="884" t="s">
        <v>374</v>
      </c>
      <c r="D106" s="695"/>
      <c r="E106" s="695"/>
      <c r="F106" s="695"/>
      <c r="G106" s="695"/>
      <c r="H106" s="695"/>
      <c r="I106" s="695"/>
      <c r="J106" s="424"/>
      <c r="K106" s="424"/>
      <c r="L106" s="424"/>
      <c r="M106" s="424">
        <f>'Zn Pb segment'!M302+'Total Chemical'!L441+'Cu segment'!L377</f>
        <v>0</v>
      </c>
      <c r="N106" s="424">
        <f>SUMIF('Ni segment'!$A$360:$A$386,Total!A106,'Ni segment'!$M$360:$M$386)+SUMIF('Zn Pb segment'!$A$277:$A$306,Total!A106,'Zn Pb segment'!$N$277:$N$306)+SUMIF('Cu segment'!$A$351:$A$380,Total!A106,'Cu segment'!$M$351:$M$380)+SUMIF('Total Chemical'!$A$417:$A$446,Total!A106,'Total Chemical'!$M$417:$M$446)</f>
        <v>0</v>
      </c>
      <c r="O106" s="424">
        <f>SUMIF('Ni segment'!$A$360:$A$386,Total!A106,'Ni segment'!$N$360:$N$386)+SUMIF('Zn Pb segment'!$A$277:$A$306,Total!A106,'Zn Pb segment'!$O$277:$O$306)+SUMIF('Cu segment'!$A$351:$A$380,Total!A106,'Cu segment'!$N$351:$N$380)+SUMIF('Total Chemical'!$A$417:$A$446,Total!A106,'Total Chemical'!$N$417:$N$446)</f>
        <v>0</v>
      </c>
      <c r="P106" s="424">
        <f>SUMIF('Ni segment'!$A$360:$A$386,Total!A106,'Ni segment'!$O$360:$O$386)+SUMIF('Zn Pb segment'!$A$277:$A$306,Total!A106,'Zn Pb segment'!$P$277:$P$306)+SUMIF('Cu segment'!$A$351:$A$380,Total!A106,'Cu segment'!$O$351:$O$380)+SUMIF('Total Chemical'!$A$417:$A$446,Total!A106,'Total Chemical'!$O$417:$O$446)</f>
        <v>0</v>
      </c>
      <c r="Q106" s="424">
        <f>(SUMIF('Ni segment'!$A$360:$A$386,Total!A106,'Ni segment'!$P$360:$P$386)+SUMIF('Zn Pb segment'!$A$277:$A$306,Total!A106,'Zn Pb segment'!$Q$277:$Q$306)+SUMIF('Cu segment'!$A$351:$A$380,Total!A106,'Cu segment'!$P$351:$P$380))/1000000</f>
        <v>0</v>
      </c>
      <c r="R106" s="1348">
        <f>(SUMIF('Ni segment'!$A$360:$A$386,Total!A106,'Ni segment'!$Q$360:$Q$386)+SUMIF('Zn Pb segment'!$A$277:$A$306,Total!A106,'Zn Pb segment'!$R$277:$R$306)+SUMIF('Cu segment'!$A$351:$A$380,Total!A106,'Cu segment'!$Q$351:$Q$380))/1000000</f>
        <v>0</v>
      </c>
      <c r="S106" s="1597">
        <f t="shared" si="35"/>
        <v>0</v>
      </c>
      <c r="T106" s="1347">
        <f t="shared" si="36"/>
        <v>0</v>
      </c>
      <c r="U106" s="1574">
        <f>(SUMIF('Ni segment'!$A$360:$A$386,Total!D106,'Ni segment'!$Q$360:$Q$386)+SUMIF('Zn Pb segment'!$A$277:$A$306,Total!D106,'Zn Pb segment'!$R$277:$R$306)+SUMIF('Cu segment'!$A$351:$A$380,Total!D106,'Cu segment'!$Q$351:$Q$380))/1000000</f>
        <v>0</v>
      </c>
      <c r="V106" s="424">
        <f>(SUMIF('Ni segment'!$A$360:$A$386,Total!A106,'Ni segment'!$U$360:$U$386)+SUMIF('Zn Pb segment'!$A$277:$A$306,Total!A106,'Zn Pb segment'!$V$277:$V$306)+SUMIF('Cu segment'!$A$351:$A$380,Total!A106,'Cu segment'!$U$351:$U$380))/1000000</f>
        <v>0</v>
      </c>
      <c r="W106" s="424">
        <f>(SUMIF('Ni segment'!$A$360:$A$386,Total!B106,'Ni segment'!$U$360:$U$386)+SUMIF('Zn Pb segment'!$A$277:$A$306,Total!B106,'Zn Pb segment'!$V$277:$V$306)+SUMIF('Cu segment'!$A$351:$A$380,Total!B106,'Cu segment'!$U$351:$U$380))/1000000</f>
        <v>0</v>
      </c>
      <c r="X106" s="424">
        <f>(SUMIF('Ni segment'!$A$360:$A$386,Total!C106,'Ni segment'!$U$360:$U$386)+SUMIF('Zn Pb segment'!$A$277:$A$306,Total!C106,'Zn Pb segment'!$V$277:$V$306)+SUMIF('Cu segment'!$A$351:$A$380,Total!C106,'Cu segment'!$U$351:$U$380))/1000000</f>
        <v>0</v>
      </c>
      <c r="Y106" s="424">
        <f>(SUMIF('Ni segment'!$A$360:$A$386,Total!D106,'Ni segment'!$U$360:$U$386)+SUMIF('Zn Pb segment'!$A$277:$A$306,Total!D106,'Zn Pb segment'!$V$277:$V$306)+SUMIF('Cu segment'!$A$351:$A$380,Total!D106,'Cu segment'!$U$351:$U$380))/1000000</f>
        <v>0</v>
      </c>
      <c r="Z106" s="424">
        <f>(SUMIF('Ni segment'!$A$360:$A$386,Total!E106,'Ni segment'!$U$360:$U$386)+SUMIF('Zn Pb segment'!$A$277:$A$306,Total!E106,'Zn Pb segment'!$V$277:$V$306)+SUMIF('Cu segment'!$A$351:$A$380,Total!E106,'Cu segment'!$U$351:$U$380))/1000000</f>
        <v>0</v>
      </c>
      <c r="AA106" s="424">
        <f t="shared" si="22"/>
        <v>0</v>
      </c>
    </row>
    <row r="107" spans="1:29" ht="15.75" customHeight="1" collapsed="1">
      <c r="A107" s="843">
        <v>23</v>
      </c>
      <c r="B107" s="447"/>
      <c r="C107" s="884" t="s">
        <v>1820</v>
      </c>
      <c r="D107" s="695"/>
      <c r="E107" s="695"/>
      <c r="F107" s="695"/>
      <c r="G107" s="695"/>
      <c r="H107" s="695"/>
      <c r="I107" s="695"/>
      <c r="J107" s="424">
        <v>0</v>
      </c>
      <c r="K107" s="424">
        <v>0</v>
      </c>
      <c r="L107" s="424">
        <f ca="1">('Zn Pb segment'!L303+'Total Chemical'!K442+'Cu segment'!K377)/1000000</f>
        <v>-10.394248834997468</v>
      </c>
      <c r="M107" s="424">
        <f>('Zn Pb segment'!M303+'Total Chemical'!L442+'Cu segment'!L377)/1000000</f>
        <v>-7.5220000000000002</v>
      </c>
      <c r="N107" s="424">
        <f>(SUMIF('Ni segment'!$A$360:$A$386,Total!A107,'Ni segment'!$M$360:$M$386)+SUMIF('Zn Pb segment'!$A$277:$A$306,Total!A107,'Zn Pb segment'!$N$277:$N$306)+SUMIF('Cu segment'!$A$351:$A$380,Total!A107,'Cu segment'!$M$351:$M$380)+SUMIF('Total Chemical'!$A$417:$A$446,Total!A107,'Total Chemical'!$M$417:$M$446))/1000000</f>
        <v>-6.3245389999999997</v>
      </c>
      <c r="O107" s="424">
        <f>(SUMIF('Ni segment'!$A$360:$A$386,Total!A107,'Ni segment'!$N$360:$N$386)+SUMIF('Zn Pb segment'!$A$277:$A$306,Total!A107,'Zn Pb segment'!$O$277:$O$306)+SUMIF('Cu segment'!$A$351:$A$380,Total!A107,'Cu segment'!$N$351:$N$380)+SUMIF('Total Chemical'!$A$417:$A$446,Total!A107,'Total Chemical'!$N$417:$N$446))/1000000</f>
        <v>-0.67100000000000004</v>
      </c>
      <c r="P107" s="424">
        <f>32</f>
        <v>32</v>
      </c>
      <c r="Q107" s="424">
        <v>20</v>
      </c>
      <c r="R107" s="1348">
        <v>100.339</v>
      </c>
      <c r="S107" s="1597">
        <v>90</v>
      </c>
      <c r="T107" s="1347">
        <v>14</v>
      </c>
      <c r="U107" s="1574">
        <f>S107+T107</f>
        <v>104</v>
      </c>
      <c r="V107" s="424">
        <v>0</v>
      </c>
      <c r="W107" s="424">
        <v>0</v>
      </c>
      <c r="X107" s="424">
        <v>0</v>
      </c>
      <c r="Y107" s="424">
        <v>18</v>
      </c>
      <c r="Z107" s="424">
        <v>0</v>
      </c>
      <c r="AA107" s="424">
        <f t="shared" si="22"/>
        <v>122</v>
      </c>
    </row>
    <row r="108" spans="1:29" ht="15.75" customHeight="1">
      <c r="B108" s="447"/>
      <c r="C108" s="884" t="s">
        <v>1985</v>
      </c>
      <c r="D108" s="695"/>
      <c r="E108" s="695"/>
      <c r="F108" s="695"/>
      <c r="G108" s="695"/>
      <c r="H108" s="695"/>
      <c r="I108" s="695"/>
      <c r="J108" s="424"/>
      <c r="K108" s="424"/>
      <c r="L108" s="424"/>
      <c r="M108" s="424"/>
      <c r="N108" s="424"/>
      <c r="O108" s="424"/>
      <c r="P108" s="424"/>
      <c r="Q108" s="424">
        <v>95</v>
      </c>
      <c r="R108" s="1348">
        <v>0</v>
      </c>
      <c r="S108" s="1597">
        <f t="shared" si="35"/>
        <v>0</v>
      </c>
      <c r="T108" s="1347">
        <f t="shared" si="36"/>
        <v>0</v>
      </c>
      <c r="U108" s="1574">
        <v>0</v>
      </c>
      <c r="V108" s="424">
        <v>0</v>
      </c>
      <c r="W108" s="424">
        <v>0</v>
      </c>
      <c r="X108" s="424">
        <v>0</v>
      </c>
      <c r="Y108" s="424">
        <v>0</v>
      </c>
      <c r="Z108" s="424">
        <v>0</v>
      </c>
      <c r="AA108" s="424">
        <f t="shared" si="22"/>
        <v>0</v>
      </c>
    </row>
    <row r="109" spans="1:29" ht="15.75" customHeight="1">
      <c r="B109" s="447"/>
      <c r="C109" s="523" t="s">
        <v>217</v>
      </c>
      <c r="D109" s="695"/>
      <c r="E109" s="569"/>
      <c r="F109" s="569"/>
      <c r="G109" s="569"/>
      <c r="H109" s="569"/>
      <c r="I109" s="569"/>
      <c r="J109" s="424"/>
      <c r="K109" s="424"/>
      <c r="L109" s="424">
        <f t="shared" ref="L109:X109" ca="1" si="37">SUM(L95:L107)</f>
        <v>5.826406672669199</v>
      </c>
      <c r="M109" s="424">
        <f t="shared" ca="1" si="37"/>
        <v>-10.471306</v>
      </c>
      <c r="N109" s="424">
        <f t="shared" ca="1" si="37"/>
        <v>-11.655503099999999</v>
      </c>
      <c r="O109" s="424">
        <f t="shared" ca="1" si="37"/>
        <v>-2.8985794385371744</v>
      </c>
      <c r="P109" s="165">
        <f ca="1">SUM(P95:P107)</f>
        <v>-46.697609537574422</v>
      </c>
      <c r="Q109" s="165">
        <f ca="1">SUM(Q95:Q108)</f>
        <v>163.4668938858558</v>
      </c>
      <c r="R109" s="1346">
        <f ca="1">SUM(R95:R107)</f>
        <v>66.834429428571426</v>
      </c>
      <c r="S109" s="1596">
        <f ca="1">SUM(S95:S107)</f>
        <v>77.022714714285712</v>
      </c>
      <c r="T109" s="1346">
        <f ca="1">SUM(T95:T107)</f>
        <v>39.911603603174598</v>
      </c>
      <c r="U109" s="1572">
        <f ca="1">SUM(U95:U107)</f>
        <v>116.93431831746032</v>
      </c>
      <c r="V109" s="165">
        <f ca="1">SUM(V95:V107)</f>
        <v>-103.77745946031746</v>
      </c>
      <c r="W109" s="165">
        <f t="shared" ca="1" si="37"/>
        <v>-61.653570571428574</v>
      </c>
      <c r="X109" s="165">
        <f t="shared" ca="1" si="37"/>
        <v>-58.52856223809524</v>
      </c>
      <c r="Y109" s="165">
        <f ca="1">SUM(Y95:Y107)</f>
        <v>-2</v>
      </c>
      <c r="Z109" s="165">
        <f ca="1">SUM(Z95:Z107)</f>
        <v>-20</v>
      </c>
      <c r="AA109" s="165">
        <f ca="1">SUM(AA95:AA107)</f>
        <v>-129.02527395238096</v>
      </c>
      <c r="AC109" s="1277"/>
    </row>
    <row r="110" spans="1:29" ht="21" customHeight="1">
      <c r="B110" s="685"/>
      <c r="C110" s="523" t="s">
        <v>143</v>
      </c>
      <c r="D110" s="695"/>
      <c r="E110" s="569"/>
      <c r="F110" s="569"/>
      <c r="G110" s="569"/>
      <c r="H110" s="569"/>
      <c r="I110" s="569"/>
      <c r="J110" s="453"/>
      <c r="K110" s="424"/>
      <c r="L110" s="424">
        <f t="shared" ref="L110:AA110" ca="1" si="38">L78+L90+L109</f>
        <v>423.40818891138025</v>
      </c>
      <c r="M110" s="424">
        <f t="shared" ca="1" si="38"/>
        <v>209.4102574143609</v>
      </c>
      <c r="N110" s="424">
        <f t="shared" ca="1" si="38"/>
        <v>205.5002778572414</v>
      </c>
      <c r="O110" s="424">
        <f t="shared" ca="1" si="38"/>
        <v>193.90176658354886</v>
      </c>
      <c r="P110" s="165">
        <f t="shared" ca="1" si="38"/>
        <v>-136.50488019981043</v>
      </c>
      <c r="Q110" s="165">
        <f t="shared" ca="1" si="38"/>
        <v>224.32233682648197</v>
      </c>
      <c r="R110" s="1346">
        <f t="shared" ca="1" si="38"/>
        <v>218.81965780982387</v>
      </c>
      <c r="S110" s="1596">
        <f t="shared" ca="1" si="38"/>
        <v>141.89539753673694</v>
      </c>
      <c r="T110" s="1346">
        <f t="shared" ca="1" si="38"/>
        <v>215.4954103052568</v>
      </c>
      <c r="U110" s="1572">
        <f ca="1">U78+U90+U109</f>
        <v>353.98862413138806</v>
      </c>
      <c r="V110" s="165">
        <f t="shared" ca="1" si="38"/>
        <v>511.40334296407389</v>
      </c>
      <c r="W110" s="165">
        <f t="shared" ca="1" si="38"/>
        <v>670.44702501066217</v>
      </c>
      <c r="X110" s="165">
        <f t="shared" ca="1" si="38"/>
        <v>650.43946788410415</v>
      </c>
      <c r="Y110" s="165">
        <f t="shared" ca="1" si="38"/>
        <v>712.39982099115844</v>
      </c>
      <c r="Z110" s="165">
        <f t="shared" ca="1" si="38"/>
        <v>661.70093018639398</v>
      </c>
      <c r="AA110" s="165">
        <f t="shared" ca="1" si="38"/>
        <v>3560.3792111677808</v>
      </c>
      <c r="AC110" s="1277"/>
    </row>
    <row r="111" spans="1:29" ht="15.75" customHeight="1">
      <c r="B111" s="685"/>
      <c r="C111" s="695"/>
      <c r="D111" s="573"/>
      <c r="E111" s="921"/>
      <c r="F111" s="569"/>
      <c r="G111" s="569"/>
      <c r="H111" s="569"/>
      <c r="I111" s="569"/>
      <c r="J111" s="695"/>
      <c r="K111" s="424"/>
      <c r="L111" s="424"/>
      <c r="M111" s="424"/>
      <c r="N111" s="447"/>
      <c r="S111" s="1601"/>
      <c r="T111" s="1351"/>
      <c r="AB111" s="927"/>
    </row>
    <row r="112" spans="1:29" s="762" customFormat="1" ht="15.75" customHeight="1">
      <c r="A112" s="843"/>
      <c r="B112" s="764"/>
      <c r="C112" s="523" t="s">
        <v>720</v>
      </c>
      <c r="D112" s="760"/>
      <c r="E112" s="760"/>
      <c r="F112" s="760"/>
      <c r="G112" s="760"/>
      <c r="H112" s="760"/>
      <c r="I112" s="760"/>
      <c r="J112" s="165"/>
      <c r="K112" s="765"/>
      <c r="L112" s="165"/>
      <c r="M112" s="165"/>
      <c r="N112" s="766"/>
      <c r="O112" s="766"/>
      <c r="P112" s="165">
        <v>177</v>
      </c>
      <c r="Q112" s="766">
        <v>35</v>
      </c>
      <c r="R112" s="1354">
        <v>102</v>
      </c>
      <c r="S112" s="1592">
        <f>R112</f>
        <v>102</v>
      </c>
      <c r="T112" s="1354">
        <f ca="1">S114</f>
        <v>243.89539753673694</v>
      </c>
      <c r="U112" s="1578">
        <f>R112</f>
        <v>102</v>
      </c>
      <c r="V112" s="766">
        <f ca="1">U114</f>
        <v>455.98862413138806</v>
      </c>
      <c r="W112" s="766">
        <f ca="1">V114</f>
        <v>967.39196709546195</v>
      </c>
      <c r="X112" s="766">
        <f ca="1">W114</f>
        <v>1637.8389921061241</v>
      </c>
      <c r="Y112" s="766">
        <f ca="1">X114</f>
        <v>2288.2784599902284</v>
      </c>
      <c r="Z112" s="766">
        <f ca="1">Y114</f>
        <v>3000.6782809813867</v>
      </c>
      <c r="AA112" s="766">
        <f>R112</f>
        <v>102</v>
      </c>
    </row>
    <row r="113" spans="1:30" ht="6.75" customHeight="1">
      <c r="S113" s="1601"/>
      <c r="T113" s="1351"/>
    </row>
    <row r="114" spans="1:30" s="762" customFormat="1" ht="15" customHeight="1">
      <c r="A114" s="843"/>
      <c r="B114" s="764"/>
      <c r="C114" s="1626" t="s">
        <v>721</v>
      </c>
      <c r="D114" s="906"/>
      <c r="E114" s="906"/>
      <c r="F114" s="906"/>
      <c r="G114" s="906"/>
      <c r="H114" s="906"/>
      <c r="I114" s="906"/>
      <c r="J114" s="1627"/>
      <c r="K114" s="1627"/>
      <c r="L114" s="1627"/>
      <c r="M114" s="1627"/>
      <c r="N114" s="1627"/>
      <c r="O114" s="1627"/>
      <c r="P114" s="1627">
        <f t="shared" ref="P114:AA114" ca="1" si="39">P110+P112</f>
        <v>40.49511980018957</v>
      </c>
      <c r="Q114" s="1627">
        <f t="shared" ca="1" si="39"/>
        <v>259.322336826482</v>
      </c>
      <c r="R114" s="1628">
        <f ca="1">R110+R112</f>
        <v>320.81965780982387</v>
      </c>
      <c r="S114" s="1629">
        <f ca="1">S110+S112</f>
        <v>243.89539753673694</v>
      </c>
      <c r="T114" s="1628">
        <f ca="1">T110+T112</f>
        <v>459.39080784199371</v>
      </c>
      <c r="U114" s="1630">
        <f ca="1">U110+U112</f>
        <v>455.98862413138806</v>
      </c>
      <c r="V114" s="1627">
        <f t="shared" ca="1" si="39"/>
        <v>967.39196709546195</v>
      </c>
      <c r="W114" s="1627">
        <f t="shared" ca="1" si="39"/>
        <v>1637.8389921061241</v>
      </c>
      <c r="X114" s="1627">
        <f t="shared" ca="1" si="39"/>
        <v>2288.2784599902284</v>
      </c>
      <c r="Y114" s="1627">
        <f t="shared" ca="1" si="39"/>
        <v>3000.6782809813867</v>
      </c>
      <c r="Z114" s="1627">
        <f t="shared" ca="1" si="39"/>
        <v>3662.3792111677808</v>
      </c>
      <c r="AA114" s="1627">
        <f t="shared" ca="1" si="39"/>
        <v>3662.3792111677808</v>
      </c>
      <c r="AD114" s="1277"/>
    </row>
    <row r="115" spans="1:30" s="762" customFormat="1" ht="27.75" hidden="1" customHeight="1" outlineLevel="1">
      <c r="A115" s="843"/>
      <c r="B115" s="764"/>
      <c r="C115" s="1625" t="s">
        <v>2028</v>
      </c>
      <c r="D115" s="760"/>
      <c r="E115" s="760"/>
      <c r="F115" s="760"/>
      <c r="G115" s="760"/>
      <c r="H115" s="760"/>
      <c r="I115" s="760"/>
      <c r="J115" s="165"/>
      <c r="K115" s="165"/>
      <c r="L115" s="165"/>
      <c r="M115" s="165"/>
      <c r="N115" s="165"/>
      <c r="O115" s="165"/>
      <c r="P115" s="165"/>
      <c r="Q115" s="424">
        <v>57</v>
      </c>
      <c r="R115" s="1346"/>
      <c r="S115" s="1596"/>
      <c r="T115" s="1348">
        <v>2</v>
      </c>
      <c r="U115" s="1572"/>
      <c r="V115" s="165"/>
      <c r="W115" s="165"/>
      <c r="X115" s="165"/>
      <c r="Y115" s="165"/>
      <c r="Z115" s="165"/>
      <c r="AA115" s="165"/>
      <c r="AD115" s="1277"/>
    </row>
    <row r="116" spans="1:30" ht="15.75" hidden="1" customHeight="1" outlineLevel="1">
      <c r="B116" s="685"/>
      <c r="C116" s="844" t="s">
        <v>722</v>
      </c>
      <c r="D116" s="695"/>
      <c r="E116" s="695"/>
      <c r="F116" s="695"/>
      <c r="G116" s="695"/>
      <c r="H116" s="695"/>
      <c r="I116" s="695"/>
      <c r="J116" s="424"/>
      <c r="K116" s="922"/>
      <c r="L116" s="424"/>
      <c r="M116" s="424"/>
      <c r="N116" s="923"/>
      <c r="O116" s="923"/>
      <c r="P116" s="424">
        <v>301</v>
      </c>
      <c r="Q116" s="923">
        <v>194</v>
      </c>
      <c r="R116" s="1355">
        <v>146</v>
      </c>
      <c r="S116" s="1593">
        <v>146</v>
      </c>
      <c r="T116" s="1355">
        <f>S117</f>
        <v>53.8</v>
      </c>
      <c r="U116" s="1576">
        <f>R116</f>
        <v>146</v>
      </c>
      <c r="V116" s="923">
        <f>U117</f>
        <v>42</v>
      </c>
      <c r="W116" s="923">
        <f>V117</f>
        <v>42</v>
      </c>
      <c r="X116" s="923">
        <f>W117</f>
        <v>42</v>
      </c>
      <c r="Y116" s="923">
        <f>X117</f>
        <v>42</v>
      </c>
      <c r="Z116" s="923">
        <f>Y117</f>
        <v>24</v>
      </c>
      <c r="AA116" s="923">
        <f>U116</f>
        <v>146</v>
      </c>
    </row>
    <row r="117" spans="1:30" ht="15" hidden="1" outlineLevel="2">
      <c r="B117" s="685"/>
      <c r="C117" s="924" t="s">
        <v>723</v>
      </c>
      <c r="D117" s="914"/>
      <c r="E117" s="914"/>
      <c r="F117" s="914"/>
      <c r="G117" s="914"/>
      <c r="H117" s="914"/>
      <c r="I117" s="914"/>
      <c r="J117" s="922"/>
      <c r="K117" s="922"/>
      <c r="L117" s="922"/>
      <c r="M117" s="922"/>
      <c r="N117" s="922"/>
      <c r="O117" s="922"/>
      <c r="P117" s="922">
        <v>194</v>
      </c>
      <c r="Q117" s="922">
        <f>Q116-Q107+Q115</f>
        <v>231</v>
      </c>
      <c r="R117" s="1356">
        <f>R116-R107</f>
        <v>45.661000000000001</v>
      </c>
      <c r="S117" s="1611">
        <v>53.8</v>
      </c>
      <c r="T117" s="1356">
        <f>T115+T116-T107</f>
        <v>41.8</v>
      </c>
      <c r="U117" s="1579">
        <f t="shared" ref="U117:AA117" si="40">U116-U107</f>
        <v>42</v>
      </c>
      <c r="V117" s="922">
        <f t="shared" si="40"/>
        <v>42</v>
      </c>
      <c r="W117" s="922">
        <f t="shared" si="40"/>
        <v>42</v>
      </c>
      <c r="X117" s="922">
        <f t="shared" si="40"/>
        <v>42</v>
      </c>
      <c r="Y117" s="922">
        <f t="shared" si="40"/>
        <v>24</v>
      </c>
      <c r="Z117" s="922">
        <f t="shared" si="40"/>
        <v>24</v>
      </c>
      <c r="AA117" s="922">
        <f t="shared" si="40"/>
        <v>24</v>
      </c>
      <c r="AD117" s="1277"/>
    </row>
    <row r="118" spans="1:30" ht="8.25" customHeight="1" collapsed="1">
      <c r="B118" s="685"/>
      <c r="C118" s="767"/>
      <c r="D118" s="845"/>
      <c r="E118" s="845"/>
      <c r="F118" s="845"/>
      <c r="G118" s="845"/>
      <c r="H118" s="845"/>
      <c r="I118" s="845"/>
      <c r="J118" s="767"/>
      <c r="K118" s="767"/>
      <c r="L118" s="767"/>
      <c r="M118" s="767"/>
      <c r="N118" s="925"/>
      <c r="O118" s="925"/>
      <c r="P118" s="925"/>
      <c r="Q118" s="925"/>
      <c r="R118" s="1357"/>
      <c r="S118" s="1612"/>
      <c r="T118" s="1357"/>
      <c r="U118" s="1580"/>
      <c r="V118" s="925"/>
      <c r="W118" s="925"/>
      <c r="X118" s="925"/>
      <c r="Y118" s="925"/>
      <c r="Z118" s="925"/>
      <c r="AA118" s="925"/>
    </row>
    <row r="119" spans="1:30" ht="15.75" customHeight="1">
      <c r="B119" s="685"/>
      <c r="C119" s="523" t="s">
        <v>750</v>
      </c>
      <c r="D119" s="845"/>
      <c r="E119" s="845"/>
      <c r="F119" s="845"/>
      <c r="G119" s="845"/>
      <c r="H119" s="845"/>
      <c r="I119" s="845"/>
      <c r="J119" s="165"/>
      <c r="K119" s="165">
        <f>(73043000+11840000)/1000000</f>
        <v>84.882999999999996</v>
      </c>
      <c r="L119" s="165">
        <f>(20910000+19813000)/1000000</f>
        <v>40.722999999999999</v>
      </c>
      <c r="M119" s="165">
        <f>(32607000+49012000)/1000000</f>
        <v>81.619</v>
      </c>
      <c r="N119" s="165">
        <f>(20120000+55244000)/1000000</f>
        <v>75.364000000000004</v>
      </c>
      <c r="O119" s="165">
        <f>(13603000+43314000)/1000000</f>
        <v>56.917000000000002</v>
      </c>
      <c r="P119" s="165">
        <v>9</v>
      </c>
      <c r="Q119" s="165">
        <f ca="1">P119+SUM(Q95:Q102)</f>
        <v>150.9668938858558</v>
      </c>
      <c r="R119" s="1346">
        <f ca="1">Q119+SUM(R95:R102)</f>
        <v>137.46232331442724</v>
      </c>
      <c r="S119" s="1596">
        <f ca="1">Q119+SUM(S95:S102)</f>
        <v>137.98960860014151</v>
      </c>
      <c r="T119" s="1346">
        <f ca="1">S119+SUM(T95:T102)</f>
        <v>163.90121220331611</v>
      </c>
      <c r="U119" s="1572">
        <f ca="1">Q119+SUM(U95:U102)</f>
        <v>163.90121220331611</v>
      </c>
      <c r="V119" s="165">
        <f ca="1">U119+SUM(V95:V102)</f>
        <v>80.123752742998647</v>
      </c>
      <c r="W119" s="165">
        <f ca="1">V119+SUM(W95:W102)</f>
        <v>38.470182171570073</v>
      </c>
      <c r="X119" s="165">
        <f ca="1">W119+SUM(X95:X102)</f>
        <v>-5.8380066525167251E-2</v>
      </c>
      <c r="Y119" s="165">
        <f ca="1">X119+SUM(Y95:Y102)</f>
        <v>-5.8380066525167251E-2</v>
      </c>
      <c r="Z119" s="165">
        <f ca="1">Y119+SUM(Z95:Z102)</f>
        <v>-5.8380066525167251E-2</v>
      </c>
      <c r="AA119" s="165">
        <f ca="1">Z119</f>
        <v>-5.8380066525167251E-2</v>
      </c>
    </row>
    <row r="120" spans="1:30" ht="15.75" customHeight="1">
      <c r="B120" s="685"/>
      <c r="C120" s="523"/>
      <c r="D120" s="845"/>
      <c r="E120" s="845"/>
      <c r="F120" s="845"/>
      <c r="G120" s="845"/>
      <c r="H120" s="845"/>
      <c r="I120" s="845"/>
      <c r="J120" s="165"/>
      <c r="K120" s="165"/>
      <c r="L120" s="165"/>
      <c r="M120" s="165"/>
      <c r="N120" s="165"/>
      <c r="O120" s="165"/>
      <c r="P120" s="165"/>
      <c r="Q120" s="165"/>
      <c r="R120" s="165"/>
      <c r="S120" s="165"/>
      <c r="T120" s="165"/>
      <c r="U120" s="701"/>
      <c r="V120" s="165"/>
      <c r="W120" s="165"/>
      <c r="X120" s="165"/>
      <c r="Y120" s="165"/>
      <c r="Z120" s="165"/>
      <c r="AA120" s="165"/>
    </row>
    <row r="121" spans="1:30" ht="35.25" customHeight="1">
      <c r="B121" s="685"/>
      <c r="C121" s="894" t="s">
        <v>2045</v>
      </c>
      <c r="D121" s="926"/>
      <c r="E121" s="926"/>
      <c r="F121" s="926"/>
      <c r="G121" s="926"/>
      <c r="H121" s="926"/>
      <c r="I121" s="926"/>
      <c r="J121" s="1631"/>
      <c r="K121" s="1631"/>
      <c r="L121" s="1632"/>
      <c r="M121" s="1633"/>
      <c r="N121" s="1632"/>
      <c r="O121" s="1634"/>
      <c r="P121" s="1634"/>
      <c r="Q121" s="1634"/>
      <c r="R121" s="1634"/>
      <c r="S121" s="1634"/>
      <c r="T121" s="1634"/>
      <c r="U121" s="1644"/>
      <c r="V121" s="1634"/>
      <c r="W121" s="1634"/>
      <c r="X121" s="1634"/>
      <c r="Y121" s="1634"/>
      <c r="Z121" s="1634"/>
      <c r="AA121" s="1634"/>
    </row>
    <row r="122" spans="1:30" ht="15.75" customHeight="1">
      <c r="B122" s="685"/>
      <c r="C122" s="1626"/>
      <c r="D122" s="895"/>
      <c r="E122" s="895"/>
      <c r="F122" s="895"/>
      <c r="G122" s="895"/>
      <c r="H122" s="895"/>
      <c r="I122" s="895"/>
      <c r="J122" s="1627"/>
      <c r="K122" s="1627"/>
      <c r="L122" s="1627"/>
      <c r="M122" s="1627"/>
      <c r="N122" s="1627"/>
      <c r="O122" s="1627"/>
      <c r="P122" s="1627"/>
      <c r="Q122" s="1627"/>
      <c r="R122" s="1627"/>
      <c r="S122" s="1627"/>
      <c r="T122" s="1627"/>
      <c r="U122" s="1647"/>
      <c r="V122" s="1627"/>
      <c r="W122" s="1627"/>
      <c r="X122" s="1627"/>
      <c r="Y122" s="1627"/>
      <c r="Z122" s="1627"/>
      <c r="AA122" s="1627"/>
    </row>
    <row r="123" spans="1:30" ht="24" customHeight="1">
      <c r="B123" s="685"/>
      <c r="C123" s="523" t="s">
        <v>347</v>
      </c>
      <c r="D123" s="1631"/>
      <c r="E123" s="1631"/>
      <c r="F123" s="1631"/>
      <c r="G123" s="1631"/>
      <c r="H123" s="1631"/>
      <c r="I123" s="1631"/>
      <c r="J123" s="165"/>
      <c r="K123" s="165"/>
      <c r="L123" s="165"/>
      <c r="M123" s="165"/>
      <c r="N123" s="165"/>
      <c r="O123" s="165"/>
      <c r="P123" s="165">
        <f ca="1">P31</f>
        <v>161.45180656958212</v>
      </c>
      <c r="Q123" s="165">
        <f t="shared" ref="Q123:Z123" ca="1" si="41">Q31</f>
        <v>270.60152088735134</v>
      </c>
      <c r="R123" s="165">
        <f t="shared" ca="1" si="41"/>
        <v>463.64939240360661</v>
      </c>
      <c r="S123" s="1596">
        <f t="shared" ca="1" si="41"/>
        <v>221.0759219985687</v>
      </c>
      <c r="T123" s="165">
        <f t="shared" ca="1" si="41"/>
        <v>289.41689119378702</v>
      </c>
      <c r="U123" s="1737">
        <f t="shared" ca="1" si="41"/>
        <v>510.4928131923557</v>
      </c>
      <c r="V123" s="165">
        <f t="shared" ca="1" si="41"/>
        <v>823.61539156826086</v>
      </c>
      <c r="W123" s="165">
        <f t="shared" ca="1" si="41"/>
        <v>857.095882157235</v>
      </c>
      <c r="X123" s="165">
        <f t="shared" ca="1" si="41"/>
        <v>864.294222976833</v>
      </c>
      <c r="Y123" s="165">
        <f t="shared" ca="1" si="41"/>
        <v>865.49016096685364</v>
      </c>
      <c r="Z123" s="165">
        <f t="shared" ca="1" si="41"/>
        <v>830.52982657338555</v>
      </c>
      <c r="AA123" s="424">
        <f t="shared" ref="AA123:AA128" ca="1" si="42">SUM(U123:Z123)</f>
        <v>4751.5182974349236</v>
      </c>
    </row>
    <row r="124" spans="1:30" ht="15.75" customHeight="1">
      <c r="B124" s="685"/>
      <c r="C124" s="523" t="s">
        <v>2042</v>
      </c>
      <c r="D124" s="1631"/>
      <c r="E124" s="1631"/>
      <c r="F124" s="1631"/>
      <c r="G124" s="1631"/>
      <c r="H124" s="1631"/>
      <c r="I124" s="1631"/>
      <c r="J124" s="165"/>
      <c r="K124" s="165"/>
      <c r="L124" s="165"/>
      <c r="M124" s="165"/>
      <c r="N124" s="165"/>
      <c r="O124" s="165"/>
      <c r="P124" s="165"/>
      <c r="Q124" s="165"/>
      <c r="R124" s="165"/>
      <c r="S124" s="1596"/>
      <c r="T124" s="165"/>
      <c r="U124" s="1572"/>
      <c r="V124" s="165"/>
      <c r="W124" s="165"/>
      <c r="X124" s="165"/>
      <c r="Y124" s="165"/>
      <c r="Z124" s="165"/>
      <c r="AA124" s="424">
        <f t="shared" si="42"/>
        <v>0</v>
      </c>
    </row>
    <row r="125" spans="1:30" ht="15.75" customHeight="1">
      <c r="B125" s="685"/>
      <c r="C125" s="844" t="s">
        <v>1200</v>
      </c>
      <c r="D125" s="695"/>
      <c r="E125" s="569"/>
      <c r="F125" s="569"/>
      <c r="G125" s="569"/>
      <c r="H125" s="569"/>
      <c r="I125" s="569"/>
      <c r="J125" s="453"/>
      <c r="K125" s="424"/>
      <c r="L125" s="424"/>
      <c r="M125" s="424"/>
      <c r="N125" s="424"/>
      <c r="O125" s="424"/>
      <c r="P125" s="424">
        <f ca="1">'Ni segment'!O271/1000000-1</f>
        <v>68.753295239694552</v>
      </c>
      <c r="Q125" s="424">
        <f ca="1">'Ni segment'!P271/1000000-3</f>
        <v>186.8752302311043</v>
      </c>
      <c r="R125" s="424">
        <f ca="1">'Ni segment'!Q271/1000000</f>
        <v>205.11188237086773</v>
      </c>
      <c r="S125" s="1598">
        <f ca="1">'Ni segment'!R271/1000000</f>
        <v>155.08046999817819</v>
      </c>
      <c r="T125" s="1348">
        <f ca="1">'Ni segment'!S271/1000000</f>
        <v>144.27083546679827</v>
      </c>
      <c r="U125" s="1574">
        <f ca="1">'Ni segment'!T271/1000000</f>
        <v>299.35130546497641</v>
      </c>
      <c r="V125" s="424">
        <f ca="1">'Ni segment'!U271/1000000</f>
        <v>277.87410420516352</v>
      </c>
      <c r="W125" s="424">
        <f ca="1">'Ni segment'!V271/1000000</f>
        <v>264.74064938113838</v>
      </c>
      <c r="X125" s="424">
        <f ca="1">'Ni segment'!W271/1000000</f>
        <v>278.27345667234562</v>
      </c>
      <c r="Y125" s="424">
        <f ca="1">'Ni segment'!X271/1000000</f>
        <v>277.89374671032857</v>
      </c>
      <c r="Z125" s="424">
        <f ca="1">'Ni segment'!Y271/1000000</f>
        <v>239.13231282250865</v>
      </c>
      <c r="AA125" s="424">
        <f t="shared" ca="1" si="42"/>
        <v>1637.265575256461</v>
      </c>
    </row>
    <row r="126" spans="1:30" ht="15.75" customHeight="1">
      <c r="B126" s="685"/>
      <c r="C126" s="844" t="s">
        <v>1990</v>
      </c>
      <c r="D126" s="695"/>
      <c r="E126" s="569"/>
      <c r="F126" s="569"/>
      <c r="G126" s="569"/>
      <c r="H126" s="569"/>
      <c r="I126" s="569"/>
      <c r="J126" s="453"/>
      <c r="K126" s="424"/>
      <c r="L126" s="424"/>
      <c r="M126" s="424"/>
      <c r="N126" s="424"/>
      <c r="O126" s="424"/>
      <c r="P126" s="424">
        <f>'Cu segment'!O242/1000000-1</f>
        <v>27.785339931592812</v>
      </c>
      <c r="Q126" s="424">
        <f>'Cu segment'!P242/1000000-3</f>
        <v>43.722454954543188</v>
      </c>
      <c r="R126" s="424">
        <f>'Cu segment'!Q242/1000000</f>
        <v>59.916502587437371</v>
      </c>
      <c r="S126" s="1598">
        <f>'Cu segment'!R242/1000000</f>
        <v>20.346134459947095</v>
      </c>
      <c r="T126" s="1348">
        <f>'Cu segment'!S242/1000000</f>
        <v>20.346134459947095</v>
      </c>
      <c r="U126" s="1574">
        <f>'Cu segment'!T242/1000000</f>
        <v>40.69226891989419</v>
      </c>
      <c r="V126" s="424">
        <f>'Cu segment'!U242/1000000</f>
        <v>66.197625646706484</v>
      </c>
      <c r="W126" s="424">
        <f>'Cu segment'!V242/1000000</f>
        <v>66.302789453516382</v>
      </c>
      <c r="X126" s="424">
        <f>'Cu segment'!W242/1000000</f>
        <v>56.823902635776506</v>
      </c>
      <c r="Y126" s="424">
        <f>'Cu segment'!X242/1000000</f>
        <v>54.601796376302495</v>
      </c>
      <c r="Z126" s="424">
        <f>'Cu segment'!Y242/1000000</f>
        <v>55.630790613806496</v>
      </c>
      <c r="AA126" s="424">
        <f t="shared" si="42"/>
        <v>340.24917364600253</v>
      </c>
    </row>
    <row r="127" spans="1:30" ht="15.75" customHeight="1">
      <c r="B127" s="685"/>
      <c r="C127" s="844" t="s">
        <v>1991</v>
      </c>
      <c r="D127" s="695"/>
      <c r="E127" s="569"/>
      <c r="F127" s="569"/>
      <c r="G127" s="569"/>
      <c r="H127" s="569"/>
      <c r="I127" s="569"/>
      <c r="J127" s="453"/>
      <c r="K127" s="424"/>
      <c r="L127" s="424"/>
      <c r="M127" s="424"/>
      <c r="N127" s="424"/>
      <c r="O127" s="424"/>
      <c r="P127" s="424">
        <f>'Zn Pb segment'!P168/1000000-2</f>
        <v>63.158657398294707</v>
      </c>
      <c r="Q127" s="424">
        <f>'Zn Pb segment'!Q168/1000000-2</f>
        <v>57.085572701703903</v>
      </c>
      <c r="R127" s="424">
        <f>'Zn Pb segment'!R168/1000000</f>
        <v>75.85878696645176</v>
      </c>
      <c r="S127" s="1598">
        <f>'Zn Pb segment'!S168/1000000</f>
        <v>24.123766899456502</v>
      </c>
      <c r="T127" s="1348">
        <f>'Zn Pb segment'!T168/1000000</f>
        <v>24.123766899456502</v>
      </c>
      <c r="U127" s="1574">
        <f>'Zn Pb segment'!U168/1000000</f>
        <v>48.247533798913004</v>
      </c>
      <c r="V127" s="424">
        <f>'Zn Pb segment'!V168/1000000</f>
        <v>70.458206164956678</v>
      </c>
      <c r="W127" s="424">
        <f>'Zn Pb segment'!W168/1000000</f>
        <v>70.02517233110558</v>
      </c>
      <c r="X127" s="424">
        <f>'Zn Pb segment'!X168/1000000</f>
        <v>69.565666574991781</v>
      </c>
      <c r="Y127" s="424">
        <f>'Zn Pb segment'!Y168/1000000</f>
        <v>69.078045111377705</v>
      </c>
      <c r="Z127" s="424">
        <f>'Zn Pb segment'!Z168/1000000</f>
        <v>68.560560959835612</v>
      </c>
      <c r="AA127" s="424">
        <f t="shared" si="42"/>
        <v>395.93518494118041</v>
      </c>
    </row>
    <row r="128" spans="1:30" ht="15.75" customHeight="1">
      <c r="B128" s="685"/>
      <c r="C128" s="844" t="s">
        <v>1201</v>
      </c>
      <c r="D128" s="695"/>
      <c r="E128" s="569"/>
      <c r="F128" s="569"/>
      <c r="G128" s="569"/>
      <c r="H128" s="569"/>
      <c r="I128" s="569"/>
      <c r="J128" s="453"/>
      <c r="K128" s="424"/>
      <c r="L128" s="424"/>
      <c r="M128" s="424"/>
      <c r="N128" s="424"/>
      <c r="O128" s="424"/>
      <c r="P128" s="424">
        <f>P11+'Real Estate'!O19/1000000</f>
        <v>1.9547650000000001</v>
      </c>
      <c r="Q128" s="424">
        <f t="shared" ref="Q128:Z128" si="43">Q11</f>
        <v>8.3791630000000001</v>
      </c>
      <c r="R128" s="424">
        <f t="shared" si="43"/>
        <v>2.3218219243766081</v>
      </c>
      <c r="S128" s="1598">
        <f t="shared" si="43"/>
        <v>1.160910962188304</v>
      </c>
      <c r="T128" s="1348">
        <f t="shared" si="43"/>
        <v>1.160910962188304</v>
      </c>
      <c r="U128" s="1574">
        <f t="shared" si="43"/>
        <v>2.3218219243766081</v>
      </c>
      <c r="V128" s="424">
        <f t="shared" si="43"/>
        <v>2.6360532470085682</v>
      </c>
      <c r="W128" s="424">
        <f t="shared" si="43"/>
        <v>2.9974192680353231</v>
      </c>
      <c r="X128" s="424">
        <f t="shared" si="43"/>
        <v>3.4129901922160912</v>
      </c>
      <c r="Y128" s="424">
        <f t="shared" si="43"/>
        <v>3.8908967550239746</v>
      </c>
      <c r="Z128" s="424">
        <f t="shared" si="43"/>
        <v>4.4404893022530407</v>
      </c>
      <c r="AA128" s="424">
        <f t="shared" si="42"/>
        <v>19.699670688913606</v>
      </c>
    </row>
    <row r="129" spans="2:27" ht="15.75" customHeight="1">
      <c r="B129" s="685"/>
      <c r="C129" s="844" t="s">
        <v>2009</v>
      </c>
      <c r="D129" s="695"/>
      <c r="E129" s="569"/>
      <c r="F129" s="569"/>
      <c r="G129" s="569"/>
      <c r="H129" s="569"/>
      <c r="I129" s="569"/>
      <c r="J129" s="453"/>
      <c r="K129" s="424"/>
      <c r="L129" s="424"/>
      <c r="M129" s="424"/>
      <c r="N129" s="424"/>
      <c r="O129" s="424"/>
      <c r="P129" s="424">
        <f>P14+P21+P25+P30</f>
        <v>0</v>
      </c>
      <c r="Q129" s="424">
        <f t="shared" ref="Q129:Z129" si="44">Q14+Q21+Q25+Q30</f>
        <v>0</v>
      </c>
      <c r="R129" s="1348">
        <f t="shared" si="44"/>
        <v>34.714463683668981</v>
      </c>
      <c r="S129" s="1598">
        <f t="shared" si="44"/>
        <v>0</v>
      </c>
      <c r="T129" s="1348">
        <f t="shared" si="44"/>
        <v>46.715192690955035</v>
      </c>
      <c r="U129" s="1574">
        <f t="shared" si="44"/>
        <v>46.715192690955035</v>
      </c>
      <c r="V129" s="424">
        <f t="shared" si="44"/>
        <v>377.53933655762944</v>
      </c>
      <c r="W129" s="424">
        <f t="shared" si="44"/>
        <v>414.54057728370174</v>
      </c>
      <c r="X129" s="424">
        <f t="shared" si="44"/>
        <v>414.54057728370174</v>
      </c>
      <c r="Y129" s="424">
        <f t="shared" si="44"/>
        <v>414.54057728370174</v>
      </c>
      <c r="Z129" s="424">
        <f t="shared" si="44"/>
        <v>414.54057728370174</v>
      </c>
      <c r="AA129" s="424">
        <f>SUM(U129:Z129)</f>
        <v>2082.4168383833912</v>
      </c>
    </row>
    <row r="130" spans="2:27" ht="15.75" customHeight="1">
      <c r="B130" s="685"/>
      <c r="C130" s="844" t="s">
        <v>2043</v>
      </c>
      <c r="D130" s="695"/>
      <c r="E130" s="569"/>
      <c r="F130" s="569"/>
      <c r="G130" s="569"/>
      <c r="H130" s="569"/>
      <c r="I130" s="569"/>
      <c r="J130" s="453"/>
      <c r="K130" s="424"/>
      <c r="L130" s="424"/>
      <c r="M130" s="424"/>
      <c r="N130" s="424"/>
      <c r="O130" s="424"/>
      <c r="P130" s="424">
        <f>P15+P22+P26</f>
        <v>0</v>
      </c>
      <c r="Q130" s="424">
        <f t="shared" ref="Q130:Z130" si="45">Q15+Q22+Q26</f>
        <v>0</v>
      </c>
      <c r="R130" s="1348">
        <f t="shared" si="45"/>
        <v>0</v>
      </c>
      <c r="S130" s="1598">
        <f t="shared" si="45"/>
        <v>0</v>
      </c>
      <c r="T130" s="1348">
        <f t="shared" si="45"/>
        <v>0</v>
      </c>
      <c r="U130" s="1574">
        <f t="shared" si="45"/>
        <v>0</v>
      </c>
      <c r="V130" s="424">
        <f t="shared" si="45"/>
        <v>0</v>
      </c>
      <c r="W130" s="424">
        <f t="shared" si="45"/>
        <v>0</v>
      </c>
      <c r="X130" s="424">
        <f t="shared" si="45"/>
        <v>0</v>
      </c>
      <c r="Y130" s="424">
        <f t="shared" si="45"/>
        <v>0</v>
      </c>
      <c r="Z130" s="424">
        <f t="shared" si="45"/>
        <v>0</v>
      </c>
      <c r="AA130" s="424">
        <f>SUM(U130:Z130)</f>
        <v>0</v>
      </c>
    </row>
    <row r="131" spans="2:27" ht="12.75" customHeight="1">
      <c r="C131" s="844" t="s">
        <v>2044</v>
      </c>
      <c r="D131" s="695"/>
      <c r="E131" s="569"/>
      <c r="F131" s="569"/>
      <c r="G131" s="569"/>
      <c r="H131" s="569"/>
      <c r="I131" s="569"/>
      <c r="J131" s="453"/>
      <c r="K131" s="424"/>
      <c r="L131" s="424"/>
      <c r="M131" s="424"/>
      <c r="N131" s="424"/>
      <c r="O131" s="424"/>
      <c r="P131" s="424">
        <f>P13+P20+P28</f>
        <v>-0.20025099999999973</v>
      </c>
      <c r="Q131" s="424">
        <f>Q13+Q20+Q28</f>
        <v>-25.3659</v>
      </c>
      <c r="R131" s="1348">
        <f>R13+R20</f>
        <v>40.950749999999999</v>
      </c>
      <c r="S131" s="1598">
        <f>S13+S20+S28</f>
        <v>-1.6574225</v>
      </c>
      <c r="T131" s="1348">
        <f t="shared" ref="T131:Z131" si="46">T13+T20+T28</f>
        <v>11.542577500000004</v>
      </c>
      <c r="U131" s="1574">
        <f t="shared" si="46"/>
        <v>9.8851550000000028</v>
      </c>
      <c r="V131" s="424">
        <f t="shared" si="46"/>
        <v>0</v>
      </c>
      <c r="W131" s="424">
        <f t="shared" si="46"/>
        <v>0</v>
      </c>
      <c r="X131" s="424">
        <f t="shared" si="46"/>
        <v>0</v>
      </c>
      <c r="Y131" s="424">
        <f t="shared" si="46"/>
        <v>0</v>
      </c>
      <c r="Z131" s="424">
        <f t="shared" si="46"/>
        <v>0</v>
      </c>
      <c r="AA131" s="424">
        <f>SUM(U131:Z131)</f>
        <v>9.8851550000000028</v>
      </c>
    </row>
    <row r="132" spans="2:27" ht="12.75" customHeight="1">
      <c r="C132" s="844" t="s">
        <v>2088</v>
      </c>
      <c r="D132" s="695"/>
      <c r="E132" s="569"/>
      <c r="F132" s="569"/>
      <c r="G132" s="569"/>
      <c r="H132" s="569"/>
      <c r="I132" s="569"/>
      <c r="J132" s="453"/>
      <c r="K132" s="424"/>
      <c r="L132" s="424"/>
      <c r="M132" s="424"/>
      <c r="N132" s="424"/>
      <c r="O132" s="424"/>
      <c r="P132" s="424">
        <f>P12+P19+P27</f>
        <v>0</v>
      </c>
      <c r="Q132" s="424">
        <f>Q12+Q19+Q27</f>
        <v>-0.39500000000000002</v>
      </c>
      <c r="R132" s="1348">
        <f t="shared" ref="R132:Z132" si="47">R12+R19+R27</f>
        <v>48.090029870804159</v>
      </c>
      <c r="S132" s="1598">
        <f t="shared" si="47"/>
        <v>0</v>
      </c>
      <c r="T132" s="1348">
        <f t="shared" si="47"/>
        <v>26.877932842495422</v>
      </c>
      <c r="U132" s="1574">
        <f t="shared" si="47"/>
        <v>26.877932842495422</v>
      </c>
      <c r="V132" s="424">
        <f t="shared" si="47"/>
        <v>28.910065746795901</v>
      </c>
      <c r="W132" s="424">
        <f t="shared" si="47"/>
        <v>38.489274439737528</v>
      </c>
      <c r="X132" s="424">
        <f t="shared" si="47"/>
        <v>41.677629617801401</v>
      </c>
      <c r="Y132" s="424">
        <f t="shared" si="47"/>
        <v>45.485098730119056</v>
      </c>
      <c r="Z132" s="424">
        <f t="shared" si="47"/>
        <v>48.225095591279796</v>
      </c>
      <c r="AA132" s="424">
        <f>SUM(U132:Z132)</f>
        <v>229.66509696822911</v>
      </c>
    </row>
    <row r="133" spans="2:27" ht="18" customHeight="1">
      <c r="C133" s="844"/>
      <c r="D133" s="695"/>
      <c r="E133" s="569"/>
      <c r="F133" s="569"/>
      <c r="G133" s="569"/>
      <c r="H133" s="569"/>
      <c r="I133" s="569"/>
      <c r="J133" s="453"/>
      <c r="K133" s="424"/>
      <c r="L133" s="424"/>
      <c r="M133" s="424"/>
      <c r="N133" s="424"/>
      <c r="O133" s="424"/>
      <c r="P133" s="424"/>
      <c r="Q133" s="424"/>
      <c r="R133" s="424"/>
      <c r="S133" s="1598"/>
      <c r="T133" s="1348"/>
      <c r="U133" s="1574"/>
      <c r="V133" s="424"/>
      <c r="W133" s="424"/>
      <c r="X133" s="424"/>
      <c r="Y133" s="424"/>
      <c r="Z133" s="424"/>
      <c r="AA133" s="424"/>
    </row>
    <row r="134" spans="2:27" s="1739" customFormat="1" ht="12.75" hidden="1" customHeight="1" outlineLevel="1">
      <c r="C134" s="1738" t="s">
        <v>1209</v>
      </c>
      <c r="L134" s="1740"/>
      <c r="M134" s="1741"/>
      <c r="N134" s="1742"/>
      <c r="O134" s="1742"/>
      <c r="P134" s="1742">
        <f ca="1">P123-SUM(P125:P132)</f>
        <v>0</v>
      </c>
      <c r="Q134" s="1742">
        <f t="shared" ref="Q134:AA134" ca="1" si="48">Q123-SUM(Q125:Q132)</f>
        <v>0.29999999999995453</v>
      </c>
      <c r="R134" s="1742">
        <f t="shared" ca="1" si="48"/>
        <v>-3.3148449999999912</v>
      </c>
      <c r="S134" s="1743">
        <f t="shared" ca="1" si="48"/>
        <v>22.02206217879862</v>
      </c>
      <c r="T134" s="1744">
        <f t="shared" ca="1" si="48"/>
        <v>14.379540371946405</v>
      </c>
      <c r="U134" s="1745">
        <f t="shared" ca="1" si="48"/>
        <v>36.401602550745054</v>
      </c>
      <c r="V134" s="1742">
        <f t="shared" ca="1" si="48"/>
        <v>0</v>
      </c>
      <c r="W134" s="1742">
        <f t="shared" ca="1" si="48"/>
        <v>0</v>
      </c>
      <c r="X134" s="1742">
        <f t="shared" ca="1" si="48"/>
        <v>0</v>
      </c>
      <c r="Y134" s="1742">
        <f t="shared" ca="1" si="48"/>
        <v>0</v>
      </c>
      <c r="Z134" s="1742">
        <f t="shared" ca="1" si="48"/>
        <v>0</v>
      </c>
      <c r="AA134" s="1742">
        <f t="shared" ca="1" si="48"/>
        <v>36.401602550746247</v>
      </c>
    </row>
    <row r="135" spans="2:27" ht="31.5" customHeight="1" collapsed="1">
      <c r="C135" s="846" t="s">
        <v>1180</v>
      </c>
      <c r="J135" s="928">
        <f t="shared" ref="J135:O135" si="49">J6</f>
        <v>163.37693767910991</v>
      </c>
      <c r="K135" s="928">
        <f t="shared" si="49"/>
        <v>379.49912728047246</v>
      </c>
      <c r="L135" s="928">
        <f t="shared" si="49"/>
        <v>708.03894131340223</v>
      </c>
      <c r="M135" s="928">
        <f t="shared" si="49"/>
        <v>536.01305084116518</v>
      </c>
      <c r="N135" s="928">
        <f t="shared" si="49"/>
        <v>387.86287635356638</v>
      </c>
      <c r="O135" s="928">
        <f t="shared" si="49"/>
        <v>546.79591793661712</v>
      </c>
      <c r="P135" s="928">
        <f>P6</f>
        <v>448.47304429302847</v>
      </c>
      <c r="Q135" s="928">
        <f t="shared" ref="Q135:Z135" si="50">Q6</f>
        <v>618.96083887548559</v>
      </c>
      <c r="R135" s="1358">
        <f t="shared" si="50"/>
        <v>1065.0409610710453</v>
      </c>
      <c r="S135" s="1613">
        <f t="shared" si="50"/>
        <v>368.65330382679542</v>
      </c>
      <c r="T135" s="1358">
        <f t="shared" si="50"/>
        <v>518.1246298360561</v>
      </c>
      <c r="U135" s="1567">
        <f>U6</f>
        <v>886.77793366285164</v>
      </c>
      <c r="V135" s="928">
        <f t="shared" si="50"/>
        <v>1384.0599066722111</v>
      </c>
      <c r="W135" s="928">
        <f t="shared" si="50"/>
        <v>1463.6943738806262</v>
      </c>
      <c r="X135" s="928">
        <f t="shared" si="50"/>
        <v>1488.594905573616</v>
      </c>
      <c r="Y135" s="928">
        <f t="shared" si="50"/>
        <v>1492.5183301884249</v>
      </c>
      <c r="Z135" s="928">
        <f t="shared" si="50"/>
        <v>1426.5578698566665</v>
      </c>
      <c r="AA135" s="928">
        <f>AA6</f>
        <v>8142.203319834397</v>
      </c>
    </row>
    <row r="136" spans="2:27">
      <c r="C136" s="846" t="s">
        <v>1182</v>
      </c>
      <c r="J136" s="885">
        <f t="shared" ref="J136:AA136" si="51">J31/J135</f>
        <v>0.9999630183281476</v>
      </c>
      <c r="K136" s="885">
        <f t="shared" si="51"/>
        <v>0.43186813534847773</v>
      </c>
      <c r="L136" s="885">
        <f t="shared" si="51"/>
        <v>0.5367418479671211</v>
      </c>
      <c r="M136" s="885">
        <f t="shared" si="51"/>
        <v>0.40550451632857376</v>
      </c>
      <c r="N136" s="885">
        <f t="shared" si="51"/>
        <v>0.55138515120590836</v>
      </c>
      <c r="O136" s="885">
        <f t="shared" ca="1" si="51"/>
        <v>0.47645651171875159</v>
      </c>
      <c r="P136" s="885">
        <f t="shared" ca="1" si="51"/>
        <v>0.36000336837210417</v>
      </c>
      <c r="Q136" s="885">
        <f t="shared" ca="1" si="51"/>
        <v>0.43718682005629667</v>
      </c>
      <c r="R136" s="1359">
        <f t="shared" ca="1" si="51"/>
        <v>0.43533479870797015</v>
      </c>
      <c r="S136" s="1614">
        <f t="shared" ca="1" si="51"/>
        <v>0.59968517765525553</v>
      </c>
      <c r="T136" s="1359">
        <f t="shared" ca="1" si="51"/>
        <v>0.55858547254424806</v>
      </c>
      <c r="U136" s="1635">
        <f t="shared" ca="1" si="51"/>
        <v>0.57567153377819891</v>
      </c>
      <c r="V136" s="885">
        <f t="shared" ca="1" si="51"/>
        <v>0.59507206848331806</v>
      </c>
      <c r="W136" s="885">
        <f t="shared" ca="1" si="51"/>
        <v>0.58557025117535688</v>
      </c>
      <c r="X136" s="885">
        <f t="shared" ca="1" si="51"/>
        <v>0.58061076236438236</v>
      </c>
      <c r="Y136" s="885">
        <f t="shared" ca="1" si="51"/>
        <v>0.57988578328387341</v>
      </c>
      <c r="Z136" s="885">
        <f t="shared" ca="1" si="51"/>
        <v>0.58219147230026713</v>
      </c>
      <c r="AA136" s="885">
        <f t="shared" ca="1" si="51"/>
        <v>0.57909591662961313</v>
      </c>
    </row>
    <row r="137" spans="2:27">
      <c r="C137" s="846" t="s">
        <v>1183</v>
      </c>
      <c r="J137" s="929">
        <f t="shared" ref="J137:R137" si="52">J119/J31</f>
        <v>0</v>
      </c>
      <c r="K137" s="929">
        <f t="shared" si="52"/>
        <v>0.51791534335373823</v>
      </c>
      <c r="L137" s="929">
        <f t="shared" si="52"/>
        <v>0.10715616521641269</v>
      </c>
      <c r="M137" s="929">
        <f t="shared" si="52"/>
        <v>0.37550887851452913</v>
      </c>
      <c r="N137" s="929">
        <f t="shared" si="52"/>
        <v>0.35239574890190917</v>
      </c>
      <c r="O137" s="929">
        <f t="shared" ca="1" si="52"/>
        <v>0.21847083599716977</v>
      </c>
      <c r="P137" s="929">
        <f t="shared" ca="1" si="52"/>
        <v>5.5744188877324213E-2</v>
      </c>
      <c r="Q137" s="929">
        <f t="shared" ca="1" si="52"/>
        <v>0.55789373759174765</v>
      </c>
      <c r="R137" s="1360">
        <f t="shared" ca="1" si="52"/>
        <v>0.2964790325763359</v>
      </c>
      <c r="S137" s="1615">
        <f ca="1">S119/(2*S31)</f>
        <v>0.31208647091164204</v>
      </c>
      <c r="T137" s="1360">
        <f ca="1">T119/(2*T31)</f>
        <v>0.28315764765362561</v>
      </c>
      <c r="U137" s="1636">
        <f t="shared" ref="U137:AA137" ca="1" si="53">U119/U31</f>
        <v>0.32106468096654178</v>
      </c>
      <c r="V137" s="929">
        <f t="shared" ca="1" si="53"/>
        <v>9.7282971594828474E-2</v>
      </c>
      <c r="W137" s="929">
        <f t="shared" ca="1" si="53"/>
        <v>4.4884339048210112E-2</v>
      </c>
      <c r="X137" s="929">
        <f t="shared" ca="1" si="53"/>
        <v>-6.7546519429567101E-5</v>
      </c>
      <c r="Y137" s="929">
        <f t="shared" ca="1" si="53"/>
        <v>-6.7453183361379743E-5</v>
      </c>
      <c r="Z137" s="929">
        <f t="shared" ca="1" si="53"/>
        <v>-7.0292558626139593E-5</v>
      </c>
      <c r="AA137" s="929">
        <f t="shared" ca="1" si="53"/>
        <v>-1.2381468010857211E-5</v>
      </c>
    </row>
    <row r="138" spans="2:27">
      <c r="C138" s="846" t="s">
        <v>1184</v>
      </c>
      <c r="J138" s="885">
        <f>J104/J54</f>
        <v>0</v>
      </c>
      <c r="K138" s="885">
        <f>K104/K54</f>
        <v>0</v>
      </c>
      <c r="L138" s="885">
        <f ca="1">126000000/L54</f>
        <v>373970.22062416683</v>
      </c>
      <c r="M138" s="885">
        <f ca="1">129000000/M54</f>
        <v>912537.17517847696</v>
      </c>
      <c r="N138" s="885">
        <f ca="1">80000000/N54</f>
        <v>438338.93810944009</v>
      </c>
      <c r="O138" s="885">
        <f ca="1">80000000/O54</f>
        <v>340120.55555730348</v>
      </c>
      <c r="P138" s="885">
        <v>0.25</v>
      </c>
      <c r="Q138" s="885">
        <f t="shared" ref="Q138:AA138" ca="1" si="54">-Q104/Q54</f>
        <v>0.31584814172996756</v>
      </c>
      <c r="R138" s="1359">
        <f t="shared" ca="1" si="54"/>
        <v>4.2505281833387226E-2</v>
      </c>
      <c r="S138" s="1614">
        <f t="shared" ca="1" si="54"/>
        <v>0</v>
      </c>
      <c r="T138" s="1359">
        <f t="shared" ca="1" si="54"/>
        <v>0</v>
      </c>
      <c r="U138" s="1635">
        <f ca="1">-U104/U54</f>
        <v>0</v>
      </c>
      <c r="V138" s="885">
        <f t="shared" ca="1" si="54"/>
        <v>2.9509685423444974E-2</v>
      </c>
      <c r="W138" s="885">
        <f t="shared" ca="1" si="54"/>
        <v>2.9850829124595846E-2</v>
      </c>
      <c r="X138" s="885">
        <f t="shared" ca="1" si="54"/>
        <v>3.0531430123458311E-2</v>
      </c>
      <c r="Y138" s="885">
        <f t="shared" ca="1" si="54"/>
        <v>3.0401088258235408E-2</v>
      </c>
      <c r="Z138" s="885">
        <f t="shared" ca="1" si="54"/>
        <v>3.2137178693018964E-2</v>
      </c>
      <c r="AA138" s="885">
        <f t="shared" ca="1" si="54"/>
        <v>2.6605848564091886E-2</v>
      </c>
    </row>
    <row r="139" spans="2:27">
      <c r="R139" s="1364"/>
      <c r="S139" s="1364"/>
      <c r="T139" s="1364"/>
      <c r="U139" s="1644"/>
    </row>
    <row r="140" spans="2:27" ht="28.5" customHeight="1">
      <c r="C140" s="1637" t="s">
        <v>2029</v>
      </c>
      <c r="D140" s="1638"/>
      <c r="E140" s="1638"/>
      <c r="F140" s="1638"/>
      <c r="G140" s="1638"/>
      <c r="H140" s="1638"/>
      <c r="I140" s="1638"/>
      <c r="J140" s="1638"/>
      <c r="K140" s="1638"/>
      <c r="L140" s="1638"/>
      <c r="M140" s="1638"/>
      <c r="N140" s="1638"/>
      <c r="O140" s="1639"/>
      <c r="P140" s="1639"/>
      <c r="Q140" s="1639"/>
      <c r="R140" s="1639"/>
      <c r="S140" s="1639"/>
      <c r="T140" s="1639"/>
      <c r="U140" s="1666"/>
      <c r="V140" s="1639"/>
      <c r="W140" s="1639"/>
      <c r="X140" s="1639"/>
      <c r="Y140" s="1639"/>
      <c r="Z140" s="1639"/>
      <c r="AA140" s="1639"/>
    </row>
    <row r="141" spans="2:27" ht="12.75" customHeight="1">
      <c r="C141" s="1648" t="s">
        <v>2115</v>
      </c>
      <c r="D141" s="1649"/>
      <c r="E141" s="1649"/>
      <c r="F141" s="1649"/>
      <c r="G141" s="1649"/>
      <c r="H141" s="1649"/>
      <c r="I141" s="1650"/>
      <c r="J141" s="1651"/>
      <c r="K141" s="905" t="s">
        <v>2079</v>
      </c>
      <c r="L141" s="905" t="s">
        <v>2080</v>
      </c>
      <c r="M141" s="905" t="s">
        <v>2081</v>
      </c>
      <c r="N141" s="905" t="s">
        <v>2082</v>
      </c>
      <c r="O141" s="905" t="s">
        <v>2083</v>
      </c>
      <c r="P141" s="905" t="s">
        <v>2061</v>
      </c>
      <c r="Q141" s="905" t="s">
        <v>2062</v>
      </c>
      <c r="R141" s="1343" t="s">
        <v>2058</v>
      </c>
      <c r="S141" s="905" t="str">
        <f>S4</f>
        <v>1H 8 Y</v>
      </c>
      <c r="T141" s="905" t="str">
        <f>T4</f>
        <v>2H 8 Y</v>
      </c>
      <c r="U141" s="1581" t="str">
        <f>U4</f>
        <v>Revised 8 Y</v>
      </c>
      <c r="V141" s="905" t="s">
        <v>2064</v>
      </c>
      <c r="W141" s="905" t="s">
        <v>2065</v>
      </c>
      <c r="X141" s="905" t="s">
        <v>2066</v>
      </c>
      <c r="Y141" s="905" t="s">
        <v>2067</v>
      </c>
      <c r="Z141" s="905" t="s">
        <v>2068</v>
      </c>
      <c r="AA141" s="905"/>
    </row>
    <row r="142" spans="2:27" ht="15" customHeight="1">
      <c r="C142" s="1652"/>
      <c r="D142" s="1653"/>
      <c r="E142" s="1653"/>
      <c r="F142" s="1653"/>
      <c r="G142" s="1653"/>
      <c r="H142" s="1653"/>
      <c r="I142" s="1654"/>
      <c r="J142" s="1655"/>
      <c r="K142" s="1656" t="s">
        <v>499</v>
      </c>
      <c r="L142" s="1656" t="s">
        <v>499</v>
      </c>
      <c r="M142" s="1656" t="s">
        <v>499</v>
      </c>
      <c r="N142" s="1656" t="s">
        <v>499</v>
      </c>
      <c r="O142" s="1656" t="s">
        <v>499</v>
      </c>
      <c r="P142" s="1656" t="s">
        <v>499</v>
      </c>
      <c r="Q142" s="1656" t="s">
        <v>499</v>
      </c>
      <c r="R142" s="1657" t="s">
        <v>499</v>
      </c>
      <c r="S142" s="1656"/>
      <c r="T142" s="1656"/>
      <c r="U142" s="1582" t="s">
        <v>499</v>
      </c>
      <c r="V142" s="1656" t="s">
        <v>499</v>
      </c>
      <c r="W142" s="1656" t="s">
        <v>499</v>
      </c>
      <c r="X142" s="1656" t="s">
        <v>499</v>
      </c>
      <c r="Y142" s="1656" t="s">
        <v>499</v>
      </c>
      <c r="Z142" s="1656" t="s">
        <v>499</v>
      </c>
      <c r="AA142" s="1656"/>
    </row>
    <row r="143" spans="2:27" ht="12.75" customHeight="1">
      <c r="C143" s="1658"/>
      <c r="D143" s="1658"/>
      <c r="E143" s="1658"/>
      <c r="F143" s="1658"/>
      <c r="G143" s="1658"/>
      <c r="H143" s="1658"/>
      <c r="I143" s="1651"/>
      <c r="J143" s="1651"/>
      <c r="K143" s="1651"/>
      <c r="L143" s="1658"/>
      <c r="M143" s="1659"/>
      <c r="N143" s="1660"/>
      <c r="O143" s="1660"/>
      <c r="P143" s="1660"/>
      <c r="Q143" s="447"/>
      <c r="R143" s="1350"/>
      <c r="S143" s="573"/>
      <c r="T143" s="573"/>
      <c r="U143" s="1576"/>
      <c r="V143" s="447"/>
      <c r="W143" s="447"/>
      <c r="X143" s="447"/>
      <c r="Y143" s="447"/>
      <c r="Z143" s="447"/>
      <c r="AA143" s="447"/>
    </row>
    <row r="144" spans="2:27" ht="12.75" customHeight="1">
      <c r="C144" s="1648" t="s">
        <v>2026</v>
      </c>
      <c r="D144" s="1661"/>
      <c r="E144" s="1661"/>
      <c r="F144" s="1661"/>
      <c r="G144" s="1661"/>
      <c r="H144" s="1661"/>
      <c r="I144" s="1650"/>
      <c r="J144" s="1651"/>
      <c r="K144" s="424"/>
      <c r="L144" s="424"/>
      <c r="M144" s="424"/>
      <c r="N144" s="424">
        <f>Commodities_prices!M141</f>
        <v>24000</v>
      </c>
      <c r="O144" s="424">
        <f>Commodities_prices!N141</f>
        <v>22000</v>
      </c>
      <c r="P144" s="424">
        <f>Commodities_prices!O141</f>
        <v>20000</v>
      </c>
      <c r="Q144" s="424">
        <f>Commodities_prices!P141</f>
        <v>21000</v>
      </c>
      <c r="R144" s="1348">
        <f>Commodities_prices!Q124</f>
        <v>22000</v>
      </c>
      <c r="S144" s="424">
        <v>22000</v>
      </c>
      <c r="T144" s="424">
        <v>25000</v>
      </c>
      <c r="U144" s="1574">
        <f>AVERAGE(S144:T144)</f>
        <v>23500</v>
      </c>
      <c r="V144" s="424">
        <v>25000</v>
      </c>
      <c r="W144" s="424">
        <f>V144</f>
        <v>25000</v>
      </c>
      <c r="X144" s="424">
        <f>W144</f>
        <v>25000</v>
      </c>
      <c r="Y144" s="424">
        <f>X144</f>
        <v>25000</v>
      </c>
      <c r="Z144" s="424">
        <f>Y144</f>
        <v>25000</v>
      </c>
      <c r="AA144" s="424"/>
    </row>
    <row r="145" spans="3:27" ht="12.75" customHeight="1">
      <c r="C145" s="1648" t="s">
        <v>1754</v>
      </c>
      <c r="D145" s="1661"/>
      <c r="E145" s="1661"/>
      <c r="F145" s="1661"/>
      <c r="G145" s="1661"/>
      <c r="H145" s="1661"/>
      <c r="I145" s="1650"/>
      <c r="J145" s="1651"/>
      <c r="K145" s="424"/>
      <c r="L145" s="424"/>
      <c r="M145" s="424"/>
      <c r="N145" s="424"/>
      <c r="O145" s="424"/>
      <c r="P145" s="424"/>
      <c r="Q145" s="424"/>
      <c r="R145" s="1348"/>
      <c r="S145" s="424"/>
      <c r="T145" s="424">
        <v>13500</v>
      </c>
      <c r="U145" s="1574">
        <v>13500</v>
      </c>
      <c r="V145" s="424">
        <f>V144</f>
        <v>25000</v>
      </c>
      <c r="W145" s="424">
        <f t="shared" ref="W145:Z150" si="55">V145</f>
        <v>25000</v>
      </c>
      <c r="X145" s="424">
        <f t="shared" si="55"/>
        <v>25000</v>
      </c>
      <c r="Y145" s="424">
        <f t="shared" si="55"/>
        <v>25000</v>
      </c>
      <c r="Z145" s="424">
        <f t="shared" si="55"/>
        <v>25000</v>
      </c>
      <c r="AA145" s="424"/>
    </row>
    <row r="146" spans="3:27" ht="12.75" customHeight="1">
      <c r="C146" s="1648" t="s">
        <v>542</v>
      </c>
      <c r="D146" s="1649"/>
      <c r="E146" s="1649"/>
      <c r="F146" s="1649"/>
      <c r="G146" s="1649"/>
      <c r="H146" s="1649"/>
      <c r="I146" s="1650"/>
      <c r="J146" s="1651"/>
      <c r="K146" s="424"/>
      <c r="L146" s="424"/>
      <c r="M146" s="424"/>
      <c r="N146" s="424">
        <v>3548</v>
      </c>
      <c r="O146" s="424">
        <v>6600</v>
      </c>
      <c r="P146" s="424">
        <f>Commodities_prices!O143</f>
        <v>8000</v>
      </c>
      <c r="Q146" s="424">
        <f>Commodities_prices!P143</f>
        <v>8000</v>
      </c>
      <c r="R146" s="1348">
        <f>Commodities_prices!Q127</f>
        <v>9000</v>
      </c>
      <c r="S146" s="424">
        <v>7500</v>
      </c>
      <c r="T146" s="424">
        <f>U146</f>
        <v>6600</v>
      </c>
      <c r="U146" s="1574">
        <v>6600</v>
      </c>
      <c r="V146" s="424">
        <f>U146</f>
        <v>6600</v>
      </c>
      <c r="W146" s="424">
        <f t="shared" si="55"/>
        <v>6600</v>
      </c>
      <c r="X146" s="424">
        <f t="shared" si="55"/>
        <v>6600</v>
      </c>
      <c r="Y146" s="424">
        <f t="shared" si="55"/>
        <v>6600</v>
      </c>
      <c r="Z146" s="424">
        <f t="shared" si="55"/>
        <v>6600</v>
      </c>
      <c r="AA146" s="424"/>
    </row>
    <row r="147" spans="3:27" ht="12.75" customHeight="1">
      <c r="C147" s="1648" t="s">
        <v>543</v>
      </c>
      <c r="D147" s="1649"/>
      <c r="E147" s="1649"/>
      <c r="F147" s="1649"/>
      <c r="G147" s="1649"/>
      <c r="H147" s="1649"/>
      <c r="I147" s="1650"/>
      <c r="J147" s="1651"/>
      <c r="K147" s="424"/>
      <c r="L147" s="424"/>
      <c r="M147" s="424"/>
      <c r="N147" s="424">
        <v>1355</v>
      </c>
      <c r="O147" s="424">
        <v>2200</v>
      </c>
      <c r="P147" s="424">
        <f>Commodities_prices!O129</f>
        <v>3000</v>
      </c>
      <c r="Q147" s="424">
        <f>Commodities_prices!P129</f>
        <v>3000</v>
      </c>
      <c r="R147" s="1348">
        <f>Commodities_prices!Q129</f>
        <v>3500</v>
      </c>
      <c r="S147" s="424">
        <f>U147</f>
        <v>1800</v>
      </c>
      <c r="T147" s="424">
        <f>U147</f>
        <v>1800</v>
      </c>
      <c r="U147" s="1574">
        <v>1800</v>
      </c>
      <c r="V147" s="424">
        <f>U147</f>
        <v>1800</v>
      </c>
      <c r="W147" s="424">
        <f t="shared" si="55"/>
        <v>1800</v>
      </c>
      <c r="X147" s="424">
        <f t="shared" si="55"/>
        <v>1800</v>
      </c>
      <c r="Y147" s="424">
        <f t="shared" si="55"/>
        <v>1800</v>
      </c>
      <c r="Z147" s="424">
        <f t="shared" si="55"/>
        <v>1800</v>
      </c>
      <c r="AA147" s="424"/>
    </row>
    <row r="148" spans="3:27" ht="12.75" customHeight="1">
      <c r="C148" s="1648" t="s">
        <v>544</v>
      </c>
      <c r="D148" s="1649"/>
      <c r="E148" s="1649"/>
      <c r="F148" s="1649"/>
      <c r="G148" s="1649"/>
      <c r="H148" s="1649"/>
      <c r="I148" s="1650"/>
      <c r="J148" s="1651"/>
      <c r="K148" s="1650"/>
      <c r="L148" s="1650"/>
      <c r="M148" s="1650"/>
      <c r="N148" s="424">
        <v>1244</v>
      </c>
      <c r="O148" s="424">
        <v>2200</v>
      </c>
      <c r="P148" s="424">
        <f>Commodities_prices!O131</f>
        <v>1800</v>
      </c>
      <c r="Q148" s="424">
        <f>Commodities_prices!P131</f>
        <v>1800</v>
      </c>
      <c r="R148" s="1348">
        <f>Commodities_prices!Q131</f>
        <v>2000</v>
      </c>
      <c r="S148" s="424">
        <f>U148</f>
        <v>2000</v>
      </c>
      <c r="T148" s="424">
        <f>U148</f>
        <v>2000</v>
      </c>
      <c r="U148" s="1574">
        <v>2000</v>
      </c>
      <c r="V148" s="424">
        <f>U148</f>
        <v>2000</v>
      </c>
      <c r="W148" s="424">
        <f t="shared" si="55"/>
        <v>2000</v>
      </c>
      <c r="X148" s="424">
        <f t="shared" si="55"/>
        <v>2000</v>
      </c>
      <c r="Y148" s="424">
        <f t="shared" si="55"/>
        <v>2000</v>
      </c>
      <c r="Z148" s="424">
        <f t="shared" si="55"/>
        <v>2000</v>
      </c>
      <c r="AA148" s="424"/>
    </row>
    <row r="149" spans="3:27" ht="12.75" customHeight="1">
      <c r="C149" s="1648" t="s">
        <v>662</v>
      </c>
      <c r="D149" s="1651"/>
      <c r="E149" s="1651"/>
      <c r="F149" s="1651"/>
      <c r="G149" s="1651"/>
      <c r="H149" s="1651"/>
      <c r="I149" s="1651"/>
      <c r="J149" s="1651"/>
      <c r="K149" s="1651"/>
      <c r="L149" s="1651"/>
      <c r="M149" s="1651"/>
      <c r="N149" s="1651"/>
      <c r="O149" s="1651">
        <v>1000</v>
      </c>
      <c r="P149" s="424">
        <f>Commodities_prices!O132</f>
        <v>1600</v>
      </c>
      <c r="Q149" s="424">
        <f>Commodities_prices!P132</f>
        <v>1600</v>
      </c>
      <c r="R149" s="1348">
        <f>Commodities_prices!Q132</f>
        <v>1800</v>
      </c>
      <c r="S149" s="424">
        <f>U149</f>
        <v>1200</v>
      </c>
      <c r="T149" s="424">
        <f>U149</f>
        <v>1200</v>
      </c>
      <c r="U149" s="1574">
        <v>1200</v>
      </c>
      <c r="V149" s="424">
        <f>U149</f>
        <v>1200</v>
      </c>
      <c r="W149" s="424">
        <v>1500</v>
      </c>
      <c r="X149" s="424">
        <v>1600</v>
      </c>
      <c r="Y149" s="424">
        <v>1719.375</v>
      </c>
      <c r="Z149" s="424">
        <v>1805.34375</v>
      </c>
      <c r="AA149" s="424"/>
    </row>
    <row r="150" spans="3:27" ht="12.75" customHeight="1">
      <c r="C150" s="1648" t="s">
        <v>663</v>
      </c>
      <c r="D150" s="1651"/>
      <c r="E150" s="1651"/>
      <c r="F150" s="1651"/>
      <c r="G150" s="1651"/>
      <c r="H150" s="1651"/>
      <c r="I150" s="1651"/>
      <c r="J150" s="1651"/>
      <c r="K150" s="1651"/>
      <c r="L150" s="1651"/>
      <c r="M150" s="1651"/>
      <c r="N150" s="1651"/>
      <c r="O150" s="1651"/>
      <c r="P150" s="424">
        <f>Commodities_prices!O133</f>
        <v>18</v>
      </c>
      <c r="Q150" s="424">
        <f>Commodities_prices!P133</f>
        <v>18</v>
      </c>
      <c r="R150" s="1348">
        <f>Commodities_prices!Q133</f>
        <v>20</v>
      </c>
      <c r="S150" s="424">
        <f>U150</f>
        <v>18</v>
      </c>
      <c r="T150" s="424">
        <f>U150</f>
        <v>18</v>
      </c>
      <c r="U150" s="1574">
        <v>18</v>
      </c>
      <c r="V150" s="424">
        <f>U150</f>
        <v>18</v>
      </c>
      <c r="W150" s="424">
        <f t="shared" si="55"/>
        <v>18</v>
      </c>
      <c r="X150" s="424">
        <f t="shared" si="55"/>
        <v>18</v>
      </c>
      <c r="Y150" s="424">
        <f t="shared" si="55"/>
        <v>18</v>
      </c>
      <c r="Z150" s="424">
        <f t="shared" si="55"/>
        <v>18</v>
      </c>
      <c r="AA150" s="424"/>
    </row>
    <row r="151" spans="3:27" ht="12.75" customHeight="1" collapsed="1">
      <c r="C151" s="1648" t="s">
        <v>1199</v>
      </c>
      <c r="Q151" s="1662">
        <v>6.2E-2</v>
      </c>
      <c r="R151" s="1663">
        <f>Q151</f>
        <v>6.2E-2</v>
      </c>
      <c r="S151" s="1664">
        <v>6.2E-2</v>
      </c>
      <c r="T151" s="1664">
        <v>6.2E-2</v>
      </c>
      <c r="U151" s="1665">
        <v>6.2E-2</v>
      </c>
      <c r="V151" s="1662">
        <v>6.2E-2</v>
      </c>
      <c r="W151" s="1662">
        <f>V151</f>
        <v>6.2E-2</v>
      </c>
      <c r="X151" s="1662">
        <f>W151</f>
        <v>6.2E-2</v>
      </c>
      <c r="Y151" s="1662">
        <f>X151</f>
        <v>6.2E-2</v>
      </c>
      <c r="Z151" s="1662">
        <f>Y151</f>
        <v>6.2E-2</v>
      </c>
      <c r="AA151" s="669"/>
    </row>
    <row r="152" spans="3:27" ht="12.75" customHeight="1" collapsed="1">
      <c r="C152" s="1648"/>
      <c r="Q152" s="1662"/>
      <c r="R152" s="1663"/>
      <c r="S152" s="1664"/>
      <c r="T152" s="1664"/>
      <c r="U152" s="1665"/>
      <c r="V152" s="1662"/>
      <c r="W152" s="1662"/>
      <c r="X152" s="1662"/>
      <c r="Y152" s="1662"/>
      <c r="Z152" s="1662"/>
      <c r="AA152" s="669"/>
    </row>
    <row r="153" spans="3:27">
      <c r="R153" s="1364"/>
      <c r="S153" s="1364"/>
      <c r="T153" s="1364"/>
      <c r="U153" s="1644"/>
    </row>
    <row r="154" spans="3:27" ht="22.5">
      <c r="C154" s="1637" t="s">
        <v>1211</v>
      </c>
      <c r="D154" s="1637"/>
      <c r="E154" s="1637"/>
      <c r="F154" s="1637"/>
      <c r="G154" s="1637"/>
      <c r="H154" s="1637"/>
      <c r="I154" s="1637"/>
      <c r="J154" s="1637"/>
      <c r="K154" s="1637"/>
      <c r="L154" s="1637"/>
      <c r="M154" s="1637"/>
      <c r="N154" s="1637"/>
      <c r="O154" s="1637"/>
      <c r="P154" s="1637"/>
      <c r="Q154" s="1637"/>
      <c r="R154" s="1637"/>
      <c r="S154" s="1637"/>
      <c r="T154" s="1637"/>
      <c r="U154" s="1637"/>
      <c r="V154" s="1637"/>
      <c r="W154" s="1637"/>
      <c r="X154" s="1637"/>
      <c r="Y154" s="1637"/>
      <c r="Z154" s="1637"/>
      <c r="AA154" s="1637"/>
    </row>
    <row r="155" spans="3:27" ht="23.25">
      <c r="C155" s="903"/>
      <c r="D155" s="904"/>
      <c r="E155" s="904"/>
      <c r="F155" s="904"/>
      <c r="G155" s="904"/>
      <c r="H155" s="904"/>
      <c r="I155" s="905"/>
      <c r="J155" s="905" t="s">
        <v>2089</v>
      </c>
      <c r="K155" s="905" t="s">
        <v>2079</v>
      </c>
      <c r="L155" s="905" t="s">
        <v>2080</v>
      </c>
      <c r="M155" s="905" t="s">
        <v>2081</v>
      </c>
      <c r="N155" s="905" t="s">
        <v>2082</v>
      </c>
      <c r="O155" s="905" t="s">
        <v>2083</v>
      </c>
      <c r="P155" s="905" t="s">
        <v>2061</v>
      </c>
      <c r="Q155" s="905" t="s">
        <v>2062</v>
      </c>
      <c r="R155" s="1343" t="s">
        <v>2058</v>
      </c>
      <c r="S155" s="905" t="str">
        <f>S4</f>
        <v>1H 8 Y</v>
      </c>
      <c r="T155" s="905" t="str">
        <f>T4</f>
        <v>2H 8 Y</v>
      </c>
      <c r="U155" s="1581" t="str">
        <f>U4</f>
        <v>Revised 8 Y</v>
      </c>
      <c r="V155" s="905" t="s">
        <v>2064</v>
      </c>
      <c r="W155" s="905" t="s">
        <v>2065</v>
      </c>
      <c r="X155" s="905" t="s">
        <v>2066</v>
      </c>
      <c r="Y155" s="905" t="s">
        <v>2067</v>
      </c>
      <c r="Z155" s="905" t="s">
        <v>2068</v>
      </c>
      <c r="AA155" s="1006" t="str">
        <f>AA4</f>
        <v xml:space="preserve">Total
</v>
      </c>
    </row>
    <row r="156" spans="3:27">
      <c r="C156" s="906" t="s">
        <v>1210</v>
      </c>
      <c r="D156" s="906"/>
      <c r="E156" s="907"/>
      <c r="F156" s="907"/>
      <c r="G156" s="907"/>
      <c r="H156" s="907"/>
      <c r="I156" s="908"/>
      <c r="J156" s="908"/>
      <c r="K156" s="908"/>
      <c r="L156" s="908"/>
      <c r="M156" s="908" t="s">
        <v>499</v>
      </c>
      <c r="N156" s="908" t="s">
        <v>499</v>
      </c>
      <c r="O156" s="908" t="s">
        <v>499</v>
      </c>
      <c r="P156" s="908" t="s">
        <v>499</v>
      </c>
      <c r="Q156" s="908" t="s">
        <v>499</v>
      </c>
      <c r="R156" s="1344" t="s">
        <v>499</v>
      </c>
      <c r="S156" s="908"/>
      <c r="T156" s="908"/>
      <c r="U156" s="1582" t="s">
        <v>499</v>
      </c>
      <c r="V156" s="908" t="s">
        <v>499</v>
      </c>
      <c r="W156" s="908" t="s">
        <v>499</v>
      </c>
      <c r="X156" s="908" t="s">
        <v>499</v>
      </c>
      <c r="Y156" s="908" t="s">
        <v>499</v>
      </c>
      <c r="Z156" s="908" t="s">
        <v>499</v>
      </c>
      <c r="AA156" s="908" t="s">
        <v>499</v>
      </c>
    </row>
    <row r="157" spans="3:27">
      <c r="S157" s="1364"/>
      <c r="T157" s="1364"/>
    </row>
    <row r="158" spans="3:27" s="762" customFormat="1">
      <c r="C158" s="1045" t="s">
        <v>320</v>
      </c>
      <c r="M158" s="997"/>
      <c r="O158" s="998"/>
      <c r="P158" s="766">
        <v>177</v>
      </c>
      <c r="Q158" s="766">
        <v>35</v>
      </c>
      <c r="R158" s="1354">
        <f>R112</f>
        <v>102</v>
      </c>
      <c r="S158" s="1592">
        <f>R112</f>
        <v>102</v>
      </c>
      <c r="T158" s="1354">
        <f ca="1">S177</f>
        <v>223.3609401693021</v>
      </c>
      <c r="U158" s="1578">
        <f>U112</f>
        <v>102</v>
      </c>
      <c r="V158" s="766">
        <f ca="1">U177</f>
        <v>419.58702158064295</v>
      </c>
      <c r="W158" s="766">
        <f ca="1">V177</f>
        <v>930.99036454471661</v>
      </c>
      <c r="X158" s="766">
        <f ca="1">W177</f>
        <v>1601.4373895553786</v>
      </c>
      <c r="Y158" s="766">
        <f ca="1">X177</f>
        <v>2251.8768574394826</v>
      </c>
      <c r="Z158" s="766">
        <f ca="1">Y177</f>
        <v>2964.2766784306409</v>
      </c>
      <c r="AA158" s="766">
        <f>U158</f>
        <v>102</v>
      </c>
    </row>
    <row r="159" spans="3:27" ht="5.25" customHeight="1">
      <c r="C159" s="1046"/>
      <c r="P159" s="447"/>
      <c r="Q159" s="447"/>
      <c r="R159" s="1355"/>
      <c r="S159" s="1593"/>
      <c r="T159" s="1355"/>
      <c r="U159" s="1576"/>
      <c r="V159" s="923"/>
      <c r="W159" s="923"/>
      <c r="X159" s="923"/>
      <c r="Y159" s="923"/>
      <c r="Z159" s="923"/>
      <c r="AA159" s="923"/>
    </row>
    <row r="160" spans="3:27">
      <c r="C160" s="1047" t="s">
        <v>1200</v>
      </c>
      <c r="P160" s="985">
        <f ca="1">'Ni segment'!O386/1000000</f>
        <v>57.119990435496774</v>
      </c>
      <c r="Q160" s="985">
        <f ca="1">'Ni segment'!P386/1000000</f>
        <v>206.36602821836169</v>
      </c>
      <c r="R160" s="1361">
        <f ca="1">'Ni segment'!Q386/1000000</f>
        <v>190.74061317691479</v>
      </c>
      <c r="S160" s="1594">
        <f ca="1">'Ni segment'!R386/1000000</f>
        <v>143.39718847586201</v>
      </c>
      <c r="T160" s="1355">
        <f ca="1">'Ni segment'!S386/1000000</f>
        <v>137.52480735715667</v>
      </c>
      <c r="U160" s="1576">
        <f ca="1">'Ni segment'!T386/1000000</f>
        <v>280.92199583301868</v>
      </c>
      <c r="V160" s="985">
        <f ca="1">'Ni segment'!U386/1000000</f>
        <v>248.2272120807595</v>
      </c>
      <c r="W160" s="985">
        <f ca="1">'Ni segment'!V386/1000000</f>
        <v>247.99114416240084</v>
      </c>
      <c r="X160" s="985">
        <f ca="1">'Ni segment'!W386/1000000</f>
        <v>263.56309954442531</v>
      </c>
      <c r="Y160" s="985">
        <f ca="1">'Ni segment'!X386/1000000</f>
        <v>264.79451075720192</v>
      </c>
      <c r="Z160" s="985">
        <f ca="1">'Ni segment'!Y386/1000000</f>
        <v>227.06895963354759</v>
      </c>
      <c r="AA160" s="985">
        <f ca="1">SUM(U160:Z160)</f>
        <v>1532.5669220113539</v>
      </c>
    </row>
    <row r="161" spans="3:27">
      <c r="C161" s="1047" t="s">
        <v>1990</v>
      </c>
      <c r="P161" s="923">
        <f ca="1">'Cu segment'!O380/1000000</f>
        <v>13.732433950956226</v>
      </c>
      <c r="Q161" s="923">
        <f ca="1">'Cu segment'!P380/1000000-'Cu segment'!P354/1000000-17</f>
        <v>28.986195187319581</v>
      </c>
      <c r="R161" s="1355">
        <f ca="1">'Cu segment'!Q380/1000000-'Cu segment'!Q354/1000000-'Cu segment'!Q372/1000000</f>
        <v>47.13576245450281</v>
      </c>
      <c r="S161" s="1593">
        <f ca="1">$U$161/2</f>
        <v>15.593750655627714</v>
      </c>
      <c r="T161" s="1355">
        <f ca="1">$U$161/2</f>
        <v>15.593750655627714</v>
      </c>
      <c r="U161" s="1576">
        <f ca="1">('Cu segment'!T367-'Cu segment'!T354)/1000000</f>
        <v>31.187501311255428</v>
      </c>
      <c r="V161" s="923">
        <f ca="1">('Cu segment'!U367-'Cu segment'!U354)/1000000</f>
        <v>59.841679350901323</v>
      </c>
      <c r="W161" s="923">
        <f ca="1">('Cu segment'!V367-'Cu segment'!V354)/1000000</f>
        <v>62.907702383500016</v>
      </c>
      <c r="X161" s="923">
        <f ca="1">('Cu segment'!W367-'Cu segment'!W354)/1000000</f>
        <v>43.04998039232207</v>
      </c>
      <c r="Y161" s="923">
        <f ca="1">'Cu segment'!X380/1000000</f>
        <v>43.785857753630985</v>
      </c>
      <c r="Z161" s="923">
        <f ca="1">'Cu segment'!Y380/1000000</f>
        <v>46.635739581874773</v>
      </c>
      <c r="AA161" s="923">
        <f t="shared" ref="AA161:AA175" ca="1" si="56">SUM(U161:Z161)</f>
        <v>287.40846077348459</v>
      </c>
    </row>
    <row r="162" spans="3:27">
      <c r="C162" s="1047" t="s">
        <v>1991</v>
      </c>
      <c r="P162" s="923">
        <f ca="1">'Zn Pb segment'!P306/1000000</f>
        <v>57.552207277488804</v>
      </c>
      <c r="Q162" s="923">
        <f ca="1">'Zn Pb segment'!Q306/1000000-'Zn Pb segment'!Q174/1000000-17</f>
        <v>45.240541163393921</v>
      </c>
      <c r="R162" s="1355">
        <f ca="1">'Zn Pb segment'!R306/1000000-'Zn Pb segment'!R174/1000000-'Zn Pb segment'!R297/1000000</f>
        <v>62.72667092842314</v>
      </c>
      <c r="S162" s="1593">
        <f ca="1">$U$162/2</f>
        <v>22.121038720842765</v>
      </c>
      <c r="T162" s="1355">
        <f ca="1">$U$162/2</f>
        <v>22.121038720842765</v>
      </c>
      <c r="U162" s="1576">
        <f ca="1">('Zn Pb segment'!U292-'Zn Pb segment'!U280)/1000000</f>
        <v>44.242077441685531</v>
      </c>
      <c r="V162" s="923">
        <f ca="1">('Zn Pb segment'!V292-'Zn Pb segment'!V280)/1000000</f>
        <v>66.560653858557401</v>
      </c>
      <c r="W162" s="923">
        <f ca="1">('Zn Pb segment'!W292-'Zn Pb segment'!W280)/1000000</f>
        <v>64.69113019768804</v>
      </c>
      <c r="X162" s="923">
        <f ca="1">('Zn Pb segment'!X292-'Zn Pb segment'!X280)/1000000</f>
        <v>64.234956975995559</v>
      </c>
      <c r="Y162" s="923">
        <f ca="1">'Zn Pb segment'!Y306/1000000</f>
        <v>63.753174555694109</v>
      </c>
      <c r="Z162" s="923">
        <f ca="1">'Zn Pb segment'!Z306/1000000</f>
        <v>63.241964860942353</v>
      </c>
      <c r="AA162" s="923">
        <f t="shared" ca="1" si="56"/>
        <v>366.72395789056299</v>
      </c>
    </row>
    <row r="163" spans="3:27" hidden="1" outlineLevel="1">
      <c r="C163" s="1046" t="s">
        <v>1750</v>
      </c>
      <c r="P163" s="923">
        <f>'Total Chemical'!O446/1000000</f>
        <v>0</v>
      </c>
      <c r="Q163" s="923"/>
      <c r="R163" s="1355"/>
      <c r="S163" s="1593"/>
      <c r="T163" s="1355"/>
      <c r="U163" s="1576"/>
      <c r="V163" s="923"/>
      <c r="W163" s="923"/>
      <c r="X163" s="923"/>
      <c r="Y163" s="923"/>
      <c r="Z163" s="923"/>
      <c r="AA163" s="923">
        <f t="shared" si="56"/>
        <v>0</v>
      </c>
    </row>
    <row r="164" spans="3:27" collapsed="1">
      <c r="C164" s="1047" t="s">
        <v>1201</v>
      </c>
      <c r="P164" s="923">
        <f>(P11+P45)</f>
        <v>7.9547650000000001</v>
      </c>
      <c r="Q164" s="923">
        <f>(Q11+Q45+'Real Estate'!P21/1000000+'Real Estate'!P22/1000000)</f>
        <v>2.1479689999999998</v>
      </c>
      <c r="R164" s="1355">
        <f t="shared" ref="R164:Z164" si="57">(R11+R45)</f>
        <v>111.32182192437661</v>
      </c>
      <c r="S164" s="1593">
        <f t="shared" si="57"/>
        <v>24.760910962188305</v>
      </c>
      <c r="T164" s="1355">
        <f t="shared" si="57"/>
        <v>72.560910962188316</v>
      </c>
      <c r="U164" s="1576">
        <f t="shared" si="57"/>
        <v>97.321821924376607</v>
      </c>
      <c r="V164" s="923">
        <f t="shared" si="57"/>
        <v>62.636053247008569</v>
      </c>
      <c r="W164" s="923">
        <f t="shared" si="57"/>
        <v>32.997419268035323</v>
      </c>
      <c r="X164" s="923">
        <f t="shared" si="57"/>
        <v>3.4129901922160912</v>
      </c>
      <c r="Y164" s="923">
        <f t="shared" si="57"/>
        <v>3.8908967550239746</v>
      </c>
      <c r="Z164" s="923">
        <f t="shared" si="57"/>
        <v>4.4404893022530407</v>
      </c>
      <c r="AA164" s="923">
        <f t="shared" si="56"/>
        <v>204.69967068891361</v>
      </c>
    </row>
    <row r="165" spans="3:27">
      <c r="C165" s="1047" t="s">
        <v>1817</v>
      </c>
      <c r="P165" s="923">
        <f>((P13+P20+P51+P82)/1000000)*1000000</f>
        <v>-17.864060000000002</v>
      </c>
      <c r="Q165" s="923">
        <f t="shared" ref="Q165:Z165" si="58">((Q13+Q20+Q51+Q82+Q28)/1000000)*1000000</f>
        <v>-34.607326999999998</v>
      </c>
      <c r="R165" s="1355">
        <f t="shared" si="58"/>
        <v>16.011474499999998</v>
      </c>
      <c r="S165" s="1593">
        <f>((S13+S20+S51+S82+S28)/1000000)*1000000</f>
        <v>-8.5290904999999988</v>
      </c>
      <c r="T165" s="1355">
        <f t="shared" si="58"/>
        <v>6.9225775000000018</v>
      </c>
      <c r="U165" s="1576">
        <f t="shared" si="58"/>
        <v>-1.6065129999999979</v>
      </c>
      <c r="V165" s="923">
        <f t="shared" si="58"/>
        <v>0</v>
      </c>
      <c r="W165" s="923">
        <f t="shared" si="58"/>
        <v>0</v>
      </c>
      <c r="X165" s="923">
        <f t="shared" si="58"/>
        <v>0</v>
      </c>
      <c r="Y165" s="923">
        <f t="shared" si="58"/>
        <v>0</v>
      </c>
      <c r="Z165" s="923">
        <f t="shared" si="58"/>
        <v>0</v>
      </c>
      <c r="AA165" s="923">
        <f t="shared" si="56"/>
        <v>-1.6065129999999979</v>
      </c>
    </row>
    <row r="166" spans="3:27">
      <c r="C166" s="1046" t="s">
        <v>1213</v>
      </c>
      <c r="P166" s="923">
        <f>((P83+P84)/1000000)*1000000</f>
        <v>-32.5</v>
      </c>
      <c r="Q166" s="923">
        <f t="shared" ref="Q166:Z166" si="59">((Q83+Q84)/1000000)*1000000</f>
        <v>-6.9223100000000004</v>
      </c>
      <c r="R166" s="1355">
        <f t="shared" si="59"/>
        <v>-2.5826313333333331</v>
      </c>
      <c r="S166" s="1593">
        <f t="shared" si="59"/>
        <v>-3</v>
      </c>
      <c r="T166" s="1355">
        <f t="shared" si="59"/>
        <v>0</v>
      </c>
      <c r="U166" s="1576">
        <f>((U83+U84)/1000000)*1000000</f>
        <v>-2.5826313333333331</v>
      </c>
      <c r="V166" s="923">
        <f t="shared" si="59"/>
        <v>0</v>
      </c>
      <c r="W166" s="923">
        <f t="shared" si="59"/>
        <v>0</v>
      </c>
      <c r="X166" s="923">
        <f t="shared" si="59"/>
        <v>0</v>
      </c>
      <c r="Y166" s="923">
        <f t="shared" si="59"/>
        <v>0</v>
      </c>
      <c r="Z166" s="923">
        <f t="shared" si="59"/>
        <v>0</v>
      </c>
      <c r="AA166" s="923">
        <f t="shared" si="56"/>
        <v>-2.5826313333333331</v>
      </c>
    </row>
    <row r="167" spans="3:27" ht="12" customHeight="1">
      <c r="C167" s="1047" t="s">
        <v>1202</v>
      </c>
      <c r="P167" s="447">
        <f t="shared" ref="P167:Z167" si="60">((P15+P22+P26+P43+P53+P70+P102)/1000000)*1000000</f>
        <v>0</v>
      </c>
      <c r="Q167" s="447">
        <f t="shared" si="60"/>
        <v>0</v>
      </c>
      <c r="R167" s="1350">
        <f t="shared" si="60"/>
        <v>0</v>
      </c>
      <c r="S167" s="1595">
        <f t="shared" si="60"/>
        <v>0</v>
      </c>
      <c r="T167" s="1350">
        <f t="shared" si="60"/>
        <v>0</v>
      </c>
      <c r="U167" s="1576">
        <f t="shared" si="60"/>
        <v>0</v>
      </c>
      <c r="V167" s="447">
        <f t="shared" si="60"/>
        <v>0</v>
      </c>
      <c r="W167" s="447">
        <f t="shared" si="60"/>
        <v>0</v>
      </c>
      <c r="X167" s="447">
        <f t="shared" si="60"/>
        <v>0</v>
      </c>
      <c r="Y167" s="923">
        <f t="shared" si="60"/>
        <v>0</v>
      </c>
      <c r="Z167" s="923">
        <f t="shared" si="60"/>
        <v>0</v>
      </c>
      <c r="AA167" s="923">
        <f t="shared" si="56"/>
        <v>0</v>
      </c>
    </row>
    <row r="168" spans="3:27">
      <c r="C168" s="1047" t="s">
        <v>1203</v>
      </c>
      <c r="P168" s="923">
        <f>((P85)/1000000)*1000000</f>
        <v>-170</v>
      </c>
      <c r="Q168" s="923">
        <f t="shared" ref="Q168:Z168" si="61">((Q85+Q86)/1000000)*1000000</f>
        <v>-146.30039500000001</v>
      </c>
      <c r="R168" s="1355">
        <f t="shared" si="61"/>
        <v>-264.858</v>
      </c>
      <c r="S168" s="1593">
        <f t="shared" si="61"/>
        <v>-141</v>
      </c>
      <c r="T168" s="1355">
        <f t="shared" si="61"/>
        <v>-115.584315</v>
      </c>
      <c r="U168" s="1576">
        <f>((U85+U86)/1000000)*1000000</f>
        <v>-256.584315</v>
      </c>
      <c r="V168" s="923">
        <f t="shared" si="61"/>
        <v>-31.998999999999995</v>
      </c>
      <c r="W168" s="923">
        <f t="shared" si="61"/>
        <v>0</v>
      </c>
      <c r="X168" s="923">
        <f t="shared" si="61"/>
        <v>-2</v>
      </c>
      <c r="Y168" s="923">
        <f t="shared" si="61"/>
        <v>-2</v>
      </c>
      <c r="Z168" s="923">
        <f t="shared" si="61"/>
        <v>-2</v>
      </c>
      <c r="AA168" s="923">
        <f t="shared" si="56"/>
        <v>-294.58331499999997</v>
      </c>
    </row>
    <row r="169" spans="3:27">
      <c r="C169" s="1046" t="s">
        <v>1752</v>
      </c>
      <c r="P169" s="923">
        <f>((P14+P21+P25+P30+P40+P52+P98+P69)/1000000)*1000000</f>
        <v>0</v>
      </c>
      <c r="Q169" s="923">
        <f>((Q14+Q21+Q25+Q30+Q40+Q52+Q98+Q69)/1000000)*1000000</f>
        <v>-22.805599606666672</v>
      </c>
      <c r="R169" s="1355">
        <f>((R14+R21+R25+R30+R40+R52+R98+R69)/1000000)*1000000</f>
        <v>-18.405905044980329</v>
      </c>
      <c r="S169" s="1593">
        <f>((S14+S21+S25+S30+S40+S52+S98+S69)/1000000)*1000000</f>
        <v>0</v>
      </c>
      <c r="T169" s="1355">
        <f>((T14+T21+T25+T30+T40+T52+T98+T69)/1000000)*1000000</f>
        <v>1.5536543442613748</v>
      </c>
      <c r="U169" s="1576">
        <f>Fenix!T523/1000000</f>
        <v>2.757892344261363</v>
      </c>
      <c r="V169" s="923">
        <f>((V14+V21+V25+V30+V40+V52+V98+V69)/1000000)*1000000</f>
        <v>186.41716196487752</v>
      </c>
      <c r="W169" s="923">
        <f>((W14+W21+W25+W30+W40+W52+W98+W69)/1000000)*1000000</f>
        <v>288.57793714397076</v>
      </c>
      <c r="X169" s="923">
        <f>((X14+X21+X25+X30+X40+X52+X98+X69)/1000000)*1000000</f>
        <v>304.31076377405554</v>
      </c>
      <c r="Y169" s="923">
        <f>((Y14+Y21+Y25+Y30+Y40+Y52+Y98+Y69)/1000000)*1000000</f>
        <v>303.52888810718758</v>
      </c>
      <c r="Z169" s="923">
        <f>((Z14+Z21+Z25+Z30+Z40+Z52+Z98+Z69)/1000000)*1000000</f>
        <v>303.47528625642758</v>
      </c>
      <c r="AA169" s="923">
        <f t="shared" si="56"/>
        <v>1389.0679295907803</v>
      </c>
    </row>
    <row r="170" spans="3:27">
      <c r="C170" s="1047" t="s">
        <v>1807</v>
      </c>
      <c r="P170" s="923"/>
      <c r="Q170" s="923">
        <f>Q12+Q19+Q27+Q39+Q50+Q87+Q97</f>
        <v>-7.6983333333333341</v>
      </c>
      <c r="R170" s="1355">
        <f t="shared" ref="R170:Z170" si="62">R12+R19+R27+R39+R50+R87+R97+R68</f>
        <v>32.365523896643325</v>
      </c>
      <c r="S170" s="1593">
        <f t="shared" si="62"/>
        <v>2.4375</v>
      </c>
      <c r="T170" s="1355">
        <f t="shared" si="62"/>
        <v>8.715926868334595</v>
      </c>
      <c r="U170" s="1576">
        <f t="shared" si="62"/>
        <v>11.153426868334595</v>
      </c>
      <c r="V170" s="923">
        <f t="shared" si="62"/>
        <v>14.803766883151006</v>
      </c>
      <c r="W170" s="923">
        <f t="shared" si="62"/>
        <v>26.42366539464717</v>
      </c>
      <c r="X170" s="923">
        <f t="shared" si="62"/>
        <v>33.59057109424112</v>
      </c>
      <c r="Y170" s="923">
        <f t="shared" si="62"/>
        <v>36.646439484095247</v>
      </c>
      <c r="Z170" s="923">
        <f t="shared" si="62"/>
        <v>38.838436973023839</v>
      </c>
      <c r="AA170" s="923">
        <f t="shared" si="56"/>
        <v>161.45630669749298</v>
      </c>
    </row>
    <row r="171" spans="3:27">
      <c r="C171" s="1047" t="s">
        <v>912</v>
      </c>
      <c r="P171" s="923">
        <f>(P104+P89)</f>
        <v>-72</v>
      </c>
      <c r="Q171" s="923">
        <f>(Q104+Q89+Q108)+1</f>
        <v>2</v>
      </c>
      <c r="R171" s="1355">
        <f>(R104+R89)</f>
        <v>-20</v>
      </c>
      <c r="S171" s="1618">
        <f>(S104+S89+S108+S81)</f>
        <v>0</v>
      </c>
      <c r="T171" s="1619">
        <f>(T104+T89+T108+T81)</f>
        <v>16.64</v>
      </c>
      <c r="U171" s="1576">
        <f>(U104+U89+U108+U81)</f>
        <v>16.64</v>
      </c>
      <c r="V171" s="1448">
        <f>(V104+V89+V108+V81)</f>
        <v>-20</v>
      </c>
      <c r="W171" s="923">
        <f>(W104+W89)</f>
        <v>-20</v>
      </c>
      <c r="X171" s="923">
        <f>(X104+X89)</f>
        <v>-20</v>
      </c>
      <c r="Y171" s="923">
        <f>(Y104+Y89)</f>
        <v>-20</v>
      </c>
      <c r="Z171" s="923">
        <f>(Z104+Z89)</f>
        <v>-20</v>
      </c>
      <c r="AA171" s="923">
        <f t="shared" si="56"/>
        <v>-83.36</v>
      </c>
    </row>
    <row r="172" spans="3:27" s="909" customFormat="1" ht="20.25" customHeight="1" thickBot="1">
      <c r="C172" s="1048" t="s">
        <v>1207</v>
      </c>
      <c r="D172" s="986"/>
      <c r="E172" s="986"/>
      <c r="F172" s="986"/>
      <c r="G172" s="986"/>
      <c r="H172" s="986"/>
      <c r="I172" s="986"/>
      <c r="J172" s="986"/>
      <c r="K172" s="986"/>
      <c r="L172" s="986"/>
      <c r="M172" s="986"/>
      <c r="N172" s="986"/>
      <c r="O172" s="987"/>
      <c r="P172" s="988">
        <f ca="1">SUM(P160:P171)</f>
        <v>-156.00466333605817</v>
      </c>
      <c r="Q172" s="988">
        <f t="shared" ref="Q172:Z172" ca="1" si="63">SUM(Q160:Q171)</f>
        <v>66.40676862907516</v>
      </c>
      <c r="R172" s="1362">
        <f t="shared" ca="1" si="63"/>
        <v>154.45533050254699</v>
      </c>
      <c r="S172" s="1616">
        <f t="shared" ca="1" si="63"/>
        <v>55.781298314520768</v>
      </c>
      <c r="T172" s="1362">
        <f t="shared" ca="1" si="63"/>
        <v>166.04835140841141</v>
      </c>
      <c r="U172" s="1583">
        <f ca="1">SUM(U160:U171)</f>
        <v>223.45125638959883</v>
      </c>
      <c r="V172" s="988">
        <f t="shared" ca="1" si="63"/>
        <v>586.48752738525525</v>
      </c>
      <c r="W172" s="988">
        <f t="shared" ca="1" si="63"/>
        <v>703.5889985502422</v>
      </c>
      <c r="X172" s="988">
        <f t="shared" ca="1" si="63"/>
        <v>690.16236197325566</v>
      </c>
      <c r="Y172" s="988">
        <f t="shared" ca="1" si="63"/>
        <v>694.39976741283385</v>
      </c>
      <c r="Z172" s="988">
        <f t="shared" ca="1" si="63"/>
        <v>661.70087660806917</v>
      </c>
      <c r="AA172" s="988">
        <f t="shared" ca="1" si="56"/>
        <v>3559.7907883192547</v>
      </c>
    </row>
    <row r="173" spans="3:27" ht="13.5" thickTop="1">
      <c r="C173" s="1046" t="s">
        <v>1205</v>
      </c>
      <c r="P173" s="923">
        <f>((P99+P95)/1000000)*1000000</f>
        <v>-6.6976095375744196</v>
      </c>
      <c r="Q173" s="923">
        <f>((Q99+Q100)/1000000)*1000000+10</f>
        <v>138.0134097858558</v>
      </c>
      <c r="R173" s="1355">
        <f>((R99+R100)/1000000)*1000000</f>
        <v>-29.828570571428571</v>
      </c>
      <c r="S173" s="1593">
        <f ca="1">SUM(S95:S101)-S95-S97</f>
        <v>-19.914285285714286</v>
      </c>
      <c r="T173" s="1355">
        <f t="shared" ref="T173:Z173" ca="1" si="64">SUM(T95:T101)-T95-T97</f>
        <v>18.974603603174597</v>
      </c>
      <c r="U173" s="1576">
        <f t="shared" ca="1" si="64"/>
        <v>-0.93968168253968187</v>
      </c>
      <c r="V173" s="923">
        <f t="shared" ca="1" si="64"/>
        <v>-68.717459460317457</v>
      </c>
      <c r="W173" s="923">
        <f t="shared" ca="1" si="64"/>
        <v>-29.828570571428571</v>
      </c>
      <c r="X173" s="923">
        <f t="shared" ca="1" si="64"/>
        <v>-38.52856223809524</v>
      </c>
      <c r="Y173" s="923">
        <f t="shared" ca="1" si="64"/>
        <v>0</v>
      </c>
      <c r="Z173" s="923">
        <f t="shared" ca="1" si="64"/>
        <v>0</v>
      </c>
      <c r="AA173" s="923">
        <f t="shared" ca="1" si="56"/>
        <v>-138.01427395238096</v>
      </c>
    </row>
    <row r="174" spans="3:27">
      <c r="C174" s="1046" t="s">
        <v>2025</v>
      </c>
      <c r="P174" s="923">
        <f>(P75/1000000)*1000000</f>
        <v>0</v>
      </c>
      <c r="Q174" s="923">
        <f t="shared" ref="Q174:Z174" si="65">(Q75/1000000)*1000000</f>
        <v>0</v>
      </c>
      <c r="R174" s="1355">
        <f t="shared" si="65"/>
        <v>-6.087460031294488</v>
      </c>
      <c r="S174" s="1593">
        <f t="shared" si="65"/>
        <v>-3.5060728595043869</v>
      </c>
      <c r="T174" s="1355">
        <f t="shared" si="65"/>
        <v>-5.4184802669117937</v>
      </c>
      <c r="U174" s="1576">
        <f>(U75/1000000)*1000000</f>
        <v>-8.9245531264161801</v>
      </c>
      <c r="V174" s="923">
        <f t="shared" si="65"/>
        <v>-6.3667249608641532</v>
      </c>
      <c r="W174" s="923">
        <f t="shared" si="65"/>
        <v>-3.3134029681516308</v>
      </c>
      <c r="X174" s="923">
        <f t="shared" si="65"/>
        <v>-1.1943318510563927</v>
      </c>
      <c r="Y174" s="923">
        <f t="shared" si="65"/>
        <v>5.3578324560021431E-5</v>
      </c>
      <c r="Z174" s="923">
        <f t="shared" si="65"/>
        <v>5.3578324560021431E-5</v>
      </c>
      <c r="AA174" s="923">
        <f t="shared" si="56"/>
        <v>-19.798905749839236</v>
      </c>
    </row>
    <row r="175" spans="3:27">
      <c r="C175" s="1667" t="s">
        <v>1204</v>
      </c>
      <c r="D175" s="845"/>
      <c r="E175" s="845"/>
      <c r="F175" s="845"/>
      <c r="G175" s="845"/>
      <c r="H175" s="845"/>
      <c r="I175" s="845"/>
      <c r="J175" s="845"/>
      <c r="K175" s="845"/>
      <c r="L175" s="845"/>
      <c r="M175" s="1631"/>
      <c r="N175" s="845"/>
      <c r="O175" s="1668"/>
      <c r="P175" s="685">
        <f>(P107/1000000)*1000000</f>
        <v>32</v>
      </c>
      <c r="Q175" s="685">
        <f t="shared" ref="Q175:Z175" si="66">(Q107/1000000)*1000000</f>
        <v>20</v>
      </c>
      <c r="R175" s="1355">
        <f t="shared" si="66"/>
        <v>100.339</v>
      </c>
      <c r="S175" s="1593">
        <f>(S107/1000000)*1000000-1</f>
        <v>89</v>
      </c>
      <c r="T175" s="1355">
        <f>(T107/1000000)*1000000+2</f>
        <v>16</v>
      </c>
      <c r="U175" s="1574">
        <f>(U107/1000000)*1000000</f>
        <v>104</v>
      </c>
      <c r="V175" s="685">
        <f t="shared" si="66"/>
        <v>0</v>
      </c>
      <c r="W175" s="685">
        <f t="shared" si="66"/>
        <v>0</v>
      </c>
      <c r="X175" s="685">
        <f t="shared" si="66"/>
        <v>0</v>
      </c>
      <c r="Y175" s="685">
        <f t="shared" si="66"/>
        <v>18</v>
      </c>
      <c r="Z175" s="685">
        <f t="shared" si="66"/>
        <v>0</v>
      </c>
      <c r="AA175" s="1669">
        <f t="shared" si="56"/>
        <v>122</v>
      </c>
    </row>
    <row r="176" spans="3:27" s="762" customFormat="1" ht="23.25" customHeight="1" thickBot="1">
      <c r="C176" s="1049" t="s">
        <v>1206</v>
      </c>
      <c r="D176" s="994"/>
      <c r="E176" s="994"/>
      <c r="F176" s="994"/>
      <c r="G176" s="994"/>
      <c r="H176" s="994"/>
      <c r="I176" s="994"/>
      <c r="J176" s="994"/>
      <c r="K176" s="994"/>
      <c r="L176" s="994"/>
      <c r="M176" s="994"/>
      <c r="N176" s="994"/>
      <c r="O176" s="995"/>
      <c r="P176" s="996">
        <f ca="1">SUM(P172:P175)</f>
        <v>-130.70227287363258</v>
      </c>
      <c r="Q176" s="996">
        <f t="shared" ref="Q176:Z176" ca="1" si="67">SUM(Q172:Q175)</f>
        <v>224.42017841493094</v>
      </c>
      <c r="R176" s="1363">
        <f t="shared" ca="1" si="67"/>
        <v>218.87829989982393</v>
      </c>
      <c r="S176" s="1617">
        <f t="shared" ca="1" si="67"/>
        <v>121.3609401693021</v>
      </c>
      <c r="T176" s="1363">
        <f t="shared" ca="1" si="67"/>
        <v>195.60447474467421</v>
      </c>
      <c r="U176" s="1584">
        <f ca="1">SUM(U172:U175)</f>
        <v>317.58702158064295</v>
      </c>
      <c r="V176" s="996">
        <f t="shared" ca="1" si="67"/>
        <v>511.40334296407372</v>
      </c>
      <c r="W176" s="996">
        <f t="shared" ca="1" si="67"/>
        <v>670.44702501066195</v>
      </c>
      <c r="X176" s="996">
        <f t="shared" ca="1" si="67"/>
        <v>650.43946788410403</v>
      </c>
      <c r="Y176" s="996">
        <f t="shared" ca="1" si="67"/>
        <v>712.39982099115844</v>
      </c>
      <c r="Z176" s="996">
        <f t="shared" ca="1" si="67"/>
        <v>661.70093018639375</v>
      </c>
      <c r="AA176" s="996">
        <f ca="1">SUM(U176:Z176)</f>
        <v>3523.9776086170345</v>
      </c>
    </row>
    <row r="177" spans="3:27" s="762" customFormat="1" ht="23.25" customHeight="1" thickTop="1" thickBot="1">
      <c r="C177" s="1049" t="s">
        <v>321</v>
      </c>
      <c r="D177" s="994"/>
      <c r="E177" s="994"/>
      <c r="F177" s="994"/>
      <c r="G177" s="994"/>
      <c r="H177" s="994"/>
      <c r="I177" s="994"/>
      <c r="J177" s="994"/>
      <c r="K177" s="994"/>
      <c r="L177" s="994"/>
      <c r="M177" s="994"/>
      <c r="N177" s="994"/>
      <c r="O177" s="995"/>
      <c r="P177" s="996">
        <f t="shared" ref="P177:AA177" ca="1" si="68">P158+P176</f>
        <v>46.29772712636742</v>
      </c>
      <c r="Q177" s="996">
        <f ca="1">ROUNDUP(Q158+Q176,4)</f>
        <v>259.42019999999997</v>
      </c>
      <c r="R177" s="1363">
        <f t="shared" ca="1" si="68"/>
        <v>320.8782998998239</v>
      </c>
      <c r="S177" s="1617">
        <f t="shared" ca="1" si="68"/>
        <v>223.3609401693021</v>
      </c>
      <c r="T177" s="1363">
        <f t="shared" ca="1" si="68"/>
        <v>418.9654149139763</v>
      </c>
      <c r="U177" s="1584">
        <f ca="1">U158+U176</f>
        <v>419.58702158064295</v>
      </c>
      <c r="V177" s="996">
        <f t="shared" ca="1" si="68"/>
        <v>930.99036454471661</v>
      </c>
      <c r="W177" s="996">
        <f t="shared" ca="1" si="68"/>
        <v>1601.4373895553786</v>
      </c>
      <c r="X177" s="996">
        <f t="shared" ca="1" si="68"/>
        <v>2251.8768574394826</v>
      </c>
      <c r="Y177" s="996">
        <f t="shared" ca="1" si="68"/>
        <v>2964.2766784306409</v>
      </c>
      <c r="Z177" s="996">
        <f t="shared" ca="1" si="68"/>
        <v>3625.9776086170345</v>
      </c>
      <c r="AA177" s="996">
        <f t="shared" ca="1" si="68"/>
        <v>3625.9776086170345</v>
      </c>
    </row>
    <row r="178" spans="3:27" ht="13.5" thickTop="1">
      <c r="Q178" s="923"/>
      <c r="R178" s="911"/>
      <c r="S178" s="1641"/>
      <c r="T178" s="1641"/>
      <c r="U178" s="1642"/>
      <c r="V178" s="923"/>
      <c r="W178" s="923"/>
      <c r="X178" s="923"/>
      <c r="Y178" s="923"/>
      <c r="Z178" s="923"/>
      <c r="AA178" s="923"/>
    </row>
    <row r="179" spans="3:27" s="990" customFormat="1" ht="12.75" hidden="1" customHeight="1" outlineLevel="1">
      <c r="C179" s="989" t="s">
        <v>1209</v>
      </c>
      <c r="M179" s="991"/>
      <c r="O179" s="992"/>
      <c r="P179" s="992"/>
      <c r="Q179" s="993">
        <f t="shared" ref="Q179:Z179" ca="1" si="69">Q114-Q177</f>
        <v>-9.7863173517964697E-2</v>
      </c>
      <c r="R179" s="1640">
        <f t="shared" ca="1" si="69"/>
        <v>-5.8642090000034841E-2</v>
      </c>
      <c r="S179" s="1640">
        <f t="shared" ca="1" si="69"/>
        <v>20.53445736743484</v>
      </c>
      <c r="T179" s="1640">
        <f t="shared" ca="1" si="69"/>
        <v>40.425392928017402</v>
      </c>
      <c r="U179" s="1643">
        <f t="shared" ca="1" si="69"/>
        <v>36.40160255074511</v>
      </c>
      <c r="V179" s="993">
        <f t="shared" ca="1" si="69"/>
        <v>36.401602550745338</v>
      </c>
      <c r="W179" s="993">
        <f t="shared" ca="1" si="69"/>
        <v>36.401602550745565</v>
      </c>
      <c r="X179" s="993">
        <f t="shared" ca="1" si="69"/>
        <v>36.401602550745793</v>
      </c>
      <c r="Y179" s="993">
        <f t="shared" ca="1" si="69"/>
        <v>36.401602550745793</v>
      </c>
      <c r="Z179" s="993">
        <f t="shared" ca="1" si="69"/>
        <v>36.401602550746247</v>
      </c>
      <c r="AA179" s="993"/>
    </row>
    <row r="180" spans="3:27" s="990" customFormat="1" ht="12.75" hidden="1" customHeight="1" outlineLevel="1">
      <c r="C180" s="989"/>
      <c r="M180" s="991"/>
      <c r="O180" s="992"/>
      <c r="P180" s="992"/>
      <c r="Q180" s="993"/>
      <c r="R180" s="1640"/>
      <c r="S180" s="1640"/>
      <c r="T180" s="1640"/>
      <c r="U180" s="1643"/>
      <c r="V180" s="993"/>
      <c r="W180" s="993"/>
      <c r="X180" s="993"/>
      <c r="Y180" s="993"/>
      <c r="Z180" s="993"/>
      <c r="AA180" s="993"/>
    </row>
    <row r="181" spans="3:27" collapsed="1">
      <c r="C181" s="1325"/>
      <c r="R181" s="1364"/>
      <c r="S181" s="1364"/>
      <c r="T181" s="1364"/>
      <c r="U181" s="1644"/>
    </row>
    <row r="182" spans="3:27">
      <c r="C182" s="1325"/>
      <c r="R182" s="1364"/>
      <c r="S182" s="1364"/>
      <c r="T182" s="1364"/>
      <c r="U182" s="1644"/>
      <c r="W182" s="928"/>
    </row>
    <row r="183" spans="3:27">
      <c r="C183" s="1460"/>
      <c r="D183" s="926"/>
      <c r="E183" s="926"/>
      <c r="F183" s="926"/>
      <c r="G183" s="926"/>
      <c r="H183" s="926"/>
      <c r="I183" s="926"/>
      <c r="J183" s="926"/>
      <c r="K183" s="926"/>
      <c r="L183" s="926"/>
      <c r="N183" s="926"/>
      <c r="O183" s="1364"/>
      <c r="P183" s="1364"/>
      <c r="Q183" s="1364"/>
      <c r="R183" s="1364"/>
      <c r="S183" s="1364"/>
      <c r="T183" s="1364"/>
      <c r="U183" s="1644"/>
      <c r="V183" s="1364"/>
    </row>
    <row r="184" spans="3:27" s="926" customFormat="1" hidden="1" outlineLevel="1">
      <c r="C184" s="1460"/>
      <c r="O184" s="1364"/>
      <c r="P184" s="1364"/>
      <c r="Q184" s="1365"/>
      <c r="R184" s="1364"/>
      <c r="S184" s="1364"/>
      <c r="T184" s="1364"/>
      <c r="U184" s="1567"/>
      <c r="V184" s="1364"/>
      <c r="W184" s="1364"/>
      <c r="X184" s="1364"/>
      <c r="Y184" s="1364"/>
      <c r="Z184" s="1364"/>
      <c r="AA184" s="1364"/>
    </row>
    <row r="185" spans="3:27" ht="20.25" hidden="1" customHeight="1" outlineLevel="1" thickBot="1">
      <c r="C185" s="1542" t="s">
        <v>2014</v>
      </c>
      <c r="D185" s="1540"/>
      <c r="E185" s="1540"/>
      <c r="F185" s="1540"/>
      <c r="G185" s="1540"/>
      <c r="H185" s="1540"/>
      <c r="I185" s="1540"/>
      <c r="J185" s="1540"/>
      <c r="K185" s="1540"/>
      <c r="L185" s="1540"/>
      <c r="M185" s="1540"/>
      <c r="N185" s="1540"/>
      <c r="O185" s="1541"/>
      <c r="P185" s="1541"/>
      <c r="Q185" s="1541"/>
      <c r="R185" s="1544" t="s">
        <v>2058</v>
      </c>
      <c r="S185" s="1545" t="s">
        <v>2084</v>
      </c>
      <c r="T185" s="1546" t="s">
        <v>2085</v>
      </c>
      <c r="U185" s="1585" t="s">
        <v>2086</v>
      </c>
      <c r="V185" s="1547" t="s">
        <v>2010</v>
      </c>
    </row>
    <row r="186" spans="3:27" ht="13.5" hidden="1" outlineLevel="1" thickTop="1">
      <c r="C186" s="1461"/>
      <c r="D186" s="926"/>
      <c r="E186" s="926"/>
      <c r="F186" s="926"/>
      <c r="G186" s="926"/>
      <c r="H186" s="926"/>
      <c r="I186" s="926"/>
      <c r="J186" s="926"/>
      <c r="K186" s="926"/>
      <c r="L186" s="926"/>
      <c r="N186" s="926"/>
      <c r="O186" s="1364"/>
      <c r="P186" s="1364"/>
      <c r="Q186" s="1364"/>
      <c r="R186" s="1447"/>
      <c r="S186" s="272"/>
      <c r="T186" s="272"/>
      <c r="U186" s="1437"/>
      <c r="V186" s="1351"/>
    </row>
    <row r="187" spans="3:27" hidden="1" outlineLevel="1">
      <c r="C187" s="1454" t="s">
        <v>176</v>
      </c>
      <c r="D187" s="926"/>
      <c r="E187" s="926"/>
      <c r="F187" s="926"/>
      <c r="G187" s="926"/>
      <c r="H187" s="926"/>
      <c r="I187" s="926"/>
      <c r="J187" s="926"/>
      <c r="K187" s="926"/>
      <c r="L187" s="926"/>
      <c r="N187" s="926"/>
      <c r="O187" s="1364"/>
      <c r="P187" s="1364"/>
      <c r="Q187" s="1364"/>
      <c r="R187" s="1347">
        <f>'Ni segment'!Q15</f>
        <v>20190.310164806062</v>
      </c>
      <c r="S187" s="451">
        <f>'Ni segment'!R15</f>
        <v>11315.722966762109</v>
      </c>
      <c r="T187" s="451">
        <f>'Ni segment'!S15</f>
        <v>9284.5540599611322</v>
      </c>
      <c r="U187" s="1573">
        <f>'Ni segment'!T15</f>
        <v>20600.277026723241</v>
      </c>
      <c r="V187" s="1347">
        <f>U187-R187</f>
        <v>409.9668619171789</v>
      </c>
    </row>
    <row r="188" spans="3:27" ht="20.25" hidden="1" customHeight="1" outlineLevel="1">
      <c r="C188" s="1454" t="s">
        <v>178</v>
      </c>
      <c r="D188" s="926"/>
      <c r="E188" s="926"/>
      <c r="F188" s="926"/>
      <c r="G188" s="926"/>
      <c r="H188" s="926"/>
      <c r="I188" s="926"/>
      <c r="J188" s="926"/>
      <c r="K188" s="926"/>
      <c r="L188" s="926"/>
      <c r="N188" s="926"/>
      <c r="O188" s="1364"/>
      <c r="P188" s="1364"/>
      <c r="Q188" s="1364"/>
      <c r="R188" s="1347">
        <f>'Ni segment'!Q17</f>
        <v>22000</v>
      </c>
      <c r="S188" s="451">
        <f>'Ni segment'!R17</f>
        <v>25000</v>
      </c>
      <c r="T188" s="451">
        <f>'Ni segment'!S17</f>
        <v>25000</v>
      </c>
      <c r="U188" s="1573">
        <f>'Ni segment'!T17</f>
        <v>25000</v>
      </c>
      <c r="V188" s="1347">
        <f>U188-R188</f>
        <v>3000</v>
      </c>
    </row>
    <row r="189" spans="3:27" ht="18.75" hidden="1" customHeight="1" outlineLevel="1">
      <c r="C189" s="1454" t="s">
        <v>2003</v>
      </c>
      <c r="D189" s="926"/>
      <c r="E189" s="926"/>
      <c r="F189" s="926"/>
      <c r="G189" s="926"/>
      <c r="H189" s="926"/>
      <c r="I189" s="926"/>
      <c r="J189" s="926"/>
      <c r="K189" s="926"/>
      <c r="L189" s="926"/>
      <c r="N189" s="926"/>
      <c r="O189" s="1364"/>
      <c r="P189" s="1364"/>
      <c r="Q189" s="1364"/>
      <c r="R189" s="1347">
        <f ca="1">'Ni segment'!Q249</f>
        <v>12527.187224900996</v>
      </c>
      <c r="S189" s="451">
        <f ca="1">'Ni segment'!R249</f>
        <v>11297.39029273963</v>
      </c>
      <c r="T189" s="451">
        <f ca="1">'Ni segment'!S249</f>
        <v>9721.1992633061145</v>
      </c>
      <c r="U189" s="1573">
        <f ca="1">'Ni segment'!T249</f>
        <v>10587.000291546086</v>
      </c>
      <c r="V189" s="1347">
        <f ca="1">U189-R189</f>
        <v>-1940.1869333549093</v>
      </c>
    </row>
    <row r="190" spans="3:27" ht="18.75" hidden="1" customHeight="1" outlineLevel="1">
      <c r="C190" s="1454" t="s">
        <v>2002</v>
      </c>
      <c r="D190" s="926"/>
      <c r="E190" s="926"/>
      <c r="F190" s="926"/>
      <c r="G190" s="926"/>
      <c r="H190" s="926"/>
      <c r="I190" s="926"/>
      <c r="J190" s="926"/>
      <c r="K190" s="926"/>
      <c r="L190" s="926"/>
      <c r="N190" s="926"/>
      <c r="O190" s="1364"/>
      <c r="P190" s="1364"/>
      <c r="Q190" s="1364"/>
      <c r="R190" s="1347">
        <f ca="1">'Ni segment'!Q271</f>
        <v>205111882.37086773</v>
      </c>
      <c r="S190" s="451">
        <f ca="1">'Ni segment'!R271</f>
        <v>155080469.99817818</v>
      </c>
      <c r="T190" s="451">
        <f ca="1">'Ni segment'!S271</f>
        <v>144270835.46679828</v>
      </c>
      <c r="U190" s="1573">
        <f ca="1">'Ni segment'!T271</f>
        <v>299351305.46497643</v>
      </c>
      <c r="V190" s="1347">
        <f ca="1">U190-R190</f>
        <v>94239423.094108701</v>
      </c>
    </row>
    <row r="191" spans="3:27" ht="18" hidden="1" customHeight="1" outlineLevel="1">
      <c r="C191" s="1455" t="s">
        <v>2004</v>
      </c>
      <c r="D191" s="1456"/>
      <c r="E191" s="1456"/>
      <c r="F191" s="1456"/>
      <c r="G191" s="1456"/>
      <c r="H191" s="1456"/>
      <c r="I191" s="1456"/>
      <c r="J191" s="1456"/>
      <c r="K191" s="1456"/>
      <c r="L191" s="1456"/>
      <c r="M191" s="1456"/>
      <c r="N191" s="1456"/>
      <c r="O191" s="1457"/>
      <c r="P191" s="1457"/>
      <c r="Q191" s="1457"/>
      <c r="R191" s="1458">
        <f ca="1">'Ni segment'!Q284</f>
        <v>186569532.71280026</v>
      </c>
      <c r="S191" s="1459">
        <f ca="1">'Ni segment'!R284</f>
        <v>148177394.24380475</v>
      </c>
      <c r="T191" s="1459">
        <f ca="1">'Ni segment'!S284</f>
        <v>134756000.45843273</v>
      </c>
      <c r="U191" s="1586">
        <f ca="1">'Ni segment'!T284</f>
        <v>282933394.70223749</v>
      </c>
      <c r="V191" s="1458">
        <f ca="1">U191-R191</f>
        <v>96363861.989437222</v>
      </c>
    </row>
    <row r="192" spans="3:27" hidden="1" outlineLevel="1">
      <c r="C192" s="1449"/>
      <c r="D192" s="1450"/>
      <c r="E192" s="1450"/>
      <c r="F192" s="1450"/>
      <c r="G192" s="1450"/>
      <c r="H192" s="1450"/>
      <c r="I192" s="1450"/>
      <c r="J192" s="1450"/>
      <c r="K192" s="1450"/>
      <c r="L192" s="1450"/>
      <c r="M192" s="1450"/>
      <c r="N192" s="1450"/>
      <c r="O192" s="1451"/>
      <c r="P192" s="1451"/>
      <c r="Q192" s="1451"/>
      <c r="R192" s="1451"/>
      <c r="S192" s="1451"/>
      <c r="T192" s="1451"/>
      <c r="U192" s="1587"/>
      <c r="V192" s="1451"/>
    </row>
    <row r="193" spans="3:22" ht="23.25" hidden="1" customHeight="1" outlineLevel="1" thickBot="1">
      <c r="C193" s="1542" t="s">
        <v>2005</v>
      </c>
      <c r="D193" s="1540"/>
      <c r="E193" s="1540"/>
      <c r="F193" s="1540"/>
      <c r="G193" s="1540"/>
      <c r="H193" s="1543" t="s">
        <v>2011</v>
      </c>
      <c r="I193" s="1540"/>
      <c r="J193" s="1540"/>
      <c r="K193" s="1540"/>
      <c r="L193" s="1540"/>
      <c r="M193" s="1540"/>
      <c r="N193" s="1540"/>
      <c r="O193" s="1541"/>
      <c r="P193" s="1541"/>
      <c r="Q193" s="1541"/>
      <c r="R193" s="1544" t="s">
        <v>2058</v>
      </c>
      <c r="S193" s="1545" t="s">
        <v>2084</v>
      </c>
      <c r="T193" s="1546" t="s">
        <v>2085</v>
      </c>
      <c r="U193" s="1585" t="s">
        <v>2086</v>
      </c>
      <c r="V193" s="1547" t="s">
        <v>2010</v>
      </c>
    </row>
    <row r="194" spans="3:22" ht="18" hidden="1" customHeight="1" outlineLevel="1" thickTop="1">
      <c r="C194" s="1452" t="s">
        <v>347</v>
      </c>
      <c r="D194" s="997"/>
      <c r="E194" s="997"/>
      <c r="F194" s="997"/>
      <c r="G194" s="997"/>
      <c r="H194" s="709">
        <f ca="1">R194/$R$194</f>
        <v>1</v>
      </c>
      <c r="I194" s="997"/>
      <c r="J194" s="997"/>
      <c r="K194" s="997"/>
      <c r="L194" s="997"/>
      <c r="M194" s="997"/>
      <c r="N194" s="997"/>
      <c r="O194" s="1453"/>
      <c r="P194" s="1453"/>
      <c r="Q194" s="1453"/>
      <c r="R194" s="1349">
        <f ca="1">R31</f>
        <v>463.64939240360661</v>
      </c>
      <c r="S194" s="166">
        <f ca="1">S31</f>
        <v>221.0759219985687</v>
      </c>
      <c r="T194" s="166">
        <f ca="1">T31</f>
        <v>289.41689119378702</v>
      </c>
      <c r="U194" s="1575">
        <f ca="1">U31</f>
        <v>510.4928131923557</v>
      </c>
      <c r="V194" s="1349">
        <f t="shared" ref="V194:V200" ca="1" si="70">U194-R194</f>
        <v>46.843420788749086</v>
      </c>
    </row>
    <row r="195" spans="3:22" ht="18" hidden="1" customHeight="1" outlineLevel="1">
      <c r="C195" s="1454" t="s">
        <v>2000</v>
      </c>
      <c r="D195" s="926"/>
      <c r="E195" s="926"/>
      <c r="F195" s="926"/>
      <c r="G195" s="926"/>
      <c r="H195" s="709">
        <f t="shared" ref="H195:H200" ca="1" si="71">R195/$R$194</f>
        <v>0.44238574606459946</v>
      </c>
      <c r="I195" s="926"/>
      <c r="J195" s="926"/>
      <c r="K195" s="926"/>
      <c r="L195" s="926"/>
      <c r="N195" s="926"/>
      <c r="O195" s="1364"/>
      <c r="P195" s="1364"/>
      <c r="Q195" s="1364"/>
      <c r="R195" s="1347">
        <f ca="1">R190/1000000</f>
        <v>205.11188237086773</v>
      </c>
      <c r="S195" s="451">
        <f ca="1">S190/1000000</f>
        <v>155.08046999817819</v>
      </c>
      <c r="T195" s="451">
        <f ca="1">T190/1000000</f>
        <v>144.27083546679827</v>
      </c>
      <c r="U195" s="1573">
        <f ca="1">U190/1000000</f>
        <v>299.35130546497641</v>
      </c>
      <c r="V195" s="1347">
        <f t="shared" ca="1" si="70"/>
        <v>94.239423094108673</v>
      </c>
    </row>
    <row r="196" spans="3:22" ht="18" hidden="1" customHeight="1" outlineLevel="1">
      <c r="C196" s="1454" t="s">
        <v>2006</v>
      </c>
      <c r="D196" s="926"/>
      <c r="E196" s="926"/>
      <c r="F196" s="926"/>
      <c r="G196" s="926"/>
      <c r="H196" s="709">
        <f t="shared" ca="1" si="71"/>
        <v>0.29284043455770742</v>
      </c>
      <c r="I196" s="926"/>
      <c r="J196" s="926"/>
      <c r="K196" s="926"/>
      <c r="L196" s="926"/>
      <c r="N196" s="926"/>
      <c r="O196" s="1364"/>
      <c r="P196" s="1364"/>
      <c r="Q196" s="1364"/>
      <c r="R196" s="1347">
        <f ca="1">R7+R8+R9+R18+R24+R29-R195</f>
        <v>135.77528955388917</v>
      </c>
      <c r="S196" s="451">
        <f ca="1">S7+S8+S9+S18+S24+S29-S195</f>
        <v>66.491963538202185</v>
      </c>
      <c r="T196" s="451">
        <f ca="1">T7+T8+T9+T18+T24+T29-T195</f>
        <v>58.849441731350026</v>
      </c>
      <c r="U196" s="1573">
        <f ca="1">U7+U8+U9+U18+U24+U29-U195</f>
        <v>88.9398027188073</v>
      </c>
      <c r="V196" s="1347">
        <f t="shared" ca="1" si="70"/>
        <v>-46.835486835081866</v>
      </c>
    </row>
    <row r="197" spans="3:22" ht="18" hidden="1" customHeight="1" outlineLevel="1">
      <c r="C197" s="1454" t="s">
        <v>2007</v>
      </c>
      <c r="D197" s="926"/>
      <c r="E197" s="926"/>
      <c r="F197" s="926"/>
      <c r="G197" s="926"/>
      <c r="H197" s="709">
        <f t="shared" ca="1" si="71"/>
        <v>5.0077104864519328E-3</v>
      </c>
      <c r="I197" s="926"/>
      <c r="J197" s="926"/>
      <c r="K197" s="926"/>
      <c r="L197" s="926"/>
      <c r="N197" s="926"/>
      <c r="O197" s="1364"/>
      <c r="P197" s="1364"/>
      <c r="Q197" s="1364"/>
      <c r="R197" s="1347">
        <f>R11</f>
        <v>2.3218219243766081</v>
      </c>
      <c r="S197" s="451">
        <f>S11</f>
        <v>1.160910962188304</v>
      </c>
      <c r="T197" s="451">
        <f>T11</f>
        <v>1.160910962188304</v>
      </c>
      <c r="U197" s="1573">
        <f>U11</f>
        <v>2.3218219243766081</v>
      </c>
      <c r="V197" s="1347">
        <f t="shared" si="70"/>
        <v>0</v>
      </c>
    </row>
    <row r="198" spans="3:22" ht="18" hidden="1" customHeight="1" outlineLevel="1">
      <c r="C198" s="1454" t="s">
        <v>1807</v>
      </c>
      <c r="D198" s="926"/>
      <c r="E198" s="926"/>
      <c r="F198" s="926"/>
      <c r="G198" s="926"/>
      <c r="H198" s="709">
        <f t="shared" ca="1" si="71"/>
        <v>0.10372067915693893</v>
      </c>
      <c r="I198" s="926"/>
      <c r="J198" s="926"/>
      <c r="K198" s="926"/>
      <c r="L198" s="926"/>
      <c r="N198" s="926"/>
      <c r="O198" s="1364"/>
      <c r="P198" s="1364"/>
      <c r="Q198" s="1364"/>
      <c r="R198" s="1347">
        <f t="shared" ref="R198:U199" si="72">R12+R19+R27</f>
        <v>48.090029870804159</v>
      </c>
      <c r="S198" s="451">
        <f t="shared" si="72"/>
        <v>0</v>
      </c>
      <c r="T198" s="451">
        <f t="shared" si="72"/>
        <v>26.877932842495422</v>
      </c>
      <c r="U198" s="1573">
        <f t="shared" si="72"/>
        <v>26.877932842495422</v>
      </c>
      <c r="V198" s="1347">
        <f t="shared" si="70"/>
        <v>-21.212097028308737</v>
      </c>
    </row>
    <row r="199" spans="3:22" ht="18" hidden="1" customHeight="1" outlineLevel="1">
      <c r="C199" s="1454" t="s">
        <v>2008</v>
      </c>
      <c r="D199" s="926"/>
      <c r="E199" s="926"/>
      <c r="F199" s="926"/>
      <c r="G199" s="926"/>
      <c r="H199" s="709">
        <f t="shared" ca="1" si="71"/>
        <v>8.1173200303124651E-2</v>
      </c>
      <c r="I199" s="926"/>
      <c r="J199" s="926"/>
      <c r="K199" s="926"/>
      <c r="L199" s="926"/>
      <c r="N199" s="926"/>
      <c r="O199" s="1364"/>
      <c r="P199" s="1364"/>
      <c r="Q199" s="1364"/>
      <c r="R199" s="1347">
        <f t="shared" si="72"/>
        <v>37.635905000000001</v>
      </c>
      <c r="S199" s="451">
        <f t="shared" si="72"/>
        <v>-1.6574225</v>
      </c>
      <c r="T199" s="451">
        <f t="shared" si="72"/>
        <v>11.542577500000004</v>
      </c>
      <c r="U199" s="1573">
        <f t="shared" si="72"/>
        <v>9.8851550000000028</v>
      </c>
      <c r="V199" s="1347">
        <f t="shared" si="70"/>
        <v>-27.750749999999996</v>
      </c>
    </row>
    <row r="200" spans="3:22" ht="18" hidden="1" customHeight="1" outlineLevel="1">
      <c r="C200" s="1454" t="s">
        <v>2009</v>
      </c>
      <c r="D200" s="926"/>
      <c r="E200" s="926"/>
      <c r="F200" s="926"/>
      <c r="G200" s="926"/>
      <c r="H200" s="709">
        <f t="shared" ca="1" si="71"/>
        <v>7.4872229431177717E-2</v>
      </c>
      <c r="I200" s="926"/>
      <c r="J200" s="926"/>
      <c r="K200" s="926"/>
      <c r="L200" s="926"/>
      <c r="N200" s="926"/>
      <c r="O200" s="1364"/>
      <c r="P200" s="1364"/>
      <c r="Q200" s="1364"/>
      <c r="R200" s="1347">
        <f>R14+R21+R25+R30</f>
        <v>34.714463683668981</v>
      </c>
      <c r="S200" s="451">
        <f>S14+S21+S25+S30</f>
        <v>0</v>
      </c>
      <c r="T200" s="451">
        <f>T14+T21+T25+T30</f>
        <v>46.715192690955035</v>
      </c>
      <c r="U200" s="1573">
        <f>U14+U21+U25+U30</f>
        <v>46.715192690955035</v>
      </c>
      <c r="V200" s="1347">
        <f t="shared" si="70"/>
        <v>12.000729007286054</v>
      </c>
    </row>
    <row r="201" spans="3:22" collapsed="1">
      <c r="C201" s="1670" t="s">
        <v>2030</v>
      </c>
      <c r="D201" s="926"/>
      <c r="E201" s="926"/>
      <c r="F201" s="926"/>
      <c r="G201" s="926"/>
      <c r="H201" s="926"/>
      <c r="I201" s="926"/>
      <c r="J201" s="926"/>
      <c r="K201" s="926"/>
      <c r="L201" s="926"/>
      <c r="N201" s="926"/>
      <c r="O201" s="1364"/>
      <c r="P201" s="1364"/>
      <c r="Q201" s="1364"/>
      <c r="R201" s="1364"/>
      <c r="S201" s="1364"/>
      <c r="T201" s="1364"/>
      <c r="U201" s="1644"/>
      <c r="V201" s="1364"/>
    </row>
    <row r="202" spans="3:22">
      <c r="C202" s="1670"/>
      <c r="D202" s="926"/>
      <c r="E202" s="926"/>
      <c r="F202" s="926"/>
      <c r="G202" s="926"/>
      <c r="H202" s="926"/>
      <c r="I202" s="926"/>
      <c r="J202" s="926"/>
      <c r="K202" s="926"/>
      <c r="L202" s="926"/>
      <c r="N202" s="926"/>
      <c r="O202" s="1364"/>
      <c r="P202" s="1364"/>
      <c r="Q202" s="1364"/>
      <c r="R202" s="1364"/>
      <c r="S202" s="1364"/>
      <c r="T202" s="1364"/>
      <c r="U202" s="1644"/>
      <c r="V202" s="1364"/>
    </row>
    <row r="203" spans="3:22">
      <c r="C203" s="1670"/>
      <c r="D203" s="926"/>
      <c r="E203" s="926"/>
      <c r="F203" s="926"/>
      <c r="G203" s="926"/>
      <c r="H203" s="926"/>
      <c r="I203" s="926"/>
      <c r="J203" s="926"/>
      <c r="K203" s="926"/>
      <c r="L203" s="926"/>
      <c r="N203" s="926"/>
      <c r="O203" s="1364"/>
      <c r="P203" s="1364"/>
      <c r="Q203" s="1364"/>
      <c r="R203" s="1364"/>
      <c r="S203" s="1364"/>
      <c r="T203" s="1364"/>
      <c r="U203" s="1644"/>
      <c r="V203" s="1364"/>
    </row>
    <row r="204" spans="3:22">
      <c r="C204" s="1670"/>
      <c r="D204" s="926"/>
      <c r="E204" s="926"/>
      <c r="F204" s="926"/>
      <c r="G204" s="926"/>
      <c r="H204" s="926"/>
      <c r="I204" s="926"/>
      <c r="J204" s="926"/>
      <c r="K204" s="926"/>
      <c r="L204" s="926"/>
      <c r="N204" s="926"/>
      <c r="O204" s="1364"/>
      <c r="P204" s="1364"/>
      <c r="Q204" s="1364"/>
      <c r="R204" s="1364"/>
      <c r="S204" s="1364"/>
      <c r="T204" s="1364"/>
      <c r="U204" s="1644"/>
      <c r="V204" s="1364"/>
    </row>
    <row r="205" spans="3:22">
      <c r="C205" s="1460"/>
      <c r="D205" s="926"/>
      <c r="E205" s="926"/>
      <c r="F205" s="926"/>
      <c r="G205" s="926"/>
      <c r="H205" s="926"/>
      <c r="I205" s="926"/>
      <c r="J205" s="926"/>
      <c r="K205" s="926"/>
      <c r="L205" s="926"/>
      <c r="N205" s="926"/>
      <c r="O205" s="1364"/>
      <c r="P205" s="1364"/>
      <c r="Q205" s="1364"/>
      <c r="R205" s="1364"/>
      <c r="S205" s="1364"/>
      <c r="T205" s="1364"/>
      <c r="U205" s="1644"/>
      <c r="V205" s="1364"/>
    </row>
    <row r="206" spans="3:22">
      <c r="C206" s="1460"/>
      <c r="D206" s="926"/>
      <c r="E206" s="926"/>
      <c r="F206" s="926"/>
      <c r="G206" s="926"/>
      <c r="H206" s="926"/>
      <c r="I206" s="926"/>
      <c r="J206" s="926"/>
      <c r="K206" s="926"/>
      <c r="L206" s="926"/>
      <c r="N206" s="926"/>
      <c r="O206" s="1364"/>
      <c r="P206" s="1364"/>
      <c r="Q206" s="1364"/>
      <c r="R206" s="1364"/>
      <c r="S206" s="1364"/>
      <c r="T206" s="1364"/>
      <c r="U206" s="1644"/>
      <c r="V206" s="1364"/>
    </row>
    <row r="207" spans="3:22">
      <c r="C207" s="1460"/>
      <c r="D207" s="926"/>
      <c r="E207" s="926"/>
      <c r="F207" s="926"/>
      <c r="G207" s="926"/>
      <c r="H207" s="926"/>
      <c r="I207" s="926"/>
      <c r="J207" s="926"/>
      <c r="K207" s="926"/>
      <c r="L207" s="926"/>
      <c r="N207" s="926"/>
      <c r="O207" s="1364"/>
      <c r="P207" s="1364"/>
      <c r="Q207" s="1364"/>
      <c r="R207" s="1364"/>
      <c r="S207" s="1364"/>
      <c r="T207" s="1364"/>
      <c r="U207" s="1644"/>
      <c r="V207" s="1364"/>
    </row>
    <row r="208" spans="3:22">
      <c r="C208" s="1460"/>
      <c r="D208" s="926"/>
      <c r="E208" s="926"/>
      <c r="F208" s="926"/>
      <c r="G208" s="926"/>
      <c r="H208" s="926"/>
      <c r="I208" s="926"/>
      <c r="J208" s="926"/>
      <c r="K208" s="926"/>
      <c r="L208" s="926"/>
      <c r="N208" s="926"/>
      <c r="O208" s="1364"/>
      <c r="P208" s="1364"/>
      <c r="Q208" s="1364"/>
      <c r="R208" s="1364"/>
      <c r="S208" s="1364"/>
      <c r="T208" s="1364"/>
      <c r="U208" s="1644"/>
      <c r="V208" s="1364"/>
    </row>
    <row r="209" spans="3:22">
      <c r="C209" s="1460"/>
      <c r="D209" s="926"/>
      <c r="E209" s="926"/>
      <c r="F209" s="926"/>
      <c r="G209" s="926"/>
      <c r="H209" s="926"/>
      <c r="I209" s="926"/>
      <c r="J209" s="926"/>
      <c r="K209" s="926"/>
      <c r="L209" s="926"/>
      <c r="N209" s="926"/>
      <c r="O209" s="1364"/>
      <c r="P209" s="1364"/>
      <c r="Q209" s="1364"/>
      <c r="R209" s="1364"/>
      <c r="S209" s="1364"/>
      <c r="T209" s="1364"/>
      <c r="U209" s="1644"/>
      <c r="V209" s="1364"/>
    </row>
    <row r="210" spans="3:22">
      <c r="C210" s="1460"/>
      <c r="D210" s="926"/>
      <c r="E210" s="926"/>
      <c r="F210" s="926"/>
      <c r="G210" s="926"/>
      <c r="H210" s="926"/>
      <c r="I210" s="926"/>
      <c r="J210" s="926"/>
      <c r="K210" s="926"/>
      <c r="L210" s="926"/>
      <c r="N210" s="926"/>
      <c r="O210" s="1364"/>
      <c r="P210" s="1364"/>
      <c r="Q210" s="1364"/>
      <c r="R210" s="1364"/>
      <c r="S210" s="1364"/>
      <c r="T210" s="1364"/>
      <c r="U210" s="1644"/>
      <c r="V210" s="1364"/>
    </row>
    <row r="211" spans="3:22">
      <c r="C211" s="1460"/>
      <c r="D211" s="926"/>
      <c r="E211" s="926"/>
      <c r="F211" s="926"/>
      <c r="G211" s="926"/>
      <c r="H211" s="926"/>
      <c r="I211" s="926"/>
      <c r="J211" s="926"/>
      <c r="K211" s="926"/>
      <c r="L211" s="926"/>
      <c r="N211" s="926"/>
      <c r="O211" s="1364"/>
      <c r="P211" s="1364"/>
      <c r="Q211" s="1364"/>
      <c r="R211" s="1364"/>
      <c r="S211" s="1364"/>
      <c r="T211" s="1364"/>
      <c r="U211" s="1644"/>
      <c r="V211" s="1364"/>
    </row>
    <row r="212" spans="3:22">
      <c r="C212" s="1460"/>
      <c r="D212" s="926"/>
      <c r="E212" s="926"/>
      <c r="F212" s="926"/>
      <c r="G212" s="926"/>
      <c r="H212" s="926"/>
      <c r="I212" s="926"/>
      <c r="J212" s="926"/>
      <c r="K212" s="926"/>
      <c r="L212" s="926"/>
      <c r="N212" s="926"/>
      <c r="O212" s="1364"/>
      <c r="P212" s="1364"/>
      <c r="Q212" s="1364"/>
      <c r="R212" s="1364"/>
      <c r="S212" s="1364"/>
      <c r="T212" s="1364"/>
      <c r="U212" s="1644"/>
      <c r="V212" s="1364"/>
    </row>
    <row r="213" spans="3:22">
      <c r="C213" s="1460"/>
      <c r="D213" s="926"/>
      <c r="E213" s="926"/>
      <c r="F213" s="926"/>
      <c r="G213" s="926"/>
      <c r="H213" s="926"/>
      <c r="I213" s="926"/>
      <c r="J213" s="926"/>
      <c r="K213" s="926"/>
      <c r="L213" s="926"/>
      <c r="N213" s="926"/>
      <c r="O213" s="1364"/>
      <c r="P213" s="1364"/>
      <c r="Q213" s="1364"/>
      <c r="R213" s="1364"/>
      <c r="S213" s="1364"/>
      <c r="T213" s="1364"/>
      <c r="U213" s="1644"/>
      <c r="V213" s="1364"/>
    </row>
    <row r="214" spans="3:22">
      <c r="C214" s="1460"/>
      <c r="D214" s="926"/>
      <c r="E214" s="926"/>
      <c r="F214" s="926"/>
      <c r="G214" s="926"/>
      <c r="H214" s="926"/>
      <c r="I214" s="926"/>
      <c r="J214" s="926"/>
      <c r="K214" s="926"/>
      <c r="L214" s="926"/>
      <c r="N214" s="926"/>
      <c r="O214" s="1364"/>
      <c r="P214" s="1364"/>
      <c r="Q214" s="1364"/>
      <c r="R214" s="1364"/>
      <c r="S214" s="1364"/>
      <c r="T214" s="1364"/>
      <c r="U214" s="1644"/>
      <c r="V214" s="1364"/>
    </row>
    <row r="215" spans="3:22">
      <c r="C215" s="1460"/>
      <c r="D215" s="926"/>
      <c r="E215" s="926"/>
      <c r="F215" s="926"/>
      <c r="G215" s="926"/>
      <c r="H215" s="926"/>
      <c r="I215" s="926"/>
      <c r="J215" s="926"/>
      <c r="K215" s="926"/>
      <c r="L215" s="926"/>
      <c r="N215" s="926"/>
      <c r="O215" s="1364"/>
      <c r="P215" s="1364"/>
      <c r="Q215" s="1364"/>
      <c r="R215" s="1364"/>
      <c r="S215" s="1364"/>
      <c r="T215" s="1364"/>
      <c r="U215" s="1644"/>
      <c r="V215" s="1364"/>
    </row>
    <row r="216" spans="3:22">
      <c r="C216" s="1460"/>
      <c r="D216" s="926"/>
      <c r="E216" s="926"/>
      <c r="F216" s="926"/>
      <c r="G216" s="926"/>
      <c r="H216" s="926"/>
      <c r="I216" s="926"/>
      <c r="J216" s="926"/>
      <c r="K216" s="926"/>
      <c r="L216" s="926"/>
      <c r="N216" s="926"/>
      <c r="O216" s="1364"/>
      <c r="P216" s="1364"/>
      <c r="Q216" s="1364"/>
      <c r="R216" s="1364"/>
      <c r="S216" s="1364"/>
      <c r="T216" s="1364"/>
      <c r="U216" s="1644"/>
      <c r="V216" s="1364"/>
    </row>
    <row r="217" spans="3:22">
      <c r="C217" s="1460"/>
      <c r="D217" s="926"/>
      <c r="E217" s="926"/>
      <c r="F217" s="926"/>
      <c r="G217" s="926"/>
      <c r="H217" s="926"/>
      <c r="I217" s="926"/>
      <c r="J217" s="926"/>
      <c r="K217" s="926"/>
      <c r="L217" s="926"/>
      <c r="N217" s="926"/>
      <c r="O217" s="1364"/>
      <c r="P217" s="1364"/>
      <c r="Q217" s="1364"/>
      <c r="R217" s="1364"/>
      <c r="S217" s="1364"/>
      <c r="T217" s="1364"/>
      <c r="U217" s="1644"/>
      <c r="V217" s="1364"/>
    </row>
    <row r="218" spans="3:22">
      <c r="C218" s="1460"/>
      <c r="D218" s="926"/>
      <c r="E218" s="926"/>
      <c r="F218" s="926"/>
      <c r="G218" s="926"/>
      <c r="H218" s="926"/>
      <c r="I218" s="926"/>
      <c r="J218" s="926"/>
      <c r="K218" s="926"/>
      <c r="L218" s="926"/>
      <c r="N218" s="926"/>
      <c r="O218" s="1364"/>
      <c r="P218" s="1364"/>
      <c r="Q218" s="1364"/>
      <c r="R218" s="1364"/>
      <c r="S218" s="1364"/>
      <c r="T218" s="1364"/>
      <c r="U218" s="1644"/>
      <c r="V218" s="1364"/>
    </row>
    <row r="219" spans="3:22">
      <c r="C219" s="1460"/>
      <c r="D219" s="926"/>
      <c r="E219" s="926"/>
      <c r="F219" s="926"/>
      <c r="G219" s="926"/>
      <c r="H219" s="926"/>
      <c r="I219" s="926"/>
      <c r="J219" s="926"/>
      <c r="K219" s="926"/>
      <c r="L219" s="926"/>
      <c r="N219" s="926"/>
      <c r="O219" s="1364"/>
      <c r="P219" s="1364"/>
      <c r="Q219" s="1364"/>
      <c r="R219" s="1364"/>
      <c r="S219" s="1364"/>
      <c r="T219" s="1364"/>
      <c r="U219" s="1644"/>
      <c r="V219" s="1364"/>
    </row>
    <row r="220" spans="3:22">
      <c r="C220" s="1460"/>
      <c r="D220" s="926"/>
      <c r="E220" s="926"/>
      <c r="F220" s="926"/>
      <c r="G220" s="926"/>
      <c r="H220" s="926"/>
      <c r="I220" s="926"/>
      <c r="J220" s="926"/>
      <c r="K220" s="926"/>
      <c r="L220" s="926"/>
      <c r="N220" s="926"/>
      <c r="O220" s="1364"/>
      <c r="P220" s="1364"/>
      <c r="Q220" s="1364"/>
      <c r="R220" s="1364"/>
      <c r="S220" s="1364"/>
      <c r="T220" s="1364"/>
      <c r="U220" s="1644"/>
      <c r="V220" s="1364"/>
    </row>
    <row r="221" spans="3:22">
      <c r="C221" s="1460"/>
      <c r="D221" s="926"/>
      <c r="E221" s="926"/>
      <c r="F221" s="926"/>
      <c r="G221" s="926"/>
      <c r="H221" s="926"/>
      <c r="I221" s="926"/>
      <c r="J221" s="926"/>
      <c r="K221" s="926"/>
      <c r="L221" s="926"/>
      <c r="N221" s="926"/>
      <c r="O221" s="1364"/>
      <c r="P221" s="1364"/>
      <c r="Q221" s="1364"/>
      <c r="R221" s="1364"/>
      <c r="S221" s="1364"/>
      <c r="T221" s="1364"/>
      <c r="U221" s="1644"/>
      <c r="V221" s="1364"/>
    </row>
    <row r="222" spans="3:22">
      <c r="C222" s="1460"/>
      <c r="D222" s="926"/>
      <c r="E222" s="926"/>
      <c r="F222" s="926"/>
      <c r="G222" s="926"/>
      <c r="H222" s="926"/>
      <c r="I222" s="926"/>
      <c r="J222" s="926"/>
      <c r="K222" s="926"/>
      <c r="L222" s="926"/>
      <c r="N222" s="926"/>
      <c r="O222" s="1364"/>
      <c r="P222" s="1364"/>
      <c r="Q222" s="1364"/>
      <c r="R222" s="1364"/>
      <c r="S222" s="1364"/>
      <c r="T222" s="1364"/>
      <c r="U222" s="1644"/>
      <c r="V222" s="1364"/>
    </row>
    <row r="223" spans="3:22">
      <c r="C223" s="1460"/>
      <c r="D223" s="926"/>
      <c r="E223" s="926"/>
      <c r="F223" s="926"/>
      <c r="G223" s="926"/>
      <c r="H223" s="926"/>
      <c r="I223" s="926"/>
      <c r="J223" s="926"/>
      <c r="K223" s="926"/>
      <c r="L223" s="926"/>
      <c r="N223" s="926"/>
      <c r="O223" s="1364"/>
      <c r="P223" s="1364"/>
      <c r="Q223" s="1364"/>
      <c r="R223" s="1364"/>
      <c r="S223" s="1364"/>
      <c r="T223" s="1364"/>
      <c r="U223" s="1644"/>
      <c r="V223" s="1364"/>
    </row>
    <row r="224" spans="3:22">
      <c r="C224" s="1460"/>
      <c r="D224" s="926"/>
      <c r="E224" s="926"/>
      <c r="F224" s="926"/>
      <c r="G224" s="926"/>
      <c r="H224" s="926"/>
      <c r="I224" s="926"/>
      <c r="J224" s="926"/>
      <c r="K224" s="926"/>
      <c r="L224" s="926"/>
      <c r="N224" s="926"/>
      <c r="O224" s="1364"/>
      <c r="P224" s="1364"/>
      <c r="Q224" s="1364"/>
      <c r="R224" s="1364"/>
      <c r="S224" s="1364"/>
      <c r="T224" s="1364"/>
      <c r="U224" s="1644"/>
      <c r="V224" s="1364"/>
    </row>
    <row r="225" spans="3:22">
      <c r="C225" s="1460"/>
      <c r="D225" s="926"/>
      <c r="E225" s="926"/>
      <c r="F225" s="926"/>
      <c r="G225" s="926"/>
      <c r="H225" s="926"/>
      <c r="I225" s="926"/>
      <c r="J225" s="926"/>
      <c r="K225" s="926"/>
      <c r="L225" s="926"/>
      <c r="N225" s="926"/>
      <c r="O225" s="1364"/>
      <c r="P225" s="1364"/>
      <c r="Q225" s="1364"/>
      <c r="R225" s="1364"/>
      <c r="S225" s="1364"/>
      <c r="T225" s="1364"/>
      <c r="U225" s="1644"/>
      <c r="V225" s="1364"/>
    </row>
    <row r="226" spans="3:22">
      <c r="C226" s="1460"/>
      <c r="D226" s="926"/>
      <c r="E226" s="926"/>
      <c r="F226" s="926"/>
      <c r="G226" s="926"/>
      <c r="H226" s="926"/>
      <c r="I226" s="926"/>
      <c r="J226" s="926"/>
      <c r="K226" s="926"/>
      <c r="L226" s="926"/>
      <c r="N226" s="926"/>
      <c r="O226" s="1364"/>
      <c r="P226" s="1364"/>
      <c r="Q226" s="1364"/>
      <c r="R226" s="1364"/>
      <c r="S226" s="1364"/>
      <c r="T226" s="1364"/>
      <c r="U226" s="1644"/>
      <c r="V226" s="1364"/>
    </row>
    <row r="227" spans="3:22">
      <c r="C227" s="1460"/>
      <c r="D227" s="926"/>
      <c r="E227" s="926"/>
      <c r="F227" s="926"/>
      <c r="G227" s="926"/>
      <c r="H227" s="926"/>
      <c r="I227" s="926"/>
      <c r="J227" s="926"/>
      <c r="K227" s="926"/>
      <c r="L227" s="926"/>
      <c r="N227" s="926"/>
      <c r="O227" s="1364"/>
      <c r="P227" s="1364"/>
      <c r="Q227" s="1364"/>
      <c r="R227" s="1364"/>
      <c r="S227" s="1364"/>
      <c r="T227" s="1364"/>
      <c r="U227" s="1644"/>
      <c r="V227" s="1364"/>
    </row>
    <row r="228" spans="3:22">
      <c r="C228" s="1460"/>
      <c r="D228" s="926"/>
      <c r="E228" s="926"/>
      <c r="F228" s="926"/>
      <c r="G228" s="926"/>
      <c r="H228" s="926"/>
      <c r="I228" s="926"/>
      <c r="J228" s="926"/>
      <c r="K228" s="926"/>
      <c r="L228" s="926"/>
      <c r="N228" s="926"/>
      <c r="O228" s="1364"/>
      <c r="P228" s="1364"/>
      <c r="Q228" s="1364"/>
      <c r="R228" s="1364"/>
      <c r="S228" s="1364"/>
      <c r="T228" s="1364"/>
      <c r="U228" s="1644"/>
      <c r="V228" s="1364"/>
    </row>
    <row r="229" spans="3:22">
      <c r="C229" s="1460"/>
      <c r="D229" s="926"/>
      <c r="E229" s="926"/>
      <c r="F229" s="926"/>
      <c r="G229" s="926"/>
      <c r="H229" s="926"/>
      <c r="I229" s="926"/>
      <c r="J229" s="926"/>
      <c r="K229" s="926"/>
      <c r="L229" s="926"/>
      <c r="N229" s="926"/>
      <c r="O229" s="1364"/>
      <c r="P229" s="1364"/>
      <c r="Q229" s="1364"/>
      <c r="R229" s="1364"/>
      <c r="S229" s="1364"/>
      <c r="T229" s="1364"/>
      <c r="U229" s="1644"/>
      <c r="V229" s="1364"/>
    </row>
    <row r="230" spans="3:22">
      <c r="C230" s="1460"/>
      <c r="D230" s="926"/>
      <c r="E230" s="926"/>
      <c r="F230" s="926"/>
      <c r="G230" s="926"/>
      <c r="H230" s="926"/>
      <c r="I230" s="926"/>
      <c r="J230" s="926"/>
      <c r="K230" s="926"/>
      <c r="L230" s="926"/>
      <c r="N230" s="926"/>
      <c r="O230" s="1364"/>
      <c r="P230" s="1364"/>
      <c r="Q230" s="1364"/>
      <c r="R230" s="1364"/>
      <c r="S230" s="1364"/>
      <c r="T230" s="1364"/>
      <c r="U230" s="1644"/>
      <c r="V230" s="1364"/>
    </row>
    <row r="231" spans="3:22">
      <c r="C231" s="1460"/>
      <c r="D231" s="926"/>
      <c r="E231" s="926"/>
      <c r="F231" s="926"/>
      <c r="G231" s="926"/>
      <c r="H231" s="926"/>
      <c r="I231" s="926"/>
      <c r="J231" s="926"/>
      <c r="K231" s="926"/>
      <c r="L231" s="926"/>
      <c r="N231" s="926"/>
      <c r="O231" s="1364"/>
      <c r="P231" s="1364"/>
      <c r="Q231" s="1364"/>
      <c r="R231" s="1364"/>
      <c r="S231" s="1364"/>
      <c r="T231" s="1364"/>
      <c r="U231" s="1644"/>
      <c r="V231" s="1364"/>
    </row>
    <row r="232" spans="3:22">
      <c r="C232" s="1460"/>
      <c r="D232" s="926"/>
      <c r="E232" s="926"/>
      <c r="F232" s="926"/>
      <c r="G232" s="926"/>
      <c r="H232" s="926"/>
      <c r="I232" s="926"/>
      <c r="J232" s="926"/>
      <c r="K232" s="926"/>
      <c r="L232" s="926"/>
      <c r="N232" s="926"/>
      <c r="O232" s="1364"/>
      <c r="P232" s="1364"/>
      <c r="Q232" s="1364"/>
      <c r="R232" s="1364"/>
      <c r="S232" s="1364"/>
      <c r="T232" s="1364"/>
      <c r="U232" s="1644"/>
      <c r="V232" s="1364"/>
    </row>
    <row r="233" spans="3:22">
      <c r="C233" s="1460"/>
      <c r="D233" s="926"/>
      <c r="E233" s="926"/>
      <c r="F233" s="926"/>
      <c r="G233" s="926"/>
      <c r="H233" s="926"/>
      <c r="I233" s="926"/>
      <c r="J233" s="926"/>
      <c r="K233" s="926"/>
      <c r="L233" s="926"/>
      <c r="N233" s="926"/>
      <c r="O233" s="1364"/>
      <c r="P233" s="1364"/>
      <c r="Q233" s="1364"/>
      <c r="R233" s="1364"/>
      <c r="S233" s="1364"/>
      <c r="T233" s="1364"/>
      <c r="U233" s="1644"/>
      <c r="V233" s="1364"/>
    </row>
    <row r="234" spans="3:22">
      <c r="C234" s="1460"/>
      <c r="D234" s="926"/>
      <c r="E234" s="926"/>
      <c r="F234" s="926"/>
      <c r="G234" s="926"/>
      <c r="H234" s="926"/>
      <c r="I234" s="926"/>
      <c r="J234" s="926"/>
      <c r="K234" s="926"/>
      <c r="L234" s="926"/>
      <c r="N234" s="926"/>
      <c r="O234" s="1364"/>
      <c r="P234" s="1364"/>
      <c r="Q234" s="1364"/>
      <c r="R234" s="1364"/>
      <c r="S234" s="1364"/>
      <c r="T234" s="1364"/>
      <c r="U234" s="1644"/>
      <c r="V234" s="1364"/>
    </row>
    <row r="235" spans="3:22">
      <c r="C235" s="1460"/>
      <c r="D235" s="926"/>
      <c r="E235" s="926"/>
      <c r="F235" s="926"/>
      <c r="G235" s="926"/>
      <c r="H235" s="926"/>
      <c r="I235" s="926"/>
      <c r="J235" s="926"/>
      <c r="K235" s="926"/>
      <c r="L235" s="926"/>
      <c r="N235" s="926"/>
      <c r="O235" s="1364"/>
      <c r="P235" s="1364"/>
      <c r="Q235" s="1364"/>
      <c r="R235" s="1364"/>
      <c r="S235" s="1364"/>
      <c r="T235" s="1364"/>
      <c r="U235" s="1644"/>
      <c r="V235" s="1364"/>
    </row>
    <row r="236" spans="3:22">
      <c r="C236" s="1460"/>
      <c r="D236" s="926"/>
      <c r="E236" s="926"/>
      <c r="F236" s="926"/>
      <c r="G236" s="926"/>
      <c r="H236" s="926"/>
      <c r="I236" s="926"/>
      <c r="J236" s="926"/>
      <c r="K236" s="926"/>
      <c r="L236" s="926"/>
      <c r="N236" s="926"/>
      <c r="O236" s="1364"/>
      <c r="P236" s="1364"/>
      <c r="Q236" s="1364"/>
      <c r="R236" s="1364"/>
      <c r="S236" s="1364"/>
      <c r="T236" s="1364"/>
      <c r="U236" s="1644"/>
      <c r="V236" s="1364"/>
    </row>
    <row r="237" spans="3:22">
      <c r="C237" s="1460"/>
      <c r="D237" s="926"/>
      <c r="E237" s="926"/>
      <c r="F237" s="926"/>
      <c r="G237" s="926"/>
      <c r="H237" s="926"/>
      <c r="I237" s="926"/>
      <c r="J237" s="926"/>
      <c r="K237" s="926"/>
      <c r="L237" s="926"/>
      <c r="N237" s="926"/>
      <c r="O237" s="1364"/>
      <c r="P237" s="1364"/>
      <c r="Q237" s="1364"/>
      <c r="R237" s="1364"/>
      <c r="S237" s="1364"/>
      <c r="T237" s="1364"/>
      <c r="U237" s="1644"/>
      <c r="V237" s="1364"/>
    </row>
    <row r="238" spans="3:22">
      <c r="C238" s="1460"/>
      <c r="D238" s="926"/>
      <c r="E238" s="926"/>
      <c r="F238" s="926"/>
      <c r="G238" s="926"/>
      <c r="H238" s="926"/>
      <c r="I238" s="926"/>
      <c r="J238" s="926"/>
      <c r="K238" s="926"/>
      <c r="L238" s="926"/>
      <c r="N238" s="926"/>
      <c r="O238" s="1364"/>
      <c r="P238" s="1364"/>
      <c r="Q238" s="1364"/>
      <c r="R238" s="1364"/>
      <c r="S238" s="1364"/>
      <c r="T238" s="1364"/>
      <c r="U238" s="1644"/>
      <c r="V238" s="1364"/>
    </row>
    <row r="239" spans="3:22">
      <c r="C239" s="1460"/>
      <c r="D239" s="926"/>
      <c r="E239" s="926"/>
      <c r="F239" s="926"/>
      <c r="G239" s="926"/>
      <c r="H239" s="926"/>
      <c r="I239" s="926"/>
      <c r="J239" s="926"/>
      <c r="K239" s="926"/>
      <c r="L239" s="926"/>
      <c r="N239" s="926"/>
      <c r="O239" s="1364"/>
      <c r="P239" s="1364"/>
      <c r="Q239" s="1364"/>
      <c r="R239" s="1364"/>
      <c r="S239" s="1364"/>
      <c r="T239" s="1364"/>
      <c r="U239" s="1644"/>
      <c r="V239" s="1364"/>
    </row>
    <row r="240" spans="3:22">
      <c r="C240" s="1460"/>
      <c r="D240" s="926"/>
      <c r="E240" s="926"/>
      <c r="F240" s="926"/>
      <c r="G240" s="926"/>
      <c r="H240" s="926"/>
      <c r="I240" s="926"/>
      <c r="J240" s="926"/>
      <c r="K240" s="926"/>
      <c r="L240" s="926"/>
      <c r="N240" s="926"/>
      <c r="O240" s="1364"/>
      <c r="P240" s="1364"/>
      <c r="Q240" s="1364"/>
      <c r="R240" s="1364"/>
      <c r="S240" s="1364"/>
      <c r="T240" s="1364"/>
      <c r="U240" s="1644"/>
      <c r="V240" s="1364"/>
    </row>
    <row r="241" spans="3:22">
      <c r="C241" s="1460"/>
      <c r="D241" s="926"/>
      <c r="E241" s="926"/>
      <c r="F241" s="926"/>
      <c r="G241" s="926"/>
      <c r="H241" s="926"/>
      <c r="I241" s="926"/>
      <c r="J241" s="926"/>
      <c r="K241" s="926"/>
      <c r="L241" s="926"/>
      <c r="N241" s="926"/>
      <c r="O241" s="1364"/>
      <c r="P241" s="1364"/>
      <c r="Q241" s="1364"/>
      <c r="R241" s="1364"/>
      <c r="S241" s="1364"/>
      <c r="T241" s="1364"/>
      <c r="U241" s="1644"/>
      <c r="V241" s="1364"/>
    </row>
    <row r="242" spans="3:22">
      <c r="C242" s="1460"/>
      <c r="D242" s="926"/>
      <c r="E242" s="926"/>
      <c r="F242" s="926"/>
      <c r="G242" s="926"/>
      <c r="H242" s="926"/>
      <c r="I242" s="926"/>
      <c r="J242" s="926"/>
      <c r="K242" s="926"/>
      <c r="L242" s="926"/>
      <c r="N242" s="926"/>
      <c r="O242" s="1364"/>
      <c r="P242" s="1364"/>
      <c r="Q242" s="1364"/>
      <c r="R242" s="1364"/>
      <c r="S242" s="1364"/>
      <c r="T242" s="1364"/>
      <c r="U242" s="1644"/>
      <c r="V242" s="1364"/>
    </row>
    <row r="243" spans="3:22">
      <c r="C243" s="1460"/>
      <c r="D243" s="926"/>
      <c r="E243" s="926"/>
      <c r="F243" s="926"/>
      <c r="G243" s="926"/>
      <c r="H243" s="926"/>
      <c r="I243" s="926"/>
      <c r="J243" s="926"/>
      <c r="K243" s="926"/>
      <c r="L243" s="926"/>
      <c r="N243" s="926"/>
      <c r="O243" s="1364"/>
      <c r="P243" s="1364"/>
      <c r="Q243" s="1364"/>
      <c r="R243" s="1364"/>
      <c r="S243" s="1364"/>
      <c r="T243" s="1364"/>
      <c r="U243" s="1644"/>
      <c r="V243" s="1364"/>
    </row>
    <row r="244" spans="3:22">
      <c r="C244" s="1460"/>
      <c r="D244" s="926"/>
      <c r="E244" s="926"/>
      <c r="F244" s="926"/>
      <c r="G244" s="926"/>
      <c r="H244" s="926"/>
      <c r="I244" s="926"/>
      <c r="J244" s="926"/>
      <c r="K244" s="926"/>
      <c r="L244" s="926"/>
      <c r="N244" s="926"/>
      <c r="O244" s="1364"/>
      <c r="P244" s="1364"/>
      <c r="Q244" s="1364"/>
      <c r="R244" s="1364"/>
      <c r="S244" s="1364"/>
      <c r="T244" s="1364"/>
      <c r="U244" s="1644"/>
      <c r="V244" s="1364"/>
    </row>
    <row r="245" spans="3:22">
      <c r="C245" s="1460"/>
      <c r="D245" s="926"/>
      <c r="E245" s="926"/>
      <c r="F245" s="926"/>
      <c r="G245" s="926"/>
      <c r="H245" s="926"/>
      <c r="I245" s="926"/>
      <c r="J245" s="926"/>
      <c r="K245" s="926"/>
      <c r="L245" s="926"/>
      <c r="N245" s="926"/>
      <c r="O245" s="1364"/>
      <c r="P245" s="1364"/>
      <c r="Q245" s="1364"/>
      <c r="R245" s="1364"/>
      <c r="S245" s="1364"/>
      <c r="T245" s="1364"/>
      <c r="U245" s="1644"/>
      <c r="V245" s="1364"/>
    </row>
    <row r="246" spans="3:22">
      <c r="C246" s="1460"/>
      <c r="D246" s="926"/>
      <c r="E246" s="926"/>
      <c r="F246" s="926"/>
      <c r="G246" s="926"/>
      <c r="H246" s="926"/>
      <c r="I246" s="926"/>
      <c r="J246" s="926"/>
      <c r="K246" s="926"/>
      <c r="L246" s="926"/>
      <c r="N246" s="926"/>
      <c r="O246" s="1364"/>
      <c r="P246" s="1364"/>
      <c r="Q246" s="1364"/>
      <c r="R246" s="1364"/>
      <c r="S246" s="1364"/>
      <c r="T246" s="1364"/>
      <c r="U246" s="1644"/>
      <c r="V246" s="1364"/>
    </row>
    <row r="247" spans="3:22">
      <c r="C247" s="1460"/>
      <c r="D247" s="926"/>
      <c r="E247" s="926"/>
      <c r="F247" s="926"/>
      <c r="G247" s="926"/>
      <c r="H247" s="926"/>
      <c r="I247" s="926"/>
      <c r="J247" s="926"/>
      <c r="K247" s="926"/>
      <c r="L247" s="926"/>
      <c r="N247" s="926"/>
      <c r="O247" s="1364"/>
      <c r="P247" s="1364"/>
      <c r="Q247" s="1364"/>
      <c r="R247" s="1364"/>
      <c r="S247" s="1364"/>
      <c r="T247" s="1364"/>
      <c r="U247" s="1644"/>
      <c r="V247" s="1364"/>
    </row>
    <row r="248" spans="3:22">
      <c r="C248" s="1460"/>
      <c r="D248" s="926"/>
      <c r="E248" s="926"/>
      <c r="F248" s="926"/>
      <c r="G248" s="926"/>
      <c r="H248" s="926"/>
      <c r="I248" s="926"/>
      <c r="J248" s="926"/>
      <c r="K248" s="926"/>
      <c r="L248" s="926"/>
      <c r="N248" s="926"/>
      <c r="O248" s="1364"/>
      <c r="P248" s="1364"/>
      <c r="Q248" s="1364"/>
      <c r="R248" s="1364"/>
      <c r="S248" s="1364"/>
      <c r="T248" s="1364"/>
      <c r="U248" s="1644"/>
      <c r="V248" s="1364"/>
    </row>
    <row r="249" spans="3:22">
      <c r="C249" s="1460"/>
      <c r="D249" s="926"/>
      <c r="E249" s="926"/>
      <c r="F249" s="926"/>
      <c r="G249" s="926"/>
      <c r="H249" s="926"/>
      <c r="I249" s="926"/>
      <c r="J249" s="926"/>
      <c r="K249" s="926"/>
      <c r="L249" s="926"/>
      <c r="N249" s="926"/>
      <c r="O249" s="1364"/>
      <c r="P249" s="1364"/>
      <c r="Q249" s="1364"/>
      <c r="R249" s="1364"/>
      <c r="S249" s="1364"/>
      <c r="T249" s="1364"/>
      <c r="U249" s="1644"/>
      <c r="V249" s="1364"/>
    </row>
    <row r="250" spans="3:22">
      <c r="C250" s="1460"/>
      <c r="D250" s="926"/>
      <c r="E250" s="926"/>
      <c r="F250" s="926"/>
      <c r="G250" s="926"/>
      <c r="H250" s="926"/>
      <c r="I250" s="926"/>
      <c r="J250" s="926"/>
      <c r="K250" s="926"/>
      <c r="L250" s="926"/>
      <c r="N250" s="926"/>
      <c r="O250" s="1364"/>
      <c r="P250" s="1364"/>
      <c r="Q250" s="1364"/>
      <c r="R250" s="1364"/>
      <c r="S250" s="1364"/>
      <c r="T250" s="1364"/>
      <c r="U250" s="1644"/>
      <c r="V250" s="1364"/>
    </row>
    <row r="251" spans="3:22">
      <c r="C251" s="1460"/>
      <c r="D251" s="926"/>
      <c r="E251" s="926"/>
      <c r="F251" s="926"/>
      <c r="G251" s="926"/>
      <c r="H251" s="926"/>
      <c r="I251" s="926"/>
      <c r="J251" s="926"/>
      <c r="K251" s="926"/>
      <c r="L251" s="926"/>
      <c r="N251" s="926"/>
      <c r="O251" s="1364"/>
      <c r="P251" s="1364"/>
      <c r="Q251" s="1364"/>
      <c r="R251" s="1364"/>
      <c r="S251" s="1364"/>
      <c r="T251" s="1364"/>
      <c r="U251" s="1644"/>
      <c r="V251" s="1364"/>
    </row>
    <row r="252" spans="3:22">
      <c r="C252" s="1460"/>
      <c r="D252" s="926"/>
      <c r="E252" s="926"/>
      <c r="F252" s="926"/>
      <c r="G252" s="926"/>
      <c r="H252" s="926"/>
      <c r="I252" s="926"/>
      <c r="J252" s="926"/>
      <c r="K252" s="926"/>
      <c r="L252" s="926"/>
      <c r="N252" s="926"/>
      <c r="O252" s="1364"/>
      <c r="P252" s="1364"/>
      <c r="Q252" s="1364"/>
      <c r="R252" s="1364"/>
      <c r="S252" s="1364"/>
      <c r="T252" s="1364"/>
      <c r="U252" s="1644"/>
      <c r="V252" s="1364"/>
    </row>
    <row r="253" spans="3:22">
      <c r="C253" s="1460"/>
      <c r="D253" s="926"/>
      <c r="E253" s="926"/>
      <c r="F253" s="926"/>
      <c r="G253" s="926"/>
      <c r="H253" s="926"/>
      <c r="I253" s="926"/>
      <c r="J253" s="926"/>
      <c r="K253" s="926"/>
      <c r="L253" s="926"/>
      <c r="N253" s="926"/>
      <c r="O253" s="1364"/>
      <c r="P253" s="1364"/>
      <c r="Q253" s="1364"/>
      <c r="R253" s="1364"/>
      <c r="S253" s="1364"/>
      <c r="T253" s="1364"/>
      <c r="U253" s="1644"/>
      <c r="V253" s="1364"/>
    </row>
    <row r="254" spans="3:22">
      <c r="C254" s="1460"/>
      <c r="D254" s="926"/>
      <c r="E254" s="926"/>
      <c r="F254" s="926"/>
      <c r="G254" s="926"/>
      <c r="H254" s="926"/>
      <c r="I254" s="926"/>
      <c r="J254" s="926"/>
      <c r="K254" s="926"/>
      <c r="L254" s="926"/>
      <c r="N254" s="926"/>
      <c r="O254" s="1364"/>
      <c r="P254" s="1364"/>
      <c r="Q254" s="1364"/>
      <c r="R254" s="1364"/>
      <c r="S254" s="1364"/>
      <c r="T254" s="1364"/>
      <c r="U254" s="1644"/>
      <c r="V254" s="1364"/>
    </row>
    <row r="255" spans="3:22">
      <c r="C255" s="1460"/>
      <c r="D255" s="926"/>
      <c r="E255" s="926"/>
      <c r="F255" s="926"/>
      <c r="G255" s="926"/>
      <c r="H255" s="926"/>
      <c r="I255" s="926"/>
      <c r="J255" s="926"/>
      <c r="K255" s="926"/>
      <c r="L255" s="926"/>
      <c r="N255" s="926"/>
      <c r="O255" s="1364"/>
      <c r="P255" s="1364"/>
      <c r="Q255" s="1364"/>
      <c r="R255" s="1364"/>
      <c r="S255" s="1364"/>
      <c r="T255" s="1364"/>
      <c r="U255" s="1644"/>
      <c r="V255" s="1364"/>
    </row>
    <row r="256" spans="3:22">
      <c r="C256" s="1460"/>
      <c r="D256" s="926"/>
      <c r="E256" s="926"/>
      <c r="F256" s="926"/>
      <c r="G256" s="926"/>
      <c r="H256" s="926"/>
      <c r="I256" s="926"/>
      <c r="J256" s="926"/>
      <c r="K256" s="926"/>
      <c r="L256" s="926"/>
      <c r="N256" s="926"/>
      <c r="O256" s="1364"/>
      <c r="P256" s="1364"/>
      <c r="Q256" s="1364"/>
      <c r="R256" s="1364"/>
      <c r="S256" s="1364"/>
      <c r="T256" s="1364"/>
      <c r="U256" s="1644"/>
      <c r="V256" s="1364"/>
    </row>
    <row r="257" spans="3:22">
      <c r="C257" s="1460"/>
      <c r="D257" s="926"/>
      <c r="E257" s="926"/>
      <c r="F257" s="926"/>
      <c r="G257" s="926"/>
      <c r="H257" s="926"/>
      <c r="I257" s="926"/>
      <c r="J257" s="926"/>
      <c r="K257" s="926"/>
      <c r="L257" s="926"/>
      <c r="N257" s="926"/>
      <c r="O257" s="1364"/>
      <c r="P257" s="1364"/>
      <c r="Q257" s="1364"/>
      <c r="R257" s="1364"/>
      <c r="S257" s="1364"/>
      <c r="T257" s="1364"/>
      <c r="U257" s="1644"/>
      <c r="V257" s="1364"/>
    </row>
    <row r="258" spans="3:22">
      <c r="C258" s="1460"/>
      <c r="D258" s="926"/>
      <c r="E258" s="926"/>
      <c r="F258" s="926"/>
      <c r="G258" s="926"/>
      <c r="H258" s="926"/>
      <c r="I258" s="926"/>
      <c r="J258" s="926"/>
      <c r="K258" s="926"/>
      <c r="L258" s="926"/>
      <c r="N258" s="926"/>
      <c r="O258" s="1364"/>
      <c r="P258" s="1364"/>
      <c r="Q258" s="1364"/>
      <c r="R258" s="1364"/>
      <c r="S258" s="1364"/>
      <c r="T258" s="1364"/>
      <c r="U258" s="1644"/>
      <c r="V258" s="1364"/>
    </row>
    <row r="259" spans="3:22">
      <c r="C259" s="1460"/>
      <c r="D259" s="926"/>
      <c r="E259" s="926"/>
      <c r="F259" s="926"/>
      <c r="G259" s="926"/>
      <c r="H259" s="926"/>
      <c r="I259" s="926"/>
      <c r="J259" s="926"/>
      <c r="K259" s="926"/>
      <c r="L259" s="926"/>
      <c r="N259" s="926"/>
      <c r="O259" s="1364"/>
      <c r="P259" s="1364"/>
      <c r="Q259" s="1364"/>
      <c r="R259" s="1364"/>
      <c r="S259" s="1364"/>
      <c r="T259" s="1364"/>
      <c r="U259" s="1644"/>
      <c r="V259" s="1364"/>
    </row>
    <row r="260" spans="3:22">
      <c r="C260" s="1460"/>
      <c r="D260" s="926"/>
      <c r="E260" s="926"/>
      <c r="F260" s="926"/>
      <c r="G260" s="926"/>
      <c r="H260" s="926"/>
      <c r="I260" s="926"/>
      <c r="J260" s="926"/>
      <c r="K260" s="926"/>
      <c r="L260" s="926"/>
      <c r="N260" s="926"/>
      <c r="O260" s="1364"/>
      <c r="P260" s="1364"/>
      <c r="Q260" s="1364"/>
      <c r="R260" s="1364"/>
      <c r="S260" s="1364"/>
      <c r="T260" s="1364"/>
      <c r="U260" s="1644"/>
      <c r="V260" s="1364"/>
    </row>
    <row r="261" spans="3:22">
      <c r="C261" s="1460"/>
      <c r="D261" s="926"/>
      <c r="E261" s="926"/>
      <c r="F261" s="926"/>
      <c r="G261" s="926"/>
      <c r="H261" s="926"/>
      <c r="I261" s="926"/>
      <c r="J261" s="926"/>
      <c r="K261" s="926"/>
      <c r="L261" s="926"/>
      <c r="N261" s="926"/>
      <c r="O261" s="1364"/>
      <c r="P261" s="1364"/>
      <c r="Q261" s="1364"/>
      <c r="R261" s="1364"/>
      <c r="S261" s="1364"/>
      <c r="T261" s="1364"/>
      <c r="U261" s="1644"/>
      <c r="V261" s="1364"/>
    </row>
    <row r="262" spans="3:22">
      <c r="C262" s="1460"/>
      <c r="D262" s="926"/>
      <c r="E262" s="926"/>
      <c r="F262" s="926"/>
      <c r="G262" s="926"/>
      <c r="H262" s="926"/>
      <c r="I262" s="926"/>
      <c r="J262" s="926"/>
      <c r="K262" s="926"/>
      <c r="L262" s="926"/>
      <c r="N262" s="926"/>
      <c r="O262" s="1364"/>
      <c r="P262" s="1364"/>
      <c r="Q262" s="1364"/>
      <c r="R262" s="1364"/>
      <c r="S262" s="1364"/>
      <c r="T262" s="1364"/>
      <c r="U262" s="1644"/>
      <c r="V262" s="1364"/>
    </row>
    <row r="263" spans="3:22">
      <c r="C263" s="1460"/>
      <c r="D263" s="926"/>
      <c r="E263" s="926"/>
      <c r="F263" s="926"/>
      <c r="G263" s="926"/>
      <c r="H263" s="926"/>
      <c r="I263" s="926"/>
      <c r="J263" s="926"/>
      <c r="K263" s="926"/>
      <c r="L263" s="926"/>
      <c r="N263" s="926"/>
      <c r="O263" s="1364"/>
      <c r="P263" s="1364"/>
      <c r="Q263" s="1364"/>
      <c r="R263" s="1364"/>
      <c r="S263" s="1364"/>
      <c r="T263" s="1364"/>
      <c r="U263" s="1644"/>
      <c r="V263" s="1364"/>
    </row>
    <row r="264" spans="3:22">
      <c r="C264" s="1460"/>
      <c r="D264" s="926"/>
      <c r="E264" s="926"/>
      <c r="F264" s="926"/>
      <c r="G264" s="926"/>
      <c r="H264" s="926"/>
      <c r="I264" s="926"/>
      <c r="J264" s="926"/>
      <c r="K264" s="926"/>
      <c r="L264" s="926"/>
      <c r="N264" s="926"/>
      <c r="O264" s="1364"/>
      <c r="P264" s="1364"/>
      <c r="Q264" s="1364"/>
      <c r="R264" s="1364"/>
      <c r="S264" s="1364"/>
      <c r="T264" s="1364"/>
      <c r="U264" s="1644"/>
      <c r="V264" s="1364"/>
    </row>
    <row r="265" spans="3:22">
      <c r="C265" s="1460"/>
      <c r="D265" s="926"/>
      <c r="E265" s="926"/>
      <c r="F265" s="926"/>
      <c r="G265" s="926"/>
      <c r="H265" s="926"/>
      <c r="I265" s="926"/>
      <c r="J265" s="926"/>
      <c r="K265" s="926"/>
      <c r="L265" s="926"/>
      <c r="N265" s="926"/>
      <c r="O265" s="1364"/>
      <c r="P265" s="1364"/>
      <c r="Q265" s="1364"/>
      <c r="R265" s="1364"/>
      <c r="S265" s="1364"/>
      <c r="T265" s="1364"/>
      <c r="U265" s="1644"/>
      <c r="V265" s="1364"/>
    </row>
    <row r="266" spans="3:22">
      <c r="C266" s="1460"/>
      <c r="D266" s="926"/>
      <c r="E266" s="926"/>
      <c r="F266" s="926"/>
      <c r="G266" s="926"/>
      <c r="H266" s="926"/>
      <c r="I266" s="926"/>
      <c r="J266" s="926"/>
      <c r="K266" s="926"/>
      <c r="L266" s="926"/>
      <c r="N266" s="926"/>
      <c r="O266" s="1364"/>
      <c r="P266" s="1364"/>
      <c r="Q266" s="1364"/>
      <c r="R266" s="1364"/>
      <c r="S266" s="1364"/>
      <c r="T266" s="1364"/>
      <c r="U266" s="1644"/>
      <c r="V266" s="1364"/>
    </row>
    <row r="267" spans="3:22">
      <c r="C267" s="1460"/>
      <c r="D267" s="926"/>
      <c r="E267" s="926"/>
      <c r="F267" s="926"/>
      <c r="G267" s="926"/>
      <c r="H267" s="926"/>
      <c r="I267" s="926"/>
      <c r="J267" s="926"/>
      <c r="K267" s="926"/>
      <c r="L267" s="926"/>
      <c r="N267" s="926"/>
      <c r="O267" s="1364"/>
      <c r="P267" s="1364"/>
      <c r="Q267" s="1364"/>
      <c r="R267" s="1364"/>
      <c r="S267" s="1364"/>
      <c r="T267" s="1364"/>
      <c r="U267" s="1644"/>
      <c r="V267" s="1364"/>
    </row>
    <row r="268" spans="3:22">
      <c r="C268" s="1460"/>
      <c r="D268" s="926"/>
      <c r="E268" s="926"/>
      <c r="F268" s="926"/>
      <c r="G268" s="926"/>
      <c r="H268" s="926"/>
      <c r="I268" s="926"/>
      <c r="J268" s="926"/>
      <c r="K268" s="926"/>
      <c r="L268" s="926"/>
      <c r="N268" s="926"/>
      <c r="O268" s="1364"/>
      <c r="P268" s="1364"/>
      <c r="Q268" s="1364"/>
      <c r="R268" s="1364"/>
      <c r="S268" s="1364"/>
      <c r="T268" s="1364"/>
      <c r="U268" s="1644"/>
      <c r="V268" s="1364"/>
    </row>
    <row r="269" spans="3:22">
      <c r="C269" s="1460"/>
      <c r="D269" s="926"/>
      <c r="E269" s="926"/>
      <c r="F269" s="926"/>
      <c r="G269" s="926"/>
      <c r="H269" s="926"/>
      <c r="I269" s="926"/>
      <c r="J269" s="926"/>
      <c r="K269" s="926"/>
      <c r="L269" s="926"/>
      <c r="N269" s="926"/>
      <c r="O269" s="1364"/>
      <c r="P269" s="1364"/>
      <c r="Q269" s="1364"/>
      <c r="R269" s="1364"/>
      <c r="S269" s="1364"/>
      <c r="T269" s="1364"/>
      <c r="U269" s="1644"/>
      <c r="V269" s="1364"/>
    </row>
    <row r="270" spans="3:22">
      <c r="C270" s="1460"/>
      <c r="D270" s="926"/>
      <c r="E270" s="926"/>
      <c r="F270" s="926"/>
      <c r="G270" s="926"/>
      <c r="H270" s="926"/>
      <c r="I270" s="926"/>
      <c r="J270" s="926"/>
      <c r="K270" s="926"/>
      <c r="L270" s="926"/>
      <c r="N270" s="926"/>
      <c r="O270" s="1364"/>
      <c r="P270" s="1364"/>
      <c r="Q270" s="1364"/>
      <c r="R270" s="1364"/>
      <c r="S270" s="1364"/>
      <c r="T270" s="1364"/>
      <c r="U270" s="1644"/>
      <c r="V270" s="1364"/>
    </row>
    <row r="271" spans="3:22">
      <c r="C271" s="1460"/>
      <c r="D271" s="926"/>
      <c r="E271" s="926"/>
      <c r="F271" s="926"/>
      <c r="G271" s="926"/>
      <c r="H271" s="926"/>
      <c r="I271" s="926"/>
      <c r="J271" s="926"/>
      <c r="K271" s="926"/>
      <c r="L271" s="926"/>
      <c r="N271" s="926"/>
      <c r="O271" s="1364"/>
      <c r="P271" s="1364"/>
      <c r="Q271" s="1364"/>
      <c r="R271" s="1364"/>
      <c r="S271" s="1364"/>
      <c r="T271" s="1364"/>
      <c r="U271" s="1644"/>
      <c r="V271" s="1364"/>
    </row>
    <row r="272" spans="3:22">
      <c r="C272" s="1460"/>
      <c r="D272" s="926"/>
      <c r="E272" s="926"/>
      <c r="F272" s="926"/>
      <c r="G272" s="926"/>
      <c r="H272" s="926"/>
      <c r="I272" s="926"/>
      <c r="J272" s="926"/>
      <c r="K272" s="926"/>
      <c r="L272" s="926"/>
      <c r="N272" s="926"/>
      <c r="O272" s="1364"/>
      <c r="P272" s="1364"/>
      <c r="Q272" s="1364"/>
      <c r="R272" s="1364"/>
      <c r="S272" s="1364"/>
      <c r="T272" s="1364"/>
      <c r="U272" s="1644"/>
      <c r="V272" s="1364"/>
    </row>
    <row r="273" spans="3:22">
      <c r="C273" s="1460"/>
      <c r="D273" s="926"/>
      <c r="E273" s="926"/>
      <c r="F273" s="926"/>
      <c r="G273" s="926"/>
      <c r="H273" s="926"/>
      <c r="I273" s="926"/>
      <c r="J273" s="926"/>
      <c r="K273" s="926"/>
      <c r="L273" s="926"/>
      <c r="N273" s="926"/>
      <c r="O273" s="1364"/>
      <c r="P273" s="1364"/>
      <c r="Q273" s="1364"/>
      <c r="R273" s="1364"/>
      <c r="S273" s="1364"/>
      <c r="T273" s="1364"/>
      <c r="U273" s="1644"/>
      <c r="V273" s="1364"/>
    </row>
    <row r="274" spans="3:22">
      <c r="C274" s="1460"/>
      <c r="D274" s="926"/>
      <c r="E274" s="926"/>
      <c r="F274" s="926"/>
      <c r="G274" s="926"/>
      <c r="H274" s="926"/>
      <c r="I274" s="926"/>
      <c r="J274" s="926"/>
      <c r="K274" s="926"/>
      <c r="L274" s="926"/>
      <c r="N274" s="926"/>
      <c r="O274" s="1364"/>
      <c r="P274" s="1364"/>
      <c r="Q274" s="1364"/>
      <c r="R274" s="1364"/>
      <c r="S274" s="1364"/>
      <c r="T274" s="1364"/>
      <c r="U274" s="1644"/>
      <c r="V274" s="1364"/>
    </row>
    <row r="275" spans="3:22">
      <c r="C275" s="1460"/>
      <c r="D275" s="926"/>
      <c r="E275" s="926"/>
      <c r="F275" s="926"/>
      <c r="G275" s="926"/>
      <c r="H275" s="926"/>
      <c r="I275" s="926"/>
      <c r="J275" s="926"/>
      <c r="K275" s="926"/>
      <c r="L275" s="926"/>
      <c r="N275" s="926"/>
      <c r="O275" s="1364"/>
      <c r="P275" s="1364"/>
      <c r="Q275" s="1364"/>
      <c r="R275" s="1364"/>
      <c r="S275" s="1364"/>
      <c r="T275" s="1364"/>
      <c r="U275" s="1644"/>
      <c r="V275" s="1364"/>
    </row>
    <row r="276" spans="3:22">
      <c r="C276" s="1460"/>
      <c r="D276" s="926"/>
      <c r="E276" s="926"/>
      <c r="F276" s="926"/>
      <c r="G276" s="926"/>
      <c r="H276" s="926"/>
      <c r="I276" s="926"/>
      <c r="J276" s="926"/>
      <c r="K276" s="926"/>
      <c r="L276" s="926"/>
      <c r="N276" s="926"/>
      <c r="O276" s="1364"/>
      <c r="P276" s="1364"/>
      <c r="Q276" s="1364"/>
      <c r="R276" s="1364"/>
      <c r="S276" s="1364"/>
      <c r="T276" s="1364"/>
      <c r="U276" s="1644"/>
      <c r="V276" s="1364"/>
    </row>
    <row r="277" spans="3:22">
      <c r="C277" s="1460"/>
      <c r="D277" s="926"/>
      <c r="E277" s="926"/>
      <c r="F277" s="926"/>
      <c r="G277" s="926"/>
      <c r="H277" s="926"/>
      <c r="I277" s="926"/>
      <c r="J277" s="926"/>
      <c r="K277" s="926"/>
      <c r="L277" s="926"/>
      <c r="N277" s="926"/>
      <c r="O277" s="1364"/>
      <c r="P277" s="1364"/>
      <c r="Q277" s="1364"/>
      <c r="R277" s="1364"/>
      <c r="S277" s="1364"/>
      <c r="T277" s="1364"/>
      <c r="U277" s="1644"/>
      <c r="V277" s="1364"/>
    </row>
    <row r="278" spans="3:22">
      <c r="C278" s="1460"/>
      <c r="D278" s="926"/>
      <c r="E278" s="926"/>
      <c r="F278" s="926"/>
      <c r="G278" s="926"/>
      <c r="H278" s="926"/>
      <c r="I278" s="926"/>
      <c r="J278" s="926"/>
      <c r="K278" s="926"/>
      <c r="L278" s="926"/>
      <c r="N278" s="926"/>
      <c r="O278" s="1364"/>
      <c r="P278" s="1364"/>
      <c r="Q278" s="1364"/>
      <c r="R278" s="1364"/>
      <c r="S278" s="1364"/>
      <c r="T278" s="1364"/>
      <c r="U278" s="1644"/>
      <c r="V278" s="1364"/>
    </row>
    <row r="279" spans="3:22">
      <c r="C279" s="1460"/>
      <c r="D279" s="926"/>
      <c r="E279" s="926"/>
      <c r="F279" s="926"/>
      <c r="G279" s="926"/>
      <c r="H279" s="926"/>
      <c r="I279" s="926"/>
      <c r="J279" s="926"/>
      <c r="K279" s="926"/>
      <c r="L279" s="926"/>
      <c r="N279" s="926"/>
      <c r="O279" s="1364"/>
      <c r="P279" s="1364"/>
      <c r="Q279" s="1364"/>
      <c r="R279" s="1364"/>
      <c r="S279" s="1364"/>
      <c r="T279" s="1364"/>
      <c r="U279" s="1644"/>
      <c r="V279" s="1364"/>
    </row>
    <row r="280" spans="3:22">
      <c r="C280" s="1460"/>
      <c r="D280" s="926"/>
      <c r="E280" s="926"/>
      <c r="F280" s="926"/>
      <c r="G280" s="926"/>
      <c r="H280" s="926"/>
      <c r="I280" s="926"/>
      <c r="J280" s="926"/>
      <c r="K280" s="926"/>
      <c r="L280" s="926"/>
      <c r="N280" s="926"/>
      <c r="O280" s="1364"/>
      <c r="P280" s="1364"/>
      <c r="Q280" s="1364"/>
      <c r="R280" s="1364"/>
      <c r="S280" s="1364"/>
      <c r="T280" s="1364"/>
      <c r="U280" s="1644"/>
      <c r="V280" s="1364"/>
    </row>
    <row r="281" spans="3:22">
      <c r="C281" s="1460"/>
      <c r="D281" s="926"/>
      <c r="E281" s="926"/>
      <c r="F281" s="926"/>
      <c r="G281" s="926"/>
      <c r="H281" s="926"/>
      <c r="I281" s="926"/>
      <c r="J281" s="926"/>
      <c r="K281" s="926"/>
      <c r="L281" s="926"/>
      <c r="N281" s="926"/>
      <c r="O281" s="1364"/>
      <c r="P281" s="1364"/>
      <c r="Q281" s="1364"/>
      <c r="R281" s="1364"/>
      <c r="S281" s="1364"/>
      <c r="T281" s="1364"/>
      <c r="U281" s="1644"/>
      <c r="V281" s="1364"/>
    </row>
    <row r="282" spans="3:22">
      <c r="C282" s="1460"/>
      <c r="D282" s="926"/>
      <c r="E282" s="926"/>
      <c r="F282" s="926"/>
      <c r="G282" s="926"/>
      <c r="H282" s="926"/>
      <c r="I282" s="926"/>
      <c r="J282" s="926"/>
      <c r="K282" s="926"/>
      <c r="L282" s="926"/>
      <c r="N282" s="926"/>
      <c r="O282" s="1364"/>
      <c r="P282" s="1364"/>
      <c r="Q282" s="1364"/>
      <c r="R282" s="1364"/>
      <c r="S282" s="1364"/>
      <c r="T282" s="1364"/>
      <c r="U282" s="1644"/>
      <c r="V282" s="1364"/>
    </row>
    <row r="283" spans="3:22">
      <c r="C283" s="1460"/>
      <c r="D283" s="926"/>
      <c r="E283" s="926"/>
      <c r="F283" s="926"/>
      <c r="G283" s="926"/>
      <c r="H283" s="926"/>
      <c r="I283" s="926"/>
      <c r="J283" s="926"/>
      <c r="K283" s="926"/>
      <c r="L283" s="926"/>
      <c r="N283" s="926"/>
      <c r="O283" s="1364"/>
      <c r="P283" s="1364"/>
      <c r="Q283" s="1364"/>
      <c r="R283" s="1364"/>
      <c r="S283" s="1364"/>
      <c r="T283" s="1364"/>
      <c r="U283" s="1644"/>
      <c r="V283" s="1364"/>
    </row>
    <row r="284" spans="3:22">
      <c r="C284" s="1460"/>
      <c r="D284" s="926"/>
      <c r="E284" s="926"/>
      <c r="F284" s="926"/>
      <c r="G284" s="926"/>
      <c r="H284" s="926"/>
      <c r="I284" s="926"/>
      <c r="J284" s="926"/>
      <c r="K284" s="926"/>
      <c r="L284" s="926"/>
      <c r="N284" s="926"/>
      <c r="O284" s="1364"/>
      <c r="P284" s="1364"/>
      <c r="Q284" s="1364"/>
      <c r="R284" s="1364"/>
      <c r="S284" s="1364"/>
      <c r="T284" s="1364"/>
      <c r="U284" s="1644"/>
      <c r="V284" s="1364"/>
    </row>
    <row r="285" spans="3:22">
      <c r="C285" s="1460"/>
      <c r="D285" s="926"/>
      <c r="E285" s="926"/>
      <c r="F285" s="926"/>
      <c r="G285" s="926"/>
      <c r="H285" s="926"/>
      <c r="I285" s="926"/>
      <c r="J285" s="926"/>
      <c r="K285" s="926"/>
      <c r="L285" s="926"/>
      <c r="N285" s="926"/>
      <c r="O285" s="1364"/>
      <c r="P285" s="1364"/>
      <c r="Q285" s="1364"/>
      <c r="R285" s="1364"/>
      <c r="S285" s="1364"/>
      <c r="T285" s="1364"/>
      <c r="U285" s="1644"/>
      <c r="V285" s="1364"/>
    </row>
    <row r="286" spans="3:22">
      <c r="C286" s="1460"/>
      <c r="D286" s="926"/>
      <c r="E286" s="926"/>
      <c r="F286" s="926"/>
      <c r="G286" s="926"/>
      <c r="H286" s="926"/>
      <c r="I286" s="926"/>
      <c r="J286" s="926"/>
      <c r="K286" s="926"/>
      <c r="L286" s="926"/>
      <c r="N286" s="926"/>
      <c r="O286" s="1364"/>
      <c r="P286" s="1364"/>
      <c r="Q286" s="1364"/>
      <c r="R286" s="1364"/>
      <c r="S286" s="1364"/>
      <c r="T286" s="1364"/>
      <c r="U286" s="1644"/>
      <c r="V286" s="1364"/>
    </row>
    <row r="287" spans="3:22">
      <c r="C287" s="1460"/>
      <c r="D287" s="926"/>
      <c r="E287" s="926"/>
      <c r="F287" s="926"/>
      <c r="G287" s="926"/>
      <c r="H287" s="926"/>
      <c r="I287" s="926"/>
      <c r="J287" s="926"/>
      <c r="K287" s="926"/>
      <c r="L287" s="926"/>
      <c r="N287" s="926"/>
      <c r="O287" s="1364"/>
      <c r="P287" s="1364"/>
      <c r="Q287" s="1364"/>
      <c r="R287" s="1364"/>
      <c r="S287" s="1364"/>
      <c r="T287" s="1364"/>
      <c r="U287" s="1644"/>
      <c r="V287" s="1364"/>
    </row>
    <row r="288" spans="3:22">
      <c r="C288" s="1460"/>
      <c r="D288" s="926"/>
      <c r="E288" s="926"/>
      <c r="F288" s="926"/>
      <c r="G288" s="926"/>
      <c r="H288" s="926"/>
      <c r="I288" s="926"/>
      <c r="J288" s="926"/>
      <c r="K288" s="926"/>
      <c r="L288" s="926"/>
      <c r="N288" s="926"/>
      <c r="O288" s="1364"/>
      <c r="P288" s="1364"/>
      <c r="Q288" s="1364"/>
      <c r="R288" s="1364"/>
      <c r="S288" s="1364"/>
      <c r="T288" s="1364"/>
      <c r="U288" s="1644"/>
      <c r="V288" s="1364"/>
    </row>
    <row r="289" spans="3:22">
      <c r="C289" s="1460"/>
      <c r="D289" s="926"/>
      <c r="E289" s="926"/>
      <c r="F289" s="926"/>
      <c r="G289" s="926"/>
      <c r="H289" s="926"/>
      <c r="I289" s="926"/>
      <c r="J289" s="926"/>
      <c r="K289" s="926"/>
      <c r="L289" s="926"/>
      <c r="N289" s="926"/>
      <c r="O289" s="1364"/>
      <c r="P289" s="1364"/>
      <c r="Q289" s="1364"/>
      <c r="R289" s="1364"/>
      <c r="S289" s="1364"/>
      <c r="T289" s="1364"/>
      <c r="U289" s="1644"/>
      <c r="V289" s="1364"/>
    </row>
    <row r="290" spans="3:22">
      <c r="C290" s="1460"/>
      <c r="D290" s="926"/>
      <c r="E290" s="926"/>
      <c r="F290" s="926"/>
      <c r="G290" s="926"/>
      <c r="H290" s="926"/>
      <c r="I290" s="926"/>
      <c r="J290" s="926"/>
      <c r="K290" s="926"/>
      <c r="L290" s="926"/>
      <c r="N290" s="926"/>
      <c r="O290" s="1364"/>
      <c r="P290" s="1364"/>
      <c r="Q290" s="1364"/>
      <c r="R290" s="1364"/>
      <c r="S290" s="1364"/>
      <c r="T290" s="1364"/>
      <c r="U290" s="1644"/>
      <c r="V290" s="1364"/>
    </row>
    <row r="291" spans="3:22">
      <c r="C291" s="1460"/>
      <c r="D291" s="926"/>
      <c r="E291" s="926"/>
      <c r="F291" s="926"/>
      <c r="G291" s="926"/>
      <c r="H291" s="926"/>
      <c r="I291" s="926"/>
      <c r="J291" s="926"/>
      <c r="K291" s="926"/>
      <c r="L291" s="926"/>
      <c r="N291" s="926"/>
      <c r="O291" s="1364"/>
      <c r="P291" s="1364"/>
      <c r="Q291" s="1364"/>
      <c r="R291" s="1364"/>
      <c r="S291" s="1364"/>
      <c r="T291" s="1364"/>
      <c r="U291" s="1644"/>
      <c r="V291" s="1364"/>
    </row>
    <row r="292" spans="3:22">
      <c r="C292" s="1460"/>
      <c r="D292" s="926"/>
      <c r="E292" s="926"/>
      <c r="F292" s="926"/>
      <c r="G292" s="926"/>
      <c r="H292" s="926"/>
      <c r="I292" s="926"/>
      <c r="J292" s="926"/>
      <c r="K292" s="926"/>
      <c r="L292" s="926"/>
      <c r="N292" s="926"/>
      <c r="O292" s="1364"/>
      <c r="P292" s="1364"/>
      <c r="Q292" s="1364"/>
      <c r="R292" s="1364"/>
      <c r="S292" s="1364"/>
      <c r="T292" s="1364"/>
      <c r="U292" s="1644"/>
      <c r="V292" s="1364"/>
    </row>
    <row r="293" spans="3:22">
      <c r="C293" s="1460"/>
      <c r="D293" s="926"/>
      <c r="E293" s="926"/>
      <c r="F293" s="926"/>
      <c r="G293" s="926"/>
      <c r="H293" s="926"/>
      <c r="I293" s="926"/>
      <c r="J293" s="926"/>
      <c r="K293" s="926"/>
      <c r="L293" s="926"/>
      <c r="N293" s="926"/>
      <c r="O293" s="1364"/>
      <c r="P293" s="1364"/>
      <c r="Q293" s="1364"/>
      <c r="R293" s="1364"/>
      <c r="S293" s="1364"/>
      <c r="T293" s="1364"/>
      <c r="U293" s="1644"/>
      <c r="V293" s="1364"/>
    </row>
    <row r="294" spans="3:22">
      <c r="C294" s="1460"/>
      <c r="D294" s="926"/>
      <c r="E294" s="926"/>
      <c r="F294" s="926"/>
      <c r="G294" s="926"/>
      <c r="H294" s="926"/>
      <c r="I294" s="926"/>
      <c r="J294" s="926"/>
      <c r="K294" s="926"/>
      <c r="L294" s="926"/>
      <c r="N294" s="926"/>
      <c r="O294" s="1364"/>
      <c r="P294" s="1364"/>
      <c r="Q294" s="1364"/>
      <c r="R294" s="1364"/>
      <c r="S294" s="1364"/>
      <c r="T294" s="1364"/>
      <c r="U294" s="1644"/>
      <c r="V294" s="1364"/>
    </row>
    <row r="295" spans="3:22">
      <c r="C295" s="1460"/>
      <c r="D295" s="926"/>
      <c r="E295" s="926"/>
      <c r="F295" s="926"/>
      <c r="G295" s="926"/>
      <c r="H295" s="926"/>
      <c r="I295" s="926"/>
      <c r="J295" s="926"/>
      <c r="K295" s="926"/>
      <c r="L295" s="926"/>
      <c r="N295" s="926"/>
      <c r="O295" s="1364"/>
      <c r="P295" s="1364"/>
      <c r="Q295" s="1364"/>
      <c r="R295" s="1364"/>
      <c r="S295" s="1364"/>
      <c r="T295" s="1364"/>
      <c r="U295" s="1644"/>
      <c r="V295" s="1364"/>
    </row>
    <row r="296" spans="3:22">
      <c r="C296" s="1460"/>
      <c r="D296" s="926"/>
      <c r="E296" s="926"/>
      <c r="F296" s="926"/>
      <c r="G296" s="926"/>
      <c r="H296" s="926"/>
      <c r="I296" s="926"/>
      <c r="J296" s="926"/>
      <c r="K296" s="926"/>
      <c r="L296" s="926"/>
      <c r="N296" s="926"/>
      <c r="O296" s="1364"/>
      <c r="P296" s="1364"/>
      <c r="Q296" s="1364"/>
      <c r="R296" s="1364"/>
      <c r="S296" s="1364"/>
      <c r="T296" s="1364"/>
      <c r="U296" s="1644"/>
      <c r="V296" s="1364"/>
    </row>
    <row r="297" spans="3:22">
      <c r="C297" s="1460"/>
      <c r="D297" s="926"/>
      <c r="E297" s="926"/>
      <c r="F297" s="926"/>
      <c r="G297" s="926"/>
      <c r="H297" s="926"/>
      <c r="I297" s="926"/>
      <c r="J297" s="926"/>
      <c r="K297" s="926"/>
      <c r="L297" s="926"/>
      <c r="N297" s="926"/>
      <c r="O297" s="1364"/>
      <c r="P297" s="1364"/>
      <c r="Q297" s="1364"/>
      <c r="R297" s="1364"/>
      <c r="S297" s="1364"/>
      <c r="T297" s="1364"/>
      <c r="U297" s="1644"/>
      <c r="V297" s="1364"/>
    </row>
    <row r="298" spans="3:22">
      <c r="C298" s="1460"/>
      <c r="D298" s="926"/>
      <c r="E298" s="926"/>
      <c r="F298" s="926"/>
      <c r="G298" s="926"/>
      <c r="H298" s="926"/>
      <c r="I298" s="926"/>
      <c r="J298" s="926"/>
      <c r="K298" s="926"/>
      <c r="L298" s="926"/>
      <c r="N298" s="926"/>
      <c r="O298" s="1364"/>
      <c r="P298" s="1364"/>
      <c r="Q298" s="1364"/>
      <c r="R298" s="1364"/>
      <c r="S298" s="1364"/>
      <c r="T298" s="1364"/>
      <c r="U298" s="1644"/>
      <c r="V298" s="1364"/>
    </row>
    <row r="299" spans="3:22">
      <c r="C299" s="1460"/>
      <c r="D299" s="926"/>
      <c r="E299" s="926"/>
      <c r="F299" s="926"/>
      <c r="G299" s="926"/>
      <c r="H299" s="926"/>
      <c r="I299" s="926"/>
      <c r="J299" s="926"/>
      <c r="K299" s="926"/>
      <c r="L299" s="926"/>
      <c r="N299" s="926"/>
      <c r="O299" s="1364"/>
      <c r="P299" s="1364"/>
      <c r="Q299" s="1364"/>
      <c r="R299" s="1364"/>
      <c r="S299" s="1364"/>
      <c r="T299" s="1364"/>
      <c r="U299" s="1644"/>
      <c r="V299" s="1364"/>
    </row>
    <row r="300" spans="3:22">
      <c r="C300" s="1460"/>
      <c r="D300" s="926"/>
      <c r="E300" s="926"/>
      <c r="F300" s="926"/>
      <c r="G300" s="926"/>
      <c r="H300" s="926"/>
      <c r="I300" s="926"/>
      <c r="J300" s="926"/>
      <c r="K300" s="926"/>
      <c r="L300" s="926"/>
      <c r="N300" s="926"/>
      <c r="O300" s="1364"/>
      <c r="P300" s="1364"/>
      <c r="Q300" s="1364"/>
      <c r="R300" s="1364"/>
      <c r="S300" s="1364"/>
      <c r="T300" s="1364"/>
      <c r="U300" s="1644"/>
      <c r="V300" s="1364"/>
    </row>
    <row r="301" spans="3:22">
      <c r="C301" s="1460"/>
      <c r="D301" s="926"/>
      <c r="E301" s="926"/>
      <c r="F301" s="926"/>
      <c r="G301" s="926"/>
      <c r="H301" s="926"/>
      <c r="I301" s="926"/>
      <c r="J301" s="926"/>
      <c r="K301" s="926"/>
      <c r="L301" s="926"/>
      <c r="N301" s="926"/>
      <c r="O301" s="1364"/>
      <c r="P301" s="1364"/>
      <c r="Q301" s="1364"/>
      <c r="R301" s="1364"/>
      <c r="S301" s="1364"/>
      <c r="T301" s="1364"/>
      <c r="U301" s="1644"/>
      <c r="V301" s="1364"/>
    </row>
    <row r="302" spans="3:22">
      <c r="C302" s="1460"/>
      <c r="D302" s="926"/>
      <c r="E302" s="926"/>
      <c r="F302" s="926"/>
      <c r="G302" s="926"/>
      <c r="H302" s="926"/>
      <c r="I302" s="926"/>
      <c r="J302" s="926"/>
      <c r="K302" s="926"/>
      <c r="L302" s="926"/>
      <c r="N302" s="926"/>
      <c r="O302" s="1364"/>
      <c r="P302" s="1364"/>
      <c r="Q302" s="1364"/>
      <c r="R302" s="1364"/>
      <c r="S302" s="1364"/>
      <c r="T302" s="1364"/>
      <c r="U302" s="1644"/>
      <c r="V302" s="1364"/>
    </row>
    <row r="303" spans="3:22">
      <c r="C303" s="1460"/>
      <c r="D303" s="926"/>
      <c r="E303" s="926"/>
      <c r="F303" s="926"/>
      <c r="G303" s="926"/>
      <c r="H303" s="926"/>
      <c r="I303" s="926"/>
      <c r="J303" s="926"/>
      <c r="K303" s="926"/>
      <c r="L303" s="926"/>
      <c r="N303" s="926"/>
      <c r="O303" s="1364"/>
      <c r="P303" s="1364"/>
      <c r="Q303" s="1364"/>
      <c r="R303" s="1364"/>
      <c r="S303" s="1364"/>
      <c r="T303" s="1364"/>
      <c r="U303" s="1644"/>
      <c r="V303" s="1364"/>
    </row>
    <row r="304" spans="3:22">
      <c r="C304" s="1460"/>
      <c r="D304" s="926"/>
      <c r="E304" s="926"/>
      <c r="F304" s="926"/>
      <c r="G304" s="926"/>
      <c r="H304" s="926"/>
      <c r="I304" s="926"/>
      <c r="J304" s="926"/>
      <c r="K304" s="926"/>
      <c r="L304" s="926"/>
      <c r="N304" s="926"/>
      <c r="O304" s="1364"/>
      <c r="P304" s="1364"/>
      <c r="Q304" s="1364"/>
      <c r="R304" s="1364"/>
      <c r="S304" s="1364"/>
      <c r="T304" s="1364"/>
      <c r="U304" s="1644"/>
      <c r="V304" s="1364"/>
    </row>
    <row r="305" spans="3:22">
      <c r="C305" s="1460"/>
      <c r="D305" s="926"/>
      <c r="E305" s="926"/>
      <c r="F305" s="926"/>
      <c r="G305" s="926"/>
      <c r="H305" s="926"/>
      <c r="I305" s="926"/>
      <c r="J305" s="926"/>
      <c r="K305" s="926"/>
      <c r="L305" s="926"/>
      <c r="N305" s="926"/>
      <c r="O305" s="1364"/>
      <c r="P305" s="1364"/>
      <c r="Q305" s="1364"/>
      <c r="R305" s="1364"/>
      <c r="S305" s="1364"/>
      <c r="T305" s="1364"/>
      <c r="U305" s="1644"/>
      <c r="V305" s="1364"/>
    </row>
    <row r="306" spans="3:22">
      <c r="C306" s="1460"/>
      <c r="D306" s="926"/>
      <c r="E306" s="926"/>
      <c r="F306" s="926"/>
      <c r="G306" s="926"/>
      <c r="H306" s="926"/>
      <c r="I306" s="926"/>
      <c r="J306" s="926"/>
      <c r="K306" s="926"/>
      <c r="L306" s="926"/>
      <c r="N306" s="926"/>
      <c r="O306" s="1364"/>
      <c r="P306" s="1364"/>
      <c r="Q306" s="1364"/>
      <c r="R306" s="1364"/>
      <c r="S306" s="1364"/>
      <c r="T306" s="1364"/>
      <c r="U306" s="1644"/>
      <c r="V306" s="1364"/>
    </row>
    <row r="307" spans="3:22">
      <c r="C307" s="1460"/>
      <c r="D307" s="926"/>
      <c r="E307" s="926"/>
      <c r="F307" s="926"/>
      <c r="G307" s="926"/>
      <c r="H307" s="926"/>
      <c r="I307" s="926"/>
      <c r="J307" s="926"/>
      <c r="K307" s="926"/>
      <c r="L307" s="926"/>
      <c r="N307" s="926"/>
      <c r="O307" s="1364"/>
      <c r="P307" s="1364"/>
      <c r="Q307" s="1364"/>
      <c r="R307" s="1364"/>
      <c r="S307" s="1364"/>
      <c r="T307" s="1364"/>
      <c r="U307" s="1644"/>
      <c r="V307" s="1364"/>
    </row>
    <row r="308" spans="3:22">
      <c r="C308" s="1460"/>
      <c r="D308" s="926"/>
      <c r="E308" s="926"/>
      <c r="F308" s="926"/>
      <c r="G308" s="926"/>
      <c r="H308" s="926"/>
      <c r="I308" s="926"/>
      <c r="J308" s="926"/>
      <c r="K308" s="926"/>
      <c r="L308" s="926"/>
      <c r="N308" s="926"/>
      <c r="O308" s="1364"/>
      <c r="P308" s="1364"/>
      <c r="Q308" s="1364"/>
      <c r="R308" s="1364"/>
      <c r="S308" s="1364"/>
      <c r="T308" s="1364"/>
      <c r="U308" s="1644"/>
      <c r="V308" s="1364"/>
    </row>
    <row r="309" spans="3:22">
      <c r="C309" s="1460"/>
      <c r="D309" s="926"/>
      <c r="E309" s="926"/>
      <c r="F309" s="926"/>
      <c r="G309" s="926"/>
      <c r="H309" s="926"/>
      <c r="I309" s="926"/>
      <c r="J309" s="926"/>
      <c r="K309" s="926"/>
      <c r="L309" s="926"/>
      <c r="N309" s="926"/>
      <c r="O309" s="1364"/>
      <c r="P309" s="1364"/>
      <c r="Q309" s="1364"/>
      <c r="R309" s="1364"/>
      <c r="S309" s="1364"/>
      <c r="T309" s="1364"/>
      <c r="V309" s="1364"/>
    </row>
    <row r="310" spans="3:22">
      <c r="C310" s="1460"/>
      <c r="D310" s="926"/>
      <c r="E310" s="926"/>
      <c r="F310" s="926"/>
      <c r="G310" s="926"/>
      <c r="H310" s="926"/>
      <c r="I310" s="926"/>
      <c r="J310" s="926"/>
      <c r="K310" s="926"/>
      <c r="L310" s="926"/>
      <c r="N310" s="926"/>
      <c r="O310" s="1364"/>
      <c r="P310" s="1364"/>
      <c r="Q310" s="1364"/>
      <c r="R310" s="1364"/>
      <c r="S310" s="1364"/>
      <c r="T310" s="1364"/>
      <c r="V310" s="1364"/>
    </row>
    <row r="311" spans="3:22">
      <c r="C311" s="1460"/>
      <c r="D311" s="926"/>
      <c r="E311" s="926"/>
      <c r="F311" s="926"/>
      <c r="G311" s="926"/>
      <c r="H311" s="926"/>
      <c r="I311" s="926"/>
      <c r="J311" s="926"/>
      <c r="K311" s="926"/>
      <c r="L311" s="926"/>
      <c r="N311" s="926"/>
      <c r="O311" s="1364"/>
      <c r="P311" s="1364"/>
      <c r="Q311" s="1364"/>
      <c r="R311" s="1364"/>
      <c r="S311" s="1364"/>
      <c r="T311" s="1364"/>
      <c r="V311" s="1364"/>
    </row>
    <row r="312" spans="3:22">
      <c r="C312" s="1460"/>
      <c r="D312" s="926"/>
      <c r="E312" s="926"/>
      <c r="F312" s="926"/>
      <c r="G312" s="926"/>
      <c r="H312" s="926"/>
      <c r="I312" s="926"/>
      <c r="J312" s="926"/>
      <c r="K312" s="926"/>
      <c r="L312" s="926"/>
      <c r="N312" s="926"/>
      <c r="O312" s="1364"/>
      <c r="P312" s="1364"/>
      <c r="Q312" s="1364"/>
      <c r="R312" s="1364"/>
      <c r="S312" s="1364"/>
      <c r="T312" s="1364"/>
      <c r="V312" s="1364"/>
    </row>
    <row r="313" spans="3:22">
      <c r="C313" s="1460"/>
      <c r="D313" s="926"/>
      <c r="E313" s="926"/>
      <c r="F313" s="926"/>
      <c r="G313" s="926"/>
      <c r="H313" s="926"/>
      <c r="I313" s="926"/>
      <c r="J313" s="926"/>
      <c r="K313" s="926"/>
      <c r="L313" s="926"/>
      <c r="N313" s="926"/>
      <c r="O313" s="1364"/>
      <c r="P313" s="1364"/>
      <c r="Q313" s="1364"/>
      <c r="R313" s="1364"/>
      <c r="S313" s="1364"/>
      <c r="T313" s="1364"/>
      <c r="V313" s="1364"/>
    </row>
    <row r="314" spans="3:22">
      <c r="C314" s="1460"/>
      <c r="D314" s="926"/>
      <c r="E314" s="926"/>
      <c r="F314" s="926"/>
      <c r="G314" s="926"/>
      <c r="H314" s="926"/>
      <c r="I314" s="926"/>
      <c r="J314" s="926"/>
      <c r="K314" s="926"/>
      <c r="L314" s="926"/>
      <c r="N314" s="926"/>
      <c r="O314" s="1364"/>
      <c r="P314" s="1364"/>
      <c r="Q314" s="1364"/>
      <c r="R314" s="1364"/>
      <c r="S314" s="1364"/>
      <c r="T314" s="1364"/>
      <c r="V314" s="1364"/>
    </row>
    <row r="315" spans="3:22">
      <c r="C315" s="1460"/>
      <c r="D315" s="926"/>
      <c r="E315" s="926"/>
      <c r="F315" s="926"/>
      <c r="G315" s="926"/>
      <c r="H315" s="926"/>
      <c r="I315" s="926"/>
      <c r="J315" s="926"/>
      <c r="K315" s="926"/>
      <c r="L315" s="926"/>
      <c r="N315" s="926"/>
      <c r="O315" s="1364"/>
      <c r="P315" s="1364"/>
      <c r="Q315" s="1364"/>
      <c r="R315" s="1364"/>
      <c r="S315" s="1364"/>
      <c r="T315" s="1364"/>
      <c r="V315" s="1364"/>
    </row>
    <row r="316" spans="3:22">
      <c r="C316" s="1460"/>
      <c r="D316" s="926"/>
      <c r="E316" s="926"/>
      <c r="F316" s="926"/>
      <c r="G316" s="926"/>
      <c r="H316" s="926"/>
      <c r="I316" s="926"/>
      <c r="J316" s="926"/>
      <c r="K316" s="926"/>
      <c r="L316" s="926"/>
      <c r="N316" s="926"/>
      <c r="O316" s="1364"/>
      <c r="P316" s="1364"/>
      <c r="Q316" s="1364"/>
      <c r="R316" s="1364"/>
      <c r="S316" s="1364"/>
      <c r="T316" s="1364"/>
      <c r="V316" s="1364"/>
    </row>
    <row r="317" spans="3:22">
      <c r="C317" s="1460"/>
      <c r="D317" s="926"/>
      <c r="E317" s="926"/>
      <c r="F317" s="926"/>
      <c r="G317" s="926"/>
      <c r="H317" s="926"/>
      <c r="I317" s="926"/>
      <c r="J317" s="926"/>
      <c r="K317" s="926"/>
      <c r="L317" s="926"/>
      <c r="N317" s="926"/>
      <c r="O317" s="1364"/>
      <c r="P317" s="1364"/>
      <c r="Q317" s="1364"/>
      <c r="R317" s="1364"/>
      <c r="S317" s="1364"/>
      <c r="T317" s="1364"/>
      <c r="V317" s="1364"/>
    </row>
    <row r="318" spans="3:22">
      <c r="C318" s="1460"/>
      <c r="D318" s="926"/>
      <c r="E318" s="926"/>
      <c r="F318" s="926"/>
      <c r="G318" s="926"/>
      <c r="H318" s="926"/>
      <c r="I318" s="926"/>
      <c r="J318" s="926"/>
      <c r="K318" s="926"/>
      <c r="L318" s="926"/>
      <c r="N318" s="926"/>
      <c r="O318" s="1364"/>
      <c r="P318" s="1364"/>
      <c r="Q318" s="1364"/>
      <c r="R318" s="1364"/>
      <c r="S318" s="1364"/>
      <c r="T318" s="1364"/>
      <c r="V318" s="1364"/>
    </row>
    <row r="319" spans="3:22">
      <c r="C319" s="1460"/>
      <c r="D319" s="926"/>
      <c r="E319" s="926"/>
      <c r="F319" s="926"/>
      <c r="G319" s="926"/>
      <c r="H319" s="926"/>
      <c r="I319" s="926"/>
      <c r="J319" s="926"/>
      <c r="K319" s="926"/>
      <c r="L319" s="926"/>
      <c r="N319" s="926"/>
      <c r="O319" s="1364"/>
      <c r="P319" s="1364"/>
      <c r="Q319" s="1364"/>
      <c r="R319" s="1364"/>
      <c r="S319" s="1364"/>
      <c r="T319" s="1364"/>
      <c r="V319" s="1364"/>
    </row>
    <row r="320" spans="3:22">
      <c r="C320" s="1460"/>
      <c r="D320" s="926"/>
      <c r="E320" s="926"/>
      <c r="F320" s="926"/>
      <c r="G320" s="926"/>
      <c r="H320" s="926"/>
      <c r="I320" s="926"/>
      <c r="J320" s="926"/>
      <c r="K320" s="926"/>
      <c r="L320" s="926"/>
      <c r="N320" s="926"/>
      <c r="O320" s="1364"/>
      <c r="P320" s="1364"/>
      <c r="Q320" s="1364"/>
      <c r="R320" s="1364"/>
      <c r="S320" s="1364"/>
      <c r="T320" s="1364"/>
      <c r="V320" s="1364"/>
    </row>
    <row r="321" spans="3:22">
      <c r="C321" s="1460"/>
      <c r="D321" s="926"/>
      <c r="E321" s="926"/>
      <c r="F321" s="926"/>
      <c r="G321" s="926"/>
      <c r="H321" s="926"/>
      <c r="I321" s="926"/>
      <c r="J321" s="926"/>
      <c r="K321" s="926"/>
      <c r="L321" s="926"/>
      <c r="N321" s="926"/>
      <c r="O321" s="1364"/>
      <c r="P321" s="1364"/>
      <c r="Q321" s="1364"/>
      <c r="R321" s="1364"/>
      <c r="S321" s="1364"/>
      <c r="T321" s="1364"/>
      <c r="V321" s="1364"/>
    </row>
    <row r="322" spans="3:22">
      <c r="C322" s="1460"/>
      <c r="D322" s="926"/>
      <c r="E322" s="926"/>
      <c r="F322" s="926"/>
      <c r="G322" s="926"/>
      <c r="H322" s="926"/>
      <c r="I322" s="926"/>
      <c r="J322" s="926"/>
      <c r="K322" s="926"/>
      <c r="L322" s="926"/>
      <c r="N322" s="926"/>
      <c r="O322" s="1364"/>
      <c r="P322" s="1364"/>
      <c r="Q322" s="1364"/>
      <c r="R322" s="1364"/>
      <c r="S322" s="1364"/>
      <c r="T322" s="1364"/>
      <c r="V322" s="1364"/>
    </row>
    <row r="323" spans="3:22">
      <c r="C323" s="1460"/>
      <c r="D323" s="926"/>
      <c r="E323" s="926"/>
      <c r="F323" s="926"/>
      <c r="G323" s="926"/>
      <c r="H323" s="926"/>
      <c r="I323" s="926"/>
      <c r="J323" s="926"/>
      <c r="K323" s="926"/>
      <c r="L323" s="926"/>
      <c r="N323" s="926"/>
      <c r="O323" s="1364"/>
      <c r="P323" s="1364"/>
      <c r="Q323" s="1364"/>
      <c r="R323" s="1364"/>
      <c r="S323" s="1364"/>
      <c r="T323" s="1364"/>
      <c r="V323" s="1364"/>
    </row>
    <row r="324" spans="3:22">
      <c r="C324" s="1460"/>
      <c r="D324" s="926"/>
      <c r="E324" s="926"/>
      <c r="F324" s="926"/>
      <c r="G324" s="926"/>
      <c r="H324" s="926"/>
      <c r="I324" s="926"/>
      <c r="J324" s="926"/>
      <c r="K324" s="926"/>
      <c r="L324" s="926"/>
      <c r="N324" s="926"/>
      <c r="O324" s="1364"/>
      <c r="P324" s="1364"/>
      <c r="Q324" s="1364"/>
      <c r="R324" s="1364"/>
      <c r="S324" s="1364"/>
      <c r="T324" s="1364"/>
      <c r="V324" s="1364"/>
    </row>
    <row r="325" spans="3:22">
      <c r="C325" s="1460"/>
      <c r="D325" s="926"/>
      <c r="E325" s="926"/>
      <c r="F325" s="926"/>
      <c r="G325" s="926"/>
      <c r="H325" s="926"/>
      <c r="I325" s="926"/>
      <c r="J325" s="926"/>
      <c r="K325" s="926"/>
      <c r="L325" s="926"/>
      <c r="N325" s="926"/>
      <c r="O325" s="1364"/>
      <c r="P325" s="1364"/>
      <c r="Q325" s="1364"/>
      <c r="R325" s="1364"/>
      <c r="S325" s="1364"/>
      <c r="T325" s="1364"/>
      <c r="V325" s="1364"/>
    </row>
    <row r="326" spans="3:22">
      <c r="C326" s="1460"/>
      <c r="D326" s="926"/>
      <c r="E326" s="926"/>
      <c r="F326" s="926"/>
      <c r="G326" s="926"/>
      <c r="H326" s="926"/>
      <c r="I326" s="926"/>
      <c r="J326" s="926"/>
      <c r="K326" s="926"/>
      <c r="L326" s="926"/>
      <c r="N326" s="926"/>
      <c r="O326" s="1364"/>
      <c r="P326" s="1364"/>
      <c r="Q326" s="1364"/>
      <c r="R326" s="1364"/>
      <c r="S326" s="1364"/>
      <c r="T326" s="1364"/>
      <c r="V326" s="1364"/>
    </row>
    <row r="327" spans="3:22">
      <c r="C327" s="1460"/>
      <c r="D327" s="926"/>
      <c r="E327" s="926"/>
      <c r="F327" s="926"/>
      <c r="G327" s="926"/>
      <c r="H327" s="926"/>
      <c r="I327" s="926"/>
      <c r="J327" s="926"/>
      <c r="K327" s="926"/>
      <c r="L327" s="926"/>
      <c r="N327" s="926"/>
      <c r="O327" s="1364"/>
      <c r="P327" s="1364"/>
      <c r="Q327" s="1364"/>
      <c r="R327" s="1364"/>
      <c r="S327" s="1364"/>
      <c r="T327" s="1364"/>
      <c r="V327" s="1364"/>
    </row>
    <row r="328" spans="3:22">
      <c r="C328" s="1460"/>
      <c r="D328" s="926"/>
      <c r="E328" s="926"/>
      <c r="F328" s="926"/>
      <c r="G328" s="926"/>
      <c r="H328" s="926"/>
      <c r="I328" s="926"/>
      <c r="J328" s="926"/>
      <c r="K328" s="926"/>
      <c r="L328" s="926"/>
      <c r="N328" s="926"/>
      <c r="O328" s="1364"/>
      <c r="P328" s="1364"/>
      <c r="Q328" s="1364"/>
      <c r="R328" s="1364"/>
      <c r="S328" s="1364"/>
      <c r="T328" s="1364"/>
      <c r="V328" s="1364"/>
    </row>
    <row r="329" spans="3:22">
      <c r="C329" s="1460"/>
      <c r="D329" s="926"/>
      <c r="E329" s="926"/>
      <c r="F329" s="926"/>
      <c r="G329" s="926"/>
      <c r="H329" s="926"/>
      <c r="I329" s="926"/>
      <c r="J329" s="926"/>
      <c r="K329" s="926"/>
      <c r="L329" s="926"/>
      <c r="N329" s="926"/>
      <c r="O329" s="1364"/>
      <c r="P329" s="1364"/>
      <c r="Q329" s="1364"/>
      <c r="R329" s="1364"/>
      <c r="S329" s="1364"/>
      <c r="T329" s="1364"/>
      <c r="V329" s="1364"/>
    </row>
    <row r="330" spans="3:22">
      <c r="C330" s="1460"/>
      <c r="D330" s="926"/>
      <c r="E330" s="926"/>
      <c r="F330" s="926"/>
      <c r="G330" s="926"/>
      <c r="H330" s="926"/>
      <c r="I330" s="926"/>
      <c r="J330" s="926"/>
      <c r="K330" s="926"/>
      <c r="L330" s="926"/>
      <c r="N330" s="926"/>
      <c r="O330" s="1364"/>
      <c r="P330" s="1364"/>
      <c r="Q330" s="1364"/>
      <c r="R330" s="1364"/>
      <c r="S330" s="1364"/>
      <c r="T330" s="1364"/>
      <c r="V330" s="1364"/>
    </row>
    <row r="331" spans="3:22">
      <c r="C331" s="1460"/>
      <c r="D331" s="926"/>
      <c r="E331" s="926"/>
      <c r="F331" s="926"/>
      <c r="G331" s="926"/>
      <c r="H331" s="926"/>
      <c r="I331" s="926"/>
      <c r="J331" s="926"/>
      <c r="K331" s="926"/>
      <c r="L331" s="926"/>
      <c r="N331" s="926"/>
      <c r="O331" s="1364"/>
      <c r="P331" s="1364"/>
      <c r="Q331" s="1364"/>
      <c r="R331" s="1364"/>
      <c r="S331" s="1364"/>
      <c r="T331" s="1364"/>
      <c r="V331" s="1364"/>
    </row>
    <row r="332" spans="3:22">
      <c r="C332" s="1460"/>
      <c r="D332" s="926"/>
      <c r="E332" s="926"/>
      <c r="F332" s="926"/>
      <c r="G332" s="926"/>
      <c r="H332" s="926"/>
      <c r="I332" s="926"/>
      <c r="J332" s="926"/>
      <c r="K332" s="926"/>
      <c r="L332" s="926"/>
      <c r="N332" s="926"/>
      <c r="O332" s="1364"/>
      <c r="P332" s="1364"/>
      <c r="Q332" s="1364"/>
      <c r="R332" s="1364"/>
      <c r="S332" s="1364"/>
      <c r="T332" s="1364"/>
      <c r="V332" s="1364"/>
    </row>
    <row r="333" spans="3:22">
      <c r="C333" s="1460"/>
      <c r="D333" s="926"/>
      <c r="E333" s="926"/>
      <c r="F333" s="926"/>
      <c r="G333" s="926"/>
      <c r="H333" s="926"/>
      <c r="I333" s="926"/>
      <c r="J333" s="926"/>
      <c r="K333" s="926"/>
      <c r="L333" s="926"/>
      <c r="N333" s="926"/>
      <c r="O333" s="1364"/>
      <c r="P333" s="1364"/>
      <c r="Q333" s="1364"/>
      <c r="R333" s="1364"/>
      <c r="S333" s="1364"/>
      <c r="T333" s="1364"/>
      <c r="V333" s="1364"/>
    </row>
    <row r="334" spans="3:22">
      <c r="C334" s="1460"/>
      <c r="D334" s="926"/>
      <c r="E334" s="926"/>
      <c r="F334" s="926"/>
      <c r="G334" s="926"/>
      <c r="H334" s="926"/>
      <c r="I334" s="926"/>
      <c r="J334" s="926"/>
      <c r="K334" s="926"/>
      <c r="L334" s="926"/>
      <c r="N334" s="926"/>
      <c r="O334" s="1364"/>
      <c r="P334" s="1364"/>
      <c r="Q334" s="1364"/>
      <c r="R334" s="1364"/>
      <c r="S334" s="1364"/>
      <c r="T334" s="1364"/>
      <c r="V334" s="1364"/>
    </row>
    <row r="335" spans="3:22">
      <c r="C335" s="1460"/>
      <c r="D335" s="926"/>
      <c r="E335" s="926"/>
      <c r="F335" s="926"/>
      <c r="G335" s="926"/>
      <c r="H335" s="926"/>
      <c r="I335" s="926"/>
      <c r="J335" s="926"/>
      <c r="K335" s="926"/>
      <c r="L335" s="926"/>
      <c r="N335" s="926"/>
      <c r="O335" s="1364"/>
      <c r="P335" s="1364"/>
      <c r="Q335" s="1364"/>
      <c r="R335" s="1364"/>
      <c r="S335" s="1364"/>
      <c r="T335" s="1364"/>
      <c r="V335" s="1364"/>
    </row>
    <row r="336" spans="3:22">
      <c r="C336" s="1460"/>
      <c r="D336" s="926"/>
      <c r="E336" s="926"/>
      <c r="F336" s="926"/>
      <c r="G336" s="926"/>
      <c r="H336" s="926"/>
      <c r="I336" s="926"/>
      <c r="J336" s="926"/>
      <c r="K336" s="926"/>
      <c r="L336" s="926"/>
      <c r="N336" s="926"/>
      <c r="O336" s="1364"/>
      <c r="P336" s="1364"/>
      <c r="Q336" s="1364"/>
      <c r="R336" s="1364"/>
      <c r="S336" s="1364"/>
      <c r="T336" s="1364"/>
      <c r="V336" s="1364"/>
    </row>
    <row r="337" spans="3:22">
      <c r="C337" s="1460"/>
      <c r="D337" s="926"/>
      <c r="E337" s="926"/>
      <c r="F337" s="926"/>
      <c r="G337" s="926"/>
      <c r="H337" s="926"/>
      <c r="I337" s="926"/>
      <c r="J337" s="926"/>
      <c r="K337" s="926"/>
      <c r="L337" s="926"/>
      <c r="N337" s="926"/>
      <c r="O337" s="1364"/>
      <c r="P337" s="1364"/>
      <c r="Q337" s="1364"/>
      <c r="R337" s="1364"/>
      <c r="S337" s="1364"/>
      <c r="T337" s="1364"/>
      <c r="V337" s="1364"/>
    </row>
    <row r="338" spans="3:22">
      <c r="C338" s="1460"/>
      <c r="D338" s="926"/>
      <c r="E338" s="926"/>
      <c r="F338" s="926"/>
      <c r="G338" s="926"/>
      <c r="H338" s="926"/>
      <c r="I338" s="926"/>
      <c r="J338" s="926"/>
      <c r="K338" s="926"/>
      <c r="L338" s="926"/>
      <c r="N338" s="926"/>
      <c r="O338" s="1364"/>
      <c r="P338" s="1364"/>
      <c r="Q338" s="1364"/>
      <c r="R338" s="1364"/>
      <c r="S338" s="1364"/>
      <c r="T338" s="1364"/>
      <c r="V338" s="1364"/>
    </row>
    <row r="339" spans="3:22">
      <c r="C339" s="1460"/>
      <c r="D339" s="926"/>
      <c r="E339" s="926"/>
      <c r="F339" s="926"/>
      <c r="G339" s="926"/>
      <c r="H339" s="926"/>
      <c r="I339" s="926"/>
      <c r="J339" s="926"/>
      <c r="K339" s="926"/>
      <c r="L339" s="926"/>
      <c r="N339" s="926"/>
      <c r="O339" s="1364"/>
      <c r="P339" s="1364"/>
      <c r="Q339" s="1364"/>
      <c r="R339" s="1364"/>
      <c r="S339" s="1364"/>
      <c r="T339" s="1364"/>
      <c r="V339" s="1364"/>
    </row>
    <row r="340" spans="3:22">
      <c r="C340" s="1460"/>
      <c r="D340" s="926"/>
      <c r="E340" s="926"/>
      <c r="F340" s="926"/>
      <c r="G340" s="926"/>
      <c r="H340" s="926"/>
      <c r="I340" s="926"/>
      <c r="J340" s="926"/>
      <c r="K340" s="926"/>
      <c r="L340" s="926"/>
      <c r="N340" s="926"/>
      <c r="O340" s="1364"/>
      <c r="P340" s="1364"/>
      <c r="Q340" s="1364"/>
      <c r="R340" s="1364"/>
      <c r="S340" s="1364"/>
      <c r="T340" s="1364"/>
      <c r="V340" s="1364"/>
    </row>
    <row r="341" spans="3:22">
      <c r="C341" s="1460"/>
      <c r="D341" s="926"/>
      <c r="E341" s="926"/>
      <c r="F341" s="926"/>
      <c r="G341" s="926"/>
      <c r="H341" s="926"/>
      <c r="I341" s="926"/>
      <c r="J341" s="926"/>
      <c r="K341" s="926"/>
      <c r="L341" s="926"/>
      <c r="N341" s="926"/>
      <c r="O341" s="1364"/>
      <c r="P341" s="1364"/>
      <c r="Q341" s="1364"/>
      <c r="R341" s="1364"/>
      <c r="S341" s="1364"/>
      <c r="T341" s="1364"/>
      <c r="V341" s="1364"/>
    </row>
    <row r="342" spans="3:22">
      <c r="C342" s="1460"/>
      <c r="D342" s="926"/>
      <c r="E342" s="926"/>
      <c r="F342" s="926"/>
      <c r="G342" s="926"/>
      <c r="H342" s="926"/>
      <c r="I342" s="926"/>
      <c r="J342" s="926"/>
      <c r="K342" s="926"/>
      <c r="L342" s="926"/>
      <c r="N342" s="926"/>
      <c r="O342" s="1364"/>
      <c r="P342" s="1364"/>
      <c r="Q342" s="1364"/>
      <c r="R342" s="1364"/>
      <c r="S342" s="1364"/>
      <c r="T342" s="1364"/>
      <c r="V342" s="1364"/>
    </row>
    <row r="343" spans="3:22">
      <c r="C343" s="1460"/>
      <c r="D343" s="926"/>
      <c r="E343" s="926"/>
      <c r="F343" s="926"/>
      <c r="G343" s="926"/>
      <c r="H343" s="926"/>
      <c r="I343" s="926"/>
      <c r="J343" s="926"/>
      <c r="K343" s="926"/>
      <c r="L343" s="926"/>
      <c r="N343" s="926"/>
      <c r="O343" s="1364"/>
      <c r="P343" s="1364"/>
      <c r="Q343" s="1364"/>
      <c r="R343" s="1364"/>
      <c r="S343" s="1364"/>
      <c r="T343" s="1364"/>
      <c r="V343" s="1364"/>
    </row>
    <row r="344" spans="3:22">
      <c r="C344" s="1460"/>
      <c r="D344" s="926"/>
      <c r="E344" s="926"/>
      <c r="F344" s="926"/>
      <c r="G344" s="926"/>
      <c r="H344" s="926"/>
      <c r="I344" s="926"/>
      <c r="J344" s="926"/>
      <c r="K344" s="926"/>
      <c r="L344" s="926"/>
      <c r="N344" s="926"/>
      <c r="O344" s="1364"/>
      <c r="P344" s="1364"/>
      <c r="Q344" s="1364"/>
      <c r="R344" s="1364"/>
      <c r="S344" s="1364"/>
      <c r="T344" s="1364"/>
      <c r="V344" s="1364"/>
    </row>
    <row r="345" spans="3:22">
      <c r="C345" s="1460"/>
      <c r="D345" s="926"/>
      <c r="E345" s="926"/>
      <c r="F345" s="926"/>
      <c r="G345" s="926"/>
      <c r="H345" s="926"/>
      <c r="I345" s="926"/>
      <c r="J345" s="926"/>
      <c r="K345" s="926"/>
      <c r="L345" s="926"/>
      <c r="N345" s="926"/>
      <c r="O345" s="1364"/>
      <c r="P345" s="1364"/>
      <c r="Q345" s="1364"/>
      <c r="R345" s="1364"/>
      <c r="S345" s="1364"/>
      <c r="T345" s="1364"/>
      <c r="V345" s="1364"/>
    </row>
    <row r="346" spans="3:22">
      <c r="C346" s="1460"/>
      <c r="D346" s="926"/>
      <c r="E346" s="926"/>
      <c r="F346" s="926"/>
      <c r="G346" s="926"/>
      <c r="H346" s="926"/>
      <c r="I346" s="926"/>
      <c r="J346" s="926"/>
      <c r="K346" s="926"/>
      <c r="L346" s="926"/>
      <c r="N346" s="926"/>
      <c r="O346" s="1364"/>
      <c r="P346" s="1364"/>
      <c r="Q346" s="1364"/>
      <c r="R346" s="1364"/>
      <c r="S346" s="1364"/>
      <c r="T346" s="1364"/>
      <c r="V346" s="1364"/>
    </row>
    <row r="347" spans="3:22">
      <c r="C347" s="1460"/>
      <c r="D347" s="926"/>
      <c r="E347" s="926"/>
      <c r="F347" s="926"/>
      <c r="G347" s="926"/>
      <c r="H347" s="926"/>
      <c r="I347" s="926"/>
      <c r="J347" s="926"/>
      <c r="K347" s="926"/>
      <c r="L347" s="926"/>
      <c r="N347" s="926"/>
      <c r="O347" s="1364"/>
      <c r="P347" s="1364"/>
      <c r="Q347" s="1364"/>
      <c r="R347" s="1364"/>
      <c r="S347" s="1364"/>
      <c r="T347" s="1364"/>
      <c r="V347" s="1364"/>
    </row>
    <row r="348" spans="3:22">
      <c r="C348" s="1460"/>
      <c r="D348" s="926"/>
      <c r="E348" s="926"/>
      <c r="F348" s="926"/>
      <c r="G348" s="926"/>
      <c r="H348" s="926"/>
      <c r="I348" s="926"/>
      <c r="J348" s="926"/>
      <c r="K348" s="926"/>
      <c r="L348" s="926"/>
      <c r="N348" s="926"/>
      <c r="O348" s="1364"/>
      <c r="P348" s="1364"/>
      <c r="Q348" s="1364"/>
      <c r="R348" s="1364"/>
      <c r="S348" s="1364"/>
      <c r="T348" s="1364"/>
      <c r="V348" s="1364"/>
    </row>
    <row r="349" spans="3:22">
      <c r="C349" s="1460"/>
      <c r="D349" s="926"/>
      <c r="E349" s="926"/>
      <c r="F349" s="926"/>
      <c r="G349" s="926"/>
      <c r="H349" s="926"/>
      <c r="I349" s="926"/>
      <c r="J349" s="926"/>
      <c r="K349" s="926"/>
      <c r="L349" s="926"/>
      <c r="N349" s="926"/>
      <c r="O349" s="1364"/>
      <c r="P349" s="1364"/>
      <c r="Q349" s="1364"/>
      <c r="R349" s="1364"/>
      <c r="S349" s="1364"/>
      <c r="T349" s="1364"/>
      <c r="V349" s="1364"/>
    </row>
    <row r="350" spans="3:22">
      <c r="C350" s="1460"/>
      <c r="D350" s="926"/>
      <c r="E350" s="926"/>
      <c r="F350" s="926"/>
      <c r="G350" s="926"/>
      <c r="H350" s="926"/>
      <c r="I350" s="926"/>
      <c r="J350" s="926"/>
      <c r="K350" s="926"/>
      <c r="L350" s="926"/>
      <c r="N350" s="926"/>
      <c r="O350" s="1364"/>
      <c r="P350" s="1364"/>
      <c r="Q350" s="1364"/>
      <c r="R350" s="1364"/>
      <c r="S350" s="1364"/>
      <c r="T350" s="1364"/>
      <c r="V350" s="1364"/>
    </row>
    <row r="351" spans="3:22">
      <c r="C351" s="1460"/>
      <c r="D351" s="926"/>
      <c r="E351" s="926"/>
      <c r="F351" s="926"/>
      <c r="G351" s="926"/>
      <c r="H351" s="926"/>
      <c r="I351" s="926"/>
      <c r="J351" s="926"/>
      <c r="K351" s="926"/>
      <c r="L351" s="926"/>
      <c r="N351" s="926"/>
      <c r="O351" s="1364"/>
      <c r="P351" s="1364"/>
      <c r="Q351" s="1364"/>
      <c r="R351" s="1364"/>
      <c r="S351" s="1364"/>
      <c r="T351" s="1364"/>
      <c r="V351" s="1364"/>
    </row>
    <row r="352" spans="3:22">
      <c r="C352" s="1460"/>
      <c r="D352" s="926"/>
      <c r="E352" s="926"/>
      <c r="F352" s="926"/>
      <c r="G352" s="926"/>
      <c r="H352" s="926"/>
      <c r="I352" s="926"/>
      <c r="J352" s="926"/>
      <c r="K352" s="926"/>
      <c r="L352" s="926"/>
      <c r="N352" s="926"/>
      <c r="O352" s="1364"/>
      <c r="P352" s="1364"/>
      <c r="Q352" s="1364"/>
      <c r="R352" s="1364"/>
      <c r="S352" s="1364"/>
      <c r="T352" s="1364"/>
      <c r="V352" s="1364"/>
    </row>
    <row r="353" spans="3:22">
      <c r="C353" s="1460"/>
      <c r="D353" s="926"/>
      <c r="E353" s="926"/>
      <c r="F353" s="926"/>
      <c r="G353" s="926"/>
      <c r="H353" s="926"/>
      <c r="I353" s="926"/>
      <c r="J353" s="926"/>
      <c r="K353" s="926"/>
      <c r="L353" s="926"/>
      <c r="N353" s="926"/>
      <c r="O353" s="1364"/>
      <c r="P353" s="1364"/>
      <c r="Q353" s="1364"/>
      <c r="R353" s="1364"/>
      <c r="S353" s="1364"/>
      <c r="T353" s="1364"/>
      <c r="V353" s="1364"/>
    </row>
    <row r="354" spans="3:22">
      <c r="C354" s="1460"/>
      <c r="D354" s="926"/>
      <c r="E354" s="926"/>
      <c r="F354" s="926"/>
      <c r="G354" s="926"/>
      <c r="H354" s="926"/>
      <c r="I354" s="926"/>
      <c r="J354" s="926"/>
      <c r="K354" s="926"/>
      <c r="L354" s="926"/>
      <c r="N354" s="926"/>
      <c r="O354" s="1364"/>
      <c r="P354" s="1364"/>
      <c r="Q354" s="1364"/>
      <c r="R354" s="1364"/>
      <c r="S354" s="1364"/>
      <c r="T354" s="1364"/>
      <c r="V354" s="1364"/>
    </row>
    <row r="355" spans="3:22">
      <c r="C355" s="1460"/>
      <c r="D355" s="926"/>
      <c r="E355" s="926"/>
      <c r="F355" s="926"/>
      <c r="G355" s="926"/>
      <c r="H355" s="926"/>
      <c r="I355" s="926"/>
      <c r="J355" s="926"/>
      <c r="K355" s="926"/>
      <c r="L355" s="926"/>
      <c r="N355" s="926"/>
      <c r="O355" s="1364"/>
      <c r="P355" s="1364"/>
      <c r="Q355" s="1364"/>
      <c r="R355" s="1364"/>
      <c r="S355" s="1364"/>
      <c r="T355" s="1364"/>
      <c r="V355" s="1364"/>
    </row>
    <row r="356" spans="3:22">
      <c r="C356" s="1460"/>
      <c r="D356" s="926"/>
      <c r="E356" s="926"/>
      <c r="F356" s="926"/>
      <c r="G356" s="926"/>
      <c r="H356" s="926"/>
      <c r="I356" s="926"/>
      <c r="J356" s="926"/>
      <c r="K356" s="926"/>
      <c r="L356" s="926"/>
      <c r="N356" s="926"/>
      <c r="O356" s="1364"/>
      <c r="P356" s="1364"/>
      <c r="Q356" s="1364"/>
      <c r="R356" s="1364"/>
      <c r="S356" s="1364"/>
      <c r="T356" s="1364"/>
      <c r="V356" s="1364"/>
    </row>
    <row r="357" spans="3:22">
      <c r="C357" s="1460"/>
      <c r="D357" s="926"/>
      <c r="E357" s="926"/>
      <c r="F357" s="926"/>
      <c r="G357" s="926"/>
      <c r="H357" s="926"/>
      <c r="I357" s="926"/>
      <c r="J357" s="926"/>
      <c r="K357" s="926"/>
      <c r="L357" s="926"/>
      <c r="N357" s="926"/>
      <c r="O357" s="1364"/>
      <c r="P357" s="1364"/>
      <c r="Q357" s="1364"/>
      <c r="R357" s="1364"/>
      <c r="S357" s="1364"/>
      <c r="T357" s="1364"/>
      <c r="V357" s="1364"/>
    </row>
    <row r="358" spans="3:22">
      <c r="C358" s="1460"/>
      <c r="D358" s="926"/>
      <c r="E358" s="926"/>
      <c r="F358" s="926"/>
      <c r="G358" s="926"/>
      <c r="H358" s="926"/>
      <c r="I358" s="926"/>
      <c r="J358" s="926"/>
      <c r="K358" s="926"/>
      <c r="L358" s="926"/>
      <c r="N358" s="926"/>
      <c r="O358" s="1364"/>
      <c r="P358" s="1364"/>
      <c r="Q358" s="1364"/>
      <c r="R358" s="1364"/>
      <c r="S358" s="1364"/>
      <c r="T358" s="1364"/>
      <c r="V358" s="1364"/>
    </row>
    <row r="359" spans="3:22">
      <c r="C359" s="1460"/>
      <c r="D359" s="926"/>
      <c r="E359" s="926"/>
      <c r="F359" s="926"/>
      <c r="G359" s="926"/>
      <c r="H359" s="926"/>
      <c r="I359" s="926"/>
      <c r="J359" s="926"/>
      <c r="K359" s="926"/>
      <c r="L359" s="926"/>
      <c r="N359" s="926"/>
      <c r="O359" s="1364"/>
      <c r="P359" s="1364"/>
      <c r="Q359" s="1364"/>
      <c r="R359" s="1364"/>
      <c r="S359" s="1364"/>
      <c r="T359" s="1364"/>
      <c r="V359" s="1364"/>
    </row>
    <row r="360" spans="3:22">
      <c r="C360" s="1460"/>
      <c r="D360" s="926"/>
      <c r="E360" s="926"/>
      <c r="F360" s="926"/>
      <c r="G360" s="926"/>
      <c r="H360" s="926"/>
      <c r="I360" s="926"/>
      <c r="J360" s="926"/>
      <c r="K360" s="926"/>
      <c r="L360" s="926"/>
      <c r="N360" s="926"/>
      <c r="O360" s="1364"/>
      <c r="P360" s="1364"/>
      <c r="Q360" s="1364"/>
      <c r="R360" s="1364"/>
      <c r="S360" s="1364"/>
      <c r="T360" s="1364"/>
      <c r="V360" s="1364"/>
    </row>
    <row r="361" spans="3:22">
      <c r="C361" s="1460"/>
      <c r="D361" s="926"/>
      <c r="E361" s="926"/>
      <c r="F361" s="926"/>
      <c r="G361" s="926"/>
      <c r="H361" s="926"/>
      <c r="I361" s="926"/>
      <c r="J361" s="926"/>
      <c r="K361" s="926"/>
      <c r="L361" s="926"/>
      <c r="N361" s="926"/>
      <c r="O361" s="1364"/>
      <c r="P361" s="1364"/>
      <c r="Q361" s="1364"/>
      <c r="R361" s="1364"/>
      <c r="S361" s="1364"/>
      <c r="T361" s="1364"/>
      <c r="V361" s="1364"/>
    </row>
    <row r="362" spans="3:22">
      <c r="C362" s="1460"/>
      <c r="D362" s="926"/>
      <c r="E362" s="926"/>
      <c r="F362" s="926"/>
      <c r="G362" s="926"/>
      <c r="H362" s="926"/>
      <c r="I362" s="926"/>
      <c r="J362" s="926"/>
      <c r="K362" s="926"/>
      <c r="L362" s="926"/>
      <c r="N362" s="926"/>
      <c r="O362" s="1364"/>
      <c r="P362" s="1364"/>
      <c r="Q362" s="1364"/>
      <c r="R362" s="1364"/>
      <c r="S362" s="1364"/>
      <c r="T362" s="1364"/>
      <c r="V362" s="1364"/>
    </row>
    <row r="363" spans="3:22">
      <c r="C363" s="1460"/>
      <c r="D363" s="926"/>
      <c r="E363" s="926"/>
      <c r="F363" s="926"/>
      <c r="G363" s="926"/>
      <c r="H363" s="926"/>
      <c r="I363" s="926"/>
      <c r="J363" s="926"/>
      <c r="K363" s="926"/>
      <c r="L363" s="926"/>
      <c r="N363" s="926"/>
      <c r="O363" s="1364"/>
      <c r="P363" s="1364"/>
      <c r="Q363" s="1364"/>
      <c r="R363" s="1364"/>
      <c r="S363" s="1364"/>
      <c r="T363" s="1364"/>
      <c r="V363" s="1364"/>
    </row>
    <row r="364" spans="3:22">
      <c r="C364" s="1460"/>
      <c r="D364" s="926"/>
      <c r="E364" s="926"/>
      <c r="F364" s="926"/>
      <c r="G364" s="926"/>
      <c r="H364" s="926"/>
      <c r="I364" s="926"/>
      <c r="J364" s="926"/>
      <c r="K364" s="926"/>
      <c r="L364" s="926"/>
      <c r="N364" s="926"/>
      <c r="O364" s="1364"/>
      <c r="P364" s="1364"/>
      <c r="Q364" s="1364"/>
      <c r="R364" s="1364"/>
      <c r="S364" s="1364"/>
      <c r="T364" s="1364"/>
      <c r="V364" s="1364"/>
    </row>
    <row r="365" spans="3:22">
      <c r="C365" s="1460"/>
      <c r="D365" s="926"/>
      <c r="E365" s="926"/>
      <c r="F365" s="926"/>
      <c r="G365" s="926"/>
      <c r="H365" s="926"/>
      <c r="I365" s="926"/>
      <c r="J365" s="926"/>
      <c r="K365" s="926"/>
      <c r="L365" s="926"/>
      <c r="N365" s="926"/>
      <c r="O365" s="1364"/>
      <c r="P365" s="1364"/>
      <c r="Q365" s="1364"/>
      <c r="R365" s="1364"/>
      <c r="S365" s="1364"/>
      <c r="T365" s="1364"/>
      <c r="V365" s="1364"/>
    </row>
    <row r="366" spans="3:22">
      <c r="C366" s="1460"/>
      <c r="D366" s="926"/>
      <c r="E366" s="926"/>
      <c r="F366" s="926"/>
      <c r="G366" s="926"/>
      <c r="H366" s="926"/>
      <c r="I366" s="926"/>
      <c r="J366" s="926"/>
      <c r="K366" s="926"/>
      <c r="L366" s="926"/>
      <c r="N366" s="926"/>
      <c r="O366" s="1364"/>
      <c r="P366" s="1364"/>
      <c r="Q366" s="1364"/>
      <c r="R366" s="1364"/>
      <c r="S366" s="1364"/>
      <c r="T366" s="1364"/>
      <c r="V366" s="1364"/>
    </row>
    <row r="367" spans="3:22">
      <c r="C367" s="1460"/>
      <c r="D367" s="926"/>
      <c r="E367" s="926"/>
      <c r="F367" s="926"/>
      <c r="G367" s="926"/>
      <c r="H367" s="926"/>
      <c r="I367" s="926"/>
      <c r="J367" s="926"/>
      <c r="K367" s="926"/>
      <c r="L367" s="926"/>
      <c r="N367" s="926"/>
      <c r="O367" s="1364"/>
      <c r="P367" s="1364"/>
      <c r="Q367" s="1364"/>
      <c r="R367" s="1364"/>
      <c r="S367" s="1364"/>
      <c r="T367" s="1364"/>
      <c r="V367" s="1364"/>
    </row>
    <row r="368" spans="3:22">
      <c r="C368" s="1460"/>
      <c r="D368" s="926"/>
      <c r="E368" s="926"/>
      <c r="F368" s="926"/>
      <c r="G368" s="926"/>
      <c r="H368" s="926"/>
      <c r="I368" s="926"/>
      <c r="J368" s="926"/>
      <c r="K368" s="926"/>
      <c r="L368" s="926"/>
      <c r="N368" s="926"/>
      <c r="O368" s="1364"/>
      <c r="P368" s="1364"/>
      <c r="Q368" s="1364"/>
      <c r="R368" s="1364"/>
      <c r="S368" s="1364"/>
      <c r="T368" s="1364"/>
      <c r="V368" s="1364"/>
    </row>
    <row r="369" spans="3:22">
      <c r="C369" s="1460"/>
      <c r="D369" s="926"/>
      <c r="E369" s="926"/>
      <c r="F369" s="926"/>
      <c r="G369" s="926"/>
      <c r="H369" s="926"/>
      <c r="I369" s="926"/>
      <c r="J369" s="926"/>
      <c r="K369" s="926"/>
      <c r="L369" s="926"/>
      <c r="N369" s="926"/>
      <c r="O369" s="1364"/>
      <c r="P369" s="1364"/>
      <c r="Q369" s="1364"/>
      <c r="R369" s="1364"/>
      <c r="S369" s="1364"/>
      <c r="T369" s="1364"/>
      <c r="V369" s="1364"/>
    </row>
    <row r="370" spans="3:22">
      <c r="C370" s="1460"/>
      <c r="D370" s="926"/>
      <c r="E370" s="926"/>
      <c r="F370" s="926"/>
      <c r="G370" s="926"/>
      <c r="H370" s="926"/>
      <c r="I370" s="926"/>
      <c r="J370" s="926"/>
      <c r="K370" s="926"/>
      <c r="L370" s="926"/>
      <c r="N370" s="926"/>
      <c r="O370" s="1364"/>
      <c r="P370" s="1364"/>
      <c r="Q370" s="1364"/>
      <c r="R370" s="1364"/>
      <c r="S370" s="1364"/>
      <c r="T370" s="1364"/>
      <c r="V370" s="1364"/>
    </row>
    <row r="371" spans="3:22">
      <c r="C371" s="1460"/>
      <c r="D371" s="926"/>
      <c r="E371" s="926"/>
      <c r="F371" s="926"/>
      <c r="G371" s="926"/>
      <c r="H371" s="926"/>
      <c r="I371" s="926"/>
      <c r="J371" s="926"/>
      <c r="K371" s="926"/>
      <c r="L371" s="926"/>
      <c r="N371" s="926"/>
      <c r="O371" s="1364"/>
      <c r="P371" s="1364"/>
      <c r="Q371" s="1364"/>
      <c r="R371" s="1364"/>
      <c r="S371" s="1364"/>
      <c r="T371" s="1364"/>
      <c r="V371" s="1364"/>
    </row>
    <row r="372" spans="3:22">
      <c r="C372" s="1460"/>
      <c r="D372" s="926"/>
      <c r="E372" s="926"/>
      <c r="F372" s="926"/>
      <c r="G372" s="926"/>
      <c r="H372" s="926"/>
      <c r="I372" s="926"/>
      <c r="J372" s="926"/>
      <c r="K372" s="926"/>
      <c r="L372" s="926"/>
      <c r="N372" s="926"/>
      <c r="O372" s="1364"/>
      <c r="P372" s="1364"/>
      <c r="Q372" s="1364"/>
      <c r="R372" s="1364"/>
      <c r="S372" s="1364"/>
      <c r="T372" s="1364"/>
      <c r="V372" s="1364"/>
    </row>
    <row r="373" spans="3:22">
      <c r="C373" s="1460"/>
      <c r="D373" s="926"/>
      <c r="E373" s="926"/>
      <c r="F373" s="926"/>
      <c r="G373" s="926"/>
      <c r="H373" s="926"/>
      <c r="I373" s="926"/>
      <c r="J373" s="926"/>
      <c r="K373" s="926"/>
      <c r="L373" s="926"/>
      <c r="N373" s="926"/>
      <c r="O373" s="1364"/>
      <c r="P373" s="1364"/>
      <c r="Q373" s="1364"/>
      <c r="R373" s="1364"/>
      <c r="S373" s="1364"/>
      <c r="T373" s="1364"/>
      <c r="V373" s="1364"/>
    </row>
    <row r="374" spans="3:22">
      <c r="C374" s="1460"/>
      <c r="D374" s="926"/>
      <c r="E374" s="926"/>
      <c r="F374" s="926"/>
      <c r="G374" s="926"/>
      <c r="H374" s="926"/>
      <c r="I374" s="926"/>
      <c r="J374" s="926"/>
      <c r="K374" s="926"/>
      <c r="L374" s="926"/>
      <c r="N374" s="926"/>
      <c r="O374" s="1364"/>
      <c r="P374" s="1364"/>
      <c r="Q374" s="1364"/>
      <c r="R374" s="1364"/>
      <c r="S374" s="1364"/>
      <c r="T374" s="1364"/>
      <c r="V374" s="1364"/>
    </row>
    <row r="375" spans="3:22">
      <c r="C375" s="1460"/>
      <c r="D375" s="926"/>
      <c r="E375" s="926"/>
      <c r="F375" s="926"/>
      <c r="G375" s="926"/>
      <c r="H375" s="926"/>
      <c r="I375" s="926"/>
      <c r="J375" s="926"/>
      <c r="K375" s="926"/>
      <c r="L375" s="926"/>
      <c r="N375" s="926"/>
      <c r="O375" s="1364"/>
      <c r="P375" s="1364"/>
      <c r="Q375" s="1364"/>
      <c r="R375" s="1364"/>
      <c r="S375" s="1364"/>
      <c r="T375" s="1364"/>
      <c r="V375" s="1364"/>
    </row>
    <row r="376" spans="3:22">
      <c r="C376" s="1460"/>
      <c r="D376" s="926"/>
      <c r="E376" s="926"/>
      <c r="F376" s="926"/>
      <c r="G376" s="926"/>
      <c r="H376" s="926"/>
      <c r="I376" s="926"/>
      <c r="J376" s="926"/>
      <c r="K376" s="926"/>
      <c r="L376" s="926"/>
      <c r="N376" s="926"/>
      <c r="O376" s="1364"/>
      <c r="P376" s="1364"/>
      <c r="Q376" s="1364"/>
      <c r="R376" s="1364"/>
      <c r="S376" s="1364"/>
      <c r="T376" s="1364"/>
      <c r="V376" s="1364"/>
    </row>
    <row r="377" spans="3:22">
      <c r="C377" s="1460"/>
      <c r="D377" s="926"/>
      <c r="E377" s="926"/>
      <c r="F377" s="926"/>
      <c r="G377" s="926"/>
      <c r="H377" s="926"/>
      <c r="I377" s="926"/>
      <c r="J377" s="926"/>
      <c r="K377" s="926"/>
      <c r="L377" s="926"/>
      <c r="N377" s="926"/>
      <c r="O377" s="1364"/>
      <c r="P377" s="1364"/>
      <c r="Q377" s="1364"/>
      <c r="R377" s="1364"/>
      <c r="S377" s="1364"/>
      <c r="T377" s="1364"/>
      <c r="V377" s="1364"/>
    </row>
    <row r="378" spans="3:22">
      <c r="C378" s="1460"/>
      <c r="D378" s="926"/>
      <c r="E378" s="926"/>
      <c r="F378" s="926"/>
      <c r="G378" s="926"/>
      <c r="H378" s="926"/>
      <c r="I378" s="926"/>
      <c r="J378" s="926"/>
      <c r="K378" s="926"/>
      <c r="L378" s="926"/>
      <c r="N378" s="926"/>
      <c r="O378" s="1364"/>
      <c r="P378" s="1364"/>
      <c r="Q378" s="1364"/>
      <c r="R378" s="1364"/>
      <c r="S378" s="1364"/>
      <c r="T378" s="1364"/>
      <c r="V378" s="1364"/>
    </row>
    <row r="379" spans="3:22">
      <c r="C379" s="1460"/>
      <c r="D379" s="926"/>
      <c r="E379" s="926"/>
      <c r="F379" s="926"/>
      <c r="G379" s="926"/>
      <c r="H379" s="926"/>
      <c r="I379" s="926"/>
      <c r="J379" s="926"/>
      <c r="K379" s="926"/>
      <c r="L379" s="926"/>
      <c r="N379" s="926"/>
      <c r="O379" s="1364"/>
      <c r="P379" s="1364"/>
      <c r="Q379" s="1364"/>
      <c r="R379" s="1364"/>
      <c r="S379" s="1364"/>
      <c r="T379" s="1364"/>
      <c r="V379" s="1364"/>
    </row>
    <row r="380" spans="3:22">
      <c r="C380" s="1460"/>
      <c r="D380" s="926"/>
      <c r="E380" s="926"/>
      <c r="F380" s="926"/>
      <c r="G380" s="926"/>
      <c r="H380" s="926"/>
      <c r="I380" s="926"/>
      <c r="J380" s="926"/>
      <c r="K380" s="926"/>
      <c r="L380" s="926"/>
      <c r="N380" s="926"/>
      <c r="O380" s="1364"/>
      <c r="P380" s="1364"/>
      <c r="Q380" s="1364"/>
      <c r="R380" s="1364"/>
      <c r="S380" s="1364"/>
      <c r="T380" s="1364"/>
      <c r="V380" s="1364"/>
    </row>
    <row r="381" spans="3:22">
      <c r="C381" s="1460"/>
      <c r="D381" s="926"/>
      <c r="E381" s="926"/>
      <c r="F381" s="926"/>
      <c r="G381" s="926"/>
      <c r="H381" s="926"/>
      <c r="I381" s="926"/>
      <c r="J381" s="926"/>
      <c r="K381" s="926"/>
      <c r="L381" s="926"/>
      <c r="N381" s="926"/>
      <c r="O381" s="1364"/>
      <c r="P381" s="1364"/>
      <c r="Q381" s="1364"/>
      <c r="R381" s="1364"/>
      <c r="S381" s="1364"/>
      <c r="T381" s="1364"/>
      <c r="V381" s="1364"/>
    </row>
    <row r="382" spans="3:22">
      <c r="C382" s="1460"/>
      <c r="D382" s="926"/>
      <c r="E382" s="926"/>
      <c r="F382" s="926"/>
      <c r="G382" s="926"/>
      <c r="H382" s="926"/>
      <c r="I382" s="926"/>
      <c r="J382" s="926"/>
      <c r="K382" s="926"/>
      <c r="L382" s="926"/>
      <c r="N382" s="926"/>
      <c r="O382" s="1364"/>
      <c r="P382" s="1364"/>
      <c r="Q382" s="1364"/>
      <c r="R382" s="1364"/>
      <c r="S382" s="1364"/>
      <c r="T382" s="1364"/>
      <c r="V382" s="1364"/>
    </row>
    <row r="383" spans="3:22">
      <c r="C383" s="1460"/>
      <c r="D383" s="926"/>
      <c r="E383" s="926"/>
      <c r="F383" s="926"/>
      <c r="G383" s="926"/>
      <c r="H383" s="926"/>
      <c r="I383" s="926"/>
      <c r="J383" s="926"/>
      <c r="K383" s="926"/>
      <c r="L383" s="926"/>
      <c r="N383" s="926"/>
      <c r="O383" s="1364"/>
      <c r="P383" s="1364"/>
      <c r="Q383" s="1364"/>
      <c r="R383" s="1364"/>
      <c r="S383" s="1364"/>
      <c r="T383" s="1364"/>
      <c r="V383" s="1364"/>
    </row>
    <row r="384" spans="3:22">
      <c r="C384" s="1460"/>
      <c r="D384" s="926"/>
      <c r="E384" s="926"/>
      <c r="F384" s="926"/>
      <c r="G384" s="926"/>
      <c r="H384" s="926"/>
      <c r="I384" s="926"/>
      <c r="J384" s="926"/>
      <c r="K384" s="926"/>
      <c r="L384" s="926"/>
      <c r="N384" s="926"/>
      <c r="O384" s="1364"/>
      <c r="P384" s="1364"/>
      <c r="Q384" s="1364"/>
      <c r="R384" s="1364"/>
      <c r="S384" s="1364"/>
      <c r="T384" s="1364"/>
      <c r="V384" s="1364"/>
    </row>
    <row r="385" spans="3:22">
      <c r="C385" s="1460"/>
      <c r="D385" s="926"/>
      <c r="E385" s="926"/>
      <c r="F385" s="926"/>
      <c r="G385" s="926"/>
      <c r="H385" s="926"/>
      <c r="I385" s="926"/>
      <c r="J385" s="926"/>
      <c r="K385" s="926"/>
      <c r="L385" s="926"/>
      <c r="N385" s="926"/>
      <c r="O385" s="1364"/>
      <c r="P385" s="1364"/>
      <c r="Q385" s="1364"/>
      <c r="R385" s="1364"/>
      <c r="S385" s="1364"/>
      <c r="T385" s="1364"/>
      <c r="V385" s="1364"/>
    </row>
    <row r="386" spans="3:22">
      <c r="C386" s="1460"/>
      <c r="D386" s="926"/>
      <c r="E386" s="926"/>
      <c r="F386" s="926"/>
      <c r="G386" s="926"/>
      <c r="H386" s="926"/>
      <c r="I386" s="926"/>
      <c r="J386" s="926"/>
      <c r="K386" s="926"/>
      <c r="L386" s="926"/>
      <c r="N386" s="926"/>
      <c r="O386" s="1364"/>
      <c r="P386" s="1364"/>
      <c r="Q386" s="1364"/>
      <c r="R386" s="1364"/>
      <c r="S386" s="1364"/>
      <c r="T386" s="1364"/>
      <c r="V386" s="1364"/>
    </row>
    <row r="387" spans="3:22">
      <c r="C387" s="1460"/>
      <c r="D387" s="926"/>
      <c r="E387" s="926"/>
      <c r="F387" s="926"/>
      <c r="G387" s="926"/>
      <c r="H387" s="926"/>
      <c r="I387" s="926"/>
      <c r="J387" s="926"/>
      <c r="K387" s="926"/>
      <c r="L387" s="926"/>
      <c r="N387" s="926"/>
      <c r="O387" s="1364"/>
      <c r="P387" s="1364"/>
      <c r="Q387" s="1364"/>
      <c r="R387" s="1364"/>
      <c r="S387" s="1364"/>
      <c r="T387" s="1364"/>
      <c r="V387" s="1364"/>
    </row>
    <row r="388" spans="3:22">
      <c r="C388" s="1460"/>
      <c r="D388" s="926"/>
      <c r="E388" s="926"/>
      <c r="F388" s="926"/>
      <c r="G388" s="926"/>
      <c r="H388" s="926"/>
      <c r="I388" s="926"/>
      <c r="J388" s="926"/>
      <c r="K388" s="926"/>
      <c r="L388" s="926"/>
      <c r="N388" s="926"/>
      <c r="O388" s="1364"/>
      <c r="P388" s="1364"/>
      <c r="Q388" s="1364"/>
      <c r="R388" s="1364"/>
      <c r="S388" s="1364"/>
      <c r="T388" s="1364"/>
      <c r="V388" s="1364"/>
    </row>
    <row r="389" spans="3:22">
      <c r="C389" s="1460"/>
      <c r="D389" s="926"/>
      <c r="E389" s="926"/>
      <c r="F389" s="926"/>
      <c r="G389" s="926"/>
      <c r="H389" s="926"/>
      <c r="I389" s="926"/>
      <c r="J389" s="926"/>
      <c r="K389" s="926"/>
      <c r="L389" s="926"/>
      <c r="N389" s="926"/>
      <c r="O389" s="1364"/>
      <c r="P389" s="1364"/>
      <c r="Q389" s="1364"/>
      <c r="R389" s="1364"/>
      <c r="S389" s="1364"/>
      <c r="T389" s="1364"/>
      <c r="V389" s="1364"/>
    </row>
    <row r="390" spans="3:22">
      <c r="C390" s="1460"/>
      <c r="D390" s="926"/>
      <c r="E390" s="926"/>
      <c r="F390" s="926"/>
      <c r="G390" s="926"/>
      <c r="H390" s="926"/>
      <c r="I390" s="926"/>
      <c r="J390" s="926"/>
      <c r="K390" s="926"/>
      <c r="L390" s="926"/>
      <c r="N390" s="926"/>
      <c r="O390" s="1364"/>
      <c r="P390" s="1364"/>
      <c r="Q390" s="1364"/>
      <c r="R390" s="1364"/>
      <c r="S390" s="1364"/>
      <c r="T390" s="1364"/>
      <c r="V390" s="1364"/>
    </row>
    <row r="391" spans="3:22">
      <c r="C391" s="1460"/>
      <c r="D391" s="926"/>
      <c r="E391" s="926"/>
      <c r="F391" s="926"/>
      <c r="G391" s="926"/>
      <c r="H391" s="926"/>
      <c r="I391" s="926"/>
      <c r="J391" s="926"/>
      <c r="K391" s="926"/>
      <c r="L391" s="926"/>
      <c r="N391" s="926"/>
      <c r="O391" s="1364"/>
      <c r="P391" s="1364"/>
      <c r="Q391" s="1364"/>
      <c r="R391" s="1364"/>
      <c r="S391" s="1364"/>
      <c r="T391" s="1364"/>
      <c r="V391" s="1364"/>
    </row>
    <row r="392" spans="3:22">
      <c r="C392" s="1460"/>
      <c r="D392" s="926"/>
      <c r="E392" s="926"/>
      <c r="F392" s="926"/>
      <c r="G392" s="926"/>
      <c r="H392" s="926"/>
      <c r="I392" s="926"/>
      <c r="J392" s="926"/>
      <c r="K392" s="926"/>
      <c r="L392" s="926"/>
      <c r="N392" s="926"/>
      <c r="O392" s="1364"/>
      <c r="P392" s="1364"/>
      <c r="Q392" s="1364"/>
      <c r="R392" s="1364"/>
      <c r="S392" s="1364"/>
      <c r="T392" s="1364"/>
      <c r="V392" s="1364"/>
    </row>
    <row r="393" spans="3:22">
      <c r="C393" s="1460"/>
      <c r="D393" s="926"/>
      <c r="E393" s="926"/>
      <c r="F393" s="926"/>
      <c r="G393" s="926"/>
      <c r="H393" s="926"/>
      <c r="I393" s="926"/>
      <c r="J393" s="926"/>
      <c r="K393" s="926"/>
      <c r="L393" s="926"/>
      <c r="N393" s="926"/>
      <c r="O393" s="1364"/>
      <c r="P393" s="1364"/>
      <c r="Q393" s="1364"/>
      <c r="R393" s="1364"/>
      <c r="S393" s="1364"/>
      <c r="T393" s="1364"/>
      <c r="V393" s="1364"/>
    </row>
    <row r="394" spans="3:22">
      <c r="C394" s="1460"/>
      <c r="D394" s="926"/>
      <c r="E394" s="926"/>
      <c r="F394" s="926"/>
      <c r="G394" s="926"/>
      <c r="H394" s="926"/>
      <c r="I394" s="926"/>
      <c r="J394" s="926"/>
      <c r="K394" s="926"/>
      <c r="L394" s="926"/>
      <c r="N394" s="926"/>
      <c r="O394" s="1364"/>
      <c r="P394" s="1364"/>
      <c r="Q394" s="1364"/>
      <c r="R394" s="1364"/>
      <c r="S394" s="1364"/>
      <c r="T394" s="1364"/>
      <c r="V394" s="1364"/>
    </row>
    <row r="395" spans="3:22">
      <c r="C395" s="1460"/>
      <c r="D395" s="926"/>
      <c r="E395" s="926"/>
      <c r="F395" s="926"/>
      <c r="G395" s="926"/>
      <c r="H395" s="926"/>
      <c r="I395" s="926"/>
      <c r="J395" s="926"/>
      <c r="K395" s="926"/>
      <c r="L395" s="926"/>
      <c r="N395" s="926"/>
      <c r="O395" s="1364"/>
      <c r="P395" s="1364"/>
      <c r="Q395" s="1364"/>
      <c r="R395" s="1364"/>
      <c r="S395" s="1364"/>
      <c r="T395" s="1364"/>
      <c r="V395" s="1364"/>
    </row>
    <row r="396" spans="3:22">
      <c r="C396" s="1460"/>
      <c r="D396" s="926"/>
      <c r="E396" s="926"/>
      <c r="F396" s="926"/>
      <c r="G396" s="926"/>
      <c r="H396" s="926"/>
      <c r="I396" s="926"/>
      <c r="J396" s="926"/>
      <c r="K396" s="926"/>
      <c r="L396" s="926"/>
      <c r="N396" s="926"/>
      <c r="O396" s="1364"/>
      <c r="P396" s="1364"/>
      <c r="Q396" s="1364"/>
      <c r="R396" s="1364"/>
      <c r="S396" s="1364"/>
      <c r="T396" s="1364"/>
      <c r="V396" s="1364"/>
    </row>
    <row r="397" spans="3:22">
      <c r="C397" s="1460"/>
      <c r="D397" s="926"/>
      <c r="E397" s="926"/>
      <c r="F397" s="926"/>
      <c r="G397" s="926"/>
      <c r="H397" s="926"/>
      <c r="I397" s="926"/>
      <c r="J397" s="926"/>
      <c r="K397" s="926"/>
      <c r="L397" s="926"/>
      <c r="N397" s="926"/>
      <c r="O397" s="1364"/>
      <c r="P397" s="1364"/>
      <c r="Q397" s="1364"/>
      <c r="R397" s="1364"/>
      <c r="S397" s="1364"/>
      <c r="T397" s="1364"/>
      <c r="V397" s="1364"/>
    </row>
    <row r="398" spans="3:22">
      <c r="C398" s="1460"/>
      <c r="D398" s="926"/>
      <c r="E398" s="926"/>
      <c r="F398" s="926"/>
      <c r="G398" s="926"/>
      <c r="H398" s="926"/>
      <c r="I398" s="926"/>
      <c r="J398" s="926"/>
      <c r="K398" s="926"/>
      <c r="L398" s="926"/>
      <c r="N398" s="926"/>
      <c r="O398" s="1364"/>
      <c r="P398" s="1364"/>
      <c r="Q398" s="1364"/>
      <c r="R398" s="1364"/>
      <c r="S398" s="1364"/>
      <c r="T398" s="1364"/>
      <c r="V398" s="1364"/>
    </row>
    <row r="399" spans="3:22">
      <c r="C399" s="1460"/>
      <c r="D399" s="926"/>
      <c r="E399" s="926"/>
      <c r="F399" s="926"/>
      <c r="G399" s="926"/>
      <c r="H399" s="926"/>
      <c r="I399" s="926"/>
      <c r="J399" s="926"/>
      <c r="K399" s="926"/>
      <c r="L399" s="926"/>
      <c r="N399" s="926"/>
      <c r="O399" s="1364"/>
      <c r="P399" s="1364"/>
      <c r="Q399" s="1364"/>
      <c r="R399" s="1364"/>
      <c r="S399" s="1364"/>
      <c r="T399" s="1364"/>
      <c r="V399" s="1364"/>
    </row>
    <row r="400" spans="3:22">
      <c r="C400" s="1460"/>
      <c r="D400" s="926"/>
      <c r="E400" s="926"/>
      <c r="F400" s="926"/>
      <c r="G400" s="926"/>
      <c r="H400" s="926"/>
      <c r="I400" s="926"/>
      <c r="J400" s="926"/>
      <c r="K400" s="926"/>
      <c r="L400" s="926"/>
      <c r="N400" s="926"/>
      <c r="O400" s="1364"/>
      <c r="P400" s="1364"/>
      <c r="Q400" s="1364"/>
      <c r="R400" s="1364"/>
      <c r="S400" s="1364"/>
      <c r="T400" s="1364"/>
      <c r="V400" s="1364"/>
    </row>
    <row r="401" spans="3:22">
      <c r="C401" s="1460"/>
      <c r="D401" s="926"/>
      <c r="E401" s="926"/>
      <c r="F401" s="926"/>
      <c r="G401" s="926"/>
      <c r="H401" s="926"/>
      <c r="I401" s="926"/>
      <c r="J401" s="926"/>
      <c r="K401" s="926"/>
      <c r="L401" s="926"/>
      <c r="N401" s="926"/>
      <c r="O401" s="1364"/>
      <c r="P401" s="1364"/>
      <c r="Q401" s="1364"/>
      <c r="R401" s="1364"/>
      <c r="S401" s="1364"/>
      <c r="T401" s="1364"/>
      <c r="V401" s="1364"/>
    </row>
    <row r="402" spans="3:22">
      <c r="C402" s="1460"/>
      <c r="D402" s="926"/>
      <c r="E402" s="926"/>
      <c r="F402" s="926"/>
      <c r="G402" s="926"/>
      <c r="H402" s="926"/>
      <c r="I402" s="926"/>
      <c r="J402" s="926"/>
      <c r="K402" s="926"/>
      <c r="L402" s="926"/>
      <c r="N402" s="926"/>
      <c r="O402" s="1364"/>
      <c r="P402" s="1364"/>
      <c r="Q402" s="1364"/>
      <c r="R402" s="1364"/>
      <c r="S402" s="1364"/>
      <c r="T402" s="1364"/>
      <c r="V402" s="1364"/>
    </row>
    <row r="403" spans="3:22">
      <c r="C403" s="1460"/>
      <c r="D403" s="926"/>
      <c r="E403" s="926"/>
      <c r="F403" s="926"/>
      <c r="G403" s="926"/>
      <c r="H403" s="926"/>
      <c r="I403" s="926"/>
      <c r="J403" s="926"/>
      <c r="K403" s="926"/>
      <c r="L403" s="926"/>
      <c r="N403" s="926"/>
      <c r="O403" s="1364"/>
      <c r="P403" s="1364"/>
      <c r="Q403" s="1364"/>
      <c r="R403" s="1364"/>
      <c r="S403" s="1364"/>
      <c r="T403" s="1364"/>
      <c r="V403" s="1364"/>
    </row>
    <row r="404" spans="3:22">
      <c r="C404" s="1460"/>
      <c r="D404" s="926"/>
      <c r="E404" s="926"/>
      <c r="F404" s="926"/>
      <c r="G404" s="926"/>
      <c r="H404" s="926"/>
      <c r="I404" s="926"/>
      <c r="J404" s="926"/>
      <c r="K404" s="926"/>
      <c r="L404" s="926"/>
      <c r="N404" s="926"/>
      <c r="O404" s="1364"/>
      <c r="P404" s="1364"/>
      <c r="Q404" s="1364"/>
      <c r="R404" s="1364"/>
      <c r="S404" s="1364"/>
      <c r="T404" s="1364"/>
      <c r="V404" s="1364"/>
    </row>
  </sheetData>
  <phoneticPr fontId="0" type="noConversion"/>
  <printOptions horizontalCentered="1"/>
  <pageMargins left="0.35433070866141736" right="0.35433070866141736" top="0.36" bottom="0.17" header="0.34" footer="0.23622047244094491"/>
  <pageSetup paperSize="9" scale="49" fitToHeight="2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>
      <selection activeCell="B15" sqref="B15"/>
    </sheetView>
  </sheetViews>
  <sheetFormatPr defaultRowHeight="12.75"/>
  <cols>
    <col min="3" max="3" width="10.5703125" bestFit="1" customWidth="1"/>
    <col min="4" max="4" width="12.85546875" customWidth="1"/>
  </cols>
  <sheetData>
    <row r="1" spans="1:9">
      <c r="A1" s="1711"/>
      <c r="B1" s="1711"/>
      <c r="C1" s="1712">
        <v>50000000</v>
      </c>
      <c r="D1" s="1712"/>
      <c r="E1" s="1713"/>
      <c r="F1" s="1715"/>
      <c r="G1" s="1711"/>
      <c r="H1" s="1711"/>
      <c r="I1" s="1711"/>
    </row>
    <row r="2" spans="1:9">
      <c r="A2" s="1711"/>
      <c r="B2" s="1711"/>
      <c r="C2" s="1712"/>
      <c r="D2" s="1712"/>
      <c r="E2" s="1715"/>
      <c r="F2" s="1715"/>
      <c r="G2" s="1711"/>
      <c r="H2" s="1717"/>
      <c r="I2" s="1711"/>
    </row>
    <row r="3" spans="1:9">
      <c r="A3" s="1711"/>
      <c r="B3" s="1718" t="s">
        <v>2038</v>
      </c>
      <c r="C3" s="1716"/>
      <c r="D3" s="1716"/>
      <c r="E3" s="1712"/>
      <c r="F3" s="1715"/>
      <c r="G3" s="1711"/>
      <c r="H3" s="1711"/>
      <c r="I3" s="1711"/>
    </row>
    <row r="4" spans="1:9">
      <c r="A4" s="1711"/>
      <c r="B4" s="1718" t="s">
        <v>2037</v>
      </c>
      <c r="C4" s="1716"/>
      <c r="D4" s="1716"/>
      <c r="E4" s="1712"/>
      <c r="F4" s="1715"/>
      <c r="G4" s="1711"/>
      <c r="H4" s="1714"/>
      <c r="I4" s="1715"/>
    </row>
    <row r="5" spans="1:9">
      <c r="A5" s="1711"/>
      <c r="B5" s="1719"/>
      <c r="C5" s="1716"/>
      <c r="D5" s="1716"/>
      <c r="E5" s="1712"/>
      <c r="F5" s="1715"/>
      <c r="G5" s="1711"/>
      <c r="H5" s="1720"/>
      <c r="I5" s="1715"/>
    </row>
    <row r="6" spans="1:9">
      <c r="A6" s="1711"/>
      <c r="B6" s="1719"/>
      <c r="C6" s="1716"/>
      <c r="D6" s="1716"/>
      <c r="E6" s="1712"/>
      <c r="F6" s="1715"/>
      <c r="G6" s="1711"/>
      <c r="H6" s="1711"/>
      <c r="I6" s="1711"/>
    </row>
    <row r="7" spans="1:9" ht="45">
      <c r="A7" s="1721" t="s">
        <v>2032</v>
      </c>
      <c r="B7" s="1721" t="s">
        <v>2033</v>
      </c>
      <c r="C7" s="1721" t="s">
        <v>2034</v>
      </c>
      <c r="D7" s="1721"/>
      <c r="E7" s="1722" t="s">
        <v>2035</v>
      </c>
      <c r="F7" s="1722" t="s">
        <v>2039</v>
      </c>
      <c r="G7" s="1721" t="s">
        <v>2036</v>
      </c>
      <c r="H7" s="1721" t="s">
        <v>203</v>
      </c>
      <c r="I7" s="1723" t="s">
        <v>666</v>
      </c>
    </row>
    <row r="8" spans="1:9">
      <c r="A8" s="1724"/>
      <c r="B8" s="1715">
        <v>0</v>
      </c>
      <c r="C8" s="1712">
        <f>C1</f>
        <v>50000000</v>
      </c>
      <c r="D8" s="1712"/>
      <c r="E8" s="1725">
        <f>C8</f>
        <v>50000000</v>
      </c>
      <c r="F8" s="1715"/>
      <c r="G8" s="1727"/>
      <c r="H8" s="1725"/>
      <c r="I8" s="1728"/>
    </row>
    <row r="9" spans="1:9">
      <c r="A9" s="1724">
        <f>A8+31</f>
        <v>31</v>
      </c>
      <c r="B9" s="1715">
        <f>B8+1</f>
        <v>1</v>
      </c>
      <c r="C9" s="1712">
        <v>0</v>
      </c>
      <c r="D9" s="1726"/>
      <c r="E9" s="1729">
        <f t="shared" ref="E9:E20" si="0">E8+C9</f>
        <v>50000000</v>
      </c>
      <c r="F9" s="1720">
        <v>2E-3</v>
      </c>
      <c r="G9" s="1720">
        <v>0.09</v>
      </c>
      <c r="H9" s="1729">
        <f t="shared" ref="H9:H20" si="1">-E8*(F9+G9)*(A9-A8)/360</f>
        <v>-396111.11111111112</v>
      </c>
      <c r="I9" s="1730">
        <f>C9+H9</f>
        <v>-396111.11111111112</v>
      </c>
    </row>
    <row r="10" spans="1:9">
      <c r="A10" s="1724">
        <f t="shared" ref="A10:A19" si="2">A9+31</f>
        <v>62</v>
      </c>
      <c r="B10" s="1715">
        <f>B9+1</f>
        <v>2</v>
      </c>
      <c r="C10" s="1712">
        <v>0</v>
      </c>
      <c r="D10" s="1726"/>
      <c r="E10" s="1729">
        <f t="shared" si="0"/>
        <v>50000000</v>
      </c>
      <c r="F10" s="1727">
        <f t="shared" ref="F10:G20" si="3">F9</f>
        <v>2E-3</v>
      </c>
      <c r="G10" s="1727">
        <f t="shared" si="3"/>
        <v>0.09</v>
      </c>
      <c r="H10" s="1729">
        <f t="shared" si="1"/>
        <v>-396111.11111111112</v>
      </c>
      <c r="I10" s="1730">
        <f t="shared" ref="I10:I20" si="4">C10+H10</f>
        <v>-396111.11111111112</v>
      </c>
    </row>
    <row r="11" spans="1:9">
      <c r="A11" s="1724">
        <f>A10+30</f>
        <v>92</v>
      </c>
      <c r="B11" s="1715">
        <f t="shared" ref="B11:B20" si="5">B10+1</f>
        <v>3</v>
      </c>
      <c r="C11" s="1712">
        <v>0</v>
      </c>
      <c r="D11" s="1726"/>
      <c r="E11" s="1729">
        <f t="shared" si="0"/>
        <v>50000000</v>
      </c>
      <c r="F11" s="1727">
        <f t="shared" si="3"/>
        <v>2E-3</v>
      </c>
      <c r="G11" s="1727">
        <f t="shared" si="3"/>
        <v>0.09</v>
      </c>
      <c r="H11" s="1729">
        <f t="shared" si="1"/>
        <v>-383333.33333333331</v>
      </c>
      <c r="I11" s="1730">
        <f t="shared" si="4"/>
        <v>-383333.33333333331</v>
      </c>
    </row>
    <row r="12" spans="1:9">
      <c r="A12" s="1724">
        <f t="shared" si="2"/>
        <v>123</v>
      </c>
      <c r="B12" s="1715">
        <f t="shared" si="5"/>
        <v>4</v>
      </c>
      <c r="C12" s="1712">
        <f>-$C$8/9</f>
        <v>-5555555.555555556</v>
      </c>
      <c r="D12" s="1726"/>
      <c r="E12" s="1729">
        <f t="shared" si="0"/>
        <v>44444444.444444448</v>
      </c>
      <c r="F12" s="1727">
        <f t="shared" si="3"/>
        <v>2E-3</v>
      </c>
      <c r="G12" s="1727">
        <f t="shared" si="3"/>
        <v>0.09</v>
      </c>
      <c r="H12" s="1729">
        <f t="shared" si="1"/>
        <v>-396111.11111111112</v>
      </c>
      <c r="I12" s="1730">
        <f t="shared" si="4"/>
        <v>-5951666.666666667</v>
      </c>
    </row>
    <row r="13" spans="1:9">
      <c r="A13" s="1724">
        <f>A12+30</f>
        <v>153</v>
      </c>
      <c r="B13" s="1715">
        <f t="shared" si="5"/>
        <v>5</v>
      </c>
      <c r="C13" s="1712">
        <f t="shared" ref="C13:C20" si="6">-$C$8/9</f>
        <v>-5555555.555555556</v>
      </c>
      <c r="D13" s="1726"/>
      <c r="E13" s="1729">
        <f t="shared" si="0"/>
        <v>38888888.888888896</v>
      </c>
      <c r="F13" s="1727">
        <f t="shared" si="3"/>
        <v>2E-3</v>
      </c>
      <c r="G13" s="1727">
        <f t="shared" si="3"/>
        <v>0.09</v>
      </c>
      <c r="H13" s="1729">
        <f t="shared" si="1"/>
        <v>-340740.74074074073</v>
      </c>
      <c r="I13" s="1730">
        <f t="shared" si="4"/>
        <v>-5896296.2962962966</v>
      </c>
    </row>
    <row r="14" spans="1:9">
      <c r="A14" s="1724">
        <f t="shared" si="2"/>
        <v>184</v>
      </c>
      <c r="B14" s="1715">
        <f t="shared" si="5"/>
        <v>6</v>
      </c>
      <c r="C14" s="1712">
        <f t="shared" si="6"/>
        <v>-5555555.555555556</v>
      </c>
      <c r="D14" s="1726"/>
      <c r="E14" s="1729">
        <f t="shared" si="0"/>
        <v>33333333.33333334</v>
      </c>
      <c r="F14" s="1727">
        <f t="shared" si="3"/>
        <v>2E-3</v>
      </c>
      <c r="G14" s="1727">
        <f t="shared" si="3"/>
        <v>0.09</v>
      </c>
      <c r="H14" s="1729">
        <f t="shared" si="1"/>
        <v>-308086.41975308646</v>
      </c>
      <c r="I14" s="1730">
        <f t="shared" si="4"/>
        <v>-5863641.9753086427</v>
      </c>
    </row>
    <row r="15" spans="1:9">
      <c r="A15" s="1724">
        <f t="shared" si="2"/>
        <v>215</v>
      </c>
      <c r="B15" s="1715">
        <f t="shared" si="5"/>
        <v>7</v>
      </c>
      <c r="C15" s="1712">
        <f t="shared" si="6"/>
        <v>-5555555.555555556</v>
      </c>
      <c r="D15" s="1726"/>
      <c r="E15" s="1729">
        <f t="shared" si="0"/>
        <v>27777777.777777784</v>
      </c>
      <c r="F15" s="1727">
        <f t="shared" si="3"/>
        <v>2E-3</v>
      </c>
      <c r="G15" s="1727">
        <f t="shared" si="3"/>
        <v>0.09</v>
      </c>
      <c r="H15" s="1729">
        <f t="shared" si="1"/>
        <v>-264074.0740740741</v>
      </c>
      <c r="I15" s="1730">
        <f t="shared" si="4"/>
        <v>-5819629.6296296297</v>
      </c>
    </row>
    <row r="16" spans="1:9">
      <c r="A16" s="1724">
        <f>A15+28</f>
        <v>243</v>
      </c>
      <c r="B16" s="1715">
        <f t="shared" si="5"/>
        <v>8</v>
      </c>
      <c r="C16" s="1712">
        <f t="shared" si="6"/>
        <v>-5555555.555555556</v>
      </c>
      <c r="D16" s="1726"/>
      <c r="E16" s="1729">
        <f t="shared" si="0"/>
        <v>22222222.222222228</v>
      </c>
      <c r="F16" s="1727">
        <f t="shared" si="3"/>
        <v>2E-3</v>
      </c>
      <c r="G16" s="1727">
        <f t="shared" si="3"/>
        <v>0.09</v>
      </c>
      <c r="H16" s="1729">
        <f t="shared" si="1"/>
        <v>-198765.43209876545</v>
      </c>
      <c r="I16" s="1730">
        <f t="shared" si="4"/>
        <v>-5754320.9876543218</v>
      </c>
    </row>
    <row r="17" spans="1:9">
      <c r="A17" s="1724">
        <f t="shared" si="2"/>
        <v>274</v>
      </c>
      <c r="B17" s="1715">
        <f t="shared" si="5"/>
        <v>9</v>
      </c>
      <c r="C17" s="1712">
        <f t="shared" si="6"/>
        <v>-5555555.555555556</v>
      </c>
      <c r="D17" s="1726"/>
      <c r="E17" s="1729">
        <f t="shared" si="0"/>
        <v>16666666.666666672</v>
      </c>
      <c r="F17" s="1727">
        <f t="shared" si="3"/>
        <v>2E-3</v>
      </c>
      <c r="G17" s="1727">
        <f>G16</f>
        <v>0.09</v>
      </c>
      <c r="H17" s="1729">
        <f t="shared" si="1"/>
        <v>-176049.38271604941</v>
      </c>
      <c r="I17" s="1730">
        <f t="shared" si="4"/>
        <v>-5731604.9382716054</v>
      </c>
    </row>
    <row r="18" spans="1:9">
      <c r="A18" s="1724">
        <f>A17+30</f>
        <v>304</v>
      </c>
      <c r="B18" s="1715">
        <f t="shared" si="5"/>
        <v>10</v>
      </c>
      <c r="C18" s="1712">
        <f t="shared" si="6"/>
        <v>-5555555.555555556</v>
      </c>
      <c r="D18" s="1726"/>
      <c r="E18" s="1729">
        <f t="shared" si="0"/>
        <v>11111111.111111116</v>
      </c>
      <c r="F18" s="1727">
        <f t="shared" si="3"/>
        <v>2E-3</v>
      </c>
      <c r="G18" s="1727">
        <f t="shared" si="3"/>
        <v>0.09</v>
      </c>
      <c r="H18" s="1729">
        <f t="shared" si="1"/>
        <v>-127777.77777777782</v>
      </c>
      <c r="I18" s="1730">
        <f t="shared" si="4"/>
        <v>-5683333.333333334</v>
      </c>
    </row>
    <row r="19" spans="1:9">
      <c r="A19" s="1724">
        <f t="shared" si="2"/>
        <v>335</v>
      </c>
      <c r="B19" s="1715">
        <f t="shared" si="5"/>
        <v>11</v>
      </c>
      <c r="C19" s="1712">
        <f t="shared" si="6"/>
        <v>-5555555.555555556</v>
      </c>
      <c r="D19" s="1726"/>
      <c r="E19" s="1729">
        <f t="shared" si="0"/>
        <v>5555555.5555555597</v>
      </c>
      <c r="F19" s="1727">
        <f t="shared" si="3"/>
        <v>2E-3</v>
      </c>
      <c r="G19" s="1727">
        <f t="shared" si="3"/>
        <v>0.09</v>
      </c>
      <c r="H19" s="1729">
        <f t="shared" si="1"/>
        <v>-88024.69135802472</v>
      </c>
      <c r="I19" s="1730">
        <f t="shared" si="4"/>
        <v>-5643580.2469135802</v>
      </c>
    </row>
    <row r="20" spans="1:9">
      <c r="A20" s="1724">
        <f>A19+29</f>
        <v>364</v>
      </c>
      <c r="B20" s="1715">
        <f t="shared" si="5"/>
        <v>12</v>
      </c>
      <c r="C20" s="1712">
        <f t="shared" si="6"/>
        <v>-5555555.555555556</v>
      </c>
      <c r="D20" s="1726"/>
      <c r="E20" s="1729">
        <f t="shared" si="0"/>
        <v>0</v>
      </c>
      <c r="F20" s="1727">
        <f t="shared" si="3"/>
        <v>2E-3</v>
      </c>
      <c r="G20" s="1727">
        <f t="shared" si="3"/>
        <v>0.09</v>
      </c>
      <c r="H20" s="1729">
        <f t="shared" si="1"/>
        <v>-41172.839506172873</v>
      </c>
      <c r="I20" s="1730">
        <f t="shared" si="4"/>
        <v>-5596728.3950617285</v>
      </c>
    </row>
    <row r="21" spans="1:9">
      <c r="A21" s="1724"/>
      <c r="B21" s="1731"/>
      <c r="C21" s="1732"/>
      <c r="D21" s="1733"/>
      <c r="E21" s="1734"/>
      <c r="F21" s="1735"/>
      <c r="G21" s="1735"/>
      <c r="H21" s="1734"/>
      <c r="I21" s="1734"/>
    </row>
    <row r="22" spans="1:9">
      <c r="A22" s="1724"/>
      <c r="B22" s="1715"/>
      <c r="C22" s="1711"/>
      <c r="D22" s="1711"/>
      <c r="E22" s="1711"/>
      <c r="F22" s="1711"/>
      <c r="G22" s="1711"/>
      <c r="H22" s="1711"/>
      <c r="I22" s="1736">
        <f>SUM(I8:I20)</f>
        <v>-53116358.024691366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tabColor rgb="FFFFC000"/>
    <pageSetUpPr fitToPage="1"/>
  </sheetPr>
  <dimension ref="A1:ID604"/>
  <sheetViews>
    <sheetView showGridLines="0" zoomScale="80" zoomScaleNormal="80" zoomScaleSheetLayoutView="85" workbookViewId="0">
      <pane xSplit="3" ySplit="9" topLeftCell="D241" activePane="bottomRight" state="frozen"/>
      <selection activeCell="Q32" sqref="Q32"/>
      <selection pane="topRight" activeCell="Q32" sqref="Q32"/>
      <selection pane="bottomLeft" activeCell="Q32" sqref="Q32"/>
      <selection pane="bottomRight" activeCell="R254" sqref="R254"/>
    </sheetView>
  </sheetViews>
  <sheetFormatPr defaultRowHeight="12.75" outlineLevelRow="2" outlineLevelCol="1"/>
  <cols>
    <col min="1" max="1" width="3" style="169" bestFit="1" customWidth="1"/>
    <col min="2" max="2" width="37.7109375" style="295" customWidth="1"/>
    <col min="3" max="3" width="52.140625" style="295" hidden="1" customWidth="1" outlineLevel="1"/>
    <col min="4" max="4" width="6.42578125" style="169" bestFit="1" customWidth="1" collapsed="1"/>
    <col min="5" max="5" width="51.42578125" style="169" hidden="1" customWidth="1" outlineLevel="1"/>
    <col min="6" max="6" width="54.28515625" style="169" hidden="1" customWidth="1" outlineLevel="1"/>
    <col min="7" max="7" width="12.7109375" style="169" hidden="1" customWidth="1" outlineLevel="1"/>
    <col min="8" max="8" width="27.28515625" style="169" hidden="1" customWidth="1" outlineLevel="1"/>
    <col min="9" max="9" width="12.28515625" style="169" hidden="1" customWidth="1" outlineLevel="1"/>
    <col min="10" max="10" width="12.7109375" style="169" hidden="1" customWidth="1" outlineLevel="1"/>
    <col min="11" max="11" width="12.85546875" style="169" hidden="1" customWidth="1" outlineLevel="1" collapsed="1"/>
    <col min="12" max="12" width="12.85546875" style="168" hidden="1" customWidth="1" outlineLevel="1"/>
    <col min="13" max="13" width="15.28515625" style="168" hidden="1" customWidth="1" outlineLevel="1"/>
    <col min="14" max="14" width="11.28515625" style="577" hidden="1" customWidth="1" outlineLevel="1" collapsed="1"/>
    <col min="15" max="16" width="15.42578125" style="577" customWidth="1" collapsed="1"/>
    <col min="17" max="17" width="15.42578125" style="592" customWidth="1"/>
    <col min="18" max="18" width="15.42578125" style="577" customWidth="1"/>
    <col min="19" max="19" width="13.7109375" style="577" customWidth="1"/>
    <col min="20" max="25" width="15.42578125" style="577" customWidth="1"/>
    <col min="26" max="58" width="11.7109375" style="169" customWidth="1"/>
    <col min="59" max="16384" width="9.140625" style="169"/>
  </cols>
  <sheetData>
    <row r="1" spans="1:238" ht="15.75" customHeight="1">
      <c r="A1" s="295"/>
      <c r="E1" s="168"/>
      <c r="F1" s="168"/>
      <c r="G1" s="168"/>
      <c r="H1" s="167"/>
      <c r="I1" s="168"/>
      <c r="J1" s="168"/>
      <c r="K1" s="211"/>
      <c r="L1" s="211"/>
      <c r="M1" s="211"/>
      <c r="N1" s="211"/>
      <c r="O1" s="211"/>
      <c r="P1" s="214"/>
      <c r="Q1" s="222"/>
      <c r="R1" s="1620">
        <f ca="1">(R264+R268+R269+R270)/R12</f>
        <v>-11170.133730854046</v>
      </c>
      <c r="S1" s="1620">
        <f ca="1">(S264+S268+S269+S270)/S12</f>
        <v>-9576.1992633061127</v>
      </c>
      <c r="T1" s="216"/>
      <c r="U1" s="214"/>
      <c r="V1" s="214"/>
      <c r="W1" s="214"/>
      <c r="X1" s="214"/>
      <c r="Y1" s="214"/>
    </row>
    <row r="2" spans="1:238" ht="15.75" hidden="1" customHeight="1">
      <c r="B2" s="296"/>
      <c r="C2" s="296"/>
      <c r="D2" s="168"/>
      <c r="E2" s="168"/>
      <c r="F2" s="168"/>
      <c r="G2" s="168"/>
      <c r="H2" s="168"/>
      <c r="I2" s="168"/>
      <c r="J2" s="168"/>
      <c r="N2" s="256"/>
      <c r="O2" s="1003"/>
      <c r="P2" s="871"/>
      <c r="Q2" s="1462"/>
      <c r="R2" s="1621">
        <f>R11/R15</f>
        <v>24875</v>
      </c>
      <c r="S2" s="1621"/>
      <c r="T2" s="1328"/>
    </row>
    <row r="3" spans="1:238" ht="27" customHeight="1">
      <c r="B3" s="297" t="s">
        <v>2090</v>
      </c>
      <c r="C3" s="297" t="s">
        <v>169</v>
      </c>
      <c r="L3" s="211"/>
      <c r="M3" s="323"/>
      <c r="N3" s="211"/>
      <c r="O3" s="211"/>
      <c r="P3" s="169"/>
      <c r="Q3" s="1462"/>
      <c r="R3" s="1621">
        <f ca="1">R386</f>
        <v>143397188.475862</v>
      </c>
      <c r="S3" s="1621">
        <f>R73/24</f>
        <v>200.30499999999998</v>
      </c>
      <c r="T3" s="180"/>
      <c r="U3" s="180"/>
      <c r="V3" s="180"/>
      <c r="W3" s="169"/>
      <c r="X3" s="169"/>
      <c r="Y3" s="169"/>
    </row>
    <row r="4" spans="1:238" ht="3" customHeight="1">
      <c r="B4" s="299"/>
      <c r="C4" s="299"/>
      <c r="D4" s="170"/>
      <c r="E4" s="170"/>
      <c r="F4" s="170"/>
      <c r="G4" s="170"/>
      <c r="H4" s="170"/>
      <c r="I4" s="170"/>
      <c r="J4" s="170"/>
      <c r="K4" s="170"/>
      <c r="L4" s="170"/>
      <c r="M4" s="170"/>
      <c r="N4" s="170"/>
      <c r="O4" s="170"/>
      <c r="P4" s="170"/>
      <c r="Q4" s="170"/>
      <c r="R4" s="170"/>
      <c r="S4" s="170"/>
      <c r="T4" s="170"/>
      <c r="U4" s="170"/>
      <c r="V4" s="170"/>
      <c r="W4" s="170"/>
      <c r="X4" s="170"/>
      <c r="Y4" s="170"/>
    </row>
    <row r="5" spans="1:238" ht="15.75" hidden="1" customHeight="1">
      <c r="H5" s="171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328"/>
      <c r="T5" s="171"/>
      <c r="U5" s="171"/>
      <c r="V5" s="171"/>
      <c r="W5" s="171"/>
      <c r="X5" s="171"/>
      <c r="Y5" s="171"/>
    </row>
    <row r="6" spans="1:238" ht="15.75" customHeight="1">
      <c r="B6" s="302" t="s">
        <v>168</v>
      </c>
      <c r="C6" s="302" t="s">
        <v>168</v>
      </c>
      <c r="D6" s="303"/>
      <c r="E6" s="303"/>
      <c r="F6" s="303"/>
      <c r="G6" s="303"/>
      <c r="H6" s="172"/>
      <c r="I6" s="172"/>
      <c r="J6" s="172"/>
      <c r="K6" s="172"/>
      <c r="L6" s="173"/>
      <c r="O6" s="871"/>
      <c r="Q6" s="1552" t="s">
        <v>1999</v>
      </c>
      <c r="R6" s="1553"/>
      <c r="S6" s="1553"/>
      <c r="T6" s="1553" t="s">
        <v>2001</v>
      </c>
    </row>
    <row r="7" spans="1:238" ht="15.75" customHeight="1">
      <c r="B7" s="603"/>
      <c r="C7" s="603"/>
      <c r="D7" s="233"/>
      <c r="E7" s="233"/>
      <c r="F7" s="233"/>
      <c r="G7" s="603"/>
      <c r="H7" s="603"/>
      <c r="I7" s="174">
        <v>0</v>
      </c>
      <c r="J7" s="174">
        <v>1</v>
      </c>
      <c r="K7" s="174">
        <v>2</v>
      </c>
      <c r="L7" s="175">
        <f t="shared" ref="L7:W7" si="0">K7+1</f>
        <v>3</v>
      </c>
      <c r="M7" s="175">
        <f t="shared" si="0"/>
        <v>4</v>
      </c>
      <c r="N7" s="175">
        <f t="shared" si="0"/>
        <v>5</v>
      </c>
      <c r="O7" s="175">
        <f t="shared" si="0"/>
        <v>6</v>
      </c>
      <c r="P7" s="175">
        <f t="shared" si="0"/>
        <v>7</v>
      </c>
      <c r="Q7" s="1463">
        <f t="shared" si="0"/>
        <v>8</v>
      </c>
      <c r="R7" s="1367" t="s">
        <v>2056</v>
      </c>
      <c r="S7" s="1367" t="s">
        <v>2057</v>
      </c>
      <c r="T7" s="1367"/>
      <c r="U7" s="175">
        <f>Q7+1</f>
        <v>9</v>
      </c>
      <c r="V7" s="175">
        <f t="shared" si="0"/>
        <v>10</v>
      </c>
      <c r="W7" s="175">
        <f t="shared" si="0"/>
        <v>11</v>
      </c>
      <c r="X7" s="175">
        <f>W7+1</f>
        <v>12</v>
      </c>
      <c r="Y7" s="175">
        <f>X7+1</f>
        <v>13</v>
      </c>
      <c r="Z7" s="179"/>
      <c r="AA7" s="179"/>
      <c r="AB7" s="179"/>
      <c r="AC7" s="179"/>
      <c r="AD7" s="179"/>
      <c r="AE7" s="179"/>
      <c r="AF7" s="179"/>
      <c r="AG7" s="179"/>
      <c r="AH7" s="179"/>
      <c r="AI7" s="179"/>
      <c r="AJ7" s="179"/>
      <c r="AK7" s="179"/>
      <c r="AL7" s="179"/>
      <c r="AM7" s="179"/>
      <c r="AN7" s="179"/>
      <c r="AO7" s="179"/>
      <c r="AP7" s="179"/>
      <c r="AQ7" s="179"/>
      <c r="AR7" s="179"/>
      <c r="AS7" s="179"/>
      <c r="AT7" s="179"/>
      <c r="AU7" s="179"/>
      <c r="AV7" s="179"/>
      <c r="AW7" s="179"/>
      <c r="AX7" s="179"/>
      <c r="AY7" s="179"/>
      <c r="AZ7" s="179"/>
      <c r="BA7" s="179"/>
      <c r="BB7" s="179"/>
      <c r="BC7" s="179"/>
      <c r="BD7" s="179"/>
      <c r="BE7" s="179"/>
      <c r="BF7" s="179"/>
    </row>
    <row r="8" spans="1:238" ht="15.75" hidden="1" customHeight="1">
      <c r="B8" s="604"/>
      <c r="C8" s="604"/>
      <c r="D8" s="234"/>
      <c r="E8" s="234"/>
      <c r="F8" s="234"/>
      <c r="G8" s="604"/>
      <c r="H8" s="604"/>
      <c r="I8" s="176"/>
      <c r="J8" s="176"/>
      <c r="K8" s="176"/>
      <c r="L8" s="176"/>
      <c r="M8" s="176"/>
      <c r="N8" s="176"/>
      <c r="O8" s="176"/>
      <c r="P8" s="176"/>
      <c r="Q8" s="1464"/>
      <c r="R8" s="1369"/>
      <c r="S8" s="1369"/>
      <c r="T8" s="1368"/>
      <c r="U8" s="176"/>
      <c r="V8" s="176"/>
      <c r="W8" s="176"/>
      <c r="X8" s="176"/>
      <c r="Y8" s="176"/>
      <c r="Z8" s="179"/>
      <c r="AA8" s="179"/>
      <c r="AB8" s="179"/>
      <c r="AC8" s="179"/>
      <c r="AD8" s="179"/>
      <c r="AE8" s="179"/>
      <c r="AF8" s="179"/>
      <c r="AG8" s="179"/>
      <c r="AH8" s="179"/>
      <c r="AI8" s="179"/>
      <c r="AJ8" s="179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179"/>
      <c r="AY8" s="179"/>
      <c r="AZ8" s="179"/>
      <c r="BA8" s="179"/>
      <c r="BB8" s="179"/>
      <c r="BC8" s="179"/>
      <c r="BD8" s="179"/>
      <c r="BE8" s="179"/>
      <c r="BF8" s="179"/>
    </row>
    <row r="9" spans="1:238" ht="15.75" customHeight="1">
      <c r="B9" s="177"/>
      <c r="C9" s="177"/>
      <c r="D9" s="260"/>
      <c r="E9" s="235"/>
      <c r="F9" s="235"/>
      <c r="G9" s="177"/>
      <c r="H9" s="177"/>
      <c r="I9" s="178" t="s">
        <v>499</v>
      </c>
      <c r="J9" s="178" t="s">
        <v>499</v>
      </c>
      <c r="K9" s="178" t="s">
        <v>499</v>
      </c>
      <c r="L9" s="178" t="str">
        <f t="shared" ref="L9:W9" si="1">K9</f>
        <v>($)</v>
      </c>
      <c r="M9" s="178" t="str">
        <f t="shared" si="1"/>
        <v>($)</v>
      </c>
      <c r="N9" s="178" t="str">
        <f t="shared" si="1"/>
        <v>($)</v>
      </c>
      <c r="O9" s="178" t="str">
        <f t="shared" si="1"/>
        <v>($)</v>
      </c>
      <c r="P9" s="178" t="str">
        <f t="shared" si="1"/>
        <v>($)</v>
      </c>
      <c r="Q9" s="1465" t="str">
        <f t="shared" si="1"/>
        <v>($)</v>
      </c>
      <c r="R9" s="1370" t="str">
        <f>Q9</f>
        <v>($)</v>
      </c>
      <c r="S9" s="1370" t="str">
        <f>R9</f>
        <v>($)</v>
      </c>
      <c r="T9" s="1370" t="str">
        <f>S9</f>
        <v>($)</v>
      </c>
      <c r="U9" s="178" t="str">
        <f>Q9</f>
        <v>($)</v>
      </c>
      <c r="V9" s="178" t="str">
        <f t="shared" si="1"/>
        <v>($)</v>
      </c>
      <c r="W9" s="178" t="str">
        <f t="shared" si="1"/>
        <v>($)</v>
      </c>
      <c r="X9" s="178" t="str">
        <f>W9</f>
        <v>($)</v>
      </c>
      <c r="Y9" s="178" t="str">
        <f>X9</f>
        <v>($)</v>
      </c>
      <c r="Z9" s="179"/>
      <c r="AA9" s="179"/>
      <c r="AB9" s="179"/>
      <c r="AC9" s="179"/>
      <c r="AD9" s="179"/>
      <c r="AE9" s="179"/>
      <c r="AF9" s="179"/>
      <c r="AG9" s="179"/>
      <c r="AH9" s="179"/>
      <c r="AI9" s="179"/>
      <c r="AJ9" s="179"/>
      <c r="AK9" s="179"/>
      <c r="AL9" s="179"/>
      <c r="AM9" s="179"/>
      <c r="AN9" s="179"/>
      <c r="AO9" s="179"/>
      <c r="AP9" s="179"/>
      <c r="AQ9" s="179"/>
      <c r="AR9" s="179"/>
      <c r="AS9" s="179"/>
      <c r="AT9" s="179"/>
      <c r="AU9" s="179"/>
      <c r="AV9" s="179"/>
      <c r="AW9" s="179"/>
      <c r="AX9" s="179"/>
      <c r="AY9" s="179"/>
      <c r="AZ9" s="179"/>
      <c r="BA9" s="179"/>
      <c r="BB9" s="179"/>
      <c r="BC9" s="179"/>
      <c r="BD9" s="179"/>
      <c r="BE9" s="179"/>
      <c r="BF9" s="179"/>
    </row>
    <row r="10" spans="1:238" ht="15.75" customHeight="1">
      <c r="B10" s="173"/>
      <c r="C10" s="173"/>
      <c r="D10" s="172"/>
      <c r="E10" s="172"/>
      <c r="F10" s="172"/>
      <c r="I10" s="172"/>
      <c r="J10" s="172"/>
      <c r="K10" s="172"/>
      <c r="L10" s="172"/>
      <c r="Q10" s="1466"/>
      <c r="R10" s="1371"/>
      <c r="S10" s="1371"/>
      <c r="T10" s="1371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  <c r="AX10" s="179"/>
      <c r="AY10" s="179"/>
      <c r="AZ10" s="179"/>
      <c r="BA10" s="179"/>
      <c r="BB10" s="179"/>
      <c r="BC10" s="179"/>
      <c r="BD10" s="179"/>
      <c r="BE10" s="179"/>
      <c r="BF10" s="179"/>
      <c r="ID10" s="605"/>
    </row>
    <row r="11" spans="1:238" ht="15.75" customHeight="1">
      <c r="B11" s="181" t="s">
        <v>170</v>
      </c>
      <c r="C11" s="181" t="s">
        <v>170</v>
      </c>
      <c r="D11" s="181"/>
      <c r="E11" s="181"/>
      <c r="F11" s="181"/>
      <c r="G11" s="179"/>
      <c r="H11" s="179"/>
      <c r="I11" s="180">
        <v>72500000</v>
      </c>
      <c r="J11" s="180">
        <v>74105009.722432718</v>
      </c>
      <c r="K11" s="181">
        <v>529020241.75999999</v>
      </c>
      <c r="L11" s="181">
        <f>L15*L17+L20</f>
        <v>367766659.27704996</v>
      </c>
      <c r="M11" s="379">
        <f>M12*M17+M20</f>
        <v>249101501.5850482</v>
      </c>
      <c r="N11" s="181">
        <f>N12*N17+N20</f>
        <v>367799246.81279999</v>
      </c>
      <c r="O11" s="181">
        <f t="shared" ref="O11:Y11" si="2">O12*O17*(1-0.5%)+O20</f>
        <v>268187031.42339796</v>
      </c>
      <c r="P11" s="216">
        <f>P15*P17*(1-0.5%)+P20</f>
        <v>432821831.28749996</v>
      </c>
      <c r="Q11" s="1467">
        <f t="shared" si="2"/>
        <v>453974076.47812313</v>
      </c>
      <c r="R11" s="1372">
        <f>R12*R17*(1-0.5%)+R20</f>
        <v>281478608.79820746</v>
      </c>
      <c r="S11" s="1372">
        <f>S12*S17*(1-0.5%)+S20</f>
        <v>233181575.21592385</v>
      </c>
      <c r="T11" s="1372">
        <f>R11+S11</f>
        <v>514660184.01413131</v>
      </c>
      <c r="U11" s="181">
        <f t="shared" si="2"/>
        <v>540832832.55394161</v>
      </c>
      <c r="V11" s="181">
        <f t="shared" si="2"/>
        <v>520563520.34420431</v>
      </c>
      <c r="W11" s="181">
        <f t="shared" si="2"/>
        <v>541556211.43275237</v>
      </c>
      <c r="X11" s="181">
        <f t="shared" si="2"/>
        <v>540832832.55394161</v>
      </c>
      <c r="Y11" s="181">
        <f t="shared" si="2"/>
        <v>476006119.81156456</v>
      </c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</row>
    <row r="12" spans="1:238" ht="15.75" customHeight="1">
      <c r="B12" s="184" t="s">
        <v>173</v>
      </c>
      <c r="C12" s="184" t="s">
        <v>173</v>
      </c>
      <c r="D12" s="181"/>
      <c r="E12" s="181"/>
      <c r="F12" s="181"/>
      <c r="G12" s="179"/>
      <c r="H12" s="179"/>
      <c r="I12" s="180">
        <v>5000</v>
      </c>
      <c r="J12" s="180">
        <v>13000</v>
      </c>
      <c r="K12" s="180">
        <v>14211.2</v>
      </c>
      <c r="L12" s="180">
        <f>L15</f>
        <v>14770.504999999999</v>
      </c>
      <c r="M12" s="283">
        <f>M15</f>
        <v>14422.419200000002</v>
      </c>
      <c r="N12" s="283">
        <f>N15</f>
        <v>16057.44</v>
      </c>
      <c r="O12" s="180">
        <f>O129*(1-O125)*O124*O123</f>
        <v>13303.602326929546</v>
      </c>
      <c r="P12" s="395">
        <f>P129*(1-P125)*P124*P123</f>
        <v>20881.453725531999</v>
      </c>
      <c r="Q12" s="1468">
        <f t="shared" ref="Q12:Y12" si="3">Q129*(1-Q125)*Q124*Q123</f>
        <v>20190.310164806062</v>
      </c>
      <c r="R12" s="1373">
        <f>R129*(1-R125)*R124*R123</f>
        <v>11315.722966762109</v>
      </c>
      <c r="S12" s="1373">
        <f>S129*(1-S125)*S124*S123</f>
        <v>9284.5540599611322</v>
      </c>
      <c r="T12" s="1373">
        <f>R12+S12</f>
        <v>20600.277026723241</v>
      </c>
      <c r="U12" s="180">
        <f t="shared" si="3"/>
        <v>21234.320421438828</v>
      </c>
      <c r="V12" s="180">
        <f t="shared" si="3"/>
        <v>20438.501372970066</v>
      </c>
      <c r="W12" s="180">
        <f t="shared" si="3"/>
        <v>21262.721912572848</v>
      </c>
      <c r="X12" s="180">
        <f t="shared" si="3"/>
        <v>21234.320421438828</v>
      </c>
      <c r="Y12" s="180">
        <f t="shared" si="3"/>
        <v>18689.077034975395</v>
      </c>
      <c r="Z12" s="179"/>
      <c r="AA12" s="179"/>
      <c r="AB12" s="179"/>
      <c r="AC12" s="179"/>
      <c r="AD12" s="179"/>
      <c r="AE12" s="179"/>
      <c r="AF12" s="179"/>
      <c r="AG12" s="179"/>
      <c r="AH12" s="179"/>
      <c r="AI12" s="179"/>
      <c r="AJ12" s="179"/>
      <c r="AK12" s="179"/>
      <c r="AL12" s="179"/>
      <c r="AM12" s="179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79"/>
      <c r="BB12" s="179"/>
      <c r="BC12" s="179"/>
      <c r="BD12" s="179"/>
      <c r="BE12" s="179"/>
      <c r="BF12" s="179"/>
    </row>
    <row r="13" spans="1:238" ht="15.75" customHeight="1">
      <c r="B13" s="578" t="s">
        <v>174</v>
      </c>
      <c r="C13" s="578" t="s">
        <v>174</v>
      </c>
      <c r="D13" s="181"/>
      <c r="E13" s="181"/>
      <c r="F13" s="181"/>
      <c r="G13" s="179"/>
      <c r="H13" s="179"/>
      <c r="I13" s="180"/>
      <c r="J13" s="182">
        <v>1.6</v>
      </c>
      <c r="K13" s="183">
        <v>9.3169230769230893E-2</v>
      </c>
      <c r="L13" s="183">
        <f t="shared" ref="L13:W13" si="4">L12/K12-1</f>
        <v>3.9356634204007923E-2</v>
      </c>
      <c r="M13" s="182">
        <f t="shared" si="4"/>
        <v>-2.3566276169975087E-2</v>
      </c>
      <c r="N13" s="183">
        <f t="shared" si="4"/>
        <v>0.11336661189268438</v>
      </c>
      <c r="O13" s="183">
        <f t="shared" si="4"/>
        <v>-0.1714991725374938</v>
      </c>
      <c r="P13" s="1206">
        <f t="shared" si="4"/>
        <v>0.56960898352043654</v>
      </c>
      <c r="Q13" s="1469">
        <f t="shared" si="4"/>
        <v>-3.3098440837041387E-2</v>
      </c>
      <c r="R13" s="1374">
        <f>R12/Q12-1</f>
        <v>-0.43954684824571633</v>
      </c>
      <c r="S13" s="1374">
        <f>S12/R12-1</f>
        <v>-0.1794997025613978</v>
      </c>
      <c r="T13" s="1374"/>
      <c r="U13" s="183">
        <f>U12/Q12-1</f>
        <v>5.170848036067266E-2</v>
      </c>
      <c r="V13" s="183">
        <f t="shared" si="4"/>
        <v>-3.7477961746554378E-2</v>
      </c>
      <c r="W13" s="183">
        <f t="shared" si="4"/>
        <v>4.0326857853326459E-2</v>
      </c>
      <c r="X13" s="183">
        <f>X12/W12-1</f>
        <v>-1.3357410801307923E-3</v>
      </c>
      <c r="Y13" s="183">
        <f>Y12/X12-1</f>
        <v>-0.11986460296104773</v>
      </c>
      <c r="Z13" s="179"/>
      <c r="AA13" s="179"/>
      <c r="AB13" s="179"/>
      <c r="AC13" s="179"/>
      <c r="AD13" s="179"/>
      <c r="AE13" s="179"/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  <c r="AX13" s="179"/>
      <c r="AY13" s="179"/>
      <c r="AZ13" s="179"/>
      <c r="BA13" s="179"/>
      <c r="BB13" s="179"/>
      <c r="BC13" s="179"/>
      <c r="BD13" s="179"/>
      <c r="BE13" s="179"/>
      <c r="BF13" s="179"/>
    </row>
    <row r="14" spans="1:238" ht="15.75" customHeight="1">
      <c r="B14" s="184" t="s">
        <v>175</v>
      </c>
      <c r="C14" s="184" t="s">
        <v>175</v>
      </c>
      <c r="D14" s="181"/>
      <c r="E14" s="181"/>
      <c r="F14" s="181"/>
      <c r="G14" s="179"/>
      <c r="H14" s="179"/>
      <c r="I14" s="414">
        <v>0.2</v>
      </c>
      <c r="J14" s="414">
        <v>0.2</v>
      </c>
      <c r="K14" s="414">
        <v>0.1785509446004836</v>
      </c>
      <c r="L14" s="414">
        <v>0.18099999999999999</v>
      </c>
      <c r="M14" s="202">
        <v>0.2</v>
      </c>
      <c r="N14" s="414">
        <v>0.189</v>
      </c>
      <c r="O14" s="414">
        <v>0.2</v>
      </c>
      <c r="P14" s="407">
        <v>0.2</v>
      </c>
      <c r="Q14" s="1470">
        <v>0.2</v>
      </c>
      <c r="R14" s="1375">
        <v>0.2</v>
      </c>
      <c r="S14" s="1375">
        <v>0.2</v>
      </c>
      <c r="T14" s="1375">
        <v>0.2</v>
      </c>
      <c r="U14" s="414">
        <v>0.2</v>
      </c>
      <c r="V14" s="414">
        <v>0.2</v>
      </c>
      <c r="W14" s="414">
        <v>0.2</v>
      </c>
      <c r="X14" s="414">
        <v>0.2</v>
      </c>
      <c r="Y14" s="414">
        <v>0.2</v>
      </c>
      <c r="Z14" s="179"/>
      <c r="AA14" s="179"/>
      <c r="AB14" s="179"/>
      <c r="AC14" s="179"/>
      <c r="AD14" s="179"/>
      <c r="AE14" s="179"/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  <c r="AX14" s="179"/>
      <c r="AY14" s="179"/>
      <c r="AZ14" s="179"/>
      <c r="BA14" s="179"/>
      <c r="BB14" s="179"/>
      <c r="BC14" s="179"/>
      <c r="BD14" s="179"/>
      <c r="BE14" s="179"/>
      <c r="BF14" s="179"/>
    </row>
    <row r="15" spans="1:238" ht="15.75" customHeight="1">
      <c r="B15" s="184" t="s">
        <v>176</v>
      </c>
      <c r="C15" s="184" t="s">
        <v>176</v>
      </c>
      <c r="D15" s="181"/>
      <c r="E15" s="181"/>
      <c r="F15" s="181"/>
      <c r="G15" s="179"/>
      <c r="H15" s="179"/>
      <c r="I15" s="180">
        <v>5000</v>
      </c>
      <c r="J15" s="180">
        <v>13000</v>
      </c>
      <c r="K15" s="180">
        <v>14211.2</v>
      </c>
      <c r="L15" s="180">
        <f>L16*L14</f>
        <v>14770.504999999999</v>
      </c>
      <c r="M15" s="283">
        <f>M16*M14</f>
        <v>14422.419200000002</v>
      </c>
      <c r="N15" s="283">
        <f>N16*N14</f>
        <v>16057.44</v>
      </c>
      <c r="O15" s="180">
        <f t="shared" ref="O15:Y15" si="5">O12</f>
        <v>13303.602326929546</v>
      </c>
      <c r="P15" s="395">
        <v>20140.849999999999</v>
      </c>
      <c r="Q15" s="1468">
        <f t="shared" si="5"/>
        <v>20190.310164806062</v>
      </c>
      <c r="R15" s="1373">
        <f>R12</f>
        <v>11315.722966762109</v>
      </c>
      <c r="S15" s="1373">
        <f>S12</f>
        <v>9284.5540599611322</v>
      </c>
      <c r="T15" s="1373">
        <f>R15+S15</f>
        <v>20600.277026723241</v>
      </c>
      <c r="U15" s="180">
        <f t="shared" si="5"/>
        <v>21234.320421438828</v>
      </c>
      <c r="V15" s="180">
        <f t="shared" si="5"/>
        <v>20438.501372970066</v>
      </c>
      <c r="W15" s="180">
        <f t="shared" si="5"/>
        <v>21262.721912572848</v>
      </c>
      <c r="X15" s="180">
        <f t="shared" si="5"/>
        <v>21234.320421438828</v>
      </c>
      <c r="Y15" s="180">
        <f t="shared" si="5"/>
        <v>18689.077034975395</v>
      </c>
      <c r="Z15" s="179"/>
      <c r="AA15" s="179"/>
      <c r="AB15" s="179"/>
      <c r="AC15" s="179"/>
      <c r="AD15" s="179"/>
      <c r="AE15" s="179"/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  <c r="AX15" s="179"/>
      <c r="AY15" s="179"/>
      <c r="AZ15" s="179"/>
      <c r="BA15" s="179"/>
      <c r="BB15" s="179"/>
      <c r="BC15" s="179"/>
      <c r="BD15" s="179"/>
      <c r="BE15" s="179"/>
      <c r="BF15" s="179"/>
    </row>
    <row r="16" spans="1:238" ht="15.75" customHeight="1">
      <c r="B16" s="184" t="s">
        <v>177</v>
      </c>
      <c r="C16" s="184" t="s">
        <v>177</v>
      </c>
      <c r="D16" s="181"/>
      <c r="E16" s="181"/>
      <c r="F16" s="181"/>
      <c r="G16" s="179"/>
      <c r="H16" s="179"/>
      <c r="I16" s="180">
        <v>25000</v>
      </c>
      <c r="J16" s="180">
        <v>65000</v>
      </c>
      <c r="K16" s="180">
        <v>79591.850000000006</v>
      </c>
      <c r="L16" s="180">
        <v>81605</v>
      </c>
      <c r="M16" s="283">
        <v>72112.096000000005</v>
      </c>
      <c r="N16" s="180">
        <v>84960</v>
      </c>
      <c r="O16" s="180">
        <v>65828.75</v>
      </c>
      <c r="P16" s="395">
        <f t="shared" ref="P16:Y16" si="6">P15/P14</f>
        <v>100704.24999999999</v>
      </c>
      <c r="Q16" s="1468">
        <f t="shared" si="6"/>
        <v>100951.5508240303</v>
      </c>
      <c r="R16" s="1373">
        <f>R15/R14</f>
        <v>56578.614833810541</v>
      </c>
      <c r="S16" s="1373">
        <f>S15/S14</f>
        <v>46422.770299805656</v>
      </c>
      <c r="T16" s="1373">
        <f>R16+S16</f>
        <v>103001.38513361619</v>
      </c>
      <c r="U16" s="180">
        <f t="shared" si="6"/>
        <v>106171.60210719414</v>
      </c>
      <c r="V16" s="180">
        <f t="shared" si="6"/>
        <v>102192.50686485032</v>
      </c>
      <c r="W16" s="180">
        <f t="shared" si="6"/>
        <v>106313.60956286424</v>
      </c>
      <c r="X16" s="180">
        <f t="shared" si="6"/>
        <v>106171.60210719414</v>
      </c>
      <c r="Y16" s="180">
        <f t="shared" si="6"/>
        <v>93445.385174876967</v>
      </c>
      <c r="Z16" s="179"/>
      <c r="AA16" s="179"/>
      <c r="AB16" s="179"/>
      <c r="AC16" s="179"/>
      <c r="AD16" s="179"/>
      <c r="AE16" s="179"/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  <c r="AY16" s="179"/>
      <c r="AZ16" s="179"/>
      <c r="BA16" s="179"/>
      <c r="BB16" s="179"/>
      <c r="BC16" s="179"/>
      <c r="BD16" s="179"/>
      <c r="BE16" s="179"/>
      <c r="BF16" s="179"/>
    </row>
    <row r="17" spans="2:58" ht="15.75" customHeight="1">
      <c r="B17" s="184" t="s">
        <v>178</v>
      </c>
      <c r="C17" s="184" t="s">
        <v>178</v>
      </c>
      <c r="D17" s="181"/>
      <c r="E17" s="181"/>
      <c r="F17" s="181"/>
      <c r="G17" s="179"/>
      <c r="H17" s="179"/>
      <c r="I17" s="180">
        <v>14500</v>
      </c>
      <c r="J17" s="180">
        <v>24000</v>
      </c>
      <c r="K17" s="180">
        <v>37277</v>
      </c>
      <c r="L17" s="180">
        <v>23862.41</v>
      </c>
      <c r="M17" s="283">
        <v>17160.509999999998</v>
      </c>
      <c r="N17" s="180">
        <f>Commodities_prices!N124</f>
        <v>22000</v>
      </c>
      <c r="O17" s="1005">
        <f>Commodities_prices!O124</f>
        <v>20000</v>
      </c>
      <c r="P17" s="395">
        <f>Commodities_prices!P124</f>
        <v>21000</v>
      </c>
      <c r="Q17" s="1468">
        <f>Commodities_prices!Q124</f>
        <v>22000</v>
      </c>
      <c r="R17" s="1955">
        <v>25000</v>
      </c>
      <c r="S17" s="1373">
        <f>Total!T144</f>
        <v>25000</v>
      </c>
      <c r="T17" s="1373">
        <f>AVERAGE(R17:S17)</f>
        <v>25000</v>
      </c>
      <c r="U17" s="180">
        <f>Commodities_prices!R124</f>
        <v>25000</v>
      </c>
      <c r="V17" s="180">
        <f>Commodities_prices!S124</f>
        <v>25000</v>
      </c>
      <c r="W17" s="180">
        <f>Commodities_prices!T124</f>
        <v>25000</v>
      </c>
      <c r="X17" s="180">
        <f>Commodities_prices!U124</f>
        <v>25000</v>
      </c>
      <c r="Y17" s="180">
        <f>Commodities_prices!V124</f>
        <v>25000</v>
      </c>
      <c r="Z17" s="179"/>
      <c r="AA17" s="179"/>
      <c r="AB17" s="179"/>
      <c r="AC17" s="179"/>
      <c r="AD17" s="179"/>
      <c r="AE17" s="179"/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C17" s="179"/>
      <c r="BD17" s="179"/>
      <c r="BE17" s="179"/>
      <c r="BF17" s="179"/>
    </row>
    <row r="18" spans="2:58" ht="15.75" customHeight="1">
      <c r="B18" s="184" t="s">
        <v>907</v>
      </c>
      <c r="C18" s="184" t="s">
        <v>664</v>
      </c>
      <c r="D18" s="181"/>
      <c r="E18" s="181"/>
      <c r="F18" s="181"/>
      <c r="G18" s="179"/>
      <c r="H18" s="179"/>
      <c r="I18" s="180"/>
      <c r="J18" s="180">
        <v>230</v>
      </c>
      <c r="K18" s="180">
        <v>230</v>
      </c>
      <c r="L18" s="180">
        <v>400</v>
      </c>
      <c r="M18" s="283">
        <f>116.01*'Control list'!I17</f>
        <v>127.61100000000002</v>
      </c>
      <c r="N18" s="180">
        <v>265</v>
      </c>
      <c r="O18" s="180">
        <f>120*'Control list'!K19</f>
        <v>132</v>
      </c>
      <c r="P18" s="395">
        <v>300</v>
      </c>
      <c r="Q18" s="1468">
        <v>300</v>
      </c>
      <c r="R18" s="1373">
        <v>168</v>
      </c>
      <c r="S18" s="1373">
        <v>168</v>
      </c>
      <c r="T18" s="1373">
        <f>AVERAGE(R18:S18)</f>
        <v>168</v>
      </c>
      <c r="U18" s="180">
        <f>Q18</f>
        <v>300</v>
      </c>
      <c r="V18" s="180">
        <f>U18</f>
        <v>300</v>
      </c>
      <c r="W18" s="180">
        <f>V18</f>
        <v>300</v>
      </c>
      <c r="X18" s="180">
        <f>W18*(1+W184)</f>
        <v>300</v>
      </c>
      <c r="Y18" s="180">
        <f>X18*(1+X184)</f>
        <v>300</v>
      </c>
      <c r="Z18" s="179"/>
      <c r="AA18" s="179"/>
      <c r="AB18" s="179"/>
      <c r="AC18" s="179"/>
      <c r="AD18" s="179"/>
      <c r="AE18" s="179"/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9"/>
      <c r="AR18" s="179"/>
      <c r="AS18" s="179"/>
      <c r="AT18" s="179"/>
      <c r="AU18" s="179"/>
      <c r="AV18" s="179"/>
      <c r="AW18" s="179"/>
      <c r="AX18" s="179"/>
      <c r="AY18" s="179"/>
      <c r="AZ18" s="179"/>
      <c r="BA18" s="179"/>
      <c r="BB18" s="179"/>
      <c r="BC18" s="179"/>
      <c r="BD18" s="179"/>
      <c r="BE18" s="179"/>
      <c r="BF18" s="179"/>
    </row>
    <row r="19" spans="2:58" ht="15.75" customHeight="1">
      <c r="B19" s="184" t="s">
        <v>179</v>
      </c>
      <c r="C19" s="184" t="s">
        <v>179</v>
      </c>
      <c r="D19" s="181"/>
      <c r="E19" s="181"/>
      <c r="F19" s="181"/>
      <c r="G19" s="179"/>
      <c r="H19" s="179"/>
      <c r="I19" s="180"/>
      <c r="J19" s="180">
        <v>51545</v>
      </c>
      <c r="K19" s="180">
        <v>64823.507050000007</v>
      </c>
      <c r="L19" s="180">
        <f t="shared" ref="L19:U19" si="7">(1-L14-0.7%)*L16</f>
        <v>66263.259999999995</v>
      </c>
      <c r="M19" s="283">
        <f>(1-M14-0.7%)*M16</f>
        <v>57184.892128000007</v>
      </c>
      <c r="N19" s="180">
        <f t="shared" si="7"/>
        <v>68307.839999999997</v>
      </c>
      <c r="O19" s="180">
        <f>(1-O14-0.7%)*O16</f>
        <v>52202.198750000003</v>
      </c>
      <c r="P19" s="395">
        <f t="shared" si="7"/>
        <v>79858.470249999998</v>
      </c>
      <c r="Q19" s="1468">
        <f t="shared" si="7"/>
        <v>80054.579803456028</v>
      </c>
      <c r="R19" s="1373">
        <f>(1-R14-0.7%)*R16</f>
        <v>44866.841563211761</v>
      </c>
      <c r="S19" s="1373">
        <f>(1-S14-0.7%)*S16</f>
        <v>36813.256847745884</v>
      </c>
      <c r="T19" s="1373">
        <f>R19+S19</f>
        <v>81680.098410957638</v>
      </c>
      <c r="U19" s="180">
        <f t="shared" si="7"/>
        <v>84194.080471004956</v>
      </c>
      <c r="V19" s="180">
        <f>(1-V14-0.7%)*V16</f>
        <v>81038.657943826314</v>
      </c>
      <c r="W19" s="180">
        <f>(1-W14-0.7%)*W16</f>
        <v>84306.692383351343</v>
      </c>
      <c r="X19" s="180">
        <f>(1-X14-0.7%)*X16</f>
        <v>84194.080471004956</v>
      </c>
      <c r="Y19" s="180">
        <f>(1-Y14-0.7%)*Y16</f>
        <v>74102.190443677435</v>
      </c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</row>
    <row r="20" spans="2:58" ht="15.75" customHeight="1">
      <c r="B20" s="184" t="s">
        <v>180</v>
      </c>
      <c r="C20" s="184" t="s">
        <v>180</v>
      </c>
      <c r="D20" s="181"/>
      <c r="E20" s="181"/>
      <c r="F20" s="181"/>
      <c r="G20" s="179"/>
      <c r="H20" s="179"/>
      <c r="I20" s="180"/>
      <c r="J20" s="180">
        <v>11855350</v>
      </c>
      <c r="K20" s="180">
        <v>14909406.621500002</v>
      </c>
      <c r="L20" s="180">
        <f>L19*L18*'Control list'!H17*70%*3/4+L19*L18*'Control list'!H17*0%*1/4</f>
        <v>15306813.059999999</v>
      </c>
      <c r="M20" s="283">
        <f>M19*M18*'Control list'!I17*20%</f>
        <v>1605432.6792561663</v>
      </c>
      <c r="N20" s="180">
        <f>N19*N18*'Control list'!J17*73%</f>
        <v>14535566.812799999</v>
      </c>
      <c r="O20" s="180">
        <f>O18*O19*50%</f>
        <v>3445345.1175000002</v>
      </c>
      <c r="P20" s="395">
        <f>P18*P19*50%</f>
        <v>11978770.5375</v>
      </c>
      <c r="Q20" s="1468">
        <f t="shared" ref="Q20:Y20" si="8">Q18*Q19*50%</f>
        <v>12008186.970518405</v>
      </c>
      <c r="R20" s="1954"/>
      <c r="S20" s="1590">
        <f>240*S12</f>
        <v>2228292.9743906716</v>
      </c>
      <c r="T20" s="1373">
        <f>R20+S20</f>
        <v>2228292.9743906716</v>
      </c>
      <c r="U20" s="180">
        <f t="shared" si="8"/>
        <v>12629112.070650743</v>
      </c>
      <c r="V20" s="180">
        <f t="shared" si="8"/>
        <v>12155798.691573948</v>
      </c>
      <c r="W20" s="180">
        <f t="shared" si="8"/>
        <v>12646003.857502701</v>
      </c>
      <c r="X20" s="180">
        <f t="shared" si="8"/>
        <v>12629112.070650743</v>
      </c>
      <c r="Y20" s="180">
        <f t="shared" si="8"/>
        <v>11115328.566551615</v>
      </c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179"/>
      <c r="AZ20" s="179"/>
      <c r="BA20" s="179"/>
      <c r="BB20" s="179"/>
      <c r="BC20" s="179"/>
      <c r="BD20" s="179"/>
      <c r="BE20" s="179"/>
      <c r="BF20" s="179"/>
    </row>
    <row r="21" spans="2:58" ht="15.75" customHeight="1">
      <c r="B21" s="181"/>
      <c r="C21" s="181"/>
      <c r="D21" s="181"/>
      <c r="E21" s="181"/>
      <c r="F21" s="181"/>
      <c r="G21" s="179"/>
      <c r="H21" s="179"/>
      <c r="I21" s="181"/>
      <c r="J21" s="181"/>
      <c r="K21" s="181"/>
      <c r="L21" s="181"/>
      <c r="M21" s="185"/>
      <c r="Q21" s="1466"/>
      <c r="R21" s="1371"/>
      <c r="S21" s="1371"/>
      <c r="T21" s="1371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79"/>
      <c r="BB21" s="179"/>
      <c r="BC21" s="179"/>
      <c r="BD21" s="179"/>
      <c r="BE21" s="179"/>
      <c r="BF21" s="179"/>
    </row>
    <row r="22" spans="2:58" ht="15.75" customHeight="1">
      <c r="B22" s="406"/>
      <c r="C22" s="406"/>
      <c r="D22" s="179"/>
      <c r="E22" s="179"/>
      <c r="F22" s="179"/>
      <c r="G22" s="179"/>
      <c r="H22" s="179"/>
      <c r="I22" s="179"/>
      <c r="J22" s="179"/>
      <c r="K22" s="179"/>
      <c r="L22" s="181"/>
      <c r="M22" s="185"/>
      <c r="Q22" s="1466"/>
      <c r="R22" s="1371"/>
      <c r="S22" s="1371"/>
      <c r="T22" s="1371"/>
      <c r="Z22" s="179"/>
      <c r="AA22" s="179"/>
      <c r="AB22" s="179"/>
      <c r="AC22" s="179"/>
      <c r="AD22" s="179"/>
      <c r="AE22" s="179"/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  <c r="AX22" s="179"/>
      <c r="AY22" s="179"/>
      <c r="AZ22" s="179"/>
      <c r="BA22" s="179"/>
      <c r="BB22" s="179"/>
      <c r="BC22" s="179"/>
      <c r="BD22" s="179"/>
      <c r="BE22" s="179"/>
      <c r="BF22" s="179"/>
    </row>
    <row r="23" spans="2:58" ht="15.75" customHeight="1">
      <c r="B23" s="406"/>
      <c r="C23" s="406"/>
      <c r="D23" s="179"/>
      <c r="E23" s="179"/>
      <c r="F23" s="179"/>
      <c r="G23" s="179"/>
      <c r="H23" s="179"/>
      <c r="I23" s="179"/>
      <c r="J23" s="179"/>
      <c r="K23" s="179"/>
      <c r="L23" s="379"/>
      <c r="M23" s="379"/>
      <c r="Q23" s="1466"/>
      <c r="R23" s="1371"/>
      <c r="S23" s="1371"/>
      <c r="T23" s="1371"/>
      <c r="Z23" s="179"/>
      <c r="AA23" s="179"/>
      <c r="AB23" s="179"/>
      <c r="AC23" s="179"/>
      <c r="AD23" s="179"/>
      <c r="AE23" s="179"/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179"/>
      <c r="AX23" s="179"/>
      <c r="AY23" s="179"/>
      <c r="AZ23" s="179"/>
      <c r="BA23" s="179"/>
      <c r="BB23" s="179"/>
      <c r="BC23" s="179"/>
      <c r="BD23" s="179"/>
      <c r="BE23" s="179"/>
      <c r="BF23" s="179"/>
    </row>
    <row r="24" spans="2:58" ht="15.75" hidden="1" customHeight="1" outlineLevel="1">
      <c r="B24" s="406"/>
      <c r="C24" s="406"/>
      <c r="D24" s="179"/>
      <c r="E24" s="179"/>
      <c r="F24" s="179"/>
      <c r="G24" s="179"/>
      <c r="H24" s="179"/>
      <c r="I24" s="179"/>
      <c r="J24" s="179"/>
      <c r="K24" s="179"/>
      <c r="L24" s="185"/>
      <c r="M24" s="185"/>
      <c r="Q24" s="1466"/>
      <c r="R24" s="1371"/>
      <c r="S24" s="1371"/>
      <c r="T24" s="1371"/>
      <c r="Z24" s="179"/>
      <c r="AA24" s="179"/>
      <c r="AB24" s="179"/>
      <c r="AC24" s="179"/>
      <c r="AD24" s="179"/>
      <c r="AE24" s="179"/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  <c r="AY24" s="179"/>
      <c r="AZ24" s="179"/>
      <c r="BA24" s="179"/>
      <c r="BB24" s="179"/>
      <c r="BC24" s="179"/>
      <c r="BD24" s="179"/>
      <c r="BE24" s="179"/>
      <c r="BF24" s="179"/>
    </row>
    <row r="25" spans="2:58" ht="27" hidden="1" outlineLevel="1">
      <c r="B25" s="297" t="s">
        <v>1600</v>
      </c>
      <c r="C25" s="297" t="s">
        <v>545</v>
      </c>
      <c r="L25" s="169"/>
      <c r="M25" s="185"/>
      <c r="Q25" s="1466"/>
      <c r="R25" s="1371"/>
      <c r="S25" s="1371"/>
      <c r="T25" s="1371"/>
      <c r="Z25" s="179"/>
      <c r="AA25" s="179"/>
      <c r="AB25" s="179"/>
      <c r="AC25" s="179"/>
      <c r="AD25" s="179"/>
      <c r="AE25" s="179"/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179"/>
      <c r="AX25" s="179"/>
      <c r="AY25" s="179"/>
      <c r="AZ25" s="179"/>
      <c r="BA25" s="179"/>
      <c r="BB25" s="179"/>
      <c r="BC25" s="179"/>
      <c r="BD25" s="179"/>
      <c r="BE25" s="179"/>
      <c r="BF25" s="179"/>
    </row>
    <row r="26" spans="2:58" ht="15.75" hidden="1" customHeight="1" outlineLevel="1">
      <c r="B26" s="299"/>
      <c r="C26" s="299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471"/>
      <c r="R26" s="1376"/>
      <c r="S26" s="1376"/>
      <c r="T26" s="1376"/>
      <c r="U26" s="170"/>
      <c r="V26" s="170"/>
      <c r="W26" s="170"/>
      <c r="X26" s="170"/>
      <c r="Y26" s="170"/>
      <c r="Z26" s="179"/>
      <c r="AA26" s="179"/>
      <c r="AB26" s="179"/>
      <c r="AC26" s="179"/>
      <c r="AD26" s="179"/>
      <c r="AE26" s="179"/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179"/>
      <c r="AX26" s="179"/>
      <c r="AY26" s="179"/>
      <c r="AZ26" s="179"/>
      <c r="BA26" s="179"/>
      <c r="BB26" s="179"/>
      <c r="BC26" s="179"/>
      <c r="BD26" s="179"/>
      <c r="BE26" s="179"/>
      <c r="BF26" s="179"/>
    </row>
    <row r="27" spans="2:58" ht="15.75" hidden="1" customHeight="1" outlineLevel="1">
      <c r="B27" s="302" t="s">
        <v>1601</v>
      </c>
      <c r="C27" s="302" t="s">
        <v>501</v>
      </c>
      <c r="D27" s="303"/>
      <c r="E27" s="303"/>
      <c r="F27" s="303"/>
      <c r="G27" s="303"/>
      <c r="H27" s="172"/>
      <c r="I27" s="172"/>
      <c r="J27" s="172"/>
      <c r="K27" s="172"/>
      <c r="L27" s="173"/>
      <c r="M27" s="173"/>
      <c r="N27" s="173"/>
      <c r="O27" s="173"/>
      <c r="P27" s="173"/>
      <c r="Q27" s="1472"/>
      <c r="R27" s="1377"/>
      <c r="S27" s="1377"/>
      <c r="T27" s="1377"/>
      <c r="U27" s="173"/>
      <c r="V27" s="173"/>
      <c r="W27" s="173"/>
      <c r="X27" s="173"/>
      <c r="Y27" s="173"/>
      <c r="Z27" s="179"/>
      <c r="AA27" s="179"/>
      <c r="AB27" s="179"/>
      <c r="AC27" s="179"/>
      <c r="AD27" s="179"/>
      <c r="AE27" s="179"/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  <c r="AP27" s="179"/>
      <c r="AQ27" s="179"/>
      <c r="AR27" s="179"/>
      <c r="AS27" s="179"/>
      <c r="AT27" s="179"/>
      <c r="AU27" s="179"/>
      <c r="AV27" s="179"/>
      <c r="AW27" s="179"/>
      <c r="AX27" s="179"/>
      <c r="AY27" s="179"/>
      <c r="AZ27" s="179"/>
      <c r="BA27" s="179"/>
      <c r="BB27" s="179"/>
      <c r="BC27" s="179"/>
      <c r="BD27" s="179"/>
      <c r="BE27" s="179"/>
      <c r="BF27" s="179"/>
    </row>
    <row r="28" spans="2:58" ht="15.75" hidden="1" customHeight="1" outlineLevel="1">
      <c r="B28" s="603"/>
      <c r="C28" s="603"/>
      <c r="D28" s="233"/>
      <c r="E28" s="233"/>
      <c r="F28" s="233"/>
      <c r="G28" s="603"/>
      <c r="H28" s="603"/>
      <c r="I28" s="174">
        <v>0</v>
      </c>
      <c r="J28" s="174">
        <v>1</v>
      </c>
      <c r="K28" s="174">
        <v>2</v>
      </c>
      <c r="L28" s="174">
        <f t="shared" ref="L28:W28" si="9">K28+1</f>
        <v>3</v>
      </c>
      <c r="M28" s="174">
        <f t="shared" si="9"/>
        <v>4</v>
      </c>
      <c r="N28" s="174">
        <f t="shared" si="9"/>
        <v>5</v>
      </c>
      <c r="O28" s="174">
        <f t="shared" si="9"/>
        <v>6</v>
      </c>
      <c r="P28" s="174">
        <f t="shared" si="9"/>
        <v>7</v>
      </c>
      <c r="Q28" s="1473">
        <f t="shared" si="9"/>
        <v>8</v>
      </c>
      <c r="R28" s="1378">
        <f>Q28+1</f>
        <v>9</v>
      </c>
      <c r="S28" s="1378">
        <f>R28+1</f>
        <v>10</v>
      </c>
      <c r="T28" s="1378"/>
      <c r="U28" s="174">
        <f>Q28+1</f>
        <v>9</v>
      </c>
      <c r="V28" s="174">
        <f t="shared" si="9"/>
        <v>10</v>
      </c>
      <c r="W28" s="174">
        <f t="shared" si="9"/>
        <v>11</v>
      </c>
      <c r="X28" s="174">
        <f>W28+1</f>
        <v>12</v>
      </c>
      <c r="Y28" s="174">
        <f>X28+1</f>
        <v>13</v>
      </c>
      <c r="Z28" s="179"/>
      <c r="AA28" s="179"/>
      <c r="AB28" s="179"/>
      <c r="AC28" s="179"/>
      <c r="AD28" s="179"/>
      <c r="AE28" s="179"/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</row>
    <row r="29" spans="2:58" ht="15.75" hidden="1" customHeight="1" outlineLevel="1">
      <c r="B29" s="604"/>
      <c r="C29" s="604"/>
      <c r="D29" s="234"/>
      <c r="E29" s="234"/>
      <c r="F29" s="234"/>
      <c r="G29" s="604"/>
      <c r="H29" s="604"/>
      <c r="I29" s="176"/>
      <c r="J29" s="176"/>
      <c r="K29" s="176"/>
      <c r="L29" s="176"/>
      <c r="M29" s="176"/>
      <c r="N29" s="176"/>
      <c r="O29" s="176"/>
      <c r="P29" s="176"/>
      <c r="Q29" s="1464"/>
      <c r="R29" s="1368"/>
      <c r="S29" s="1368"/>
      <c r="T29" s="1368"/>
      <c r="U29" s="176"/>
      <c r="V29" s="176"/>
      <c r="W29" s="176"/>
      <c r="X29" s="176"/>
      <c r="Y29" s="176"/>
      <c r="Z29" s="179"/>
      <c r="AA29" s="179"/>
      <c r="AB29" s="179"/>
      <c r="AC29" s="179"/>
      <c r="AD29" s="179"/>
      <c r="AE29" s="179"/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  <c r="AQ29" s="179"/>
      <c r="AR29" s="179"/>
      <c r="AS29" s="179"/>
      <c r="AT29" s="179"/>
      <c r="AU29" s="179"/>
      <c r="AV29" s="179"/>
      <c r="AW29" s="179"/>
      <c r="AX29" s="179"/>
      <c r="AY29" s="179"/>
      <c r="AZ29" s="179"/>
      <c r="BA29" s="179"/>
      <c r="BB29" s="179"/>
      <c r="BC29" s="179"/>
      <c r="BD29" s="179"/>
      <c r="BE29" s="179"/>
      <c r="BF29" s="179"/>
    </row>
    <row r="30" spans="2:58" ht="15.75" hidden="1" customHeight="1" outlineLevel="1" thickBot="1">
      <c r="B30" s="186"/>
      <c r="C30" s="186"/>
      <c r="D30" s="242"/>
      <c r="E30" s="249"/>
      <c r="F30" s="249"/>
      <c r="G30" s="186"/>
      <c r="H30" s="186"/>
      <c r="I30" s="187" t="s">
        <v>499</v>
      </c>
      <c r="J30" s="187" t="s">
        <v>499</v>
      </c>
      <c r="K30" s="187" t="s">
        <v>499</v>
      </c>
      <c r="L30" s="187" t="str">
        <f t="shared" ref="L30:W30" si="10">K30</f>
        <v>($)</v>
      </c>
      <c r="M30" s="187" t="str">
        <f t="shared" si="10"/>
        <v>($)</v>
      </c>
      <c r="N30" s="187" t="str">
        <f t="shared" si="10"/>
        <v>($)</v>
      </c>
      <c r="O30" s="187" t="str">
        <f t="shared" si="10"/>
        <v>($)</v>
      </c>
      <c r="P30" s="187" t="str">
        <f t="shared" si="10"/>
        <v>($)</v>
      </c>
      <c r="Q30" s="1474" t="str">
        <f t="shared" si="10"/>
        <v>($)</v>
      </c>
      <c r="R30" s="1379" t="str">
        <f>Q30</f>
        <v>($)</v>
      </c>
      <c r="S30" s="1379" t="str">
        <f>R30</f>
        <v>($)</v>
      </c>
      <c r="T30" s="1379"/>
      <c r="U30" s="187" t="str">
        <f>Q30</f>
        <v>($)</v>
      </c>
      <c r="V30" s="187" t="str">
        <f t="shared" si="10"/>
        <v>($)</v>
      </c>
      <c r="W30" s="187" t="str">
        <f t="shared" si="10"/>
        <v>($)</v>
      </c>
      <c r="X30" s="187" t="str">
        <f>W30</f>
        <v>($)</v>
      </c>
      <c r="Y30" s="187" t="str">
        <f>X30</f>
        <v>($)</v>
      </c>
      <c r="Z30" s="179"/>
      <c r="AA30" s="179"/>
      <c r="AB30" s="179"/>
      <c r="AC30" s="179"/>
      <c r="AD30" s="179"/>
      <c r="AE30" s="179"/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  <c r="AX30" s="179"/>
      <c r="AY30" s="179"/>
      <c r="AZ30" s="179"/>
      <c r="BA30" s="179"/>
      <c r="BB30" s="179"/>
      <c r="BC30" s="179"/>
      <c r="BD30" s="179"/>
      <c r="BE30" s="179"/>
      <c r="BF30" s="179"/>
    </row>
    <row r="31" spans="2:58" ht="15.75" hidden="1" customHeight="1" outlineLevel="1">
      <c r="B31" s="579"/>
      <c r="C31" s="579"/>
      <c r="D31" s="189"/>
      <c r="E31" s="189"/>
      <c r="F31" s="189"/>
      <c r="G31" s="188"/>
      <c r="H31" s="188"/>
      <c r="I31" s="189"/>
      <c r="J31" s="189"/>
      <c r="K31" s="189"/>
      <c r="L31" s="189"/>
      <c r="M31" s="189"/>
      <c r="N31" s="189"/>
      <c r="O31" s="189"/>
      <c r="P31" s="189"/>
      <c r="Q31" s="1475"/>
      <c r="R31" s="1380"/>
      <c r="S31" s="1380"/>
      <c r="T31" s="1380"/>
      <c r="U31" s="189"/>
      <c r="V31" s="189"/>
      <c r="W31" s="189"/>
      <c r="X31" s="189"/>
      <c r="Y31" s="189"/>
      <c r="Z31" s="179"/>
      <c r="AA31" s="179"/>
      <c r="AB31" s="179"/>
      <c r="AC31" s="179"/>
      <c r="AD31" s="179"/>
      <c r="AE31" s="179"/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  <c r="AX31" s="179"/>
      <c r="AY31" s="179"/>
      <c r="AZ31" s="179"/>
      <c r="BA31" s="179"/>
      <c r="BB31" s="179"/>
      <c r="BC31" s="179"/>
      <c r="BD31" s="179"/>
      <c r="BE31" s="179"/>
      <c r="BF31" s="179"/>
    </row>
    <row r="32" spans="2:58" ht="15.75" hidden="1" customHeight="1" outlineLevel="1">
      <c r="B32" s="580" t="s">
        <v>1602</v>
      </c>
      <c r="C32" s="580" t="s">
        <v>555</v>
      </c>
      <c r="D32" s="379"/>
      <c r="E32" s="379"/>
      <c r="F32" s="379"/>
      <c r="G32" s="1979" t="s">
        <v>561</v>
      </c>
      <c r="H32" s="1979"/>
      <c r="I32" s="1979"/>
      <c r="J32" s="1979"/>
      <c r="K32" s="1979"/>
      <c r="L32" s="1979"/>
      <c r="M32" s="185"/>
      <c r="Q32" s="1466"/>
      <c r="R32" s="1371"/>
      <c r="S32" s="1371"/>
      <c r="T32" s="1371"/>
      <c r="Z32" s="179"/>
      <c r="AA32" s="179"/>
      <c r="AB32" s="179"/>
      <c r="AC32" s="179"/>
      <c r="AD32" s="179"/>
      <c r="AE32" s="179"/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</row>
    <row r="33" spans="2:58" ht="15.75" hidden="1" customHeight="1" outlineLevel="1">
      <c r="B33" s="581" t="s">
        <v>1603</v>
      </c>
      <c r="C33" s="581" t="s">
        <v>556</v>
      </c>
      <c r="D33" s="379"/>
      <c r="E33" s="379"/>
      <c r="F33" s="379"/>
      <c r="G33" s="190"/>
      <c r="H33" s="190"/>
      <c r="I33" s="197">
        <v>1</v>
      </c>
      <c r="J33" s="197"/>
      <c r="K33" s="197">
        <v>1</v>
      </c>
      <c r="L33" s="197"/>
      <c r="M33" s="197"/>
      <c r="N33" s="197"/>
      <c r="O33" s="197">
        <v>1</v>
      </c>
      <c r="P33" s="1329"/>
      <c r="Q33" s="1476"/>
      <c r="R33" s="1381"/>
      <c r="S33" s="1381"/>
      <c r="T33" s="1381"/>
      <c r="U33" s="197"/>
      <c r="V33" s="197"/>
      <c r="W33" s="197"/>
      <c r="X33" s="197"/>
      <c r="Y33" s="197">
        <v>1</v>
      </c>
      <c r="Z33" s="179"/>
      <c r="AA33" s="179"/>
      <c r="AB33" s="179"/>
      <c r="AC33" s="179"/>
      <c r="AD33" s="179"/>
      <c r="AE33" s="179"/>
      <c r="AF33" s="179"/>
      <c r="AG33" s="179"/>
      <c r="AH33" s="179"/>
      <c r="AI33" s="179"/>
      <c r="AJ33" s="179"/>
      <c r="AK33" s="179"/>
      <c r="AL33" s="179"/>
      <c r="AM33" s="179"/>
      <c r="AN33" s="179"/>
      <c r="AO33" s="179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79"/>
      <c r="BA33" s="179"/>
      <c r="BB33" s="179"/>
      <c r="BC33" s="179"/>
      <c r="BD33" s="179"/>
      <c r="BE33" s="179"/>
      <c r="BF33" s="179"/>
    </row>
    <row r="34" spans="2:58" ht="15.75" hidden="1" customHeight="1" outlineLevel="1">
      <c r="B34" s="581" t="s">
        <v>1604</v>
      </c>
      <c r="C34" s="581" t="s">
        <v>557</v>
      </c>
      <c r="D34" s="379"/>
      <c r="E34" s="379"/>
      <c r="F34" s="379"/>
      <c r="G34" s="190"/>
      <c r="H34" s="190"/>
      <c r="I34" s="197"/>
      <c r="J34" s="197">
        <v>1</v>
      </c>
      <c r="K34" s="197"/>
      <c r="L34" s="197"/>
      <c r="M34" s="197"/>
      <c r="N34" s="197">
        <v>1</v>
      </c>
      <c r="O34" s="197"/>
      <c r="P34" s="1329"/>
      <c r="Q34" s="1476">
        <v>1</v>
      </c>
      <c r="R34" s="1960">
        <v>1</v>
      </c>
      <c r="S34" s="1381">
        <v>1</v>
      </c>
      <c r="T34" s="1381"/>
      <c r="U34" s="197"/>
      <c r="V34" s="197"/>
      <c r="W34" s="197"/>
      <c r="X34" s="197"/>
      <c r="Y34" s="197"/>
      <c r="Z34" s="179"/>
      <c r="AA34" s="179"/>
      <c r="AB34" s="179"/>
      <c r="AC34" s="179"/>
      <c r="AD34" s="179"/>
      <c r="AE34" s="179"/>
      <c r="AF34" s="179"/>
      <c r="AG34" s="179"/>
      <c r="AH34" s="179"/>
      <c r="AI34" s="179"/>
      <c r="AJ34" s="179"/>
      <c r="AK34" s="179"/>
      <c r="AL34" s="179"/>
      <c r="AM34" s="179"/>
      <c r="AN34" s="179"/>
      <c r="AO34" s="179"/>
      <c r="AP34" s="179"/>
      <c r="AQ34" s="179"/>
      <c r="AR34" s="179"/>
      <c r="AS34" s="179"/>
      <c r="AT34" s="179"/>
      <c r="AU34" s="179"/>
      <c r="AV34" s="179"/>
      <c r="AW34" s="179"/>
      <c r="AX34" s="179"/>
      <c r="AY34" s="179"/>
      <c r="AZ34" s="179"/>
      <c r="BA34" s="179"/>
      <c r="BB34" s="179"/>
      <c r="BC34" s="179"/>
      <c r="BD34" s="179"/>
      <c r="BE34" s="179"/>
      <c r="BF34" s="179"/>
    </row>
    <row r="35" spans="2:58" ht="15.75" hidden="1" customHeight="1" outlineLevel="1">
      <c r="B35" s="581"/>
      <c r="C35" s="581"/>
      <c r="D35" s="379"/>
      <c r="E35" s="379"/>
      <c r="F35" s="379"/>
      <c r="G35" s="185"/>
      <c r="H35" s="185"/>
      <c r="I35" s="197"/>
      <c r="J35" s="197"/>
      <c r="K35" s="197"/>
      <c r="L35" s="197"/>
      <c r="M35" s="197"/>
      <c r="N35" s="197"/>
      <c r="O35" s="197"/>
      <c r="P35" s="1329"/>
      <c r="Q35" s="1476"/>
      <c r="R35" s="1381"/>
      <c r="S35" s="1381"/>
      <c r="T35" s="1381"/>
      <c r="U35" s="197"/>
      <c r="V35" s="197"/>
      <c r="W35" s="197"/>
      <c r="X35" s="197"/>
      <c r="Y35" s="197"/>
      <c r="Z35" s="179"/>
      <c r="AA35" s="179"/>
      <c r="AB35" s="179"/>
      <c r="AC35" s="179"/>
      <c r="AD35" s="179"/>
      <c r="AE35" s="179"/>
      <c r="AF35" s="179"/>
      <c r="AG35" s="179"/>
      <c r="AH35" s="179"/>
      <c r="AI35" s="179"/>
      <c r="AJ35" s="179"/>
      <c r="AK35" s="179"/>
      <c r="AL35" s="179"/>
      <c r="AM35" s="179"/>
      <c r="AN35" s="179"/>
      <c r="AO35" s="179"/>
      <c r="AP35" s="179"/>
      <c r="AQ35" s="179"/>
      <c r="AR35" s="179"/>
      <c r="AS35" s="179"/>
      <c r="AT35" s="179"/>
      <c r="AU35" s="179"/>
      <c r="AV35" s="179"/>
      <c r="AW35" s="179"/>
      <c r="AX35" s="179"/>
      <c r="AY35" s="179"/>
      <c r="AZ35" s="179"/>
      <c r="BA35" s="179"/>
      <c r="BB35" s="179"/>
      <c r="BC35" s="179"/>
      <c r="BD35" s="179"/>
      <c r="BE35" s="179"/>
      <c r="BF35" s="179"/>
    </row>
    <row r="36" spans="2:58" ht="15.75" hidden="1" customHeight="1" outlineLevel="1">
      <c r="B36" s="580" t="s">
        <v>1605</v>
      </c>
      <c r="C36" s="580" t="s">
        <v>558</v>
      </c>
      <c r="D36" s="379"/>
      <c r="E36" s="379"/>
      <c r="F36" s="379"/>
      <c r="G36" s="1979" t="s">
        <v>560</v>
      </c>
      <c r="H36" s="1979"/>
      <c r="I36" s="1979"/>
      <c r="J36" s="1979"/>
      <c r="K36" s="1979"/>
      <c r="L36" s="1979"/>
      <c r="M36" s="185"/>
      <c r="Q36" s="1466"/>
      <c r="R36" s="1371"/>
      <c r="S36" s="1371"/>
      <c r="T36" s="1371"/>
      <c r="Z36" s="179"/>
      <c r="AA36" s="179"/>
      <c r="AB36" s="179"/>
      <c r="AC36" s="179"/>
      <c r="AD36" s="179"/>
      <c r="AE36" s="179"/>
      <c r="AF36" s="179"/>
      <c r="AG36" s="179"/>
      <c r="AH36" s="179"/>
      <c r="AI36" s="179"/>
      <c r="AJ36" s="179"/>
      <c r="AK36" s="179"/>
      <c r="AL36" s="179"/>
      <c r="AM36" s="179"/>
      <c r="AN36" s="179"/>
      <c r="AO36" s="179"/>
      <c r="AP36" s="179"/>
      <c r="AQ36" s="179"/>
      <c r="AR36" s="179"/>
      <c r="AS36" s="179"/>
      <c r="AT36" s="179"/>
      <c r="AU36" s="179"/>
      <c r="AV36" s="179"/>
      <c r="AW36" s="179"/>
      <c r="AX36" s="179"/>
      <c r="AY36" s="179"/>
      <c r="AZ36" s="179"/>
      <c r="BA36" s="179"/>
      <c r="BB36" s="179"/>
      <c r="BC36" s="179"/>
      <c r="BD36" s="179"/>
      <c r="BE36" s="179"/>
      <c r="BF36" s="179"/>
    </row>
    <row r="37" spans="2:58" ht="15.75" hidden="1" customHeight="1" outlineLevel="1">
      <c r="B37" s="581" t="s">
        <v>1603</v>
      </c>
      <c r="C37" s="581" t="s">
        <v>556</v>
      </c>
      <c r="D37" s="379"/>
      <c r="E37" s="379"/>
      <c r="F37" s="379"/>
      <c r="G37" s="191"/>
      <c r="H37" s="191"/>
      <c r="I37" s="197">
        <v>1</v>
      </c>
      <c r="J37" s="197"/>
      <c r="K37" s="197">
        <v>1</v>
      </c>
      <c r="L37" s="197"/>
      <c r="M37" s="197">
        <v>1</v>
      </c>
      <c r="N37" s="197">
        <v>1</v>
      </c>
      <c r="O37" s="197"/>
      <c r="P37" s="1329"/>
      <c r="Q37" s="1476"/>
      <c r="R37" s="1381"/>
      <c r="S37" s="1381"/>
      <c r="T37" s="1381"/>
      <c r="U37" s="197"/>
      <c r="V37" s="197"/>
      <c r="W37" s="197"/>
      <c r="X37" s="197"/>
      <c r="Y37" s="197"/>
      <c r="Z37" s="179"/>
      <c r="AA37" s="179"/>
      <c r="AB37" s="179"/>
      <c r="AC37" s="179"/>
      <c r="AD37" s="179"/>
      <c r="AE37" s="179"/>
      <c r="AF37" s="179"/>
      <c r="AG37" s="179"/>
      <c r="AH37" s="179"/>
      <c r="AI37" s="179"/>
      <c r="AJ37" s="179"/>
      <c r="AK37" s="179"/>
      <c r="AL37" s="179"/>
      <c r="AM37" s="179"/>
      <c r="AN37" s="179"/>
      <c r="AO37" s="179"/>
      <c r="AP37" s="179"/>
      <c r="AQ37" s="179"/>
      <c r="AR37" s="179"/>
      <c r="AS37" s="179"/>
      <c r="AT37" s="179"/>
      <c r="AU37" s="179"/>
      <c r="AV37" s="179"/>
      <c r="AW37" s="179"/>
      <c r="AX37" s="179"/>
      <c r="AY37" s="179"/>
      <c r="AZ37" s="179"/>
      <c r="BA37" s="179"/>
      <c r="BB37" s="179"/>
      <c r="BC37" s="179"/>
      <c r="BD37" s="179"/>
      <c r="BE37" s="179"/>
      <c r="BF37" s="179"/>
    </row>
    <row r="38" spans="2:58" ht="15.75" hidden="1" customHeight="1" outlineLevel="1">
      <c r="B38" s="581" t="s">
        <v>1604</v>
      </c>
      <c r="C38" s="581" t="s">
        <v>557</v>
      </c>
      <c r="D38" s="379"/>
      <c r="E38" s="379"/>
      <c r="F38" s="379"/>
      <c r="G38" s="191"/>
      <c r="H38" s="191"/>
      <c r="I38" s="197"/>
      <c r="J38" s="197">
        <v>1</v>
      </c>
      <c r="K38" s="197"/>
      <c r="L38" s="197">
        <v>1</v>
      </c>
      <c r="M38" s="197"/>
      <c r="N38" s="197"/>
      <c r="O38" s="197"/>
      <c r="P38" s="1329">
        <v>1</v>
      </c>
      <c r="Q38" s="1476"/>
      <c r="R38" s="1381"/>
      <c r="S38" s="1381"/>
      <c r="T38" s="1381"/>
      <c r="U38" s="197"/>
      <c r="V38" s="197">
        <v>1</v>
      </c>
      <c r="W38" s="197"/>
      <c r="X38" s="197"/>
      <c r="Y38" s="197">
        <v>1</v>
      </c>
      <c r="Z38" s="179"/>
      <c r="AA38" s="179"/>
      <c r="AB38" s="179"/>
      <c r="AC38" s="179"/>
      <c r="AD38" s="179"/>
      <c r="AE38" s="179"/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</row>
    <row r="39" spans="2:58" ht="15.75" hidden="1" customHeight="1" outlineLevel="1">
      <c r="B39" s="582"/>
      <c r="C39" s="582"/>
      <c r="D39" s="379"/>
      <c r="E39" s="379"/>
      <c r="F39" s="379"/>
      <c r="G39" s="185"/>
      <c r="H39" s="185"/>
      <c r="I39" s="197"/>
      <c r="J39" s="197"/>
      <c r="K39" s="197"/>
      <c r="L39" s="197"/>
      <c r="M39" s="197"/>
      <c r="N39" s="197"/>
      <c r="O39" s="197"/>
      <c r="P39" s="1329"/>
      <c r="Q39" s="1476"/>
      <c r="R39" s="1381"/>
      <c r="S39" s="1381"/>
      <c r="T39" s="1381"/>
      <c r="U39" s="197"/>
      <c r="V39" s="197"/>
      <c r="W39" s="197"/>
      <c r="X39" s="197"/>
      <c r="Y39" s="197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</row>
    <row r="40" spans="2:58" ht="15.75" hidden="1" customHeight="1" outlineLevel="1">
      <c r="B40" s="580" t="s">
        <v>1606</v>
      </c>
      <c r="C40" s="580" t="s">
        <v>559</v>
      </c>
      <c r="D40" s="379"/>
      <c r="E40" s="379"/>
      <c r="F40" s="379"/>
      <c r="G40" s="1979" t="s">
        <v>562</v>
      </c>
      <c r="H40" s="1979"/>
      <c r="I40" s="1979"/>
      <c r="J40" s="1979"/>
      <c r="K40" s="1979"/>
      <c r="L40" s="1979"/>
      <c r="M40" s="185"/>
      <c r="Q40" s="1466"/>
      <c r="R40" s="1371"/>
      <c r="S40" s="1371"/>
      <c r="T40" s="1371"/>
      <c r="Z40" s="179"/>
      <c r="AA40" s="179"/>
      <c r="AB40" s="179"/>
      <c r="AC40" s="179"/>
      <c r="AD40" s="179"/>
      <c r="AE40" s="179"/>
      <c r="AF40" s="179"/>
      <c r="AG40" s="179"/>
      <c r="AH40" s="179"/>
      <c r="AI40" s="179"/>
      <c r="AJ40" s="179"/>
      <c r="AK40" s="179"/>
      <c r="AL40" s="179"/>
      <c r="AM40" s="179"/>
      <c r="AN40" s="179"/>
      <c r="AO40" s="179"/>
      <c r="AP40" s="179"/>
      <c r="AQ40" s="179"/>
      <c r="AR40" s="179"/>
      <c r="AS40" s="179"/>
      <c r="AT40" s="179"/>
      <c r="AU40" s="179"/>
      <c r="AV40" s="179"/>
      <c r="AW40" s="179"/>
      <c r="AX40" s="179"/>
      <c r="AY40" s="179"/>
      <c r="AZ40" s="179"/>
      <c r="BA40" s="179"/>
      <c r="BB40" s="179"/>
      <c r="BC40" s="179"/>
      <c r="BD40" s="179"/>
      <c r="BE40" s="179"/>
      <c r="BF40" s="179"/>
    </row>
    <row r="41" spans="2:58" ht="15.75" hidden="1" customHeight="1" outlineLevel="1">
      <c r="B41" s="581" t="s">
        <v>1603</v>
      </c>
      <c r="C41" s="581" t="s">
        <v>556</v>
      </c>
      <c r="D41" s="379"/>
      <c r="E41" s="379"/>
      <c r="F41" s="379"/>
      <c r="G41" s="191"/>
      <c r="H41" s="191"/>
      <c r="I41" s="197"/>
      <c r="J41" s="197"/>
      <c r="K41" s="197">
        <v>1</v>
      </c>
      <c r="L41" s="197">
        <v>1</v>
      </c>
      <c r="M41" s="197">
        <v>1</v>
      </c>
      <c r="N41" s="197"/>
      <c r="O41" s="197"/>
      <c r="P41" s="1329">
        <v>1</v>
      </c>
      <c r="Q41" s="1476"/>
      <c r="R41" s="1381"/>
      <c r="S41" s="1381"/>
      <c r="T41" s="1381"/>
      <c r="U41" s="197">
        <v>1</v>
      </c>
      <c r="V41" s="197"/>
      <c r="W41" s="197"/>
      <c r="X41" s="197">
        <v>1</v>
      </c>
      <c r="Y41" s="197"/>
      <c r="Z41" s="179"/>
      <c r="AA41" s="179"/>
      <c r="AB41" s="179"/>
      <c r="AC41" s="179"/>
      <c r="AD41" s="179"/>
      <c r="AE41" s="179"/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</row>
    <row r="42" spans="2:58" ht="15.75" hidden="1" customHeight="1" outlineLevel="1">
      <c r="B42" s="581" t="s">
        <v>1604</v>
      </c>
      <c r="C42" s="581" t="s">
        <v>557</v>
      </c>
      <c r="D42" s="379"/>
      <c r="E42" s="379"/>
      <c r="F42" s="379"/>
      <c r="G42" s="191"/>
      <c r="H42" s="191"/>
      <c r="I42" s="197"/>
      <c r="J42" s="197">
        <v>1</v>
      </c>
      <c r="K42" s="197"/>
      <c r="L42" s="197"/>
      <c r="M42" s="197"/>
      <c r="N42" s="197"/>
      <c r="O42" s="197">
        <v>1</v>
      </c>
      <c r="P42" s="1329"/>
      <c r="Q42" s="1476"/>
      <c r="R42" s="1381"/>
      <c r="S42" s="1381"/>
      <c r="T42" s="1381"/>
      <c r="U42" s="197"/>
      <c r="V42" s="197">
        <v>1</v>
      </c>
      <c r="W42" s="197"/>
      <c r="X42" s="197"/>
      <c r="Y42" s="197"/>
      <c r="Z42" s="179"/>
      <c r="AA42" s="179"/>
      <c r="AB42" s="179"/>
      <c r="AC42" s="179"/>
      <c r="AD42" s="179"/>
      <c r="AE42" s="179"/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79"/>
      <c r="AX42" s="179"/>
      <c r="AY42" s="179"/>
      <c r="AZ42" s="179"/>
      <c r="BA42" s="179"/>
      <c r="BB42" s="179"/>
      <c r="BC42" s="179"/>
      <c r="BD42" s="179"/>
      <c r="BE42" s="179"/>
      <c r="BF42" s="179"/>
    </row>
    <row r="43" spans="2:58" ht="15.75" hidden="1" customHeight="1" outlineLevel="1">
      <c r="B43" s="581"/>
      <c r="C43" s="581"/>
      <c r="D43" s="379"/>
      <c r="E43" s="379"/>
      <c r="F43" s="379"/>
      <c r="G43" s="185"/>
      <c r="H43" s="185"/>
      <c r="I43" s="199"/>
      <c r="J43" s="199"/>
      <c r="K43" s="199"/>
      <c r="L43" s="199"/>
      <c r="M43" s="185"/>
      <c r="Q43" s="1466"/>
      <c r="R43" s="1371"/>
      <c r="S43" s="1371"/>
      <c r="T43" s="1371"/>
      <c r="Z43" s="179"/>
      <c r="AA43" s="179"/>
      <c r="AB43" s="179"/>
      <c r="AC43" s="179"/>
      <c r="AD43" s="179"/>
      <c r="AE43" s="179"/>
      <c r="AF43" s="179"/>
      <c r="AG43" s="179"/>
      <c r="AH43" s="179"/>
      <c r="AI43" s="179"/>
      <c r="AJ43" s="179"/>
      <c r="AK43" s="179"/>
      <c r="AL43" s="179"/>
      <c r="AM43" s="179"/>
      <c r="AN43" s="179"/>
      <c r="AO43" s="179"/>
      <c r="AP43" s="179"/>
      <c r="AQ43" s="179"/>
      <c r="AR43" s="179"/>
      <c r="AS43" s="179"/>
      <c r="AT43" s="179"/>
      <c r="AU43" s="179"/>
      <c r="AV43" s="179"/>
      <c r="AW43" s="179"/>
      <c r="AX43" s="179"/>
      <c r="AY43" s="179"/>
      <c r="AZ43" s="179"/>
      <c r="BA43" s="179"/>
      <c r="BB43" s="179"/>
      <c r="BC43" s="179"/>
      <c r="BD43" s="179"/>
      <c r="BE43" s="179"/>
      <c r="BF43" s="179"/>
    </row>
    <row r="44" spans="2:58" ht="15.75" hidden="1" customHeight="1" outlineLevel="1">
      <c r="B44" s="580" t="s">
        <v>1607</v>
      </c>
      <c r="C44" s="580" t="s">
        <v>26</v>
      </c>
      <c r="D44" s="379"/>
      <c r="E44" s="379"/>
      <c r="F44" s="379"/>
      <c r="G44" s="185"/>
      <c r="H44" s="185"/>
      <c r="I44" s="199"/>
      <c r="J44" s="199"/>
      <c r="K44" s="199"/>
      <c r="L44" s="199"/>
      <c r="M44" s="185"/>
      <c r="Q44" s="1466"/>
      <c r="R44" s="1371"/>
      <c r="S44" s="1371"/>
      <c r="T44" s="1371"/>
      <c r="Z44" s="179"/>
      <c r="AA44" s="179"/>
      <c r="AB44" s="179"/>
      <c r="AC44" s="179"/>
      <c r="AD44" s="179"/>
      <c r="AE44" s="179"/>
      <c r="AF44" s="179"/>
      <c r="AG44" s="179"/>
      <c r="AH44" s="179"/>
      <c r="AI44" s="179"/>
      <c r="AJ44" s="179"/>
      <c r="AK44" s="179"/>
      <c r="AL44" s="179"/>
      <c r="AM44" s="179"/>
      <c r="AN44" s="179"/>
      <c r="AO44" s="179"/>
      <c r="AP44" s="179"/>
      <c r="AQ44" s="179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/>
      <c r="BD44" s="179"/>
      <c r="BE44" s="179"/>
      <c r="BF44" s="179"/>
    </row>
    <row r="45" spans="2:58" ht="15.75" hidden="1" customHeight="1" outlineLevel="1">
      <c r="B45" s="581" t="s">
        <v>1608</v>
      </c>
      <c r="C45" s="581" t="s">
        <v>17</v>
      </c>
      <c r="D45" s="379"/>
      <c r="E45" s="379"/>
      <c r="F45" s="379"/>
      <c r="G45" s="185"/>
      <c r="H45" s="185"/>
      <c r="I45" s="199"/>
      <c r="J45" s="199"/>
      <c r="K45" s="283">
        <v>7385863.0712871291</v>
      </c>
      <c r="L45" s="283">
        <v>4300000</v>
      </c>
      <c r="M45" s="283">
        <v>1641400</v>
      </c>
      <c r="N45" s="283">
        <f>3758500+146300</f>
        <v>3904800</v>
      </c>
      <c r="O45" s="283">
        <f t="shared" ref="O45:W45" si="11">N45*(1+O49)</f>
        <v>4295280</v>
      </c>
      <c r="P45" s="272">
        <f t="shared" si="11"/>
        <v>4724808</v>
      </c>
      <c r="Q45" s="1468">
        <f t="shared" si="11"/>
        <v>5197288.8000000007</v>
      </c>
      <c r="R45" s="1373">
        <f>Q45*(1+R49)</f>
        <v>5717017.6800000016</v>
      </c>
      <c r="S45" s="1373">
        <f>R45*(1+S49)</f>
        <v>6288719.4480000027</v>
      </c>
      <c r="T45" s="1373"/>
      <c r="U45" s="283">
        <f>Q45*(1+U49)</f>
        <v>5717017.6800000016</v>
      </c>
      <c r="V45" s="283">
        <f t="shared" si="11"/>
        <v>6288719.4480000027</v>
      </c>
      <c r="W45" s="283">
        <f t="shared" si="11"/>
        <v>6917591.3928000033</v>
      </c>
      <c r="X45" s="283">
        <f>W45*(1+X49)</f>
        <v>7609350.532080004</v>
      </c>
      <c r="Y45" s="283">
        <f>X45*(1+Y49)</f>
        <v>8370285.5852880049</v>
      </c>
      <c r="Z45" s="179"/>
      <c r="AA45" s="179"/>
      <c r="AB45" s="179"/>
      <c r="AC45" s="179"/>
      <c r="AD45" s="179"/>
      <c r="AE45" s="179"/>
      <c r="AF45" s="179"/>
      <c r="AG45" s="179"/>
      <c r="AH45" s="179"/>
      <c r="AI45" s="179"/>
      <c r="AJ45" s="179"/>
      <c r="AK45" s="179"/>
      <c r="AL45" s="179"/>
      <c r="AM45" s="179"/>
      <c r="AN45" s="179"/>
      <c r="AO45" s="179"/>
      <c r="AP45" s="179"/>
      <c r="AQ45" s="179"/>
      <c r="AR45" s="179"/>
      <c r="AS45" s="179"/>
      <c r="AT45" s="179"/>
      <c r="AU45" s="179"/>
      <c r="AV45" s="179"/>
      <c r="AW45" s="179"/>
      <c r="AX45" s="179"/>
      <c r="AY45" s="179"/>
      <c r="AZ45" s="179"/>
      <c r="BA45" s="179"/>
      <c r="BB45" s="179"/>
      <c r="BC45" s="179"/>
      <c r="BD45" s="179"/>
      <c r="BE45" s="179"/>
      <c r="BF45" s="179"/>
    </row>
    <row r="46" spans="2:58" ht="15.75" hidden="1" customHeight="1" outlineLevel="1">
      <c r="B46" s="581" t="s">
        <v>1609</v>
      </c>
      <c r="C46" s="581" t="s">
        <v>18</v>
      </c>
      <c r="D46" s="379"/>
      <c r="E46" s="379"/>
      <c r="F46" s="379"/>
      <c r="G46" s="185"/>
      <c r="H46" s="185"/>
      <c r="I46" s="199"/>
      <c r="J46" s="199"/>
      <c r="K46" s="199"/>
      <c r="L46" s="283">
        <f>4197000/5.5/1.2</f>
        <v>635909.09090909094</v>
      </c>
      <c r="M46" s="283">
        <f t="shared" ref="M46:W46" si="12">L46*(1+M49)</f>
        <v>699500.00000000012</v>
      </c>
      <c r="N46" s="283">
        <f t="shared" si="12"/>
        <v>769450.00000000023</v>
      </c>
      <c r="O46" s="283">
        <f t="shared" si="12"/>
        <v>846395.00000000035</v>
      </c>
      <c r="P46" s="272">
        <v>587000</v>
      </c>
      <c r="Q46" s="1468">
        <v>731000</v>
      </c>
      <c r="R46" s="1373">
        <v>731000</v>
      </c>
      <c r="S46" s="1373">
        <v>731000</v>
      </c>
      <c r="T46" s="1373"/>
      <c r="U46" s="283">
        <f>Q46*(1+U49)</f>
        <v>804100.00000000012</v>
      </c>
      <c r="V46" s="283">
        <f t="shared" si="12"/>
        <v>884510.00000000023</v>
      </c>
      <c r="W46" s="283">
        <f t="shared" si="12"/>
        <v>972961.00000000035</v>
      </c>
      <c r="X46" s="283">
        <f>W46*(1+X49)</f>
        <v>1070257.1000000006</v>
      </c>
      <c r="Y46" s="283">
        <f>X46*(1+Y49)</f>
        <v>1177282.8100000008</v>
      </c>
      <c r="Z46" s="179"/>
      <c r="AA46" s="179"/>
      <c r="AB46" s="179"/>
      <c r="AC46" s="179"/>
      <c r="AD46" s="179"/>
      <c r="AE46" s="179"/>
      <c r="AF46" s="179"/>
      <c r="AG46" s="179"/>
      <c r="AH46" s="179"/>
      <c r="AI46" s="179"/>
      <c r="AJ46" s="179"/>
      <c r="AK46" s="179"/>
      <c r="AL46" s="179"/>
      <c r="AM46" s="179"/>
      <c r="AN46" s="179"/>
      <c r="AO46" s="179"/>
      <c r="AP46" s="179"/>
      <c r="AQ46" s="179"/>
      <c r="AR46" s="179"/>
      <c r="AS46" s="179"/>
      <c r="AT46" s="179"/>
      <c r="AU46" s="179"/>
      <c r="AV46" s="179"/>
      <c r="AW46" s="179"/>
      <c r="AX46" s="179"/>
      <c r="AY46" s="179"/>
      <c r="AZ46" s="179"/>
      <c r="BA46" s="179"/>
      <c r="BB46" s="179"/>
      <c r="BC46" s="179"/>
      <c r="BD46" s="179"/>
      <c r="BE46" s="179"/>
      <c r="BF46" s="179"/>
    </row>
    <row r="47" spans="2:58" ht="15.75" hidden="1" customHeight="1" outlineLevel="1">
      <c r="B47" s="581" t="s">
        <v>1610</v>
      </c>
      <c r="C47" s="581" t="s">
        <v>19</v>
      </c>
      <c r="D47" s="379"/>
      <c r="E47" s="379"/>
      <c r="F47" s="379"/>
      <c r="G47" s="185"/>
      <c r="H47" s="185"/>
      <c r="I47" s="199"/>
      <c r="J47" s="199"/>
      <c r="K47" s="283">
        <v>135647.86336633662</v>
      </c>
      <c r="L47" s="283">
        <f>3800000/5/1.2</f>
        <v>633333.33333333337</v>
      </c>
      <c r="M47" s="283">
        <v>453200</v>
      </c>
      <c r="N47" s="283">
        <f t="shared" ref="N47:W47" si="13">M47*(1+N49)</f>
        <v>498520.00000000006</v>
      </c>
      <c r="O47" s="283">
        <f t="shared" si="13"/>
        <v>548372.00000000012</v>
      </c>
      <c r="P47" s="272">
        <v>236000</v>
      </c>
      <c r="Q47" s="1468">
        <f t="shared" si="13"/>
        <v>259600.00000000003</v>
      </c>
      <c r="R47" s="1373">
        <f>Q47*(1+R49)</f>
        <v>285560.00000000006</v>
      </c>
      <c r="S47" s="1373">
        <f>R47*(1+S49)</f>
        <v>314116.00000000012</v>
      </c>
      <c r="T47" s="1373"/>
      <c r="U47" s="283">
        <f>Q47*(1+U49)</f>
        <v>285560.00000000006</v>
      </c>
      <c r="V47" s="283">
        <f t="shared" si="13"/>
        <v>314116.00000000012</v>
      </c>
      <c r="W47" s="283">
        <f t="shared" si="13"/>
        <v>345527.60000000015</v>
      </c>
      <c r="X47" s="283">
        <f>W47*(1+X49)</f>
        <v>380080.36000000022</v>
      </c>
      <c r="Y47" s="283">
        <f>X47*(1+Y49)</f>
        <v>418088.3960000003</v>
      </c>
      <c r="Z47" s="179"/>
      <c r="AA47" s="179"/>
      <c r="AB47" s="179"/>
      <c r="AC47" s="179"/>
      <c r="AD47" s="179"/>
      <c r="AE47" s="179"/>
      <c r="AF47" s="179"/>
      <c r="AG47" s="179"/>
      <c r="AH47" s="179"/>
      <c r="AI47" s="179"/>
      <c r="AJ47" s="179"/>
      <c r="AK47" s="179"/>
      <c r="AL47" s="179"/>
      <c r="AM47" s="179"/>
      <c r="AN47" s="179"/>
      <c r="AO47" s="179"/>
      <c r="AP47" s="179"/>
      <c r="AQ47" s="179"/>
      <c r="AR47" s="179"/>
      <c r="AS47" s="179"/>
      <c r="AT47" s="179"/>
      <c r="AU47" s="179"/>
      <c r="AV47" s="179"/>
      <c r="AW47" s="179"/>
      <c r="AX47" s="179"/>
      <c r="AY47" s="179"/>
      <c r="AZ47" s="179"/>
      <c r="BA47" s="179"/>
      <c r="BB47" s="179"/>
      <c r="BC47" s="179"/>
      <c r="BD47" s="179"/>
      <c r="BE47" s="179"/>
      <c r="BF47" s="179"/>
    </row>
    <row r="48" spans="2:58" ht="15.75" hidden="1" customHeight="1" outlineLevel="1">
      <c r="B48" s="581" t="s">
        <v>1611</v>
      </c>
      <c r="C48" s="581" t="s">
        <v>20</v>
      </c>
      <c r="D48" s="379"/>
      <c r="E48" s="379"/>
      <c r="F48" s="379"/>
      <c r="G48" s="185"/>
      <c r="H48" s="185"/>
      <c r="I48" s="199"/>
      <c r="J48" s="199"/>
      <c r="K48" s="199"/>
      <c r="L48" s="283">
        <f>200000</f>
        <v>200000</v>
      </c>
      <c r="M48" s="283">
        <f t="shared" ref="M48:W48" si="14">L48*(1+M49)</f>
        <v>220000.00000000003</v>
      </c>
      <c r="N48" s="283">
        <f t="shared" si="14"/>
        <v>242000.00000000006</v>
      </c>
      <c r="O48" s="283">
        <f t="shared" si="14"/>
        <v>266200.00000000006</v>
      </c>
      <c r="P48" s="272">
        <f t="shared" si="14"/>
        <v>292820.00000000012</v>
      </c>
      <c r="Q48" s="1468">
        <f t="shared" si="14"/>
        <v>322102.00000000017</v>
      </c>
      <c r="R48" s="1373">
        <f>Q48*(1+R49)</f>
        <v>354312.20000000024</v>
      </c>
      <c r="S48" s="1373">
        <f>R48*(1+S49)</f>
        <v>389743.42000000027</v>
      </c>
      <c r="T48" s="1373"/>
      <c r="U48" s="283">
        <f>Q48*(1+U49)</f>
        <v>354312.20000000024</v>
      </c>
      <c r="V48" s="283">
        <f t="shared" si="14"/>
        <v>389743.42000000027</v>
      </c>
      <c r="W48" s="283">
        <f t="shared" si="14"/>
        <v>428717.76200000034</v>
      </c>
      <c r="X48" s="283">
        <f>W48*(1+X49)</f>
        <v>471589.53820000042</v>
      </c>
      <c r="Y48" s="283">
        <f>X48*(1+Y49)</f>
        <v>518748.49202000053</v>
      </c>
      <c r="Z48" s="179"/>
      <c r="AA48" s="179"/>
      <c r="AB48" s="179"/>
      <c r="AC48" s="179"/>
      <c r="AD48" s="179"/>
      <c r="AE48" s="179"/>
      <c r="AF48" s="179"/>
      <c r="AG48" s="179"/>
      <c r="AH48" s="179"/>
      <c r="AI48" s="179"/>
      <c r="AJ48" s="179"/>
      <c r="AK48" s="179"/>
      <c r="AL48" s="179"/>
      <c r="AM48" s="179"/>
      <c r="AN48" s="179"/>
      <c r="AO48" s="179"/>
      <c r="AP48" s="179"/>
      <c r="AQ48" s="179"/>
      <c r="AR48" s="179"/>
      <c r="AS48" s="179"/>
      <c r="AT48" s="179"/>
      <c r="AU48" s="179"/>
      <c r="AV48" s="179"/>
      <c r="AW48" s="179"/>
      <c r="AX48" s="179"/>
      <c r="AY48" s="179"/>
      <c r="AZ48" s="179"/>
      <c r="BA48" s="179"/>
      <c r="BB48" s="179"/>
      <c r="BC48" s="179"/>
      <c r="BD48" s="179"/>
      <c r="BE48" s="179"/>
      <c r="BF48" s="179"/>
    </row>
    <row r="49" spans="2:58" ht="15.75" hidden="1" customHeight="1" outlineLevel="1" thickBot="1">
      <c r="B49" s="581" t="s">
        <v>1612</v>
      </c>
      <c r="C49" s="581" t="s">
        <v>25</v>
      </c>
      <c r="D49" s="379"/>
      <c r="E49" s="379"/>
      <c r="F49" s="379"/>
      <c r="G49" s="185"/>
      <c r="H49" s="185"/>
      <c r="I49" s="199"/>
      <c r="J49" s="199"/>
      <c r="K49" s="199"/>
      <c r="L49" s="182">
        <v>0</v>
      </c>
      <c r="M49" s="182">
        <v>0.1</v>
      </c>
      <c r="N49" s="182">
        <v>0.1</v>
      </c>
      <c r="O49" s="182">
        <v>0.1</v>
      </c>
      <c r="P49" s="311">
        <v>0.1</v>
      </c>
      <c r="Q49" s="1469">
        <v>0.1</v>
      </c>
      <c r="R49" s="1374">
        <v>0.1</v>
      </c>
      <c r="S49" s="1374">
        <v>0.1</v>
      </c>
      <c r="T49" s="1374"/>
      <c r="U49" s="182">
        <v>0.1</v>
      </c>
      <c r="V49" s="182">
        <v>0.1</v>
      </c>
      <c r="W49" s="182">
        <v>0.1</v>
      </c>
      <c r="X49" s="182">
        <v>0.1</v>
      </c>
      <c r="Y49" s="182">
        <v>0.1</v>
      </c>
      <c r="Z49" s="179"/>
      <c r="AA49" s="179"/>
      <c r="AB49" s="179"/>
      <c r="AC49" s="179"/>
      <c r="AD49" s="179"/>
      <c r="AE49" s="179"/>
      <c r="AF49" s="179"/>
      <c r="AG49" s="179"/>
      <c r="AH49" s="179"/>
      <c r="AI49" s="179"/>
      <c r="AJ49" s="179"/>
      <c r="AK49" s="179"/>
      <c r="AL49" s="179"/>
      <c r="AM49" s="179"/>
      <c r="AN49" s="179"/>
      <c r="AO49" s="179"/>
      <c r="AP49" s="179"/>
      <c r="AQ49" s="179"/>
      <c r="AR49" s="179"/>
      <c r="AS49" s="179"/>
      <c r="AT49" s="179"/>
      <c r="AU49" s="179"/>
      <c r="AV49" s="179"/>
      <c r="AW49" s="179"/>
      <c r="AX49" s="179"/>
      <c r="AY49" s="179"/>
      <c r="AZ49" s="179"/>
      <c r="BA49" s="179"/>
      <c r="BB49" s="179"/>
      <c r="BC49" s="179"/>
      <c r="BD49" s="179"/>
      <c r="BE49" s="179"/>
      <c r="BF49" s="179"/>
    </row>
    <row r="50" spans="2:58" ht="15.75" hidden="1" customHeight="1" outlineLevel="1">
      <c r="B50" s="583"/>
      <c r="C50" s="583"/>
      <c r="D50" s="584"/>
      <c r="E50" s="584"/>
      <c r="F50" s="584"/>
      <c r="G50" s="192"/>
      <c r="H50" s="192"/>
      <c r="I50" s="192"/>
      <c r="J50" s="192"/>
      <c r="K50" s="192"/>
      <c r="L50" s="192"/>
      <c r="M50" s="192"/>
      <c r="N50" s="192"/>
      <c r="O50" s="192"/>
      <c r="P50" s="1330"/>
      <c r="Q50" s="1477"/>
      <c r="R50" s="1382"/>
      <c r="S50" s="1382"/>
      <c r="T50" s="1382"/>
      <c r="U50" s="192"/>
      <c r="V50" s="192"/>
      <c r="W50" s="192"/>
      <c r="X50" s="192"/>
      <c r="Y50" s="192"/>
      <c r="Z50" s="179"/>
      <c r="AA50" s="179"/>
      <c r="AB50" s="179"/>
      <c r="AC50" s="179"/>
      <c r="AD50" s="179"/>
      <c r="AE50" s="179"/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</row>
    <row r="51" spans="2:58" ht="15.75" hidden="1" customHeight="1" outlineLevel="1">
      <c r="B51" s="580" t="s">
        <v>1613</v>
      </c>
      <c r="C51" s="580" t="s">
        <v>567</v>
      </c>
      <c r="D51" s="379"/>
      <c r="E51" s="379"/>
      <c r="F51" s="379"/>
      <c r="G51" s="1979" t="s">
        <v>563</v>
      </c>
      <c r="H51" s="1979"/>
      <c r="I51" s="1979"/>
      <c r="J51" s="1979"/>
      <c r="K51" s="1979"/>
      <c r="L51" s="1979"/>
      <c r="M51" s="185"/>
      <c r="Q51" s="1466"/>
      <c r="R51" s="1371"/>
      <c r="S51" s="1371"/>
      <c r="T51" s="1371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</row>
    <row r="52" spans="2:58" ht="15.75" hidden="1" customHeight="1" outlineLevel="1">
      <c r="B52" s="581" t="s">
        <v>1603</v>
      </c>
      <c r="C52" s="581" t="s">
        <v>556</v>
      </c>
      <c r="D52" s="379"/>
      <c r="E52" s="379"/>
      <c r="F52" s="379"/>
      <c r="G52" s="190"/>
      <c r="H52" s="190"/>
      <c r="I52" s="197">
        <v>55</v>
      </c>
      <c r="J52" s="197">
        <v>55</v>
      </c>
      <c r="K52" s="197">
        <v>25</v>
      </c>
      <c r="L52" s="197">
        <v>55</v>
      </c>
      <c r="M52" s="197">
        <v>50</v>
      </c>
      <c r="N52" s="197">
        <v>31</v>
      </c>
      <c r="O52" s="1001">
        <v>177</v>
      </c>
      <c r="P52" s="1329">
        <v>30</v>
      </c>
      <c r="Q52" s="1476">
        <f>P52</f>
        <v>30</v>
      </c>
      <c r="R52" s="1960">
        <v>7</v>
      </c>
      <c r="S52" s="1381">
        <f>R52</f>
        <v>7</v>
      </c>
      <c r="T52" s="1381"/>
      <c r="U52" s="197">
        <f>Q52</f>
        <v>30</v>
      </c>
      <c r="V52" s="197">
        <f t="shared" ref="V52:Y53" si="15">U52</f>
        <v>30</v>
      </c>
      <c r="W52" s="197">
        <f t="shared" si="15"/>
        <v>30</v>
      </c>
      <c r="X52" s="197">
        <f t="shared" si="15"/>
        <v>30</v>
      </c>
      <c r="Y52" s="197">
        <f t="shared" si="15"/>
        <v>30</v>
      </c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</row>
    <row r="53" spans="2:58" ht="15.75" hidden="1" customHeight="1" outlineLevel="1">
      <c r="B53" s="581" t="s">
        <v>1604</v>
      </c>
      <c r="C53" s="581" t="s">
        <v>557</v>
      </c>
      <c r="D53" s="379"/>
      <c r="E53" s="379"/>
      <c r="F53" s="379"/>
      <c r="G53" s="190"/>
      <c r="H53" s="190"/>
      <c r="I53" s="197">
        <v>18</v>
      </c>
      <c r="J53" s="197">
        <v>18</v>
      </c>
      <c r="K53" s="197">
        <v>18</v>
      </c>
      <c r="L53" s="197">
        <v>12</v>
      </c>
      <c r="M53" s="197">
        <v>12</v>
      </c>
      <c r="N53" s="197">
        <v>12</v>
      </c>
      <c r="O53" s="197">
        <v>15</v>
      </c>
      <c r="P53" s="1329">
        <v>7</v>
      </c>
      <c r="Q53" s="1476">
        <v>10</v>
      </c>
      <c r="R53" s="1961"/>
      <c r="S53" s="1381">
        <v>10</v>
      </c>
      <c r="T53" s="1381"/>
      <c r="U53" s="197">
        <f>Q53</f>
        <v>10</v>
      </c>
      <c r="V53" s="197">
        <f t="shared" si="15"/>
        <v>10</v>
      </c>
      <c r="W53" s="197">
        <f t="shared" si="15"/>
        <v>10</v>
      </c>
      <c r="X53" s="197">
        <f t="shared" si="15"/>
        <v>10</v>
      </c>
      <c r="Y53" s="197">
        <f t="shared" si="15"/>
        <v>10</v>
      </c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</row>
    <row r="54" spans="2:58" ht="15.75" hidden="1" customHeight="1" outlineLevel="1">
      <c r="B54" s="585"/>
      <c r="C54" s="585"/>
      <c r="D54" s="379"/>
      <c r="E54" s="379"/>
      <c r="F54" s="379"/>
      <c r="G54" s="185"/>
      <c r="H54" s="185"/>
      <c r="I54" s="193"/>
      <c r="J54" s="193"/>
      <c r="K54" s="193"/>
      <c r="L54" s="193"/>
      <c r="M54" s="185"/>
      <c r="Q54" s="1466"/>
      <c r="R54" s="1371"/>
      <c r="S54" s="1371"/>
      <c r="T54" s="1371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</row>
    <row r="55" spans="2:58" ht="15.75" hidden="1" customHeight="1" outlineLevel="1">
      <c r="B55" s="580" t="s">
        <v>1614</v>
      </c>
      <c r="C55" s="580" t="s">
        <v>568</v>
      </c>
      <c r="D55" s="379"/>
      <c r="E55" s="379"/>
      <c r="F55" s="379"/>
      <c r="G55" s="1979" t="s">
        <v>562</v>
      </c>
      <c r="H55" s="1979"/>
      <c r="I55" s="1979"/>
      <c r="J55" s="1979"/>
      <c r="K55" s="1979"/>
      <c r="L55" s="1979"/>
      <c r="M55" s="185"/>
      <c r="Q55" s="1466"/>
      <c r="R55" s="1371"/>
      <c r="S55" s="1371"/>
      <c r="T55" s="1371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</row>
    <row r="56" spans="2:58" ht="15.75" hidden="1" customHeight="1" outlineLevel="1">
      <c r="B56" s="581" t="s">
        <v>1603</v>
      </c>
      <c r="C56" s="581" t="s">
        <v>556</v>
      </c>
      <c r="D56" s="379"/>
      <c r="E56" s="379"/>
      <c r="F56" s="379"/>
      <c r="G56" s="190"/>
      <c r="H56" s="190"/>
      <c r="I56" s="197">
        <v>30</v>
      </c>
      <c r="J56" s="197">
        <v>30</v>
      </c>
      <c r="K56" s="197">
        <v>30</v>
      </c>
      <c r="L56" s="197">
        <v>30</v>
      </c>
      <c r="M56" s="197">
        <v>30</v>
      </c>
      <c r="N56" s="197">
        <v>30</v>
      </c>
      <c r="O56" s="197">
        <v>10</v>
      </c>
      <c r="P56" s="1329">
        <v>29</v>
      </c>
      <c r="Q56" s="1476">
        <v>10</v>
      </c>
      <c r="R56" s="1381">
        <v>10</v>
      </c>
      <c r="S56" s="1381">
        <v>10</v>
      </c>
      <c r="T56" s="1381"/>
      <c r="U56" s="197">
        <f>Q56</f>
        <v>10</v>
      </c>
      <c r="V56" s="197">
        <f t="shared" ref="V56:Y57" si="16">U56</f>
        <v>10</v>
      </c>
      <c r="W56" s="197">
        <f t="shared" si="16"/>
        <v>10</v>
      </c>
      <c r="X56" s="197">
        <f t="shared" si="16"/>
        <v>10</v>
      </c>
      <c r="Y56" s="197">
        <f t="shared" si="16"/>
        <v>10</v>
      </c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</row>
    <row r="57" spans="2:58" ht="15.75" hidden="1" customHeight="1" outlineLevel="1">
      <c r="B57" s="581" t="s">
        <v>1604</v>
      </c>
      <c r="C57" s="581" t="s">
        <v>557</v>
      </c>
      <c r="D57" s="379"/>
      <c r="E57" s="379"/>
      <c r="F57" s="379"/>
      <c r="G57" s="190"/>
      <c r="H57" s="190"/>
      <c r="I57" s="197">
        <v>14</v>
      </c>
      <c r="J57" s="197">
        <v>14</v>
      </c>
      <c r="K57" s="197">
        <v>14</v>
      </c>
      <c r="L57" s="197">
        <v>8</v>
      </c>
      <c r="M57" s="197">
        <v>8</v>
      </c>
      <c r="N57" s="197">
        <v>8</v>
      </c>
      <c r="O57" s="197">
        <v>4</v>
      </c>
      <c r="P57" s="1329">
        <v>8</v>
      </c>
      <c r="Q57" s="1476">
        <f>P57</f>
        <v>8</v>
      </c>
      <c r="R57" s="1381">
        <f>Q57</f>
        <v>8</v>
      </c>
      <c r="S57" s="1381">
        <f>R57</f>
        <v>8</v>
      </c>
      <c r="T57" s="1381"/>
      <c r="U57" s="197">
        <f>Q57</f>
        <v>8</v>
      </c>
      <c r="V57" s="197">
        <f t="shared" si="16"/>
        <v>8</v>
      </c>
      <c r="W57" s="197">
        <f t="shared" si="16"/>
        <v>8</v>
      </c>
      <c r="X57" s="197">
        <f t="shared" si="16"/>
        <v>8</v>
      </c>
      <c r="Y57" s="197">
        <f t="shared" si="16"/>
        <v>8</v>
      </c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</row>
    <row r="58" spans="2:58" ht="15.75" hidden="1" customHeight="1" outlineLevel="1">
      <c r="B58" s="581"/>
      <c r="C58" s="581"/>
      <c r="D58" s="185"/>
      <c r="E58" s="185"/>
      <c r="F58" s="185"/>
      <c r="G58" s="194"/>
      <c r="H58" s="194"/>
      <c r="I58" s="199"/>
      <c r="J58" s="199"/>
      <c r="K58" s="199"/>
      <c r="L58" s="199"/>
      <c r="M58" s="185"/>
      <c r="Q58" s="1466"/>
      <c r="R58" s="1371"/>
      <c r="S58" s="1371"/>
      <c r="T58" s="1371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</row>
    <row r="59" spans="2:58" ht="15.75" hidden="1" customHeight="1" outlineLevel="1">
      <c r="B59" s="580" t="s">
        <v>1615</v>
      </c>
      <c r="C59" s="580" t="s">
        <v>569</v>
      </c>
      <c r="D59" s="379"/>
      <c r="E59" s="379"/>
      <c r="F59" s="379"/>
      <c r="G59" s="1979" t="s">
        <v>563</v>
      </c>
      <c r="H59" s="1979"/>
      <c r="I59" s="1979"/>
      <c r="J59" s="1979"/>
      <c r="K59" s="1979"/>
      <c r="L59" s="1979"/>
      <c r="M59" s="185"/>
      <c r="Q59" s="1466"/>
      <c r="R59" s="1371"/>
      <c r="S59" s="1371"/>
      <c r="T59" s="1371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</row>
    <row r="60" spans="2:58" ht="15.75" hidden="1" customHeight="1" outlineLevel="1">
      <c r="B60" s="581" t="s">
        <v>1603</v>
      </c>
      <c r="C60" s="581" t="s">
        <v>556</v>
      </c>
      <c r="D60" s="379"/>
      <c r="E60" s="379"/>
      <c r="F60" s="379"/>
      <c r="G60" s="190"/>
      <c r="H60" s="190"/>
      <c r="I60" s="197">
        <v>25</v>
      </c>
      <c r="J60" s="197">
        <v>25</v>
      </c>
      <c r="K60" s="197">
        <v>25</v>
      </c>
      <c r="L60" s="197">
        <v>25</v>
      </c>
      <c r="M60" s="197">
        <v>23</v>
      </c>
      <c r="N60" s="197">
        <v>23</v>
      </c>
      <c r="O60" s="197">
        <v>50</v>
      </c>
      <c r="P60" s="1329">
        <v>30</v>
      </c>
      <c r="Q60" s="1476">
        <v>30</v>
      </c>
      <c r="R60" s="1961"/>
      <c r="S60" s="1381">
        <v>30</v>
      </c>
      <c r="T60" s="1381"/>
      <c r="U60" s="197">
        <f>Q60</f>
        <v>30</v>
      </c>
      <c r="V60" s="197">
        <f t="shared" ref="V60:Y61" si="17">U60</f>
        <v>30</v>
      </c>
      <c r="W60" s="197">
        <f t="shared" si="17"/>
        <v>30</v>
      </c>
      <c r="X60" s="197">
        <f t="shared" si="17"/>
        <v>30</v>
      </c>
      <c r="Y60" s="197">
        <f t="shared" si="17"/>
        <v>30</v>
      </c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</row>
    <row r="61" spans="2:58" ht="15.75" hidden="1" customHeight="1" outlineLevel="1">
      <c r="B61" s="581" t="s">
        <v>1604</v>
      </c>
      <c r="C61" s="581" t="s">
        <v>557</v>
      </c>
      <c r="D61" s="379"/>
      <c r="E61" s="379"/>
      <c r="F61" s="379"/>
      <c r="G61" s="190"/>
      <c r="H61" s="190"/>
      <c r="I61" s="197">
        <v>18</v>
      </c>
      <c r="J61" s="197">
        <v>18</v>
      </c>
      <c r="K61" s="197">
        <v>18</v>
      </c>
      <c r="L61" s="197">
        <v>18</v>
      </c>
      <c r="M61" s="197">
        <v>18</v>
      </c>
      <c r="N61" s="197">
        <v>15</v>
      </c>
      <c r="O61" s="197">
        <v>15</v>
      </c>
      <c r="P61" s="1329">
        <v>10</v>
      </c>
      <c r="Q61" s="1476">
        <v>20</v>
      </c>
      <c r="R61" s="1961"/>
      <c r="S61" s="1381">
        <v>20</v>
      </c>
      <c r="T61" s="1381"/>
      <c r="U61" s="197">
        <f>Q61</f>
        <v>20</v>
      </c>
      <c r="V61" s="197">
        <f t="shared" si="17"/>
        <v>20</v>
      </c>
      <c r="W61" s="197">
        <f t="shared" si="17"/>
        <v>20</v>
      </c>
      <c r="X61" s="197">
        <f t="shared" si="17"/>
        <v>20</v>
      </c>
      <c r="Y61" s="197">
        <f t="shared" si="17"/>
        <v>20</v>
      </c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</row>
    <row r="62" spans="2:58" ht="15.75" hidden="1" customHeight="1" outlineLevel="1">
      <c r="B62" s="585"/>
      <c r="C62" s="585"/>
      <c r="D62" s="379"/>
      <c r="E62" s="379"/>
      <c r="F62" s="379"/>
      <c r="G62" s="185"/>
      <c r="H62" s="185"/>
      <c r="I62" s="193"/>
      <c r="J62" s="193"/>
      <c r="K62" s="193"/>
      <c r="L62" s="193"/>
      <c r="M62" s="185"/>
      <c r="Q62" s="1466"/>
      <c r="R62" s="1371"/>
      <c r="S62" s="1371"/>
      <c r="T62" s="1371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</row>
    <row r="63" spans="2:58" ht="15.75" hidden="1" customHeight="1" outlineLevel="1">
      <c r="B63" s="580" t="s">
        <v>1616</v>
      </c>
      <c r="C63" s="580" t="s">
        <v>570</v>
      </c>
      <c r="D63" s="379"/>
      <c r="E63" s="379"/>
      <c r="F63" s="379"/>
      <c r="G63" s="1979" t="s">
        <v>562</v>
      </c>
      <c r="H63" s="1979"/>
      <c r="I63" s="1979"/>
      <c r="J63" s="1979"/>
      <c r="K63" s="1979"/>
      <c r="L63" s="1979"/>
      <c r="M63" s="185"/>
      <c r="Q63" s="1466"/>
      <c r="R63" s="1371"/>
      <c r="S63" s="1371"/>
      <c r="T63" s="1371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</row>
    <row r="64" spans="2:58" ht="15.75" hidden="1" customHeight="1" outlineLevel="1">
      <c r="B64" s="581" t="s">
        <v>1603</v>
      </c>
      <c r="C64" s="581" t="s">
        <v>556</v>
      </c>
      <c r="D64" s="379"/>
      <c r="E64" s="379"/>
      <c r="F64" s="379"/>
      <c r="G64" s="190"/>
      <c r="H64" s="190"/>
      <c r="I64" s="197">
        <v>4</v>
      </c>
      <c r="J64" s="197">
        <v>4</v>
      </c>
      <c r="K64" s="197">
        <v>4</v>
      </c>
      <c r="L64" s="197">
        <v>4</v>
      </c>
      <c r="M64" s="197">
        <v>4</v>
      </c>
      <c r="N64" s="197">
        <v>4</v>
      </c>
      <c r="O64" s="197">
        <v>4</v>
      </c>
      <c r="P64" s="1329">
        <v>4</v>
      </c>
      <c r="Q64" s="1476">
        <f t="shared" ref="Q64:S65" si="18">P64</f>
        <v>4</v>
      </c>
      <c r="R64" s="1381">
        <f t="shared" si="18"/>
        <v>4</v>
      </c>
      <c r="S64" s="1381">
        <f t="shared" si="18"/>
        <v>4</v>
      </c>
      <c r="T64" s="1381"/>
      <c r="U64" s="197">
        <f>Q64</f>
        <v>4</v>
      </c>
      <c r="V64" s="197">
        <f t="shared" ref="V64:Y65" si="19">U64</f>
        <v>4</v>
      </c>
      <c r="W64" s="197">
        <f t="shared" si="19"/>
        <v>4</v>
      </c>
      <c r="X64" s="197">
        <f t="shared" si="19"/>
        <v>4</v>
      </c>
      <c r="Y64" s="197">
        <f t="shared" si="19"/>
        <v>4</v>
      </c>
      <c r="Z64" s="179"/>
      <c r="AA64" s="179"/>
      <c r="AB64" s="179"/>
      <c r="AC64" s="179"/>
      <c r="AD64" s="179"/>
      <c r="AE64" s="179"/>
      <c r="AF64" s="179"/>
      <c r="AG64" s="179"/>
      <c r="AH64" s="179"/>
      <c r="AI64" s="179"/>
      <c r="AJ64" s="179"/>
      <c r="AK64" s="179"/>
      <c r="AL64" s="179"/>
      <c r="AM64" s="179"/>
      <c r="AN64" s="179"/>
      <c r="AO64" s="179"/>
      <c r="AP64" s="179"/>
      <c r="AQ64" s="179"/>
      <c r="AR64" s="179"/>
      <c r="AS64" s="179"/>
      <c r="AT64" s="179"/>
      <c r="AU64" s="179"/>
      <c r="AV64" s="179"/>
      <c r="AW64" s="179"/>
      <c r="AX64" s="179"/>
      <c r="AY64" s="179"/>
      <c r="AZ64" s="179"/>
      <c r="BA64" s="179"/>
      <c r="BB64" s="179"/>
      <c r="BC64" s="179"/>
      <c r="BD64" s="179"/>
      <c r="BE64" s="179"/>
      <c r="BF64" s="179"/>
    </row>
    <row r="65" spans="2:58" ht="15.75" hidden="1" customHeight="1" outlineLevel="1" thickBot="1">
      <c r="B65" s="586" t="s">
        <v>1604</v>
      </c>
      <c r="C65" s="586" t="s">
        <v>557</v>
      </c>
      <c r="D65" s="587"/>
      <c r="E65" s="587"/>
      <c r="F65" s="587"/>
      <c r="G65" s="195"/>
      <c r="H65" s="195"/>
      <c r="I65" s="606">
        <v>4</v>
      </c>
      <c r="J65" s="606">
        <v>4</v>
      </c>
      <c r="K65" s="606">
        <v>4</v>
      </c>
      <c r="L65" s="606">
        <v>4</v>
      </c>
      <c r="M65" s="606">
        <v>4</v>
      </c>
      <c r="N65" s="606">
        <v>4</v>
      </c>
      <c r="O65" s="606">
        <v>4</v>
      </c>
      <c r="P65" s="1331">
        <v>4</v>
      </c>
      <c r="Q65" s="1478">
        <f t="shared" si="18"/>
        <v>4</v>
      </c>
      <c r="R65" s="1383">
        <f t="shared" si="18"/>
        <v>4</v>
      </c>
      <c r="S65" s="1383">
        <f t="shared" si="18"/>
        <v>4</v>
      </c>
      <c r="T65" s="1383"/>
      <c r="U65" s="606">
        <f>Q65</f>
        <v>4</v>
      </c>
      <c r="V65" s="606">
        <f t="shared" si="19"/>
        <v>4</v>
      </c>
      <c r="W65" s="606">
        <f t="shared" si="19"/>
        <v>4</v>
      </c>
      <c r="X65" s="606">
        <f t="shared" si="19"/>
        <v>4</v>
      </c>
      <c r="Y65" s="606">
        <f t="shared" si="19"/>
        <v>4</v>
      </c>
      <c r="Z65" s="179"/>
      <c r="AA65" s="179"/>
      <c r="AB65" s="179"/>
      <c r="AC65" s="179"/>
      <c r="AD65" s="179"/>
      <c r="AE65" s="179"/>
      <c r="AF65" s="179"/>
      <c r="AG65" s="179"/>
      <c r="AH65" s="179"/>
      <c r="AI65" s="179"/>
      <c r="AJ65" s="179"/>
      <c r="AK65" s="179"/>
      <c r="AL65" s="179"/>
      <c r="AM65" s="179"/>
      <c r="AN65" s="179"/>
      <c r="AO65" s="179"/>
      <c r="AP65" s="179"/>
      <c r="AQ65" s="179"/>
      <c r="AR65" s="179"/>
      <c r="AS65" s="179"/>
      <c r="AT65" s="179"/>
      <c r="AU65" s="179"/>
      <c r="AV65" s="179"/>
      <c r="AW65" s="179"/>
      <c r="AX65" s="179"/>
      <c r="AY65" s="179"/>
      <c r="AZ65" s="179"/>
      <c r="BA65" s="179"/>
      <c r="BB65" s="179"/>
      <c r="BC65" s="179"/>
      <c r="BD65" s="179"/>
      <c r="BE65" s="179"/>
      <c r="BF65" s="179"/>
    </row>
    <row r="66" spans="2:58" ht="15.75" hidden="1" customHeight="1" outlineLevel="1">
      <c r="B66" s="588"/>
      <c r="C66" s="588"/>
      <c r="D66" s="584"/>
      <c r="E66" s="584"/>
      <c r="F66" s="584"/>
      <c r="G66" s="192"/>
      <c r="H66" s="192"/>
      <c r="I66" s="196"/>
      <c r="J66" s="196"/>
      <c r="K66" s="196"/>
      <c r="L66" s="196"/>
      <c r="M66" s="185"/>
      <c r="Q66" s="1466"/>
      <c r="R66" s="1371"/>
      <c r="S66" s="1371"/>
      <c r="T66" s="1371"/>
      <c r="Z66" s="179"/>
      <c r="AA66" s="179"/>
      <c r="AB66" s="179"/>
      <c r="AC66" s="179"/>
      <c r="AD66" s="179"/>
      <c r="AE66" s="179"/>
      <c r="AF66" s="179"/>
      <c r="AG66" s="179"/>
      <c r="AH66" s="179"/>
      <c r="AI66" s="179"/>
      <c r="AJ66" s="179"/>
      <c r="AK66" s="179"/>
      <c r="AL66" s="179"/>
      <c r="AM66" s="179"/>
      <c r="AN66" s="179"/>
      <c r="AO66" s="179"/>
      <c r="AP66" s="179"/>
      <c r="AQ66" s="179"/>
      <c r="AR66" s="179"/>
      <c r="AS66" s="179"/>
      <c r="AT66" s="179"/>
      <c r="AU66" s="179"/>
      <c r="AV66" s="179"/>
      <c r="AW66" s="179"/>
      <c r="AX66" s="179"/>
      <c r="AY66" s="179"/>
      <c r="AZ66" s="179"/>
      <c r="BA66" s="179"/>
      <c r="BB66" s="179"/>
      <c r="BC66" s="179"/>
      <c r="BD66" s="179"/>
      <c r="BE66" s="179"/>
      <c r="BF66" s="179"/>
    </row>
    <row r="67" spans="2:58" ht="15.75" hidden="1" customHeight="1" outlineLevel="1">
      <c r="B67" s="580" t="s">
        <v>1617</v>
      </c>
      <c r="C67" s="580" t="s">
        <v>564</v>
      </c>
      <c r="D67" s="379"/>
      <c r="E67" s="379"/>
      <c r="F67" s="379"/>
      <c r="G67" s="1979"/>
      <c r="H67" s="1979"/>
      <c r="I67" s="1979"/>
      <c r="J67" s="1979"/>
      <c r="K67" s="1979"/>
      <c r="L67" s="1979"/>
      <c r="M67" s="185"/>
      <c r="Q67" s="1466"/>
      <c r="R67" s="1371"/>
      <c r="S67" s="1371"/>
      <c r="T67" s="1371"/>
      <c r="Z67" s="179"/>
      <c r="AA67" s="179"/>
      <c r="AB67" s="179"/>
      <c r="AC67" s="179"/>
      <c r="AD67" s="179"/>
      <c r="AE67" s="179"/>
      <c r="AF67" s="179"/>
      <c r="AG67" s="179"/>
      <c r="AH67" s="179"/>
      <c r="AI67" s="179"/>
      <c r="AJ67" s="179"/>
      <c r="AK67" s="179"/>
      <c r="AL67" s="179"/>
      <c r="AM67" s="179"/>
      <c r="AN67" s="179"/>
      <c r="AO67" s="179"/>
      <c r="AP67" s="179"/>
      <c r="AQ67" s="179"/>
      <c r="AR67" s="179"/>
      <c r="AS67" s="179"/>
      <c r="AT67" s="179"/>
      <c r="AU67" s="179"/>
      <c r="AV67" s="179"/>
      <c r="AW67" s="179"/>
      <c r="AX67" s="179"/>
      <c r="AY67" s="179"/>
      <c r="AZ67" s="179"/>
      <c r="BA67" s="179"/>
      <c r="BB67" s="179"/>
      <c r="BC67" s="179"/>
      <c r="BD67" s="179"/>
      <c r="BE67" s="179"/>
      <c r="BF67" s="179"/>
    </row>
    <row r="68" spans="2:58" ht="15.75" hidden="1" customHeight="1" outlineLevel="1">
      <c r="B68" s="581" t="s">
        <v>1618</v>
      </c>
      <c r="C68" s="581" t="s">
        <v>565</v>
      </c>
      <c r="D68" s="379"/>
      <c r="E68" s="379"/>
      <c r="F68" s="379"/>
      <c r="G68" s="190"/>
      <c r="H68" s="190"/>
      <c r="I68" s="197"/>
      <c r="J68" s="197"/>
      <c r="K68" s="607">
        <v>0.96</v>
      </c>
      <c r="L68" s="607">
        <v>0.97</v>
      </c>
      <c r="M68" s="607">
        <v>0.97</v>
      </c>
      <c r="N68" s="607">
        <v>0.97</v>
      </c>
      <c r="O68" s="607">
        <v>0.97</v>
      </c>
      <c r="P68" s="1332">
        <v>0.97</v>
      </c>
      <c r="Q68" s="1479">
        <v>0.97</v>
      </c>
      <c r="R68" s="1384">
        <v>0.97</v>
      </c>
      <c r="S68" s="1384">
        <v>0.97</v>
      </c>
      <c r="T68" s="1384"/>
      <c r="U68" s="607">
        <v>0.97</v>
      </c>
      <c r="V68" s="607">
        <v>0.97</v>
      </c>
      <c r="W68" s="607">
        <v>0.97</v>
      </c>
      <c r="X68" s="607">
        <v>0.97</v>
      </c>
      <c r="Y68" s="607">
        <v>0.97</v>
      </c>
      <c r="Z68" s="179"/>
      <c r="AA68" s="179"/>
      <c r="AB68" s="179"/>
      <c r="AC68" s="179"/>
      <c r="AD68" s="179"/>
      <c r="AE68" s="179"/>
      <c r="AF68" s="179"/>
      <c r="AG68" s="179"/>
      <c r="AH68" s="179"/>
      <c r="AI68" s="179"/>
      <c r="AJ68" s="179"/>
      <c r="AK68" s="179"/>
      <c r="AL68" s="179"/>
      <c r="AM68" s="179"/>
      <c r="AN68" s="179"/>
      <c r="AO68" s="179"/>
      <c r="AP68" s="179"/>
      <c r="AQ68" s="179"/>
      <c r="AR68" s="179"/>
      <c r="AS68" s="179"/>
      <c r="AT68" s="179"/>
      <c r="AU68" s="179"/>
      <c r="AV68" s="179"/>
      <c r="AW68" s="179"/>
      <c r="AX68" s="179"/>
      <c r="AY68" s="179"/>
      <c r="AZ68" s="179"/>
      <c r="BA68" s="179"/>
      <c r="BB68" s="179"/>
      <c r="BC68" s="179"/>
      <c r="BD68" s="179"/>
      <c r="BE68" s="179"/>
      <c r="BF68" s="179"/>
    </row>
    <row r="69" spans="2:58" ht="15.75" hidden="1" customHeight="1" outlineLevel="1">
      <c r="B69" s="581" t="s">
        <v>1619</v>
      </c>
      <c r="C69" s="581" t="s">
        <v>566</v>
      </c>
      <c r="D69" s="379"/>
      <c r="E69" s="379"/>
      <c r="F69" s="379"/>
      <c r="G69" s="190"/>
      <c r="H69" s="190"/>
      <c r="I69" s="197"/>
      <c r="J69" s="197"/>
      <c r="K69" s="607">
        <v>0.97</v>
      </c>
      <c r="L69" s="607">
        <v>0.97</v>
      </c>
      <c r="M69" s="607">
        <v>0.97</v>
      </c>
      <c r="N69" s="607">
        <v>0.97</v>
      </c>
      <c r="O69" s="607">
        <v>0.97</v>
      </c>
      <c r="P69" s="1332">
        <v>0.97</v>
      </c>
      <c r="Q69" s="1479">
        <v>0.97</v>
      </c>
      <c r="R69" s="1384">
        <v>0.97</v>
      </c>
      <c r="S69" s="1384">
        <v>0.97</v>
      </c>
      <c r="T69" s="1384"/>
      <c r="U69" s="607">
        <v>0.97</v>
      </c>
      <c r="V69" s="607">
        <v>0.97</v>
      </c>
      <c r="W69" s="607">
        <v>0.97</v>
      </c>
      <c r="X69" s="607">
        <v>0.97</v>
      </c>
      <c r="Y69" s="607">
        <v>0.97</v>
      </c>
      <c r="Z69" s="179"/>
      <c r="AA69" s="179"/>
      <c r="AB69" s="179"/>
      <c r="AC69" s="179"/>
      <c r="AD69" s="179"/>
      <c r="AE69" s="179"/>
      <c r="AF69" s="179"/>
      <c r="AG69" s="179"/>
      <c r="AH69" s="179"/>
      <c r="AI69" s="179"/>
      <c r="AJ69" s="179"/>
      <c r="AK69" s="179"/>
      <c r="AL69" s="179"/>
      <c r="AM69" s="179"/>
      <c r="AN69" s="179"/>
      <c r="AO69" s="179"/>
      <c r="AP69" s="179"/>
      <c r="AQ69" s="179"/>
      <c r="AR69" s="179"/>
      <c r="AS69" s="179"/>
      <c r="AT69" s="179"/>
      <c r="AU69" s="179"/>
      <c r="AV69" s="179"/>
      <c r="AW69" s="179"/>
      <c r="AX69" s="179"/>
      <c r="AY69" s="179"/>
      <c r="AZ69" s="179"/>
      <c r="BA69" s="179"/>
      <c r="BB69" s="179"/>
      <c r="BC69" s="179"/>
      <c r="BD69" s="179"/>
      <c r="BE69" s="179"/>
      <c r="BF69" s="179"/>
    </row>
    <row r="70" spans="2:58" ht="15.75" hidden="1" customHeight="1" outlineLevel="1">
      <c r="B70" s="581" t="s">
        <v>1620</v>
      </c>
      <c r="C70" s="581" t="s">
        <v>562</v>
      </c>
      <c r="D70" s="185"/>
      <c r="E70" s="185"/>
      <c r="F70" s="185"/>
      <c r="G70" s="190"/>
      <c r="H70" s="190"/>
      <c r="I70" s="197"/>
      <c r="J70" s="197"/>
      <c r="K70" s="607">
        <v>0.86</v>
      </c>
      <c r="L70" s="607">
        <v>0.86</v>
      </c>
      <c r="M70" s="607">
        <v>0.86</v>
      </c>
      <c r="N70" s="607">
        <v>0.87</v>
      </c>
      <c r="O70" s="607">
        <v>0.86</v>
      </c>
      <c r="P70" s="1332">
        <v>0.86</v>
      </c>
      <c r="Q70" s="1479">
        <v>0.87</v>
      </c>
      <c r="R70" s="1384">
        <v>0.87</v>
      </c>
      <c r="S70" s="1384">
        <v>0.87</v>
      </c>
      <c r="T70" s="1384"/>
      <c r="U70" s="607">
        <v>0.86</v>
      </c>
      <c r="V70" s="607">
        <v>0.86</v>
      </c>
      <c r="W70" s="607">
        <v>0.86</v>
      </c>
      <c r="X70" s="607">
        <v>0.86</v>
      </c>
      <c r="Y70" s="607">
        <v>0.86</v>
      </c>
      <c r="Z70" s="179"/>
      <c r="AA70" s="179"/>
      <c r="AB70" s="179"/>
      <c r="AC70" s="179"/>
      <c r="AD70" s="179"/>
      <c r="AE70" s="179"/>
      <c r="AF70" s="179"/>
      <c r="AG70" s="179"/>
      <c r="AH70" s="179"/>
      <c r="AI70" s="179"/>
      <c r="AJ70" s="179"/>
      <c r="AK70" s="179"/>
      <c r="AL70" s="179"/>
      <c r="AM70" s="179"/>
      <c r="AN70" s="179"/>
      <c r="AO70" s="179"/>
      <c r="AP70" s="179"/>
      <c r="AQ70" s="179"/>
      <c r="AR70" s="179"/>
      <c r="AS70" s="179"/>
      <c r="AT70" s="179"/>
      <c r="AU70" s="179"/>
      <c r="AV70" s="179"/>
      <c r="AW70" s="179"/>
      <c r="AX70" s="179"/>
      <c r="AY70" s="179"/>
      <c r="AZ70" s="179"/>
      <c r="BA70" s="179"/>
      <c r="BB70" s="179"/>
      <c r="BC70" s="179"/>
      <c r="BD70" s="179"/>
      <c r="BE70" s="179"/>
      <c r="BF70" s="179"/>
    </row>
    <row r="71" spans="2:58" ht="15.75" hidden="1" customHeight="1" outlineLevel="1">
      <c r="B71" s="589"/>
      <c r="C71" s="589"/>
      <c r="D71" s="379"/>
      <c r="E71" s="379"/>
      <c r="F71" s="379"/>
      <c r="G71" s="185"/>
      <c r="H71" s="185"/>
      <c r="I71" s="198"/>
      <c r="J71" s="198"/>
      <c r="K71" s="198"/>
      <c r="L71" s="198"/>
      <c r="M71" s="185"/>
      <c r="Q71" s="1466"/>
      <c r="R71" s="1371"/>
      <c r="S71" s="1371"/>
      <c r="T71" s="1371"/>
      <c r="Z71" s="179"/>
      <c r="AA71" s="179"/>
      <c r="AB71" s="179"/>
      <c r="AC71" s="179"/>
      <c r="AD71" s="179"/>
      <c r="AE71" s="179"/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  <c r="AQ71" s="179"/>
      <c r="AR71" s="179"/>
      <c r="AS71" s="179"/>
      <c r="AT71" s="179"/>
      <c r="AU71" s="179"/>
      <c r="AV71" s="179"/>
      <c r="AW71" s="179"/>
      <c r="AX71" s="179"/>
      <c r="AY71" s="179"/>
      <c r="AZ71" s="179"/>
      <c r="BA71" s="179"/>
      <c r="BB71" s="179"/>
      <c r="BC71" s="179"/>
      <c r="BD71" s="179"/>
      <c r="BE71" s="179"/>
      <c r="BF71" s="179"/>
    </row>
    <row r="72" spans="2:58" ht="15.75" hidden="1" customHeight="1" outlineLevel="1">
      <c r="B72" s="580" t="s">
        <v>1621</v>
      </c>
      <c r="C72" s="580" t="s">
        <v>609</v>
      </c>
      <c r="D72" s="379"/>
      <c r="E72" s="379"/>
      <c r="F72" s="379"/>
      <c r="G72" s="1979"/>
      <c r="H72" s="1979"/>
      <c r="I72" s="1979"/>
      <c r="J72" s="1979"/>
      <c r="K72" s="1979"/>
      <c r="L72" s="1979"/>
      <c r="M72" s="185"/>
      <c r="Q72" s="1466"/>
      <c r="R72" s="1371"/>
      <c r="S72" s="1371"/>
      <c r="T72" s="1371"/>
      <c r="Z72" s="179"/>
      <c r="AA72" s="179"/>
      <c r="AB72" s="179"/>
      <c r="AC72" s="179"/>
      <c r="AD72" s="179"/>
      <c r="AE72" s="179"/>
      <c r="AF72" s="179"/>
      <c r="AG72" s="179"/>
      <c r="AH72" s="179"/>
      <c r="AI72" s="179"/>
      <c r="AJ72" s="179"/>
      <c r="AK72" s="179"/>
      <c r="AL72" s="179"/>
      <c r="AM72" s="179"/>
      <c r="AN72" s="179"/>
      <c r="AO72" s="179"/>
      <c r="AP72" s="179"/>
      <c r="AQ72" s="179"/>
      <c r="AR72" s="179"/>
      <c r="AS72" s="179"/>
      <c r="AT72" s="179"/>
      <c r="AU72" s="179"/>
      <c r="AV72" s="179"/>
      <c r="AW72" s="179"/>
      <c r="AX72" s="179"/>
      <c r="AY72" s="179"/>
      <c r="AZ72" s="179"/>
      <c r="BA72" s="179"/>
      <c r="BB72" s="179"/>
      <c r="BC72" s="179"/>
      <c r="BD72" s="179"/>
      <c r="BE72" s="179"/>
      <c r="BF72" s="179"/>
    </row>
    <row r="73" spans="2:58" ht="15.75" hidden="1" customHeight="1" outlineLevel="1">
      <c r="B73" s="581" t="s">
        <v>1618</v>
      </c>
      <c r="C73" s="581" t="s">
        <v>565</v>
      </c>
      <c r="D73" s="379"/>
      <c r="E73" s="379"/>
      <c r="F73" s="379"/>
      <c r="G73" s="190"/>
      <c r="H73" s="190"/>
      <c r="I73" s="197"/>
      <c r="J73" s="197"/>
      <c r="K73" s="197">
        <v>7257.6</v>
      </c>
      <c r="L73" s="197">
        <f>(365-L33*(L52+L60)-L34*(L53+L61))*L68*24</f>
        <v>8497.2000000000007</v>
      </c>
      <c r="M73" s="197">
        <f>(365-M33*(M52+M60)-M34*(M53+M61))*M68*24</f>
        <v>8497.2000000000007</v>
      </c>
      <c r="N73" s="197">
        <f>(365-N33*(N52+N60)-N34*(N53+N61))*N68*24</f>
        <v>7868.64</v>
      </c>
      <c r="O73" s="197">
        <f>(365-O33*(O52+O60)-O34*(O53+O61))*O68*24</f>
        <v>3212.6399999999994</v>
      </c>
      <c r="P73" s="1329">
        <f>(366-P33*(P52+P60)-P34*(P53+P61))*P68*24</f>
        <v>8520.48</v>
      </c>
      <c r="Q73" s="1476">
        <f>(365-Q33*(Q52+Q60)-Q34*(Q53+Q61))*Q68*24</f>
        <v>7798.7999999999993</v>
      </c>
      <c r="R73" s="1960">
        <f>(365/2+24-R33*(R52+R60)-R34*(R53+R61))*R68*24</f>
        <v>4807.32</v>
      </c>
      <c r="S73" s="1381">
        <f>(365/2-S33*(S52+S60)-S34*(S53+S61))*S68*24</f>
        <v>3550.2</v>
      </c>
      <c r="T73" s="1381"/>
      <c r="U73" s="197">
        <f>(365-U33*(U52+U60)-U34*(U53+U61))*U68*24</f>
        <v>8497.2000000000007</v>
      </c>
      <c r="V73" s="197">
        <f>(365-V33*(V52+V60)-V34*(V53+V61))*V68*24</f>
        <v>8497.2000000000007</v>
      </c>
      <c r="W73" s="197">
        <f>(365-W33*(W52+W60)-W34*(W53+W61))*W68*24</f>
        <v>8497.2000000000007</v>
      </c>
      <c r="X73" s="197">
        <f>(365-X33*(X52+X60)-X34*(X53+X61))*X68*24</f>
        <v>8497.2000000000007</v>
      </c>
      <c r="Y73" s="197">
        <f>(365-Y33*(Y52+Y60)-Y34*(Y53+Y61))*Y68*24</f>
        <v>7100.4</v>
      </c>
      <c r="Z73" s="179"/>
      <c r="AA73" s="179"/>
      <c r="AB73" s="179"/>
      <c r="AC73" s="179"/>
      <c r="AD73" s="179"/>
      <c r="AE73" s="179"/>
      <c r="AF73" s="179"/>
      <c r="AG73" s="179"/>
      <c r="AH73" s="179"/>
      <c r="AI73" s="179"/>
      <c r="AJ73" s="179"/>
      <c r="AK73" s="179"/>
      <c r="AL73" s="179"/>
      <c r="AM73" s="179"/>
      <c r="AN73" s="179"/>
      <c r="AO73" s="179"/>
      <c r="AP73" s="179"/>
      <c r="AQ73" s="179"/>
      <c r="AR73" s="179"/>
      <c r="AS73" s="179"/>
      <c r="AT73" s="179"/>
      <c r="AU73" s="179"/>
      <c r="AV73" s="179"/>
      <c r="AW73" s="179"/>
      <c r="AX73" s="179"/>
      <c r="AY73" s="179"/>
      <c r="AZ73" s="179"/>
      <c r="BA73" s="179"/>
      <c r="BB73" s="179"/>
      <c r="BC73" s="179"/>
      <c r="BD73" s="179"/>
      <c r="BE73" s="179"/>
      <c r="BF73" s="179"/>
    </row>
    <row r="74" spans="2:58" ht="15.75" hidden="1" customHeight="1" outlineLevel="1">
      <c r="B74" s="581" t="s">
        <v>1619</v>
      </c>
      <c r="C74" s="581" t="s">
        <v>566</v>
      </c>
      <c r="D74" s="379"/>
      <c r="E74" s="379"/>
      <c r="F74" s="379"/>
      <c r="G74" s="190"/>
      <c r="H74" s="190"/>
      <c r="I74" s="197"/>
      <c r="J74" s="197"/>
      <c r="K74" s="197">
        <v>7333.2</v>
      </c>
      <c r="L74" s="197">
        <f t="shared" ref="L74:U74" si="20">(365-L37*(L52+L60)-L38*(L53+L61))*L69*24</f>
        <v>7798.7999999999993</v>
      </c>
      <c r="M74" s="197">
        <f t="shared" si="20"/>
        <v>6797.76</v>
      </c>
      <c r="N74" s="197">
        <f>(365-N37*(N52+N60)-N38*(N53+N61))*N69*24</f>
        <v>7240.08</v>
      </c>
      <c r="O74" s="197">
        <f t="shared" si="20"/>
        <v>8497.2000000000007</v>
      </c>
      <c r="P74" s="1329">
        <f>(366-P37*(P52+P60)-P38*(P53+P61))*P69*24</f>
        <v>8124.7199999999993</v>
      </c>
      <c r="Q74" s="1476">
        <f t="shared" si="20"/>
        <v>8497.2000000000007</v>
      </c>
      <c r="R74" s="1960">
        <f>(365/2+24-R37*(R52+R60)-R38*(R53+R61))*R69*24</f>
        <v>4807.32</v>
      </c>
      <c r="S74" s="1381">
        <f>(365/2-S37*(S52+S60)-S38*(S53+S61))*S69*24</f>
        <v>4248.6000000000004</v>
      </c>
      <c r="T74" s="1381"/>
      <c r="U74" s="197">
        <f t="shared" si="20"/>
        <v>8497.2000000000007</v>
      </c>
      <c r="V74" s="197">
        <f>(365-V37*(V52+V60)-V38*(V53+V61))*V69*24</f>
        <v>7798.7999999999993</v>
      </c>
      <c r="W74" s="197">
        <f>(365-W37*(W52+W60)-W38*(W53+W61))*W69*24</f>
        <v>8497.2000000000007</v>
      </c>
      <c r="X74" s="197">
        <f>(365-X37*(X52+X60)-X38*(X53+X61))*X69*24</f>
        <v>8497.2000000000007</v>
      </c>
      <c r="Y74" s="197">
        <f>(365-Y37*(Y52+Y60)-Y38*(Y53+Y61))*Y69*24</f>
        <v>7798.7999999999993</v>
      </c>
      <c r="Z74" s="179"/>
      <c r="AA74" s="179"/>
      <c r="AB74" s="179"/>
      <c r="AC74" s="179"/>
      <c r="AD74" s="179"/>
      <c r="AE74" s="179"/>
      <c r="AF74" s="179"/>
      <c r="AG74" s="179"/>
      <c r="AH74" s="179"/>
      <c r="AI74" s="179"/>
      <c r="AJ74" s="179"/>
      <c r="AK74" s="179"/>
      <c r="AL74" s="179"/>
      <c r="AM74" s="179"/>
      <c r="AN74" s="179"/>
      <c r="AO74" s="179"/>
      <c r="AP74" s="179"/>
      <c r="AQ74" s="179"/>
      <c r="AR74" s="179"/>
      <c r="AS74" s="179"/>
      <c r="AT74" s="179"/>
      <c r="AU74" s="179"/>
      <c r="AV74" s="179"/>
      <c r="AW74" s="179"/>
      <c r="AX74" s="179"/>
      <c r="AY74" s="179"/>
      <c r="AZ74" s="179"/>
      <c r="BA74" s="179"/>
      <c r="BB74" s="179"/>
      <c r="BC74" s="179"/>
      <c r="BD74" s="179"/>
      <c r="BE74" s="179"/>
      <c r="BF74" s="179"/>
    </row>
    <row r="75" spans="2:58" ht="15.75" hidden="1" customHeight="1" outlineLevel="1">
      <c r="B75" s="581" t="s">
        <v>1620</v>
      </c>
      <c r="C75" s="581" t="s">
        <v>562</v>
      </c>
      <c r="D75" s="185"/>
      <c r="E75" s="185"/>
      <c r="F75" s="185"/>
      <c r="G75" s="190"/>
      <c r="H75" s="190"/>
      <c r="I75" s="197"/>
      <c r="J75" s="197"/>
      <c r="K75" s="197">
        <v>6831.84</v>
      </c>
      <c r="L75" s="197">
        <f>(366-L41*(L56+L64)-L42*(L57+L65))*L70*24</f>
        <v>6852.48</v>
      </c>
      <c r="M75" s="197">
        <f t="shared" ref="M75:U75" si="21">(365-M41*(M56+M64)-M42*(M57+M65))*M70*24</f>
        <v>6831.8399999999992</v>
      </c>
      <c r="N75" s="197">
        <f t="shared" si="21"/>
        <v>7621.2000000000007</v>
      </c>
      <c r="O75" s="197">
        <f t="shared" si="21"/>
        <v>7368.48</v>
      </c>
      <c r="P75" s="1329">
        <f>(366-P41*(P56+P64)-P42*(P57+P65))*P70*24</f>
        <v>6873.12</v>
      </c>
      <c r="Q75" s="1476">
        <f t="shared" si="21"/>
        <v>7621.2000000000007</v>
      </c>
      <c r="R75" s="1960">
        <f>(365/2+24-R41*(R56+R64)-R42*(R57+R65))*R70*24</f>
        <v>4311.72</v>
      </c>
      <c r="S75" s="1381">
        <f>(365/2-S41*(S56+S64)-S42*(S57+S65))*S70*24</f>
        <v>3810.6000000000004</v>
      </c>
      <c r="T75" s="1381"/>
      <c r="U75" s="197">
        <f t="shared" si="21"/>
        <v>7244.64</v>
      </c>
      <c r="V75" s="197">
        <f>(365-V41*(V56+V64)-V42*(V57+V65))*V70*24</f>
        <v>7285.92</v>
      </c>
      <c r="W75" s="197">
        <f>(365-W41*(W56+W64)-W42*(W57+W65))*W70*24</f>
        <v>7533.5999999999995</v>
      </c>
      <c r="X75" s="197">
        <f>(365-X41*(X56+X64)-X42*(X57+X65))*X70*24</f>
        <v>7244.64</v>
      </c>
      <c r="Y75" s="197">
        <f>(365-Y41*(Y56+Y64)-Y42*(Y57+Y65))*Y70*24</f>
        <v>7533.5999999999995</v>
      </c>
      <c r="Z75" s="179"/>
      <c r="AA75" s="179"/>
      <c r="AB75" s="179"/>
      <c r="AC75" s="179"/>
      <c r="AD75" s="179"/>
      <c r="AE75" s="179"/>
      <c r="AF75" s="179"/>
      <c r="AG75" s="179"/>
      <c r="AH75" s="179"/>
      <c r="AI75" s="179"/>
      <c r="AJ75" s="179"/>
      <c r="AK75" s="179"/>
      <c r="AL75" s="179"/>
      <c r="AM75" s="179"/>
      <c r="AN75" s="179"/>
      <c r="AO75" s="179"/>
      <c r="AP75" s="179"/>
      <c r="AQ75" s="179"/>
      <c r="AR75" s="179"/>
      <c r="AS75" s="179"/>
      <c r="AT75" s="179"/>
      <c r="AU75" s="179"/>
      <c r="AV75" s="179"/>
      <c r="AW75" s="179"/>
      <c r="AX75" s="179"/>
      <c r="AY75" s="179"/>
      <c r="AZ75" s="179"/>
      <c r="BA75" s="179"/>
      <c r="BB75" s="179"/>
      <c r="BC75" s="179"/>
      <c r="BD75" s="179"/>
      <c r="BE75" s="179"/>
      <c r="BF75" s="179"/>
    </row>
    <row r="76" spans="2:58" ht="15.75" hidden="1" customHeight="1" outlineLevel="1">
      <c r="B76" s="589"/>
      <c r="C76" s="589"/>
      <c r="D76" s="379"/>
      <c r="E76" s="379"/>
      <c r="F76" s="379"/>
      <c r="G76" s="185"/>
      <c r="H76" s="185"/>
      <c r="I76" s="202"/>
      <c r="J76" s="198"/>
      <c r="K76" s="198"/>
      <c r="L76" s="198"/>
      <c r="M76" s="185"/>
      <c r="Q76" s="1466"/>
      <c r="R76" s="1371"/>
      <c r="S76" s="1371"/>
      <c r="T76" s="1371"/>
      <c r="Z76" s="179"/>
      <c r="AA76" s="179"/>
      <c r="AB76" s="179"/>
      <c r="AC76" s="179"/>
      <c r="AD76" s="179"/>
      <c r="AE76" s="179"/>
      <c r="AF76" s="179"/>
      <c r="AG76" s="179"/>
      <c r="AH76" s="179"/>
      <c r="AI76" s="179"/>
      <c r="AJ76" s="179"/>
      <c r="AK76" s="179"/>
      <c r="AL76" s="179"/>
      <c r="AM76" s="179"/>
      <c r="AN76" s="179"/>
      <c r="AO76" s="179"/>
      <c r="AP76" s="179"/>
      <c r="AQ76" s="179"/>
      <c r="AR76" s="179"/>
      <c r="AS76" s="179"/>
      <c r="AT76" s="179"/>
      <c r="AU76" s="179"/>
      <c r="AV76" s="179"/>
      <c r="AW76" s="179"/>
      <c r="AX76" s="179"/>
      <c r="AY76" s="179"/>
      <c r="AZ76" s="179"/>
      <c r="BA76" s="179"/>
      <c r="BB76" s="179"/>
      <c r="BC76" s="179"/>
      <c r="BD76" s="179"/>
      <c r="BE76" s="179"/>
      <c r="BF76" s="179"/>
    </row>
    <row r="77" spans="2:58" ht="15.75" hidden="1" customHeight="1" outlineLevel="1">
      <c r="B77" s="1957" t="s">
        <v>2046</v>
      </c>
      <c r="C77" s="580" t="s">
        <v>607</v>
      </c>
      <c r="D77" s="379"/>
      <c r="E77" s="379"/>
      <c r="F77" s="379"/>
      <c r="G77" s="1979"/>
      <c r="H77" s="1979"/>
      <c r="I77" s="1979"/>
      <c r="J77" s="1979"/>
      <c r="K77" s="1979"/>
      <c r="L77" s="1979"/>
      <c r="M77" s="185"/>
      <c r="Q77" s="1466"/>
      <c r="R77" s="1371"/>
      <c r="S77" s="1371"/>
      <c r="T77" s="1371"/>
      <c r="Z77" s="179"/>
      <c r="AA77" s="179"/>
      <c r="AB77" s="179"/>
      <c r="AC77" s="179"/>
      <c r="AD77" s="179"/>
      <c r="AE77" s="179"/>
      <c r="AF77" s="179"/>
      <c r="AG77" s="179"/>
      <c r="AH77" s="179"/>
      <c r="AI77" s="179"/>
      <c r="AJ77" s="179"/>
      <c r="AK77" s="179"/>
      <c r="AL77" s="179"/>
      <c r="AM77" s="179"/>
      <c r="AN77" s="179"/>
      <c r="AO77" s="179"/>
      <c r="AP77" s="179"/>
      <c r="AQ77" s="179"/>
      <c r="AR77" s="179"/>
      <c r="AS77" s="179"/>
      <c r="AT77" s="179"/>
      <c r="AU77" s="179"/>
      <c r="AV77" s="179"/>
      <c r="AW77" s="179"/>
      <c r="AX77" s="179"/>
      <c r="AY77" s="179"/>
      <c r="AZ77" s="179"/>
      <c r="BA77" s="179"/>
      <c r="BB77" s="179"/>
      <c r="BC77" s="179"/>
      <c r="BD77" s="179"/>
      <c r="BE77" s="179"/>
      <c r="BF77" s="179"/>
    </row>
    <row r="78" spans="2:58" ht="15.75" hidden="1" customHeight="1" outlineLevel="1">
      <c r="B78" s="581" t="s">
        <v>1618</v>
      </c>
      <c r="C78" s="581" t="s">
        <v>565</v>
      </c>
      <c r="D78" s="379"/>
      <c r="E78" s="379"/>
      <c r="F78" s="379"/>
      <c r="G78" s="190"/>
      <c r="H78" s="190"/>
      <c r="I78" s="197"/>
      <c r="J78" s="197"/>
      <c r="K78" s="608">
        <v>30.2</v>
      </c>
      <c r="L78" s="608">
        <v>32.700000000000003</v>
      </c>
      <c r="M78" s="608">
        <v>31.1</v>
      </c>
      <c r="N78" s="608">
        <v>32</v>
      </c>
      <c r="O78" s="201">
        <v>32.5</v>
      </c>
      <c r="P78" s="1333">
        <v>40.299999999999997</v>
      </c>
      <c r="Q78" s="1480">
        <v>41.69</v>
      </c>
      <c r="R78" s="1962">
        <v>40.299999999999997</v>
      </c>
      <c r="S78" s="1385">
        <v>41.69</v>
      </c>
      <c r="T78" s="1385"/>
      <c r="U78" s="201">
        <f>Q78</f>
        <v>41.69</v>
      </c>
      <c r="V78" s="201">
        <f t="shared" ref="V78:Y79" si="22">U78</f>
        <v>41.69</v>
      </c>
      <c r="W78" s="201">
        <f t="shared" si="22"/>
        <v>41.69</v>
      </c>
      <c r="X78" s="201">
        <f t="shared" si="22"/>
        <v>41.69</v>
      </c>
      <c r="Y78" s="201">
        <f t="shared" si="22"/>
        <v>41.69</v>
      </c>
      <c r="Z78" s="179"/>
      <c r="AA78" s="179"/>
      <c r="AB78" s="179"/>
      <c r="AC78" s="179"/>
      <c r="AD78" s="179"/>
      <c r="AE78" s="179"/>
      <c r="AF78" s="179"/>
      <c r="AG78" s="179"/>
      <c r="AH78" s="179"/>
      <c r="AI78" s="179"/>
      <c r="AJ78" s="179"/>
      <c r="AK78" s="179"/>
      <c r="AL78" s="179"/>
      <c r="AM78" s="179"/>
      <c r="AN78" s="179"/>
      <c r="AO78" s="179"/>
      <c r="AP78" s="179"/>
      <c r="AQ78" s="179"/>
      <c r="AR78" s="179"/>
      <c r="AS78" s="179"/>
      <c r="AT78" s="179"/>
      <c r="AU78" s="179"/>
      <c r="AV78" s="179"/>
      <c r="AW78" s="179"/>
      <c r="AX78" s="179"/>
      <c r="AY78" s="179"/>
      <c r="AZ78" s="179"/>
      <c r="BA78" s="179"/>
      <c r="BB78" s="179"/>
      <c r="BC78" s="179"/>
      <c r="BD78" s="179"/>
      <c r="BE78" s="179"/>
      <c r="BF78" s="179"/>
    </row>
    <row r="79" spans="2:58" ht="15.75" hidden="1" customHeight="1" outlineLevel="1">
      <c r="B79" s="581" t="s">
        <v>1619</v>
      </c>
      <c r="C79" s="581" t="s">
        <v>566</v>
      </c>
      <c r="D79" s="379"/>
      <c r="E79" s="379"/>
      <c r="F79" s="379"/>
      <c r="G79" s="190"/>
      <c r="H79" s="190"/>
      <c r="I79" s="197"/>
      <c r="J79" s="197"/>
      <c r="K79" s="608">
        <v>31.4</v>
      </c>
      <c r="L79" s="608">
        <v>32.700000000000003</v>
      </c>
      <c r="M79" s="608">
        <v>33.700000000000003</v>
      </c>
      <c r="N79" s="608">
        <v>33.299999999999997</v>
      </c>
      <c r="O79" s="201">
        <v>34.9</v>
      </c>
      <c r="P79" s="1333">
        <v>37.200000000000003</v>
      </c>
      <c r="Q79" s="1480">
        <v>37.6</v>
      </c>
      <c r="R79" s="1963">
        <v>37.200000000000003</v>
      </c>
      <c r="S79" s="1385">
        <v>37.6</v>
      </c>
      <c r="T79" s="1385"/>
      <c r="U79" s="201">
        <f>Q79</f>
        <v>37.6</v>
      </c>
      <c r="V79" s="201">
        <f t="shared" si="22"/>
        <v>37.6</v>
      </c>
      <c r="W79" s="201">
        <f t="shared" si="22"/>
        <v>37.6</v>
      </c>
      <c r="X79" s="201">
        <f t="shared" si="22"/>
        <v>37.6</v>
      </c>
      <c r="Y79" s="201">
        <f t="shared" si="22"/>
        <v>37.6</v>
      </c>
      <c r="Z79" s="179"/>
      <c r="AA79" s="179"/>
      <c r="AB79" s="179"/>
      <c r="AC79" s="179"/>
      <c r="AD79" s="179"/>
      <c r="AE79" s="179"/>
      <c r="AF79" s="179"/>
      <c r="AG79" s="179"/>
      <c r="AH79" s="179"/>
      <c r="AI79" s="179"/>
      <c r="AJ79" s="179"/>
      <c r="AK79" s="179"/>
      <c r="AL79" s="179"/>
      <c r="AM79" s="179"/>
      <c r="AN79" s="179"/>
      <c r="AO79" s="179"/>
      <c r="AP79" s="179"/>
      <c r="AQ79" s="179"/>
      <c r="AR79" s="179"/>
      <c r="AS79" s="179"/>
      <c r="AT79" s="179"/>
      <c r="AU79" s="179"/>
      <c r="AV79" s="179"/>
      <c r="AW79" s="179"/>
      <c r="AX79" s="179"/>
      <c r="AY79" s="179"/>
      <c r="AZ79" s="179"/>
      <c r="BA79" s="179"/>
      <c r="BB79" s="179"/>
      <c r="BC79" s="179"/>
      <c r="BD79" s="179"/>
      <c r="BE79" s="179"/>
      <c r="BF79" s="179"/>
    </row>
    <row r="80" spans="2:58" ht="15.75" hidden="1" customHeight="1" outlineLevel="1">
      <c r="B80" s="581" t="s">
        <v>1620</v>
      </c>
      <c r="C80" s="581" t="s">
        <v>562</v>
      </c>
      <c r="D80" s="185"/>
      <c r="E80" s="185"/>
      <c r="F80" s="185"/>
      <c r="G80" s="190"/>
      <c r="H80" s="190"/>
      <c r="I80" s="197"/>
      <c r="J80" s="197"/>
      <c r="K80" s="608">
        <v>4.5</v>
      </c>
      <c r="L80" s="608">
        <v>5</v>
      </c>
      <c r="M80" s="608">
        <v>5.0999999999999996</v>
      </c>
      <c r="N80" s="608">
        <v>5</v>
      </c>
      <c r="O80" s="608">
        <v>5</v>
      </c>
      <c r="P80" s="1334">
        <v>5</v>
      </c>
      <c r="Q80" s="1481">
        <v>5</v>
      </c>
      <c r="R80" s="1963">
        <v>4.5999999999999996</v>
      </c>
      <c r="S80" s="1386">
        <v>5</v>
      </c>
      <c r="T80" s="1386"/>
      <c r="U80" s="608">
        <v>5</v>
      </c>
      <c r="V80" s="608">
        <v>5</v>
      </c>
      <c r="W80" s="608">
        <v>5</v>
      </c>
      <c r="X80" s="608">
        <v>5</v>
      </c>
      <c r="Y80" s="608">
        <v>5</v>
      </c>
      <c r="Z80" s="179"/>
      <c r="AA80" s="179"/>
      <c r="AB80" s="179"/>
      <c r="AC80" s="179"/>
      <c r="AD80" s="179"/>
      <c r="AE80" s="179"/>
      <c r="AF80" s="179"/>
      <c r="AG80" s="179"/>
      <c r="AH80" s="179"/>
      <c r="AI80" s="179"/>
      <c r="AJ80" s="179"/>
      <c r="AK80" s="179"/>
      <c r="AL80" s="179"/>
      <c r="AM80" s="179"/>
      <c r="AN80" s="179"/>
      <c r="AO80" s="179"/>
      <c r="AP80" s="179"/>
      <c r="AQ80" s="179"/>
      <c r="AR80" s="179"/>
      <c r="AS80" s="179"/>
      <c r="AT80" s="179"/>
      <c r="AU80" s="179"/>
      <c r="AV80" s="179"/>
      <c r="AW80" s="179"/>
      <c r="AX80" s="179"/>
      <c r="AY80" s="179"/>
      <c r="AZ80" s="179"/>
      <c r="BA80" s="179"/>
      <c r="BB80" s="179"/>
      <c r="BC80" s="179"/>
      <c r="BD80" s="179"/>
      <c r="BE80" s="179"/>
      <c r="BF80" s="179"/>
    </row>
    <row r="81" spans="1:58" ht="15.75" hidden="1" customHeight="1" outlineLevel="1">
      <c r="B81" s="581" t="s">
        <v>1623</v>
      </c>
      <c r="C81" s="581" t="s">
        <v>608</v>
      </c>
      <c r="D81" s="185"/>
      <c r="E81" s="185"/>
      <c r="F81" s="185"/>
      <c r="G81" s="190"/>
      <c r="H81" s="190"/>
      <c r="I81" s="197"/>
      <c r="J81" s="197"/>
      <c r="K81" s="201">
        <v>328.72</v>
      </c>
      <c r="L81" s="201">
        <f t="shared" ref="L81:Y81" si="23">8218/25</f>
        <v>328.72</v>
      </c>
      <c r="M81" s="201">
        <f t="shared" si="23"/>
        <v>328.72</v>
      </c>
      <c r="N81" s="201">
        <f t="shared" si="23"/>
        <v>328.72</v>
      </c>
      <c r="O81" s="201">
        <f t="shared" si="23"/>
        <v>328.72</v>
      </c>
      <c r="P81" s="1333">
        <f>O81</f>
        <v>328.72</v>
      </c>
      <c r="Q81" s="1480">
        <f>8218/25</f>
        <v>328.72</v>
      </c>
      <c r="R81" s="1385">
        <f>8218/25</f>
        <v>328.72</v>
      </c>
      <c r="S81" s="1385">
        <f>8218/25</f>
        <v>328.72</v>
      </c>
      <c r="T81" s="1385"/>
      <c r="U81" s="201">
        <f t="shared" si="23"/>
        <v>328.72</v>
      </c>
      <c r="V81" s="201">
        <f t="shared" si="23"/>
        <v>328.72</v>
      </c>
      <c r="W81" s="201">
        <f t="shared" si="23"/>
        <v>328.72</v>
      </c>
      <c r="X81" s="201">
        <f t="shared" si="23"/>
        <v>328.72</v>
      </c>
      <c r="Y81" s="201">
        <f t="shared" si="23"/>
        <v>328.72</v>
      </c>
      <c r="Z81" s="179"/>
      <c r="AA81" s="179"/>
      <c r="AB81" s="179"/>
      <c r="AC81" s="179"/>
      <c r="AD81" s="179"/>
      <c r="AE81" s="179"/>
      <c r="AF81" s="179"/>
      <c r="AG81" s="179"/>
      <c r="AH81" s="179"/>
      <c r="AI81" s="179"/>
      <c r="AJ81" s="179"/>
      <c r="AK81" s="179"/>
      <c r="AL81" s="179"/>
      <c r="AM81" s="179"/>
      <c r="AN81" s="179"/>
      <c r="AO81" s="179"/>
      <c r="AP81" s="179"/>
      <c r="AQ81" s="179"/>
      <c r="AR81" s="179"/>
      <c r="AS81" s="179"/>
      <c r="AT81" s="179"/>
      <c r="AU81" s="179"/>
      <c r="AV81" s="179"/>
      <c r="AW81" s="179"/>
      <c r="AX81" s="179"/>
      <c r="AY81" s="179"/>
      <c r="AZ81" s="179"/>
      <c r="BA81" s="179"/>
      <c r="BB81" s="179"/>
      <c r="BC81" s="179"/>
      <c r="BD81" s="179"/>
      <c r="BE81" s="179"/>
      <c r="BF81" s="179"/>
    </row>
    <row r="82" spans="1:58" ht="15.75" hidden="1" customHeight="1" outlineLevel="1">
      <c r="B82" s="581" t="s">
        <v>1624</v>
      </c>
      <c r="C82" s="581" t="s">
        <v>614</v>
      </c>
      <c r="D82" s="185"/>
      <c r="E82" s="185"/>
      <c r="F82" s="185"/>
      <c r="G82" s="194"/>
      <c r="H82" s="194"/>
      <c r="I82" s="199"/>
      <c r="J82" s="199"/>
      <c r="K82" s="201">
        <v>329</v>
      </c>
      <c r="L82" s="201">
        <v>329</v>
      </c>
      <c r="M82" s="201">
        <v>329</v>
      </c>
      <c r="N82" s="201">
        <v>329</v>
      </c>
      <c r="O82" s="201">
        <v>329</v>
      </c>
      <c r="P82" s="1333">
        <f>O82</f>
        <v>329</v>
      </c>
      <c r="Q82" s="1480">
        <v>329</v>
      </c>
      <c r="R82" s="1385">
        <v>329</v>
      </c>
      <c r="S82" s="1385">
        <v>329</v>
      </c>
      <c r="T82" s="1385"/>
      <c r="U82" s="201">
        <v>329</v>
      </c>
      <c r="V82" s="201">
        <v>329</v>
      </c>
      <c r="W82" s="201">
        <v>329</v>
      </c>
      <c r="X82" s="201">
        <v>329</v>
      </c>
      <c r="Y82" s="201">
        <v>329</v>
      </c>
      <c r="Z82" s="179"/>
      <c r="AA82" s="179"/>
      <c r="AB82" s="179"/>
      <c r="AC82" s="179"/>
      <c r="AD82" s="179"/>
      <c r="AE82" s="179"/>
      <c r="AF82" s="179"/>
      <c r="AG82" s="179"/>
      <c r="AH82" s="179"/>
      <c r="AI82" s="179"/>
      <c r="AJ82" s="179"/>
      <c r="AK82" s="179"/>
      <c r="AL82" s="179"/>
      <c r="AM82" s="179"/>
      <c r="AN82" s="179"/>
      <c r="AO82" s="179"/>
      <c r="AP82" s="179"/>
      <c r="AQ82" s="179"/>
      <c r="AR82" s="179"/>
      <c r="AS82" s="179"/>
      <c r="AT82" s="179"/>
      <c r="AU82" s="179"/>
      <c r="AV82" s="179"/>
      <c r="AW82" s="179"/>
      <c r="AX82" s="179"/>
      <c r="AY82" s="179"/>
      <c r="AZ82" s="179"/>
      <c r="BA82" s="179"/>
      <c r="BB82" s="179"/>
      <c r="BC82" s="179"/>
      <c r="BD82" s="179"/>
      <c r="BE82" s="179"/>
      <c r="BF82" s="179"/>
    </row>
    <row r="83" spans="1:58" ht="15.75" hidden="1" customHeight="1" outlineLevel="1">
      <c r="B83" s="580"/>
      <c r="C83" s="580"/>
      <c r="D83" s="185"/>
      <c r="E83" s="185"/>
      <c r="F83" s="185"/>
      <c r="G83" s="194"/>
      <c r="H83" s="194"/>
      <c r="I83" s="199"/>
      <c r="J83" s="199"/>
      <c r="K83" s="609"/>
      <c r="L83" s="609"/>
      <c r="M83" s="185"/>
      <c r="Q83" s="1466"/>
      <c r="R83" s="1371"/>
      <c r="S83" s="1386">
        <v>4.5999999999999996</v>
      </c>
      <c r="T83" s="1371"/>
      <c r="Z83" s="179"/>
      <c r="AA83" s="179"/>
      <c r="AB83" s="179"/>
      <c r="AC83" s="179"/>
      <c r="AD83" s="179"/>
      <c r="AE83" s="179"/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</row>
    <row r="84" spans="1:58" ht="15.75" hidden="1" customHeight="1" outlineLevel="1">
      <c r="B84" s="580" t="s">
        <v>1625</v>
      </c>
      <c r="C84" s="580" t="s">
        <v>589</v>
      </c>
      <c r="D84" s="379"/>
      <c r="E84" s="379"/>
      <c r="F84" s="379"/>
      <c r="G84" s="200"/>
      <c r="H84" s="200"/>
      <c r="I84" s="200"/>
      <c r="J84" s="200"/>
      <c r="K84" s="200"/>
      <c r="L84" s="200"/>
      <c r="M84" s="185"/>
      <c r="Q84" s="1466"/>
      <c r="R84" s="1371"/>
      <c r="S84" s="1371"/>
      <c r="T84" s="1371"/>
      <c r="Z84" s="179"/>
      <c r="AA84" s="179"/>
      <c r="AB84" s="179"/>
      <c r="AC84" s="179"/>
      <c r="AD84" s="179"/>
      <c r="AE84" s="179"/>
      <c r="AF84" s="179"/>
      <c r="AG84" s="179"/>
      <c r="AH84" s="179"/>
      <c r="AI84" s="179"/>
      <c r="AJ84" s="179"/>
      <c r="AK84" s="179"/>
      <c r="AL84" s="179"/>
      <c r="AM84" s="179"/>
      <c r="AN84" s="179"/>
      <c r="AO84" s="179"/>
      <c r="AP84" s="179"/>
      <c r="AQ84" s="179"/>
      <c r="AR84" s="179"/>
      <c r="AS84" s="179"/>
      <c r="AT84" s="179"/>
      <c r="AU84" s="179"/>
      <c r="AV84" s="179"/>
      <c r="AW84" s="179"/>
      <c r="AX84" s="179"/>
      <c r="AY84" s="179"/>
      <c r="AZ84" s="179"/>
      <c r="BA84" s="179"/>
      <c r="BB84" s="179"/>
      <c r="BC84" s="179"/>
      <c r="BD84" s="179"/>
      <c r="BE84" s="179"/>
      <c r="BF84" s="179"/>
    </row>
    <row r="85" spans="1:58" ht="15.75" hidden="1" customHeight="1" outlineLevel="1">
      <c r="B85" s="581" t="s">
        <v>1626</v>
      </c>
      <c r="C85" s="581" t="s">
        <v>610</v>
      </c>
      <c r="D85" s="379"/>
      <c r="E85" s="379"/>
      <c r="F85" s="379"/>
      <c r="G85" s="190"/>
      <c r="H85" s="190"/>
      <c r="I85" s="197"/>
      <c r="J85" s="197"/>
      <c r="K85" s="201">
        <v>219179.51999999999</v>
      </c>
      <c r="L85" s="201">
        <f t="shared" ref="L85:U85" si="24">L73*L78</f>
        <v>277858.44000000006</v>
      </c>
      <c r="M85" s="201">
        <f>M73*M78</f>
        <v>264262.92000000004</v>
      </c>
      <c r="N85" s="201">
        <f t="shared" si="24"/>
        <v>251796.48000000001</v>
      </c>
      <c r="O85" s="201">
        <f t="shared" si="24"/>
        <v>104410.79999999999</v>
      </c>
      <c r="P85" s="1333">
        <f t="shared" si="24"/>
        <v>343375.34399999998</v>
      </c>
      <c r="Q85" s="1480">
        <f>Q73*Q78</f>
        <v>325131.97199999995</v>
      </c>
      <c r="R85" s="1385">
        <f>R73*R78</f>
        <v>193734.99599999998</v>
      </c>
      <c r="S85" s="1385">
        <f>S73*S78</f>
        <v>148007.83799999999</v>
      </c>
      <c r="T85" s="1385"/>
      <c r="U85" s="201">
        <f t="shared" si="24"/>
        <v>354248.26800000004</v>
      </c>
      <c r="V85" s="201">
        <f>V73*V78</f>
        <v>354248.26800000004</v>
      </c>
      <c r="W85" s="201">
        <f>W73*W78</f>
        <v>354248.26800000004</v>
      </c>
      <c r="X85" s="201">
        <f>X73*X78</f>
        <v>354248.26800000004</v>
      </c>
      <c r="Y85" s="201">
        <f>Y73*Y78</f>
        <v>296015.67599999998</v>
      </c>
      <c r="Z85" s="179"/>
      <c r="AA85" s="179"/>
      <c r="AB85" s="179"/>
      <c r="AC85" s="179"/>
      <c r="AD85" s="179"/>
      <c r="AE85" s="179"/>
      <c r="AF85" s="179"/>
      <c r="AG85" s="179"/>
      <c r="AH85" s="179"/>
      <c r="AI85" s="179"/>
      <c r="AJ85" s="179"/>
      <c r="AK85" s="179"/>
      <c r="AL85" s="179"/>
      <c r="AM85" s="179"/>
      <c r="AN85" s="179"/>
      <c r="AO85" s="179"/>
      <c r="AP85" s="179"/>
      <c r="AQ85" s="179"/>
      <c r="AR85" s="179"/>
      <c r="AS85" s="179"/>
      <c r="AT85" s="179"/>
      <c r="AU85" s="179"/>
      <c r="AV85" s="179"/>
      <c r="AW85" s="179"/>
      <c r="AX85" s="179"/>
      <c r="AY85" s="179"/>
      <c r="AZ85" s="179"/>
      <c r="BA85" s="179"/>
      <c r="BB85" s="179"/>
      <c r="BC85" s="179"/>
      <c r="BD85" s="179"/>
      <c r="BE85" s="179"/>
      <c r="BF85" s="179"/>
    </row>
    <row r="86" spans="1:58" ht="15.75" hidden="1" customHeight="1" outlineLevel="1">
      <c r="B86" s="581" t="s">
        <v>1627</v>
      </c>
      <c r="C86" s="581" t="s">
        <v>611</v>
      </c>
      <c r="D86" s="379"/>
      <c r="E86" s="379"/>
      <c r="F86" s="379"/>
      <c r="G86" s="190"/>
      <c r="H86" s="190"/>
      <c r="I86" s="197"/>
      <c r="J86" s="197"/>
      <c r="K86" s="201">
        <v>8218</v>
      </c>
      <c r="L86" s="201">
        <f t="shared" ref="L86:S86" si="25">L81*L33*L60+L34*L61*L81</f>
        <v>0</v>
      </c>
      <c r="M86" s="201">
        <f t="shared" si="25"/>
        <v>0</v>
      </c>
      <c r="N86" s="201">
        <f t="shared" si="25"/>
        <v>4930.8</v>
      </c>
      <c r="O86" s="201">
        <f t="shared" si="25"/>
        <v>16436</v>
      </c>
      <c r="P86" s="1333">
        <f t="shared" si="25"/>
        <v>0</v>
      </c>
      <c r="Q86" s="1480">
        <f t="shared" si="25"/>
        <v>6574.4000000000005</v>
      </c>
      <c r="R86" s="1385">
        <f t="shared" si="25"/>
        <v>0</v>
      </c>
      <c r="S86" s="1385">
        <f t="shared" si="25"/>
        <v>6574.4000000000005</v>
      </c>
      <c r="T86" s="1385"/>
      <c r="U86" s="201">
        <f>U81*U33*U60+U34*U61*U81</f>
        <v>0</v>
      </c>
      <c r="V86" s="201">
        <f>V81*V33*V60+V34*V61*V81</f>
        <v>0</v>
      </c>
      <c r="W86" s="201">
        <f>W81*W33*W60+W34*W61*W81</f>
        <v>0</v>
      </c>
      <c r="X86" s="201">
        <f>X81*X33*X60+X34*X61*X81</f>
        <v>0</v>
      </c>
      <c r="Y86" s="201">
        <f>Y81*Y33*Y60+Y34*Y61*Y81</f>
        <v>9861.6</v>
      </c>
      <c r="Z86" s="179"/>
      <c r="AA86" s="179"/>
      <c r="AB86" s="179"/>
      <c r="AC86" s="179"/>
      <c r="AD86" s="179"/>
      <c r="AE86" s="179"/>
      <c r="AF86" s="179"/>
      <c r="AG86" s="179"/>
      <c r="AH86" s="179"/>
      <c r="AI86" s="179"/>
      <c r="AJ86" s="179"/>
      <c r="AK86" s="179"/>
      <c r="AL86" s="179"/>
      <c r="AM86" s="179"/>
      <c r="AN86" s="179"/>
      <c r="AO86" s="179"/>
      <c r="AP86" s="179"/>
      <c r="AQ86" s="179"/>
      <c r="AR86" s="179"/>
      <c r="AS86" s="179"/>
      <c r="AT86" s="179"/>
      <c r="AU86" s="179"/>
      <c r="AV86" s="179"/>
      <c r="AW86" s="179"/>
      <c r="AX86" s="179"/>
      <c r="AY86" s="179"/>
      <c r="AZ86" s="179"/>
      <c r="BA86" s="179"/>
      <c r="BB86" s="179"/>
      <c r="BC86" s="179"/>
      <c r="BD86" s="179"/>
      <c r="BE86" s="179"/>
      <c r="BF86" s="179"/>
    </row>
    <row r="87" spans="1:58" ht="15.75" hidden="1" customHeight="1" outlineLevel="1">
      <c r="B87" s="581" t="s">
        <v>1628</v>
      </c>
      <c r="C87" s="581" t="s">
        <v>612</v>
      </c>
      <c r="D87" s="379"/>
      <c r="E87" s="379"/>
      <c r="F87" s="379"/>
      <c r="G87" s="190"/>
      <c r="H87" s="190"/>
      <c r="I87" s="197"/>
      <c r="J87" s="197"/>
      <c r="K87" s="201">
        <v>230262.48</v>
      </c>
      <c r="L87" s="201">
        <f t="shared" ref="L87:U87" si="26">L74*L79</f>
        <v>255020.76</v>
      </c>
      <c r="M87" s="201">
        <f>M74*M79</f>
        <v>229084.51200000002</v>
      </c>
      <c r="N87" s="201">
        <f t="shared" si="26"/>
        <v>241094.66399999999</v>
      </c>
      <c r="O87" s="201">
        <f>O74*O79</f>
        <v>296552.28000000003</v>
      </c>
      <c r="P87" s="1333">
        <f t="shared" si="26"/>
        <v>302239.58399999997</v>
      </c>
      <c r="Q87" s="1480">
        <f t="shared" si="26"/>
        <v>319494.72000000003</v>
      </c>
      <c r="R87" s="1385">
        <f>R74*R79</f>
        <v>178832.304</v>
      </c>
      <c r="S87" s="1385">
        <f>S74*S79</f>
        <v>159747.36000000002</v>
      </c>
      <c r="T87" s="1385"/>
      <c r="U87" s="201">
        <f t="shared" si="26"/>
        <v>319494.72000000003</v>
      </c>
      <c r="V87" s="201">
        <f>V74*V79</f>
        <v>293234.88</v>
      </c>
      <c r="W87" s="201">
        <f>W74*W79</f>
        <v>319494.72000000003</v>
      </c>
      <c r="X87" s="201">
        <f>X74*X79</f>
        <v>319494.72000000003</v>
      </c>
      <c r="Y87" s="201">
        <f>Y74*Y79</f>
        <v>293234.88</v>
      </c>
      <c r="Z87" s="179"/>
      <c r="AA87" s="179"/>
      <c r="AB87" s="179"/>
      <c r="AC87" s="179"/>
      <c r="AD87" s="179"/>
      <c r="AE87" s="179"/>
      <c r="AF87" s="179"/>
      <c r="AG87" s="179"/>
      <c r="AH87" s="179"/>
      <c r="AI87" s="179"/>
      <c r="AJ87" s="179"/>
      <c r="AK87" s="179"/>
      <c r="AL87" s="179"/>
      <c r="AM87" s="179"/>
      <c r="AN87" s="179"/>
      <c r="AO87" s="179"/>
      <c r="AP87" s="179"/>
      <c r="AQ87" s="179"/>
      <c r="AR87" s="179"/>
      <c r="AS87" s="179"/>
      <c r="AT87" s="179"/>
      <c r="AU87" s="179"/>
      <c r="AV87" s="179"/>
      <c r="AW87" s="179"/>
      <c r="AX87" s="179"/>
      <c r="AY87" s="179"/>
      <c r="AZ87" s="179"/>
      <c r="BA87" s="179"/>
      <c r="BB87" s="179"/>
      <c r="BC87" s="179"/>
      <c r="BD87" s="179"/>
      <c r="BE87" s="179"/>
      <c r="BF87" s="179"/>
    </row>
    <row r="88" spans="1:58" ht="15.75" hidden="1" customHeight="1" outlineLevel="1">
      <c r="B88" s="581" t="s">
        <v>1629</v>
      </c>
      <c r="C88" s="581" t="s">
        <v>613</v>
      </c>
      <c r="D88" s="379"/>
      <c r="E88" s="379"/>
      <c r="F88" s="379"/>
      <c r="G88" s="190"/>
      <c r="H88" s="190"/>
      <c r="I88" s="197"/>
      <c r="J88" s="197"/>
      <c r="K88" s="201">
        <v>8218</v>
      </c>
      <c r="L88" s="201">
        <f t="shared" ref="L88:U88" si="27">L81*L37*L60+L38*L61*L81</f>
        <v>5916.9600000000009</v>
      </c>
      <c r="M88" s="201">
        <f t="shared" si="27"/>
        <v>7560.56</v>
      </c>
      <c r="N88" s="201">
        <f t="shared" si="27"/>
        <v>7560.56</v>
      </c>
      <c r="O88" s="201">
        <f t="shared" si="27"/>
        <v>0</v>
      </c>
      <c r="P88" s="1333">
        <f t="shared" si="27"/>
        <v>3287.2000000000003</v>
      </c>
      <c r="Q88" s="1480">
        <f t="shared" si="27"/>
        <v>0</v>
      </c>
      <c r="R88" s="1385">
        <f>R81*R37*R60+R38*R61*R81</f>
        <v>0</v>
      </c>
      <c r="S88" s="1385">
        <f>S81*S37*S60+S38*S61*S81</f>
        <v>0</v>
      </c>
      <c r="T88" s="1385"/>
      <c r="U88" s="201">
        <f t="shared" si="27"/>
        <v>0</v>
      </c>
      <c r="V88" s="201">
        <f>V81*V37*V60+V38*V61*V81</f>
        <v>6574.4000000000005</v>
      </c>
      <c r="W88" s="201">
        <f>W81*W37*W60+W38*W61*W81</f>
        <v>0</v>
      </c>
      <c r="X88" s="201">
        <f>X81*X37*X60+X38*X61*X81</f>
        <v>0</v>
      </c>
      <c r="Y88" s="201">
        <f>Y81*Y37*Y60+Y38*Y61*Y81</f>
        <v>6574.4000000000005</v>
      </c>
      <c r="Z88" s="179"/>
      <c r="AA88" s="179"/>
      <c r="AB88" s="179"/>
      <c r="AC88" s="179"/>
      <c r="AD88" s="179"/>
      <c r="AE88" s="179"/>
      <c r="AF88" s="179"/>
      <c r="AG88" s="179"/>
      <c r="AH88" s="179"/>
      <c r="AI88" s="179"/>
      <c r="AJ88" s="179"/>
      <c r="AK88" s="179"/>
      <c r="AL88" s="179"/>
      <c r="AM88" s="179"/>
      <c r="AN88" s="179"/>
      <c r="AO88" s="179"/>
      <c r="AP88" s="179"/>
      <c r="AQ88" s="179"/>
      <c r="AR88" s="179"/>
      <c r="AS88" s="179"/>
      <c r="AT88" s="179"/>
      <c r="AU88" s="179"/>
      <c r="AV88" s="179"/>
      <c r="AW88" s="179"/>
      <c r="AX88" s="179"/>
      <c r="AY88" s="179"/>
      <c r="AZ88" s="179"/>
      <c r="BA88" s="179"/>
      <c r="BB88" s="179"/>
      <c r="BC88" s="179"/>
      <c r="BD88" s="179"/>
      <c r="BE88" s="179"/>
      <c r="BF88" s="179"/>
    </row>
    <row r="89" spans="1:58" ht="15.75" hidden="1" customHeight="1" outlineLevel="1">
      <c r="B89" s="581" t="s">
        <v>1630</v>
      </c>
      <c r="C89" s="581" t="s">
        <v>615</v>
      </c>
      <c r="D89" s="185"/>
      <c r="E89" s="185"/>
      <c r="F89" s="185"/>
      <c r="G89" s="190"/>
      <c r="H89" s="190"/>
      <c r="I89" s="197"/>
      <c r="J89" s="197"/>
      <c r="K89" s="201">
        <v>30743.279999999999</v>
      </c>
      <c r="L89" s="201">
        <f t="shared" ref="L89:U89" si="28">L75*L80</f>
        <v>34262.399999999994</v>
      </c>
      <c r="M89" s="201">
        <f t="shared" si="28"/>
        <v>34842.383999999991</v>
      </c>
      <c r="N89" s="201">
        <f t="shared" si="28"/>
        <v>38106</v>
      </c>
      <c r="O89" s="201">
        <f t="shared" si="28"/>
        <v>36842.399999999994</v>
      </c>
      <c r="P89" s="1333">
        <f t="shared" si="28"/>
        <v>34365.599999999999</v>
      </c>
      <c r="Q89" s="1480">
        <f t="shared" si="28"/>
        <v>38106</v>
      </c>
      <c r="R89" s="1974">
        <f>R75*R80</f>
        <v>19833.912</v>
      </c>
      <c r="S89" s="1385">
        <f>S75*S80</f>
        <v>19053</v>
      </c>
      <c r="T89" s="1385"/>
      <c r="U89" s="201">
        <f t="shared" si="28"/>
        <v>36223.200000000004</v>
      </c>
      <c r="V89" s="201">
        <f>V75*V80</f>
        <v>36429.599999999999</v>
      </c>
      <c r="W89" s="201">
        <f>W75*W80</f>
        <v>37668</v>
      </c>
      <c r="X89" s="201">
        <f>X75*X80</f>
        <v>36223.200000000004</v>
      </c>
      <c r="Y89" s="201">
        <f>Y75*Y80</f>
        <v>37668</v>
      </c>
      <c r="Z89" s="179"/>
      <c r="AA89" s="179"/>
      <c r="AB89" s="179"/>
      <c r="AC89" s="179"/>
      <c r="AD89" s="179"/>
      <c r="AE89" s="179"/>
      <c r="AF89" s="179"/>
      <c r="AG89" s="179"/>
      <c r="AH89" s="179"/>
      <c r="AI89" s="179"/>
      <c r="AJ89" s="179"/>
      <c r="AK89" s="179"/>
      <c r="AL89" s="179"/>
      <c r="AM89" s="179"/>
      <c r="AN89" s="179"/>
      <c r="AO89" s="179"/>
      <c r="AP89" s="179"/>
      <c r="AQ89" s="179"/>
      <c r="AR89" s="179"/>
      <c r="AS89" s="179"/>
      <c r="AT89" s="179"/>
      <c r="AU89" s="179"/>
      <c r="AV89" s="179"/>
      <c r="AW89" s="179"/>
      <c r="AX89" s="179"/>
      <c r="AY89" s="179"/>
      <c r="AZ89" s="179"/>
      <c r="BA89" s="179"/>
      <c r="BB89" s="179"/>
      <c r="BC89" s="179"/>
      <c r="BD89" s="179"/>
      <c r="BE89" s="179"/>
      <c r="BF89" s="179"/>
    </row>
    <row r="90" spans="1:58" ht="15.75" hidden="1" customHeight="1" outlineLevel="1">
      <c r="B90" s="581" t="s">
        <v>1631</v>
      </c>
      <c r="C90" s="581" t="s">
        <v>616</v>
      </c>
      <c r="D90" s="185"/>
      <c r="E90" s="185"/>
      <c r="F90" s="185"/>
      <c r="G90" s="194"/>
      <c r="H90" s="194"/>
      <c r="I90" s="199"/>
      <c r="J90" s="199"/>
      <c r="K90" s="201"/>
      <c r="L90" s="201">
        <f t="shared" ref="L90:U90" si="29">L41*L64*L82+L42*L65*L82</f>
        <v>1316</v>
      </c>
      <c r="M90" s="201">
        <f t="shared" si="29"/>
        <v>1316</v>
      </c>
      <c r="N90" s="201">
        <f t="shared" si="29"/>
        <v>0</v>
      </c>
      <c r="O90" s="201">
        <f t="shared" si="29"/>
        <v>1316</v>
      </c>
      <c r="P90" s="1333">
        <f t="shared" si="29"/>
        <v>1316</v>
      </c>
      <c r="Q90" s="1480">
        <f t="shared" si="29"/>
        <v>0</v>
      </c>
      <c r="R90" s="1385">
        <f>R41*R64*R82+R42*R65*R82</f>
        <v>0</v>
      </c>
      <c r="S90" s="1385">
        <f>S41*S64*S82+S42*S65*S82</f>
        <v>0</v>
      </c>
      <c r="T90" s="1385"/>
      <c r="U90" s="201">
        <f t="shared" si="29"/>
        <v>1316</v>
      </c>
      <c r="V90" s="201">
        <f>V41*V64*V82+V42*V65*V82</f>
        <v>1316</v>
      </c>
      <c r="W90" s="201">
        <f>W41*W64*W82+W42*W65*W82</f>
        <v>0</v>
      </c>
      <c r="X90" s="201">
        <f>X41*X64*X82+X42*X65*X82</f>
        <v>1316</v>
      </c>
      <c r="Y90" s="201">
        <f>Y41*Y64*Y82+Y42*Y65*Y82</f>
        <v>0</v>
      </c>
      <c r="Z90" s="179"/>
      <c r="AA90" s="179"/>
      <c r="AB90" s="179"/>
      <c r="AC90" s="179"/>
      <c r="AD90" s="179"/>
      <c r="AE90" s="179"/>
      <c r="AF90" s="179"/>
      <c r="AG90" s="179"/>
      <c r="AH90" s="179"/>
      <c r="AI90" s="179"/>
      <c r="AJ90" s="179"/>
      <c r="AK90" s="179"/>
      <c r="AL90" s="179"/>
      <c r="AM90" s="179"/>
      <c r="AN90" s="179"/>
      <c r="AO90" s="179"/>
      <c r="AP90" s="179"/>
      <c r="AQ90" s="179"/>
      <c r="AR90" s="179"/>
      <c r="AS90" s="179"/>
      <c r="AT90" s="179"/>
      <c r="AU90" s="179"/>
      <c r="AV90" s="179"/>
      <c r="AW90" s="179"/>
      <c r="AX90" s="179"/>
      <c r="AY90" s="179"/>
      <c r="AZ90" s="179"/>
      <c r="BA90" s="179"/>
      <c r="BB90" s="179"/>
      <c r="BC90" s="179"/>
      <c r="BD90" s="179"/>
      <c r="BE90" s="179"/>
      <c r="BF90" s="179"/>
    </row>
    <row r="91" spans="1:58" ht="15.75" hidden="1" customHeight="1" outlineLevel="1">
      <c r="B91" s="581" t="s">
        <v>1632</v>
      </c>
      <c r="C91" s="581" t="s">
        <v>600</v>
      </c>
      <c r="D91" s="185"/>
      <c r="E91" s="185"/>
      <c r="F91" s="185"/>
      <c r="G91" s="194"/>
      <c r="H91" s="194"/>
      <c r="I91" s="199"/>
      <c r="J91" s="199"/>
      <c r="K91" s="201">
        <v>102000</v>
      </c>
      <c r="L91" s="201">
        <f>8970*12</f>
        <v>107640</v>
      </c>
      <c r="M91" s="201">
        <v>107640</v>
      </c>
      <c r="N91" s="201">
        <f>(110325+2829)</f>
        <v>113154</v>
      </c>
      <c r="O91" s="201">
        <v>94935</v>
      </c>
      <c r="P91" s="1333">
        <v>115500</v>
      </c>
      <c r="Q91" s="1480">
        <v>109583</v>
      </c>
      <c r="R91" s="1974">
        <f>12*24*30*6</f>
        <v>51840</v>
      </c>
      <c r="S91" s="1385">
        <v>109583</v>
      </c>
      <c r="T91" s="1385"/>
      <c r="U91" s="201">
        <f>Q91</f>
        <v>109583</v>
      </c>
      <c r="V91" s="201">
        <f>U91</f>
        <v>109583</v>
      </c>
      <c r="W91" s="201">
        <f>V91</f>
        <v>109583</v>
      </c>
      <c r="X91" s="201">
        <f>W91</f>
        <v>109583</v>
      </c>
      <c r="Y91" s="201">
        <f>X91</f>
        <v>109583</v>
      </c>
      <c r="Z91" s="179"/>
      <c r="AA91" s="179"/>
      <c r="AB91" s="179"/>
      <c r="AC91" s="179"/>
      <c r="AD91" s="179"/>
      <c r="AE91" s="179"/>
      <c r="AF91" s="179"/>
      <c r="AG91" s="179"/>
      <c r="AH91" s="179"/>
      <c r="AI91" s="179"/>
      <c r="AJ91" s="179"/>
      <c r="AK91" s="179"/>
      <c r="AL91" s="179"/>
      <c r="AM91" s="179"/>
      <c r="AN91" s="179"/>
      <c r="AO91" s="179"/>
      <c r="AP91" s="179"/>
      <c r="AQ91" s="179"/>
      <c r="AR91" s="179"/>
      <c r="AS91" s="179"/>
      <c r="AT91" s="179"/>
      <c r="AU91" s="179"/>
      <c r="AV91" s="179"/>
      <c r="AW91" s="179"/>
      <c r="AX91" s="179"/>
      <c r="AY91" s="179"/>
      <c r="AZ91" s="179"/>
      <c r="BA91" s="179"/>
      <c r="BB91" s="179"/>
      <c r="BC91" s="179"/>
      <c r="BD91" s="179"/>
      <c r="BE91" s="179"/>
      <c r="BF91" s="179"/>
    </row>
    <row r="92" spans="1:58" ht="15.75" hidden="1" customHeight="1" outlineLevel="1">
      <c r="B92" s="1975" t="s">
        <v>2054</v>
      </c>
      <c r="C92" s="581"/>
      <c r="D92" s="185"/>
      <c r="E92" s="185"/>
      <c r="F92" s="185"/>
      <c r="G92" s="194"/>
      <c r="H92" s="194"/>
      <c r="I92" s="199"/>
      <c r="J92" s="199"/>
      <c r="K92" s="201"/>
      <c r="L92" s="201"/>
      <c r="M92" s="201"/>
      <c r="N92" s="201"/>
      <c r="O92" s="201"/>
      <c r="P92" s="1333"/>
      <c r="Q92" s="1480"/>
      <c r="R92" s="1974">
        <f>SUM(R85:R91)*(1/(1-0.0082)-1)</f>
        <v>3672.8956830005527</v>
      </c>
      <c r="S92" s="1385"/>
      <c r="T92" s="1385"/>
      <c r="U92" s="201"/>
      <c r="V92" s="201"/>
      <c r="W92" s="201"/>
      <c r="X92" s="201"/>
      <c r="Y92" s="201"/>
      <c r="Z92" s="179"/>
      <c r="AA92" s="179"/>
      <c r="AB92" s="179"/>
      <c r="AC92" s="179"/>
      <c r="AD92" s="179"/>
      <c r="AE92" s="179"/>
      <c r="AF92" s="179"/>
      <c r="AG92" s="179"/>
      <c r="AH92" s="179"/>
      <c r="AI92" s="179"/>
      <c r="AJ92" s="179"/>
      <c r="AK92" s="179"/>
      <c r="AL92" s="179"/>
      <c r="AM92" s="179"/>
      <c r="AN92" s="179"/>
      <c r="AO92" s="179"/>
      <c r="AP92" s="179"/>
      <c r="AQ92" s="179"/>
      <c r="AR92" s="179"/>
      <c r="AS92" s="179"/>
      <c r="AT92" s="179"/>
      <c r="AU92" s="179"/>
      <c r="AV92" s="179"/>
      <c r="AW92" s="179"/>
      <c r="AX92" s="179"/>
      <c r="AY92" s="179"/>
      <c r="AZ92" s="179"/>
      <c r="BA92" s="179"/>
      <c r="BB92" s="179"/>
      <c r="BC92" s="179"/>
      <c r="BD92" s="179"/>
      <c r="BE92" s="179"/>
      <c r="BF92" s="179"/>
    </row>
    <row r="93" spans="1:58" ht="15.75" hidden="1" customHeight="1" outlineLevel="1">
      <c r="B93" s="581" t="s">
        <v>1633</v>
      </c>
      <c r="C93" s="581" t="s">
        <v>571</v>
      </c>
      <c r="D93" s="379"/>
      <c r="E93" s="379"/>
      <c r="F93" s="379"/>
      <c r="G93" s="379"/>
      <c r="H93" s="185"/>
      <c r="I93" s="202"/>
      <c r="J93" s="202"/>
      <c r="K93" s="201">
        <v>598621.28</v>
      </c>
      <c r="L93" s="201">
        <f t="shared" ref="L93:Q93" si="30">SUM(L85:L91)</f>
        <v>682014.56</v>
      </c>
      <c r="M93" s="201">
        <f>SUM(M85:M91)</f>
        <v>644706.37600000005</v>
      </c>
      <c r="N93" s="201">
        <f>SUM(N85:N91)</f>
        <v>656642.50399999996</v>
      </c>
      <c r="O93" s="201">
        <f>SUM(O85:O91)</f>
        <v>550492.48</v>
      </c>
      <c r="P93" s="1333">
        <f t="shared" si="30"/>
        <v>800083.72799999989</v>
      </c>
      <c r="Q93" s="1480">
        <f t="shared" si="30"/>
        <v>798890.09199999995</v>
      </c>
      <c r="R93" s="1974">
        <f>SUM(R85:R92)</f>
        <v>447914.10768300056</v>
      </c>
      <c r="S93" s="1385">
        <f t="shared" ref="S93:Y93" si="31">SUM(S85:S91)</f>
        <v>442965.598</v>
      </c>
      <c r="T93" s="1385"/>
      <c r="U93" s="201">
        <f t="shared" si="31"/>
        <v>820865.18800000008</v>
      </c>
      <c r="V93" s="201">
        <f t="shared" si="31"/>
        <v>801386.14800000004</v>
      </c>
      <c r="W93" s="201">
        <f t="shared" si="31"/>
        <v>820993.98800000013</v>
      </c>
      <c r="X93" s="201">
        <f t="shared" si="31"/>
        <v>820865.18800000008</v>
      </c>
      <c r="Y93" s="201">
        <f t="shared" si="31"/>
        <v>752937.55599999998</v>
      </c>
      <c r="Z93" s="179"/>
      <c r="AA93" s="179"/>
      <c r="AB93" s="179"/>
      <c r="AC93" s="179"/>
      <c r="AD93" s="179"/>
      <c r="AE93" s="179"/>
      <c r="AF93" s="179"/>
      <c r="AG93" s="179"/>
      <c r="AH93" s="179"/>
      <c r="AI93" s="179"/>
      <c r="AJ93" s="179"/>
      <c r="AK93" s="179"/>
      <c r="AL93" s="179"/>
      <c r="AM93" s="179"/>
      <c r="AN93" s="179"/>
      <c r="AO93" s="179"/>
      <c r="AP93" s="179"/>
      <c r="AQ93" s="179"/>
      <c r="AR93" s="179"/>
      <c r="AS93" s="179"/>
      <c r="AT93" s="179"/>
      <c r="AU93" s="179"/>
      <c r="AV93" s="179"/>
      <c r="AW93" s="179"/>
      <c r="AX93" s="179"/>
      <c r="AY93" s="179"/>
      <c r="AZ93" s="179"/>
      <c r="BA93" s="179"/>
      <c r="BB93" s="179"/>
      <c r="BC93" s="179"/>
      <c r="BD93" s="179"/>
      <c r="BE93" s="179"/>
      <c r="BF93" s="179"/>
    </row>
    <row r="94" spans="1:58" ht="15.75" hidden="1" customHeight="1" outlineLevel="1" thickBot="1">
      <c r="B94" s="586"/>
      <c r="C94" s="586"/>
      <c r="D94" s="587"/>
      <c r="E94" s="587"/>
      <c r="F94" s="587"/>
      <c r="G94" s="587"/>
      <c r="H94" s="203"/>
      <c r="I94" s="204"/>
      <c r="J94" s="204"/>
      <c r="K94" s="204"/>
      <c r="L94" s="204"/>
      <c r="M94" s="204"/>
      <c r="N94" s="204"/>
      <c r="O94" s="204"/>
      <c r="P94" s="1335"/>
      <c r="Q94" s="1482"/>
      <c r="R94" s="1387"/>
      <c r="S94" s="1387"/>
      <c r="T94" s="1387"/>
      <c r="U94" s="204"/>
      <c r="V94" s="204"/>
      <c r="W94" s="204"/>
      <c r="X94" s="204"/>
      <c r="Y94" s="204"/>
      <c r="Z94" s="179"/>
      <c r="AA94" s="179"/>
      <c r="AB94" s="179"/>
      <c r="AC94" s="179"/>
      <c r="AD94" s="179"/>
      <c r="AE94" s="179"/>
      <c r="AF94" s="179"/>
      <c r="AG94" s="179"/>
      <c r="AH94" s="179"/>
      <c r="AI94" s="179"/>
      <c r="AJ94" s="179"/>
      <c r="AK94" s="179"/>
      <c r="AL94" s="179"/>
      <c r="AM94" s="179"/>
      <c r="AN94" s="179"/>
      <c r="AO94" s="179"/>
      <c r="AP94" s="179"/>
      <c r="AQ94" s="179"/>
      <c r="AR94" s="179"/>
      <c r="AS94" s="179"/>
      <c r="AT94" s="179"/>
      <c r="AU94" s="179"/>
      <c r="AV94" s="179"/>
      <c r="AW94" s="179"/>
      <c r="AX94" s="179"/>
      <c r="AY94" s="179"/>
      <c r="AZ94" s="179"/>
      <c r="BA94" s="179"/>
      <c r="BB94" s="179"/>
      <c r="BC94" s="179"/>
      <c r="BD94" s="179"/>
      <c r="BE94" s="179"/>
      <c r="BF94" s="179"/>
    </row>
    <row r="95" spans="1:58" s="168" customFormat="1" ht="15.75" hidden="1" customHeight="1" outlineLevel="1">
      <c r="A95" s="169"/>
      <c r="B95" s="590"/>
      <c r="C95" s="590"/>
      <c r="D95" s="185"/>
      <c r="E95" s="185"/>
      <c r="F95" s="185"/>
      <c r="G95" s="185"/>
      <c r="H95" s="205"/>
      <c r="I95" s="205"/>
      <c r="J95" s="205"/>
      <c r="K95" s="205"/>
      <c r="L95" s="205"/>
      <c r="M95" s="185"/>
      <c r="N95" s="577"/>
      <c r="O95" s="577"/>
      <c r="P95" s="577"/>
      <c r="Q95" s="1466"/>
      <c r="R95" s="1371"/>
      <c r="S95" s="1371"/>
      <c r="T95" s="1371"/>
      <c r="U95" s="577"/>
      <c r="V95" s="577"/>
      <c r="W95" s="577"/>
      <c r="X95" s="577"/>
      <c r="Y95" s="577"/>
      <c r="Z95" s="179"/>
      <c r="AA95" s="179"/>
      <c r="AB95" s="179"/>
      <c r="AC95" s="179"/>
      <c r="AD95" s="179"/>
      <c r="AE95" s="179"/>
      <c r="AF95" s="179"/>
      <c r="AG95" s="179"/>
      <c r="AH95" s="179"/>
      <c r="AI95" s="179"/>
      <c r="AJ95" s="179"/>
      <c r="AK95" s="179"/>
      <c r="AL95" s="179"/>
      <c r="AM95" s="179"/>
      <c r="AN95" s="179"/>
      <c r="AO95" s="179"/>
      <c r="AP95" s="179"/>
      <c r="AQ95" s="179"/>
      <c r="AR95" s="179"/>
      <c r="AS95" s="179"/>
      <c r="AT95" s="179"/>
      <c r="AU95" s="179"/>
      <c r="AV95" s="179"/>
      <c r="AW95" s="179"/>
      <c r="AX95" s="179"/>
      <c r="AY95" s="179"/>
      <c r="AZ95" s="179"/>
      <c r="BA95" s="179"/>
      <c r="BB95" s="179"/>
      <c r="BC95" s="179"/>
      <c r="BD95" s="179"/>
      <c r="BE95" s="179"/>
      <c r="BF95" s="179"/>
    </row>
    <row r="96" spans="1:58" s="168" customFormat="1" ht="15.75" hidden="1" customHeight="1" outlineLevel="1">
      <c r="A96" s="169"/>
      <c r="B96" s="590"/>
      <c r="C96" s="590"/>
      <c r="D96" s="185"/>
      <c r="E96" s="185"/>
      <c r="F96" s="185"/>
      <c r="G96" s="185"/>
      <c r="H96" s="205"/>
      <c r="I96" s="205"/>
      <c r="J96" s="205"/>
      <c r="K96" s="205"/>
      <c r="L96" s="205"/>
      <c r="M96" s="185"/>
      <c r="N96" s="577"/>
      <c r="O96" s="577"/>
      <c r="P96" s="577"/>
      <c r="Q96" s="1466"/>
      <c r="R96" s="1371"/>
      <c r="S96" s="1371"/>
      <c r="T96" s="1371"/>
      <c r="U96" s="577"/>
      <c r="V96" s="577"/>
      <c r="W96" s="577"/>
      <c r="X96" s="577"/>
      <c r="Y96" s="577"/>
      <c r="Z96" s="179"/>
      <c r="AA96" s="179"/>
      <c r="AB96" s="179"/>
      <c r="AC96" s="179"/>
      <c r="AD96" s="179"/>
      <c r="AE96" s="179"/>
      <c r="AF96" s="179"/>
      <c r="AG96" s="179"/>
      <c r="AH96" s="179"/>
      <c r="AI96" s="179"/>
      <c r="AJ96" s="179"/>
      <c r="AK96" s="179"/>
      <c r="AL96" s="179"/>
      <c r="AM96" s="179"/>
      <c r="AN96" s="179"/>
      <c r="AO96" s="179"/>
      <c r="AP96" s="179"/>
      <c r="AQ96" s="179"/>
      <c r="AR96" s="179"/>
      <c r="AS96" s="179"/>
      <c r="AT96" s="179"/>
      <c r="AU96" s="179"/>
      <c r="AV96" s="179"/>
      <c r="AW96" s="179"/>
      <c r="AX96" s="179"/>
      <c r="AY96" s="179"/>
      <c r="AZ96" s="179"/>
      <c r="BA96" s="179"/>
      <c r="BB96" s="179"/>
      <c r="BC96" s="179"/>
      <c r="BD96" s="179"/>
      <c r="BE96" s="179"/>
      <c r="BF96" s="179"/>
    </row>
    <row r="97" spans="1:58" s="168" customFormat="1" ht="15.75" hidden="1" customHeight="1" outlineLevel="1">
      <c r="A97" s="169"/>
      <c r="B97" s="590"/>
      <c r="C97" s="590"/>
      <c r="D97" s="185"/>
      <c r="E97" s="185"/>
      <c r="F97" s="185"/>
      <c r="G97" s="185"/>
      <c r="H97" s="205"/>
      <c r="I97" s="205"/>
      <c r="J97" s="205"/>
      <c r="K97" s="205"/>
      <c r="L97" s="205"/>
      <c r="M97" s="185"/>
      <c r="N97" s="577"/>
      <c r="O97" s="577"/>
      <c r="P97" s="577"/>
      <c r="Q97" s="1466"/>
      <c r="R97" s="1371"/>
      <c r="S97" s="1371"/>
      <c r="T97" s="1371"/>
      <c r="U97" s="577"/>
      <c r="V97" s="577"/>
      <c r="W97" s="577"/>
      <c r="X97" s="577"/>
      <c r="Y97" s="577"/>
      <c r="Z97" s="179"/>
      <c r="AA97" s="179"/>
      <c r="AB97" s="179"/>
      <c r="AC97" s="179"/>
      <c r="AD97" s="179"/>
      <c r="AE97" s="179"/>
      <c r="AF97" s="179"/>
      <c r="AG97" s="179"/>
      <c r="AH97" s="179"/>
      <c r="AI97" s="179"/>
      <c r="AJ97" s="179"/>
      <c r="AK97" s="179"/>
      <c r="AL97" s="179"/>
      <c r="AM97" s="179"/>
      <c r="AN97" s="179"/>
      <c r="AO97" s="179"/>
      <c r="AP97" s="179"/>
      <c r="AQ97" s="179"/>
      <c r="AR97" s="179"/>
      <c r="AS97" s="179"/>
      <c r="AT97" s="179"/>
      <c r="AU97" s="179"/>
      <c r="AV97" s="179"/>
      <c r="AW97" s="179"/>
      <c r="AX97" s="179"/>
      <c r="AY97" s="179"/>
      <c r="AZ97" s="179"/>
      <c r="BA97" s="179"/>
      <c r="BB97" s="179"/>
      <c r="BC97" s="179"/>
      <c r="BD97" s="179"/>
      <c r="BE97" s="179"/>
      <c r="BF97" s="179"/>
    </row>
    <row r="98" spans="1:58" s="168" customFormat="1" ht="15.75" hidden="1" customHeight="1" outlineLevel="1">
      <c r="A98" s="169"/>
      <c r="B98" s="590"/>
      <c r="C98" s="590"/>
      <c r="D98" s="185"/>
      <c r="E98" s="185"/>
      <c r="F98" s="185"/>
      <c r="G98" s="185"/>
      <c r="H98" s="205"/>
      <c r="I98" s="205"/>
      <c r="J98" s="205"/>
      <c r="K98" s="205"/>
      <c r="L98" s="205"/>
      <c r="M98" s="379"/>
      <c r="N98" s="577"/>
      <c r="O98" s="577"/>
      <c r="P98" s="577"/>
      <c r="Q98" s="1466"/>
      <c r="R98" s="1371"/>
      <c r="S98" s="1371"/>
      <c r="T98" s="1371"/>
      <c r="U98" s="577"/>
      <c r="V98" s="577"/>
      <c r="W98" s="577"/>
      <c r="X98" s="577"/>
      <c r="Y98" s="577"/>
      <c r="Z98" s="179"/>
      <c r="AA98" s="179"/>
      <c r="AB98" s="179"/>
      <c r="AC98" s="179"/>
      <c r="AD98" s="179"/>
      <c r="AE98" s="179"/>
      <c r="AF98" s="179"/>
      <c r="AG98" s="179"/>
      <c r="AH98" s="179"/>
      <c r="AI98" s="179"/>
      <c r="AJ98" s="179"/>
      <c r="AK98" s="179"/>
      <c r="AL98" s="179"/>
      <c r="AM98" s="179"/>
      <c r="AN98" s="179"/>
      <c r="AO98" s="179"/>
      <c r="AP98" s="179"/>
      <c r="AQ98" s="179"/>
      <c r="AR98" s="179"/>
      <c r="AS98" s="179"/>
      <c r="AT98" s="179"/>
      <c r="AU98" s="179"/>
      <c r="AV98" s="179"/>
      <c r="AW98" s="179"/>
      <c r="AX98" s="179"/>
      <c r="AY98" s="179"/>
      <c r="AZ98" s="179"/>
      <c r="BA98" s="179"/>
      <c r="BB98" s="179"/>
      <c r="BC98" s="179"/>
      <c r="BD98" s="179"/>
      <c r="BE98" s="179"/>
      <c r="BF98" s="179"/>
    </row>
    <row r="99" spans="1:58" s="168" customFormat="1" ht="27" hidden="1" outlineLevel="1">
      <c r="A99" s="169"/>
      <c r="B99" s="297" t="s">
        <v>1634</v>
      </c>
      <c r="C99" s="297" t="s">
        <v>13</v>
      </c>
      <c r="D99" s="169"/>
      <c r="E99" s="169"/>
      <c r="F99" s="169"/>
      <c r="G99" s="169"/>
      <c r="H99" s="169"/>
      <c r="I99" s="169"/>
      <c r="J99" s="169"/>
      <c r="K99" s="169"/>
      <c r="L99" s="169"/>
      <c r="M99" s="185"/>
      <c r="N99" s="577"/>
      <c r="O99" s="577"/>
      <c r="P99" s="577"/>
      <c r="Q99" s="1466"/>
      <c r="R99" s="1371"/>
      <c r="S99" s="1371"/>
      <c r="T99" s="1371"/>
      <c r="U99" s="577"/>
      <c r="V99" s="577"/>
      <c r="W99" s="577"/>
      <c r="X99" s="577"/>
      <c r="Y99" s="577"/>
      <c r="Z99" s="179"/>
      <c r="AA99" s="179"/>
      <c r="AB99" s="179"/>
      <c r="AC99" s="179"/>
      <c r="AD99" s="179"/>
      <c r="AE99" s="179"/>
      <c r="AF99" s="179"/>
      <c r="AG99" s="179"/>
      <c r="AH99" s="179"/>
      <c r="AI99" s="179"/>
      <c r="AJ99" s="179"/>
      <c r="AK99" s="179"/>
      <c r="AL99" s="179"/>
      <c r="AM99" s="179"/>
      <c r="AN99" s="179"/>
      <c r="AO99" s="179"/>
      <c r="AP99" s="179"/>
      <c r="AQ99" s="179"/>
      <c r="AR99" s="179"/>
      <c r="AS99" s="179"/>
      <c r="AT99" s="179"/>
      <c r="AU99" s="179"/>
      <c r="AV99" s="179"/>
      <c r="AW99" s="179"/>
      <c r="AX99" s="179"/>
      <c r="AY99" s="179"/>
      <c r="AZ99" s="179"/>
      <c r="BA99" s="179"/>
      <c r="BB99" s="179"/>
      <c r="BC99" s="179"/>
      <c r="BD99" s="179"/>
      <c r="BE99" s="179"/>
      <c r="BF99" s="179"/>
    </row>
    <row r="100" spans="1:58" s="168" customFormat="1" ht="15.75" hidden="1" customHeight="1" outlineLevel="1">
      <c r="A100" s="169"/>
      <c r="B100" s="299"/>
      <c r="C100" s="299"/>
      <c r="D100" s="170"/>
      <c r="E100" s="170"/>
      <c r="F100" s="170"/>
      <c r="G100" s="170"/>
      <c r="H100" s="170"/>
      <c r="I100" s="170"/>
      <c r="J100" s="170"/>
      <c r="K100" s="170"/>
      <c r="L100" s="170"/>
      <c r="M100" s="170"/>
      <c r="N100" s="170"/>
      <c r="O100" s="170"/>
      <c r="P100" s="170"/>
      <c r="Q100" s="1471"/>
      <c r="R100" s="1376"/>
      <c r="S100" s="1376"/>
      <c r="T100" s="1376"/>
      <c r="U100" s="170"/>
      <c r="V100" s="170"/>
      <c r="W100" s="170"/>
      <c r="X100" s="170"/>
      <c r="Y100" s="170"/>
      <c r="Z100" s="179"/>
      <c r="AA100" s="179"/>
      <c r="AB100" s="179"/>
      <c r="AC100" s="179"/>
      <c r="AD100" s="179"/>
      <c r="AE100" s="179"/>
      <c r="AF100" s="179"/>
      <c r="AG100" s="179"/>
      <c r="AH100" s="179"/>
      <c r="AI100" s="179"/>
      <c r="AJ100" s="179"/>
      <c r="AK100" s="179"/>
      <c r="AL100" s="179"/>
      <c r="AM100" s="179"/>
      <c r="AN100" s="179"/>
      <c r="AO100" s="179"/>
      <c r="AP100" s="179"/>
      <c r="AQ100" s="179"/>
      <c r="AR100" s="179"/>
      <c r="AS100" s="179"/>
      <c r="AT100" s="179"/>
      <c r="AU100" s="179"/>
      <c r="AV100" s="179"/>
      <c r="AW100" s="179"/>
      <c r="AX100" s="179"/>
      <c r="AY100" s="179"/>
      <c r="AZ100" s="179"/>
      <c r="BA100" s="179"/>
      <c r="BB100" s="179"/>
      <c r="BC100" s="179"/>
      <c r="BD100" s="179"/>
      <c r="BE100" s="179"/>
      <c r="BF100" s="179"/>
    </row>
    <row r="101" spans="1:58" s="168" customFormat="1" ht="15.75" hidden="1" customHeight="1" outlineLevel="1">
      <c r="A101" s="169"/>
      <c r="B101" s="295"/>
      <c r="C101" s="295"/>
      <c r="D101" s="169"/>
      <c r="E101" s="169"/>
      <c r="F101" s="169"/>
      <c r="G101" s="169"/>
      <c r="H101" s="171"/>
      <c r="I101" s="171"/>
      <c r="J101" s="171"/>
      <c r="K101" s="171"/>
      <c r="L101" s="171"/>
      <c r="M101" s="171"/>
      <c r="N101" s="591"/>
      <c r="O101" s="171"/>
      <c r="P101" s="171"/>
      <c r="Q101" s="1483"/>
      <c r="R101" s="1388"/>
      <c r="S101" s="1388"/>
      <c r="T101" s="1388"/>
      <c r="U101" s="171"/>
      <c r="V101" s="171"/>
      <c r="W101" s="171"/>
      <c r="X101" s="171"/>
      <c r="Y101" s="171"/>
      <c r="Z101" s="179"/>
      <c r="AA101" s="179"/>
      <c r="AB101" s="179"/>
      <c r="AC101" s="179"/>
      <c r="AD101" s="179"/>
      <c r="AE101" s="179"/>
      <c r="AF101" s="179"/>
      <c r="AG101" s="179"/>
      <c r="AH101" s="179"/>
      <c r="AI101" s="179"/>
      <c r="AJ101" s="179"/>
      <c r="AK101" s="179"/>
      <c r="AL101" s="179"/>
      <c r="AM101" s="179"/>
      <c r="AN101" s="179"/>
      <c r="AO101" s="179"/>
      <c r="AP101" s="179"/>
      <c r="AQ101" s="179"/>
      <c r="AR101" s="179"/>
      <c r="AS101" s="179"/>
      <c r="AT101" s="179"/>
      <c r="AU101" s="179"/>
      <c r="AV101" s="179"/>
      <c r="AW101" s="179"/>
      <c r="AX101" s="179"/>
      <c r="AY101" s="179"/>
      <c r="AZ101" s="179"/>
      <c r="BA101" s="179"/>
      <c r="BB101" s="179"/>
      <c r="BC101" s="179"/>
      <c r="BD101" s="179"/>
      <c r="BE101" s="179"/>
      <c r="BF101" s="179"/>
    </row>
    <row r="102" spans="1:58" s="168" customFormat="1" ht="15.75" hidden="1" customHeight="1" outlineLevel="1">
      <c r="A102" s="169"/>
      <c r="B102" s="302" t="s">
        <v>1635</v>
      </c>
      <c r="C102" s="302" t="s">
        <v>14</v>
      </c>
      <c r="D102" s="303"/>
      <c r="E102" s="303"/>
      <c r="F102" s="303"/>
      <c r="G102" s="303"/>
      <c r="H102" s="172"/>
      <c r="I102" s="172"/>
      <c r="J102" s="172"/>
      <c r="K102" s="172"/>
      <c r="L102" s="173"/>
      <c r="M102" s="173"/>
      <c r="N102" s="173"/>
      <c r="O102" s="173"/>
      <c r="P102" s="173"/>
      <c r="Q102" s="1472"/>
      <c r="R102" s="1377"/>
      <c r="S102" s="1377"/>
      <c r="T102" s="1377"/>
      <c r="U102" s="173"/>
      <c r="V102" s="173"/>
      <c r="W102" s="173"/>
      <c r="X102" s="173"/>
      <c r="Y102" s="173"/>
      <c r="Z102" s="179"/>
      <c r="AA102" s="179"/>
      <c r="AB102" s="179"/>
      <c r="AC102" s="179"/>
      <c r="AD102" s="179"/>
      <c r="AE102" s="179"/>
      <c r="AF102" s="179"/>
      <c r="AG102" s="179"/>
      <c r="AH102" s="179"/>
      <c r="AI102" s="179"/>
      <c r="AJ102" s="179"/>
      <c r="AK102" s="179"/>
      <c r="AL102" s="179"/>
      <c r="AM102" s="179"/>
      <c r="AN102" s="179"/>
      <c r="AO102" s="179"/>
      <c r="AP102" s="179"/>
      <c r="AQ102" s="179"/>
      <c r="AR102" s="179"/>
      <c r="AS102" s="179"/>
      <c r="AT102" s="179"/>
      <c r="AU102" s="179"/>
      <c r="AV102" s="179"/>
      <c r="AW102" s="179"/>
      <c r="AX102" s="179"/>
      <c r="AY102" s="179"/>
      <c r="AZ102" s="179"/>
      <c r="BA102" s="179"/>
      <c r="BB102" s="179"/>
      <c r="BC102" s="179"/>
      <c r="BD102" s="179"/>
      <c r="BE102" s="179"/>
      <c r="BF102" s="179"/>
    </row>
    <row r="103" spans="1:58" s="168" customFormat="1" ht="15.75" hidden="1" customHeight="1" outlineLevel="1">
      <c r="A103" s="169"/>
      <c r="B103" s="603"/>
      <c r="C103" s="603"/>
      <c r="D103" s="233"/>
      <c r="E103" s="233"/>
      <c r="F103" s="233"/>
      <c r="G103" s="603"/>
      <c r="H103" s="603"/>
      <c r="I103" s="174">
        <v>0</v>
      </c>
      <c r="J103" s="174">
        <v>1</v>
      </c>
      <c r="K103" s="174">
        <v>2</v>
      </c>
      <c r="L103" s="174">
        <f t="shared" ref="L103:W103" si="32">K103+1</f>
        <v>3</v>
      </c>
      <c r="M103" s="174">
        <f t="shared" si="32"/>
        <v>4</v>
      </c>
      <c r="N103" s="174">
        <f t="shared" si="32"/>
        <v>5</v>
      </c>
      <c r="O103" s="174">
        <f t="shared" si="32"/>
        <v>6</v>
      </c>
      <c r="P103" s="174">
        <f t="shared" si="32"/>
        <v>7</v>
      </c>
      <c r="Q103" s="1473">
        <f t="shared" si="32"/>
        <v>8</v>
      </c>
      <c r="R103" s="1367" t="s">
        <v>1993</v>
      </c>
      <c r="S103" s="1367" t="s">
        <v>1994</v>
      </c>
      <c r="T103" s="1378"/>
      <c r="U103" s="174">
        <f>Q103+1</f>
        <v>9</v>
      </c>
      <c r="V103" s="174">
        <f t="shared" si="32"/>
        <v>10</v>
      </c>
      <c r="W103" s="174">
        <f t="shared" si="32"/>
        <v>11</v>
      </c>
      <c r="X103" s="174">
        <f>W103+1</f>
        <v>12</v>
      </c>
      <c r="Y103" s="174">
        <f>X103+1</f>
        <v>13</v>
      </c>
      <c r="Z103" s="179"/>
      <c r="AA103" s="179"/>
      <c r="AB103" s="179"/>
      <c r="AC103" s="179"/>
      <c r="AD103" s="179"/>
      <c r="AE103" s="179"/>
      <c r="AF103" s="179"/>
      <c r="AG103" s="179"/>
      <c r="AH103" s="179"/>
      <c r="AI103" s="179"/>
      <c r="AJ103" s="179"/>
      <c r="AK103" s="179"/>
      <c r="AL103" s="179"/>
      <c r="AM103" s="179"/>
      <c r="AN103" s="179"/>
      <c r="AO103" s="179"/>
      <c r="AP103" s="179"/>
      <c r="AQ103" s="179"/>
      <c r="AR103" s="179"/>
      <c r="AS103" s="179"/>
      <c r="AT103" s="179"/>
      <c r="AU103" s="179"/>
      <c r="AV103" s="179"/>
      <c r="AW103" s="179"/>
      <c r="AX103" s="179"/>
      <c r="AY103" s="179"/>
      <c r="AZ103" s="179"/>
      <c r="BA103" s="179"/>
      <c r="BB103" s="179"/>
      <c r="BC103" s="179"/>
      <c r="BD103" s="179"/>
      <c r="BE103" s="179"/>
      <c r="BF103" s="179"/>
    </row>
    <row r="104" spans="1:58" s="168" customFormat="1" ht="15.75" hidden="1" customHeight="1" outlineLevel="1">
      <c r="A104" s="169"/>
      <c r="B104" s="604"/>
      <c r="C104" s="604"/>
      <c r="D104" s="234"/>
      <c r="E104" s="234"/>
      <c r="F104" s="234"/>
      <c r="G104" s="604"/>
      <c r="H104" s="604"/>
      <c r="I104" s="176"/>
      <c r="J104" s="176"/>
      <c r="K104" s="176"/>
      <c r="L104" s="176"/>
      <c r="M104" s="176"/>
      <c r="N104" s="176"/>
      <c r="O104" s="176"/>
      <c r="P104" s="176"/>
      <c r="Q104" s="1464"/>
      <c r="R104" s="1369"/>
      <c r="S104" s="1369"/>
      <c r="T104" s="1368"/>
      <c r="U104" s="176"/>
      <c r="V104" s="176"/>
      <c r="W104" s="176"/>
      <c r="X104" s="176"/>
      <c r="Y104" s="176"/>
      <c r="Z104" s="179"/>
      <c r="AA104" s="179"/>
      <c r="AB104" s="179"/>
      <c r="AC104" s="179"/>
      <c r="AD104" s="179"/>
      <c r="AE104" s="179"/>
      <c r="AF104" s="179"/>
      <c r="AG104" s="179"/>
      <c r="AH104" s="179"/>
      <c r="AI104" s="179"/>
      <c r="AJ104" s="179"/>
      <c r="AK104" s="179"/>
      <c r="AL104" s="179"/>
      <c r="AM104" s="179"/>
      <c r="AN104" s="179"/>
      <c r="AO104" s="179"/>
      <c r="AP104" s="179"/>
      <c r="AQ104" s="179"/>
      <c r="AR104" s="179"/>
      <c r="AS104" s="179"/>
      <c r="AT104" s="179"/>
      <c r="AU104" s="179"/>
      <c r="AV104" s="179"/>
      <c r="AW104" s="179"/>
      <c r="AX104" s="179"/>
      <c r="AY104" s="179"/>
      <c r="AZ104" s="179"/>
      <c r="BA104" s="179"/>
      <c r="BB104" s="179"/>
      <c r="BC104" s="179"/>
      <c r="BD104" s="179"/>
      <c r="BE104" s="179"/>
      <c r="BF104" s="179"/>
    </row>
    <row r="105" spans="1:58" s="168" customFormat="1" ht="15.75" hidden="1" customHeight="1" outlineLevel="1">
      <c r="A105" s="169"/>
      <c r="B105" s="177"/>
      <c r="C105" s="177"/>
      <c r="D105" s="260"/>
      <c r="E105" s="235"/>
      <c r="F105" s="235"/>
      <c r="G105" s="177"/>
      <c r="H105" s="177"/>
      <c r="I105" s="178" t="s">
        <v>499</v>
      </c>
      <c r="J105" s="178" t="s">
        <v>499</v>
      </c>
      <c r="K105" s="178" t="s">
        <v>499</v>
      </c>
      <c r="L105" s="178" t="str">
        <f t="shared" ref="L105:W105" si="33">K105</f>
        <v>($)</v>
      </c>
      <c r="M105" s="178" t="str">
        <f t="shared" si="33"/>
        <v>($)</v>
      </c>
      <c r="N105" s="178" t="str">
        <f t="shared" si="33"/>
        <v>($)</v>
      </c>
      <c r="O105" s="178" t="str">
        <f t="shared" si="33"/>
        <v>($)</v>
      </c>
      <c r="P105" s="178" t="str">
        <f t="shared" si="33"/>
        <v>($)</v>
      </c>
      <c r="Q105" s="1465" t="str">
        <f t="shared" si="33"/>
        <v>($)</v>
      </c>
      <c r="R105" s="1370" t="str">
        <f>Q105</f>
        <v>($)</v>
      </c>
      <c r="S105" s="1370" t="str">
        <f>R105</f>
        <v>($)</v>
      </c>
      <c r="T105" s="1370"/>
      <c r="U105" s="178" t="str">
        <f>Q105</f>
        <v>($)</v>
      </c>
      <c r="V105" s="178" t="str">
        <f t="shared" si="33"/>
        <v>($)</v>
      </c>
      <c r="W105" s="178" t="str">
        <f t="shared" si="33"/>
        <v>($)</v>
      </c>
      <c r="X105" s="178" t="str">
        <f>W105</f>
        <v>($)</v>
      </c>
      <c r="Y105" s="178" t="str">
        <f>X105</f>
        <v>($)</v>
      </c>
      <c r="Z105" s="179"/>
      <c r="AA105" s="179"/>
      <c r="AB105" s="179"/>
      <c r="AC105" s="179"/>
      <c r="AD105" s="179"/>
      <c r="AE105" s="179"/>
      <c r="AF105" s="179"/>
      <c r="AG105" s="179"/>
      <c r="AH105" s="179"/>
      <c r="AI105" s="179"/>
      <c r="AJ105" s="179"/>
      <c r="AK105" s="179"/>
      <c r="AL105" s="179"/>
      <c r="AM105" s="179"/>
      <c r="AN105" s="179"/>
      <c r="AO105" s="179"/>
      <c r="AP105" s="179"/>
      <c r="AQ105" s="179"/>
      <c r="AR105" s="179"/>
      <c r="AS105" s="179"/>
      <c r="AT105" s="179"/>
      <c r="AU105" s="179"/>
      <c r="AV105" s="179"/>
      <c r="AW105" s="179"/>
      <c r="AX105" s="179"/>
      <c r="AY105" s="179"/>
      <c r="AZ105" s="179"/>
      <c r="BA105" s="179"/>
      <c r="BB105" s="179"/>
      <c r="BC105" s="179"/>
      <c r="BD105" s="179"/>
      <c r="BE105" s="179"/>
      <c r="BF105" s="179"/>
    </row>
    <row r="106" spans="1:58" s="168" customFormat="1" ht="15.75" hidden="1" customHeight="1" outlineLevel="1">
      <c r="A106" s="169"/>
      <c r="B106" s="173"/>
      <c r="C106" s="173"/>
      <c r="D106" s="172"/>
      <c r="E106" s="172"/>
      <c r="F106" s="172"/>
      <c r="G106" s="169"/>
      <c r="H106" s="169"/>
      <c r="I106" s="172"/>
      <c r="J106" s="172"/>
      <c r="K106" s="172"/>
      <c r="L106" s="172"/>
      <c r="M106" s="185"/>
      <c r="N106" s="577"/>
      <c r="O106" s="577"/>
      <c r="P106" s="577"/>
      <c r="Q106" s="1466"/>
      <c r="R106" s="1371"/>
      <c r="S106" s="1371"/>
      <c r="T106" s="1371"/>
      <c r="U106" s="577"/>
      <c r="V106" s="577"/>
      <c r="W106" s="577"/>
      <c r="X106" s="577"/>
      <c r="Y106" s="577"/>
      <c r="Z106" s="179"/>
      <c r="AA106" s="179"/>
      <c r="AB106" s="179"/>
      <c r="AC106" s="179"/>
      <c r="AD106" s="179"/>
      <c r="AE106" s="179"/>
      <c r="AF106" s="179"/>
      <c r="AG106" s="179"/>
      <c r="AH106" s="179"/>
      <c r="AI106" s="179"/>
      <c r="AJ106" s="179"/>
      <c r="AK106" s="179"/>
      <c r="AL106" s="179"/>
      <c r="AM106" s="179"/>
      <c r="AN106" s="179"/>
      <c r="AO106" s="179"/>
      <c r="AP106" s="179"/>
      <c r="AQ106" s="179"/>
      <c r="AR106" s="179"/>
      <c r="AS106" s="179"/>
      <c r="AT106" s="179"/>
      <c r="AU106" s="179"/>
      <c r="AV106" s="179"/>
      <c r="AW106" s="179"/>
      <c r="AX106" s="179"/>
      <c r="AY106" s="179"/>
      <c r="AZ106" s="179"/>
      <c r="BA106" s="179"/>
      <c r="BB106" s="179"/>
      <c r="BC106" s="179"/>
      <c r="BD106" s="179"/>
      <c r="BE106" s="179"/>
      <c r="BF106" s="179"/>
    </row>
    <row r="107" spans="1:58" s="168" customFormat="1" ht="15.75" hidden="1" customHeight="1" outlineLevel="1">
      <c r="A107" s="169"/>
      <c r="B107" s="181" t="s">
        <v>1636</v>
      </c>
      <c r="C107" s="181" t="s">
        <v>579</v>
      </c>
      <c r="D107" s="181"/>
      <c r="E107" s="181"/>
      <c r="F107" s="181"/>
      <c r="G107" s="179"/>
      <c r="H107" s="179"/>
      <c r="I107" s="180"/>
      <c r="J107" s="180"/>
      <c r="K107" s="181">
        <v>735200</v>
      </c>
      <c r="L107" s="181">
        <f>(L85+L87)/L108*1000+L89/L109*1000</f>
        <v>818401.81661952683</v>
      </c>
      <c r="M107" s="379">
        <f>M113*M111</f>
        <v>736095.9515096331</v>
      </c>
      <c r="N107" s="181">
        <f t="shared" ref="N107:V107" si="34">(N85+N87)/N108*1000+N89/N109*1000</f>
        <v>823872.82889260387</v>
      </c>
      <c r="O107" s="181">
        <f t="shared" si="34"/>
        <v>684657.38460516266</v>
      </c>
      <c r="P107" s="216">
        <f t="shared" si="34"/>
        <v>1073321.6777420507</v>
      </c>
      <c r="Q107" s="1467">
        <f>(Q85+Q87)/Q108*1000+Q89/Q109*1000</f>
        <v>1069039.6351240079</v>
      </c>
      <c r="R107" s="1372">
        <f>(R85+R87)/R108*1000+R89/R109*1000</f>
        <v>617468.24002848996</v>
      </c>
      <c r="S107" s="1372">
        <f>(S85+S87)/S108*1000+S89/S109*1000</f>
        <v>511263.99008596549</v>
      </c>
      <c r="T107" s="1372"/>
      <c r="U107" s="181">
        <f t="shared" si="34"/>
        <v>1113610.2591482496</v>
      </c>
      <c r="V107" s="181">
        <f t="shared" si="34"/>
        <v>1071874.4164553212</v>
      </c>
      <c r="W107" s="181">
        <f>(W85+W87)/W108*1000+W89/W109*1000</f>
        <v>1115099.7436843321</v>
      </c>
      <c r="X107" s="181">
        <f>(X85+X87)/X108*1000+X89/X109*1000</f>
        <v>1113610.2591482496</v>
      </c>
      <c r="Y107" s="181">
        <f>(Y85+Y87)/Y108*1000+Y89/Y109*1000</f>
        <v>980127.80758209538</v>
      </c>
      <c r="Z107" s="179"/>
      <c r="AA107" s="179"/>
      <c r="AB107" s="179"/>
      <c r="AC107" s="179"/>
      <c r="AD107" s="179"/>
      <c r="AE107" s="179"/>
      <c r="AF107" s="179"/>
      <c r="AG107" s="179"/>
      <c r="AH107" s="179"/>
      <c r="AI107" s="179"/>
      <c r="AJ107" s="179"/>
      <c r="AK107" s="179"/>
      <c r="AL107" s="179"/>
      <c r="AM107" s="179"/>
      <c r="AN107" s="179"/>
      <c r="AO107" s="179"/>
      <c r="AP107" s="179"/>
      <c r="AQ107" s="179"/>
      <c r="AR107" s="179"/>
      <c r="AS107" s="179"/>
      <c r="AT107" s="179"/>
      <c r="AU107" s="179"/>
      <c r="AV107" s="179"/>
      <c r="AW107" s="179"/>
      <c r="AX107" s="179"/>
      <c r="AY107" s="179"/>
      <c r="AZ107" s="179"/>
      <c r="BA107" s="179"/>
      <c r="BB107" s="179"/>
      <c r="BC107" s="179"/>
      <c r="BD107" s="179"/>
      <c r="BE107" s="179"/>
      <c r="BF107" s="179"/>
    </row>
    <row r="108" spans="1:58" s="168" customFormat="1" ht="15.75" hidden="1" customHeight="1" outlineLevel="1">
      <c r="A108" s="169"/>
      <c r="B108" s="184" t="s">
        <v>1637</v>
      </c>
      <c r="C108" s="184" t="s">
        <v>572</v>
      </c>
      <c r="D108" s="181"/>
      <c r="E108" s="181"/>
      <c r="F108" s="181"/>
      <c r="G108" s="179"/>
      <c r="H108" s="179"/>
      <c r="I108" s="180"/>
      <c r="J108" s="180"/>
      <c r="K108" s="610"/>
      <c r="L108" s="610">
        <v>680</v>
      </c>
      <c r="M108" s="628">
        <v>627.9</v>
      </c>
      <c r="N108" s="610">
        <v>628.1</v>
      </c>
      <c r="O108" s="610">
        <v>620</v>
      </c>
      <c r="P108" s="1336">
        <v>622</v>
      </c>
      <c r="Q108" s="1484">
        <v>626</v>
      </c>
      <c r="R108" s="1956">
        <v>624</v>
      </c>
      <c r="S108" s="1389">
        <v>626</v>
      </c>
      <c r="T108" s="1389"/>
      <c r="U108" s="610">
        <f>Q108</f>
        <v>626</v>
      </c>
      <c r="V108" s="610">
        <f t="shared" ref="V108:Y109" si="35">U108</f>
        <v>626</v>
      </c>
      <c r="W108" s="610">
        <f t="shared" si="35"/>
        <v>626</v>
      </c>
      <c r="X108" s="610">
        <f t="shared" si="35"/>
        <v>626</v>
      </c>
      <c r="Y108" s="610">
        <f t="shared" si="35"/>
        <v>626</v>
      </c>
      <c r="Z108" s="179"/>
      <c r="AA108" s="179"/>
      <c r="AB108" s="179"/>
      <c r="AC108" s="179"/>
      <c r="AD108" s="179"/>
      <c r="AE108" s="179"/>
      <c r="AF108" s="179"/>
      <c r="AG108" s="179"/>
      <c r="AH108" s="179"/>
      <c r="AI108" s="179"/>
      <c r="AJ108" s="179"/>
      <c r="AK108" s="179"/>
      <c r="AL108" s="179"/>
      <c r="AM108" s="179"/>
      <c r="AN108" s="179"/>
      <c r="AO108" s="179"/>
      <c r="AP108" s="179"/>
      <c r="AQ108" s="179"/>
      <c r="AR108" s="179"/>
      <c r="AS108" s="179"/>
      <c r="AT108" s="179"/>
      <c r="AU108" s="179"/>
      <c r="AV108" s="179"/>
      <c r="AW108" s="179"/>
      <c r="AX108" s="179"/>
      <c r="AY108" s="179"/>
      <c r="AZ108" s="179"/>
      <c r="BA108" s="179"/>
      <c r="BB108" s="179"/>
      <c r="BC108" s="179"/>
      <c r="BD108" s="179"/>
      <c r="BE108" s="179"/>
      <c r="BF108" s="179"/>
    </row>
    <row r="109" spans="1:58" s="168" customFormat="1" ht="15.75" hidden="1" customHeight="1" outlineLevel="1">
      <c r="A109" s="169"/>
      <c r="B109" s="184" t="s">
        <v>1638</v>
      </c>
      <c r="C109" s="184" t="s">
        <v>573</v>
      </c>
      <c r="D109" s="181"/>
      <c r="E109" s="181"/>
      <c r="F109" s="181"/>
      <c r="G109" s="179"/>
      <c r="H109" s="179"/>
      <c r="I109" s="180"/>
      <c r="J109" s="182"/>
      <c r="K109" s="610"/>
      <c r="L109" s="610">
        <v>985.8</v>
      </c>
      <c r="M109" s="628">
        <v>991.6</v>
      </c>
      <c r="N109" s="610">
        <v>973.6</v>
      </c>
      <c r="O109" s="610">
        <v>971</v>
      </c>
      <c r="P109" s="1336">
        <v>972</v>
      </c>
      <c r="Q109" s="1484">
        <v>970</v>
      </c>
      <c r="R109" s="1956">
        <v>972</v>
      </c>
      <c r="S109" s="1389">
        <v>970</v>
      </c>
      <c r="T109" s="1389"/>
      <c r="U109" s="610">
        <f>Q109</f>
        <v>970</v>
      </c>
      <c r="V109" s="610">
        <f t="shared" si="35"/>
        <v>970</v>
      </c>
      <c r="W109" s="610">
        <f t="shared" si="35"/>
        <v>970</v>
      </c>
      <c r="X109" s="610">
        <f t="shared" si="35"/>
        <v>970</v>
      </c>
      <c r="Y109" s="610">
        <f t="shared" si="35"/>
        <v>970</v>
      </c>
      <c r="Z109" s="179"/>
      <c r="AA109" s="179"/>
      <c r="AB109" s="179"/>
      <c r="AC109" s="179"/>
      <c r="AD109" s="179"/>
      <c r="AE109" s="179"/>
      <c r="AF109" s="179"/>
      <c r="AG109" s="179"/>
      <c r="AH109" s="179"/>
      <c r="AI109" s="179"/>
      <c r="AJ109" s="179"/>
      <c r="AK109" s="179"/>
      <c r="AL109" s="179"/>
      <c r="AM109" s="179"/>
      <c r="AN109" s="179"/>
      <c r="AO109" s="179"/>
      <c r="AP109" s="179"/>
      <c r="AQ109" s="179"/>
      <c r="AR109" s="179"/>
      <c r="AS109" s="179"/>
      <c r="AT109" s="179"/>
      <c r="AU109" s="179"/>
      <c r="AV109" s="179"/>
      <c r="AW109" s="179"/>
      <c r="AX109" s="179"/>
      <c r="AY109" s="179"/>
      <c r="AZ109" s="179"/>
      <c r="BA109" s="179"/>
      <c r="BB109" s="179"/>
      <c r="BC109" s="179"/>
      <c r="BD109" s="179"/>
      <c r="BE109" s="179"/>
      <c r="BF109" s="179"/>
    </row>
    <row r="110" spans="1:58" s="168" customFormat="1" ht="15.75" hidden="1" customHeight="1" outlineLevel="1">
      <c r="A110" s="169"/>
      <c r="B110" s="184"/>
      <c r="C110" s="184"/>
      <c r="D110" s="181"/>
      <c r="E110" s="181"/>
      <c r="F110" s="181"/>
      <c r="G110" s="179"/>
      <c r="H110" s="179"/>
      <c r="I110" s="414"/>
      <c r="J110" s="414"/>
      <c r="K110" s="414"/>
      <c r="L110" s="179"/>
      <c r="M110" s="185"/>
      <c r="N110" s="577"/>
      <c r="O110" s="577"/>
      <c r="P110" s="577"/>
      <c r="Q110" s="1466"/>
      <c r="R110" s="1371"/>
      <c r="S110" s="1371"/>
      <c r="T110" s="1371"/>
      <c r="U110" s="577"/>
      <c r="V110" s="577"/>
      <c r="W110" s="577"/>
      <c r="X110" s="577"/>
      <c r="Y110" s="577"/>
      <c r="Z110" s="179"/>
      <c r="AA110" s="179"/>
      <c r="AB110" s="179"/>
      <c r="AC110" s="179"/>
      <c r="AD110" s="179"/>
      <c r="AE110" s="179"/>
      <c r="AF110" s="179"/>
      <c r="AG110" s="179"/>
      <c r="AH110" s="179"/>
      <c r="AI110" s="179"/>
      <c r="AJ110" s="179"/>
      <c r="AK110" s="179"/>
      <c r="AL110" s="179"/>
      <c r="AM110" s="179"/>
      <c r="AN110" s="179"/>
      <c r="AO110" s="179"/>
      <c r="AP110" s="179"/>
      <c r="AQ110" s="179"/>
      <c r="AR110" s="179"/>
      <c r="AS110" s="179"/>
      <c r="AT110" s="179"/>
      <c r="AU110" s="179"/>
      <c r="AV110" s="179"/>
      <c r="AW110" s="179"/>
      <c r="AX110" s="179"/>
      <c r="AY110" s="179"/>
      <c r="AZ110" s="179"/>
      <c r="BA110" s="179"/>
      <c r="BB110" s="179"/>
      <c r="BC110" s="179"/>
      <c r="BD110" s="179"/>
      <c r="BE110" s="179"/>
      <c r="BF110" s="179"/>
    </row>
    <row r="111" spans="1:58" s="168" customFormat="1" ht="15.75" hidden="1" customHeight="1" outlineLevel="1">
      <c r="A111" s="169"/>
      <c r="B111" s="184" t="s">
        <v>1639</v>
      </c>
      <c r="C111" s="184" t="s">
        <v>574</v>
      </c>
      <c r="D111" s="181"/>
      <c r="E111" s="181"/>
      <c r="F111" s="181"/>
      <c r="G111" s="179"/>
      <c r="H111" s="179"/>
      <c r="I111" s="180"/>
      <c r="J111" s="180"/>
      <c r="K111" s="183">
        <v>0.86699999999999999</v>
      </c>
      <c r="L111" s="611">
        <v>1.024</v>
      </c>
      <c r="M111" s="629">
        <v>0.99009999999999998</v>
      </c>
      <c r="N111" s="611">
        <v>0.99009999999999998</v>
      </c>
      <c r="O111" s="611">
        <f>N111</f>
        <v>0.99009999999999998</v>
      </c>
      <c r="P111" s="1337">
        <v>0.99</v>
      </c>
      <c r="Q111" s="1485">
        <v>1</v>
      </c>
      <c r="R111" s="1390">
        <v>1</v>
      </c>
      <c r="S111" s="1390">
        <v>1</v>
      </c>
      <c r="T111" s="1390"/>
      <c r="U111" s="611">
        <f>Q111</f>
        <v>1</v>
      </c>
      <c r="V111" s="611">
        <f>U111</f>
        <v>1</v>
      </c>
      <c r="W111" s="611">
        <f>V111</f>
        <v>1</v>
      </c>
      <c r="X111" s="611">
        <f>W111</f>
        <v>1</v>
      </c>
      <c r="Y111" s="611">
        <f>X111</f>
        <v>1</v>
      </c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179"/>
      <c r="AJ111" s="179"/>
      <c r="AK111" s="179"/>
      <c r="AL111" s="179"/>
      <c r="AM111" s="179"/>
      <c r="AN111" s="179"/>
      <c r="AO111" s="179"/>
      <c r="AP111" s="179"/>
      <c r="AQ111" s="179"/>
      <c r="AR111" s="179"/>
      <c r="AS111" s="179"/>
      <c r="AT111" s="179"/>
      <c r="AU111" s="179"/>
      <c r="AV111" s="179"/>
      <c r="AW111" s="179"/>
      <c r="AX111" s="179"/>
      <c r="AY111" s="179"/>
      <c r="AZ111" s="179"/>
      <c r="BA111" s="179"/>
      <c r="BB111" s="179"/>
      <c r="BC111" s="179"/>
      <c r="BD111" s="179"/>
      <c r="BE111" s="179"/>
      <c r="BF111" s="179"/>
    </row>
    <row r="112" spans="1:58" s="168" customFormat="1" ht="15.75" hidden="1" customHeight="1" outlineLevel="1">
      <c r="A112" s="169"/>
      <c r="B112" s="184"/>
      <c r="C112" s="184"/>
      <c r="D112" s="181"/>
      <c r="E112" s="181"/>
      <c r="F112" s="181"/>
      <c r="G112" s="179"/>
      <c r="H112" s="179"/>
      <c r="I112" s="180"/>
      <c r="J112" s="180"/>
      <c r="K112" s="180"/>
      <c r="L112" s="180"/>
      <c r="M112" s="185"/>
      <c r="N112" s="577"/>
      <c r="O112" s="577"/>
      <c r="P112" s="577"/>
      <c r="Q112" s="1466"/>
      <c r="R112" s="1371"/>
      <c r="S112" s="1371"/>
      <c r="T112" s="1371"/>
      <c r="U112" s="577"/>
      <c r="V112" s="577"/>
      <c r="W112" s="577"/>
      <c r="X112" s="577"/>
      <c r="Y112" s="577"/>
      <c r="Z112" s="179"/>
      <c r="AA112" s="179"/>
      <c r="AB112" s="179"/>
      <c r="AC112" s="179"/>
      <c r="AD112" s="179"/>
      <c r="AE112" s="179"/>
      <c r="AF112" s="179"/>
      <c r="AG112" s="179"/>
      <c r="AH112" s="179"/>
      <c r="AI112" s="179"/>
      <c r="AJ112" s="179"/>
      <c r="AK112" s="179"/>
      <c r="AL112" s="179"/>
      <c r="AM112" s="179"/>
      <c r="AN112" s="179"/>
      <c r="AO112" s="179"/>
      <c r="AP112" s="179"/>
      <c r="AQ112" s="179"/>
      <c r="AR112" s="179"/>
      <c r="AS112" s="179"/>
      <c r="AT112" s="179"/>
      <c r="AU112" s="179"/>
      <c r="AV112" s="179"/>
      <c r="AW112" s="179"/>
      <c r="AX112" s="179"/>
      <c r="AY112" s="179"/>
      <c r="AZ112" s="179"/>
      <c r="BA112" s="179"/>
      <c r="BB112" s="179"/>
      <c r="BC112" s="179"/>
      <c r="BD112" s="179"/>
      <c r="BE112" s="179"/>
      <c r="BF112" s="179"/>
    </row>
    <row r="113" spans="1:58" s="168" customFormat="1" ht="15.75" hidden="1" customHeight="1" outlineLevel="1">
      <c r="A113" s="169"/>
      <c r="B113" s="181" t="s">
        <v>1640</v>
      </c>
      <c r="C113" s="181" t="s">
        <v>16</v>
      </c>
      <c r="D113" s="181"/>
      <c r="E113" s="181"/>
      <c r="F113" s="181"/>
      <c r="G113" s="179"/>
      <c r="H113" s="179"/>
      <c r="I113" s="180"/>
      <c r="J113" s="180"/>
      <c r="K113" s="180">
        <v>742808</v>
      </c>
      <c r="L113" s="180">
        <f t="shared" ref="L113:U113" si="36">L107/L111</f>
        <v>799220.5240425067</v>
      </c>
      <c r="M113" s="283">
        <f>M119*(1-M125)*(1-M126)</f>
        <v>743456.16756856185</v>
      </c>
      <c r="N113" s="180">
        <f t="shared" si="36"/>
        <v>832110.72507080482</v>
      </c>
      <c r="O113" s="180">
        <f>O107/O111</f>
        <v>691503.26694794733</v>
      </c>
      <c r="P113" s="395">
        <f t="shared" si="36"/>
        <v>1084163.3108505562</v>
      </c>
      <c r="Q113" s="1468">
        <f t="shared" si="36"/>
        <v>1069039.6351240079</v>
      </c>
      <c r="R113" s="1373">
        <f>R107/R111</f>
        <v>617468.24002848996</v>
      </c>
      <c r="S113" s="1373">
        <f>S107/S111</f>
        <v>511263.99008596549</v>
      </c>
      <c r="T113" s="1373"/>
      <c r="U113" s="180">
        <f t="shared" si="36"/>
        <v>1113610.2591482496</v>
      </c>
      <c r="V113" s="180">
        <f>V107/V111</f>
        <v>1071874.4164553212</v>
      </c>
      <c r="W113" s="180">
        <f>W107/W111</f>
        <v>1115099.7436843321</v>
      </c>
      <c r="X113" s="180">
        <f>X107/X111</f>
        <v>1113610.2591482496</v>
      </c>
      <c r="Y113" s="180">
        <f>Y107/Y111</f>
        <v>980127.80758209538</v>
      </c>
      <c r="Z113" s="179"/>
      <c r="AA113" s="179"/>
      <c r="AB113" s="179"/>
      <c r="AC113" s="179"/>
      <c r="AD113" s="179"/>
      <c r="AE113" s="179"/>
      <c r="AF113" s="179"/>
      <c r="AG113" s="179"/>
      <c r="AH113" s="179"/>
      <c r="AI113" s="179"/>
      <c r="AJ113" s="179"/>
      <c r="AK113" s="179"/>
      <c r="AL113" s="179"/>
      <c r="AM113" s="179"/>
      <c r="AN113" s="179"/>
      <c r="AO113" s="179"/>
      <c r="AP113" s="179"/>
      <c r="AQ113" s="179"/>
      <c r="AR113" s="179"/>
      <c r="AS113" s="179"/>
      <c r="AT113" s="179"/>
      <c r="AU113" s="179"/>
      <c r="AV113" s="179"/>
      <c r="AW113" s="179"/>
      <c r="AX113" s="179"/>
      <c r="AY113" s="179"/>
      <c r="AZ113" s="179"/>
      <c r="BA113" s="179"/>
      <c r="BB113" s="179"/>
      <c r="BC113" s="179"/>
      <c r="BD113" s="179"/>
      <c r="BE113" s="179"/>
      <c r="BF113" s="179"/>
    </row>
    <row r="114" spans="1:58" s="168" customFormat="1" ht="15.75" hidden="1" customHeight="1" outlineLevel="1">
      <c r="A114" s="169"/>
      <c r="B114" s="184" t="s">
        <v>1641</v>
      </c>
      <c r="C114" s="184" t="s">
        <v>575</v>
      </c>
      <c r="D114" s="181"/>
      <c r="E114" s="181"/>
      <c r="F114" s="181"/>
      <c r="G114" s="179"/>
      <c r="H114" s="179"/>
      <c r="I114" s="180"/>
      <c r="J114" s="180"/>
      <c r="K114" s="612"/>
      <c r="L114" s="613">
        <v>8.9279999999999998E-2</v>
      </c>
      <c r="M114" s="630">
        <v>9.9511982223967677E-2</v>
      </c>
      <c r="N114" s="613">
        <v>8.9278999999999997E-2</v>
      </c>
      <c r="O114" s="612">
        <v>9.9989999999999996E-2</v>
      </c>
      <c r="P114" s="1338">
        <v>0.14760000000000001</v>
      </c>
      <c r="Q114" s="1486">
        <f>138979/1069067</f>
        <v>0.13000027126456995</v>
      </c>
      <c r="R114" s="1391">
        <f>138979/1069067</f>
        <v>0.13000027126456995</v>
      </c>
      <c r="S114" s="1391">
        <f>138979/1069067</f>
        <v>0.13000027126456995</v>
      </c>
      <c r="T114" s="1391"/>
      <c r="U114" s="612">
        <f>Q114</f>
        <v>0.13000027126456995</v>
      </c>
      <c r="V114" s="612">
        <f t="shared" ref="V114:Y115" si="37">U114</f>
        <v>0.13000027126456995</v>
      </c>
      <c r="W114" s="612">
        <f t="shared" si="37"/>
        <v>0.13000027126456995</v>
      </c>
      <c r="X114" s="612">
        <f t="shared" si="37"/>
        <v>0.13000027126456995</v>
      </c>
      <c r="Y114" s="612">
        <f t="shared" si="37"/>
        <v>0.13000027126456995</v>
      </c>
      <c r="Z114" s="179"/>
      <c r="AA114" s="179"/>
      <c r="AB114" s="179"/>
      <c r="AC114" s="179"/>
      <c r="AD114" s="179"/>
      <c r="AE114" s="179"/>
      <c r="AF114" s="179"/>
      <c r="AG114" s="179"/>
      <c r="AH114" s="179"/>
      <c r="AI114" s="179"/>
      <c r="AJ114" s="179"/>
      <c r="AK114" s="179"/>
      <c r="AL114" s="179"/>
      <c r="AM114" s="179"/>
      <c r="AN114" s="179"/>
      <c r="AO114" s="179"/>
      <c r="AP114" s="179"/>
      <c r="AQ114" s="179"/>
      <c r="AR114" s="179"/>
      <c r="AS114" s="179"/>
      <c r="AT114" s="179"/>
      <c r="AU114" s="179"/>
      <c r="AV114" s="179"/>
      <c r="AW114" s="179"/>
      <c r="AX114" s="179"/>
      <c r="AY114" s="179"/>
      <c r="AZ114" s="179"/>
      <c r="BA114" s="179"/>
      <c r="BB114" s="179"/>
      <c r="BC114" s="179"/>
      <c r="BD114" s="179"/>
      <c r="BE114" s="179"/>
      <c r="BF114" s="179"/>
    </row>
    <row r="115" spans="1:58" s="168" customFormat="1" ht="15.75" hidden="1" customHeight="1" outlineLevel="1">
      <c r="A115" s="169"/>
      <c r="B115" s="184" t="s">
        <v>1642</v>
      </c>
      <c r="C115" s="184" t="s">
        <v>576</v>
      </c>
      <c r="D115" s="181"/>
      <c r="E115" s="181"/>
      <c r="F115" s="181"/>
      <c r="G115" s="179"/>
      <c r="H115" s="179"/>
      <c r="I115" s="180"/>
      <c r="J115" s="182"/>
      <c r="K115" s="612"/>
      <c r="L115" s="612">
        <v>2.8000000000000001E-2</v>
      </c>
      <c r="M115" s="631">
        <v>2.732983430694029E-2</v>
      </c>
      <c r="N115" s="612">
        <v>2.6741518999999998E-2</v>
      </c>
      <c r="O115" s="612">
        <v>2.6703600000000001E-2</v>
      </c>
      <c r="P115" s="1338">
        <v>5.1999999999999998E-2</v>
      </c>
      <c r="Q115" s="1486">
        <f>27032/1069067</f>
        <v>2.528559949937656E-2</v>
      </c>
      <c r="R115" s="1972">
        <f>R123*5%/4.11%</f>
        <v>2.4330900243309E-2</v>
      </c>
      <c r="S115" s="1972">
        <f>S123*5%/4.11%</f>
        <v>2.4330900243309E-2</v>
      </c>
      <c r="T115" s="1391"/>
      <c r="U115" s="612">
        <f>Q115</f>
        <v>2.528559949937656E-2</v>
      </c>
      <c r="V115" s="612">
        <f t="shared" si="37"/>
        <v>2.528559949937656E-2</v>
      </c>
      <c r="W115" s="612">
        <f t="shared" si="37"/>
        <v>2.528559949937656E-2</v>
      </c>
      <c r="X115" s="612">
        <f t="shared" si="37"/>
        <v>2.528559949937656E-2</v>
      </c>
      <c r="Y115" s="612">
        <f t="shared" si="37"/>
        <v>2.528559949937656E-2</v>
      </c>
      <c r="Z115" s="179"/>
      <c r="AA115" s="179"/>
      <c r="AB115" s="179"/>
      <c r="AC115" s="179"/>
      <c r="AD115" s="179"/>
      <c r="AE115" s="179"/>
      <c r="AF115" s="179"/>
      <c r="AG115" s="179"/>
      <c r="AH115" s="179"/>
      <c r="AI115" s="179"/>
      <c r="AJ115" s="179"/>
      <c r="AK115" s="179"/>
      <c r="AL115" s="179"/>
      <c r="AM115" s="179"/>
      <c r="AN115" s="179"/>
      <c r="AO115" s="179"/>
      <c r="AP115" s="179"/>
      <c r="AQ115" s="179"/>
      <c r="AR115" s="179"/>
      <c r="AS115" s="179"/>
      <c r="AT115" s="179"/>
      <c r="AU115" s="179"/>
      <c r="AV115" s="179"/>
      <c r="AW115" s="179"/>
      <c r="AX115" s="179"/>
      <c r="AY115" s="179"/>
      <c r="AZ115" s="179"/>
      <c r="BA115" s="179"/>
      <c r="BB115" s="179"/>
      <c r="BC115" s="179"/>
      <c r="BD115" s="179"/>
      <c r="BE115" s="179"/>
      <c r="BF115" s="179"/>
    </row>
    <row r="116" spans="1:58" s="168" customFormat="1" ht="15.75" hidden="1" customHeight="1" outlineLevel="1">
      <c r="A116" s="169"/>
      <c r="B116" s="184"/>
      <c r="C116" s="184"/>
      <c r="D116" s="181"/>
      <c r="E116" s="181"/>
      <c r="F116" s="181"/>
      <c r="G116" s="179"/>
      <c r="H116" s="179"/>
      <c r="I116" s="180"/>
      <c r="J116" s="180"/>
      <c r="K116" s="180"/>
      <c r="L116" s="180"/>
      <c r="M116" s="185"/>
      <c r="N116" s="577"/>
      <c r="O116" s="577"/>
      <c r="P116" s="577"/>
      <c r="Q116" s="1466"/>
      <c r="R116" s="1371"/>
      <c r="S116" s="1371"/>
      <c r="T116" s="1371"/>
      <c r="U116" s="577"/>
      <c r="V116" s="577"/>
      <c r="W116" s="577"/>
      <c r="X116" s="577"/>
      <c r="Y116" s="577"/>
      <c r="Z116" s="179"/>
      <c r="AA116" s="179"/>
      <c r="AB116" s="179"/>
      <c r="AC116" s="179"/>
      <c r="AD116" s="179"/>
      <c r="AE116" s="179"/>
      <c r="AF116" s="179"/>
      <c r="AG116" s="179"/>
      <c r="AH116" s="179"/>
      <c r="AI116" s="179"/>
      <c r="AJ116" s="179"/>
      <c r="AK116" s="179"/>
      <c r="AL116" s="179"/>
      <c r="AM116" s="179"/>
      <c r="AN116" s="179"/>
      <c r="AO116" s="179"/>
      <c r="AP116" s="179"/>
      <c r="AQ116" s="179"/>
      <c r="AR116" s="179"/>
      <c r="AS116" s="179"/>
      <c r="AT116" s="179"/>
      <c r="AU116" s="179"/>
      <c r="AV116" s="179"/>
      <c r="AW116" s="179"/>
      <c r="AX116" s="179"/>
      <c r="AY116" s="179"/>
      <c r="AZ116" s="179"/>
      <c r="BA116" s="179"/>
      <c r="BB116" s="179"/>
      <c r="BC116" s="179"/>
      <c r="BD116" s="179"/>
      <c r="BE116" s="179"/>
      <c r="BF116" s="179"/>
    </row>
    <row r="117" spans="1:58" s="168" customFormat="1" ht="15.75" hidden="1" customHeight="1" outlineLevel="1">
      <c r="A117" s="169"/>
      <c r="B117" s="181" t="s">
        <v>1643</v>
      </c>
      <c r="C117" s="181" t="s">
        <v>577</v>
      </c>
      <c r="D117" s="181"/>
      <c r="E117" s="181"/>
      <c r="F117" s="181"/>
      <c r="G117" s="179"/>
      <c r="H117" s="179"/>
      <c r="I117" s="181"/>
      <c r="J117" s="181"/>
      <c r="K117" s="181"/>
      <c r="L117" s="181">
        <f t="shared" ref="L117:U117" si="38">L114*L113</f>
        <v>71354.408386515002</v>
      </c>
      <c r="M117" s="379">
        <f t="shared" si="38"/>
        <v>73982.796931381861</v>
      </c>
      <c r="N117" s="181">
        <f t="shared" si="38"/>
        <v>74290.013423596378</v>
      </c>
      <c r="O117" s="181">
        <f>O114*O113</f>
        <v>69143.411662125247</v>
      </c>
      <c r="P117" s="216">
        <f t="shared" si="38"/>
        <v>160022.50468154211</v>
      </c>
      <c r="Q117" s="1467">
        <f>Q114*Q113</f>
        <v>138975.44255869792</v>
      </c>
      <c r="R117" s="1372">
        <f>R114*R113</f>
        <v>80271.038700960285</v>
      </c>
      <c r="S117" s="1372">
        <f>S114*S113</f>
        <v>66464.457398981918</v>
      </c>
      <c r="T117" s="1372"/>
      <c r="U117" s="181">
        <f t="shared" si="38"/>
        <v>144769.63577228048</v>
      </c>
      <c r="V117" s="181">
        <f>V114*V113</f>
        <v>139343.96490074438</v>
      </c>
      <c r="W117" s="181">
        <f>W114*W113</f>
        <v>144963.26916601558</v>
      </c>
      <c r="X117" s="181">
        <f>X114*X113</f>
        <v>144769.63577228048</v>
      </c>
      <c r="Y117" s="181">
        <f>Y114*Y113</f>
        <v>127416.88085962062</v>
      </c>
      <c r="Z117" s="179"/>
      <c r="AA117" s="179"/>
      <c r="AB117" s="179"/>
      <c r="AC117" s="179"/>
      <c r="AD117" s="179"/>
      <c r="AE117" s="179"/>
      <c r="AF117" s="179"/>
      <c r="AG117" s="179"/>
      <c r="AH117" s="179"/>
      <c r="AI117" s="179"/>
      <c r="AJ117" s="179"/>
      <c r="AK117" s="179"/>
      <c r="AL117" s="179"/>
      <c r="AM117" s="179"/>
      <c r="AN117" s="179"/>
      <c r="AO117" s="179"/>
      <c r="AP117" s="179"/>
      <c r="AQ117" s="179"/>
      <c r="AR117" s="179"/>
      <c r="AS117" s="179"/>
      <c r="AT117" s="179"/>
      <c r="AU117" s="179"/>
      <c r="AV117" s="179"/>
      <c r="AW117" s="179"/>
      <c r="AX117" s="179"/>
      <c r="AY117" s="179"/>
      <c r="AZ117" s="179"/>
      <c r="BA117" s="179"/>
      <c r="BB117" s="179"/>
      <c r="BC117" s="179"/>
      <c r="BD117" s="179"/>
      <c r="BE117" s="179"/>
      <c r="BF117" s="179"/>
    </row>
    <row r="118" spans="1:58" s="168" customFormat="1" ht="15.75" hidden="1" customHeight="1" outlineLevel="1">
      <c r="A118" s="169"/>
      <c r="B118" s="181" t="s">
        <v>1644</v>
      </c>
      <c r="C118" s="181" t="s">
        <v>578</v>
      </c>
      <c r="D118" s="181"/>
      <c r="E118" s="181"/>
      <c r="F118" s="181"/>
      <c r="G118" s="179"/>
      <c r="H118" s="179"/>
      <c r="I118" s="206"/>
      <c r="J118" s="206"/>
      <c r="K118" s="181"/>
      <c r="L118" s="181">
        <f t="shared" ref="L118:U118" si="39">L115*L107</f>
        <v>22915.250865346752</v>
      </c>
      <c r="M118" s="379">
        <f t="shared" si="39"/>
        <v>20117.380388767826</v>
      </c>
      <c r="N118" s="181">
        <f t="shared" si="39"/>
        <v>22031.610907415314</v>
      </c>
      <c r="O118" s="181">
        <f>O115*O107</f>
        <v>18282.816935542422</v>
      </c>
      <c r="P118" s="216">
        <f t="shared" si="39"/>
        <v>55812.727242586632</v>
      </c>
      <c r="Q118" s="1467">
        <f t="shared" si="39"/>
        <v>27031.308062705317</v>
      </c>
      <c r="R118" s="1372">
        <f>R115*R107</f>
        <v>15023.558151544767</v>
      </c>
      <c r="S118" s="1372">
        <f>S115*S107</f>
        <v>12439.513140777748</v>
      </c>
      <c r="T118" s="1372"/>
      <c r="U118" s="181">
        <f t="shared" si="39"/>
        <v>28158.303011219581</v>
      </c>
      <c r="V118" s="181">
        <f>V115*V107</f>
        <v>27102.987208117214</v>
      </c>
      <c r="W118" s="181">
        <f>W115*W107</f>
        <v>28195.96552065948</v>
      </c>
      <c r="X118" s="181">
        <f>X115*X107</f>
        <v>28158.303011219581</v>
      </c>
      <c r="Y118" s="181">
        <f>Y115*Y107</f>
        <v>24783.119200722875</v>
      </c>
      <c r="Z118" s="179"/>
      <c r="AA118" s="179"/>
      <c r="AB118" s="179"/>
      <c r="AC118" s="179"/>
      <c r="AD118" s="179"/>
      <c r="AE118" s="179"/>
      <c r="AF118" s="179"/>
      <c r="AG118" s="179"/>
      <c r="AH118" s="179"/>
      <c r="AI118" s="179"/>
      <c r="AJ118" s="179"/>
      <c r="AK118" s="179"/>
      <c r="AL118" s="179"/>
      <c r="AM118" s="179"/>
      <c r="AN118" s="179"/>
      <c r="AO118" s="179"/>
      <c r="AP118" s="179"/>
      <c r="AQ118" s="179"/>
      <c r="AR118" s="179"/>
      <c r="AS118" s="179"/>
      <c r="AT118" s="179"/>
      <c r="AU118" s="179"/>
      <c r="AV118" s="179"/>
      <c r="AW118" s="179"/>
      <c r="AX118" s="179"/>
      <c r="AY118" s="179"/>
      <c r="AZ118" s="179"/>
      <c r="BA118" s="179"/>
      <c r="BB118" s="179"/>
      <c r="BC118" s="179"/>
      <c r="BD118" s="179"/>
      <c r="BE118" s="179"/>
      <c r="BF118" s="179"/>
    </row>
    <row r="119" spans="1:58" s="168" customFormat="1" ht="15.75" hidden="1" customHeight="1" outlineLevel="1">
      <c r="A119" s="169"/>
      <c r="B119" s="207" t="s">
        <v>1645</v>
      </c>
      <c r="C119" s="207" t="s">
        <v>617</v>
      </c>
      <c r="D119" s="181"/>
      <c r="E119" s="181"/>
      <c r="F119" s="181"/>
      <c r="G119" s="179"/>
      <c r="H119" s="179"/>
      <c r="I119" s="206"/>
      <c r="J119" s="206"/>
      <c r="K119" s="207">
        <v>1042625.343888608</v>
      </c>
      <c r="L119" s="207">
        <f>L113/(1-L125)/(1-L126)</f>
        <v>1110028.5056145927</v>
      </c>
      <c r="M119" s="632">
        <f>M130</f>
        <v>1025456.7828531888</v>
      </c>
      <c r="N119" s="207">
        <f t="shared" ref="N119:V119" si="40">N113/(1-N125)/(1-N126)</f>
        <v>1167710.8126169026</v>
      </c>
      <c r="O119" s="207">
        <f t="shared" si="40"/>
        <v>953797.60958337563</v>
      </c>
      <c r="P119" s="307">
        <f>P113/(1-P125)/(1-P126)</f>
        <v>1487192.4703025464</v>
      </c>
      <c r="Q119" s="1487">
        <f t="shared" si="40"/>
        <v>1466446.6874129053</v>
      </c>
      <c r="R119" s="1392">
        <f>R113/(1-R125)/(1-R126)</f>
        <v>850038.87669120322</v>
      </c>
      <c r="S119" s="1392">
        <f>S113/(1-S125)/(1-S126)</f>
        <v>710088.87511939649</v>
      </c>
      <c r="T119" s="1392"/>
      <c r="U119" s="207">
        <f t="shared" si="40"/>
        <v>1546680.9154836801</v>
      </c>
      <c r="V119" s="207">
        <f t="shared" si="40"/>
        <v>1488714.4672990574</v>
      </c>
      <c r="W119" s="207">
        <f>W113/(1-W125)/(1-W126)</f>
        <v>1548749.6440060169</v>
      </c>
      <c r="X119" s="207">
        <f>X113/(1-X125)/(1-X126)</f>
        <v>1546680.9154836801</v>
      </c>
      <c r="Y119" s="207">
        <f>Y113/(1-Y125)/(1-Y126)</f>
        <v>1361288.6216417991</v>
      </c>
      <c r="Z119" s="179"/>
      <c r="AA119" s="179"/>
      <c r="AB119" s="179"/>
      <c r="AC119" s="179"/>
      <c r="AD119" s="179"/>
      <c r="AE119" s="179"/>
      <c r="AF119" s="179"/>
      <c r="AG119" s="179"/>
      <c r="AH119" s="179"/>
      <c r="AI119" s="179"/>
      <c r="AJ119" s="179"/>
      <c r="AK119" s="179"/>
      <c r="AL119" s="179"/>
      <c r="AM119" s="179"/>
      <c r="AN119" s="179"/>
      <c r="AO119" s="179"/>
      <c r="AP119" s="179"/>
      <c r="AQ119" s="179"/>
      <c r="AR119" s="179"/>
      <c r="AS119" s="179"/>
      <c r="AT119" s="179"/>
      <c r="AU119" s="179"/>
      <c r="AV119" s="179"/>
      <c r="AW119" s="179"/>
      <c r="AX119" s="179"/>
      <c r="AY119" s="179"/>
      <c r="AZ119" s="179"/>
      <c r="BA119" s="179"/>
      <c r="BB119" s="179"/>
      <c r="BC119" s="179"/>
      <c r="BD119" s="179"/>
      <c r="BE119" s="179"/>
      <c r="BF119" s="179"/>
    </row>
    <row r="120" spans="1:58" s="168" customFormat="1" ht="15.75" hidden="1" customHeight="1" outlineLevel="1">
      <c r="A120" s="169"/>
      <c r="B120" s="184"/>
      <c r="C120" s="184"/>
      <c r="D120" s="181"/>
      <c r="E120" s="181"/>
      <c r="F120" s="181"/>
      <c r="G120" s="179"/>
      <c r="H120" s="179"/>
      <c r="I120" s="208"/>
      <c r="J120" s="208"/>
      <c r="K120" s="208"/>
      <c r="L120" s="208"/>
      <c r="M120" s="185"/>
      <c r="N120" s="577"/>
      <c r="O120" s="577"/>
      <c r="P120" s="577"/>
      <c r="Q120" s="1466"/>
      <c r="R120" s="1371"/>
      <c r="S120" s="1371"/>
      <c r="T120" s="1371"/>
      <c r="U120" s="577"/>
      <c r="V120" s="577"/>
      <c r="W120" s="577"/>
      <c r="X120" s="577"/>
      <c r="Y120" s="577"/>
      <c r="Z120" s="179"/>
      <c r="AA120" s="179"/>
      <c r="AB120" s="179"/>
      <c r="AC120" s="179"/>
      <c r="AD120" s="179"/>
      <c r="AE120" s="179"/>
      <c r="AF120" s="179"/>
      <c r="AG120" s="179"/>
      <c r="AH120" s="179"/>
      <c r="AI120" s="179"/>
      <c r="AJ120" s="179"/>
      <c r="AK120" s="179"/>
      <c r="AL120" s="179"/>
      <c r="AM120" s="179"/>
      <c r="AN120" s="179"/>
      <c r="AO120" s="179"/>
      <c r="AP120" s="179"/>
      <c r="AQ120" s="179"/>
      <c r="AR120" s="179"/>
      <c r="AS120" s="179"/>
      <c r="AT120" s="179"/>
      <c r="AU120" s="179"/>
      <c r="AV120" s="179"/>
      <c r="AW120" s="179"/>
      <c r="AX120" s="179"/>
      <c r="AY120" s="179"/>
      <c r="AZ120" s="179"/>
      <c r="BA120" s="179"/>
      <c r="BB120" s="179"/>
      <c r="BC120" s="179"/>
      <c r="BD120" s="179"/>
      <c r="BE120" s="179"/>
      <c r="BF120" s="179"/>
    </row>
    <row r="121" spans="1:58" s="168" customFormat="1" ht="15.75" hidden="1" customHeight="1" outlineLevel="1">
      <c r="A121" s="169"/>
      <c r="B121" s="181" t="s">
        <v>1646</v>
      </c>
      <c r="C121" s="181" t="s">
        <v>509</v>
      </c>
      <c r="D121" s="181"/>
      <c r="E121" s="181"/>
      <c r="F121" s="181"/>
      <c r="G121" s="179"/>
      <c r="H121" s="179"/>
      <c r="I121" s="206"/>
      <c r="J121" s="206"/>
      <c r="K121" s="206">
        <v>53.167688336965753</v>
      </c>
      <c r="L121" s="206">
        <f t="shared" ref="L121:U121" si="41">1/L124/L123/(1-L125)</f>
        <v>52.209217370257228</v>
      </c>
      <c r="M121" s="193">
        <f>1/M124/M123/(1-M125)</f>
        <v>51.548645012936646</v>
      </c>
      <c r="N121" s="206">
        <f t="shared" si="41"/>
        <v>52.252883052822433</v>
      </c>
      <c r="O121" s="206">
        <f>1/O124/O123/(1-O125)</f>
        <v>51.978648335585461</v>
      </c>
      <c r="P121" s="218">
        <f t="shared" si="41"/>
        <v>51.919915399613046</v>
      </c>
      <c r="Q121" s="1488">
        <f t="shared" si="41"/>
        <v>52.948153168417484</v>
      </c>
      <c r="R121" s="1393">
        <f>1/R124/R123/(1-R125)</f>
        <v>54.567281458037762</v>
      </c>
      <c r="S121" s="1393">
        <f>1/S124/S123/(1-S125)</f>
        <v>55.066079295154182</v>
      </c>
      <c r="T121" s="1393"/>
      <c r="U121" s="206">
        <f t="shared" si="41"/>
        <v>52.443885043003981</v>
      </c>
      <c r="V121" s="206">
        <f>1/V124/V123/(1-V125)</f>
        <v>52.443885043003981</v>
      </c>
      <c r="W121" s="206">
        <f>1/W124/W123/(1-W125)</f>
        <v>52.443885043003981</v>
      </c>
      <c r="X121" s="206">
        <f>1/X124/X123/(1-X125)</f>
        <v>52.443885043003981</v>
      </c>
      <c r="Y121" s="206">
        <f>1/Y124/Y123/(1-Y125)</f>
        <v>52.443885043003981</v>
      </c>
      <c r="Z121" s="179"/>
      <c r="AA121" s="179"/>
      <c r="AB121" s="179"/>
      <c r="AC121" s="179"/>
      <c r="AD121" s="179"/>
      <c r="AE121" s="179"/>
      <c r="AF121" s="179"/>
      <c r="AG121" s="179"/>
      <c r="AH121" s="179"/>
      <c r="AI121" s="179"/>
      <c r="AJ121" s="179"/>
      <c r="AK121" s="179"/>
      <c r="AL121" s="179"/>
      <c r="AM121" s="179"/>
      <c r="AN121" s="179"/>
      <c r="AO121" s="179"/>
      <c r="AP121" s="179"/>
      <c r="AQ121" s="179"/>
      <c r="AR121" s="179"/>
      <c r="AS121" s="179"/>
      <c r="AT121" s="179"/>
      <c r="AU121" s="179"/>
      <c r="AV121" s="179"/>
      <c r="AW121" s="179"/>
      <c r="AX121" s="179"/>
      <c r="AY121" s="179"/>
      <c r="AZ121" s="179"/>
      <c r="BA121" s="179"/>
      <c r="BB121" s="179"/>
      <c r="BC121" s="179"/>
      <c r="BD121" s="179"/>
      <c r="BE121" s="179"/>
      <c r="BF121" s="179"/>
    </row>
    <row r="122" spans="1:58" s="168" customFormat="1" ht="15.75" hidden="1" customHeight="1" outlineLevel="1">
      <c r="A122" s="169"/>
      <c r="B122" s="181" t="s">
        <v>1647</v>
      </c>
      <c r="C122" s="181" t="s">
        <v>511</v>
      </c>
      <c r="D122" s="181"/>
      <c r="E122" s="181"/>
      <c r="F122" s="181"/>
      <c r="G122" s="179"/>
      <c r="H122" s="179"/>
      <c r="I122" s="206"/>
      <c r="J122" s="206"/>
      <c r="K122" s="206">
        <v>73.844011579119098</v>
      </c>
      <c r="L122" s="206">
        <f t="shared" ref="L122:U122" si="42">L121/(1-L126)</f>
        <v>72.512801903135042</v>
      </c>
      <c r="M122" s="193">
        <f t="shared" si="42"/>
        <v>71.101579328188478</v>
      </c>
      <c r="N122" s="206">
        <f t="shared" si="42"/>
        <v>73.327088202108385</v>
      </c>
      <c r="O122" s="206">
        <f t="shared" si="42"/>
        <v>71.694687359428229</v>
      </c>
      <c r="P122" s="218">
        <f t="shared" si="42"/>
        <v>71.220734430196231</v>
      </c>
      <c r="Q122" s="1488">
        <f t="shared" si="42"/>
        <v>72.631211479310679</v>
      </c>
      <c r="R122" s="1393">
        <f>R121/(1-R126)</f>
        <v>75.120156192232614</v>
      </c>
      <c r="S122" s="1393">
        <f>S121/(1-S126)</f>
        <v>76.480665687714151</v>
      </c>
      <c r="T122" s="1393"/>
      <c r="U122" s="206">
        <f t="shared" si="42"/>
        <v>72.83872922639442</v>
      </c>
      <c r="V122" s="206">
        <f>V121/(1-V126)</f>
        <v>72.83872922639442</v>
      </c>
      <c r="W122" s="206">
        <f>W121/(1-W126)</f>
        <v>72.83872922639442</v>
      </c>
      <c r="X122" s="206">
        <f>X121/(1-X126)</f>
        <v>72.83872922639442</v>
      </c>
      <c r="Y122" s="206">
        <f>Y121/(1-Y126)</f>
        <v>72.83872922639442</v>
      </c>
      <c r="Z122" s="179"/>
      <c r="AA122" s="179"/>
      <c r="AB122" s="179"/>
      <c r="AC122" s="179"/>
      <c r="AD122" s="179"/>
      <c r="AE122" s="179"/>
      <c r="AF122" s="179"/>
      <c r="AG122" s="179"/>
      <c r="AH122" s="179"/>
      <c r="AI122" s="179"/>
      <c r="AJ122" s="179"/>
      <c r="AK122" s="179"/>
      <c r="AL122" s="179"/>
      <c r="AM122" s="179"/>
      <c r="AN122" s="179"/>
      <c r="AO122" s="179"/>
      <c r="AP122" s="179"/>
      <c r="AQ122" s="179"/>
      <c r="AR122" s="179"/>
      <c r="AS122" s="179"/>
      <c r="AT122" s="179"/>
      <c r="AU122" s="179"/>
      <c r="AV122" s="179"/>
      <c r="AW122" s="179"/>
      <c r="AX122" s="179"/>
      <c r="AY122" s="179"/>
      <c r="AZ122" s="179"/>
      <c r="BA122" s="179"/>
      <c r="BB122" s="179"/>
      <c r="BC122" s="179"/>
      <c r="BD122" s="179"/>
      <c r="BE122" s="179"/>
      <c r="BF122" s="179"/>
    </row>
    <row r="123" spans="1:58" s="168" customFormat="1" ht="15.75" hidden="1" customHeight="1" outlineLevel="1">
      <c r="A123" s="169"/>
      <c r="B123" s="184" t="s">
        <v>1648</v>
      </c>
      <c r="C123" s="184" t="s">
        <v>507</v>
      </c>
      <c r="D123" s="181"/>
      <c r="E123" s="181"/>
      <c r="F123" s="181"/>
      <c r="G123" s="179"/>
      <c r="H123" s="179"/>
      <c r="I123" s="209"/>
      <c r="J123" s="209"/>
      <c r="K123" s="209">
        <v>2.112E-2</v>
      </c>
      <c r="L123" s="614">
        <v>2.1229999999999999E-2</v>
      </c>
      <c r="M123" s="616">
        <v>2.1360000000000001E-2</v>
      </c>
      <c r="N123" s="615">
        <v>2.1100000000000001E-2</v>
      </c>
      <c r="O123" s="615">
        <v>2.1215999999999999E-2</v>
      </c>
      <c r="P123" s="1198">
        <v>2.1239999999999998E-2</v>
      </c>
      <c r="Q123" s="1489">
        <v>2.0799999999999999E-2</v>
      </c>
      <c r="R123" s="1964">
        <v>0.02</v>
      </c>
      <c r="S123" s="1394">
        <f>R123</f>
        <v>0.02</v>
      </c>
      <c r="T123" s="1394"/>
      <c r="U123" s="615">
        <v>2.1000000000000001E-2</v>
      </c>
      <c r="V123" s="615">
        <f t="shared" ref="V123:Y124" si="43">U123</f>
        <v>2.1000000000000001E-2</v>
      </c>
      <c r="W123" s="615">
        <f t="shared" si="43"/>
        <v>2.1000000000000001E-2</v>
      </c>
      <c r="X123" s="615">
        <f t="shared" si="43"/>
        <v>2.1000000000000001E-2</v>
      </c>
      <c r="Y123" s="615">
        <f t="shared" si="43"/>
        <v>2.1000000000000001E-2</v>
      </c>
      <c r="Z123" s="179"/>
      <c r="AA123" s="179"/>
      <c r="AB123" s="179"/>
      <c r="AC123" s="179"/>
      <c r="AD123" s="179"/>
      <c r="AE123" s="179"/>
      <c r="AF123" s="179"/>
      <c r="AG123" s="179"/>
      <c r="AH123" s="179"/>
      <c r="AI123" s="179"/>
      <c r="AJ123" s="179"/>
      <c r="AK123" s="179"/>
      <c r="AL123" s="179"/>
      <c r="AM123" s="179"/>
      <c r="AN123" s="179"/>
      <c r="AO123" s="179"/>
      <c r="AP123" s="179"/>
      <c r="AQ123" s="179"/>
      <c r="AR123" s="179"/>
      <c r="AS123" s="179"/>
      <c r="AT123" s="179"/>
      <c r="AU123" s="179"/>
      <c r="AV123" s="179"/>
      <c r="AW123" s="179"/>
      <c r="AX123" s="179"/>
      <c r="AY123" s="179"/>
      <c r="AZ123" s="179"/>
      <c r="BA123" s="179"/>
      <c r="BB123" s="179"/>
      <c r="BC123" s="179"/>
      <c r="BD123" s="179"/>
      <c r="BE123" s="179"/>
      <c r="BF123" s="179"/>
    </row>
    <row r="124" spans="1:58" s="168" customFormat="1" ht="15.75" hidden="1" customHeight="1" outlineLevel="1">
      <c r="A124" s="169"/>
      <c r="B124" s="404" t="s">
        <v>1649</v>
      </c>
      <c r="C124" s="404" t="s">
        <v>508</v>
      </c>
      <c r="D124" s="181"/>
      <c r="E124" s="181"/>
      <c r="F124" s="181"/>
      <c r="G124" s="179"/>
      <c r="H124" s="179"/>
      <c r="I124" s="208"/>
      <c r="J124" s="208"/>
      <c r="K124" s="208">
        <v>0.9</v>
      </c>
      <c r="L124" s="198">
        <v>0.9022</v>
      </c>
      <c r="M124" s="198">
        <v>0.90820000000000001</v>
      </c>
      <c r="N124" s="208">
        <v>0.90700000000000003</v>
      </c>
      <c r="O124" s="208">
        <v>0.90680000000000005</v>
      </c>
      <c r="P124" s="620">
        <v>0.90680000000000005</v>
      </c>
      <c r="Q124" s="1490">
        <v>0.90800000000000003</v>
      </c>
      <c r="R124" s="1965">
        <v>0.9163</v>
      </c>
      <c r="S124" s="1395">
        <v>0.90800000000000003</v>
      </c>
      <c r="T124" s="1395"/>
      <c r="U124" s="208">
        <f>Q124</f>
        <v>0.90800000000000003</v>
      </c>
      <c r="V124" s="208">
        <f t="shared" si="43"/>
        <v>0.90800000000000003</v>
      </c>
      <c r="W124" s="208">
        <f t="shared" si="43"/>
        <v>0.90800000000000003</v>
      </c>
      <c r="X124" s="208">
        <f t="shared" si="43"/>
        <v>0.90800000000000003</v>
      </c>
      <c r="Y124" s="208">
        <f t="shared" si="43"/>
        <v>0.90800000000000003</v>
      </c>
      <c r="Z124" s="179"/>
      <c r="AA124" s="179"/>
      <c r="AB124" s="179"/>
      <c r="AC124" s="179"/>
      <c r="AD124" s="179"/>
      <c r="AE124" s="179"/>
      <c r="AF124" s="179"/>
      <c r="AG124" s="179"/>
      <c r="AH124" s="179"/>
      <c r="AI124" s="179"/>
      <c r="AJ124" s="179"/>
      <c r="AK124" s="179"/>
      <c r="AL124" s="179"/>
      <c r="AM124" s="179"/>
      <c r="AN124" s="179"/>
      <c r="AO124" s="179"/>
      <c r="AP124" s="179"/>
      <c r="AQ124" s="179"/>
      <c r="AR124" s="179"/>
      <c r="AS124" s="179"/>
      <c r="AT124" s="179"/>
      <c r="AU124" s="179"/>
      <c r="AV124" s="179"/>
      <c r="AW124" s="179"/>
      <c r="AX124" s="179"/>
      <c r="AY124" s="179"/>
      <c r="AZ124" s="179"/>
      <c r="BA124" s="179"/>
      <c r="BB124" s="179"/>
      <c r="BC124" s="179"/>
      <c r="BD124" s="179"/>
      <c r="BE124" s="179"/>
      <c r="BF124" s="179"/>
    </row>
    <row r="125" spans="1:58" s="168" customFormat="1" ht="15.75" hidden="1" customHeight="1" outlineLevel="1">
      <c r="A125" s="169"/>
      <c r="B125" s="404" t="s">
        <v>1650</v>
      </c>
      <c r="C125" s="404" t="s">
        <v>580</v>
      </c>
      <c r="D125" s="181"/>
      <c r="E125" s="181"/>
      <c r="F125" s="181"/>
      <c r="G125" s="179"/>
      <c r="H125" s="179"/>
      <c r="I125" s="208"/>
      <c r="J125" s="208"/>
      <c r="K125" s="615">
        <v>1.0500000000000001E-2</v>
      </c>
      <c r="L125" s="616">
        <v>0</v>
      </c>
      <c r="M125" s="616">
        <f>L125</f>
        <v>0</v>
      </c>
      <c r="N125" s="615">
        <v>0</v>
      </c>
      <c r="O125" s="615">
        <v>0</v>
      </c>
      <c r="P125" s="1198">
        <v>0</v>
      </c>
      <c r="Q125" s="1489">
        <v>0</v>
      </c>
      <c r="R125" s="1394">
        <v>0</v>
      </c>
      <c r="S125" s="1394">
        <v>0</v>
      </c>
      <c r="T125" s="1394"/>
      <c r="U125" s="615">
        <v>0</v>
      </c>
      <c r="V125" s="615">
        <v>0</v>
      </c>
      <c r="W125" s="615">
        <v>0</v>
      </c>
      <c r="X125" s="615">
        <v>0</v>
      </c>
      <c r="Y125" s="615">
        <v>0</v>
      </c>
      <c r="Z125" s="179"/>
      <c r="AA125" s="179"/>
      <c r="AB125" s="179"/>
      <c r="AC125" s="179"/>
      <c r="AD125" s="179"/>
      <c r="AE125" s="179"/>
      <c r="AF125" s="179"/>
      <c r="AG125" s="179"/>
      <c r="AH125" s="179"/>
      <c r="AI125" s="179"/>
      <c r="AJ125" s="179"/>
      <c r="AK125" s="179"/>
      <c r="AL125" s="179"/>
      <c r="AM125" s="179"/>
      <c r="AN125" s="179"/>
      <c r="AO125" s="179"/>
      <c r="AP125" s="179"/>
      <c r="AQ125" s="179"/>
      <c r="AR125" s="179"/>
      <c r="AS125" s="179"/>
      <c r="AT125" s="179"/>
      <c r="AU125" s="179"/>
      <c r="AV125" s="179"/>
      <c r="AW125" s="179"/>
      <c r="AX125" s="179"/>
      <c r="AY125" s="179"/>
      <c r="AZ125" s="179"/>
      <c r="BA125" s="179"/>
      <c r="BB125" s="179"/>
      <c r="BC125" s="179"/>
      <c r="BD125" s="179"/>
      <c r="BE125" s="179"/>
      <c r="BF125" s="179"/>
    </row>
    <row r="126" spans="1:58" s="168" customFormat="1" ht="15.75" hidden="1" customHeight="1" outlineLevel="1">
      <c r="A126" s="169"/>
      <c r="B126" s="404" t="s">
        <v>1651</v>
      </c>
      <c r="C126" s="404" t="s">
        <v>510</v>
      </c>
      <c r="D126" s="181"/>
      <c r="E126" s="181"/>
      <c r="F126" s="181"/>
      <c r="G126" s="179"/>
      <c r="H126" s="179"/>
      <c r="I126" s="208"/>
      <c r="J126" s="208"/>
      <c r="K126" s="615">
        <v>0.28000000000000003</v>
      </c>
      <c r="L126" s="615">
        <v>0.28000000000000003</v>
      </c>
      <c r="M126" s="616">
        <v>0.27500000000000002</v>
      </c>
      <c r="N126" s="615">
        <v>0.28739999999999999</v>
      </c>
      <c r="O126" s="615">
        <v>0.27500000000000002</v>
      </c>
      <c r="P126" s="1198">
        <v>0.27100000000000002</v>
      </c>
      <c r="Q126" s="1489">
        <f t="shared" ref="Q126:Y126" si="44">P126</f>
        <v>0.27100000000000002</v>
      </c>
      <c r="R126" s="1964">
        <v>0.27360000000000001</v>
      </c>
      <c r="S126" s="1394">
        <v>0.28000000000000003</v>
      </c>
      <c r="T126" s="1394"/>
      <c r="U126" s="615">
        <v>0.28000000000000003</v>
      </c>
      <c r="V126" s="615">
        <f t="shared" si="44"/>
        <v>0.28000000000000003</v>
      </c>
      <c r="W126" s="615">
        <f t="shared" si="44"/>
        <v>0.28000000000000003</v>
      </c>
      <c r="X126" s="615">
        <f t="shared" si="44"/>
        <v>0.28000000000000003</v>
      </c>
      <c r="Y126" s="615">
        <f t="shared" si="44"/>
        <v>0.28000000000000003</v>
      </c>
      <c r="Z126" s="179"/>
      <c r="AA126" s="179"/>
      <c r="AB126" s="179"/>
      <c r="AC126" s="179"/>
      <c r="AD126" s="179"/>
      <c r="AE126" s="179"/>
      <c r="AF126" s="179"/>
      <c r="AG126" s="179"/>
      <c r="AH126" s="179"/>
      <c r="AI126" s="179"/>
      <c r="AJ126" s="179"/>
      <c r="AK126" s="179"/>
      <c r="AL126" s="179"/>
      <c r="AM126" s="179"/>
      <c r="AN126" s="179"/>
      <c r="AO126" s="179"/>
      <c r="AP126" s="179"/>
      <c r="AQ126" s="179"/>
      <c r="AR126" s="179"/>
      <c r="AS126" s="179"/>
      <c r="AT126" s="179"/>
      <c r="AU126" s="179"/>
      <c r="AV126" s="179"/>
      <c r="AW126" s="179"/>
      <c r="AX126" s="179"/>
      <c r="AY126" s="179"/>
      <c r="AZ126" s="179"/>
      <c r="BA126" s="179"/>
      <c r="BB126" s="179"/>
      <c r="BC126" s="179"/>
      <c r="BD126" s="179"/>
      <c r="BE126" s="179"/>
      <c r="BF126" s="179"/>
    </row>
    <row r="127" spans="1:58" s="168" customFormat="1" ht="15.75" hidden="1" customHeight="1" outlineLevel="1">
      <c r="A127" s="169"/>
      <c r="B127" s="406"/>
      <c r="C127" s="406"/>
      <c r="D127" s="179"/>
      <c r="E127" s="179"/>
      <c r="F127" s="179"/>
      <c r="G127" s="179"/>
      <c r="H127" s="179"/>
      <c r="I127" s="179"/>
      <c r="J127" s="179"/>
      <c r="K127" s="179"/>
      <c r="L127" s="185"/>
      <c r="M127" s="185"/>
      <c r="N127" s="577"/>
      <c r="O127" s="577"/>
      <c r="P127" s="577"/>
      <c r="Q127" s="1466"/>
      <c r="R127" s="1371"/>
      <c r="S127" s="1371"/>
      <c r="T127" s="1371"/>
      <c r="U127" s="577"/>
      <c r="V127" s="577"/>
      <c r="W127" s="577"/>
      <c r="X127" s="577"/>
      <c r="Y127" s="577"/>
      <c r="Z127" s="179"/>
      <c r="AA127" s="179"/>
      <c r="AB127" s="179"/>
      <c r="AC127" s="179"/>
      <c r="AD127" s="179"/>
      <c r="AE127" s="179"/>
      <c r="AF127" s="179"/>
      <c r="AG127" s="179"/>
      <c r="AH127" s="179"/>
      <c r="AI127" s="179"/>
      <c r="AJ127" s="179"/>
      <c r="AK127" s="179"/>
      <c r="AL127" s="179"/>
      <c r="AM127" s="179"/>
      <c r="AN127" s="179"/>
      <c r="AO127" s="179"/>
      <c r="AP127" s="179"/>
      <c r="AQ127" s="179"/>
      <c r="AR127" s="179"/>
      <c r="AS127" s="179"/>
      <c r="AT127" s="179"/>
      <c r="AU127" s="179"/>
      <c r="AV127" s="179"/>
      <c r="AW127" s="179"/>
      <c r="AX127" s="179"/>
      <c r="AY127" s="179"/>
      <c r="AZ127" s="179"/>
      <c r="BA127" s="179"/>
      <c r="BB127" s="179"/>
      <c r="BC127" s="179"/>
      <c r="BD127" s="179"/>
      <c r="BE127" s="179"/>
      <c r="BF127" s="179"/>
    </row>
    <row r="128" spans="1:58" s="168" customFormat="1" ht="15.75" hidden="1" customHeight="1" outlineLevel="1">
      <c r="A128" s="169"/>
      <c r="B128" s="406" t="s">
        <v>1652</v>
      </c>
      <c r="C128" s="406" t="s">
        <v>581</v>
      </c>
      <c r="D128" s="179"/>
      <c r="E128" s="179"/>
      <c r="F128" s="181"/>
      <c r="G128" s="181"/>
      <c r="H128" s="179"/>
      <c r="I128" s="208"/>
      <c r="J128" s="208"/>
      <c r="K128" s="617">
        <v>1</v>
      </c>
      <c r="L128" s="617">
        <v>1</v>
      </c>
      <c r="M128" s="633">
        <v>1</v>
      </c>
      <c r="N128" s="617">
        <v>1</v>
      </c>
      <c r="O128" s="617">
        <v>1</v>
      </c>
      <c r="P128" s="1199">
        <v>1</v>
      </c>
      <c r="Q128" s="1491">
        <v>1</v>
      </c>
      <c r="R128" s="1396">
        <v>1</v>
      </c>
      <c r="S128" s="1396">
        <v>1</v>
      </c>
      <c r="T128" s="1396"/>
      <c r="U128" s="617">
        <v>1</v>
      </c>
      <c r="V128" s="617">
        <v>1</v>
      </c>
      <c r="W128" s="617">
        <v>1</v>
      </c>
      <c r="X128" s="617">
        <v>1</v>
      </c>
      <c r="Y128" s="617">
        <v>1</v>
      </c>
      <c r="Z128" s="179"/>
      <c r="AA128" s="179"/>
      <c r="AB128" s="179"/>
      <c r="AC128" s="179"/>
      <c r="AD128" s="179"/>
      <c r="AE128" s="179"/>
      <c r="AF128" s="179"/>
      <c r="AG128" s="179"/>
      <c r="AH128" s="179"/>
      <c r="AI128" s="179"/>
      <c r="AJ128" s="179"/>
      <c r="AK128" s="179"/>
      <c r="AL128" s="179"/>
      <c r="AM128" s="179"/>
      <c r="AN128" s="179"/>
      <c r="AO128" s="179"/>
      <c r="AP128" s="179"/>
      <c r="AQ128" s="179"/>
      <c r="AR128" s="179"/>
      <c r="AS128" s="179"/>
      <c r="AT128" s="179"/>
      <c r="AU128" s="179"/>
      <c r="AV128" s="179"/>
      <c r="AW128" s="179"/>
      <c r="AX128" s="179"/>
      <c r="AY128" s="179"/>
      <c r="AZ128" s="179"/>
      <c r="BA128" s="179"/>
      <c r="BB128" s="179"/>
      <c r="BC128" s="179"/>
      <c r="BD128" s="179"/>
      <c r="BE128" s="179"/>
      <c r="BF128" s="179"/>
    </row>
    <row r="129" spans="1:58" s="168" customFormat="1" ht="15.75" hidden="1" customHeight="1" outlineLevel="1">
      <c r="A129" s="169"/>
      <c r="B129" s="184" t="s">
        <v>1653</v>
      </c>
      <c r="C129" s="184" t="s">
        <v>582</v>
      </c>
      <c r="D129" s="181"/>
      <c r="E129" s="181"/>
      <c r="F129" s="181"/>
      <c r="G129" s="181"/>
      <c r="H129" s="179"/>
      <c r="I129" s="210"/>
      <c r="J129" s="210"/>
      <c r="K129" s="181">
        <v>750690.24759979779</v>
      </c>
      <c r="L129" s="181">
        <f>L119*L128*(1-L126)</f>
        <v>799220.5240425067</v>
      </c>
      <c r="M129" s="379">
        <f>M15/(1-M125)/M123/M124</f>
        <v>743456.16756856185</v>
      </c>
      <c r="N129" s="181">
        <f t="shared" ref="N129:Y129" si="45">N119*N128*(1-N126)</f>
        <v>832110.72507080482</v>
      </c>
      <c r="O129" s="181">
        <f t="shared" si="45"/>
        <v>691503.26694794733</v>
      </c>
      <c r="P129" s="216">
        <f t="shared" si="45"/>
        <v>1084163.3108505562</v>
      </c>
      <c r="Q129" s="1467">
        <f t="shared" si="45"/>
        <v>1069039.6351240079</v>
      </c>
      <c r="R129" s="1372">
        <f>R119*R128*(1-R126)</f>
        <v>617468.24002848996</v>
      </c>
      <c r="S129" s="1372">
        <f>S119*S128*(1-S126)</f>
        <v>511263.99008596543</v>
      </c>
      <c r="T129" s="1372"/>
      <c r="U129" s="181">
        <f t="shared" si="45"/>
        <v>1113610.2591482496</v>
      </c>
      <c r="V129" s="181">
        <f t="shared" si="45"/>
        <v>1071874.4164553212</v>
      </c>
      <c r="W129" s="181">
        <f t="shared" si="45"/>
        <v>1115099.7436843321</v>
      </c>
      <c r="X129" s="181">
        <f t="shared" si="45"/>
        <v>1113610.2591482496</v>
      </c>
      <c r="Y129" s="181">
        <f t="shared" si="45"/>
        <v>980127.80758209527</v>
      </c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179"/>
      <c r="AJ129" s="179"/>
      <c r="AK129" s="179"/>
      <c r="AL129" s="179"/>
      <c r="AM129" s="179"/>
      <c r="AN129" s="179"/>
      <c r="AO129" s="179"/>
      <c r="AP129" s="179"/>
      <c r="AQ129" s="179"/>
      <c r="AR129" s="179"/>
      <c r="AS129" s="179"/>
      <c r="AT129" s="179"/>
      <c r="AU129" s="179"/>
      <c r="AV129" s="179"/>
      <c r="AW129" s="179"/>
      <c r="AX129" s="179"/>
      <c r="AY129" s="179"/>
      <c r="AZ129" s="179"/>
      <c r="BA129" s="179"/>
      <c r="BB129" s="179"/>
      <c r="BC129" s="179"/>
      <c r="BD129" s="179"/>
      <c r="BE129" s="179"/>
      <c r="BF129" s="179"/>
    </row>
    <row r="130" spans="1:58" s="168" customFormat="1" ht="15.75" hidden="1" customHeight="1" outlineLevel="1">
      <c r="A130" s="169"/>
      <c r="B130" s="184" t="s">
        <v>1654</v>
      </c>
      <c r="C130" s="184" t="s">
        <v>583</v>
      </c>
      <c r="D130" s="181"/>
      <c r="E130" s="181"/>
      <c r="F130" s="181"/>
      <c r="G130" s="181"/>
      <c r="H130" s="179"/>
      <c r="I130" s="210"/>
      <c r="J130" s="210"/>
      <c r="K130" s="181">
        <v>1042625.343888608</v>
      </c>
      <c r="L130" s="181">
        <f t="shared" ref="L130:U130" si="46">L129/(1-L126)</f>
        <v>1110028.5056145927</v>
      </c>
      <c r="M130" s="379">
        <f>M129/(1-M126)</f>
        <v>1025456.7828531888</v>
      </c>
      <c r="N130" s="181">
        <f t="shared" si="46"/>
        <v>1167710.8126169026</v>
      </c>
      <c r="O130" s="181">
        <f t="shared" si="46"/>
        <v>953797.60958337563</v>
      </c>
      <c r="P130" s="216">
        <f t="shared" si="46"/>
        <v>1487192.4703025464</v>
      </c>
      <c r="Q130" s="1467">
        <f t="shared" si="46"/>
        <v>1466446.6874129053</v>
      </c>
      <c r="R130" s="1372">
        <f>R129/(1-R126)</f>
        <v>850038.87669120322</v>
      </c>
      <c r="S130" s="1372">
        <f>S129/(1-S126)</f>
        <v>710088.87511939649</v>
      </c>
      <c r="T130" s="1372"/>
      <c r="U130" s="181">
        <f t="shared" si="46"/>
        <v>1546680.9154836801</v>
      </c>
      <c r="V130" s="181">
        <f>V129/(1-V126)</f>
        <v>1488714.4672990574</v>
      </c>
      <c r="W130" s="181">
        <f>W129/(1-W126)</f>
        <v>1548749.6440060169</v>
      </c>
      <c r="X130" s="181">
        <f>X129/(1-X126)</f>
        <v>1546680.9154836801</v>
      </c>
      <c r="Y130" s="181">
        <f>Y129/(1-Y126)</f>
        <v>1361288.6216417991</v>
      </c>
      <c r="Z130" s="179"/>
      <c r="AA130" s="179"/>
      <c r="AB130" s="179"/>
      <c r="AC130" s="179"/>
      <c r="AD130" s="179"/>
      <c r="AE130" s="179"/>
      <c r="AF130" s="179"/>
      <c r="AG130" s="179"/>
      <c r="AH130" s="179"/>
      <c r="AI130" s="179"/>
      <c r="AJ130" s="179"/>
      <c r="AK130" s="179"/>
      <c r="AL130" s="179"/>
      <c r="AM130" s="179"/>
      <c r="AN130" s="179"/>
      <c r="AO130" s="179"/>
      <c r="AP130" s="179"/>
      <c r="AQ130" s="179"/>
      <c r="AR130" s="179"/>
      <c r="AS130" s="179"/>
      <c r="AT130" s="179"/>
      <c r="AU130" s="179"/>
      <c r="AV130" s="179"/>
      <c r="AW130" s="179"/>
      <c r="AX130" s="179"/>
      <c r="AY130" s="179"/>
      <c r="AZ130" s="179"/>
      <c r="BA130" s="179"/>
      <c r="BB130" s="179"/>
      <c r="BC130" s="179"/>
      <c r="BD130" s="179"/>
      <c r="BE130" s="179"/>
      <c r="BF130" s="179"/>
    </row>
    <row r="131" spans="1:58" s="168" customFormat="1" ht="15.75" hidden="1" customHeight="1" outlineLevel="1">
      <c r="A131" s="169"/>
      <c r="B131" s="590"/>
      <c r="C131" s="590"/>
      <c r="D131" s="185"/>
      <c r="E131" s="185"/>
      <c r="F131" s="185"/>
      <c r="G131" s="185"/>
      <c r="H131" s="205"/>
      <c r="I131" s="205"/>
      <c r="J131" s="205"/>
      <c r="K131" s="205"/>
      <c r="L131" s="205"/>
      <c r="M131" s="185"/>
      <c r="N131" s="577"/>
      <c r="O131" s="577"/>
      <c r="P131" s="577"/>
      <c r="Q131" s="1466"/>
      <c r="R131" s="1371"/>
      <c r="S131" s="1371"/>
      <c r="T131" s="1371"/>
      <c r="U131" s="577"/>
      <c r="V131" s="577"/>
      <c r="W131" s="577"/>
      <c r="X131" s="577"/>
      <c r="Y131" s="577"/>
      <c r="Z131" s="179"/>
      <c r="AA131" s="179"/>
      <c r="AB131" s="179"/>
      <c r="AC131" s="179"/>
      <c r="AD131" s="179"/>
      <c r="AE131" s="179"/>
      <c r="AF131" s="179"/>
      <c r="AG131" s="179"/>
      <c r="AH131" s="179"/>
      <c r="AI131" s="179"/>
      <c r="AJ131" s="179"/>
      <c r="AK131" s="179"/>
      <c r="AL131" s="179"/>
      <c r="AM131" s="179"/>
      <c r="AN131" s="179"/>
      <c r="AO131" s="179"/>
      <c r="AP131" s="179"/>
      <c r="AQ131" s="179"/>
      <c r="AR131" s="179"/>
      <c r="AS131" s="179"/>
      <c r="AT131" s="179"/>
      <c r="AU131" s="179"/>
      <c r="AV131" s="179"/>
      <c r="AW131" s="179"/>
      <c r="AX131" s="179"/>
      <c r="AY131" s="179"/>
      <c r="AZ131" s="179"/>
      <c r="BA131" s="179"/>
      <c r="BB131" s="179"/>
      <c r="BC131" s="179"/>
      <c r="BD131" s="179"/>
      <c r="BE131" s="179"/>
      <c r="BF131" s="179"/>
    </row>
    <row r="132" spans="1:58" s="168" customFormat="1" ht="15.75" hidden="1" customHeight="1" outlineLevel="2">
      <c r="A132" s="169"/>
      <c r="B132" s="590"/>
      <c r="C132" s="590"/>
      <c r="D132" s="185"/>
      <c r="E132" s="185"/>
      <c r="F132" s="185"/>
      <c r="G132" s="185"/>
      <c r="H132" s="205"/>
      <c r="I132" s="205"/>
      <c r="J132" s="205"/>
      <c r="K132" s="205"/>
      <c r="L132" s="205"/>
      <c r="M132" s="185"/>
      <c r="N132" s="592"/>
      <c r="O132" s="185"/>
      <c r="P132" s="215"/>
      <c r="Q132" s="1492"/>
      <c r="R132" s="1397"/>
      <c r="S132" s="1397"/>
      <c r="T132" s="1397"/>
      <c r="U132" s="185"/>
      <c r="V132" s="185"/>
      <c r="W132" s="185"/>
      <c r="X132" s="185"/>
      <c r="Y132" s="185"/>
      <c r="Z132" s="179"/>
      <c r="AA132" s="179"/>
      <c r="AB132" s="179"/>
      <c r="AC132" s="179"/>
      <c r="AD132" s="179"/>
      <c r="AE132" s="179"/>
      <c r="AF132" s="179"/>
      <c r="AG132" s="179"/>
      <c r="AH132" s="179"/>
      <c r="AI132" s="179"/>
      <c r="AJ132" s="179"/>
      <c r="AK132" s="179"/>
      <c r="AL132" s="179"/>
      <c r="AM132" s="179"/>
      <c r="AN132" s="179"/>
      <c r="AO132" s="179"/>
      <c r="AP132" s="179"/>
      <c r="AQ132" s="179"/>
      <c r="AR132" s="179"/>
      <c r="AS132" s="179"/>
      <c r="AT132" s="179"/>
      <c r="AU132" s="179"/>
      <c r="AV132" s="179"/>
      <c r="AW132" s="179"/>
      <c r="AX132" s="179"/>
      <c r="AY132" s="179"/>
      <c r="AZ132" s="179"/>
      <c r="BA132" s="179"/>
      <c r="BB132" s="179"/>
      <c r="BC132" s="179"/>
      <c r="BD132" s="179"/>
      <c r="BE132" s="179"/>
      <c r="BF132" s="179"/>
    </row>
    <row r="133" spans="1:58" s="168" customFormat="1" ht="15.75" hidden="1" customHeight="1" outlineLevel="2">
      <c r="A133" s="169"/>
      <c r="B133" s="590"/>
      <c r="C133" s="590"/>
      <c r="D133" s="185"/>
      <c r="E133" s="185"/>
      <c r="F133" s="185"/>
      <c r="G133" s="185"/>
      <c r="H133" s="205"/>
      <c r="I133" s="205"/>
      <c r="J133" s="205"/>
      <c r="K133" s="205"/>
      <c r="L133" s="205"/>
      <c r="M133" s="185"/>
      <c r="N133" s="592"/>
      <c r="O133" s="185"/>
      <c r="P133" s="215"/>
      <c r="Q133" s="1492"/>
      <c r="R133" s="1397"/>
      <c r="S133" s="1397"/>
      <c r="T133" s="1397"/>
      <c r="U133" s="185"/>
      <c r="V133" s="185"/>
      <c r="W133" s="185"/>
      <c r="X133" s="185"/>
      <c r="Y133" s="185"/>
      <c r="Z133" s="179"/>
      <c r="AA133" s="179"/>
      <c r="AB133" s="179"/>
      <c r="AC133" s="179"/>
      <c r="AD133" s="179"/>
      <c r="AE133" s="179"/>
      <c r="AF133" s="179"/>
      <c r="AG133" s="179"/>
      <c r="AH133" s="179"/>
      <c r="AI133" s="179"/>
      <c r="AJ133" s="179"/>
      <c r="AK133" s="179"/>
      <c r="AL133" s="179"/>
      <c r="AM133" s="179"/>
      <c r="AN133" s="179"/>
      <c r="AO133" s="179"/>
      <c r="AP133" s="179"/>
      <c r="AQ133" s="179"/>
      <c r="AR133" s="179"/>
      <c r="AS133" s="179"/>
      <c r="AT133" s="179"/>
      <c r="AU133" s="179"/>
      <c r="AV133" s="179"/>
      <c r="AW133" s="179"/>
      <c r="AX133" s="179"/>
      <c r="AY133" s="179"/>
      <c r="AZ133" s="179"/>
      <c r="BA133" s="179"/>
      <c r="BB133" s="179"/>
      <c r="BC133" s="179"/>
      <c r="BD133" s="179"/>
      <c r="BE133" s="179"/>
      <c r="BF133" s="179"/>
    </row>
    <row r="134" spans="1:58" s="168" customFormat="1" ht="15.75" hidden="1" customHeight="1" outlineLevel="2">
      <c r="A134" s="169"/>
      <c r="B134" s="590"/>
      <c r="C134" s="590"/>
      <c r="D134" s="185"/>
      <c r="E134" s="185"/>
      <c r="F134" s="185"/>
      <c r="G134" s="185"/>
      <c r="H134" s="205"/>
      <c r="I134" s="205"/>
      <c r="J134" s="205"/>
      <c r="K134" s="205"/>
      <c r="L134" s="205"/>
      <c r="M134" s="185"/>
      <c r="N134" s="592"/>
      <c r="O134" s="577"/>
      <c r="P134" s="577"/>
      <c r="Q134" s="1466"/>
      <c r="R134" s="1371"/>
      <c r="S134" s="1371"/>
      <c r="T134" s="1371"/>
      <c r="U134" s="577"/>
      <c r="V134" s="577"/>
      <c r="W134" s="577"/>
      <c r="X134" s="577"/>
      <c r="Y134" s="577"/>
      <c r="Z134" s="179"/>
      <c r="AA134" s="179"/>
      <c r="AB134" s="179"/>
      <c r="AC134" s="179"/>
      <c r="AD134" s="179"/>
      <c r="AE134" s="179"/>
      <c r="AF134" s="179"/>
      <c r="AG134" s="179"/>
      <c r="AH134" s="179"/>
      <c r="AI134" s="179"/>
      <c r="AJ134" s="179"/>
      <c r="AK134" s="179"/>
      <c r="AL134" s="179"/>
      <c r="AM134" s="179"/>
      <c r="AN134" s="179"/>
      <c r="AO134" s="179"/>
      <c r="AP134" s="179"/>
      <c r="AQ134" s="179"/>
      <c r="AR134" s="179"/>
      <c r="AS134" s="179"/>
      <c r="AT134" s="179"/>
      <c r="AU134" s="179"/>
      <c r="AV134" s="179"/>
      <c r="AW134" s="179"/>
      <c r="AX134" s="179"/>
      <c r="AY134" s="179"/>
      <c r="AZ134" s="179"/>
      <c r="BA134" s="179"/>
      <c r="BB134" s="179"/>
      <c r="BC134" s="179"/>
      <c r="BD134" s="179"/>
      <c r="BE134" s="179"/>
      <c r="BF134" s="179"/>
    </row>
    <row r="135" spans="1:58" ht="27" hidden="1" customHeight="1" outlineLevel="1">
      <c r="B135" s="297" t="s">
        <v>1655</v>
      </c>
      <c r="C135" s="297" t="s">
        <v>584</v>
      </c>
      <c r="H135" s="211"/>
      <c r="I135" s="211"/>
      <c r="J135" s="211"/>
      <c r="K135" s="211"/>
      <c r="L135" s="211"/>
      <c r="M135" s="323"/>
      <c r="N135" s="211"/>
      <c r="O135" s="211"/>
      <c r="P135" s="211"/>
      <c r="Q135" s="1493"/>
      <c r="R135" s="1398"/>
      <c r="S135" s="1398"/>
      <c r="T135" s="1398"/>
      <c r="U135" s="211"/>
      <c r="V135" s="211"/>
      <c r="W135" s="211"/>
      <c r="X135" s="211"/>
      <c r="Y135" s="211"/>
    </row>
    <row r="136" spans="1:58" ht="3" hidden="1" customHeight="1" outlineLevel="1">
      <c r="B136" s="299"/>
      <c r="C136" s="299"/>
      <c r="D136" s="170"/>
      <c r="E136" s="170"/>
      <c r="F136" s="170"/>
      <c r="G136" s="170"/>
      <c r="H136" s="212"/>
      <c r="I136" s="212"/>
      <c r="J136" s="212"/>
      <c r="K136" s="212"/>
      <c r="L136" s="212"/>
      <c r="M136" s="212"/>
      <c r="N136" s="212"/>
      <c r="O136" s="212"/>
      <c r="P136" s="212"/>
      <c r="Q136" s="1494"/>
      <c r="R136" s="1399"/>
      <c r="S136" s="1399"/>
      <c r="T136" s="1399"/>
      <c r="U136" s="212"/>
      <c r="V136" s="212"/>
      <c r="W136" s="212"/>
      <c r="X136" s="212"/>
      <c r="Y136" s="212"/>
    </row>
    <row r="137" spans="1:58" ht="15.75" hidden="1" customHeight="1" outlineLevel="1">
      <c r="H137" s="211"/>
      <c r="I137" s="211"/>
      <c r="J137" s="211"/>
      <c r="K137" s="211"/>
      <c r="L137" s="211"/>
      <c r="M137" s="323"/>
      <c r="N137" s="211"/>
      <c r="O137" s="211"/>
      <c r="P137" s="211"/>
      <c r="Q137" s="1493"/>
      <c r="R137" s="1398"/>
      <c r="S137" s="1398"/>
      <c r="T137" s="1398"/>
      <c r="U137" s="211"/>
      <c r="V137" s="211"/>
      <c r="W137" s="211"/>
      <c r="X137" s="211"/>
      <c r="Y137" s="211"/>
    </row>
    <row r="138" spans="1:58" ht="15.75" hidden="1" customHeight="1" outlineLevel="1">
      <c r="B138" s="302"/>
      <c r="C138" s="302"/>
      <c r="D138" s="303"/>
      <c r="E138" s="303"/>
      <c r="F138" s="303"/>
      <c r="G138" s="303"/>
      <c r="H138" s="172"/>
      <c r="I138" s="172"/>
      <c r="J138" s="172"/>
      <c r="K138" s="172"/>
      <c r="L138" s="173"/>
      <c r="M138" s="173"/>
      <c r="N138" s="173"/>
      <c r="O138" s="173"/>
      <c r="P138" s="173"/>
      <c r="Q138" s="1472"/>
      <c r="R138" s="1377"/>
      <c r="S138" s="1377"/>
      <c r="T138" s="1377"/>
      <c r="U138" s="173"/>
      <c r="V138" s="173"/>
      <c r="W138" s="173"/>
      <c r="X138" s="173"/>
      <c r="Y138" s="173"/>
    </row>
    <row r="139" spans="1:58" ht="15.75" hidden="1" customHeight="1" outlineLevel="1">
      <c r="B139" s="603"/>
      <c r="C139" s="603"/>
      <c r="D139" s="233"/>
      <c r="E139" s="233"/>
      <c r="F139" s="233"/>
      <c r="G139" s="603"/>
      <c r="H139" s="603"/>
      <c r="I139" s="174">
        <v>0</v>
      </c>
      <c r="J139" s="174">
        <v>1</v>
      </c>
      <c r="K139" s="174">
        <v>2</v>
      </c>
      <c r="L139" s="174">
        <f t="shared" ref="L139:Q141" si="47">L7</f>
        <v>3</v>
      </c>
      <c r="M139" s="174">
        <f t="shared" si="47"/>
        <v>4</v>
      </c>
      <c r="N139" s="174">
        <f t="shared" si="47"/>
        <v>5</v>
      </c>
      <c r="O139" s="174">
        <f t="shared" si="47"/>
        <v>6</v>
      </c>
      <c r="P139" s="174">
        <f t="shared" si="47"/>
        <v>7</v>
      </c>
      <c r="Q139" s="1473">
        <f t="shared" si="47"/>
        <v>8</v>
      </c>
      <c r="R139" s="1378" t="str">
        <f t="shared" ref="R139:S141" si="48">R7</f>
        <v>1H 8y</v>
      </c>
      <c r="S139" s="1378" t="str">
        <f t="shared" si="48"/>
        <v>2H 8y</v>
      </c>
      <c r="T139" s="1378"/>
      <c r="U139" s="174">
        <f t="shared" ref="U139:V141" si="49">U7</f>
        <v>9</v>
      </c>
      <c r="V139" s="174">
        <f t="shared" si="49"/>
        <v>10</v>
      </c>
      <c r="W139" s="174">
        <f t="shared" ref="W139:Y141" si="50">W7</f>
        <v>11</v>
      </c>
      <c r="X139" s="174">
        <f t="shared" si="50"/>
        <v>12</v>
      </c>
      <c r="Y139" s="174">
        <f t="shared" si="50"/>
        <v>13</v>
      </c>
      <c r="Z139" s="179"/>
      <c r="AA139" s="179"/>
      <c r="AB139" s="179"/>
      <c r="AC139" s="179"/>
      <c r="AD139" s="179"/>
      <c r="AE139" s="179"/>
      <c r="AF139" s="179"/>
      <c r="AG139" s="179"/>
      <c r="AH139" s="179"/>
      <c r="AI139" s="179"/>
      <c r="AJ139" s="179"/>
      <c r="AK139" s="179"/>
      <c r="AL139" s="179"/>
      <c r="AM139" s="179"/>
      <c r="AN139" s="179"/>
      <c r="AO139" s="179"/>
      <c r="AP139" s="179"/>
      <c r="AQ139" s="179"/>
      <c r="AR139" s="179"/>
      <c r="AS139" s="179"/>
      <c r="AT139" s="179"/>
      <c r="AU139" s="179"/>
      <c r="AV139" s="179"/>
      <c r="AW139" s="179"/>
      <c r="AX139" s="179"/>
      <c r="AY139" s="179"/>
      <c r="AZ139" s="179"/>
      <c r="BA139" s="179"/>
      <c r="BB139" s="179"/>
      <c r="BC139" s="179"/>
      <c r="BD139" s="179"/>
      <c r="BE139" s="179"/>
      <c r="BF139" s="179"/>
    </row>
    <row r="140" spans="1:58" ht="15.75" hidden="1" customHeight="1" outlineLevel="1">
      <c r="B140" s="604"/>
      <c r="C140" s="604"/>
      <c r="D140" s="234"/>
      <c r="E140" s="234"/>
      <c r="F140" s="234"/>
      <c r="G140" s="604"/>
      <c r="H140" s="604"/>
      <c r="I140" s="176"/>
      <c r="J140" s="176"/>
      <c r="K140" s="176"/>
      <c r="L140" s="176"/>
      <c r="M140" s="176"/>
      <c r="N140" s="176"/>
      <c r="O140" s="176"/>
      <c r="P140" s="176"/>
      <c r="Q140" s="1464"/>
      <c r="R140" s="1368"/>
      <c r="S140" s="1368"/>
      <c r="T140" s="1368"/>
      <c r="U140" s="176"/>
      <c r="V140" s="176"/>
      <c r="W140" s="176"/>
      <c r="X140" s="176"/>
      <c r="Y140" s="176"/>
      <c r="Z140" s="179"/>
      <c r="AA140" s="179"/>
      <c r="AB140" s="179"/>
      <c r="AC140" s="179"/>
      <c r="AD140" s="179"/>
      <c r="AE140" s="179"/>
      <c r="AF140" s="179"/>
      <c r="AG140" s="179"/>
      <c r="AH140" s="179"/>
      <c r="AI140" s="179"/>
      <c r="AJ140" s="179"/>
      <c r="AK140" s="179"/>
      <c r="AL140" s="179"/>
      <c r="AM140" s="179"/>
      <c r="AN140" s="179"/>
      <c r="AO140" s="179"/>
      <c r="AP140" s="179"/>
      <c r="AQ140" s="179"/>
      <c r="AR140" s="179"/>
      <c r="AS140" s="179"/>
      <c r="AT140" s="179"/>
      <c r="AU140" s="179"/>
      <c r="AV140" s="179"/>
      <c r="AW140" s="179"/>
      <c r="AX140" s="179"/>
      <c r="AY140" s="179"/>
      <c r="AZ140" s="179"/>
      <c r="BA140" s="179"/>
      <c r="BB140" s="179"/>
      <c r="BC140" s="179"/>
      <c r="BD140" s="179"/>
      <c r="BE140" s="179"/>
      <c r="BF140" s="179"/>
    </row>
    <row r="141" spans="1:58" ht="15.75" hidden="1" customHeight="1" outlineLevel="1">
      <c r="B141" s="177"/>
      <c r="C141" s="177"/>
      <c r="D141" s="260"/>
      <c r="E141" s="235"/>
      <c r="F141" s="235"/>
      <c r="G141" s="177"/>
      <c r="H141" s="177"/>
      <c r="I141" s="213" t="s">
        <v>499</v>
      </c>
      <c r="J141" s="213" t="s">
        <v>499</v>
      </c>
      <c r="K141" s="213" t="s">
        <v>499</v>
      </c>
      <c r="L141" s="213" t="str">
        <f t="shared" si="47"/>
        <v>($)</v>
      </c>
      <c r="M141" s="213" t="str">
        <f t="shared" si="47"/>
        <v>($)</v>
      </c>
      <c r="N141" s="213" t="str">
        <f t="shared" si="47"/>
        <v>($)</v>
      </c>
      <c r="O141" s="213" t="str">
        <f t="shared" si="47"/>
        <v>($)</v>
      </c>
      <c r="P141" s="213" t="str">
        <f t="shared" si="47"/>
        <v>($)</v>
      </c>
      <c r="Q141" s="1495" t="str">
        <f t="shared" si="47"/>
        <v>($)</v>
      </c>
      <c r="R141" s="1400" t="str">
        <f t="shared" si="48"/>
        <v>($)</v>
      </c>
      <c r="S141" s="1400" t="str">
        <f t="shared" si="48"/>
        <v>($)</v>
      </c>
      <c r="T141" s="1400"/>
      <c r="U141" s="213" t="str">
        <f t="shared" si="49"/>
        <v>($)</v>
      </c>
      <c r="V141" s="213" t="str">
        <f t="shared" si="49"/>
        <v>($)</v>
      </c>
      <c r="W141" s="213" t="str">
        <f t="shared" si="50"/>
        <v>($)</v>
      </c>
      <c r="X141" s="213" t="str">
        <f t="shared" si="50"/>
        <v>($)</v>
      </c>
      <c r="Y141" s="213" t="str">
        <f t="shared" si="50"/>
        <v>($)</v>
      </c>
      <c r="Z141" s="179"/>
      <c r="AA141" s="179"/>
      <c r="AB141" s="179"/>
      <c r="AC141" s="179"/>
      <c r="AD141" s="179"/>
      <c r="AE141" s="179"/>
      <c r="AF141" s="179"/>
      <c r="AG141" s="179"/>
      <c r="AH141" s="179"/>
      <c r="AI141" s="179"/>
      <c r="AJ141" s="179"/>
      <c r="AK141" s="179"/>
      <c r="AL141" s="179"/>
      <c r="AM141" s="179"/>
      <c r="AN141" s="179"/>
      <c r="AO141" s="179"/>
      <c r="AP141" s="179"/>
      <c r="AQ141" s="179"/>
      <c r="AR141" s="179"/>
      <c r="AS141" s="179"/>
      <c r="AT141" s="179"/>
      <c r="AU141" s="179"/>
      <c r="AV141" s="179"/>
      <c r="AW141" s="179"/>
      <c r="AX141" s="179"/>
      <c r="AY141" s="179"/>
      <c r="AZ141" s="179"/>
      <c r="BA141" s="179"/>
      <c r="BB141" s="179"/>
      <c r="BC141" s="179"/>
      <c r="BD141" s="179"/>
      <c r="BE141" s="179"/>
      <c r="BF141" s="179"/>
    </row>
    <row r="142" spans="1:58" ht="15.75" hidden="1" customHeight="1" outlineLevel="1">
      <c r="B142" s="179"/>
      <c r="C142" s="179"/>
      <c r="D142" s="179"/>
      <c r="E142" s="179"/>
      <c r="F142" s="179"/>
      <c r="G142" s="179"/>
      <c r="K142" s="179"/>
      <c r="L142" s="179"/>
      <c r="M142" s="185"/>
      <c r="O142" s="256"/>
      <c r="Q142" s="1466"/>
      <c r="R142" s="1371"/>
      <c r="S142" s="1371"/>
      <c r="T142" s="1371"/>
      <c r="Z142" s="179"/>
      <c r="AA142" s="179"/>
      <c r="AB142" s="179"/>
      <c r="AC142" s="179"/>
      <c r="AD142" s="179"/>
      <c r="AE142" s="179"/>
      <c r="AF142" s="179"/>
      <c r="AG142" s="179"/>
      <c r="AH142" s="179"/>
      <c r="AI142" s="179"/>
      <c r="AJ142" s="179"/>
      <c r="AK142" s="179"/>
      <c r="AL142" s="179"/>
      <c r="AM142" s="179"/>
      <c r="AN142" s="179"/>
      <c r="AO142" s="179"/>
      <c r="AP142" s="179"/>
      <c r="AQ142" s="179"/>
      <c r="AR142" s="179"/>
      <c r="AS142" s="179"/>
      <c r="AT142" s="179"/>
      <c r="AU142" s="179"/>
      <c r="AV142" s="179"/>
      <c r="AW142" s="179"/>
      <c r="AX142" s="179"/>
      <c r="AY142" s="179"/>
      <c r="AZ142" s="179"/>
      <c r="BA142" s="179"/>
      <c r="BB142" s="179"/>
      <c r="BC142" s="179"/>
      <c r="BD142" s="179"/>
      <c r="BE142" s="179"/>
      <c r="BF142" s="179"/>
    </row>
    <row r="143" spans="1:58" ht="15.75" hidden="1" customHeight="1" outlineLevel="1">
      <c r="B143" s="593" t="s">
        <v>1656</v>
      </c>
      <c r="C143" s="593" t="s">
        <v>515</v>
      </c>
      <c r="D143" s="214"/>
      <c r="E143" s="214"/>
      <c r="F143" s="214"/>
      <c r="G143" s="214"/>
      <c r="H143" s="214"/>
      <c r="I143" s="214"/>
      <c r="J143" s="214"/>
      <c r="K143" s="214"/>
      <c r="L143" s="215"/>
      <c r="M143" s="185"/>
      <c r="O143" s="256"/>
      <c r="Q143" s="1466"/>
      <c r="R143" s="1371">
        <f>R147/R119</f>
        <v>71.550399999999996</v>
      </c>
      <c r="S143" s="1371"/>
      <c r="T143" s="1371"/>
      <c r="Z143" s="179"/>
      <c r="AA143" s="179"/>
      <c r="AB143" s="179"/>
      <c r="AC143" s="179"/>
      <c r="AD143" s="179"/>
      <c r="AE143" s="179"/>
      <c r="AF143" s="179"/>
      <c r="AG143" s="179"/>
      <c r="AH143" s="179"/>
      <c r="AI143" s="179"/>
      <c r="AJ143" s="179"/>
      <c r="AK143" s="179"/>
      <c r="AL143" s="179"/>
      <c r="AM143" s="179"/>
      <c r="AN143" s="179"/>
      <c r="AO143" s="179"/>
      <c r="AP143" s="179"/>
      <c r="AQ143" s="179"/>
      <c r="AR143" s="179"/>
      <c r="AS143" s="179"/>
      <c r="AT143" s="179"/>
      <c r="AU143" s="179"/>
      <c r="AV143" s="179"/>
      <c r="AW143" s="179"/>
      <c r="AX143" s="179"/>
      <c r="AY143" s="179"/>
      <c r="AZ143" s="179"/>
      <c r="BA143" s="179"/>
      <c r="BB143" s="179"/>
      <c r="BC143" s="179"/>
      <c r="BD143" s="179"/>
      <c r="BE143" s="179"/>
      <c r="BF143" s="179"/>
    </row>
    <row r="144" spans="1:58" ht="15.75" hidden="1" customHeight="1" outlineLevel="1">
      <c r="B144" s="594" t="s">
        <v>1657</v>
      </c>
      <c r="C144" s="594" t="s">
        <v>506</v>
      </c>
      <c r="D144" s="216"/>
      <c r="E144" s="216"/>
      <c r="F144" s="216"/>
      <c r="G144" s="216"/>
      <c r="H144" s="214"/>
      <c r="I144" s="214"/>
      <c r="J144" s="214"/>
      <c r="K144" s="216"/>
      <c r="L144" s="216"/>
      <c r="M144" s="185"/>
      <c r="Q144" s="1466"/>
      <c r="R144" s="1371"/>
      <c r="S144" s="1371"/>
      <c r="T144" s="1371"/>
      <c r="Z144" s="179"/>
      <c r="AA144" s="179"/>
      <c r="AB144" s="179"/>
      <c r="AC144" s="179"/>
      <c r="AD144" s="179"/>
      <c r="AE144" s="179"/>
      <c r="AF144" s="179"/>
      <c r="AG144" s="179"/>
      <c r="AH144" s="179"/>
      <c r="AI144" s="179"/>
      <c r="AJ144" s="179"/>
      <c r="AK144" s="179"/>
      <c r="AL144" s="179"/>
      <c r="AM144" s="179"/>
      <c r="AN144" s="179"/>
      <c r="AO144" s="179"/>
      <c r="AP144" s="179"/>
      <c r="AQ144" s="179"/>
      <c r="AR144" s="179"/>
      <c r="AS144" s="179"/>
      <c r="AT144" s="179"/>
      <c r="AU144" s="179"/>
      <c r="AV144" s="179"/>
      <c r="AW144" s="179"/>
      <c r="AX144" s="179"/>
      <c r="AY144" s="179"/>
      <c r="AZ144" s="179"/>
      <c r="BA144" s="179"/>
      <c r="BB144" s="179"/>
      <c r="BC144" s="179"/>
      <c r="BD144" s="179"/>
      <c r="BE144" s="179"/>
      <c r="BF144" s="179"/>
    </row>
    <row r="145" spans="1:58" ht="15.75" hidden="1" customHeight="1" outlineLevel="1">
      <c r="B145" s="217" t="s">
        <v>1658</v>
      </c>
      <c r="C145" s="217" t="s">
        <v>512</v>
      </c>
      <c r="D145" s="216"/>
      <c r="E145" s="216"/>
      <c r="F145" s="216"/>
      <c r="G145" s="216"/>
      <c r="H145" s="214"/>
      <c r="I145" s="279"/>
      <c r="J145" s="407">
        <v>0.18</v>
      </c>
      <c r="K145" s="407">
        <v>0.17</v>
      </c>
      <c r="L145" s="407">
        <v>0.112</v>
      </c>
      <c r="M145" s="634">
        <v>0.15</v>
      </c>
      <c r="N145" s="407">
        <v>0.17</v>
      </c>
      <c r="O145" s="407">
        <v>0.14699999999999999</v>
      </c>
      <c r="P145" s="407">
        <v>0.18</v>
      </c>
      <c r="Q145" s="1496">
        <v>0.1837</v>
      </c>
      <c r="R145" s="1959">
        <v>0.19700000000000001</v>
      </c>
      <c r="S145" s="1401">
        <v>0.16</v>
      </c>
      <c r="T145" s="1401"/>
      <c r="U145" s="407">
        <f>Q145</f>
        <v>0.1837</v>
      </c>
      <c r="V145" s="407">
        <f t="shared" ref="V145:Y146" si="51">U145</f>
        <v>0.1837</v>
      </c>
      <c r="W145" s="407">
        <f t="shared" si="51"/>
        <v>0.1837</v>
      </c>
      <c r="X145" s="407">
        <f t="shared" si="51"/>
        <v>0.1837</v>
      </c>
      <c r="Y145" s="407">
        <f t="shared" si="51"/>
        <v>0.1837</v>
      </c>
      <c r="Z145" s="179"/>
      <c r="AA145" s="179"/>
      <c r="AB145" s="179"/>
      <c r="AC145" s="179"/>
      <c r="AD145" s="179"/>
      <c r="AE145" s="179"/>
      <c r="AF145" s="179"/>
      <c r="AG145" s="179"/>
      <c r="AH145" s="179"/>
      <c r="AI145" s="179"/>
      <c r="AJ145" s="179"/>
      <c r="AK145" s="179"/>
      <c r="AL145" s="179"/>
      <c r="AM145" s="179"/>
      <c r="AN145" s="179"/>
      <c r="AO145" s="179"/>
      <c r="AP145" s="179"/>
      <c r="AQ145" s="179"/>
      <c r="AR145" s="179"/>
      <c r="AS145" s="179"/>
      <c r="AT145" s="179"/>
      <c r="AU145" s="179"/>
      <c r="AV145" s="179"/>
      <c r="AW145" s="179"/>
      <c r="AX145" s="179"/>
      <c r="AY145" s="179"/>
      <c r="AZ145" s="179"/>
      <c r="BA145" s="179"/>
      <c r="BB145" s="179"/>
      <c r="BC145" s="179"/>
      <c r="BD145" s="179"/>
      <c r="BE145" s="179"/>
      <c r="BF145" s="179"/>
    </row>
    <row r="146" spans="1:58" s="206" customFormat="1" ht="15.75" hidden="1" customHeight="1" outlineLevel="1">
      <c r="A146" s="169"/>
      <c r="B146" s="217" t="s">
        <v>1659</v>
      </c>
      <c r="C146" s="217" t="s">
        <v>585</v>
      </c>
      <c r="D146" s="216"/>
      <c r="E146" s="216"/>
      <c r="F146" s="216"/>
      <c r="G146" s="216"/>
      <c r="H146" s="214"/>
      <c r="I146" s="214"/>
      <c r="J146" s="218">
        <v>25.25</v>
      </c>
      <c r="K146" s="218">
        <v>70</v>
      </c>
      <c r="L146" s="218">
        <v>63.12</v>
      </c>
      <c r="M146" s="619">
        <f>32.63304-M150</f>
        <v>22.967040000000001</v>
      </c>
      <c r="N146" s="218">
        <v>30.5</v>
      </c>
      <c r="O146" s="218">
        <v>32</v>
      </c>
      <c r="P146" s="220">
        <v>32</v>
      </c>
      <c r="Q146" s="1497">
        <f>43200000/Q130</f>
        <v>29.45896388242598</v>
      </c>
      <c r="R146" s="1958">
        <v>27.85</v>
      </c>
      <c r="S146" s="1402">
        <v>27</v>
      </c>
      <c r="T146" s="1402"/>
      <c r="U146" s="220">
        <v>27</v>
      </c>
      <c r="V146" s="220">
        <f t="shared" si="51"/>
        <v>27</v>
      </c>
      <c r="W146" s="220">
        <f t="shared" si="51"/>
        <v>27</v>
      </c>
      <c r="X146" s="220">
        <f t="shared" si="51"/>
        <v>27</v>
      </c>
      <c r="Y146" s="220">
        <f t="shared" si="51"/>
        <v>27</v>
      </c>
    </row>
    <row r="147" spans="1:58" ht="15.75" hidden="1" customHeight="1" outlineLevel="1">
      <c r="B147" s="593" t="s">
        <v>1660</v>
      </c>
      <c r="C147" s="593" t="s">
        <v>641</v>
      </c>
      <c r="D147" s="216"/>
      <c r="E147" s="216"/>
      <c r="F147" s="216"/>
      <c r="G147" s="216"/>
      <c r="H147" s="214"/>
      <c r="I147" s="214"/>
      <c r="J147" s="216">
        <f>J129*J145*J17*J123</f>
        <v>0</v>
      </c>
      <c r="K147" s="216">
        <v>100471887.88374573</v>
      </c>
      <c r="L147" s="216">
        <f t="shared" ref="L147:U147" si="52">L129*L145*L17*L123</f>
        <v>45347040.449450552</v>
      </c>
      <c r="M147" s="222">
        <f t="shared" si="52"/>
        <v>40876910.741982818</v>
      </c>
      <c r="N147" s="216">
        <f>N129*N145*N17*N123</f>
        <v>65665185.758237503</v>
      </c>
      <c r="O147" s="216">
        <f>O129*O145*O17*O123</f>
        <v>43132543.936008886</v>
      </c>
      <c r="P147" s="216">
        <f t="shared" si="52"/>
        <v>87044436.570920765</v>
      </c>
      <c r="Q147" s="1498">
        <f t="shared" si="52"/>
        <v>89864669.052915454</v>
      </c>
      <c r="R147" s="1403">
        <f>R129*R145*R17*R123</f>
        <v>60820621.642806262</v>
      </c>
      <c r="S147" s="1403">
        <f>S129*S145*S17*S123</f>
        <v>40901119.206877239</v>
      </c>
      <c r="T147" s="1403"/>
      <c r="U147" s="216">
        <f t="shared" si="52"/>
        <v>107399357.41790506</v>
      </c>
      <c r="V147" s="216">
        <f>V129*V145*V17*V123</f>
        <v>103374248.40899234</v>
      </c>
      <c r="W147" s="216">
        <f>W129*W145*W17*W123</f>
        <v>107543007.03027621</v>
      </c>
      <c r="X147" s="216">
        <f>X129*X145*X17*X123</f>
        <v>107399357.41790506</v>
      </c>
      <c r="Y147" s="216">
        <f>Y129*Y145*Y17*Y123</f>
        <v>94525976.082736239</v>
      </c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179"/>
      <c r="AJ147" s="179"/>
      <c r="AK147" s="179"/>
      <c r="AL147" s="179"/>
      <c r="AM147" s="179"/>
      <c r="AN147" s="179"/>
      <c r="AO147" s="179"/>
      <c r="AP147" s="179"/>
      <c r="AQ147" s="179"/>
      <c r="AR147" s="179"/>
      <c r="AS147" s="179"/>
      <c r="AT147" s="179"/>
      <c r="AU147" s="179"/>
      <c r="AV147" s="179"/>
      <c r="AW147" s="179"/>
      <c r="AX147" s="179"/>
      <c r="AY147" s="179"/>
      <c r="AZ147" s="179"/>
      <c r="BA147" s="179"/>
      <c r="BB147" s="179"/>
      <c r="BC147" s="179"/>
      <c r="BD147" s="179"/>
      <c r="BE147" s="179"/>
      <c r="BF147" s="179"/>
    </row>
    <row r="148" spans="1:58" ht="15.75" hidden="1" customHeight="1" outlineLevel="1">
      <c r="B148" s="593" t="s">
        <v>1137</v>
      </c>
      <c r="C148" s="593" t="s">
        <v>618</v>
      </c>
      <c r="D148" s="214"/>
      <c r="E148" s="214"/>
      <c r="F148" s="214"/>
      <c r="G148" s="214"/>
      <c r="H148" s="214"/>
      <c r="I148" s="214"/>
      <c r="J148" s="214"/>
      <c r="K148" s="215"/>
      <c r="L148" s="215"/>
      <c r="M148" s="185"/>
      <c r="Q148" s="1466"/>
      <c r="R148" s="1371"/>
      <c r="S148" s="1371"/>
      <c r="T148" s="1371"/>
      <c r="Z148" s="179"/>
      <c r="AA148" s="179"/>
      <c r="AB148" s="179"/>
      <c r="AC148" s="179"/>
      <c r="AD148" s="179"/>
      <c r="AE148" s="179"/>
      <c r="AF148" s="179"/>
      <c r="AG148" s="179"/>
      <c r="AH148" s="179"/>
      <c r="AI148" s="179"/>
      <c r="AJ148" s="179"/>
      <c r="AK148" s="179"/>
      <c r="AL148" s="179"/>
      <c r="AM148" s="179"/>
      <c r="AN148" s="179"/>
      <c r="AO148" s="179"/>
      <c r="AP148" s="179"/>
      <c r="AQ148" s="179"/>
      <c r="AR148" s="179"/>
      <c r="AS148" s="179"/>
      <c r="AT148" s="179"/>
      <c r="AU148" s="179"/>
      <c r="AV148" s="179"/>
      <c r="AW148" s="179"/>
      <c r="AX148" s="179"/>
      <c r="AY148" s="179"/>
      <c r="AZ148" s="179"/>
      <c r="BA148" s="179"/>
      <c r="BB148" s="179"/>
      <c r="BC148" s="179"/>
      <c r="BD148" s="179"/>
      <c r="BE148" s="179"/>
      <c r="BF148" s="179"/>
    </row>
    <row r="149" spans="1:58" ht="15.75" hidden="1" customHeight="1" outlineLevel="1">
      <c r="B149" s="594" t="s">
        <v>1661</v>
      </c>
      <c r="C149" s="594" t="s">
        <v>619</v>
      </c>
      <c r="D149" s="214"/>
      <c r="E149" s="214"/>
      <c r="F149" s="214"/>
      <c r="G149" s="214"/>
      <c r="H149" s="214"/>
      <c r="I149" s="214"/>
      <c r="J149" s="214"/>
      <c r="K149" s="216">
        <v>72983774.072202563</v>
      </c>
      <c r="L149" s="216">
        <f t="shared" ref="L149:U149" si="53">L146*L130</f>
        <v>70064999.274393082</v>
      </c>
      <c r="M149" s="222">
        <f t="shared" si="53"/>
        <v>23551706.950060502</v>
      </c>
      <c r="N149" s="216">
        <f>N146*N130</f>
        <v>35615179.784815527</v>
      </c>
      <c r="O149" s="216">
        <f t="shared" si="53"/>
        <v>30521523.50666802</v>
      </c>
      <c r="P149" s="216">
        <f t="shared" si="53"/>
        <v>47590159.049681485</v>
      </c>
      <c r="Q149" s="1498">
        <f t="shared" si="53"/>
        <v>43200000</v>
      </c>
      <c r="R149" s="1403">
        <f>R146*R130</f>
        <v>23673582.715850011</v>
      </c>
      <c r="S149" s="1403">
        <f>S146*S130</f>
        <v>19172399.628223706</v>
      </c>
      <c r="T149" s="1403"/>
      <c r="U149" s="216">
        <f t="shared" si="53"/>
        <v>41760384.718059361</v>
      </c>
      <c r="V149" s="216">
        <f>V146*V130</f>
        <v>40195290.617074549</v>
      </c>
      <c r="W149" s="216">
        <f>W146*W130</f>
        <v>41816240.388162456</v>
      </c>
      <c r="X149" s="216">
        <f>X146*X130</f>
        <v>41760384.718059361</v>
      </c>
      <c r="Y149" s="216">
        <f>Y146*Y130</f>
        <v>36754792.784328572</v>
      </c>
      <c r="Z149" s="179"/>
      <c r="AA149" s="179"/>
      <c r="AB149" s="179"/>
      <c r="AC149" s="179"/>
      <c r="AD149" s="179"/>
      <c r="AE149" s="179"/>
      <c r="AF149" s="179"/>
      <c r="AG149" s="179"/>
      <c r="AH149" s="179"/>
      <c r="AI149" s="179"/>
      <c r="AJ149" s="179"/>
      <c r="AK149" s="179"/>
      <c r="AL149" s="179"/>
      <c r="AM149" s="179"/>
      <c r="AN149" s="179"/>
      <c r="AO149" s="179"/>
      <c r="AP149" s="179"/>
      <c r="AQ149" s="179"/>
      <c r="AR149" s="179"/>
      <c r="AS149" s="179"/>
      <c r="AT149" s="179"/>
      <c r="AU149" s="179"/>
      <c r="AV149" s="179"/>
      <c r="AW149" s="179"/>
      <c r="AX149" s="179"/>
      <c r="AY149" s="179"/>
      <c r="AZ149" s="179"/>
      <c r="BA149" s="179"/>
      <c r="BB149" s="179"/>
      <c r="BC149" s="179"/>
      <c r="BD149" s="179"/>
      <c r="BE149" s="179"/>
      <c r="BF149" s="179"/>
    </row>
    <row r="150" spans="1:58" ht="15.75" hidden="1" customHeight="1" outlineLevel="1">
      <c r="B150" s="1968" t="s">
        <v>2048</v>
      </c>
      <c r="C150" s="594" t="s">
        <v>677</v>
      </c>
      <c r="D150" s="216"/>
      <c r="E150" s="216"/>
      <c r="F150" s="216"/>
      <c r="G150" s="216"/>
      <c r="H150" s="214"/>
      <c r="I150" s="214"/>
      <c r="J150" s="218">
        <v>4.9000000000000004</v>
      </c>
      <c r="K150" s="218">
        <v>7.5</v>
      </c>
      <c r="L150" s="220">
        <v>8.75</v>
      </c>
      <c r="M150" s="619">
        <v>9.6660000000000004</v>
      </c>
      <c r="N150" s="220">
        <v>9.35</v>
      </c>
      <c r="O150" s="220">
        <v>9.7639999999999993</v>
      </c>
      <c r="P150" s="220">
        <v>10.5</v>
      </c>
      <c r="Q150" s="1497">
        <v>9</v>
      </c>
      <c r="R150" s="1958">
        <v>8.8000000000000007</v>
      </c>
      <c r="S150" s="1402">
        <v>9</v>
      </c>
      <c r="T150" s="1402"/>
      <c r="U150" s="220">
        <f>Q150</f>
        <v>9</v>
      </c>
      <c r="V150" s="220">
        <f t="shared" ref="V150:Y158" si="54">U150</f>
        <v>9</v>
      </c>
      <c r="W150" s="220">
        <f t="shared" si="54"/>
        <v>9</v>
      </c>
      <c r="X150" s="220">
        <f t="shared" si="54"/>
        <v>9</v>
      </c>
      <c r="Y150" s="220">
        <f t="shared" si="54"/>
        <v>9</v>
      </c>
      <c r="Z150" s="179"/>
      <c r="AA150" s="179"/>
      <c r="AB150" s="179"/>
      <c r="AC150" s="179"/>
      <c r="AD150" s="179"/>
      <c r="AE150" s="179"/>
      <c r="AF150" s="179"/>
      <c r="AG150" s="179"/>
      <c r="AH150" s="179"/>
      <c r="AI150" s="179"/>
      <c r="AJ150" s="179"/>
      <c r="AK150" s="179"/>
      <c r="AL150" s="179"/>
      <c r="AM150" s="179"/>
      <c r="AN150" s="179"/>
      <c r="AO150" s="179"/>
      <c r="AP150" s="179"/>
      <c r="AQ150" s="179"/>
      <c r="AR150" s="179"/>
      <c r="AS150" s="179"/>
      <c r="AT150" s="179"/>
      <c r="AU150" s="179"/>
      <c r="AV150" s="179"/>
      <c r="AW150" s="179"/>
      <c r="AX150" s="179"/>
      <c r="AY150" s="179"/>
      <c r="AZ150" s="179"/>
      <c r="BA150" s="179"/>
      <c r="BB150" s="179"/>
      <c r="BC150" s="179"/>
      <c r="BD150" s="179"/>
      <c r="BE150" s="179"/>
      <c r="BF150" s="179"/>
    </row>
    <row r="151" spans="1:58" ht="15.75" hidden="1" customHeight="1" outlineLevel="1">
      <c r="B151" s="1968" t="s">
        <v>2049</v>
      </c>
      <c r="C151" s="594" t="s">
        <v>620</v>
      </c>
      <c r="D151" s="216"/>
      <c r="E151" s="216"/>
      <c r="F151" s="216"/>
      <c r="G151" s="216"/>
      <c r="H151" s="214"/>
      <c r="I151" s="214"/>
      <c r="J151" s="218"/>
      <c r="K151" s="216">
        <v>7819690.07916456</v>
      </c>
      <c r="L151" s="216">
        <f t="shared" ref="L151:S151" si="55">L150*L130</f>
        <v>9712749.4241276868</v>
      </c>
      <c r="M151" s="222">
        <f t="shared" si="55"/>
        <v>9912065.2630589232</v>
      </c>
      <c r="N151" s="216">
        <f t="shared" si="55"/>
        <v>10918096.09796804</v>
      </c>
      <c r="O151" s="216">
        <f t="shared" si="55"/>
        <v>9312879.8599720784</v>
      </c>
      <c r="P151" s="216">
        <f t="shared" si="55"/>
        <v>15615520.938176736</v>
      </c>
      <c r="Q151" s="1498">
        <f t="shared" si="55"/>
        <v>13198020.186716147</v>
      </c>
      <c r="R151" s="1403">
        <f t="shared" si="55"/>
        <v>7480342.1148825893</v>
      </c>
      <c r="S151" s="1403">
        <f t="shared" si="55"/>
        <v>6390799.8760745684</v>
      </c>
      <c r="T151" s="1403"/>
      <c r="U151" s="216">
        <f>U150*U130</f>
        <v>13920128.23935312</v>
      </c>
      <c r="V151" s="216">
        <f>V150*V130</f>
        <v>13398430.205691516</v>
      </c>
      <c r="W151" s="216">
        <f>W150*W130</f>
        <v>13938746.796054153</v>
      </c>
      <c r="X151" s="216">
        <f>X150*X130</f>
        <v>13920128.23935312</v>
      </c>
      <c r="Y151" s="216">
        <f>Y150*Y130</f>
        <v>12251597.594776193</v>
      </c>
      <c r="Z151" s="179"/>
      <c r="AA151" s="179"/>
      <c r="AB151" s="179"/>
      <c r="AC151" s="179"/>
      <c r="AD151" s="179"/>
      <c r="AE151" s="179"/>
      <c r="AF151" s="179"/>
      <c r="AG151" s="179"/>
      <c r="AH151" s="179"/>
      <c r="AI151" s="179"/>
      <c r="AJ151" s="179"/>
      <c r="AK151" s="179"/>
      <c r="AL151" s="179"/>
      <c r="AM151" s="179"/>
      <c r="AN151" s="179"/>
      <c r="AO151" s="179"/>
      <c r="AP151" s="179"/>
      <c r="AQ151" s="179"/>
      <c r="AR151" s="179"/>
      <c r="AS151" s="179"/>
      <c r="AT151" s="179"/>
      <c r="AU151" s="179"/>
      <c r="AV151" s="179"/>
      <c r="AW151" s="179"/>
      <c r="AX151" s="179"/>
      <c r="AY151" s="179"/>
      <c r="AZ151" s="179"/>
      <c r="BA151" s="179"/>
      <c r="BB151" s="179"/>
      <c r="BC151" s="179"/>
      <c r="BD151" s="179"/>
      <c r="BE151" s="179"/>
      <c r="BF151" s="179"/>
    </row>
    <row r="152" spans="1:58" ht="15.75" hidden="1" customHeight="1" outlineLevel="1">
      <c r="B152" s="594" t="s">
        <v>1662</v>
      </c>
      <c r="C152" s="594" t="s">
        <v>621</v>
      </c>
      <c r="D152" s="216"/>
      <c r="E152" s="216"/>
      <c r="F152" s="216"/>
      <c r="G152" s="216"/>
      <c r="H152" s="214"/>
      <c r="I152" s="214"/>
      <c r="J152" s="218"/>
      <c r="K152" s="618">
        <v>7.7350000000000003</v>
      </c>
      <c r="L152" s="618">
        <v>8.7349999999999994</v>
      </c>
      <c r="M152" s="635">
        <f>44097000/'Control list'!$I$21/899466.755</f>
        <v>1.8157671899971692</v>
      </c>
      <c r="N152" s="619">
        <f>55956/8/N130*1000</f>
        <v>5.9899248379185162</v>
      </c>
      <c r="O152" s="619">
        <f>6895/O130*1000</f>
        <v>7.2289969388912354</v>
      </c>
      <c r="P152" s="220">
        <f>13474000/P130</f>
        <v>9.0600243539821861</v>
      </c>
      <c r="Q152" s="1497">
        <f>13455000/Q130</f>
        <v>9.1752397925472593</v>
      </c>
      <c r="R152" s="1958">
        <f>104.66*(1-R126)/'Control list'!M21</f>
        <v>2.5341674666666663</v>
      </c>
      <c r="S152" s="1402">
        <f>R152</f>
        <v>2.5341674666666663</v>
      </c>
      <c r="T152" s="1402"/>
      <c r="U152" s="220">
        <f>Q152</f>
        <v>9.1752397925472593</v>
      </c>
      <c r="V152" s="220">
        <f t="shared" si="54"/>
        <v>9.1752397925472593</v>
      </c>
      <c r="W152" s="220">
        <f t="shared" si="54"/>
        <v>9.1752397925472593</v>
      </c>
      <c r="X152" s="220">
        <f t="shared" si="54"/>
        <v>9.1752397925472593</v>
      </c>
      <c r="Y152" s="220">
        <f t="shared" si="54"/>
        <v>9.1752397925472593</v>
      </c>
      <c r="Z152" s="179"/>
      <c r="AA152" s="179"/>
      <c r="AB152" s="179"/>
      <c r="AC152" s="179"/>
      <c r="AD152" s="179"/>
      <c r="AE152" s="179"/>
      <c r="AF152" s="179"/>
      <c r="AG152" s="179"/>
      <c r="AH152" s="179"/>
      <c r="AI152" s="179"/>
      <c r="AJ152" s="179"/>
      <c r="AK152" s="179"/>
      <c r="AL152" s="179"/>
      <c r="AM152" s="179"/>
      <c r="AN152" s="179"/>
      <c r="AO152" s="179"/>
      <c r="AP152" s="179"/>
      <c r="AQ152" s="179"/>
      <c r="AR152" s="179"/>
      <c r="AS152" s="179"/>
      <c r="AT152" s="179"/>
      <c r="AU152" s="179"/>
      <c r="AV152" s="179"/>
      <c r="AW152" s="179"/>
      <c r="AX152" s="179"/>
      <c r="AY152" s="179"/>
      <c r="AZ152" s="179"/>
      <c r="BA152" s="179"/>
      <c r="BB152" s="179"/>
      <c r="BC152" s="179"/>
      <c r="BD152" s="179"/>
      <c r="BE152" s="179"/>
      <c r="BF152" s="179"/>
    </row>
    <row r="153" spans="1:58" ht="15.75" hidden="1" customHeight="1" outlineLevel="1">
      <c r="B153" s="594" t="s">
        <v>1663</v>
      </c>
      <c r="C153" s="594" t="s">
        <v>622</v>
      </c>
      <c r="D153" s="216"/>
      <c r="E153" s="216"/>
      <c r="F153" s="216"/>
      <c r="G153" s="216"/>
      <c r="H153" s="214"/>
      <c r="I153" s="214"/>
      <c r="J153" s="218"/>
      <c r="K153" s="216">
        <f t="shared" ref="K153:U153" si="56">K152*(K130)</f>
        <v>8064707.0349783832</v>
      </c>
      <c r="L153" s="216">
        <f t="shared" si="56"/>
        <v>9696098.996543467</v>
      </c>
      <c r="M153" s="222">
        <f t="shared" si="56"/>
        <v>1861990.7810648719</v>
      </c>
      <c r="N153" s="216">
        <f t="shared" si="56"/>
        <v>6994499.9999999991</v>
      </c>
      <c r="O153" s="216">
        <f t="shared" si="56"/>
        <v>6895000</v>
      </c>
      <c r="P153" s="216">
        <f t="shared" si="56"/>
        <v>13474000</v>
      </c>
      <c r="Q153" s="1498">
        <f t="shared" si="56"/>
        <v>13455000</v>
      </c>
      <c r="R153" s="1403">
        <f>R152*(R130)</f>
        <v>2154140.8667127253</v>
      </c>
      <c r="S153" s="1403">
        <f>S152*(S130)</f>
        <v>1799484.1257695036</v>
      </c>
      <c r="T153" s="1403"/>
      <c r="U153" s="216">
        <f t="shared" si="56"/>
        <v>14191168.282119285</v>
      </c>
      <c r="V153" s="216">
        <f>V152*(V130)</f>
        <v>13659312.220103107</v>
      </c>
      <c r="W153" s="216">
        <f>W152*(W130)</f>
        <v>14210149.362377409</v>
      </c>
      <c r="X153" s="216">
        <f>X152*(X130)</f>
        <v>14191168.282119285</v>
      </c>
      <c r="Y153" s="216">
        <f>Y152*(Y130)</f>
        <v>12490149.530429645</v>
      </c>
      <c r="Z153" s="179"/>
      <c r="AA153" s="179"/>
      <c r="AB153" s="179"/>
      <c r="AC153" s="179"/>
      <c r="AD153" s="179"/>
      <c r="AE153" s="179"/>
      <c r="AF153" s="179"/>
      <c r="AG153" s="179"/>
      <c r="AH153" s="179"/>
      <c r="AI153" s="179"/>
      <c r="AJ153" s="179"/>
      <c r="AK153" s="179"/>
      <c r="AL153" s="179"/>
      <c r="AM153" s="179"/>
      <c r="AN153" s="179"/>
      <c r="AO153" s="179"/>
      <c r="AP153" s="179"/>
      <c r="AQ153" s="179"/>
      <c r="AR153" s="179"/>
      <c r="AS153" s="179"/>
      <c r="AT153" s="179"/>
      <c r="AU153" s="179"/>
      <c r="AV153" s="179"/>
      <c r="AW153" s="179"/>
      <c r="AX153" s="179"/>
      <c r="AY153" s="179"/>
      <c r="AZ153" s="179"/>
      <c r="BA153" s="179"/>
      <c r="BB153" s="179"/>
      <c r="BC153" s="179"/>
      <c r="BD153" s="179"/>
      <c r="BE153" s="179"/>
      <c r="BF153" s="179"/>
    </row>
    <row r="154" spans="1:58" ht="15.75" hidden="1" customHeight="1" outlineLevel="1">
      <c r="B154" s="1968" t="s">
        <v>2050</v>
      </c>
      <c r="C154" s="594" t="s">
        <v>623</v>
      </c>
      <c r="D154" s="216"/>
      <c r="E154" s="216"/>
      <c r="F154" s="216"/>
      <c r="G154" s="216"/>
      <c r="H154" s="214"/>
      <c r="I154" s="214"/>
      <c r="J154" s="218"/>
      <c r="K154" s="220">
        <v>14</v>
      </c>
      <c r="L154" s="220">
        <v>17</v>
      </c>
      <c r="M154" s="636">
        <f>6385000/'Control list'!$I$21/61449</f>
        <v>3.8484187127777747</v>
      </c>
      <c r="N154" s="220">
        <v>13.49</v>
      </c>
      <c r="O154" s="220">
        <f>930*1000/O16</f>
        <v>14.127565843191615</v>
      </c>
      <c r="P154" s="220">
        <f>1453000/P16</f>
        <v>14.428388076967956</v>
      </c>
      <c r="Q154" s="1497">
        <f>1475000/Q16</f>
        <v>14.610969202158051</v>
      </c>
      <c r="R154" s="1958">
        <f>116.67/'Control list'!M21</f>
        <v>3.8890000000000002</v>
      </c>
      <c r="S154" s="1402">
        <f>R154</f>
        <v>3.8890000000000002</v>
      </c>
      <c r="T154" s="1402"/>
      <c r="U154" s="220">
        <f>Q154</f>
        <v>14.610969202158051</v>
      </c>
      <c r="V154" s="220">
        <f t="shared" si="54"/>
        <v>14.610969202158051</v>
      </c>
      <c r="W154" s="220">
        <f t="shared" si="54"/>
        <v>14.610969202158051</v>
      </c>
      <c r="X154" s="220">
        <f t="shared" si="54"/>
        <v>14.610969202158051</v>
      </c>
      <c r="Y154" s="220">
        <f t="shared" si="54"/>
        <v>14.610969202158051</v>
      </c>
      <c r="Z154" s="179"/>
      <c r="AA154" s="179"/>
      <c r="AB154" s="179"/>
      <c r="AC154" s="179"/>
      <c r="AD154" s="179"/>
      <c r="AE154" s="179"/>
      <c r="AF154" s="179"/>
      <c r="AG154" s="179"/>
      <c r="AH154" s="179"/>
      <c r="AI154" s="179"/>
      <c r="AJ154" s="179"/>
      <c r="AK154" s="179"/>
      <c r="AL154" s="179"/>
      <c r="AM154" s="179"/>
      <c r="AN154" s="179"/>
      <c r="AO154" s="179"/>
      <c r="AP154" s="179"/>
      <c r="AQ154" s="179"/>
      <c r="AR154" s="179"/>
      <c r="AS154" s="179"/>
      <c r="AT154" s="179"/>
      <c r="AU154" s="179"/>
      <c r="AV154" s="179"/>
      <c r="AW154" s="179"/>
      <c r="AX154" s="179"/>
      <c r="AY154" s="179"/>
      <c r="AZ154" s="179"/>
      <c r="BA154" s="179"/>
      <c r="BB154" s="179"/>
      <c r="BC154" s="179"/>
      <c r="BD154" s="179"/>
      <c r="BE154" s="179"/>
      <c r="BF154" s="179"/>
    </row>
    <row r="155" spans="1:58" ht="15.75" hidden="1" customHeight="1" outlineLevel="1">
      <c r="B155" s="594" t="s">
        <v>1664</v>
      </c>
      <c r="C155" s="594" t="s">
        <v>624</v>
      </c>
      <c r="D155" s="216"/>
      <c r="E155" s="216"/>
      <c r="F155" s="216"/>
      <c r="G155" s="216"/>
      <c r="H155" s="214"/>
      <c r="I155" s="214"/>
      <c r="J155" s="218"/>
      <c r="K155" s="216">
        <v>1114285.8999999999</v>
      </c>
      <c r="L155" s="216">
        <f t="shared" ref="L155:U155" si="57">L154*L16</f>
        <v>1387285</v>
      </c>
      <c r="M155" s="222">
        <f t="shared" si="57"/>
        <v>277517.53966402734</v>
      </c>
      <c r="N155" s="216">
        <f>N154*N16</f>
        <v>1146110.3999999999</v>
      </c>
      <c r="O155" s="216">
        <f>O154*O16</f>
        <v>930000</v>
      </c>
      <c r="P155" s="216">
        <f t="shared" si="57"/>
        <v>1453000</v>
      </c>
      <c r="Q155" s="1498">
        <f t="shared" si="57"/>
        <v>1475000</v>
      </c>
      <c r="R155" s="1403">
        <f>R154*R16</f>
        <v>220034.23308868922</v>
      </c>
      <c r="S155" s="1403">
        <f>S154*S16</f>
        <v>180538.1536959442</v>
      </c>
      <c r="T155" s="1403"/>
      <c r="U155" s="216">
        <f t="shared" si="57"/>
        <v>1551270.0085319923</v>
      </c>
      <c r="V155" s="216">
        <f>V154*V16</f>
        <v>1493131.5704936532</v>
      </c>
      <c r="W155" s="216">
        <f>W154*W16</f>
        <v>1553344.875093265</v>
      </c>
      <c r="X155" s="216">
        <f>X154*X16</f>
        <v>1551270.0085319923</v>
      </c>
      <c r="Y155" s="216">
        <f>Y154*Y16</f>
        <v>1365327.6448739239</v>
      </c>
      <c r="Z155" s="179"/>
      <c r="AA155" s="179"/>
      <c r="AB155" s="179"/>
      <c r="AC155" s="179"/>
      <c r="AD155" s="179"/>
      <c r="AE155" s="179"/>
      <c r="AF155" s="179"/>
      <c r="AG155" s="179"/>
      <c r="AH155" s="179"/>
      <c r="AI155" s="179"/>
      <c r="AJ155" s="179"/>
      <c r="AK155" s="179"/>
      <c r="AL155" s="179"/>
      <c r="AM155" s="179"/>
      <c r="AN155" s="179"/>
      <c r="AO155" s="179"/>
      <c r="AP155" s="179"/>
      <c r="AQ155" s="179"/>
      <c r="AR155" s="179"/>
      <c r="AS155" s="179"/>
      <c r="AT155" s="179"/>
      <c r="AU155" s="179"/>
      <c r="AV155" s="179"/>
      <c r="AW155" s="179"/>
      <c r="AX155" s="179"/>
      <c r="AY155" s="179"/>
      <c r="AZ155" s="179"/>
      <c r="BA155" s="179"/>
      <c r="BB155" s="179"/>
      <c r="BC155" s="179"/>
      <c r="BD155" s="179"/>
      <c r="BE155" s="179"/>
      <c r="BF155" s="179"/>
    </row>
    <row r="156" spans="1:58" ht="15.75" hidden="1" customHeight="1" outlineLevel="1">
      <c r="B156" s="594" t="s">
        <v>1665</v>
      </c>
      <c r="C156" s="594" t="s">
        <v>656</v>
      </c>
      <c r="D156" s="216"/>
      <c r="E156" s="216"/>
      <c r="F156" s="216"/>
      <c r="G156" s="216"/>
      <c r="H156" s="214"/>
      <c r="I156" s="214"/>
      <c r="J156" s="218"/>
      <c r="K156" s="220">
        <v>9.5</v>
      </c>
      <c r="L156" s="220">
        <v>20</v>
      </c>
      <c r="M156" s="619">
        <v>15.6</v>
      </c>
      <c r="N156" s="220">
        <v>17.2</v>
      </c>
      <c r="O156" s="220">
        <f>(217000+971832)/O16</f>
        <v>18.059464899455026</v>
      </c>
      <c r="P156" s="220">
        <v>13</v>
      </c>
      <c r="Q156" s="1497">
        <v>14.52</v>
      </c>
      <c r="R156" s="1969"/>
      <c r="S156" s="1402">
        <v>14.52</v>
      </c>
      <c r="T156" s="1402"/>
      <c r="U156" s="220">
        <f>Q156</f>
        <v>14.52</v>
      </c>
      <c r="V156" s="220">
        <f t="shared" si="54"/>
        <v>14.52</v>
      </c>
      <c r="W156" s="220">
        <f t="shared" si="54"/>
        <v>14.52</v>
      </c>
      <c r="X156" s="220">
        <f t="shared" si="54"/>
        <v>14.52</v>
      </c>
      <c r="Y156" s="220">
        <f t="shared" si="54"/>
        <v>14.52</v>
      </c>
      <c r="Z156" s="179"/>
      <c r="AA156" s="179"/>
      <c r="AB156" s="179"/>
      <c r="AC156" s="179"/>
      <c r="AD156" s="179"/>
      <c r="AE156" s="179"/>
      <c r="AF156" s="179"/>
      <c r="AG156" s="179"/>
      <c r="AH156" s="179"/>
      <c r="AI156" s="179"/>
      <c r="AJ156" s="179"/>
      <c r="AK156" s="179"/>
      <c r="AL156" s="179"/>
      <c r="AM156" s="179"/>
      <c r="AN156" s="179"/>
      <c r="AO156" s="179"/>
      <c r="AP156" s="179"/>
      <c r="AQ156" s="179"/>
      <c r="AR156" s="179"/>
      <c r="AS156" s="179"/>
      <c r="AT156" s="179"/>
      <c r="AU156" s="179"/>
      <c r="AV156" s="179"/>
      <c r="AW156" s="179"/>
      <c r="AX156" s="179"/>
      <c r="AY156" s="179"/>
      <c r="AZ156" s="179"/>
      <c r="BA156" s="179"/>
      <c r="BB156" s="179"/>
      <c r="BC156" s="179"/>
      <c r="BD156" s="179"/>
      <c r="BE156" s="179"/>
      <c r="BF156" s="179"/>
    </row>
    <row r="157" spans="1:58" ht="15.75" hidden="1" customHeight="1" outlineLevel="1">
      <c r="B157" s="594" t="s">
        <v>1666</v>
      </c>
      <c r="C157" s="594" t="s">
        <v>625</v>
      </c>
      <c r="D157" s="216"/>
      <c r="E157" s="216"/>
      <c r="F157" s="216"/>
      <c r="G157" s="216"/>
      <c r="H157" s="214"/>
      <c r="I157" s="214"/>
      <c r="J157" s="218"/>
      <c r="K157" s="216">
        <v>756122.57500000007</v>
      </c>
      <c r="L157" s="216">
        <f t="shared" ref="L157:U157" si="58">L156*L16</f>
        <v>1632100</v>
      </c>
      <c r="M157" s="222">
        <f t="shared" si="58"/>
        <v>1124948.6976000001</v>
      </c>
      <c r="N157" s="216">
        <f t="shared" si="58"/>
        <v>1461312</v>
      </c>
      <c r="O157" s="216">
        <f t="shared" si="58"/>
        <v>1188832</v>
      </c>
      <c r="P157" s="216">
        <f t="shared" si="58"/>
        <v>1309155.2499999998</v>
      </c>
      <c r="Q157" s="1498">
        <f t="shared" si="58"/>
        <v>1465816.51796492</v>
      </c>
      <c r="R157" s="1403">
        <f>R156*R16</f>
        <v>0</v>
      </c>
      <c r="S157" s="1403">
        <f>S156*S16</f>
        <v>674058.6247531781</v>
      </c>
      <c r="T157" s="1403"/>
      <c r="U157" s="216">
        <f t="shared" si="58"/>
        <v>1541611.6625964588</v>
      </c>
      <c r="V157" s="216">
        <f>V156*V16</f>
        <v>1483835.1996776266</v>
      </c>
      <c r="W157" s="216">
        <f>W156*W16</f>
        <v>1543673.6108527887</v>
      </c>
      <c r="X157" s="216">
        <f>X156*X16</f>
        <v>1541611.6625964588</v>
      </c>
      <c r="Y157" s="216">
        <f>Y156*Y16</f>
        <v>1356826.9927392136</v>
      </c>
      <c r="Z157" s="179"/>
      <c r="AA157" s="179"/>
      <c r="AB157" s="179"/>
      <c r="AC157" s="179"/>
      <c r="AD157" s="179"/>
      <c r="AE157" s="179"/>
      <c r="AF157" s="179"/>
      <c r="AG157" s="179"/>
      <c r="AH157" s="179"/>
      <c r="AI157" s="179"/>
      <c r="AJ157" s="179"/>
      <c r="AK157" s="179"/>
      <c r="AL157" s="179"/>
      <c r="AM157" s="179"/>
      <c r="AN157" s="179"/>
      <c r="AO157" s="179"/>
      <c r="AP157" s="179"/>
      <c r="AQ157" s="179"/>
      <c r="AR157" s="179"/>
      <c r="AS157" s="179"/>
      <c r="AT157" s="179"/>
      <c r="AU157" s="179"/>
      <c r="AV157" s="179"/>
      <c r="AW157" s="179"/>
      <c r="AX157" s="179"/>
      <c r="AY157" s="179"/>
      <c r="AZ157" s="179"/>
      <c r="BA157" s="179"/>
      <c r="BB157" s="179"/>
      <c r="BC157" s="179"/>
      <c r="BD157" s="179"/>
      <c r="BE157" s="179"/>
      <c r="BF157" s="179"/>
    </row>
    <row r="158" spans="1:58" ht="15.75" hidden="1" customHeight="1" outlineLevel="1">
      <c r="B158" s="594" t="s">
        <v>1667</v>
      </c>
      <c r="C158" s="594" t="s">
        <v>626</v>
      </c>
      <c r="D158" s="216"/>
      <c r="E158" s="216"/>
      <c r="F158" s="216"/>
      <c r="G158" s="216"/>
      <c r="H158" s="214"/>
      <c r="I158" s="214"/>
      <c r="J158" s="218"/>
      <c r="K158" s="220">
        <v>50</v>
      </c>
      <c r="L158" s="220">
        <v>58.3</v>
      </c>
      <c r="M158" s="619">
        <v>21.2</v>
      </c>
      <c r="N158" s="220">
        <v>40.886699623352165</v>
      </c>
      <c r="O158" s="220">
        <f>2693000/O16</f>
        <v>40.909177221198945</v>
      </c>
      <c r="P158" s="220">
        <v>26.3</v>
      </c>
      <c r="Q158" s="1497">
        <v>28.35</v>
      </c>
      <c r="R158" s="1402">
        <f>70*'Control list'!M17</f>
        <v>73.5</v>
      </c>
      <c r="S158" s="1402">
        <v>28.35</v>
      </c>
      <c r="T158" s="1402"/>
      <c r="U158" s="220">
        <f>Q158</f>
        <v>28.35</v>
      </c>
      <c r="V158" s="220">
        <f t="shared" si="54"/>
        <v>28.35</v>
      </c>
      <c r="W158" s="220">
        <f t="shared" si="54"/>
        <v>28.35</v>
      </c>
      <c r="X158" s="220">
        <f t="shared" si="54"/>
        <v>28.35</v>
      </c>
      <c r="Y158" s="220">
        <f t="shared" si="54"/>
        <v>28.35</v>
      </c>
      <c r="Z158" s="179"/>
      <c r="AA158" s="179"/>
      <c r="AB158" s="179"/>
      <c r="AC158" s="179"/>
      <c r="AD158" s="179"/>
      <c r="AE158" s="179"/>
      <c r="AF158" s="179"/>
      <c r="AG158" s="179"/>
      <c r="AH158" s="179"/>
      <c r="AI158" s="179"/>
      <c r="AJ158" s="179"/>
      <c r="AK158" s="179"/>
      <c r="AL158" s="179"/>
      <c r="AM158" s="179"/>
      <c r="AN158" s="179"/>
      <c r="AO158" s="179"/>
      <c r="AP158" s="179"/>
      <c r="AQ158" s="179"/>
      <c r="AR158" s="179"/>
      <c r="AS158" s="179"/>
      <c r="AT158" s="179"/>
      <c r="AU158" s="179"/>
      <c r="AV158" s="179"/>
      <c r="AW158" s="179"/>
      <c r="AX158" s="179"/>
      <c r="AY158" s="179"/>
      <c r="AZ158" s="179"/>
      <c r="BA158" s="179"/>
      <c r="BB158" s="179"/>
      <c r="BC158" s="179"/>
      <c r="BD158" s="179"/>
      <c r="BE158" s="179"/>
      <c r="BF158" s="179"/>
    </row>
    <row r="159" spans="1:58" ht="15.75" hidden="1" customHeight="1" outlineLevel="1">
      <c r="B159" s="1968" t="s">
        <v>2051</v>
      </c>
      <c r="C159" s="594" t="s">
        <v>627</v>
      </c>
      <c r="D159" s="216"/>
      <c r="E159" s="216"/>
      <c r="F159" s="216"/>
      <c r="G159" s="216"/>
      <c r="H159" s="214"/>
      <c r="I159" s="214"/>
      <c r="J159" s="218"/>
      <c r="K159" s="216">
        <v>3979592.5</v>
      </c>
      <c r="L159" s="216">
        <f t="shared" ref="L159:U159" si="59">L158*L16</f>
        <v>4757571.5</v>
      </c>
      <c r="M159" s="222">
        <f>M158*M16</f>
        <v>1528776.4351999999</v>
      </c>
      <c r="N159" s="216">
        <f t="shared" si="59"/>
        <v>3473734</v>
      </c>
      <c r="O159" s="216">
        <f>O158*O16</f>
        <v>2693000</v>
      </c>
      <c r="P159" s="216">
        <f t="shared" si="59"/>
        <v>2648521.7749999999</v>
      </c>
      <c r="Q159" s="1498">
        <f t="shared" si="59"/>
        <v>2861976.465861259</v>
      </c>
      <c r="R159" s="1403">
        <f>R158*R16</f>
        <v>4158528.190285075</v>
      </c>
      <c r="S159" s="1403">
        <f>S158*S16</f>
        <v>1316085.5379994905</v>
      </c>
      <c r="T159" s="1403"/>
      <c r="U159" s="216">
        <f t="shared" si="59"/>
        <v>3009964.9197389539</v>
      </c>
      <c r="V159" s="216">
        <f>V158*V16</f>
        <v>2897157.5696185068</v>
      </c>
      <c r="W159" s="216">
        <f>W158*W16</f>
        <v>3013990.8311072011</v>
      </c>
      <c r="X159" s="216">
        <f>X158*X16</f>
        <v>3009964.9197389539</v>
      </c>
      <c r="Y159" s="216">
        <f>Y158*Y16</f>
        <v>2649176.6697077621</v>
      </c>
      <c r="Z159" s="179"/>
      <c r="AA159" s="179"/>
      <c r="AB159" s="179"/>
      <c r="AC159" s="179"/>
      <c r="AD159" s="179"/>
      <c r="AE159" s="179"/>
      <c r="AF159" s="179"/>
      <c r="AG159" s="179"/>
      <c r="AH159" s="179"/>
      <c r="AI159" s="179"/>
      <c r="AJ159" s="179"/>
      <c r="AK159" s="179"/>
      <c r="AL159" s="179"/>
      <c r="AM159" s="179"/>
      <c r="AN159" s="179"/>
      <c r="AO159" s="179"/>
      <c r="AP159" s="179"/>
      <c r="AQ159" s="179"/>
      <c r="AR159" s="179"/>
      <c r="AS159" s="179"/>
      <c r="AT159" s="179"/>
      <c r="AU159" s="179"/>
      <c r="AV159" s="179"/>
      <c r="AW159" s="179"/>
      <c r="AX159" s="179"/>
      <c r="AY159" s="179"/>
      <c r="AZ159" s="179"/>
      <c r="BA159" s="179"/>
      <c r="BB159" s="179"/>
      <c r="BC159" s="179"/>
      <c r="BD159" s="179"/>
      <c r="BE159" s="179"/>
      <c r="BF159" s="179"/>
    </row>
    <row r="160" spans="1:58" ht="15.75" hidden="1" customHeight="1" outlineLevel="1">
      <c r="B160" s="594" t="s">
        <v>1668</v>
      </c>
      <c r="C160" s="594" t="s">
        <v>629</v>
      </c>
      <c r="D160" s="216"/>
      <c r="E160" s="216"/>
      <c r="F160" s="216"/>
      <c r="G160" s="216"/>
      <c r="H160" s="214"/>
      <c r="I160" s="214"/>
      <c r="J160" s="218"/>
      <c r="K160" s="220">
        <v>24</v>
      </c>
      <c r="L160" s="220">
        <v>40.1</v>
      </c>
      <c r="M160" s="619">
        <v>24.8</v>
      </c>
      <c r="N160" s="220">
        <v>21</v>
      </c>
      <c r="O160" s="220">
        <f>3113000/O16/'Control list'!K17</f>
        <v>42.990334770142219</v>
      </c>
      <c r="P160" s="220">
        <v>40</v>
      </c>
      <c r="Q160" s="1497">
        <v>42</v>
      </c>
      <c r="R160" s="1969"/>
      <c r="S160" s="1402">
        <v>42</v>
      </c>
      <c r="T160" s="1402"/>
      <c r="U160" s="220">
        <f>Q160</f>
        <v>42</v>
      </c>
      <c r="V160" s="220">
        <f>U160</f>
        <v>42</v>
      </c>
      <c r="W160" s="220">
        <f>V160</f>
        <v>42</v>
      </c>
      <c r="X160" s="220">
        <f>W160</f>
        <v>42</v>
      </c>
      <c r="Y160" s="220">
        <f>X160</f>
        <v>42</v>
      </c>
      <c r="Z160" s="179"/>
      <c r="AA160" s="179"/>
      <c r="AB160" s="179"/>
      <c r="AC160" s="179"/>
      <c r="AD160" s="179"/>
      <c r="AE160" s="179"/>
      <c r="AF160" s="179"/>
      <c r="AG160" s="179"/>
      <c r="AH160" s="179"/>
      <c r="AI160" s="179"/>
      <c r="AJ160" s="179"/>
      <c r="AK160" s="179"/>
      <c r="AL160" s="179"/>
      <c r="AM160" s="179"/>
      <c r="AN160" s="179"/>
      <c r="AO160" s="179"/>
      <c r="AP160" s="179"/>
      <c r="AQ160" s="179"/>
      <c r="AR160" s="179"/>
      <c r="AS160" s="179"/>
      <c r="AT160" s="179"/>
      <c r="AU160" s="179"/>
      <c r="AV160" s="179"/>
      <c r="AW160" s="179"/>
      <c r="AX160" s="179"/>
      <c r="AY160" s="179"/>
      <c r="AZ160" s="179"/>
      <c r="BA160" s="179"/>
      <c r="BB160" s="179"/>
      <c r="BC160" s="179"/>
      <c r="BD160" s="179"/>
      <c r="BE160" s="179"/>
      <c r="BF160" s="179"/>
    </row>
    <row r="161" spans="2:58" ht="15.75" hidden="1" customHeight="1" outlineLevel="1">
      <c r="B161" s="594" t="s">
        <v>1669</v>
      </c>
      <c r="C161" s="594" t="s">
        <v>628</v>
      </c>
      <c r="D161" s="216"/>
      <c r="E161" s="216"/>
      <c r="F161" s="216"/>
      <c r="G161" s="216"/>
      <c r="H161" s="214"/>
      <c r="I161" s="214"/>
      <c r="J161" s="218"/>
      <c r="K161" s="216">
        <v>2578775.94</v>
      </c>
      <c r="L161" s="216">
        <f>L160*L16*'Control list'!H17</f>
        <v>3599596.5500000003</v>
      </c>
      <c r="M161" s="222">
        <f>M160*M16*'Control list'!I17-M188</f>
        <v>1703217.9788800005</v>
      </c>
      <c r="N161" s="216">
        <f>N160*N16</f>
        <v>1784160</v>
      </c>
      <c r="O161" s="216">
        <f>O160*O16*'Control list'!K17</f>
        <v>3112999.9999999995</v>
      </c>
      <c r="P161" s="216">
        <f>P160*P16*'Control list'!L17</f>
        <v>4229578.5</v>
      </c>
      <c r="Q161" s="1498">
        <f>Q160*Q16*'Control list'!M17</f>
        <v>4451963.391339737</v>
      </c>
      <c r="R161" s="1403">
        <f>R160*R16*'Control list'!N17</f>
        <v>0</v>
      </c>
      <c r="S161" s="1403">
        <f>S160*S16*'Control list'!O17</f>
        <v>2047244.1702214296</v>
      </c>
      <c r="T161" s="1403"/>
      <c r="U161" s="216">
        <f>U160*U16*'Control list'!N17</f>
        <v>4682167.6529272618</v>
      </c>
      <c r="V161" s="216">
        <f>V160*V16*'Control list'!O17</f>
        <v>4506689.5527398996</v>
      </c>
      <c r="W161" s="216">
        <f>W160*W16*'Control list'!P17</f>
        <v>4688430.1817223132</v>
      </c>
      <c r="X161" s="216">
        <f>X160*X16*'Control list'!Q17</f>
        <v>4682167.6529272618</v>
      </c>
      <c r="Y161" s="216">
        <f>Y160*Y16*'Control list'!R17</f>
        <v>4120941.4862120743</v>
      </c>
      <c r="Z161" s="179"/>
      <c r="AA161" s="179"/>
      <c r="AB161" s="179"/>
      <c r="AC161" s="179"/>
      <c r="AD161" s="179"/>
      <c r="AE161" s="179"/>
      <c r="AF161" s="179"/>
      <c r="AG161" s="179"/>
      <c r="AH161" s="179"/>
      <c r="AI161" s="179"/>
      <c r="AJ161" s="179"/>
      <c r="AK161" s="179"/>
      <c r="AL161" s="179"/>
      <c r="AM161" s="179"/>
      <c r="AN161" s="179"/>
      <c r="AO161" s="179"/>
      <c r="AP161" s="179"/>
      <c r="AQ161" s="179"/>
      <c r="AR161" s="179"/>
      <c r="AS161" s="179"/>
      <c r="AT161" s="179"/>
      <c r="AU161" s="179"/>
      <c r="AV161" s="179"/>
      <c r="AW161" s="179"/>
      <c r="AX161" s="179"/>
      <c r="AY161" s="179"/>
      <c r="AZ161" s="179"/>
      <c r="BA161" s="179"/>
      <c r="BB161" s="179"/>
      <c r="BC161" s="179"/>
      <c r="BD161" s="179"/>
      <c r="BE161" s="179"/>
      <c r="BF161" s="179"/>
    </row>
    <row r="162" spans="2:58" ht="15.75" hidden="1" customHeight="1" outlineLevel="1">
      <c r="B162" s="593" t="s">
        <v>1670</v>
      </c>
      <c r="C162" s="593" t="s">
        <v>594</v>
      </c>
      <c r="D162" s="216"/>
      <c r="E162" s="216"/>
      <c r="F162" s="216"/>
      <c r="G162" s="216"/>
      <c r="H162" s="214"/>
      <c r="I162" s="214"/>
      <c r="J162" s="218"/>
      <c r="K162" s="218"/>
      <c r="L162" s="218"/>
      <c r="M162" s="185"/>
      <c r="Q162" s="1466"/>
      <c r="R162" s="1371"/>
      <c r="S162" s="1371"/>
      <c r="T162" s="1371"/>
    </row>
    <row r="163" spans="2:58" ht="15.75" hidden="1" customHeight="1" outlineLevel="1">
      <c r="B163" s="594" t="s">
        <v>1671</v>
      </c>
      <c r="C163" s="594" t="s">
        <v>630</v>
      </c>
      <c r="D163" s="216"/>
      <c r="E163" s="216"/>
      <c r="F163" s="216"/>
      <c r="G163" s="216"/>
      <c r="H163" s="214"/>
      <c r="I163" s="214"/>
      <c r="J163" s="218"/>
      <c r="K163" s="218">
        <v>49.81</v>
      </c>
      <c r="L163" s="218">
        <f>331.5/5.3</f>
        <v>62.547169811320757</v>
      </c>
      <c r="M163" s="619">
        <f>400.6/'Control list'!I21</f>
        <v>14.837037037037037</v>
      </c>
      <c r="N163" s="218">
        <f>408.8/8</f>
        <v>51.1</v>
      </c>
      <c r="O163" s="218">
        <v>75.599999999999994</v>
      </c>
      <c r="P163" s="218">
        <f>716.3/'Control list'!L21</f>
        <v>26.529629629629628</v>
      </c>
      <c r="Q163" s="1499">
        <f>722.78/'Control list'!N21</f>
        <v>24.092666666666666</v>
      </c>
      <c r="R163" s="1966">
        <f>738/'Control list'!O21</f>
        <v>24.6</v>
      </c>
      <c r="S163" s="1404">
        <f>722.78/'Control list'!P21</f>
        <v>24.092666666666666</v>
      </c>
      <c r="T163" s="1404"/>
      <c r="U163" s="218">
        <f>Q163*(1+U164)</f>
        <v>24.092666666666666</v>
      </c>
      <c r="V163" s="218">
        <f>U163*(1+V164)</f>
        <v>24.092666666666666</v>
      </c>
      <c r="W163" s="218">
        <f>V163*(1+W164)</f>
        <v>24.092666666666666</v>
      </c>
      <c r="X163" s="218">
        <f>W163*(1+X164)</f>
        <v>24.092666666666666</v>
      </c>
      <c r="Y163" s="218">
        <f>X163*(1+Y164)</f>
        <v>24.092666666666666</v>
      </c>
    </row>
    <row r="164" spans="2:58" ht="15.75" hidden="1" customHeight="1" outlineLevel="1">
      <c r="B164" s="594" t="s">
        <v>1672</v>
      </c>
      <c r="C164" s="594" t="s">
        <v>586</v>
      </c>
      <c r="D164" s="216"/>
      <c r="E164" s="216"/>
      <c r="F164" s="216"/>
      <c r="G164" s="216"/>
      <c r="H164" s="214"/>
      <c r="I164" s="214"/>
      <c r="J164" s="218"/>
      <c r="K164" s="407">
        <v>0.1</v>
      </c>
      <c r="L164" s="407">
        <v>0.1</v>
      </c>
      <c r="M164" s="634">
        <f t="shared" ref="M164:S164" si="60">M163/L163-1</f>
        <v>-0.76278643651192668</v>
      </c>
      <c r="N164" s="407">
        <f t="shared" si="60"/>
        <v>2.444083874188717</v>
      </c>
      <c r="O164" s="407">
        <f t="shared" si="60"/>
        <v>0.47945205479452047</v>
      </c>
      <c r="P164" s="407">
        <f t="shared" si="60"/>
        <v>-0.6490789731530473</v>
      </c>
      <c r="Q164" s="1496">
        <f t="shared" si="60"/>
        <v>-9.1858159988831511E-2</v>
      </c>
      <c r="R164" s="1401">
        <f t="shared" si="60"/>
        <v>2.1057583220343679E-2</v>
      </c>
      <c r="S164" s="1401">
        <f t="shared" si="60"/>
        <v>-2.0623306233062411E-2</v>
      </c>
      <c r="T164" s="1401"/>
      <c r="U164" s="407">
        <v>0</v>
      </c>
      <c r="V164" s="407">
        <v>0</v>
      </c>
      <c r="W164" s="407">
        <v>0</v>
      </c>
      <c r="X164" s="407">
        <v>0</v>
      </c>
      <c r="Y164" s="407">
        <f>X164</f>
        <v>0</v>
      </c>
    </row>
    <row r="165" spans="2:58" ht="15.75" hidden="1" customHeight="1" outlineLevel="1">
      <c r="B165" s="594" t="s">
        <v>1673</v>
      </c>
      <c r="C165" s="594" t="s">
        <v>631</v>
      </c>
      <c r="D165" s="216"/>
      <c r="E165" s="216"/>
      <c r="F165" s="216"/>
      <c r="G165" s="216"/>
      <c r="H165" s="214"/>
      <c r="I165" s="214"/>
      <c r="J165" s="218">
        <v>-33.248309999999996</v>
      </c>
      <c r="K165" s="216">
        <v>29817325.956800003</v>
      </c>
      <c r="L165" s="216">
        <f>L163*L93</f>
        <v>42658080.498113215</v>
      </c>
      <c r="M165" s="222">
        <f>M163*M93</f>
        <v>9565532.3787259273</v>
      </c>
      <c r="N165" s="216">
        <f>N163*N93</f>
        <v>33554431.954399999</v>
      </c>
      <c r="O165" s="216">
        <f>O163*O93-(O86+O88+O90+O91)*O163</f>
        <v>33098094.287999999</v>
      </c>
      <c r="P165" s="216">
        <f>P163*P93-(P86+P88+P90)*P163</f>
        <v>21103803.785422221</v>
      </c>
      <c r="Q165" s="1498">
        <f>Q163*Q93</f>
        <v>19247392.689858664</v>
      </c>
      <c r="R165" s="1403">
        <f>R163*R93</f>
        <v>11018687.049001815</v>
      </c>
      <c r="S165" s="1403">
        <f>S163*S93</f>
        <v>10672222.497414667</v>
      </c>
      <c r="T165" s="1403"/>
      <c r="U165" s="216">
        <f>U163*U93</f>
        <v>19776831.352754667</v>
      </c>
      <c r="V165" s="216">
        <f>V163*V93</f>
        <v>19307529.335048001</v>
      </c>
      <c r="W165" s="216">
        <f>W163*W93</f>
        <v>19779934.488221336</v>
      </c>
      <c r="X165" s="216">
        <f>X163*X93</f>
        <v>19776831.352754667</v>
      </c>
      <c r="Y165" s="216">
        <f>Y163*Y93</f>
        <v>18140273.557522666</v>
      </c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179"/>
      <c r="AJ165" s="179"/>
      <c r="AK165" s="179"/>
      <c r="AL165" s="179"/>
      <c r="AM165" s="179"/>
      <c r="AN165" s="179"/>
      <c r="AO165" s="179"/>
      <c r="AP165" s="179"/>
      <c r="AQ165" s="179"/>
      <c r="AR165" s="179"/>
      <c r="AS165" s="179"/>
      <c r="AT165" s="179"/>
      <c r="AU165" s="179"/>
      <c r="AV165" s="179"/>
      <c r="AW165" s="179"/>
      <c r="AX165" s="179"/>
      <c r="AY165" s="179"/>
      <c r="AZ165" s="179"/>
      <c r="BA165" s="179"/>
      <c r="BB165" s="179"/>
      <c r="BC165" s="179"/>
      <c r="BD165" s="179"/>
      <c r="BE165" s="179"/>
      <c r="BF165" s="179"/>
    </row>
    <row r="166" spans="2:58" ht="15.75" hidden="1" customHeight="1" outlineLevel="1">
      <c r="B166" s="594" t="s">
        <v>1674</v>
      </c>
      <c r="C166" s="594" t="s">
        <v>587</v>
      </c>
      <c r="D166" s="216"/>
      <c r="E166" s="216"/>
      <c r="F166" s="216"/>
      <c r="G166" s="216"/>
      <c r="H166" s="214"/>
      <c r="I166" s="214"/>
      <c r="J166" s="218">
        <v>171.38</v>
      </c>
      <c r="K166" s="218">
        <v>171.38</v>
      </c>
      <c r="L166" s="218">
        <f>1184/5.3</f>
        <v>223.39622641509436</v>
      </c>
      <c r="M166" s="636">
        <f>1990.83/8.04</f>
        <v>247.61567164179107</v>
      </c>
      <c r="N166" s="193">
        <f>2029.54/8</f>
        <v>253.6925</v>
      </c>
      <c r="O166" s="193">
        <v>392</v>
      </c>
      <c r="P166" s="619">
        <f>3802.4/'Control list'!L21</f>
        <v>140.82962962962964</v>
      </c>
      <c r="Q166" s="1488">
        <f>3747.56/'Control list'!M21</f>
        <v>124.91866666666667</v>
      </c>
      <c r="R166" s="1971">
        <f>3774/'Control list'!N21</f>
        <v>125.8</v>
      </c>
      <c r="S166" s="1393">
        <f>3747.56/'Control list'!O21</f>
        <v>124.91866666666667</v>
      </c>
      <c r="T166" s="1393"/>
      <c r="U166" s="193">
        <f>Q166*(1+U167)</f>
        <v>124.91866666666667</v>
      </c>
      <c r="V166" s="193">
        <f>U166*(1+V167)</f>
        <v>124.91866666666667</v>
      </c>
      <c r="W166" s="193">
        <f>V166*(1+W167)</f>
        <v>124.91866666666667</v>
      </c>
      <c r="X166" s="193">
        <f>W166*(1+X167)</f>
        <v>124.91866666666667</v>
      </c>
      <c r="Y166" s="193">
        <f>X166*(1+Y167)</f>
        <v>124.91866666666667</v>
      </c>
      <c r="Z166" s="179"/>
      <c r="AA166" s="179"/>
      <c r="AB166" s="179"/>
      <c r="AC166" s="179"/>
      <c r="AD166" s="179"/>
      <c r="AE166" s="179"/>
      <c r="AF166" s="179"/>
      <c r="AG166" s="179"/>
      <c r="AH166" s="179"/>
      <c r="AI166" s="179"/>
      <c r="AJ166" s="179"/>
      <c r="AK166" s="179"/>
      <c r="AL166" s="179"/>
      <c r="AM166" s="179"/>
      <c r="AN166" s="179"/>
      <c r="AO166" s="179"/>
      <c r="AP166" s="179"/>
      <c r="AQ166" s="179"/>
      <c r="AR166" s="179"/>
      <c r="AS166" s="179"/>
      <c r="AT166" s="179"/>
      <c r="AU166" s="179"/>
      <c r="AV166" s="179"/>
      <c r="AW166" s="179"/>
      <c r="AX166" s="179"/>
      <c r="AY166" s="179"/>
      <c r="AZ166" s="179"/>
      <c r="BA166" s="179"/>
      <c r="BB166" s="179"/>
      <c r="BC166" s="179"/>
      <c r="BD166" s="179"/>
      <c r="BE166" s="179"/>
      <c r="BF166" s="179"/>
    </row>
    <row r="167" spans="2:58" ht="15.75" hidden="1" customHeight="1" outlineLevel="1">
      <c r="B167" s="594" t="s">
        <v>1675</v>
      </c>
      <c r="C167" s="594" t="s">
        <v>588</v>
      </c>
      <c r="D167" s="216"/>
      <c r="E167" s="216"/>
      <c r="F167" s="216"/>
      <c r="G167" s="216"/>
      <c r="H167" s="214"/>
      <c r="I167" s="214"/>
      <c r="J167" s="218"/>
      <c r="K167" s="407">
        <v>0.05</v>
      </c>
      <c r="L167" s="407">
        <f t="shared" ref="L167:Q167" si="61">L166/K166-1</f>
        <v>0.30351398304991473</v>
      </c>
      <c r="M167" s="634">
        <f t="shared" si="61"/>
        <v>0.10841474636950377</v>
      </c>
      <c r="N167" s="407">
        <f t="shared" si="61"/>
        <v>2.454137219149799E-2</v>
      </c>
      <c r="O167" s="407">
        <f t="shared" si="61"/>
        <v>0.54517772500172446</v>
      </c>
      <c r="P167" s="407">
        <f t="shared" si="61"/>
        <v>-0.64074074074074072</v>
      </c>
      <c r="Q167" s="1496">
        <f t="shared" si="61"/>
        <v>-0.11298022301704191</v>
      </c>
      <c r="R167" s="1401">
        <f>R166/Q166-1</f>
        <v>7.0552572874083008E-3</v>
      </c>
      <c r="S167" s="1401">
        <f>S166/R166-1</f>
        <v>-7.0058293587704767E-3</v>
      </c>
      <c r="T167" s="1401"/>
      <c r="U167" s="345">
        <v>0</v>
      </c>
      <c r="V167" s="345">
        <v>0</v>
      </c>
      <c r="W167" s="345">
        <v>0</v>
      </c>
      <c r="X167" s="345">
        <v>0</v>
      </c>
      <c r="Y167" s="345">
        <f>X167</f>
        <v>0</v>
      </c>
      <c r="Z167" s="179"/>
      <c r="AA167" s="179"/>
      <c r="AB167" s="179"/>
      <c r="AC167" s="179"/>
      <c r="AD167" s="179"/>
      <c r="AE167" s="179"/>
      <c r="AF167" s="179"/>
      <c r="AG167" s="179"/>
      <c r="AH167" s="179"/>
      <c r="AI167" s="179"/>
      <c r="AJ167" s="179"/>
      <c r="AK167" s="179"/>
      <c r="AL167" s="179"/>
      <c r="AM167" s="179"/>
      <c r="AN167" s="179"/>
      <c r="AO167" s="179"/>
      <c r="AP167" s="179"/>
      <c r="AQ167" s="179"/>
      <c r="AR167" s="179"/>
      <c r="AS167" s="179"/>
      <c r="AT167" s="179"/>
      <c r="AU167" s="179"/>
      <c r="AV167" s="179"/>
      <c r="AW167" s="179"/>
      <c r="AX167" s="179"/>
      <c r="AY167" s="179"/>
      <c r="AZ167" s="179"/>
      <c r="BA167" s="179"/>
      <c r="BB167" s="179"/>
      <c r="BC167" s="179"/>
      <c r="BD167" s="179"/>
      <c r="BE167" s="179"/>
      <c r="BF167" s="179"/>
    </row>
    <row r="168" spans="2:58" ht="15.75" hidden="1" customHeight="1" outlineLevel="1">
      <c r="B168" s="594" t="s">
        <v>1676</v>
      </c>
      <c r="C168" s="594" t="s">
        <v>632</v>
      </c>
      <c r="D168" s="216"/>
      <c r="E168" s="216"/>
      <c r="F168" s="216"/>
      <c r="G168" s="216"/>
      <c r="H168" s="214"/>
      <c r="I168" s="214"/>
      <c r="J168" s="218"/>
      <c r="K168" s="218">
        <v>104.5</v>
      </c>
      <c r="L168" s="218">
        <v>93.9</v>
      </c>
      <c r="M168" s="619">
        <v>94</v>
      </c>
      <c r="N168" s="206">
        <v>91.894999999999996</v>
      </c>
      <c r="O168" s="206">
        <f>(75053)/(O113+O117+O118)*1000</f>
        <v>96.354035158763367</v>
      </c>
      <c r="P168" s="218">
        <f>112854.08*1000/(P113+P117+P118)</f>
        <v>86.810928079293859</v>
      </c>
      <c r="Q168" s="1488">
        <f>61585.8*1000/((Q113+Q117+Q118)*(1-Q175))</f>
        <v>84.593150768219957</v>
      </c>
      <c r="R168" s="1971">
        <v>82.096000000000004</v>
      </c>
      <c r="S168" s="1393">
        <v>84.6</v>
      </c>
      <c r="T168" s="1393"/>
      <c r="U168" s="206">
        <f>Q168</f>
        <v>84.593150768219957</v>
      </c>
      <c r="V168" s="206">
        <f>U168</f>
        <v>84.593150768219957</v>
      </c>
      <c r="W168" s="206">
        <f>V168</f>
        <v>84.593150768219957</v>
      </c>
      <c r="X168" s="206">
        <f>W168</f>
        <v>84.593150768219957</v>
      </c>
      <c r="Y168" s="206">
        <f>X168</f>
        <v>84.593150768219957</v>
      </c>
      <c r="Z168" s="179"/>
      <c r="AA168" s="179"/>
      <c r="AB168" s="179"/>
      <c r="AC168" s="179"/>
      <c r="AD168" s="179"/>
      <c r="AE168" s="179"/>
      <c r="AF168" s="179"/>
      <c r="AG168" s="179"/>
      <c r="AH168" s="179"/>
      <c r="AI168" s="179"/>
      <c r="AJ168" s="179"/>
      <c r="AK168" s="179"/>
      <c r="AL168" s="179"/>
      <c r="AM168" s="179"/>
      <c r="AN168" s="179"/>
      <c r="AO168" s="179"/>
      <c r="AP168" s="179"/>
      <c r="AQ168" s="179"/>
      <c r="AR168" s="179"/>
      <c r="AS168" s="179"/>
      <c r="AT168" s="179"/>
      <c r="AU168" s="179"/>
      <c r="AV168" s="179"/>
      <c r="AW168" s="179"/>
      <c r="AX168" s="179"/>
      <c r="AY168" s="179"/>
      <c r="AZ168" s="179"/>
      <c r="BA168" s="179"/>
      <c r="BB168" s="179"/>
      <c r="BC168" s="179"/>
      <c r="BD168" s="179"/>
      <c r="BE168" s="179"/>
      <c r="BF168" s="179"/>
    </row>
    <row r="169" spans="2:58" ht="15.75" hidden="1" customHeight="1" outlineLevel="1">
      <c r="B169" s="1968" t="s">
        <v>2053</v>
      </c>
      <c r="C169" s="594"/>
      <c r="D169" s="216"/>
      <c r="E169" s="216"/>
      <c r="F169" s="216"/>
      <c r="G169" s="216"/>
      <c r="H169" s="214"/>
      <c r="I169" s="214"/>
      <c r="J169" s="218"/>
      <c r="K169" s="218"/>
      <c r="L169" s="218"/>
      <c r="M169" s="619"/>
      <c r="N169" s="206"/>
      <c r="O169" s="206"/>
      <c r="P169" s="218"/>
      <c r="Q169" s="1488"/>
      <c r="R169" s="1973">
        <v>8.1869999999999994</v>
      </c>
      <c r="S169" s="1393"/>
      <c r="T169" s="1393"/>
      <c r="U169" s="206"/>
      <c r="V169" s="206"/>
      <c r="W169" s="206"/>
      <c r="X169" s="206"/>
      <c r="Y169" s="206"/>
      <c r="Z169" s="179"/>
      <c r="AA169" s="179"/>
      <c r="AB169" s="179"/>
      <c r="AC169" s="179"/>
      <c r="AD169" s="179"/>
      <c r="AE169" s="179"/>
      <c r="AF169" s="179"/>
      <c r="AG169" s="179"/>
      <c r="AH169" s="179"/>
      <c r="AI169" s="179"/>
      <c r="AJ169" s="179"/>
      <c r="AK169" s="179"/>
      <c r="AL169" s="179"/>
      <c r="AM169" s="179"/>
      <c r="AN169" s="179"/>
      <c r="AO169" s="179"/>
      <c r="AP169" s="179"/>
      <c r="AQ169" s="179"/>
      <c r="AR169" s="179"/>
      <c r="AS169" s="179"/>
      <c r="AT169" s="179"/>
      <c r="AU169" s="179"/>
      <c r="AV169" s="179"/>
      <c r="AW169" s="179"/>
      <c r="AX169" s="179"/>
      <c r="AY169" s="179"/>
      <c r="AZ169" s="179"/>
      <c r="BA169" s="179"/>
      <c r="BB169" s="179"/>
      <c r="BC169" s="179"/>
      <c r="BD169" s="179"/>
      <c r="BE169" s="179"/>
      <c r="BF169" s="179"/>
    </row>
    <row r="170" spans="2:58" ht="15.75" hidden="1" customHeight="1" outlineLevel="1">
      <c r="B170" s="594" t="s">
        <v>1677</v>
      </c>
      <c r="C170" s="594" t="s">
        <v>633</v>
      </c>
      <c r="D170" s="216"/>
      <c r="E170" s="216"/>
      <c r="F170" s="216"/>
      <c r="G170" s="216"/>
      <c r="H170" s="214"/>
      <c r="I170" s="214"/>
      <c r="J170" s="218"/>
      <c r="K170" s="216">
        <v>13303104.461680001</v>
      </c>
      <c r="L170" s="216">
        <f>L168*(L113+L117+L118)/1000*L166</f>
        <v>18742659.283439245</v>
      </c>
      <c r="M170" s="222">
        <f>M168*($M$129+$M$117+$M$118)/1000*$M$166*(1-M175)</f>
        <v>14733821.928600822</v>
      </c>
      <c r="N170" s="216">
        <f>N168*(N113+N117+N118)/1000*N166</f>
        <v>21644610.475658007</v>
      </c>
      <c r="O170" s="216">
        <f>O168*(O113+O117+O118)/1000*O166</f>
        <v>29420776</v>
      </c>
      <c r="P170" s="216">
        <f>P168*(P113+P117+P118)/1000*P166</f>
        <v>15893198.288592594</v>
      </c>
      <c r="Q170" s="1498">
        <f t="shared" ref="Q170:Y170" si="62">Q168*(Q113+Q117+Q118)/1000*Q166*(1-Q175)</f>
        <v>7693216.0216000015</v>
      </c>
      <c r="R170" s="1967">
        <f>R168*(R113+R117+R118)/1000*R166*(1-R175)+R169*R166*R16/1000</f>
        <v>7419455.9216093021</v>
      </c>
      <c r="S170" s="1403">
        <f>S168*(S113+S117+S118)/1000*S166*(1-S175)</f>
        <v>882967.23710996739</v>
      </c>
      <c r="T170" s="1403"/>
      <c r="U170" s="222">
        <f t="shared" si="62"/>
        <v>0</v>
      </c>
      <c r="V170" s="222">
        <f t="shared" si="62"/>
        <v>0</v>
      </c>
      <c r="W170" s="222">
        <f t="shared" si="62"/>
        <v>0</v>
      </c>
      <c r="X170" s="222">
        <f t="shared" si="62"/>
        <v>0</v>
      </c>
      <c r="Y170" s="222">
        <f t="shared" si="62"/>
        <v>0</v>
      </c>
      <c r="Z170" s="179"/>
      <c r="AA170" s="179"/>
      <c r="AB170" s="179"/>
      <c r="AC170" s="179"/>
      <c r="AD170" s="179"/>
      <c r="AE170" s="179"/>
      <c r="AF170" s="179"/>
      <c r="AG170" s="179"/>
      <c r="AH170" s="179"/>
      <c r="AI170" s="179"/>
      <c r="AJ170" s="179"/>
      <c r="AK170" s="179"/>
      <c r="AL170" s="179"/>
      <c r="AM170" s="179"/>
      <c r="AN170" s="179"/>
      <c r="AO170" s="179"/>
      <c r="AP170" s="179"/>
      <c r="AQ170" s="179"/>
      <c r="AR170" s="179"/>
      <c r="AS170" s="179"/>
      <c r="AT170" s="179"/>
      <c r="AU170" s="179"/>
      <c r="AV170" s="179"/>
      <c r="AW170" s="179"/>
      <c r="AX170" s="179"/>
      <c r="AY170" s="179"/>
      <c r="AZ170" s="179"/>
      <c r="BA170" s="179"/>
      <c r="BB170" s="179"/>
      <c r="BC170" s="179"/>
      <c r="BD170" s="179"/>
      <c r="BE170" s="179"/>
      <c r="BF170" s="179"/>
    </row>
    <row r="171" spans="2:58" ht="15.75" hidden="1" customHeight="1" outlineLevel="1">
      <c r="B171" s="594" t="s">
        <v>1986</v>
      </c>
      <c r="C171" s="594" t="s">
        <v>1860</v>
      </c>
      <c r="D171" s="216"/>
      <c r="E171" s="216"/>
      <c r="F171" s="216"/>
      <c r="G171" s="216"/>
      <c r="H171" s="214"/>
      <c r="I171" s="214"/>
      <c r="J171" s="218"/>
      <c r="K171" s="216"/>
      <c r="L171" s="216"/>
      <c r="M171" s="636">
        <f>31918000/16193.6/'Control list'!I21</f>
        <v>73.000947790988292</v>
      </c>
      <c r="N171" s="216"/>
      <c r="O171" s="216"/>
      <c r="P171" s="216"/>
      <c r="Q171" s="1488">
        <f>1041.7/'Control list'!M21</f>
        <v>34.723333333333336</v>
      </c>
      <c r="R171" s="1393">
        <f>1041.7/'Control list'!N21</f>
        <v>34.723333333333336</v>
      </c>
      <c r="S171" s="1393">
        <f>1041.7/'Control list'!O21</f>
        <v>34.723333333333336</v>
      </c>
      <c r="T171" s="1393"/>
      <c r="U171" s="216">
        <f>Q171*(1+U172)</f>
        <v>34.723333333333336</v>
      </c>
      <c r="V171" s="216">
        <f>U171*(1+V172)</f>
        <v>34.723333333333336</v>
      </c>
      <c r="W171" s="216">
        <f>V171*(1+W172)</f>
        <v>34.723333333333336</v>
      </c>
      <c r="X171" s="216">
        <f>W171*(1+X172)</f>
        <v>34.723333333333336</v>
      </c>
      <c r="Y171" s="216">
        <f>X171*(1+Y172)</f>
        <v>34.723333333333336</v>
      </c>
      <c r="Z171" s="179"/>
      <c r="AA171" s="179"/>
      <c r="AB171" s="179"/>
      <c r="AC171" s="179"/>
      <c r="AD171" s="179"/>
      <c r="AE171" s="179"/>
      <c r="AF171" s="179"/>
      <c r="AG171" s="179"/>
      <c r="AH171" s="179"/>
      <c r="AI171" s="179"/>
      <c r="AJ171" s="179"/>
      <c r="AK171" s="179"/>
      <c r="AL171" s="179"/>
      <c r="AM171" s="179"/>
      <c r="AN171" s="179"/>
      <c r="AO171" s="179"/>
      <c r="AP171" s="179"/>
      <c r="AQ171" s="179"/>
      <c r="AR171" s="179"/>
      <c r="AS171" s="179"/>
      <c r="AT171" s="179"/>
      <c r="AU171" s="179"/>
      <c r="AV171" s="179"/>
      <c r="AW171" s="179"/>
      <c r="AX171" s="179"/>
      <c r="AY171" s="179"/>
      <c r="AZ171" s="179"/>
      <c r="BA171" s="179"/>
      <c r="BB171" s="179"/>
      <c r="BC171" s="179"/>
      <c r="BD171" s="179"/>
      <c r="BE171" s="179"/>
      <c r="BF171" s="179"/>
    </row>
    <row r="172" spans="2:58" ht="15.75" hidden="1" customHeight="1" outlineLevel="1">
      <c r="B172" s="594" t="s">
        <v>1987</v>
      </c>
      <c r="C172" s="594" t="s">
        <v>1859</v>
      </c>
      <c r="D172" s="216"/>
      <c r="E172" s="216"/>
      <c r="F172" s="216"/>
      <c r="G172" s="216"/>
      <c r="H172" s="214"/>
      <c r="I172" s="214"/>
      <c r="J172" s="218"/>
      <c r="K172" s="216"/>
      <c r="L172" s="216"/>
      <c r="M172" s="222"/>
      <c r="N172" s="216"/>
      <c r="O172" s="216"/>
      <c r="P172" s="216"/>
      <c r="Q172" s="1496"/>
      <c r="R172" s="1401"/>
      <c r="S172" s="1401"/>
      <c r="T172" s="1401"/>
      <c r="U172" s="345">
        <v>0</v>
      </c>
      <c r="V172" s="345">
        <v>0</v>
      </c>
      <c r="W172" s="345">
        <v>0</v>
      </c>
      <c r="X172" s="345">
        <v>0</v>
      </c>
      <c r="Y172" s="345">
        <f>X172</f>
        <v>0</v>
      </c>
      <c r="Z172" s="179"/>
      <c r="AA172" s="179"/>
      <c r="AB172" s="179"/>
      <c r="AC172" s="179"/>
      <c r="AD172" s="179"/>
      <c r="AE172" s="179"/>
      <c r="AF172" s="179"/>
      <c r="AG172" s="179"/>
      <c r="AH172" s="179"/>
      <c r="AI172" s="179"/>
      <c r="AJ172" s="179"/>
      <c r="AK172" s="179"/>
      <c r="AL172" s="179"/>
      <c r="AM172" s="179"/>
      <c r="AN172" s="179"/>
      <c r="AO172" s="179"/>
      <c r="AP172" s="179"/>
      <c r="AQ172" s="179"/>
      <c r="AR172" s="179"/>
      <c r="AS172" s="179"/>
      <c r="AT172" s="179"/>
      <c r="AU172" s="179"/>
      <c r="AV172" s="179"/>
      <c r="AW172" s="179"/>
      <c r="AX172" s="179"/>
      <c r="AY172" s="179"/>
      <c r="AZ172" s="179"/>
      <c r="BA172" s="179"/>
      <c r="BB172" s="179"/>
      <c r="BC172" s="179"/>
      <c r="BD172" s="179"/>
      <c r="BE172" s="179"/>
      <c r="BF172" s="179"/>
    </row>
    <row r="173" spans="2:58" ht="15.75" hidden="1" customHeight="1" outlineLevel="1">
      <c r="B173" s="594" t="s">
        <v>1988</v>
      </c>
      <c r="C173" s="594" t="s">
        <v>1861</v>
      </c>
      <c r="D173" s="216"/>
      <c r="E173" s="216"/>
      <c r="F173" s="216"/>
      <c r="G173" s="216"/>
      <c r="H173" s="214"/>
      <c r="I173" s="214"/>
      <c r="J173" s="218"/>
      <c r="K173" s="216"/>
      <c r="L173" s="216"/>
      <c r="M173" s="636">
        <v>79.768000000000001</v>
      </c>
      <c r="N173" s="216"/>
      <c r="O173" s="216"/>
      <c r="P173" s="216"/>
      <c r="Q173" s="1488">
        <f>53179.7/((Q113+Q117+Q118)*Q175)*1000</f>
        <v>104.88618835440307</v>
      </c>
      <c r="R173" s="1393"/>
      <c r="S173" s="1393">
        <f>53179.7/((S113+S117+S118)*S175)*1000</f>
        <v>104.97004222814817</v>
      </c>
      <c r="T173" s="1393"/>
      <c r="U173" s="206">
        <f>Q173</f>
        <v>104.88618835440307</v>
      </c>
      <c r="V173" s="206">
        <f>U173</f>
        <v>104.88618835440307</v>
      </c>
      <c r="W173" s="206">
        <f>V173</f>
        <v>104.88618835440307</v>
      </c>
      <c r="X173" s="206">
        <f>W173</f>
        <v>104.88618835440307</v>
      </c>
      <c r="Y173" s="206">
        <f>X173</f>
        <v>104.88618835440307</v>
      </c>
      <c r="Z173" s="179"/>
      <c r="AA173" s="179"/>
      <c r="AB173" s="179"/>
      <c r="AC173" s="179"/>
      <c r="AD173" s="179"/>
      <c r="AE173" s="179"/>
      <c r="AF173" s="179"/>
      <c r="AG173" s="179"/>
      <c r="AH173" s="179"/>
      <c r="AI173" s="179"/>
      <c r="AJ173" s="179"/>
      <c r="AK173" s="179"/>
      <c r="AL173" s="179"/>
      <c r="AM173" s="179"/>
      <c r="AN173" s="179"/>
      <c r="AO173" s="179"/>
      <c r="AP173" s="179"/>
      <c r="AQ173" s="179"/>
      <c r="AR173" s="179"/>
      <c r="AS173" s="179"/>
      <c r="AT173" s="179"/>
      <c r="AU173" s="179"/>
      <c r="AV173" s="179"/>
      <c r="AW173" s="179"/>
      <c r="AX173" s="179"/>
      <c r="AY173" s="179"/>
      <c r="AZ173" s="179"/>
      <c r="BA173" s="179"/>
      <c r="BB173" s="179"/>
      <c r="BC173" s="179"/>
      <c r="BD173" s="179"/>
      <c r="BE173" s="179"/>
      <c r="BF173" s="179"/>
    </row>
    <row r="174" spans="2:58" ht="15.75" hidden="1" customHeight="1" outlineLevel="1">
      <c r="B174" s="594" t="s">
        <v>1989</v>
      </c>
      <c r="C174" s="594" t="s">
        <v>1862</v>
      </c>
      <c r="D174" s="216"/>
      <c r="E174" s="216"/>
      <c r="F174" s="216"/>
      <c r="G174" s="216"/>
      <c r="H174" s="214"/>
      <c r="I174" s="214"/>
      <c r="J174" s="218"/>
      <c r="K174" s="216"/>
      <c r="L174" s="216"/>
      <c r="M174" s="222">
        <f>M173*($M$129+$M$117+$M$118)/1000*$M$171*M175</f>
        <v>1191111.5595945357</v>
      </c>
      <c r="N174" s="216"/>
      <c r="O174" s="216"/>
      <c r="P174" s="216"/>
      <c r="Q174" s="1498">
        <f t="shared" ref="Q174:Y174" si="63">Q173*(Q113+Q117+Q118)/1000*Q171*Q175</f>
        <v>1846576.4496666668</v>
      </c>
      <c r="R174" s="1403"/>
      <c r="S174" s="1403">
        <f>S173*(S113+S117+S118)/1000*S171*S175</f>
        <v>1846576.4496666668</v>
      </c>
      <c r="T174" s="1403"/>
      <c r="U174" s="222">
        <f t="shared" si="63"/>
        <v>4685569.6470906911</v>
      </c>
      <c r="V174" s="222">
        <f t="shared" si="63"/>
        <v>4509964.0470962124</v>
      </c>
      <c r="W174" s="222">
        <f t="shared" si="63"/>
        <v>4691836.7261470733</v>
      </c>
      <c r="X174" s="222">
        <f t="shared" si="63"/>
        <v>4685569.6470906911</v>
      </c>
      <c r="Y174" s="222">
        <f t="shared" si="63"/>
        <v>4123935.7016958296</v>
      </c>
      <c r="Z174" s="179"/>
      <c r="AA174" s="179"/>
      <c r="AB174" s="179"/>
      <c r="AC174" s="179"/>
      <c r="AD174" s="179"/>
      <c r="AE174" s="179"/>
      <c r="AF174" s="179"/>
      <c r="AG174" s="179"/>
      <c r="AH174" s="179"/>
      <c r="AI174" s="179"/>
      <c r="AJ174" s="179"/>
      <c r="AK174" s="179"/>
      <c r="AL174" s="179"/>
      <c r="AM174" s="179"/>
      <c r="AN174" s="179"/>
      <c r="AO174" s="179"/>
      <c r="AP174" s="179"/>
      <c r="AQ174" s="179"/>
      <c r="AR174" s="179"/>
      <c r="AS174" s="179"/>
      <c r="AT174" s="179"/>
      <c r="AU174" s="179"/>
      <c r="AV174" s="179"/>
      <c r="AW174" s="179"/>
      <c r="AX174" s="179"/>
      <c r="AY174" s="179"/>
      <c r="AZ174" s="179"/>
      <c r="BA174" s="179"/>
      <c r="BB174" s="179"/>
      <c r="BC174" s="179"/>
      <c r="BD174" s="179"/>
      <c r="BE174" s="179"/>
      <c r="BF174" s="179"/>
    </row>
    <row r="175" spans="2:58" ht="15.75" hidden="1" customHeight="1" outlineLevel="1">
      <c r="B175" s="594" t="s">
        <v>1704</v>
      </c>
      <c r="C175" s="594" t="s">
        <v>1880</v>
      </c>
      <c r="D175" s="216"/>
      <c r="E175" s="216"/>
      <c r="F175" s="216"/>
      <c r="G175" s="216"/>
      <c r="H175" s="214"/>
      <c r="I175" s="214"/>
      <c r="J175" s="218"/>
      <c r="K175" s="216"/>
      <c r="L175" s="216"/>
      <c r="M175" s="637">
        <f>204548/($M$113+$M$117+$M$118)</f>
        <v>0.24421998740535944</v>
      </c>
      <c r="N175" s="216"/>
      <c r="O175" s="216"/>
      <c r="P175" s="216"/>
      <c r="Q175" s="1500">
        <f>8289/20191</f>
        <v>0.41052944381159923</v>
      </c>
      <c r="R175" s="1405">
        <v>0</v>
      </c>
      <c r="S175" s="1405">
        <f>8289/9656</f>
        <v>0.8584299917149959</v>
      </c>
      <c r="T175" s="1405"/>
      <c r="U175" s="336">
        <v>1</v>
      </c>
      <c r="V175" s="336">
        <v>1</v>
      </c>
      <c r="W175" s="336">
        <v>1</v>
      </c>
      <c r="X175" s="336">
        <v>1</v>
      </c>
      <c r="Y175" s="336">
        <v>1</v>
      </c>
      <c r="Z175" s="179"/>
      <c r="AA175" s="179"/>
      <c r="AB175" s="179"/>
      <c r="AC175" s="179"/>
      <c r="AD175" s="179"/>
      <c r="AE175" s="179"/>
      <c r="AF175" s="179"/>
      <c r="AG175" s="179"/>
      <c r="AH175" s="179"/>
      <c r="AI175" s="179"/>
      <c r="AJ175" s="179"/>
      <c r="AK175" s="179"/>
      <c r="AL175" s="179"/>
      <c r="AM175" s="179"/>
      <c r="AN175" s="179"/>
      <c r="AO175" s="179"/>
      <c r="AP175" s="179"/>
      <c r="AQ175" s="179"/>
      <c r="AR175" s="179"/>
      <c r="AS175" s="179"/>
      <c r="AT175" s="179"/>
      <c r="AU175" s="179"/>
      <c r="AV175" s="179"/>
      <c r="AW175" s="179"/>
      <c r="AX175" s="179"/>
      <c r="AY175" s="179"/>
      <c r="AZ175" s="179"/>
      <c r="BA175" s="179"/>
      <c r="BB175" s="179"/>
      <c r="BC175" s="179"/>
      <c r="BD175" s="179"/>
      <c r="BE175" s="179"/>
      <c r="BF175" s="179"/>
    </row>
    <row r="176" spans="2:58" ht="15.75" hidden="1" customHeight="1" outlineLevel="1">
      <c r="B176" s="594" t="s">
        <v>1678</v>
      </c>
      <c r="C176" s="594" t="s">
        <v>659</v>
      </c>
      <c r="D176" s="216"/>
      <c r="E176" s="216"/>
      <c r="F176" s="216"/>
      <c r="G176" s="216"/>
      <c r="H176" s="214"/>
      <c r="I176" s="214"/>
      <c r="J176" s="618">
        <v>7.5330000000000004</v>
      </c>
      <c r="K176" s="220">
        <v>5.79</v>
      </c>
      <c r="L176" s="220">
        <v>6.79</v>
      </c>
      <c r="M176" s="619">
        <f>(18284900+5376500)/(61464+16713+851938*(1-M126))/'Control list'!I21</f>
        <v>1.2594248111281283</v>
      </c>
      <c r="N176" s="220">
        <f>((2212.37))*1000/(N129+N117+N118)+2901000/(N129+N117+N118)</f>
        <v>5.5075310584497768</v>
      </c>
      <c r="O176" s="220">
        <f>((2023.37))*1000/(O129+O117+O118)+4546430/(O129+O117+O118)</f>
        <v>8.4343962291453174</v>
      </c>
      <c r="P176" s="220">
        <f>((7901.21))*1000/(P129+P117+P118)</f>
        <v>6.0778606590864719</v>
      </c>
      <c r="Q176" s="1497">
        <f>((1734.6+4937.4+2257.7))*1000/(Q129+Q117+Q118)</f>
        <v>7.230254752424127</v>
      </c>
      <c r="R176" s="1958">
        <f>(2236.37*0.00042+61446.65*0.006/1000+162.49*48.415/1000+652.79*46.812/1000)/'Control list'!M21</f>
        <v>1.3244438043333333</v>
      </c>
      <c r="S176" s="1402">
        <f>R176</f>
        <v>1.3244438043333333</v>
      </c>
      <c r="T176" s="1402"/>
      <c r="U176" s="220">
        <f>Q176*(1+U184)</f>
        <v>7.230254752424127</v>
      </c>
      <c r="V176" s="220">
        <f>U176*(1+V184)</f>
        <v>7.230254752424127</v>
      </c>
      <c r="W176" s="220">
        <f>V176*(1+W184)</f>
        <v>7.230254752424127</v>
      </c>
      <c r="X176" s="220">
        <f>W176*(1+X184)</f>
        <v>7.230254752424127</v>
      </c>
      <c r="Y176" s="220">
        <f>X176*(1+Y184)</f>
        <v>7.230254752424127</v>
      </c>
      <c r="Z176" s="179"/>
      <c r="AA176" s="179"/>
      <c r="AB176" s="179"/>
      <c r="AC176" s="179"/>
      <c r="AD176" s="179"/>
      <c r="AE176" s="179"/>
      <c r="AF176" s="179"/>
      <c r="AG176" s="179"/>
      <c r="AH176" s="179"/>
      <c r="AI176" s="179"/>
      <c r="AJ176" s="179"/>
      <c r="AK176" s="179"/>
      <c r="AL176" s="179"/>
      <c r="AM176" s="179"/>
      <c r="AN176" s="179"/>
      <c r="AO176" s="179"/>
      <c r="AP176" s="179"/>
      <c r="AQ176" s="179"/>
      <c r="AR176" s="179"/>
      <c r="AS176" s="179"/>
      <c r="AT176" s="179"/>
      <c r="AU176" s="179"/>
      <c r="AV176" s="179"/>
      <c r="AW176" s="179"/>
      <c r="AX176" s="179"/>
      <c r="AY176" s="179"/>
      <c r="AZ176" s="179"/>
      <c r="BA176" s="179"/>
      <c r="BB176" s="179"/>
      <c r="BC176" s="179"/>
      <c r="BD176" s="179"/>
      <c r="BE176" s="179"/>
      <c r="BF176" s="179"/>
    </row>
    <row r="177" spans="2:58" ht="15.75" hidden="1" customHeight="1" outlineLevel="1">
      <c r="B177" s="594" t="s">
        <v>1679</v>
      </c>
      <c r="C177" s="594" t="s">
        <v>634</v>
      </c>
      <c r="D177" s="216"/>
      <c r="E177" s="216"/>
      <c r="F177" s="216"/>
      <c r="G177" s="216"/>
      <c r="H177" s="214"/>
      <c r="I177" s="214"/>
      <c r="J177" s="218"/>
      <c r="K177" s="216">
        <v>4346496.5336028291</v>
      </c>
      <c r="L177" s="216">
        <f>L176*(L129+L117+L118)+L117/0.94*124.8/1.2/5.3</f>
        <v>7556332.3614691161</v>
      </c>
      <c r="M177" s="222">
        <f t="shared" ref="M177:S177" si="64">M176*(M129+M117+M118)</f>
        <v>1054839.241470631</v>
      </c>
      <c r="N177" s="216">
        <f t="shared" si="64"/>
        <v>5113369.9999999991</v>
      </c>
      <c r="O177" s="216">
        <f t="shared" si="64"/>
        <v>6569799.9999999991</v>
      </c>
      <c r="P177" s="216">
        <f t="shared" si="64"/>
        <v>7901210</v>
      </c>
      <c r="Q177" s="1498">
        <f t="shared" si="64"/>
        <v>8929700</v>
      </c>
      <c r="R177" s="1403">
        <f t="shared" si="64"/>
        <v>944014.32326608407</v>
      </c>
      <c r="S177" s="1403">
        <f t="shared" si="64"/>
        <v>781644.29896678019</v>
      </c>
      <c r="T177" s="1403"/>
      <c r="U177" s="216">
        <f t="shared" ref="U177:Y177" si="65">U176*(U129+U117+U118)</f>
        <v>9301998.9197712038</v>
      </c>
      <c r="V177" s="216">
        <f t="shared" si="65"/>
        <v>8953378.9600895327</v>
      </c>
      <c r="W177" s="216">
        <f t="shared" si="65"/>
        <v>9314440.6007200256</v>
      </c>
      <c r="X177" s="216">
        <f t="shared" si="65"/>
        <v>9301998.9197712038</v>
      </c>
      <c r="Y177" s="216">
        <f t="shared" si="65"/>
        <v>8187018.5125087351</v>
      </c>
      <c r="Z177" s="179"/>
      <c r="AA177" s="179"/>
      <c r="AB177" s="179"/>
      <c r="AC177" s="179"/>
      <c r="AD177" s="179"/>
      <c r="AE177" s="179"/>
      <c r="AF177" s="179"/>
      <c r="AG177" s="179"/>
      <c r="AH177" s="179"/>
      <c r="AI177" s="179"/>
      <c r="AJ177" s="179"/>
      <c r="AK177" s="179"/>
      <c r="AL177" s="179"/>
      <c r="AM177" s="179"/>
      <c r="AN177" s="179"/>
      <c r="AO177" s="179"/>
      <c r="AP177" s="179"/>
      <c r="AQ177" s="179"/>
      <c r="AR177" s="179"/>
      <c r="AS177" s="179"/>
      <c r="AT177" s="179"/>
      <c r="AU177" s="179"/>
      <c r="AV177" s="179"/>
      <c r="AW177" s="179"/>
      <c r="AX177" s="179"/>
      <c r="AY177" s="179"/>
      <c r="AZ177" s="179"/>
      <c r="BA177" s="179"/>
      <c r="BB177" s="179"/>
      <c r="BC177" s="179"/>
      <c r="BD177" s="179"/>
      <c r="BE177" s="179"/>
      <c r="BF177" s="179"/>
    </row>
    <row r="178" spans="2:58" ht="15.75" hidden="1" customHeight="1" outlineLevel="1">
      <c r="B178" s="594" t="s">
        <v>1680</v>
      </c>
      <c r="C178" s="594" t="s">
        <v>635</v>
      </c>
      <c r="K178" s="218">
        <v>1.02</v>
      </c>
      <c r="L178" s="218">
        <v>2.02</v>
      </c>
      <c r="M178" s="619">
        <f>5296600/'Control list'!I21/(($M$85+$M$87)*0.86*1000/$M$108)</f>
        <v>0.29031706985464339</v>
      </c>
      <c r="N178" s="220">
        <f>(47.51+108.71+143.59+449.91+363.5)*N108/(N85+N87)</f>
        <v>1.4185961555844064</v>
      </c>
      <c r="O178" s="220">
        <f>(966.13)*O108/(O85+O87)</f>
        <v>1.4939046258323831</v>
      </c>
      <c r="P178" s="220">
        <f>(1323.35)*P108/(P85+P87)</f>
        <v>1.2749452720213434</v>
      </c>
      <c r="Q178" s="1497">
        <f>(1434.9)*Q108/(Q85+Q87)</f>
        <v>1.393438110998978</v>
      </c>
      <c r="R178" s="1958">
        <f>12388.87/'Control list'!M21/1000</f>
        <v>0.41296233333333332</v>
      </c>
      <c r="S178" s="1402">
        <f>R178</f>
        <v>0.41296233333333332</v>
      </c>
      <c r="T178" s="1402"/>
      <c r="U178" s="220">
        <f>Q178*(1+U184)</f>
        <v>1.393438110998978</v>
      </c>
      <c r="V178" s="220">
        <f>U178*(1+V184)</f>
        <v>1.393438110998978</v>
      </c>
      <c r="W178" s="220">
        <f>V178*(1+W184)</f>
        <v>1.393438110998978</v>
      </c>
      <c r="X178" s="220">
        <f>W178*(1+X184)</f>
        <v>1.393438110998978</v>
      </c>
      <c r="Y178" s="220">
        <f>X178*(1+Y184)</f>
        <v>1.393438110998978</v>
      </c>
      <c r="Z178" s="179"/>
      <c r="AA178" s="179"/>
      <c r="AB178" s="179"/>
      <c r="AC178" s="179"/>
      <c r="AD178" s="179"/>
      <c r="AE178" s="179"/>
      <c r="AF178" s="179"/>
      <c r="AG178" s="179"/>
      <c r="AH178" s="179"/>
      <c r="AI178" s="179"/>
      <c r="AJ178" s="179"/>
      <c r="AK178" s="179"/>
      <c r="AL178" s="179"/>
      <c r="AM178" s="179"/>
      <c r="AN178" s="179"/>
      <c r="AO178" s="179"/>
      <c r="AP178" s="179"/>
      <c r="AQ178" s="179"/>
      <c r="AR178" s="179"/>
      <c r="AS178" s="179"/>
      <c r="AT178" s="179"/>
      <c r="AU178" s="179"/>
      <c r="AV178" s="179"/>
      <c r="AW178" s="179"/>
      <c r="AX178" s="179"/>
      <c r="AY178" s="179"/>
      <c r="AZ178" s="179"/>
      <c r="BA178" s="179"/>
      <c r="BB178" s="179"/>
      <c r="BC178" s="179"/>
      <c r="BD178" s="179"/>
      <c r="BE178" s="179"/>
      <c r="BF178" s="179"/>
    </row>
    <row r="179" spans="2:58" ht="15.75" hidden="1" customHeight="1" outlineLevel="1">
      <c r="B179" s="594" t="s">
        <v>1681</v>
      </c>
      <c r="C179" s="594" t="s">
        <v>637</v>
      </c>
      <c r="D179" s="216"/>
      <c r="E179" s="216"/>
      <c r="F179" s="216"/>
      <c r="G179" s="216"/>
      <c r="H179" s="214"/>
      <c r="I179" s="214"/>
      <c r="J179" s="618"/>
      <c r="K179" s="216">
        <v>0</v>
      </c>
      <c r="L179" s="216">
        <f t="shared" ref="L179:U179" si="66">(L85+L87)*1000/L108*L178</f>
        <v>1582964.6823529415</v>
      </c>
      <c r="M179" s="222">
        <f>($M$85+$M$87)*1000/$M$108*$M$178</f>
        <v>228105.08182601203</v>
      </c>
      <c r="N179" s="216">
        <f t="shared" si="66"/>
        <v>1113220.0000000002</v>
      </c>
      <c r="O179" s="216">
        <f t="shared" si="66"/>
        <v>966129.99999999988</v>
      </c>
      <c r="P179" s="216">
        <f t="shared" si="66"/>
        <v>1323350.0000000002</v>
      </c>
      <c r="Q179" s="1498">
        <f t="shared" si="66"/>
        <v>1434900</v>
      </c>
      <c r="R179" s="1967">
        <f>R178*(R85+R87)/R108*1000</f>
        <v>246564.52168541666</v>
      </c>
      <c r="S179" s="1403">
        <f>(S85+S87)*1000/S108*S178</f>
        <v>203021.2534529425</v>
      </c>
      <c r="T179" s="1403"/>
      <c r="U179" s="216">
        <f t="shared" si="66"/>
        <v>1499711.1126158582</v>
      </c>
      <c r="V179" s="216">
        <f>(V85+V87)*1000/V108*V178</f>
        <v>1441258.2981673987</v>
      </c>
      <c r="W179" s="216">
        <f>(W85+W87)*1000/W108*W178</f>
        <v>1499711.1126158582</v>
      </c>
      <c r="X179" s="216">
        <f>(X85+X87)*1000/X108*X178</f>
        <v>1499711.1126158582</v>
      </c>
      <c r="Y179" s="216">
        <f>(Y85+Y87)*1000/Y108*Y178</f>
        <v>1311636.0729356827</v>
      </c>
      <c r="Z179" s="179"/>
      <c r="AA179" s="179"/>
      <c r="AB179" s="179"/>
      <c r="AC179" s="179"/>
      <c r="AD179" s="179"/>
      <c r="AE179" s="179"/>
      <c r="AF179" s="179"/>
      <c r="AG179" s="179"/>
      <c r="AH179" s="179"/>
      <c r="AI179" s="179"/>
      <c r="AJ179" s="179"/>
      <c r="AK179" s="179"/>
      <c r="AL179" s="179"/>
      <c r="AM179" s="179"/>
      <c r="AN179" s="179"/>
      <c r="AO179" s="179"/>
      <c r="AP179" s="179"/>
      <c r="AQ179" s="179"/>
      <c r="AR179" s="179"/>
      <c r="AS179" s="179"/>
      <c r="AT179" s="179"/>
      <c r="AU179" s="179"/>
      <c r="AV179" s="179"/>
      <c r="AW179" s="179"/>
      <c r="AX179" s="179"/>
      <c r="AY179" s="179"/>
      <c r="AZ179" s="179"/>
      <c r="BA179" s="179"/>
      <c r="BB179" s="179"/>
      <c r="BC179" s="179"/>
      <c r="BD179" s="179"/>
      <c r="BE179" s="179"/>
      <c r="BF179" s="179"/>
    </row>
    <row r="180" spans="2:58" ht="15.75" hidden="1" customHeight="1" outlineLevel="1">
      <c r="B180" s="594" t="s">
        <v>1682</v>
      </c>
      <c r="C180" s="594" t="s">
        <v>636</v>
      </c>
      <c r="D180" s="216"/>
      <c r="E180" s="216"/>
      <c r="F180" s="216"/>
      <c r="G180" s="216"/>
      <c r="H180" s="214"/>
      <c r="I180" s="214"/>
      <c r="J180" s="618"/>
      <c r="K180" s="218">
        <v>22.4</v>
      </c>
      <c r="L180" s="218">
        <v>23.4</v>
      </c>
      <c r="M180" s="619">
        <f>4713420/'Control list'!I21/(1000*(M89*0.86/M109))</f>
        <v>5.7770028280611578</v>
      </c>
      <c r="N180" s="220">
        <f>(532.88+45.85+7.88+0.66)*N109/N89</f>
        <v>15.004620584684828</v>
      </c>
      <c r="O180" s="220">
        <f>(708.93)*O109/O89</f>
        <v>18.684207054914989</v>
      </c>
      <c r="P180" s="220">
        <f>(559.67)*P109/P89</f>
        <v>15.829761156505343</v>
      </c>
      <c r="Q180" s="1497">
        <f>(622.9)*Q109/Q89</f>
        <v>15.856111898388706</v>
      </c>
      <c r="R180" s="1958">
        <f>(87071.19+775*12.264)/'Control list'!M21/1000</f>
        <v>3.2191930000000002</v>
      </c>
      <c r="S180" s="1402">
        <f>R180</f>
        <v>3.2191930000000002</v>
      </c>
      <c r="T180" s="1402"/>
      <c r="U180" s="220">
        <f>Q180*(1+U184)</f>
        <v>15.856111898388706</v>
      </c>
      <c r="V180" s="220">
        <f>U180*(1+V184)</f>
        <v>15.856111898388706</v>
      </c>
      <c r="W180" s="220">
        <f>V180*(1+W184)</f>
        <v>15.856111898388706</v>
      </c>
      <c r="X180" s="220">
        <f>W180*(1+X184)</f>
        <v>15.856111898388706</v>
      </c>
      <c r="Y180" s="220">
        <f>X180*(1+Y184)</f>
        <v>15.856111898388706</v>
      </c>
      <c r="Z180" s="179"/>
      <c r="AA180" s="179"/>
      <c r="AB180" s="179"/>
      <c r="AC180" s="179"/>
      <c r="AD180" s="179"/>
      <c r="AE180" s="179"/>
      <c r="AF180" s="179"/>
      <c r="AG180" s="179"/>
      <c r="AH180" s="179"/>
      <c r="AI180" s="179"/>
      <c r="AJ180" s="179"/>
      <c r="AK180" s="179"/>
      <c r="AL180" s="179"/>
      <c r="AM180" s="179"/>
      <c r="AN180" s="179"/>
      <c r="AO180" s="179"/>
      <c r="AP180" s="179"/>
      <c r="AQ180" s="179"/>
      <c r="AR180" s="179"/>
      <c r="AS180" s="179"/>
      <c r="AT180" s="179"/>
      <c r="AU180" s="179"/>
      <c r="AV180" s="179"/>
      <c r="AW180" s="179"/>
      <c r="AX180" s="179"/>
      <c r="AY180" s="179"/>
      <c r="AZ180" s="179"/>
      <c r="BA180" s="179"/>
      <c r="BB180" s="179"/>
      <c r="BC180" s="179"/>
      <c r="BD180" s="179"/>
      <c r="BE180" s="179"/>
      <c r="BF180" s="179"/>
    </row>
    <row r="181" spans="2:58" ht="15.75" hidden="1" customHeight="1" outlineLevel="1">
      <c r="B181" s="594" t="s">
        <v>1683</v>
      </c>
      <c r="C181" s="594" t="s">
        <v>638</v>
      </c>
      <c r="D181" s="216"/>
      <c r="E181" s="216"/>
      <c r="F181" s="216"/>
      <c r="G181" s="216"/>
      <c r="H181" s="214"/>
      <c r="I181" s="214"/>
      <c r="J181" s="618"/>
      <c r="K181" s="216">
        <v>0</v>
      </c>
      <c r="L181" s="216">
        <f t="shared" ref="L181:U181" si="67">L180*1000*(L89/L109)</f>
        <v>813288.86183810094</v>
      </c>
      <c r="M181" s="222">
        <f t="shared" si="67"/>
        <v>202989.66408268735</v>
      </c>
      <c r="N181" s="216">
        <f t="shared" si="67"/>
        <v>587270.00000000012</v>
      </c>
      <c r="O181" s="216">
        <f t="shared" si="67"/>
        <v>708929.99999999988</v>
      </c>
      <c r="P181" s="216">
        <f t="shared" si="67"/>
        <v>559670</v>
      </c>
      <c r="Q181" s="1498">
        <f t="shared" si="67"/>
        <v>622900</v>
      </c>
      <c r="R181" s="1967">
        <f>R180*R89/R109*1000</f>
        <v>65688.467770592601</v>
      </c>
      <c r="S181" s="1403">
        <f>S180*1000*(S89/S109)</f>
        <v>63232.251782474232</v>
      </c>
      <c r="T181" s="1403"/>
      <c r="U181" s="216">
        <f t="shared" si="67"/>
        <v>592122.79641001427</v>
      </c>
      <c r="V181" s="216">
        <f>V180*1000*(V89/V109)</f>
        <v>595496.71547787753</v>
      </c>
      <c r="W181" s="216">
        <f>W180*1000*(W89/W109)</f>
        <v>615740.22988505743</v>
      </c>
      <c r="X181" s="216">
        <f>X180*1000*(X89/X109)</f>
        <v>592122.79641001427</v>
      </c>
      <c r="Y181" s="216">
        <f>Y180*1000*(Y89/Y109)</f>
        <v>615740.22988505743</v>
      </c>
      <c r="Z181" s="179"/>
      <c r="AA181" s="179"/>
      <c r="AB181" s="179"/>
      <c r="AC181" s="179"/>
      <c r="AD181" s="179"/>
      <c r="AE181" s="179"/>
      <c r="AF181" s="179"/>
      <c r="AG181" s="179"/>
      <c r="AH181" s="179"/>
      <c r="AI181" s="179"/>
      <c r="AJ181" s="179"/>
      <c r="AK181" s="179"/>
      <c r="AL181" s="179"/>
      <c r="AM181" s="179"/>
      <c r="AN181" s="179"/>
      <c r="AO181" s="179"/>
      <c r="AP181" s="179"/>
      <c r="AQ181" s="179"/>
      <c r="AR181" s="179"/>
      <c r="AS181" s="179"/>
      <c r="AT181" s="179"/>
      <c r="AU181" s="179"/>
      <c r="AV181" s="179"/>
      <c r="AW181" s="179"/>
      <c r="AX181" s="179"/>
      <c r="AY181" s="179"/>
      <c r="AZ181" s="179"/>
      <c r="BA181" s="179"/>
      <c r="BB181" s="179"/>
      <c r="BC181" s="179"/>
      <c r="BD181" s="179"/>
      <c r="BE181" s="179"/>
      <c r="BF181" s="179"/>
    </row>
    <row r="182" spans="2:58" ht="15.75" hidden="1" customHeight="1" outlineLevel="1">
      <c r="B182" s="594" t="s">
        <v>1684</v>
      </c>
      <c r="C182" s="594" t="s">
        <v>639</v>
      </c>
      <c r="D182" s="216"/>
      <c r="E182" s="216"/>
      <c r="F182" s="216"/>
      <c r="G182" s="216"/>
      <c r="H182" s="214"/>
      <c r="I182" s="214"/>
      <c r="J182" s="618"/>
      <c r="K182" s="218">
        <v>102.7</v>
      </c>
      <c r="L182" s="218">
        <v>103.7</v>
      </c>
      <c r="M182" s="619">
        <f>18629800/61449/'Control list'!I21</f>
        <v>11.228703357135066</v>
      </c>
      <c r="N182" s="220">
        <f>3492240/N16</f>
        <v>41.104519774011301</v>
      </c>
      <c r="O182" s="220">
        <f>3377330/O16</f>
        <v>51.304787042135843</v>
      </c>
      <c r="P182" s="220">
        <f>4806930/P16</f>
        <v>47.733139366014846</v>
      </c>
      <c r="Q182" s="1497">
        <f>5325500/Q16</f>
        <v>52.753028126164544</v>
      </c>
      <c r="R182" s="1958">
        <f>(370336+2333.33*0.614)/'Control list'!M21/1000</f>
        <v>12.392288820666666</v>
      </c>
      <c r="S182" s="1402">
        <f>R182</f>
        <v>12.392288820666666</v>
      </c>
      <c r="T182" s="1402"/>
      <c r="U182" s="220">
        <f>Q182*(1+U184)</f>
        <v>52.753028126164544</v>
      </c>
      <c r="V182" s="220">
        <f>U182*(1+V184)</f>
        <v>52.753028126164544</v>
      </c>
      <c r="W182" s="220">
        <f>V182*(1+W184)</f>
        <v>52.753028126164544</v>
      </c>
      <c r="X182" s="220">
        <f>W182*(1+X184)</f>
        <v>52.753028126164544</v>
      </c>
      <c r="Y182" s="220">
        <f>X182*(1+Y184)</f>
        <v>52.753028126164544</v>
      </c>
      <c r="Z182" s="179"/>
      <c r="AA182" s="179"/>
      <c r="AB182" s="179"/>
      <c r="AC182" s="179"/>
      <c r="AD182" s="179"/>
      <c r="AE182" s="179"/>
      <c r="AF182" s="179"/>
      <c r="AG182" s="179"/>
      <c r="AH182" s="179"/>
      <c r="AI182" s="179"/>
      <c r="AJ182" s="179"/>
      <c r="AK182" s="179"/>
      <c r="AL182" s="179"/>
      <c r="AM182" s="179"/>
      <c r="AN182" s="179"/>
      <c r="AO182" s="179"/>
      <c r="AP182" s="179"/>
      <c r="AQ182" s="179"/>
      <c r="AR182" s="179"/>
      <c r="AS182" s="179"/>
      <c r="AT182" s="179"/>
      <c r="AU182" s="179"/>
      <c r="AV182" s="179"/>
      <c r="AW182" s="179"/>
      <c r="AX182" s="179"/>
      <c r="AY182" s="179"/>
      <c r="AZ182" s="179"/>
      <c r="BA182" s="179"/>
      <c r="BB182" s="179"/>
      <c r="BC182" s="179"/>
      <c r="BD182" s="179"/>
      <c r="BE182" s="179"/>
      <c r="BF182" s="179"/>
    </row>
    <row r="183" spans="2:58" ht="15.75" hidden="1" customHeight="1" outlineLevel="1">
      <c r="B183" s="594" t="s">
        <v>1685</v>
      </c>
      <c r="C183" s="594" t="s">
        <v>640</v>
      </c>
      <c r="D183" s="216"/>
      <c r="E183" s="216"/>
      <c r="F183" s="216"/>
      <c r="G183" s="216"/>
      <c r="H183" s="214"/>
      <c r="I183" s="214"/>
      <c r="J183" s="618"/>
      <c r="K183" s="216">
        <v>8174082.995000001</v>
      </c>
      <c r="L183" s="216">
        <f t="shared" ref="L183:U183" si="68">L182*L16</f>
        <v>8462438.5</v>
      </c>
      <c r="M183" s="222">
        <f>M182*M16</f>
        <v>809725.33444524626</v>
      </c>
      <c r="N183" s="216">
        <f t="shared" si="68"/>
        <v>3492240</v>
      </c>
      <c r="O183" s="216">
        <f t="shared" si="68"/>
        <v>3377330</v>
      </c>
      <c r="P183" s="216">
        <f t="shared" si="68"/>
        <v>4806930</v>
      </c>
      <c r="Q183" s="1498">
        <f t="shared" si="68"/>
        <v>5325500</v>
      </c>
      <c r="R183" s="1403">
        <f>R182*R16</f>
        <v>701138.5360938356</v>
      </c>
      <c r="S183" s="1403">
        <f>S182*S16</f>
        <v>575284.37741065817</v>
      </c>
      <c r="T183" s="1403"/>
      <c r="U183" s="216">
        <f t="shared" si="68"/>
        <v>5600873.5121607631</v>
      </c>
      <c r="V183" s="216">
        <f>V182*V16</f>
        <v>5390964.1889247121</v>
      </c>
      <c r="W183" s="216">
        <f>W182*W16</f>
        <v>5608364.8354638526</v>
      </c>
      <c r="X183" s="216">
        <f>X182*X16</f>
        <v>5600873.5121607631</v>
      </c>
      <c r="Y183" s="216">
        <f>Y182*Y16</f>
        <v>4929527.0323905637</v>
      </c>
      <c r="Z183" s="179"/>
      <c r="AA183" s="179"/>
      <c r="AB183" s="179"/>
      <c r="AC183" s="179"/>
      <c r="AD183" s="179"/>
      <c r="AE183" s="179"/>
      <c r="AF183" s="179"/>
      <c r="AG183" s="179"/>
      <c r="AH183" s="179"/>
      <c r="AI183" s="179"/>
      <c r="AJ183" s="179"/>
      <c r="AK183" s="179"/>
      <c r="AL183" s="179"/>
      <c r="AM183" s="179"/>
      <c r="AN183" s="179"/>
      <c r="AO183" s="179"/>
      <c r="AP183" s="179"/>
      <c r="AQ183" s="179"/>
      <c r="AR183" s="179"/>
      <c r="AS183" s="179"/>
      <c r="AT183" s="179"/>
      <c r="AU183" s="179"/>
      <c r="AV183" s="179"/>
      <c r="AW183" s="179"/>
      <c r="AX183" s="179"/>
      <c r="AY183" s="179"/>
      <c r="AZ183" s="179"/>
      <c r="BA183" s="179"/>
      <c r="BB183" s="179"/>
      <c r="BC183" s="179"/>
      <c r="BD183" s="179"/>
      <c r="BE183" s="179"/>
      <c r="BF183" s="179"/>
    </row>
    <row r="184" spans="2:58" ht="15.75" hidden="1" customHeight="1" outlineLevel="1">
      <c r="B184" s="594" t="s">
        <v>1686</v>
      </c>
      <c r="C184" s="594" t="s">
        <v>595</v>
      </c>
      <c r="D184" s="216"/>
      <c r="E184" s="216"/>
      <c r="F184" s="216"/>
      <c r="G184" s="216"/>
      <c r="H184" s="214"/>
      <c r="I184" s="214"/>
      <c r="J184" s="218"/>
      <c r="K184" s="407">
        <v>-1</v>
      </c>
      <c r="L184" s="407">
        <v>0</v>
      </c>
      <c r="M184" s="634">
        <v>0.1</v>
      </c>
      <c r="N184" s="407">
        <v>0.1</v>
      </c>
      <c r="O184" s="407"/>
      <c r="P184" s="220">
        <v>0</v>
      </c>
      <c r="Q184" s="1496">
        <v>0</v>
      </c>
      <c r="R184" s="1401">
        <v>0</v>
      </c>
      <c r="S184" s="1401">
        <v>0</v>
      </c>
      <c r="T184" s="1401"/>
      <c r="U184" s="407">
        <v>0</v>
      </c>
      <c r="V184" s="407">
        <v>0</v>
      </c>
      <c r="W184" s="407">
        <v>0</v>
      </c>
      <c r="X184" s="407">
        <v>0</v>
      </c>
      <c r="Y184" s="407">
        <v>0</v>
      </c>
      <c r="Z184" s="179"/>
      <c r="AA184" s="179"/>
      <c r="AB184" s="179"/>
      <c r="AC184" s="179"/>
      <c r="AD184" s="179"/>
      <c r="AE184" s="179"/>
      <c r="AF184" s="179"/>
      <c r="AG184" s="179"/>
      <c r="AH184" s="179"/>
      <c r="AI184" s="179"/>
      <c r="AJ184" s="179"/>
      <c r="AK184" s="179"/>
      <c r="AL184" s="179"/>
      <c r="AM184" s="179"/>
      <c r="AN184" s="179"/>
      <c r="AO184" s="179"/>
      <c r="AP184" s="179"/>
      <c r="AQ184" s="179"/>
      <c r="AR184" s="179"/>
      <c r="AS184" s="179"/>
      <c r="AT184" s="179"/>
      <c r="AU184" s="179"/>
      <c r="AV184" s="179"/>
      <c r="AW184" s="179"/>
      <c r="AX184" s="179"/>
      <c r="AY184" s="179"/>
      <c r="AZ184" s="179"/>
      <c r="BA184" s="179"/>
      <c r="BB184" s="179"/>
      <c r="BC184" s="179"/>
      <c r="BD184" s="179"/>
      <c r="BE184" s="179"/>
      <c r="BF184" s="179"/>
    </row>
    <row r="185" spans="2:58" ht="15.75" hidden="1" customHeight="1" outlineLevel="1">
      <c r="B185" s="244" t="s">
        <v>1687</v>
      </c>
      <c r="C185" s="244" t="s">
        <v>1749</v>
      </c>
      <c r="D185" s="214"/>
      <c r="E185" s="214"/>
      <c r="F185" s="214"/>
      <c r="G185" s="214"/>
      <c r="H185" s="214"/>
      <c r="I185" s="214"/>
      <c r="J185" s="218"/>
      <c r="K185" s="216">
        <v>7896756.4809285384</v>
      </c>
      <c r="L185" s="216">
        <f>97%*L149*(2.5%+'Control list'!$F$15)/365*120+L147*80%*(2.5%+'Control list'!$F$15)/365*90+(L153+L155+L165+L170+L177+L179+L181+L183)*(2.5%+'Control list'!$F$15)/365*90+L15*L17*80%*(2.5%+'Control list'!$F$15)/365*60+L15*L17*15%*(2.5%+'Control list'!$F$15)/365*45</f>
        <v>3303721.1920259208</v>
      </c>
      <c r="M185" s="222">
        <f>97%*M149*(3.15%+'Control list'!I15)/365*120+M147*80%*(3.15%+'Control list'!I15)/365*90+(M153+M155+M165+M170+M174+M177+M179+M181+M183)*(3.15%+'Control list'!I15)/365*90+M15*M17*80%*(3.15%+'Control list'!I15)/365*60+M15*M17*15%*(3.15%+'Control list'!I15)/365*45</f>
        <v>2252904.7654987653</v>
      </c>
      <c r="N185" s="216">
        <v>2164334</v>
      </c>
      <c r="O185" s="216">
        <v>1704584</v>
      </c>
      <c r="P185" s="216">
        <f>97%*P149*(1.75%+'Control list'!L15)/365*120+P147*80%*(1.75%+'Control list'!L15)/365*90+(P153+P155+P165+P170+P174+P177+P179+P181+P183)*(1.75%+'Control list'!L15)/365*90+P15*P17*80%*(1.75%+'Control list'!L15)/365*60+P15*P17*15%*(1.75%+'Control list'!L15)/365*45</f>
        <v>2636506.9021514743</v>
      </c>
      <c r="Q185" s="1498">
        <f>97%*Q149*(2.7%+'Control list'!M15)/365*120+Q147*80%*(2.7%+'Control list'!M15)/365*90+(Q153+Q155+Q165+Q170+Q174+Q177+Q179+Q181+Q183)*(2.7%+'Control list'!M15)/365*90+Q15*Q17*80%*(2.7%+'Control list'!M15)/365*60+Q15*Q17*15%*(2.7%+'Control list'!M15)/365*45</f>
        <v>4065601.4560918459</v>
      </c>
      <c r="R185" s="1967">
        <f>240000*6</f>
        <v>1440000</v>
      </c>
      <c r="S185" s="1403">
        <f>97%*S149*(2.7%+'Control list'!O15)/365*120+S147*80%*(2.7%+'Control list'!O15)/365*90+(S153+S155+S165+S170+S174+S177+S179+S181+S183)*(2.7%+'Control list'!O15)/365*90+S15*S17*80%*(2.7%+'Control list'!O15)/365*60+S15*S17*15%*(2.7%+'Control list'!O15)/365*45</f>
        <v>1914926.6591276517</v>
      </c>
      <c r="T185" s="1403"/>
      <c r="U185" s="216">
        <f>97%*U149*(2.7%+'Control list'!N15)/365*120+U147*80%*(2.7%+'Control list'!N15)/365*90+(U153+U155+U165+U170+U174+U177+U179+U181+U183)*(2.7%+'Control list'!N15)/365*90+U15*U17*80%*(2.7%+'Control list'!N15)/365*60+U15*U17*15%*(2.7%+'Control list'!N15)/365*45</f>
        <v>4616491.8278413061</v>
      </c>
      <c r="V185" s="216">
        <f>97%*V149*(2.7%+'Control list'!O15)/365*120+V147*80%*(2.7%+'Control list'!O15)/365*90+(V153+V155+V165+V170+V174+V177+V179+V181+V183)*(2.7%+'Control list'!O15)/365*90+V15*V17*80%*(2.7%+'Control list'!O15)/365*60+V15*V17*15%*(2.7%+'Control list'!O15)/365*45</f>
        <v>4446095.6364868358</v>
      </c>
      <c r="W185" s="216">
        <f>97%*W149*(2.7%+'Control list'!P15)/365*120+W147*80%*(2.7%+'Control list'!P15)/365*90+(W153+W155+W165+W170+W174+W177+W179+W181+W183)*(2.7%+'Control list'!P15)/365*90+W15*W17*80%*(2.7%+'Control list'!P15)/365*60+W15*W17*15%*(2.7%+'Control list'!P15)/365*45</f>
        <v>4622644.0608601552</v>
      </c>
      <c r="X185" s="216">
        <f>97%*X149*(2.7%+'Control list'!Q15)/365*120+X147*80%*(2.7%+'Control list'!Q15)/365*90+(X153+X155+X165+X170+X174+X177+X179+X181+X183)*(2.7%+'Control list'!Q15)/365*90+X15*X17*80%*(2.7%+'Control list'!Q15)/365*60+X15*X17*15%*(2.7%+'Control list'!Q15)/365*45</f>
        <v>4616491.8278413061</v>
      </c>
      <c r="Y185" s="216">
        <f>97%*Y149*(2.7%+'Control list'!R15)/365*120+Y147*80%*(2.7%+'Control list'!R15)/365*90+(Y153+Y155+Y165+Y170+Y174+Y177+Y179+Y181+Y183)*(2.7%+'Control list'!R15)/365*90+Y15*Y17*80%*(2.7%+'Control list'!R15)/365*60+Y15*Y17*15%*(2.7%+'Control list'!R15)/365*45</f>
        <v>4070419.1107473425</v>
      </c>
      <c r="Z185" s="179"/>
      <c r="AA185" s="179"/>
      <c r="AB185" s="179"/>
      <c r="AC185" s="179"/>
      <c r="AD185" s="179"/>
      <c r="AE185" s="179"/>
      <c r="AF185" s="179"/>
      <c r="AG185" s="179"/>
      <c r="AH185" s="179"/>
      <c r="AI185" s="179"/>
      <c r="AJ185" s="179"/>
      <c r="AK185" s="179"/>
      <c r="AL185" s="179"/>
      <c r="AM185" s="179"/>
      <c r="AN185" s="179"/>
      <c r="AO185" s="179"/>
      <c r="AP185" s="179"/>
      <c r="AQ185" s="179"/>
      <c r="AR185" s="179"/>
      <c r="AS185" s="179"/>
      <c r="AT185" s="179"/>
      <c r="AU185" s="179"/>
      <c r="AV185" s="179"/>
      <c r="AW185" s="179"/>
      <c r="AX185" s="179"/>
      <c r="AY185" s="179"/>
      <c r="AZ185" s="179"/>
      <c r="BA185" s="179"/>
      <c r="BB185" s="179"/>
      <c r="BC185" s="179"/>
      <c r="BD185" s="179"/>
      <c r="BE185" s="179"/>
      <c r="BF185" s="179"/>
    </row>
    <row r="186" spans="2:58" ht="15.75" hidden="1" customHeight="1" outlineLevel="1">
      <c r="B186" s="244" t="s">
        <v>1748</v>
      </c>
      <c r="C186" s="244" t="s">
        <v>1190</v>
      </c>
      <c r="D186" s="214"/>
      <c r="E186" s="214"/>
      <c r="F186" s="214"/>
      <c r="G186" s="214"/>
      <c r="H186" s="214"/>
      <c r="I186" s="214"/>
      <c r="J186" s="218"/>
      <c r="K186" s="216"/>
      <c r="L186" s="216">
        <f>(0.012)*L11</f>
        <v>4413199.9113245998</v>
      </c>
      <c r="M186" s="222">
        <f>(0.7+0.5)%*M11</f>
        <v>2989218.0190205784</v>
      </c>
      <c r="N186" s="216">
        <f>(0.5+0.5)%*N11</f>
        <v>3677992.4681279999</v>
      </c>
      <c r="O186" s="216">
        <f ca="1">(0.5)%*O11+(0.5)%*O200</f>
        <v>1921181.3219433168</v>
      </c>
      <c r="P186" s="216">
        <f ca="1">(0.5)%*P11+(0.5)%*P200</f>
        <v>2665153.8387864935</v>
      </c>
      <c r="Q186" s="1498">
        <f ca="1">(0.5)%*Q11+(0.5)%*Q200</f>
        <v>2772767.7387399767</v>
      </c>
      <c r="R186" s="1403">
        <f ca="1">(0.5)%*R11+(0.5)%*R200</f>
        <v>1573022.1193471951</v>
      </c>
      <c r="S186" s="1403">
        <f ca="1">(0.5)%*S11+(0.5)%*S200</f>
        <v>1340938.2815118884</v>
      </c>
      <c r="T186" s="1403"/>
      <c r="U186" s="216">
        <f ca="1">(0.5)%*U11+(0.5)%*U200</f>
        <v>3191478.4634840488</v>
      </c>
      <c r="V186" s="216">
        <f ca="1">(0.5)%*V11+(0.5)%*V200</f>
        <v>3087841.0106117586</v>
      </c>
      <c r="W186" s="216">
        <f ca="1">(0.5)%*W11+(0.5)%*W200</f>
        <v>3179348.0991151156</v>
      </c>
      <c r="X186" s="216">
        <f ca="1">(0.5)%*X11+(0.5)%*X200</f>
        <v>3171835.958318999</v>
      </c>
      <c r="Y186" s="216">
        <f ca="1">(0.5)%*Y11+(0.5)%*Y200</f>
        <v>2825400.9353211941</v>
      </c>
      <c r="Z186" s="179"/>
      <c r="AA186" s="179"/>
      <c r="AB186" s="179"/>
      <c r="AC186" s="179"/>
      <c r="AD186" s="179"/>
      <c r="AE186" s="179"/>
      <c r="AF186" s="179"/>
      <c r="AG186" s="179"/>
      <c r="AH186" s="179"/>
      <c r="AI186" s="179"/>
      <c r="AJ186" s="179"/>
      <c r="AK186" s="179"/>
      <c r="AL186" s="179"/>
      <c r="AM186" s="179"/>
      <c r="AN186" s="179"/>
      <c r="AO186" s="179"/>
      <c r="AP186" s="179"/>
      <c r="AQ186" s="179"/>
      <c r="AR186" s="179"/>
      <c r="AS186" s="179"/>
      <c r="AT186" s="179"/>
      <c r="AU186" s="179"/>
      <c r="AV186" s="179"/>
      <c r="AW186" s="179"/>
      <c r="AX186" s="179"/>
      <c r="AY186" s="179"/>
      <c r="AZ186" s="179"/>
      <c r="BA186" s="179"/>
      <c r="BB186" s="179"/>
      <c r="BC186" s="179"/>
      <c r="BD186" s="179"/>
      <c r="BE186" s="179"/>
      <c r="BF186" s="179"/>
    </row>
    <row r="187" spans="2:58" ht="15.75" hidden="1" customHeight="1" outlineLevel="1">
      <c r="B187" s="595" t="s">
        <v>1688</v>
      </c>
      <c r="C187" s="595" t="s">
        <v>514</v>
      </c>
      <c r="D187" s="216"/>
      <c r="E187" s="216"/>
      <c r="F187" s="216"/>
      <c r="G187" s="216"/>
      <c r="H187" s="214"/>
      <c r="I187" s="214"/>
      <c r="J187" s="216"/>
      <c r="K187" s="216"/>
      <c r="L187" s="169"/>
      <c r="M187" s="185"/>
      <c r="Q187" s="1466"/>
      <c r="R187" s="1371"/>
      <c r="S187" s="1371"/>
      <c r="T187" s="1371"/>
      <c r="Z187" s="179"/>
      <c r="AA187" s="179"/>
      <c r="AB187" s="179"/>
      <c r="AC187" s="179"/>
      <c r="AD187" s="179"/>
      <c r="AE187" s="179"/>
      <c r="AF187" s="179"/>
      <c r="AG187" s="179"/>
      <c r="AH187" s="179"/>
      <c r="AI187" s="179"/>
      <c r="AJ187" s="179"/>
      <c r="AK187" s="179"/>
      <c r="AL187" s="179"/>
      <c r="AM187" s="179"/>
      <c r="AN187" s="179"/>
      <c r="AO187" s="179"/>
      <c r="AP187" s="179"/>
      <c r="AQ187" s="179"/>
      <c r="AR187" s="179"/>
      <c r="AS187" s="179"/>
      <c r="AT187" s="179"/>
      <c r="AU187" s="179"/>
      <c r="AV187" s="179"/>
      <c r="AW187" s="179"/>
      <c r="AX187" s="179"/>
      <c r="AY187" s="179"/>
      <c r="AZ187" s="179"/>
      <c r="BA187" s="179"/>
      <c r="BB187" s="179"/>
      <c r="BC187" s="179"/>
      <c r="BD187" s="179"/>
      <c r="BE187" s="179"/>
      <c r="BF187" s="179"/>
    </row>
    <row r="188" spans="2:58" ht="15.75" hidden="1" customHeight="1" outlineLevel="1">
      <c r="B188" s="353" t="s">
        <v>1689</v>
      </c>
      <c r="C188" s="353" t="s">
        <v>643</v>
      </c>
      <c r="D188" s="216"/>
      <c r="E188" s="216"/>
      <c r="F188" s="216"/>
      <c r="G188" s="216"/>
      <c r="H188" s="214"/>
      <c r="I188" s="214"/>
      <c r="J188" s="216"/>
      <c r="K188" s="216">
        <v>250000</v>
      </c>
      <c r="L188" s="216">
        <v>633824</v>
      </c>
      <c r="M188" s="222">
        <f>264000</f>
        <v>264000</v>
      </c>
      <c r="N188" s="216">
        <f>14*N12</f>
        <v>224804.16</v>
      </c>
      <c r="O188" s="216">
        <f>N188*(1+O184)</f>
        <v>224804.16</v>
      </c>
      <c r="P188" s="216">
        <v>358938</v>
      </c>
      <c r="Q188" s="1498">
        <v>182163</v>
      </c>
      <c r="R188" s="1967">
        <f>71000*6</f>
        <v>426000</v>
      </c>
      <c r="S188" s="1403">
        <f t="shared" ref="S188:S193" si="69">R188</f>
        <v>426000</v>
      </c>
      <c r="T188" s="1403"/>
      <c r="U188" s="216">
        <f>Q188*(1+U184)</f>
        <v>182163</v>
      </c>
      <c r="V188" s="216">
        <f>U188*(1+V184)</f>
        <v>182163</v>
      </c>
      <c r="W188" s="216">
        <f>V188*(1+W184)</f>
        <v>182163</v>
      </c>
      <c r="X188" s="216">
        <f>W188*(1+X184)</f>
        <v>182163</v>
      </c>
      <c r="Y188" s="216">
        <f>X188*(1+Y184)</f>
        <v>182163</v>
      </c>
      <c r="Z188" s="179"/>
      <c r="AA188" s="179"/>
      <c r="AB188" s="179"/>
      <c r="AC188" s="179"/>
      <c r="AD188" s="179"/>
      <c r="AE188" s="179"/>
      <c r="AF188" s="179"/>
      <c r="AG188" s="179"/>
      <c r="AH188" s="179"/>
      <c r="AI188" s="179"/>
      <c r="AJ188" s="179"/>
      <c r="AK188" s="179"/>
      <c r="AL188" s="179"/>
      <c r="AM188" s="179"/>
      <c r="AN188" s="179"/>
      <c r="AO188" s="179"/>
      <c r="AP188" s="179"/>
      <c r="AQ188" s="179"/>
      <c r="AR188" s="179"/>
      <c r="AS188" s="179"/>
      <c r="AT188" s="179"/>
      <c r="AU188" s="179"/>
      <c r="AV188" s="179"/>
      <c r="AW188" s="179"/>
      <c r="AX188" s="179"/>
      <c r="AY188" s="179"/>
      <c r="AZ188" s="179"/>
      <c r="BA188" s="179"/>
      <c r="BB188" s="179"/>
      <c r="BC188" s="179"/>
      <c r="BD188" s="179"/>
      <c r="BE188" s="179"/>
      <c r="BF188" s="179"/>
    </row>
    <row r="189" spans="2:58" ht="15.75" hidden="1" customHeight="1" outlineLevel="1">
      <c r="B189" s="353" t="s">
        <v>1690</v>
      </c>
      <c r="C189" s="353" t="s">
        <v>7</v>
      </c>
      <c r="D189" s="216"/>
      <c r="E189" s="216"/>
      <c r="F189" s="216"/>
      <c r="G189" s="216"/>
      <c r="H189" s="214"/>
      <c r="I189" s="214"/>
      <c r="J189" s="216"/>
      <c r="K189" s="216">
        <v>380000</v>
      </c>
      <c r="L189" s="216">
        <f>400000</f>
        <v>400000</v>
      </c>
      <c r="M189" s="222">
        <f>132100/'Control list'!I21</f>
        <v>4892.5925925925922</v>
      </c>
      <c r="N189" s="216">
        <f>M189</f>
        <v>4892.5925925925922</v>
      </c>
      <c r="O189" s="216">
        <f t="shared" ref="O189:W189" si="70">N189*(1+O184)</f>
        <v>4892.5925925925922</v>
      </c>
      <c r="P189" s="216">
        <f t="shared" si="70"/>
        <v>4892.5925925925922</v>
      </c>
      <c r="Q189" s="1498">
        <f t="shared" si="70"/>
        <v>4892.5925925925922</v>
      </c>
      <c r="R189" s="1403">
        <f t="shared" ref="R189" si="71">Q189/2</f>
        <v>2446.2962962962961</v>
      </c>
      <c r="S189" s="1403">
        <f t="shared" si="69"/>
        <v>2446.2962962962961</v>
      </c>
      <c r="T189" s="1403"/>
      <c r="U189" s="216">
        <f>Q189*(1+U184)</f>
        <v>4892.5925925925922</v>
      </c>
      <c r="V189" s="216">
        <f t="shared" si="70"/>
        <v>4892.5925925925922</v>
      </c>
      <c r="W189" s="216">
        <f t="shared" si="70"/>
        <v>4892.5925925925922</v>
      </c>
      <c r="X189" s="216">
        <f>W189*(1+X184)</f>
        <v>4892.5925925925922</v>
      </c>
      <c r="Y189" s="216">
        <f>X189*(1+Y184)</f>
        <v>4892.5925925925922</v>
      </c>
      <c r="Z189" s="179"/>
      <c r="AA189" s="179"/>
      <c r="AB189" s="179"/>
      <c r="AC189" s="179"/>
      <c r="AD189" s="179"/>
      <c r="AE189" s="179"/>
      <c r="AF189" s="179"/>
      <c r="AG189" s="179"/>
      <c r="AH189" s="179"/>
      <c r="AI189" s="179"/>
      <c r="AJ189" s="179"/>
      <c r="AK189" s="179"/>
      <c r="AL189" s="179"/>
      <c r="AM189" s="179"/>
      <c r="AN189" s="179"/>
      <c r="AO189" s="179"/>
      <c r="AP189" s="179"/>
      <c r="AQ189" s="179"/>
      <c r="AR189" s="179"/>
      <c r="AS189" s="179"/>
      <c r="AT189" s="179"/>
      <c r="AU189" s="179"/>
      <c r="AV189" s="179"/>
      <c r="AW189" s="179"/>
      <c r="AX189" s="179"/>
      <c r="AY189" s="179"/>
      <c r="AZ189" s="179"/>
      <c r="BA189" s="179"/>
      <c r="BB189" s="179"/>
      <c r="BC189" s="179"/>
      <c r="BD189" s="179"/>
      <c r="BE189" s="179"/>
      <c r="BF189" s="179"/>
    </row>
    <row r="190" spans="2:58" ht="15.75" hidden="1" customHeight="1" outlineLevel="1">
      <c r="B190" s="353" t="s">
        <v>1691</v>
      </c>
      <c r="C190" s="353" t="s">
        <v>644</v>
      </c>
      <c r="J190" s="620"/>
      <c r="K190" s="216">
        <v>262.60977257374469</v>
      </c>
      <c r="L190" s="216">
        <f>(908000-300000)/1.2*12</f>
        <v>6080000</v>
      </c>
      <c r="M190" s="222">
        <f>8123900/'Control list'!I21</f>
        <v>300885.18518518517</v>
      </c>
      <c r="N190" s="216">
        <f>417000+344700+489800+2294300</f>
        <v>3545800</v>
      </c>
      <c r="O190" s="216">
        <f>(3087.8+351)*1000-O189</f>
        <v>3433907.4074074072</v>
      </c>
      <c r="P190" s="216">
        <f>(3964.41+2038.25)*1000</f>
        <v>6002660</v>
      </c>
      <c r="Q190" s="1498">
        <f>(3073+1473.5)*1000</f>
        <v>4546500</v>
      </c>
      <c r="R190" s="1967">
        <v>1603386</v>
      </c>
      <c r="S190" s="1403">
        <f t="shared" si="69"/>
        <v>1603386</v>
      </c>
      <c r="T190" s="1403"/>
      <c r="U190" s="216">
        <f>Q190*(1+U$184)</f>
        <v>4546500</v>
      </c>
      <c r="V190" s="216">
        <f t="shared" ref="V190:W192" si="72">U190*(1+V$184)</f>
        <v>4546500</v>
      </c>
      <c r="W190" s="216">
        <f t="shared" si="72"/>
        <v>4546500</v>
      </c>
      <c r="X190" s="216">
        <f t="shared" ref="X190:Y192" si="73">W190*(1+X$184)</f>
        <v>4546500</v>
      </c>
      <c r="Y190" s="216">
        <f t="shared" si="73"/>
        <v>4546500</v>
      </c>
      <c r="Z190" s="179"/>
      <c r="AA190" s="179"/>
      <c r="AB190" s="179"/>
      <c r="AC190" s="179"/>
      <c r="AD190" s="179"/>
      <c r="AE190" s="179"/>
      <c r="AF190" s="179"/>
      <c r="AG190" s="179"/>
      <c r="AH190" s="179"/>
      <c r="AI190" s="179"/>
      <c r="AJ190" s="179"/>
      <c r="AK190" s="179"/>
      <c r="AL190" s="179"/>
      <c r="AM190" s="179"/>
      <c r="AN190" s="179"/>
      <c r="AO190" s="179"/>
      <c r="AP190" s="179"/>
      <c r="AQ190" s="179"/>
      <c r="AR190" s="179"/>
      <c r="AS190" s="179"/>
      <c r="AT190" s="179"/>
      <c r="AU190" s="179"/>
      <c r="AV190" s="179"/>
      <c r="AW190" s="179"/>
      <c r="AX190" s="179"/>
      <c r="AY190" s="179"/>
      <c r="AZ190" s="179"/>
      <c r="BA190" s="179"/>
      <c r="BB190" s="179"/>
      <c r="BC190" s="179"/>
      <c r="BD190" s="179"/>
      <c r="BE190" s="179"/>
      <c r="BF190" s="179"/>
    </row>
    <row r="191" spans="2:58" ht="15.75" hidden="1" customHeight="1" outlineLevel="1">
      <c r="B191" s="353" t="s">
        <v>1692</v>
      </c>
      <c r="C191" s="353" t="s">
        <v>645</v>
      </c>
      <c r="J191" s="620"/>
      <c r="K191" s="216">
        <v>2700000</v>
      </c>
      <c r="L191" s="216">
        <f>(23382600-11843500)/5.3</f>
        <v>2177188.6792452829</v>
      </c>
      <c r="M191" s="222">
        <f>18910100/'Control list'!I21</f>
        <v>700374.07407407404</v>
      </c>
      <c r="N191" s="216">
        <f>41930000/8</f>
        <v>5241250</v>
      </c>
      <c r="O191" s="216">
        <f>(38154+2835)*1000/'Control list'!K21</f>
        <v>1518111.111111111</v>
      </c>
      <c r="P191" s="216">
        <f>(41572000)/'Control list'!L21</f>
        <v>1539703.7037037036</v>
      </c>
      <c r="Q191" s="1498">
        <f>(5053.3)*1000</f>
        <v>5053300</v>
      </c>
      <c r="R191" s="1967">
        <f>(17707)*1000/'Control list'!M21</f>
        <v>590233.33333333337</v>
      </c>
      <c r="S191" s="1403">
        <f t="shared" si="69"/>
        <v>590233.33333333337</v>
      </c>
      <c r="T191" s="1403"/>
      <c r="U191" s="216">
        <f>Q191*(1+U$184)</f>
        <v>5053300</v>
      </c>
      <c r="V191" s="216">
        <f t="shared" si="72"/>
        <v>5053300</v>
      </c>
      <c r="W191" s="216">
        <f t="shared" si="72"/>
        <v>5053300</v>
      </c>
      <c r="X191" s="216">
        <f t="shared" si="73"/>
        <v>5053300</v>
      </c>
      <c r="Y191" s="216">
        <f t="shared" si="73"/>
        <v>5053300</v>
      </c>
      <c r="Z191" s="179"/>
      <c r="AA191" s="179"/>
      <c r="AB191" s="179"/>
      <c r="AC191" s="179"/>
      <c r="AD191" s="179"/>
      <c r="AE191" s="179"/>
      <c r="AF191" s="179"/>
      <c r="AG191" s="179"/>
      <c r="AH191" s="179"/>
      <c r="AI191" s="179"/>
      <c r="AJ191" s="179"/>
      <c r="AK191" s="179"/>
      <c r="AL191" s="179"/>
      <c r="AM191" s="179"/>
      <c r="AN191" s="179"/>
      <c r="AO191" s="179"/>
      <c r="AP191" s="179"/>
      <c r="AQ191" s="179"/>
      <c r="AR191" s="179"/>
      <c r="AS191" s="179"/>
      <c r="AT191" s="179"/>
      <c r="AU191" s="179"/>
      <c r="AV191" s="179"/>
      <c r="AW191" s="179"/>
      <c r="AX191" s="179"/>
      <c r="AY191" s="179"/>
      <c r="AZ191" s="179"/>
      <c r="BA191" s="179"/>
      <c r="BB191" s="179"/>
      <c r="BC191" s="179"/>
      <c r="BD191" s="179"/>
      <c r="BE191" s="179"/>
      <c r="BF191" s="179"/>
    </row>
    <row r="192" spans="2:58" ht="15.75" hidden="1" customHeight="1" outlineLevel="1">
      <c r="B192" s="353" t="s">
        <v>1693</v>
      </c>
      <c r="C192" s="353" t="s">
        <v>601</v>
      </c>
      <c r="J192" s="620"/>
      <c r="K192" s="216">
        <v>1272000</v>
      </c>
      <c r="L192" s="216">
        <f>144000*12</f>
        <v>1728000</v>
      </c>
      <c r="M192" s="222">
        <f>(1807800+1753400+477600+2280000+3074000)/'Control list'!I21</f>
        <v>347881.48148148146</v>
      </c>
      <c r="N192" s="216">
        <f>1971400</f>
        <v>1971400</v>
      </c>
      <c r="O192" s="216">
        <f>(1969)*1000</f>
        <v>1969000</v>
      </c>
      <c r="P192" s="216">
        <f>(9737+2280+680+12683)*1000/'Control list'!L21</f>
        <v>940000</v>
      </c>
      <c r="Q192" s="1498">
        <f>(1806.7+285+85.94+800.3)*1000</f>
        <v>2977939.9999999995</v>
      </c>
      <c r="R192" s="1967">
        <f>10431*1000/'Control list'!M21</f>
        <v>347700</v>
      </c>
      <c r="S192" s="1403">
        <f t="shared" si="69"/>
        <v>347700</v>
      </c>
      <c r="T192" s="1403"/>
      <c r="U192" s="216">
        <f>Q192*(1+U$184)</f>
        <v>2977939.9999999995</v>
      </c>
      <c r="V192" s="216">
        <f t="shared" si="72"/>
        <v>2977939.9999999995</v>
      </c>
      <c r="W192" s="216">
        <f t="shared" si="72"/>
        <v>2977939.9999999995</v>
      </c>
      <c r="X192" s="216">
        <f t="shared" si="73"/>
        <v>2977939.9999999995</v>
      </c>
      <c r="Y192" s="216">
        <f t="shared" si="73"/>
        <v>2977939.9999999995</v>
      </c>
      <c r="Z192" s="179"/>
      <c r="AA192" s="179"/>
      <c r="AB192" s="179"/>
      <c r="AC192" s="179"/>
      <c r="AD192" s="179"/>
      <c r="AE192" s="179"/>
      <c r="AF192" s="179"/>
      <c r="AG192" s="179"/>
      <c r="AH192" s="179"/>
      <c r="AI192" s="179"/>
      <c r="AJ192" s="179"/>
      <c r="AK192" s="179"/>
      <c r="AL192" s="179"/>
      <c r="AM192" s="179"/>
      <c r="AN192" s="179"/>
      <c r="AO192" s="179"/>
      <c r="AP192" s="179"/>
      <c r="AQ192" s="179"/>
      <c r="AR192" s="179"/>
      <c r="AS192" s="179"/>
      <c r="AT192" s="179"/>
      <c r="AU192" s="179"/>
      <c r="AV192" s="179"/>
      <c r="AW192" s="179"/>
      <c r="AX192" s="179"/>
      <c r="AY192" s="179"/>
      <c r="AZ192" s="179"/>
      <c r="BA192" s="179"/>
      <c r="BB192" s="179"/>
      <c r="BC192" s="179"/>
      <c r="BD192" s="179"/>
      <c r="BE192" s="179"/>
      <c r="BF192" s="179"/>
    </row>
    <row r="193" spans="1:58" ht="15.75" hidden="1" customHeight="1" outlineLevel="1">
      <c r="B193" s="594" t="s">
        <v>1694</v>
      </c>
      <c r="C193" s="594" t="s">
        <v>592</v>
      </c>
      <c r="D193" s="216"/>
      <c r="E193" s="216"/>
      <c r="F193" s="216"/>
      <c r="G193" s="216"/>
      <c r="H193" s="214"/>
      <c r="I193" s="214"/>
      <c r="J193" s="216">
        <v>9105600</v>
      </c>
      <c r="K193" s="216">
        <v>10725000</v>
      </c>
      <c r="L193" s="216">
        <f>49441800/5.3</f>
        <v>9328641.5094339624</v>
      </c>
      <c r="M193" s="222">
        <f>(1910700+53685400)/'Control list'!I21</f>
        <v>2059114.8148148148</v>
      </c>
      <c r="N193" s="222">
        <f t="shared" ref="N193:V193" si="74">N194*N195*12</f>
        <v>10603992</v>
      </c>
      <c r="O193" s="216">
        <f t="shared" si="74"/>
        <v>14110999.999999998</v>
      </c>
      <c r="P193" s="216">
        <f t="shared" si="74"/>
        <v>13973000</v>
      </c>
      <c r="Q193" s="1498">
        <f>Q194*Q195*12</f>
        <v>15842000</v>
      </c>
      <c r="R193" s="1967">
        <f>57081840/'Control list'!M21</f>
        <v>1902728</v>
      </c>
      <c r="S193" s="1403">
        <f t="shared" si="69"/>
        <v>1902728</v>
      </c>
      <c r="T193" s="1403"/>
      <c r="U193" s="216">
        <f t="shared" si="74"/>
        <v>15842000</v>
      </c>
      <c r="V193" s="216">
        <f t="shared" si="74"/>
        <v>15842000</v>
      </c>
      <c r="W193" s="216">
        <f>W194*W195*12</f>
        <v>15842000</v>
      </c>
      <c r="X193" s="216">
        <f>X194*X195*12</f>
        <v>15842000</v>
      </c>
      <c r="Y193" s="216">
        <f>Y194*Y195*12</f>
        <v>15842000</v>
      </c>
      <c r="Z193" s="214"/>
      <c r="AA193" s="214"/>
      <c r="AB193" s="214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  <c r="AN193" s="214"/>
      <c r="AO193" s="214"/>
      <c r="AP193" s="214"/>
      <c r="AQ193" s="214"/>
      <c r="AR193" s="214"/>
      <c r="AS193" s="214"/>
      <c r="AT193" s="214"/>
      <c r="AU193" s="214"/>
      <c r="AV193" s="214"/>
      <c r="AW193" s="214"/>
      <c r="AX193" s="214"/>
      <c r="AY193" s="214"/>
      <c r="AZ193" s="214"/>
      <c r="BA193" s="214"/>
      <c r="BB193" s="214"/>
      <c r="BC193" s="214"/>
      <c r="BD193" s="214"/>
      <c r="BE193" s="214"/>
      <c r="BF193" s="214"/>
    </row>
    <row r="194" spans="1:58" ht="15.75" hidden="1" customHeight="1" outlineLevel="1">
      <c r="B194" s="217" t="s">
        <v>1695</v>
      </c>
      <c r="C194" s="217" t="s">
        <v>504</v>
      </c>
      <c r="D194" s="216"/>
      <c r="E194" s="216"/>
      <c r="F194" s="216"/>
      <c r="G194" s="216"/>
      <c r="H194" s="214"/>
      <c r="I194" s="214"/>
      <c r="J194" s="216">
        <v>1897</v>
      </c>
      <c r="K194" s="216">
        <v>1950</v>
      </c>
      <c r="L194" s="216">
        <v>1941</v>
      </c>
      <c r="M194" s="222">
        <v>1368</v>
      </c>
      <c r="N194" s="222">
        <v>1960</v>
      </c>
      <c r="O194" s="216">
        <v>1770</v>
      </c>
      <c r="P194" s="216">
        <v>1841</v>
      </c>
      <c r="Q194" s="1498">
        <v>1800</v>
      </c>
      <c r="R194" s="1967">
        <v>1833</v>
      </c>
      <c r="S194" s="1403">
        <v>1800</v>
      </c>
      <c r="T194" s="1403"/>
      <c r="U194" s="216">
        <f>Q194</f>
        <v>1800</v>
      </c>
      <c r="V194" s="216">
        <f>U194</f>
        <v>1800</v>
      </c>
      <c r="W194" s="216">
        <f>V194</f>
        <v>1800</v>
      </c>
      <c r="X194" s="216">
        <f>W194</f>
        <v>1800</v>
      </c>
      <c r="Y194" s="216">
        <f>X194</f>
        <v>1800</v>
      </c>
      <c r="Z194" s="179"/>
      <c r="AA194" s="179"/>
      <c r="AB194" s="179"/>
      <c r="AC194" s="179"/>
      <c r="AD194" s="179"/>
      <c r="AE194" s="179"/>
      <c r="AF194" s="179"/>
      <c r="AG194" s="179"/>
      <c r="AH194" s="179"/>
      <c r="AI194" s="179"/>
      <c r="AJ194" s="179"/>
      <c r="AK194" s="179"/>
      <c r="AL194" s="179"/>
      <c r="AM194" s="179"/>
      <c r="AN194" s="179"/>
      <c r="AO194" s="179"/>
      <c r="AP194" s="179"/>
      <c r="AQ194" s="179"/>
      <c r="AR194" s="179"/>
      <c r="AS194" s="179"/>
      <c r="AT194" s="179"/>
      <c r="AU194" s="179"/>
      <c r="AV194" s="179"/>
      <c r="AW194" s="179"/>
      <c r="AX194" s="179"/>
      <c r="AY194" s="179"/>
      <c r="AZ194" s="179"/>
      <c r="BA194" s="179"/>
      <c r="BB194" s="179"/>
      <c r="BC194" s="179"/>
      <c r="BD194" s="179"/>
      <c r="BE194" s="179"/>
      <c r="BF194" s="179"/>
    </row>
    <row r="195" spans="1:58" ht="15.75" hidden="1" customHeight="1" outlineLevel="1">
      <c r="B195" s="217" t="s">
        <v>1696</v>
      </c>
      <c r="C195" s="217" t="s">
        <v>505</v>
      </c>
      <c r="D195" s="216"/>
      <c r="E195" s="216"/>
      <c r="F195" s="216"/>
      <c r="G195" s="216"/>
      <c r="H195" s="214"/>
      <c r="I195" s="214"/>
      <c r="J195" s="216">
        <v>4800</v>
      </c>
      <c r="K195" s="216">
        <v>458.33333333333331</v>
      </c>
      <c r="L195" s="216">
        <f>L193/L194/12</f>
        <v>400.50839384483783</v>
      </c>
      <c r="M195" s="222">
        <f>M193/M194/12</f>
        <v>125.43340733521046</v>
      </c>
      <c r="N195" s="222">
        <v>450.85</v>
      </c>
      <c r="O195" s="216">
        <f>(11624000+2487000)/1770/12</f>
        <v>664.35969868173254</v>
      </c>
      <c r="P195" s="216">
        <f>13973000/P194/12</f>
        <v>632.49139960166576</v>
      </c>
      <c r="Q195" s="1498">
        <f>126736000/8/Q194/12</f>
        <v>733.42592592592598</v>
      </c>
      <c r="R195" s="1967">
        <f>R193/R194/6</f>
        <v>173.0067284960902</v>
      </c>
      <c r="S195" s="1403">
        <f>126736000/8/S194/12</f>
        <v>733.42592592592598</v>
      </c>
      <c r="T195" s="1403"/>
      <c r="U195" s="216">
        <f>Q195*U196</f>
        <v>733.42592592592598</v>
      </c>
      <c r="V195" s="216">
        <f>U195*V196</f>
        <v>733.42592592592598</v>
      </c>
      <c r="W195" s="216">
        <f>V195*W196</f>
        <v>733.42592592592598</v>
      </c>
      <c r="X195" s="216">
        <f>W195*X196</f>
        <v>733.42592592592598</v>
      </c>
      <c r="Y195" s="216">
        <f>X195*Y196</f>
        <v>733.42592592592598</v>
      </c>
      <c r="Z195" s="179"/>
      <c r="AA195" s="179"/>
      <c r="AB195" s="179"/>
      <c r="AC195" s="179"/>
      <c r="AD195" s="179"/>
      <c r="AE195" s="179"/>
      <c r="AF195" s="179"/>
      <c r="AG195" s="179"/>
      <c r="AH195" s="179"/>
      <c r="AI195" s="179"/>
      <c r="AJ195" s="179"/>
      <c r="AK195" s="179"/>
      <c r="AL195" s="179"/>
      <c r="AM195" s="179"/>
      <c r="AN195" s="179"/>
      <c r="AO195" s="179"/>
      <c r="AP195" s="179"/>
      <c r="AQ195" s="179"/>
      <c r="AR195" s="179"/>
      <c r="AS195" s="179"/>
      <c r="AT195" s="179"/>
      <c r="AU195" s="179"/>
      <c r="AV195" s="179"/>
      <c r="AW195" s="179"/>
      <c r="AX195" s="179"/>
      <c r="AY195" s="179"/>
      <c r="AZ195" s="179"/>
      <c r="BA195" s="179"/>
      <c r="BB195" s="179"/>
      <c r="BC195" s="179"/>
      <c r="BD195" s="179"/>
      <c r="BE195" s="179"/>
      <c r="BF195" s="179"/>
    </row>
    <row r="196" spans="1:58" ht="15.75" hidden="1" customHeight="1" outlineLevel="1">
      <c r="B196" s="217" t="s">
        <v>1697</v>
      </c>
      <c r="C196" s="217" t="s">
        <v>593</v>
      </c>
      <c r="D196" s="216"/>
      <c r="E196" s="216"/>
      <c r="F196" s="216"/>
      <c r="G196" s="216"/>
      <c r="H196" s="214"/>
      <c r="I196" s="214"/>
      <c r="J196" s="216"/>
      <c r="K196" s="220">
        <v>9.5486111111111105E-2</v>
      </c>
      <c r="L196" s="337">
        <f>(L195-K195)/K195</f>
        <v>-0.12616350433853563</v>
      </c>
      <c r="M196" s="638">
        <f>(M195-L195)/L195</f>
        <v>-0.68681453556799865</v>
      </c>
      <c r="N196" s="408">
        <v>1.07</v>
      </c>
      <c r="O196" s="408">
        <f>O195/N195</f>
        <v>1.4735714731767384</v>
      </c>
      <c r="P196" s="408">
        <f>P195/O195</f>
        <v>0.95203155889301838</v>
      </c>
      <c r="Q196" s="1501">
        <v>1</v>
      </c>
      <c r="R196" s="1406">
        <v>1</v>
      </c>
      <c r="S196" s="1406">
        <v>1</v>
      </c>
      <c r="T196" s="1406"/>
      <c r="U196" s="408">
        <f>Q196</f>
        <v>1</v>
      </c>
      <c r="V196" s="408">
        <f>U196</f>
        <v>1</v>
      </c>
      <c r="W196" s="408">
        <f>V196</f>
        <v>1</v>
      </c>
      <c r="X196" s="408">
        <f>W196</f>
        <v>1</v>
      </c>
      <c r="Y196" s="408">
        <f>X196</f>
        <v>1</v>
      </c>
      <c r="Z196" s="214"/>
      <c r="AA196" s="214"/>
      <c r="AB196" s="214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14"/>
      <c r="AX196" s="214"/>
      <c r="AY196" s="214"/>
      <c r="AZ196" s="214"/>
      <c r="BA196" s="214"/>
      <c r="BB196" s="214"/>
      <c r="BC196" s="214"/>
      <c r="BD196" s="214"/>
      <c r="BE196" s="214"/>
      <c r="BF196" s="214"/>
    </row>
    <row r="197" spans="1:58" ht="15.75" hidden="1" customHeight="1" outlineLevel="1">
      <c r="B197" s="221" t="s">
        <v>1698</v>
      </c>
      <c r="C197" s="221" t="s">
        <v>604</v>
      </c>
      <c r="D197" s="216"/>
      <c r="E197" s="216"/>
      <c r="F197" s="216"/>
      <c r="G197" s="216"/>
      <c r="H197" s="214"/>
      <c r="I197" s="214"/>
      <c r="J197" s="216">
        <v>6500000</v>
      </c>
      <c r="K197" s="216">
        <v>3479116.666666667</v>
      </c>
      <c r="L197" s="216">
        <f>11830000/5.3</f>
        <v>2232075.4716981133</v>
      </c>
      <c r="M197" s="222">
        <f>773100</f>
        <v>773100</v>
      </c>
      <c r="N197" s="222">
        <f>2355000</f>
        <v>2355000</v>
      </c>
      <c r="O197" s="216">
        <f>26584000/8</f>
        <v>3323000</v>
      </c>
      <c r="P197" s="216">
        <f>7127000/8</f>
        <v>890875</v>
      </c>
      <c r="Q197" s="1498">
        <v>1679000</v>
      </c>
      <c r="R197" s="1967">
        <f>10223000/'Control list'!M21</f>
        <v>340766.66666666669</v>
      </c>
      <c r="S197" s="1403">
        <f>R197</f>
        <v>340766.66666666669</v>
      </c>
      <c r="T197" s="1403"/>
      <c r="U197" s="216">
        <f>Q197*(1+U$184)</f>
        <v>1679000</v>
      </c>
      <c r="V197" s="216">
        <f>U197*(1+V$184)</f>
        <v>1679000</v>
      </c>
      <c r="W197" s="216">
        <f>V197*(1+W$184)</f>
        <v>1679000</v>
      </c>
      <c r="X197" s="216">
        <f>W197*(1+X$184)</f>
        <v>1679000</v>
      </c>
      <c r="Y197" s="216">
        <f>X197*(1+Y$184)</f>
        <v>1679000</v>
      </c>
      <c r="Z197" s="179"/>
      <c r="AA197" s="179"/>
      <c r="AB197" s="179"/>
      <c r="AC197" s="179"/>
      <c r="AD197" s="179"/>
      <c r="AE197" s="179"/>
      <c r="AF197" s="179"/>
      <c r="AG197" s="179"/>
      <c r="AH197" s="179"/>
      <c r="AI197" s="179"/>
      <c r="AJ197" s="179"/>
      <c r="AK197" s="179"/>
      <c r="AL197" s="179"/>
      <c r="AM197" s="179"/>
      <c r="AN197" s="179"/>
      <c r="AO197" s="179"/>
      <c r="AP197" s="179"/>
      <c r="AQ197" s="179"/>
      <c r="AR197" s="179"/>
      <c r="AS197" s="179"/>
      <c r="AT197" s="179"/>
      <c r="AU197" s="179"/>
      <c r="AV197" s="179"/>
      <c r="AW197" s="179"/>
      <c r="AX197" s="179"/>
      <c r="AY197" s="179"/>
      <c r="AZ197" s="179"/>
      <c r="BA197" s="179"/>
      <c r="BB197" s="179"/>
      <c r="BC197" s="179"/>
      <c r="BD197" s="179"/>
      <c r="BE197" s="179"/>
      <c r="BF197" s="179"/>
    </row>
    <row r="198" spans="1:58" ht="15.75" hidden="1" customHeight="1" outlineLevel="1">
      <c r="B198" s="221" t="s">
        <v>1699</v>
      </c>
      <c r="C198" s="221" t="s">
        <v>27</v>
      </c>
      <c r="D198" s="216"/>
      <c r="E198" s="216"/>
      <c r="F198" s="216"/>
      <c r="G198" s="216"/>
      <c r="H198" s="214"/>
      <c r="I198" s="214"/>
      <c r="J198" s="216"/>
      <c r="K198" s="216">
        <f t="shared" ref="K198:U198" si="75">(K34+K38)*K46+K42*K48</f>
        <v>0</v>
      </c>
      <c r="L198" s="216">
        <f t="shared" si="75"/>
        <v>635909.09090909094</v>
      </c>
      <c r="M198" s="222">
        <f t="shared" si="75"/>
        <v>0</v>
      </c>
      <c r="N198" s="222">
        <f t="shared" si="75"/>
        <v>769450.00000000023</v>
      </c>
      <c r="O198" s="216">
        <f t="shared" si="75"/>
        <v>266200.00000000006</v>
      </c>
      <c r="P198" s="216">
        <f>(P34+P38)*P46+P42*P48</f>
        <v>587000</v>
      </c>
      <c r="Q198" s="1498">
        <f t="shared" si="75"/>
        <v>731000</v>
      </c>
      <c r="R198" s="1976"/>
      <c r="S198" s="1403">
        <f>R198</f>
        <v>0</v>
      </c>
      <c r="T198" s="1403"/>
      <c r="U198" s="216">
        <f t="shared" si="75"/>
        <v>0</v>
      </c>
      <c r="V198" s="216">
        <f>(V34+V38)*V46+V42*V48</f>
        <v>1274253.4200000004</v>
      </c>
      <c r="W198" s="216">
        <f>(W34+W38)*W46+W42*W48</f>
        <v>0</v>
      </c>
      <c r="X198" s="216">
        <f>(X34+X38)*X46+X42*X48</f>
        <v>0</v>
      </c>
      <c r="Y198" s="216">
        <f>(Y34+Y38)*Y46+Y42*Y48</f>
        <v>1177282.8100000008</v>
      </c>
      <c r="Z198" s="179"/>
      <c r="AA198" s="179"/>
      <c r="AB198" s="179"/>
      <c r="AC198" s="179"/>
      <c r="AD198" s="179"/>
      <c r="AE198" s="179"/>
      <c r="AF198" s="179"/>
      <c r="AG198" s="179"/>
      <c r="AH198" s="179"/>
      <c r="AI198" s="179"/>
      <c r="AJ198" s="179"/>
      <c r="AK198" s="179"/>
      <c r="AL198" s="179"/>
      <c r="AM198" s="179"/>
      <c r="AN198" s="179"/>
      <c r="AO198" s="179"/>
      <c r="AP198" s="179"/>
      <c r="AQ198" s="179"/>
      <c r="AR198" s="179"/>
      <c r="AS198" s="179"/>
      <c r="AT198" s="179"/>
      <c r="AU198" s="179"/>
      <c r="AV198" s="179"/>
      <c r="AW198" s="179"/>
      <c r="AX198" s="179"/>
      <c r="AY198" s="179"/>
      <c r="AZ198" s="179"/>
      <c r="BA198" s="179"/>
      <c r="BB198" s="179"/>
      <c r="BC198" s="179"/>
      <c r="BD198" s="179"/>
      <c r="BE198" s="179"/>
      <c r="BF198" s="179"/>
    </row>
    <row r="199" spans="1:58" ht="15.75" hidden="1" customHeight="1" outlineLevel="1">
      <c r="B199" s="595" t="s">
        <v>1700</v>
      </c>
      <c r="C199" s="595" t="s">
        <v>10</v>
      </c>
      <c r="D199" s="216"/>
      <c r="E199" s="216"/>
      <c r="F199" s="216"/>
      <c r="G199" s="216"/>
      <c r="H199" s="214"/>
      <c r="I199" s="214"/>
      <c r="J199" s="216"/>
      <c r="K199" s="216">
        <f t="shared" ref="K199:U199" si="76">K490</f>
        <v>11003107.013478568</v>
      </c>
      <c r="L199" s="216">
        <f t="shared" ca="1" si="76"/>
        <v>11119644.903251776</v>
      </c>
      <c r="M199" s="222">
        <f t="shared" ca="1" si="76"/>
        <v>8152704.0420802329</v>
      </c>
      <c r="N199" s="216">
        <f t="shared" ca="1" si="76"/>
        <v>8866215.5420802329</v>
      </c>
      <c r="O199" s="216">
        <f t="shared" ca="1" si="76"/>
        <v>9461954.1587469</v>
      </c>
      <c r="P199" s="216">
        <f ca="1">P490</f>
        <v>9760535.6920802332</v>
      </c>
      <c r="Q199" s="1498">
        <f t="shared" ca="1" si="76"/>
        <v>9719546.1087468993</v>
      </c>
      <c r="R199" s="1403">
        <f ca="1">R490</f>
        <v>4859773.0543734496</v>
      </c>
      <c r="S199" s="1403">
        <f ca="1">S490</f>
        <v>4844039.7210401166</v>
      </c>
      <c r="T199" s="1403"/>
      <c r="U199" s="216">
        <f t="shared" ca="1" si="76"/>
        <v>10164574.511413567</v>
      </c>
      <c r="V199" s="216">
        <f ca="1">V490</f>
        <v>10280653.022746898</v>
      </c>
      <c r="W199" s="216">
        <f ca="1">W490</f>
        <v>6941146.1597469002</v>
      </c>
      <c r="X199" s="216">
        <f ca="1">X490</f>
        <v>6236073.478403667</v>
      </c>
      <c r="Y199" s="216">
        <f ca="1">Y490</f>
        <v>6634436.1604321674</v>
      </c>
      <c r="Z199" s="179"/>
      <c r="AA199" s="179"/>
      <c r="AB199" s="179"/>
      <c r="AC199" s="179"/>
      <c r="AD199" s="179"/>
      <c r="AE199" s="179"/>
      <c r="AF199" s="179"/>
      <c r="AG199" s="179"/>
      <c r="AH199" s="179"/>
      <c r="AI199" s="179"/>
      <c r="AJ199" s="179"/>
      <c r="AK199" s="179"/>
      <c r="AL199" s="179"/>
      <c r="AM199" s="179"/>
      <c r="AN199" s="179"/>
      <c r="AO199" s="179"/>
      <c r="AP199" s="179"/>
      <c r="AQ199" s="179"/>
      <c r="AR199" s="179"/>
      <c r="AS199" s="179"/>
      <c r="AT199" s="179"/>
      <c r="AU199" s="179"/>
      <c r="AV199" s="179"/>
      <c r="AW199" s="179"/>
      <c r="AX199" s="179"/>
      <c r="AY199" s="179"/>
      <c r="AZ199" s="179"/>
      <c r="BA199" s="179"/>
      <c r="BB199" s="179"/>
      <c r="BC199" s="179"/>
      <c r="BD199" s="179"/>
      <c r="BE199" s="179"/>
      <c r="BF199" s="179"/>
    </row>
    <row r="200" spans="1:58" ht="15.75" hidden="1" customHeight="1" outlineLevel="1">
      <c r="B200" s="595" t="s">
        <v>1701</v>
      </c>
      <c r="C200" s="595" t="s">
        <v>646</v>
      </c>
      <c r="K200" s="216">
        <f>K153+K155+K165+K170+K177+K179+K181+K183+K190+K191+K192+K193+K199+K197+K198</f>
        <v>93999489.17197901</v>
      </c>
      <c r="L200" s="216">
        <f ca="1">L153+L155+L165+L170+L177+L179+L181+L183+L190+L191+L192+L193+L199+L197+L198</f>
        <v>124200607.83829433</v>
      </c>
      <c r="M200" s="222">
        <f ca="1">M153+M155+M165+M170+M174+M177+M179+M181+M183+M190+M191+M192+M193+M199+M197+M198+M189</f>
        <v>42264585.699703135</v>
      </c>
      <c r="N200" s="216">
        <f ca="1">N153+N155+N165+N170+N177+N179+N181+N183+N190+N191+N192+N193+N199+N197+N198</f>
        <v>106998860.37213823</v>
      </c>
      <c r="O200" s="216">
        <f t="shared" ref="O200:Y200" ca="1" si="77">O153+O155+O165+O170+O177+O179+O181+O183+O190+O191+O192+O193+O199+O197+O198+O174</f>
        <v>116049232.96526541</v>
      </c>
      <c r="P200" s="216">
        <f t="shared" ca="1" si="77"/>
        <v>100208936.46979874</v>
      </c>
      <c r="Q200" s="1498">
        <f t="shared" ca="1" si="77"/>
        <v>100579471.26987222</v>
      </c>
      <c r="R200" s="1403">
        <f ca="1">(R220+R223+R228+R236+R242-R237)*R15+R199</f>
        <v>33125815.07123154</v>
      </c>
      <c r="S200" s="1403">
        <f ca="1">(S220+S223+S228+S236+S242-S237)*S15+S199</f>
        <v>35006081.086453833</v>
      </c>
      <c r="T200" s="1403"/>
      <c r="U200" s="216">
        <f t="shared" ca="1" si="77"/>
        <v>97462860.142868057</v>
      </c>
      <c r="V200" s="216">
        <f t="shared" ca="1" si="77"/>
        <v>97004681.778147399</v>
      </c>
      <c r="W200" s="216">
        <f t="shared" ca="1" si="77"/>
        <v>94313408.39027077</v>
      </c>
      <c r="X200" s="216">
        <f t="shared" ca="1" si="77"/>
        <v>93534359.109858155</v>
      </c>
      <c r="Y200" s="216">
        <f t="shared" ca="1" si="77"/>
        <v>89074067.252674282</v>
      </c>
      <c r="Z200" s="179"/>
      <c r="AA200" s="179"/>
      <c r="AB200" s="179"/>
      <c r="AC200" s="179"/>
      <c r="AD200" s="179"/>
      <c r="AE200" s="179"/>
      <c r="AF200" s="179"/>
      <c r="AG200" s="179"/>
      <c r="AH200" s="179"/>
      <c r="AI200" s="179"/>
      <c r="AJ200" s="179"/>
      <c r="AK200" s="179"/>
      <c r="AL200" s="179"/>
      <c r="AM200" s="179"/>
      <c r="AN200" s="179"/>
      <c r="AO200" s="179"/>
      <c r="AP200" s="179"/>
      <c r="AQ200" s="179"/>
      <c r="AR200" s="179"/>
      <c r="AS200" s="179"/>
      <c r="AT200" s="179"/>
      <c r="AU200" s="179"/>
      <c r="AV200" s="179"/>
      <c r="AW200" s="179"/>
      <c r="AX200" s="179"/>
      <c r="AY200" s="179"/>
      <c r="AZ200" s="179"/>
      <c r="BA200" s="179"/>
      <c r="BB200" s="179"/>
      <c r="BC200" s="179"/>
      <c r="BD200" s="179"/>
      <c r="BE200" s="179"/>
      <c r="BF200" s="179"/>
    </row>
    <row r="201" spans="1:58" ht="15.75" hidden="1" customHeight="1" outlineLevel="1">
      <c r="B201" s="595" t="s">
        <v>1702</v>
      </c>
      <c r="C201" s="595" t="s">
        <v>591</v>
      </c>
      <c r="K201" s="216">
        <f>K200/K12</f>
        <v>6614.4652930068542</v>
      </c>
      <c r="L201" s="216">
        <f ca="1">L200/L12</f>
        <v>8408.6906871697574</v>
      </c>
      <c r="M201" s="222">
        <f t="shared" ref="M201:U201" ca="1" si="78">M200/M15</f>
        <v>2930.4782445723895</v>
      </c>
      <c r="N201" s="216">
        <f t="shared" ca="1" si="78"/>
        <v>6663.5067839044223</v>
      </c>
      <c r="O201" s="216">
        <f ca="1">O200/O15</f>
        <v>8723.1435601735575</v>
      </c>
      <c r="P201" s="216">
        <f t="shared" ca="1" si="78"/>
        <v>4975.4075160580987</v>
      </c>
      <c r="Q201" s="1498">
        <f ca="1">Q200/Q15</f>
        <v>4981.5713799777741</v>
      </c>
      <c r="R201" s="1403">
        <f ca="1">R200/R15</f>
        <v>2927.4148164048056</v>
      </c>
      <c r="S201" s="1403">
        <f ca="1">S200/S15</f>
        <v>3770.3567516952321</v>
      </c>
      <c r="T201" s="1403"/>
      <c r="U201" s="216">
        <f t="shared" ca="1" si="78"/>
        <v>4589.8742323049119</v>
      </c>
      <c r="V201" s="216">
        <f ca="1">V200/V15</f>
        <v>4746.1739003250095</v>
      </c>
      <c r="W201" s="216">
        <f ca="1">W200/W15</f>
        <v>4435.6225312104734</v>
      </c>
      <c r="X201" s="216">
        <f ca="1">X200/X15</f>
        <v>4404.8670856178178</v>
      </c>
      <c r="Y201" s="216">
        <f ca="1">Y200/Y15</f>
        <v>4766.1030604121297</v>
      </c>
      <c r="Z201" s="179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79"/>
      <c r="AK201" s="179"/>
      <c r="AL201" s="179"/>
      <c r="AM201" s="179"/>
      <c r="AN201" s="179"/>
      <c r="AO201" s="179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79"/>
      <c r="BA201" s="179"/>
      <c r="BB201" s="179"/>
      <c r="BC201" s="179"/>
      <c r="BD201" s="179"/>
      <c r="BE201" s="179"/>
      <c r="BF201" s="179"/>
    </row>
    <row r="202" spans="1:58" ht="15.75" hidden="1" customHeight="1" outlineLevel="1">
      <c r="B202" s="595" t="s">
        <v>1703</v>
      </c>
      <c r="C202" s="595" t="s">
        <v>647</v>
      </c>
      <c r="K202" s="220">
        <f t="shared" ref="K202:U202" si="79">K200/K113</f>
        <v>126.54614539959049</v>
      </c>
      <c r="L202" s="220">
        <f t="shared" ca="1" si="79"/>
        <v>155.40217512193004</v>
      </c>
      <c r="M202" s="636">
        <f ca="1">M200/M113</f>
        <v>56.848792899152961</v>
      </c>
      <c r="N202" s="220">
        <f t="shared" ca="1" si="79"/>
        <v>128.58728670157885</v>
      </c>
      <c r="O202" s="220">
        <f ca="1">O200/O113</f>
        <v>167.82166984903193</v>
      </c>
      <c r="P202" s="220">
        <f t="shared" ca="1" si="79"/>
        <v>92.429743256283089</v>
      </c>
      <c r="Q202" s="1497">
        <f t="shared" ca="1" si="79"/>
        <v>94.083949710812234</v>
      </c>
      <c r="R202" s="1402">
        <f ca="1">R200/R113</f>
        <v>53.647803925434474</v>
      </c>
      <c r="S202" s="1402">
        <f ca="1">S200/S113</f>
        <v>68.469678610785408</v>
      </c>
      <c r="T202" s="1402"/>
      <c r="U202" s="220">
        <f t="shared" ca="1" si="79"/>
        <v>87.519721861590085</v>
      </c>
      <c r="V202" s="220">
        <f ca="1">V200/V113</f>
        <v>90.500043931397286</v>
      </c>
      <c r="W202" s="220">
        <f ca="1">W200/W113</f>
        <v>84.578450425121318</v>
      </c>
      <c r="X202" s="220">
        <f ca="1">X200/X113</f>
        <v>83.992005588560559</v>
      </c>
      <c r="Y202" s="220">
        <f ca="1">Y200/Y113</f>
        <v>90.880053155938498</v>
      </c>
      <c r="Z202" s="179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79"/>
      <c r="AK202" s="179"/>
      <c r="AL202" s="179"/>
      <c r="AM202" s="179"/>
      <c r="AN202" s="179"/>
      <c r="AO202" s="179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79"/>
      <c r="BA202" s="179"/>
      <c r="BB202" s="179"/>
      <c r="BC202" s="179"/>
      <c r="BD202" s="179"/>
      <c r="BE202" s="179"/>
      <c r="BF202" s="179"/>
    </row>
    <row r="203" spans="1:58" ht="15.75" hidden="1" customHeight="1" outlineLevel="1">
      <c r="H203" s="211"/>
      <c r="I203" s="211"/>
      <c r="J203" s="211"/>
      <c r="K203" s="211"/>
      <c r="L203" s="211"/>
      <c r="M203" s="185"/>
      <c r="Q203" s="1502"/>
      <c r="R203" s="1407"/>
      <c r="S203" s="1407"/>
      <c r="T203" s="1407"/>
    </row>
    <row r="204" spans="1:58" s="330" customFormat="1" ht="15.75" hidden="1" customHeight="1" outlineLevel="1">
      <c r="A204" s="308"/>
      <c r="B204" s="597"/>
      <c r="C204" s="597"/>
      <c r="H204" s="223"/>
      <c r="I204" s="223"/>
      <c r="J204" s="223"/>
      <c r="K204" s="223"/>
      <c r="L204" s="621"/>
      <c r="M204" s="194"/>
      <c r="N204" s="598"/>
      <c r="O204" s="598"/>
      <c r="P204" s="855"/>
      <c r="Q204" s="1503"/>
      <c r="R204" s="1409"/>
      <c r="S204" s="1408"/>
      <c r="T204" s="1408"/>
      <c r="U204" s="598"/>
      <c r="V204" s="598"/>
      <c r="W204" s="598"/>
      <c r="X204" s="598"/>
      <c r="Y204" s="598"/>
    </row>
    <row r="205" spans="1:58" ht="15.75" hidden="1" customHeight="1" outlineLevel="1">
      <c r="H205" s="211"/>
      <c r="I205" s="211"/>
      <c r="J205" s="211"/>
      <c r="K205" s="211"/>
      <c r="L205" s="211"/>
      <c r="M205" s="185"/>
      <c r="Q205" s="1466"/>
      <c r="R205" s="1371"/>
      <c r="S205" s="1371"/>
      <c r="T205" s="1371"/>
    </row>
    <row r="206" spans="1:58" ht="15.75" hidden="1" customHeight="1" outlineLevel="1">
      <c r="H206" s="211"/>
      <c r="I206" s="211"/>
      <c r="J206" s="211"/>
      <c r="K206" s="211"/>
      <c r="L206" s="211"/>
      <c r="M206" s="185"/>
      <c r="Q206" s="1466"/>
      <c r="R206" s="1371"/>
      <c r="S206" s="1371"/>
      <c r="T206" s="1371"/>
    </row>
    <row r="207" spans="1:58" ht="27" customHeight="1" collapsed="1">
      <c r="B207" s="297" t="s">
        <v>1705</v>
      </c>
      <c r="C207" s="297" t="s">
        <v>596</v>
      </c>
      <c r="H207" s="211"/>
      <c r="I207" s="211"/>
      <c r="J207" s="211"/>
      <c r="K207" s="211"/>
      <c r="L207" s="211"/>
      <c r="M207" s="323"/>
      <c r="N207" s="211"/>
      <c r="O207" s="211"/>
      <c r="P207" s="211"/>
      <c r="Q207" s="1493"/>
      <c r="R207" s="1398"/>
      <c r="S207" s="1398"/>
      <c r="T207" s="1398"/>
      <c r="U207" s="211"/>
      <c r="V207" s="211"/>
      <c r="W207" s="211"/>
      <c r="X207" s="211"/>
      <c r="Y207" s="211"/>
    </row>
    <row r="208" spans="1:58" ht="3" customHeight="1">
      <c r="B208" s="299"/>
      <c r="C208" s="299"/>
      <c r="D208" s="170"/>
      <c r="E208" s="170"/>
      <c r="F208" s="170"/>
      <c r="G208" s="170"/>
      <c r="H208" s="212"/>
      <c r="I208" s="212"/>
      <c r="J208" s="212"/>
      <c r="K208" s="212"/>
      <c r="L208" s="212"/>
      <c r="M208" s="212"/>
      <c r="N208" s="212"/>
      <c r="O208" s="212"/>
      <c r="P208" s="212"/>
      <c r="Q208" s="1494"/>
      <c r="R208" s="1399"/>
      <c r="S208" s="1399"/>
      <c r="T208" s="1399"/>
      <c r="U208" s="212"/>
      <c r="V208" s="212"/>
      <c r="W208" s="212"/>
      <c r="X208" s="212"/>
      <c r="Y208" s="212"/>
    </row>
    <row r="209" spans="2:58" ht="15.75" customHeight="1">
      <c r="H209" s="211"/>
      <c r="I209" s="211"/>
      <c r="J209" s="211"/>
      <c r="K209" s="211"/>
      <c r="L209" s="211"/>
      <c r="M209" s="323"/>
      <c r="N209" s="211"/>
      <c r="O209" s="211"/>
      <c r="P209" s="211"/>
      <c r="Q209" s="1493"/>
      <c r="R209" s="1398"/>
      <c r="S209" s="1398"/>
      <c r="T209" s="1398"/>
      <c r="U209" s="211"/>
      <c r="V209" s="211"/>
      <c r="W209" s="211"/>
      <c r="X209" s="211"/>
      <c r="Y209" s="211"/>
    </row>
    <row r="210" spans="2:58" ht="15.75" customHeight="1">
      <c r="B210" s="302" t="s">
        <v>1706</v>
      </c>
      <c r="C210" s="302" t="s">
        <v>502</v>
      </c>
      <c r="D210" s="303"/>
      <c r="E210" s="303"/>
      <c r="F210" s="303"/>
      <c r="G210" s="303"/>
      <c r="H210" s="172"/>
      <c r="I210" s="172"/>
      <c r="J210" s="172"/>
      <c r="K210" s="172"/>
      <c r="L210" s="173"/>
      <c r="M210" s="173"/>
      <c r="N210" s="173"/>
      <c r="O210" s="173"/>
      <c r="P210" s="173"/>
      <c r="Q210" s="1472"/>
      <c r="R210" s="1377"/>
      <c r="S210" s="1377"/>
      <c r="T210" s="1377"/>
      <c r="U210" s="173"/>
      <c r="V210" s="173"/>
      <c r="W210" s="173"/>
      <c r="X210" s="173"/>
      <c r="Y210" s="173"/>
    </row>
    <row r="211" spans="2:58" ht="15.75" customHeight="1">
      <c r="B211" s="603"/>
      <c r="C211" s="603"/>
      <c r="D211" s="233"/>
      <c r="E211" s="233"/>
      <c r="F211" s="233"/>
      <c r="G211" s="603"/>
      <c r="H211" s="603"/>
      <c r="I211" s="174">
        <v>0</v>
      </c>
      <c r="J211" s="174">
        <v>1</v>
      </c>
      <c r="K211" s="174">
        <v>2</v>
      </c>
      <c r="L211" s="174">
        <f t="shared" ref="L211:Q213" si="80">L139</f>
        <v>3</v>
      </c>
      <c r="M211" s="174">
        <f t="shared" si="80"/>
        <v>4</v>
      </c>
      <c r="N211" s="174">
        <f t="shared" si="80"/>
        <v>5</v>
      </c>
      <c r="O211" s="174">
        <f t="shared" si="80"/>
        <v>6</v>
      </c>
      <c r="P211" s="174">
        <f t="shared" si="80"/>
        <v>7</v>
      </c>
      <c r="Q211" s="1473">
        <f t="shared" si="80"/>
        <v>8</v>
      </c>
      <c r="R211" s="1378" t="str">
        <f t="shared" ref="R211:S213" si="81">R139</f>
        <v>1H 8y</v>
      </c>
      <c r="S211" s="1378" t="str">
        <f t="shared" si="81"/>
        <v>2H 8y</v>
      </c>
      <c r="T211" s="1378"/>
      <c r="U211" s="174">
        <f t="shared" ref="U211:V213" si="82">U139</f>
        <v>9</v>
      </c>
      <c r="V211" s="174">
        <f t="shared" si="82"/>
        <v>10</v>
      </c>
      <c r="W211" s="174">
        <f t="shared" ref="W211:Y213" si="83">W139</f>
        <v>11</v>
      </c>
      <c r="X211" s="174">
        <f t="shared" si="83"/>
        <v>12</v>
      </c>
      <c r="Y211" s="174">
        <f t="shared" si="83"/>
        <v>13</v>
      </c>
    </row>
    <row r="212" spans="2:58" ht="15.75" customHeight="1">
      <c r="B212" s="604"/>
      <c r="C212" s="604"/>
      <c r="D212" s="234"/>
      <c r="E212" s="234"/>
      <c r="F212" s="234"/>
      <c r="G212" s="604"/>
      <c r="H212" s="604"/>
      <c r="I212" s="176"/>
      <c r="J212" s="176"/>
      <c r="K212" s="176"/>
      <c r="L212" s="176"/>
      <c r="M212" s="176"/>
      <c r="N212" s="176"/>
      <c r="O212" s="176"/>
      <c r="P212" s="176"/>
      <c r="Q212" s="1464"/>
      <c r="R212" s="1368"/>
      <c r="S212" s="1368"/>
      <c r="T212" s="1368"/>
      <c r="U212" s="176"/>
      <c r="V212" s="176"/>
      <c r="W212" s="176"/>
      <c r="X212" s="176"/>
      <c r="Y212" s="176"/>
    </row>
    <row r="213" spans="2:58" ht="15.75" customHeight="1">
      <c r="B213" s="177"/>
      <c r="C213" s="177"/>
      <c r="D213" s="260"/>
      <c r="E213" s="235"/>
      <c r="F213" s="235"/>
      <c r="G213" s="177"/>
      <c r="H213" s="177"/>
      <c r="I213" s="213" t="s">
        <v>499</v>
      </c>
      <c r="J213" s="213" t="s">
        <v>499</v>
      </c>
      <c r="K213" s="213" t="s">
        <v>499</v>
      </c>
      <c r="L213" s="213" t="str">
        <f t="shared" si="80"/>
        <v>($)</v>
      </c>
      <c r="M213" s="213" t="str">
        <f t="shared" si="80"/>
        <v>($)</v>
      </c>
      <c r="N213" s="213" t="str">
        <f t="shared" si="80"/>
        <v>($)</v>
      </c>
      <c r="O213" s="213" t="str">
        <f t="shared" si="80"/>
        <v>($)</v>
      </c>
      <c r="P213" s="213" t="str">
        <f t="shared" si="80"/>
        <v>($)</v>
      </c>
      <c r="Q213" s="1495" t="str">
        <f t="shared" si="80"/>
        <v>($)</v>
      </c>
      <c r="R213" s="1400" t="str">
        <f t="shared" si="81"/>
        <v>($)</v>
      </c>
      <c r="S213" s="1400" t="str">
        <f t="shared" si="81"/>
        <v>($)</v>
      </c>
      <c r="T213" s="1400"/>
      <c r="U213" s="213" t="str">
        <f t="shared" si="82"/>
        <v>($)</v>
      </c>
      <c r="V213" s="213" t="str">
        <f t="shared" si="82"/>
        <v>($)</v>
      </c>
      <c r="W213" s="213" t="str">
        <f t="shared" si="83"/>
        <v>($)</v>
      </c>
      <c r="X213" s="213" t="str">
        <f t="shared" si="83"/>
        <v>($)</v>
      </c>
      <c r="Y213" s="213" t="str">
        <f t="shared" si="83"/>
        <v>($)</v>
      </c>
    </row>
    <row r="214" spans="2:58" ht="15.75" customHeight="1">
      <c r="B214" s="179"/>
      <c r="C214" s="179"/>
      <c r="D214" s="179"/>
      <c r="E214" s="179"/>
      <c r="F214" s="179"/>
      <c r="G214" s="179"/>
      <c r="K214" s="179"/>
      <c r="L214" s="179"/>
      <c r="M214" s="185"/>
      <c r="Q214" s="1466"/>
      <c r="R214" s="1371"/>
      <c r="S214" s="1371"/>
      <c r="T214" s="1371"/>
    </row>
    <row r="215" spans="2:58" ht="15.75" customHeight="1">
      <c r="B215" s="599" t="s">
        <v>1707</v>
      </c>
      <c r="C215" s="599" t="s">
        <v>648</v>
      </c>
      <c r="D215" s="179"/>
      <c r="E215" s="179"/>
      <c r="F215" s="179"/>
      <c r="G215" s="179"/>
      <c r="K215" s="207">
        <v>14472.077830585718</v>
      </c>
      <c r="L215" s="207">
        <f t="shared" ref="L215:U215" si="84">SUM(L216:L227)</f>
        <v>10420.385917601687</v>
      </c>
      <c r="M215" s="632">
        <f t="shared" si="84"/>
        <v>5968.4340039173503</v>
      </c>
      <c r="N215" s="207">
        <f t="shared" si="84"/>
        <v>8276.5748780097601</v>
      </c>
      <c r="O215" s="207">
        <f t="shared" ca="1" si="84"/>
        <v>7622.9386697248174</v>
      </c>
      <c r="P215" s="307">
        <f t="shared" ca="1" si="84"/>
        <v>8556.2066306839479</v>
      </c>
      <c r="Q215" s="1487">
        <f t="shared" ca="1" si="84"/>
        <v>8757.2114230236111</v>
      </c>
      <c r="R215" s="1392">
        <f ca="1">SUM(R216:R227)</f>
        <v>8971.6116399429375</v>
      </c>
      <c r="S215" s="1392">
        <f ca="1">SUM(S216:S227)</f>
        <v>6698.7415985732914</v>
      </c>
      <c r="T215" s="1392"/>
      <c r="U215" s="207">
        <f t="shared" ca="1" si="84"/>
        <v>9223.9365002143641</v>
      </c>
      <c r="V215" s="207">
        <f ca="1">SUM(V216:V227)</f>
        <v>9224.8462130808075</v>
      </c>
      <c r="W215" s="207">
        <f ca="1">SUM(W216:W227)</f>
        <v>9223.1641857508203</v>
      </c>
      <c r="X215" s="207">
        <f ca="1">SUM(X216:X227)</f>
        <v>9223.0114644809291</v>
      </c>
      <c r="Y215" s="207">
        <f ca="1">SUM(Y216:Y227)</f>
        <v>9225.2072432050481</v>
      </c>
    </row>
    <row r="216" spans="2:58" ht="15.75" customHeight="1">
      <c r="B216" s="593" t="s">
        <v>1708</v>
      </c>
      <c r="C216" s="593" t="s">
        <v>597</v>
      </c>
      <c r="D216" s="218"/>
      <c r="E216" s="218"/>
      <c r="F216" s="218"/>
      <c r="G216" s="218"/>
      <c r="H216" s="218"/>
      <c r="I216" s="218"/>
      <c r="J216" s="216"/>
      <c r="K216" s="216">
        <v>7069.9087961428822</v>
      </c>
      <c r="L216" s="216">
        <f>L147/L12</f>
        <v>3070.1076536956966</v>
      </c>
      <c r="M216" s="222">
        <f t="shared" ref="M216:U216" si="85">M147/M15</f>
        <v>2834.2617264919613</v>
      </c>
      <c r="N216" s="216">
        <f t="shared" si="85"/>
        <v>4089.3931883436899</v>
      </c>
      <c r="O216" s="181">
        <f>O147/O15</f>
        <v>3242.1702690780762</v>
      </c>
      <c r="P216" s="216">
        <f>P147/P12</f>
        <v>4168.5046316718126</v>
      </c>
      <c r="Q216" s="1498">
        <f t="shared" si="85"/>
        <v>4450.8810572687235</v>
      </c>
      <c r="R216" s="1967">
        <f>R17*R145*R123*R130*(1-R126)/R15</f>
        <v>5374.8772236167197</v>
      </c>
      <c r="S216" s="1403">
        <v>3107</v>
      </c>
      <c r="T216" s="1403"/>
      <c r="U216" s="216">
        <f t="shared" si="85"/>
        <v>5057.8193832599109</v>
      </c>
      <c r="V216" s="216">
        <f>V147/V15</f>
        <v>5057.8193832599127</v>
      </c>
      <c r="W216" s="216">
        <f>W147/W15</f>
        <v>5057.8193832599118</v>
      </c>
      <c r="X216" s="216">
        <f>X147/X15</f>
        <v>5057.8193832599109</v>
      </c>
      <c r="Y216" s="216">
        <f>Y147/Y15</f>
        <v>5057.8193832599118</v>
      </c>
      <c r="Z216" s="179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79"/>
      <c r="AK216" s="179"/>
      <c r="AL216" s="179"/>
      <c r="AM216" s="179"/>
      <c r="AN216" s="179"/>
      <c r="AO216" s="179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79"/>
      <c r="BA216" s="179"/>
      <c r="BB216" s="179"/>
      <c r="BC216" s="179"/>
      <c r="BD216" s="179"/>
      <c r="BE216" s="179"/>
      <c r="BF216" s="179"/>
    </row>
    <row r="217" spans="2:58" ht="15.75" customHeight="1">
      <c r="B217" s="593" t="s">
        <v>1709</v>
      </c>
      <c r="C217" s="593" t="s">
        <v>516</v>
      </c>
      <c r="D217" s="214"/>
      <c r="E217" s="214"/>
      <c r="F217" s="214"/>
      <c r="G217" s="214"/>
      <c r="H217" s="214"/>
      <c r="I217" s="214"/>
      <c r="J217" s="216"/>
      <c r="K217" s="216"/>
      <c r="L217" s="216"/>
      <c r="M217" s="222"/>
      <c r="N217" s="216"/>
      <c r="O217" s="181"/>
      <c r="P217" s="216"/>
      <c r="Q217" s="1498"/>
      <c r="R217" s="1403"/>
      <c r="S217" s="1403"/>
      <c r="T217" s="1403"/>
      <c r="U217" s="216"/>
      <c r="V217" s="216"/>
      <c r="W217" s="216"/>
      <c r="X217" s="216"/>
      <c r="Y217" s="216"/>
    </row>
    <row r="218" spans="2:58" ht="15.75" customHeight="1">
      <c r="B218" s="594" t="s">
        <v>1710</v>
      </c>
      <c r="C218" s="594" t="s">
        <v>649</v>
      </c>
      <c r="D218" s="214"/>
      <c r="E218" s="214"/>
      <c r="F218" s="214"/>
      <c r="G218" s="214"/>
      <c r="H218" s="214"/>
      <c r="I218" s="214"/>
      <c r="J218" s="216"/>
      <c r="K218" s="216">
        <v>5135.651744553772</v>
      </c>
      <c r="L218" s="216">
        <f>L149/L12</f>
        <v>4743.5750689900642</v>
      </c>
      <c r="M218" s="222">
        <f t="shared" ref="M218:U218" si="86">M149/M15</f>
        <v>1632.992816493678</v>
      </c>
      <c r="N218" s="216">
        <f t="shared" si="86"/>
        <v>2217.9861662142612</v>
      </c>
      <c r="O218" s="181">
        <f t="shared" si="86"/>
        <v>2294.2299955017033</v>
      </c>
      <c r="P218" s="216">
        <f>P149/P12</f>
        <v>2279.0635017662798</v>
      </c>
      <c r="Q218" s="1498">
        <f t="shared" si="86"/>
        <v>2139.6402357058569</v>
      </c>
      <c r="R218" s="1967">
        <f>R146*R119/R15</f>
        <v>2092.0963499536779</v>
      </c>
      <c r="S218" s="1403">
        <v>1967</v>
      </c>
      <c r="T218" s="1403"/>
      <c r="U218" s="216">
        <f t="shared" si="86"/>
        <v>1966.6456891126491</v>
      </c>
      <c r="V218" s="216">
        <f>V149/V15</f>
        <v>1966.6456891126495</v>
      </c>
      <c r="W218" s="216">
        <f>W149/W15</f>
        <v>1966.6456891126493</v>
      </c>
      <c r="X218" s="216">
        <f>X149/X15</f>
        <v>1966.6456891126491</v>
      </c>
      <c r="Y218" s="216">
        <f>Y149/Y15</f>
        <v>1966.6456891126493</v>
      </c>
    </row>
    <row r="219" spans="2:58" ht="15.75" customHeight="1">
      <c r="B219" s="1968" t="s">
        <v>2047</v>
      </c>
      <c r="C219" s="594" t="s">
        <v>517</v>
      </c>
      <c r="D219" s="216"/>
      <c r="E219" s="216"/>
      <c r="F219" s="216"/>
      <c r="G219" s="216"/>
      <c r="H219" s="214"/>
      <c r="I219" s="214"/>
      <c r="J219" s="216"/>
      <c r="K219" s="216">
        <v>550.24840120218983</v>
      </c>
      <c r="L219" s="216">
        <f>L151/L12</f>
        <v>657.57734242178503</v>
      </c>
      <c r="M219" s="222">
        <f t="shared" ref="M219:U219" si="87">M151/M15</f>
        <v>687.26786578626991</v>
      </c>
      <c r="N219" s="216">
        <f t="shared" si="87"/>
        <v>679.94002144601131</v>
      </c>
      <c r="O219" s="181">
        <f t="shared" si="87"/>
        <v>700.02692737745713</v>
      </c>
      <c r="P219" s="216">
        <f>P151/P12</f>
        <v>747.8177115170605</v>
      </c>
      <c r="Q219" s="1498">
        <f t="shared" si="87"/>
        <v>653.68090331379619</v>
      </c>
      <c r="R219" s="1967">
        <f>R151/R15</f>
        <v>661.0573744916469</v>
      </c>
      <c r="S219" s="1403">
        <v>641</v>
      </c>
      <c r="T219" s="1403"/>
      <c r="U219" s="216">
        <f t="shared" si="87"/>
        <v>655.54856303754968</v>
      </c>
      <c r="V219" s="216">
        <f>V151/V15</f>
        <v>655.5485630375498</v>
      </c>
      <c r="W219" s="216">
        <f>W151/W15</f>
        <v>655.5485630375498</v>
      </c>
      <c r="X219" s="216">
        <f>X151/X15</f>
        <v>655.54856303754968</v>
      </c>
      <c r="Y219" s="216">
        <f>Y151/Y15</f>
        <v>655.5485630375498</v>
      </c>
    </row>
    <row r="220" spans="2:58" ht="15.75" customHeight="1">
      <c r="B220" s="594" t="s">
        <v>1711</v>
      </c>
      <c r="C220" s="594" t="s">
        <v>513</v>
      </c>
      <c r="D220" s="216"/>
      <c r="E220" s="216"/>
      <c r="F220" s="216"/>
      <c r="G220" s="216"/>
      <c r="H220" s="214"/>
      <c r="I220" s="214"/>
      <c r="J220" s="216"/>
      <c r="K220" s="216">
        <v>567.48951777319178</v>
      </c>
      <c r="L220" s="216">
        <f>L153/L12</f>
        <v>656.45006697763336</v>
      </c>
      <c r="M220" s="222">
        <f t="shared" ref="M220:U220" si="88">M153/M15</f>
        <v>129.10391490110561</v>
      </c>
      <c r="N220" s="216">
        <f t="shared" si="88"/>
        <v>435.5924730218515</v>
      </c>
      <c r="O220" s="181">
        <f t="shared" si="88"/>
        <v>518.28067545607075</v>
      </c>
      <c r="P220" s="216">
        <f>P153/P12</f>
        <v>645.26158844607551</v>
      </c>
      <c r="Q220" s="1498">
        <f t="shared" si="88"/>
        <v>666.4087817458867</v>
      </c>
      <c r="R220" s="1967">
        <f>R153/R15</f>
        <v>190.36705591327436</v>
      </c>
      <c r="S220" s="1403">
        <f>S153/S15</f>
        <v>193.81481481481478</v>
      </c>
      <c r="T220" s="1403"/>
      <c r="U220" s="216">
        <f t="shared" si="88"/>
        <v>668.31280683658906</v>
      </c>
      <c r="V220" s="216">
        <f>V153/V15</f>
        <v>668.31280683658917</v>
      </c>
      <c r="W220" s="216">
        <f>W153/W15</f>
        <v>668.31280683658917</v>
      </c>
      <c r="X220" s="216">
        <f>X153/X15</f>
        <v>668.31280683658906</v>
      </c>
      <c r="Y220" s="216">
        <f>Y153/Y15</f>
        <v>668.31280683658906</v>
      </c>
      <c r="Z220" s="179"/>
      <c r="AA220" s="179"/>
      <c r="AB220" s="179"/>
      <c r="AC220" s="179"/>
      <c r="AD220" s="179"/>
      <c r="AE220" s="179"/>
      <c r="AF220" s="179"/>
      <c r="AG220" s="179"/>
      <c r="AH220" s="179"/>
      <c r="AI220" s="179"/>
      <c r="AJ220" s="179"/>
      <c r="AK220" s="179"/>
      <c r="AL220" s="179"/>
      <c r="AM220" s="179"/>
      <c r="AN220" s="179"/>
      <c r="AO220" s="179"/>
      <c r="AP220" s="179"/>
      <c r="AQ220" s="179"/>
      <c r="AR220" s="179"/>
      <c r="AS220" s="179"/>
      <c r="AT220" s="179"/>
      <c r="AU220" s="179"/>
      <c r="AV220" s="179"/>
      <c r="AW220" s="179"/>
      <c r="AX220" s="179"/>
      <c r="AY220" s="179"/>
      <c r="AZ220" s="179"/>
      <c r="BA220" s="179"/>
      <c r="BB220" s="179"/>
      <c r="BC220" s="179"/>
      <c r="BD220" s="179"/>
      <c r="BE220" s="179"/>
      <c r="BF220" s="179"/>
    </row>
    <row r="221" spans="2:58" ht="15.75" customHeight="1">
      <c r="B221" s="593" t="s">
        <v>1712</v>
      </c>
      <c r="C221" s="593" t="s">
        <v>598</v>
      </c>
      <c r="D221" s="214"/>
      <c r="E221" s="214"/>
      <c r="F221" s="214"/>
      <c r="G221" s="214"/>
      <c r="H221" s="214"/>
      <c r="I221" s="214"/>
      <c r="J221" s="214"/>
      <c r="K221" s="214"/>
      <c r="L221" s="215"/>
      <c r="M221" s="215"/>
      <c r="N221" s="215"/>
      <c r="O221" s="185"/>
      <c r="P221" s="215"/>
      <c r="Q221" s="1504"/>
      <c r="R221" s="1410"/>
      <c r="S221" s="1410"/>
      <c r="T221" s="1410"/>
      <c r="U221" s="215"/>
      <c r="V221" s="215"/>
      <c r="W221" s="215"/>
      <c r="X221" s="215"/>
      <c r="Y221" s="215"/>
      <c r="Z221" s="179"/>
      <c r="AA221" s="179"/>
      <c r="AB221" s="179"/>
      <c r="AC221" s="179"/>
      <c r="AD221" s="179"/>
      <c r="AE221" s="179"/>
      <c r="AF221" s="179"/>
      <c r="AG221" s="179"/>
      <c r="AH221" s="179"/>
      <c r="AI221" s="179"/>
      <c r="AJ221" s="179"/>
      <c r="AK221" s="179"/>
      <c r="AL221" s="179"/>
      <c r="AM221" s="179"/>
      <c r="AN221" s="179"/>
      <c r="AO221" s="179"/>
      <c r="AP221" s="179"/>
      <c r="AQ221" s="179"/>
      <c r="AR221" s="179"/>
      <c r="AS221" s="179"/>
      <c r="AT221" s="179"/>
      <c r="AU221" s="179"/>
      <c r="AV221" s="179"/>
      <c r="AW221" s="179"/>
      <c r="AX221" s="179"/>
      <c r="AY221" s="179"/>
      <c r="AZ221" s="179"/>
      <c r="BA221" s="179"/>
      <c r="BB221" s="179"/>
      <c r="BC221" s="179"/>
      <c r="BD221" s="179"/>
      <c r="BE221" s="179"/>
      <c r="BF221" s="179"/>
    </row>
    <row r="222" spans="2:58" ht="15.75" customHeight="1">
      <c r="B222" s="594" t="s">
        <v>1713</v>
      </c>
      <c r="C222" s="594" t="s">
        <v>669</v>
      </c>
      <c r="D222" s="214"/>
      <c r="E222" s="214"/>
      <c r="F222" s="214"/>
      <c r="G222" s="214"/>
      <c r="H222" s="214"/>
      <c r="I222" s="214"/>
      <c r="J222" s="214"/>
      <c r="K222" s="216">
        <v>0</v>
      </c>
      <c r="L222" s="216">
        <f>L186/L12</f>
        <v>298.78463270718231</v>
      </c>
      <c r="M222" s="222">
        <f t="shared" ref="M222:U222" si="89">M186/M15</f>
        <v>207.26190090360001</v>
      </c>
      <c r="N222" s="216">
        <f t="shared" si="89"/>
        <v>229.05223174603174</v>
      </c>
      <c r="O222" s="181">
        <f t="shared" ca="1" si="89"/>
        <v>144.41060960266415</v>
      </c>
      <c r="P222" s="216">
        <f ca="1">P186/P12</f>
        <v>127.63258122818233</v>
      </c>
      <c r="Q222" s="1498">
        <f t="shared" ca="1" si="89"/>
        <v>137.33160689988887</v>
      </c>
      <c r="R222" s="1403">
        <f ca="1">R186/R15</f>
        <v>139.01207408202404</v>
      </c>
      <c r="S222" s="1403">
        <f ca="1">S186/S15</f>
        <v>144.42678375847618</v>
      </c>
      <c r="T222" s="1403"/>
      <c r="U222" s="216">
        <f t="shared" ca="1" si="89"/>
        <v>150.29812116152459</v>
      </c>
      <c r="V222" s="216">
        <f ca="1">V186/V15</f>
        <v>151.07961950162505</v>
      </c>
      <c r="W222" s="216">
        <f ca="1">W186/W15</f>
        <v>149.52686265605237</v>
      </c>
      <c r="X222" s="216">
        <f ca="1">X186/X15</f>
        <v>149.3730854280891</v>
      </c>
      <c r="Y222" s="216">
        <f ca="1">Y186/Y15</f>
        <v>151.17926530206066</v>
      </c>
      <c r="Z222" s="179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79"/>
      <c r="AK222" s="179"/>
      <c r="AL222" s="179"/>
      <c r="AM222" s="179"/>
      <c r="AN222" s="179"/>
      <c r="AO222" s="179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79"/>
      <c r="BA222" s="179"/>
      <c r="BB222" s="179"/>
      <c r="BC222" s="179"/>
      <c r="BD222" s="179"/>
      <c r="BE222" s="179"/>
      <c r="BF222" s="179"/>
    </row>
    <row r="223" spans="2:58" ht="15.75" customHeight="1">
      <c r="B223" s="594" t="s">
        <v>1714</v>
      </c>
      <c r="C223" s="594" t="s">
        <v>519</v>
      </c>
      <c r="D223" s="214"/>
      <c r="E223" s="214"/>
      <c r="F223" s="214"/>
      <c r="G223" s="214"/>
      <c r="H223" s="214"/>
      <c r="I223" s="214"/>
      <c r="J223" s="214"/>
      <c r="K223" s="216">
        <v>78.408994314343616</v>
      </c>
      <c r="L223" s="216">
        <f>L155/L12</f>
        <v>93.922651933701658</v>
      </c>
      <c r="M223" s="222">
        <f t="shared" ref="M223:U223" si="90">M155/M15</f>
        <v>19.242093563888872</v>
      </c>
      <c r="N223" s="216">
        <f t="shared" si="90"/>
        <v>71.375661375661366</v>
      </c>
      <c r="O223" s="181">
        <f t="shared" si="90"/>
        <v>69.905877907780393</v>
      </c>
      <c r="P223" s="216">
        <f>P155/P12</f>
        <v>69.583278017823048</v>
      </c>
      <c r="Q223" s="1498">
        <f t="shared" si="90"/>
        <v>73.054846010790257</v>
      </c>
      <c r="R223" s="1970">
        <f t="shared" si="90"/>
        <v>19.445</v>
      </c>
      <c r="S223" s="1403">
        <v>70</v>
      </c>
      <c r="T223" s="1403"/>
      <c r="U223" s="216">
        <f t="shared" si="90"/>
        <v>73.054846010790257</v>
      </c>
      <c r="V223" s="216">
        <f>V155/V15</f>
        <v>73.054846010790243</v>
      </c>
      <c r="W223" s="216">
        <f>W155/W15</f>
        <v>73.054846010790257</v>
      </c>
      <c r="X223" s="216">
        <f>X155/X15</f>
        <v>73.054846010790257</v>
      </c>
      <c r="Y223" s="216">
        <f>Y155/Y15</f>
        <v>73.054846010790243</v>
      </c>
      <c r="Z223" s="179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79"/>
      <c r="AK223" s="179"/>
      <c r="AL223" s="179"/>
      <c r="AM223" s="179"/>
      <c r="AN223" s="179"/>
      <c r="AO223" s="179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79"/>
      <c r="BA223" s="179"/>
      <c r="BB223" s="179"/>
      <c r="BC223" s="179"/>
      <c r="BD223" s="179"/>
      <c r="BE223" s="179"/>
      <c r="BF223" s="179"/>
    </row>
    <row r="224" spans="2:58" ht="15.75" customHeight="1">
      <c r="B224" s="594" t="s">
        <v>1715</v>
      </c>
      <c r="C224" s="594" t="s">
        <v>518</v>
      </c>
      <c r="D224" s="214"/>
      <c r="E224" s="214"/>
      <c r="F224" s="214"/>
      <c r="G224" s="214"/>
      <c r="H224" s="214"/>
      <c r="I224" s="214"/>
      <c r="J224" s="214"/>
      <c r="K224" s="216">
        <v>53.206103284733167</v>
      </c>
      <c r="L224" s="216">
        <f>L157/L12</f>
        <v>110.49723756906079</v>
      </c>
      <c r="M224" s="222">
        <f t="shared" ref="M224:U224" si="91">M157/M15</f>
        <v>78</v>
      </c>
      <c r="N224" s="216">
        <f t="shared" si="91"/>
        <v>91.005291005290999</v>
      </c>
      <c r="O224" s="181">
        <f t="shared" si="91"/>
        <v>89.361660908454184</v>
      </c>
      <c r="P224" s="216">
        <f>P157/P12</f>
        <v>62.694641245177301</v>
      </c>
      <c r="Q224" s="1498">
        <f t="shared" si="91"/>
        <v>72.599999999999994</v>
      </c>
      <c r="R224" s="1403"/>
      <c r="S224" s="1403">
        <v>63</v>
      </c>
      <c r="T224" s="1403"/>
      <c r="U224" s="216">
        <f t="shared" si="91"/>
        <v>72.599999999999994</v>
      </c>
      <c r="V224" s="216">
        <f>V157/V15</f>
        <v>72.599999999999994</v>
      </c>
      <c r="W224" s="216">
        <f>W157/W15</f>
        <v>72.599999999999994</v>
      </c>
      <c r="X224" s="216">
        <f>X157/X15</f>
        <v>72.599999999999994</v>
      </c>
      <c r="Y224" s="216">
        <f>Y157/Y15</f>
        <v>72.599999999999994</v>
      </c>
      <c r="Z224" s="179"/>
      <c r="AA224" s="179"/>
      <c r="AB224" s="179"/>
      <c r="AC224" s="179"/>
      <c r="AD224" s="179"/>
      <c r="AE224" s="179"/>
      <c r="AF224" s="179"/>
      <c r="AG224" s="179"/>
      <c r="AH224" s="179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79"/>
      <c r="AS224" s="179"/>
      <c r="AT224" s="179"/>
      <c r="AU224" s="179"/>
      <c r="AV224" s="179"/>
      <c r="AW224" s="179"/>
      <c r="AX224" s="179"/>
      <c r="AY224" s="179"/>
      <c r="AZ224" s="179"/>
      <c r="BA224" s="179"/>
      <c r="BB224" s="179"/>
      <c r="BC224" s="179"/>
      <c r="BD224" s="179"/>
      <c r="BE224" s="179"/>
      <c r="BF224" s="179"/>
    </row>
    <row r="225" spans="2:58" ht="15.75" customHeight="1">
      <c r="B225" s="594" t="s">
        <v>2052</v>
      </c>
      <c r="C225" s="594" t="s">
        <v>520</v>
      </c>
      <c r="D225" s="214"/>
      <c r="E225" s="214"/>
      <c r="F225" s="214"/>
      <c r="G225" s="214"/>
      <c r="H225" s="214"/>
      <c r="I225" s="214"/>
      <c r="J225" s="214"/>
      <c r="K225" s="216">
        <v>280.03212255122725</v>
      </c>
      <c r="L225" s="216">
        <f>L159/L12</f>
        <v>322.09944751381215</v>
      </c>
      <c r="M225" s="222">
        <f t="shared" ref="M225:U225" si="92">M159/M15</f>
        <v>105.99999999999999</v>
      </c>
      <c r="N225" s="216">
        <f t="shared" si="92"/>
        <v>216.33174403890035</v>
      </c>
      <c r="O225" s="181">
        <f t="shared" si="92"/>
        <v>202.42637548994904</v>
      </c>
      <c r="P225" s="216">
        <f>P159/P12</f>
        <v>126.83608190370488</v>
      </c>
      <c r="Q225" s="1498">
        <f t="shared" si="92"/>
        <v>141.75</v>
      </c>
      <c r="R225" s="1970">
        <f t="shared" si="92"/>
        <v>367.5</v>
      </c>
      <c r="S225" s="1403">
        <f>R225</f>
        <v>367.5</v>
      </c>
      <c r="T225" s="1403"/>
      <c r="U225" s="216">
        <f t="shared" si="92"/>
        <v>141.75</v>
      </c>
      <c r="V225" s="216">
        <f>V159/V15</f>
        <v>141.75</v>
      </c>
      <c r="W225" s="216">
        <f>W159/W15</f>
        <v>141.75</v>
      </c>
      <c r="X225" s="216">
        <f>X159/X15</f>
        <v>141.75</v>
      </c>
      <c r="Y225" s="216">
        <f>Y159/Y15</f>
        <v>141.75</v>
      </c>
      <c r="Z225" s="179"/>
      <c r="AA225" s="179"/>
      <c r="AB225" s="179"/>
      <c r="AC225" s="179"/>
      <c r="AD225" s="179"/>
      <c r="AE225" s="179"/>
      <c r="AF225" s="179"/>
      <c r="AG225" s="179"/>
      <c r="AH225" s="179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79"/>
      <c r="AS225" s="179"/>
      <c r="AT225" s="179"/>
      <c r="AU225" s="179"/>
      <c r="AV225" s="179"/>
      <c r="AW225" s="179"/>
      <c r="AX225" s="179"/>
      <c r="AY225" s="179"/>
      <c r="AZ225" s="179"/>
      <c r="BA225" s="179"/>
      <c r="BB225" s="179"/>
      <c r="BC225" s="179"/>
      <c r="BD225" s="179"/>
      <c r="BE225" s="179"/>
      <c r="BF225" s="179"/>
    </row>
    <row r="226" spans="2:58" ht="15.75" customHeight="1">
      <c r="B226" s="331" t="s">
        <v>1716</v>
      </c>
      <c r="C226" s="331" t="s">
        <v>1</v>
      </c>
      <c r="D226" s="214"/>
      <c r="E226" s="214"/>
      <c r="F226" s="214"/>
      <c r="G226" s="214"/>
      <c r="H226" s="214"/>
      <c r="I226" s="214"/>
      <c r="J226" s="214"/>
      <c r="K226" s="216">
        <v>181.46081541319523</v>
      </c>
      <c r="L226" s="216">
        <f>L161/L12</f>
        <v>243.70165745856357</v>
      </c>
      <c r="M226" s="222">
        <f t="shared" ref="M226:U226" si="93">M161/M15</f>
        <v>118.09516526048559</v>
      </c>
      <c r="N226" s="216">
        <f t="shared" si="93"/>
        <v>111.11111111111111</v>
      </c>
      <c r="O226" s="181">
        <f t="shared" si="93"/>
        <v>233.99677196443048</v>
      </c>
      <c r="P226" s="216">
        <f>P161/P12</f>
        <v>202.55191786903441</v>
      </c>
      <c r="Q226" s="1498">
        <f t="shared" si="93"/>
        <v>220.50000000000003</v>
      </c>
      <c r="R226" s="1403"/>
      <c r="S226" s="1403">
        <f>R226</f>
        <v>0</v>
      </c>
      <c r="T226" s="1403"/>
      <c r="U226" s="216">
        <f t="shared" si="93"/>
        <v>220.5</v>
      </c>
      <c r="V226" s="216">
        <f>V161/V15</f>
        <v>220.5</v>
      </c>
      <c r="W226" s="216">
        <f>W161/W15</f>
        <v>220.5</v>
      </c>
      <c r="X226" s="216">
        <f>X161/X15</f>
        <v>220.5</v>
      </c>
      <c r="Y226" s="216">
        <f>Y161/Y15</f>
        <v>220.5</v>
      </c>
      <c r="Z226" s="179"/>
      <c r="AA226" s="179"/>
      <c r="AB226" s="179"/>
      <c r="AC226" s="179"/>
      <c r="AD226" s="179"/>
      <c r="AE226" s="179"/>
      <c r="AF226" s="179"/>
      <c r="AG226" s="179"/>
      <c r="AH226" s="179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79"/>
      <c r="AS226" s="179"/>
      <c r="AT226" s="179"/>
      <c r="AU226" s="179"/>
      <c r="AV226" s="179"/>
      <c r="AW226" s="179"/>
      <c r="AX226" s="179"/>
      <c r="AY226" s="179"/>
      <c r="AZ226" s="179"/>
      <c r="BA226" s="179"/>
      <c r="BB226" s="179"/>
      <c r="BC226" s="179"/>
      <c r="BD226" s="179"/>
      <c r="BE226" s="179"/>
      <c r="BF226" s="179"/>
    </row>
    <row r="227" spans="2:58" ht="15.75" customHeight="1">
      <c r="B227" s="331" t="s">
        <v>1717</v>
      </c>
      <c r="C227" s="331" t="s">
        <v>599</v>
      </c>
      <c r="D227" s="214"/>
      <c r="E227" s="214"/>
      <c r="F227" s="214"/>
      <c r="G227" s="214"/>
      <c r="H227" s="214"/>
      <c r="I227" s="214"/>
      <c r="J227" s="214"/>
      <c r="K227" s="216">
        <v>555.67133535018422</v>
      </c>
      <c r="L227" s="216">
        <f>L185/L12</f>
        <v>223.67015833418839</v>
      </c>
      <c r="M227" s="222">
        <f t="shared" ref="M227:U227" si="94">M185/M15</f>
        <v>156.20852051636143</v>
      </c>
      <c r="N227" s="216">
        <f>N185/N15</f>
        <v>134.78698970695203</v>
      </c>
      <c r="O227" s="181">
        <f t="shared" si="94"/>
        <v>128.1295064382322</v>
      </c>
      <c r="P227" s="216">
        <f>P185/P12</f>
        <v>126.26069701879933</v>
      </c>
      <c r="Q227" s="1498">
        <f t="shared" si="94"/>
        <v>201.36399207866739</v>
      </c>
      <c r="R227" s="1403">
        <f>R185/R15</f>
        <v>127.25656188559404</v>
      </c>
      <c r="S227" s="1403">
        <v>145</v>
      </c>
      <c r="T227" s="1403"/>
      <c r="U227" s="216">
        <f t="shared" si="94"/>
        <v>217.40709079535</v>
      </c>
      <c r="V227" s="216">
        <f>V185/V15</f>
        <v>217.5353053216906</v>
      </c>
      <c r="W227" s="216">
        <f>W185/W15</f>
        <v>217.40603483727745</v>
      </c>
      <c r="X227" s="216">
        <f>X185/X15</f>
        <v>217.40709079535</v>
      </c>
      <c r="Y227" s="216">
        <f>Y185/Y15</f>
        <v>217.79668964549813</v>
      </c>
      <c r="Z227" s="179"/>
      <c r="AA227" s="179"/>
      <c r="AB227" s="179"/>
      <c r="AC227" s="179"/>
      <c r="AD227" s="179"/>
      <c r="AE227" s="179"/>
      <c r="AF227" s="179"/>
      <c r="AG227" s="179"/>
      <c r="AH227" s="179"/>
      <c r="AI227" s="179"/>
      <c r="AJ227" s="179"/>
      <c r="AK227" s="179"/>
      <c r="AL227" s="179"/>
      <c r="AM227" s="179"/>
      <c r="AN227" s="179"/>
      <c r="AO227" s="179"/>
      <c r="AP227" s="179"/>
      <c r="AQ227" s="179"/>
      <c r="AR227" s="179"/>
      <c r="AS227" s="179"/>
      <c r="AT227" s="179"/>
      <c r="AU227" s="179"/>
      <c r="AV227" s="179"/>
      <c r="AW227" s="179"/>
      <c r="AX227" s="179"/>
      <c r="AY227" s="179"/>
      <c r="AZ227" s="179"/>
      <c r="BA227" s="179"/>
      <c r="BB227" s="179"/>
      <c r="BC227" s="179"/>
      <c r="BD227" s="179"/>
      <c r="BE227" s="179"/>
      <c r="BF227" s="179"/>
    </row>
    <row r="228" spans="2:58" ht="15.75" customHeight="1">
      <c r="B228" s="599" t="s">
        <v>1718</v>
      </c>
      <c r="C228" s="599" t="s">
        <v>0</v>
      </c>
      <c r="D228" s="214"/>
      <c r="E228" s="214"/>
      <c r="F228" s="214"/>
      <c r="G228" s="214"/>
      <c r="H228" s="214"/>
      <c r="I228" s="214"/>
      <c r="J228" s="214"/>
      <c r="K228" s="207">
        <v>3500.1768173752271</v>
      </c>
      <c r="L228" s="207">
        <f t="shared" ref="L228:Y228" si="95">SUM(L229:L235)</f>
        <v>4917.2852012414987</v>
      </c>
      <c r="M228" s="632">
        <f>SUM(M229:M235)</f>
        <v>1806.7263412089496</v>
      </c>
      <c r="N228" s="207">
        <f t="shared" si="95"/>
        <v>3695.2732449293285</v>
      </c>
      <c r="O228" s="207">
        <f t="shared" si="95"/>
        <v>5063.7268931400167</v>
      </c>
      <c r="P228" s="307">
        <f t="shared" si="95"/>
        <v>2318.8136856175538</v>
      </c>
      <c r="Q228" s="1487">
        <f t="shared" si="95"/>
        <v>2095.1458049314715</v>
      </c>
      <c r="R228" s="1392">
        <f>SUM(R229:R235)</f>
        <v>1681.7247684060681</v>
      </c>
      <c r="S228" s="1392">
        <f>SUM(S229:S235)</f>
        <v>1401.177468111176</v>
      </c>
      <c r="T228" s="1392"/>
      <c r="U228" s="207">
        <f t="shared" si="95"/>
        <v>1826.5361890733145</v>
      </c>
      <c r="V228" s="207">
        <f t="shared" si="95"/>
        <v>1828.330922825066</v>
      </c>
      <c r="W228" s="207">
        <f t="shared" si="95"/>
        <v>1828.0764551943721</v>
      </c>
      <c r="X228" s="207">
        <f t="shared" si="95"/>
        <v>1826.5361890733145</v>
      </c>
      <c r="Y228" s="207">
        <f t="shared" si="95"/>
        <v>1833.7982813241151</v>
      </c>
      <c r="Z228" s="179"/>
      <c r="AA228" s="179"/>
      <c r="AB228" s="179"/>
      <c r="AC228" s="179"/>
      <c r="AD228" s="179"/>
      <c r="AE228" s="179"/>
      <c r="AF228" s="179"/>
      <c r="AG228" s="179"/>
      <c r="AH228" s="179"/>
      <c r="AI228" s="179"/>
      <c r="AJ228" s="179"/>
      <c r="AK228" s="179"/>
      <c r="AL228" s="179"/>
      <c r="AM228" s="179"/>
      <c r="AN228" s="179"/>
      <c r="AO228" s="179"/>
      <c r="AP228" s="179"/>
      <c r="AQ228" s="179"/>
      <c r="AR228" s="179"/>
      <c r="AS228" s="179"/>
      <c r="AT228" s="179"/>
      <c r="AU228" s="179"/>
      <c r="AV228" s="179"/>
      <c r="AW228" s="179"/>
      <c r="AX228" s="179"/>
      <c r="AY228" s="179"/>
      <c r="AZ228" s="179"/>
      <c r="BA228" s="179"/>
      <c r="BB228" s="179"/>
      <c r="BC228" s="179"/>
      <c r="BD228" s="179"/>
      <c r="BE228" s="179"/>
      <c r="BF228" s="179"/>
    </row>
    <row r="229" spans="2:58" ht="15.75" customHeight="1">
      <c r="B229" s="594" t="s">
        <v>1677</v>
      </c>
      <c r="C229" s="594" t="s">
        <v>633</v>
      </c>
      <c r="D229" s="214"/>
      <c r="E229" s="214"/>
      <c r="F229" s="214"/>
      <c r="G229" s="214"/>
      <c r="H229" s="214"/>
      <c r="I229" s="214"/>
      <c r="J229" s="214"/>
      <c r="K229" s="216">
        <v>936.10000996960139</v>
      </c>
      <c r="L229" s="216">
        <f>L170/L12</f>
        <v>1268.9247445120695</v>
      </c>
      <c r="M229" s="222">
        <f>M170/$M$15</f>
        <v>1021.5915738048177</v>
      </c>
      <c r="N229" s="216">
        <f t="shared" ref="N229:V229" si="96">N170/N15</f>
        <v>1347.9490177548853</v>
      </c>
      <c r="O229" s="181">
        <f t="shared" si="96"/>
        <v>2211.4894354926405</v>
      </c>
      <c r="P229" s="216">
        <f>P170/P12</f>
        <v>761.11550936512594</v>
      </c>
      <c r="Q229" s="1498">
        <f>Q170/Q15</f>
        <v>381.03505883778473</v>
      </c>
      <c r="R229" s="1403">
        <f>R170/R15</f>
        <v>655.6767025317439</v>
      </c>
      <c r="S229" s="1403">
        <f>S170/S15</f>
        <v>95.100661960458638</v>
      </c>
      <c r="T229" s="1403"/>
      <c r="U229" s="216">
        <f t="shared" si="96"/>
        <v>0</v>
      </c>
      <c r="V229" s="216">
        <f t="shared" si="96"/>
        <v>0</v>
      </c>
      <c r="W229" s="216">
        <f>W170/W15</f>
        <v>0</v>
      </c>
      <c r="X229" s="216">
        <f>X170/X15</f>
        <v>0</v>
      </c>
      <c r="Y229" s="216">
        <f>Y170/Y15</f>
        <v>0</v>
      </c>
      <c r="Z229" s="179"/>
      <c r="AA229" s="179"/>
      <c r="AB229" s="179"/>
      <c r="AC229" s="179"/>
      <c r="AD229" s="179"/>
      <c r="AE229" s="179"/>
      <c r="AF229" s="179"/>
      <c r="AG229" s="179"/>
      <c r="AH229" s="179"/>
      <c r="AI229" s="179"/>
      <c r="AJ229" s="179"/>
      <c r="AK229" s="179"/>
      <c r="AL229" s="179"/>
      <c r="AM229" s="179"/>
      <c r="AN229" s="179"/>
      <c r="AO229" s="179"/>
      <c r="AP229" s="179"/>
      <c r="AQ229" s="179"/>
      <c r="AR229" s="179"/>
      <c r="AS229" s="179"/>
      <c r="AT229" s="179"/>
      <c r="AU229" s="179"/>
      <c r="AV229" s="179"/>
      <c r="AW229" s="179"/>
      <c r="AX229" s="179"/>
      <c r="AY229" s="179"/>
      <c r="AZ229" s="179"/>
      <c r="BA229" s="179"/>
      <c r="BB229" s="179"/>
      <c r="BC229" s="179"/>
      <c r="BD229" s="179"/>
      <c r="BE229" s="179"/>
      <c r="BF229" s="179"/>
    </row>
    <row r="230" spans="2:58" ht="15.75" customHeight="1">
      <c r="B230" s="594" t="s">
        <v>1989</v>
      </c>
      <c r="C230" s="594" t="s">
        <v>1862</v>
      </c>
      <c r="D230" s="214"/>
      <c r="E230" s="214"/>
      <c r="F230" s="214"/>
      <c r="G230" s="214"/>
      <c r="H230" s="214"/>
      <c r="I230" s="214"/>
      <c r="J230" s="214"/>
      <c r="K230" s="216"/>
      <c r="L230" s="216"/>
      <c r="M230" s="222">
        <f>M174/$M$15</f>
        <v>82.587500964785121</v>
      </c>
      <c r="N230" s="216"/>
      <c r="O230" s="181"/>
      <c r="P230" s="216"/>
      <c r="Q230" s="1498">
        <f t="shared" ref="Q230:Y230" si="97">Q174/Q15</f>
        <v>91.458547916983136</v>
      </c>
      <c r="R230" s="1403">
        <f>R174/R15</f>
        <v>0</v>
      </c>
      <c r="S230" s="1403">
        <f>S174/S15</f>
        <v>198.88692959739168</v>
      </c>
      <c r="T230" s="1403"/>
      <c r="U230" s="216">
        <f t="shared" si="97"/>
        <v>220.66021205745744</v>
      </c>
      <c r="V230" s="216">
        <f t="shared" si="97"/>
        <v>220.66021205745756</v>
      </c>
      <c r="W230" s="216">
        <f t="shared" si="97"/>
        <v>220.66021205745753</v>
      </c>
      <c r="X230" s="216">
        <f t="shared" si="97"/>
        <v>220.66021205745744</v>
      </c>
      <c r="Y230" s="216">
        <f t="shared" si="97"/>
        <v>220.6602120574575</v>
      </c>
      <c r="Z230" s="179"/>
      <c r="AA230" s="179"/>
      <c r="AB230" s="179"/>
      <c r="AC230" s="179"/>
      <c r="AD230" s="179"/>
      <c r="AE230" s="179"/>
      <c r="AF230" s="179"/>
      <c r="AG230" s="179"/>
      <c r="AH230" s="179"/>
      <c r="AI230" s="179"/>
      <c r="AJ230" s="179"/>
      <c r="AK230" s="179"/>
      <c r="AL230" s="179"/>
      <c r="AM230" s="179"/>
      <c r="AN230" s="179"/>
      <c r="AO230" s="179"/>
      <c r="AP230" s="179"/>
      <c r="AQ230" s="179"/>
      <c r="AR230" s="179"/>
      <c r="AS230" s="179"/>
      <c r="AT230" s="179"/>
      <c r="AU230" s="179"/>
      <c r="AV230" s="179"/>
      <c r="AW230" s="179"/>
      <c r="AX230" s="179"/>
      <c r="AY230" s="179"/>
      <c r="AZ230" s="179"/>
      <c r="BA230" s="179"/>
      <c r="BB230" s="179"/>
      <c r="BC230" s="179"/>
      <c r="BD230" s="179"/>
      <c r="BE230" s="179"/>
      <c r="BF230" s="179"/>
    </row>
    <row r="231" spans="2:58" ht="15.75" customHeight="1">
      <c r="B231" s="594" t="s">
        <v>1719</v>
      </c>
      <c r="C231" s="594" t="s">
        <v>8</v>
      </c>
      <c r="D231" s="214"/>
      <c r="E231" s="214"/>
      <c r="F231" s="214"/>
      <c r="G231" s="214"/>
      <c r="H231" s="214"/>
      <c r="I231" s="214"/>
      <c r="J231" s="214"/>
      <c r="K231" s="216">
        <v>1683.0407563611798</v>
      </c>
      <c r="L231" s="216">
        <f>L165/L93*(L85+L87+L89)/L12</f>
        <v>2401.6174099845716</v>
      </c>
      <c r="M231" s="222">
        <f>M165/M93*(M85+M87+M89)/M15</f>
        <v>543.37429483243545</v>
      </c>
      <c r="N231" s="216">
        <f>N165/N15-N239</f>
        <v>1705.4971364302155</v>
      </c>
      <c r="O231" s="216">
        <f t="shared" ref="O231:Y231" si="98">O165/O93*(O85+O87+O89)/O15</f>
        <v>1978.625204786058</v>
      </c>
      <c r="P231" s="216">
        <f>P165/P93*(P85+P87+P89)/P12</f>
        <v>858.93648121970989</v>
      </c>
      <c r="Q231" s="1498">
        <f t="shared" si="98"/>
        <v>814.69036565194335</v>
      </c>
      <c r="R231" s="1967">
        <f>(R85+R87+R89)*R163/R12</f>
        <v>853.06699744719356</v>
      </c>
      <c r="S231" s="1403">
        <f>S165/S93*(S85+S87+S89)/S15</f>
        <v>848.04083507926282</v>
      </c>
      <c r="T231" s="1403"/>
      <c r="U231" s="216">
        <f t="shared" si="98"/>
        <v>805.53454843877569</v>
      </c>
      <c r="V231" s="216">
        <f t="shared" si="98"/>
        <v>806.18835823448478</v>
      </c>
      <c r="W231" s="216">
        <f t="shared" si="98"/>
        <v>806.0956573369416</v>
      </c>
      <c r="X231" s="216">
        <f t="shared" si="98"/>
        <v>805.53454843877569</v>
      </c>
      <c r="Y231" s="216">
        <f t="shared" si="98"/>
        <v>808.18008126295274</v>
      </c>
      <c r="Z231" s="179"/>
      <c r="AA231" s="179"/>
      <c r="AB231" s="179"/>
      <c r="AC231" s="179"/>
      <c r="AD231" s="179"/>
      <c r="AE231" s="179"/>
      <c r="AF231" s="179"/>
      <c r="AG231" s="179"/>
      <c r="AH231" s="179"/>
      <c r="AI231" s="179"/>
      <c r="AJ231" s="179"/>
      <c r="AK231" s="179"/>
      <c r="AL231" s="179"/>
      <c r="AM231" s="179"/>
      <c r="AN231" s="179"/>
      <c r="AO231" s="179"/>
      <c r="AP231" s="179"/>
      <c r="AQ231" s="179"/>
      <c r="AR231" s="179"/>
      <c r="AS231" s="179"/>
      <c r="AT231" s="179"/>
      <c r="AU231" s="179"/>
      <c r="AV231" s="179"/>
      <c r="AW231" s="179"/>
      <c r="AX231" s="179"/>
      <c r="AY231" s="179"/>
      <c r="AZ231" s="179"/>
      <c r="BA231" s="179"/>
      <c r="BB231" s="179"/>
      <c r="BC231" s="179"/>
      <c r="BD231" s="179"/>
      <c r="BE231" s="179"/>
      <c r="BF231" s="179"/>
    </row>
    <row r="232" spans="2:58" ht="15.75" customHeight="1">
      <c r="B232" s="594" t="s">
        <v>1720</v>
      </c>
      <c r="C232" s="594" t="s">
        <v>2</v>
      </c>
      <c r="D232" s="214"/>
      <c r="E232" s="214"/>
      <c r="F232" s="214"/>
      <c r="G232" s="214"/>
      <c r="H232" s="214"/>
      <c r="I232" s="214"/>
      <c r="J232" s="214"/>
      <c r="K232" s="216">
        <v>305.85007132422515</v>
      </c>
      <c r="L232" s="216">
        <f>L177/L12</f>
        <v>511.58253299187243</v>
      </c>
      <c r="M232" s="222">
        <f t="shared" ref="M232:U232" si="99">M177/M15</f>
        <v>73.138856029828261</v>
      </c>
      <c r="N232" s="216">
        <f t="shared" si="99"/>
        <v>318.44241672396089</v>
      </c>
      <c r="O232" s="181">
        <f t="shared" si="99"/>
        <v>493.83616847154366</v>
      </c>
      <c r="P232" s="216">
        <f>P177/P12</f>
        <v>378.38409642615528</v>
      </c>
      <c r="Q232" s="1498">
        <f t="shared" si="99"/>
        <v>442.27651418478217</v>
      </c>
      <c r="R232" s="1403">
        <f>R177/R15</f>
        <v>83.425011909442773</v>
      </c>
      <c r="S232" s="1403">
        <f>S177/S15</f>
        <v>84.187597370729549</v>
      </c>
      <c r="T232" s="1403"/>
      <c r="U232" s="216">
        <f t="shared" si="99"/>
        <v>438.06435690683173</v>
      </c>
      <c r="V232" s="216">
        <f>V177/V15</f>
        <v>438.0643569068319</v>
      </c>
      <c r="W232" s="216">
        <f>W177/W15</f>
        <v>438.06435690683179</v>
      </c>
      <c r="X232" s="216">
        <f>X177/X15</f>
        <v>438.06435690683173</v>
      </c>
      <c r="Y232" s="216">
        <f>Y177/Y15</f>
        <v>438.06435690683179</v>
      </c>
      <c r="Z232" s="179"/>
      <c r="AA232" s="179"/>
      <c r="AB232" s="179"/>
      <c r="AC232" s="179"/>
      <c r="AD232" s="179"/>
      <c r="AE232" s="179"/>
      <c r="AF232" s="179"/>
      <c r="AG232" s="179"/>
      <c r="AH232" s="179"/>
      <c r="AI232" s="179"/>
      <c r="AJ232" s="179"/>
      <c r="AK232" s="179"/>
      <c r="AL232" s="179"/>
      <c r="AM232" s="179"/>
      <c r="AN232" s="179"/>
      <c r="AO232" s="179"/>
      <c r="AP232" s="179"/>
      <c r="AQ232" s="179"/>
      <c r="AR232" s="179"/>
      <c r="AS232" s="179"/>
      <c r="AT232" s="179"/>
      <c r="AU232" s="179"/>
      <c r="AV232" s="179"/>
      <c r="AW232" s="179"/>
      <c r="AX232" s="179"/>
      <c r="AY232" s="179"/>
      <c r="AZ232" s="179"/>
      <c r="BA232" s="179"/>
      <c r="BB232" s="179"/>
      <c r="BC232" s="179"/>
      <c r="BD232" s="179"/>
      <c r="BE232" s="179"/>
      <c r="BF232" s="179"/>
    </row>
    <row r="233" spans="2:58" ht="15.75" customHeight="1">
      <c r="B233" s="594" t="s">
        <v>1721</v>
      </c>
      <c r="C233" s="594" t="s">
        <v>3</v>
      </c>
      <c r="D233" s="214"/>
      <c r="E233" s="214"/>
      <c r="F233" s="214"/>
      <c r="G233" s="214"/>
      <c r="H233" s="214"/>
      <c r="I233" s="214"/>
      <c r="J233" s="214"/>
      <c r="K233" s="216">
        <v>0</v>
      </c>
      <c r="L233" s="216">
        <f>L179/L12</f>
        <v>107.17065410782783</v>
      </c>
      <c r="M233" s="222">
        <f t="shared" ref="M233:U233" si="100">M179/M15</f>
        <v>15.816006916926392</v>
      </c>
      <c r="N233" s="216">
        <f t="shared" si="100"/>
        <v>69.327364760509781</v>
      </c>
      <c r="O233" s="181">
        <f t="shared" si="100"/>
        <v>72.621683680692328</v>
      </c>
      <c r="P233" s="216">
        <f>P179/P12</f>
        <v>63.374419108662181</v>
      </c>
      <c r="Q233" s="1498">
        <f t="shared" si="100"/>
        <v>71.068744773479949</v>
      </c>
      <c r="R233" s="1403">
        <f>R179/R15</f>
        <v>21.789550911563971</v>
      </c>
      <c r="S233" s="1403">
        <v>80</v>
      </c>
      <c r="T233" s="1403"/>
      <c r="U233" s="216">
        <f t="shared" si="100"/>
        <v>70.626753427988376</v>
      </c>
      <c r="V233" s="216">
        <f>V179/V15</f>
        <v>70.516828600430742</v>
      </c>
      <c r="W233" s="216">
        <f>W179/W15</f>
        <v>70.532414372078335</v>
      </c>
      <c r="X233" s="216">
        <f>X179/X15</f>
        <v>70.626753427988376</v>
      </c>
      <c r="Y233" s="216">
        <f>Y179/Y15</f>
        <v>70.181960857726736</v>
      </c>
      <c r="Z233" s="179"/>
      <c r="AA233" s="179"/>
      <c r="AB233" s="179"/>
      <c r="AC233" s="179"/>
      <c r="AD233" s="179"/>
      <c r="AE233" s="179"/>
      <c r="AF233" s="179"/>
      <c r="AG233" s="179"/>
      <c r="AH233" s="179"/>
      <c r="AI233" s="179"/>
      <c r="AJ233" s="179"/>
      <c r="AK233" s="179"/>
      <c r="AL233" s="179"/>
      <c r="AM233" s="179"/>
      <c r="AN233" s="179"/>
      <c r="AO233" s="179"/>
      <c r="AP233" s="179"/>
      <c r="AQ233" s="179"/>
      <c r="AR233" s="179"/>
      <c r="AS233" s="179"/>
      <c r="AT233" s="179"/>
      <c r="AU233" s="179"/>
      <c r="AV233" s="179"/>
      <c r="AW233" s="179"/>
      <c r="AX233" s="179"/>
      <c r="AY233" s="179"/>
      <c r="AZ233" s="179"/>
      <c r="BA233" s="179"/>
      <c r="BB233" s="179"/>
      <c r="BC233" s="179"/>
      <c r="BD233" s="179"/>
      <c r="BE233" s="179"/>
      <c r="BF233" s="179"/>
    </row>
    <row r="234" spans="2:58" ht="15.75" customHeight="1">
      <c r="B234" s="594" t="s">
        <v>1722</v>
      </c>
      <c r="C234" s="594" t="s">
        <v>4</v>
      </c>
      <c r="D234" s="214"/>
      <c r="E234" s="214"/>
      <c r="F234" s="214"/>
      <c r="G234" s="214"/>
      <c r="H234" s="214"/>
      <c r="I234" s="214"/>
      <c r="J234" s="214"/>
      <c r="K234" s="216">
        <v>0</v>
      </c>
      <c r="L234" s="216">
        <f>L181/L12</f>
        <v>55.061682849577657</v>
      </c>
      <c r="M234" s="222">
        <f t="shared" ref="M234:U234" si="101">M181/M15</f>
        <v>14.074591874481593</v>
      </c>
      <c r="N234" s="216">
        <f t="shared" si="101"/>
        <v>36.573077651232083</v>
      </c>
      <c r="O234" s="181">
        <f t="shared" si="101"/>
        <v>53.288574220605106</v>
      </c>
      <c r="P234" s="216">
        <f>P181/P12</f>
        <v>26.802252724181024</v>
      </c>
      <c r="Q234" s="1498">
        <f>Q181/Q15</f>
        <v>30.851432935675422</v>
      </c>
      <c r="R234" s="1403">
        <f>R181/R15</f>
        <v>5.8050615027904628</v>
      </c>
      <c r="S234" s="1403">
        <v>33</v>
      </c>
      <c r="T234" s="1403"/>
      <c r="U234" s="216">
        <f t="shared" si="101"/>
        <v>27.885177611438355</v>
      </c>
      <c r="V234" s="216">
        <f>V181/V15</f>
        <v>29.136026395038062</v>
      </c>
      <c r="W234" s="216">
        <f>W181/W15</f>
        <v>28.958673890240007</v>
      </c>
      <c r="X234" s="216">
        <f>X181/X15</f>
        <v>27.885177611438355</v>
      </c>
      <c r="Y234" s="216">
        <f>Y181/Y15</f>
        <v>32.946529608323594</v>
      </c>
      <c r="Z234" s="179"/>
      <c r="AA234" s="179"/>
      <c r="AB234" s="179"/>
      <c r="AC234" s="179"/>
      <c r="AD234" s="179"/>
      <c r="AE234" s="179"/>
      <c r="AF234" s="179"/>
      <c r="AG234" s="179"/>
      <c r="AH234" s="179"/>
      <c r="AI234" s="179"/>
      <c r="AJ234" s="179"/>
      <c r="AK234" s="179"/>
      <c r="AL234" s="179"/>
      <c r="AM234" s="179"/>
      <c r="AN234" s="179"/>
      <c r="AO234" s="179"/>
      <c r="AP234" s="179"/>
      <c r="AQ234" s="179"/>
      <c r="AR234" s="179"/>
      <c r="AS234" s="179"/>
      <c r="AT234" s="179"/>
      <c r="AU234" s="179"/>
      <c r="AV234" s="179"/>
      <c r="AW234" s="179"/>
      <c r="AX234" s="179"/>
      <c r="AY234" s="179"/>
      <c r="AZ234" s="179"/>
      <c r="BA234" s="179"/>
      <c r="BB234" s="179"/>
      <c r="BC234" s="179"/>
      <c r="BD234" s="179"/>
      <c r="BE234" s="179"/>
      <c r="BF234" s="179"/>
    </row>
    <row r="235" spans="2:58" ht="15.75" customHeight="1">
      <c r="B235" s="594" t="s">
        <v>1685</v>
      </c>
      <c r="C235" s="594" t="s">
        <v>5</v>
      </c>
      <c r="D235" s="214"/>
      <c r="E235" s="214"/>
      <c r="F235" s="214"/>
      <c r="G235" s="214"/>
      <c r="H235" s="214"/>
      <c r="I235" s="214"/>
      <c r="J235" s="214"/>
      <c r="K235" s="216">
        <v>575.18597972022076</v>
      </c>
      <c r="L235" s="216">
        <f>L183/L12</f>
        <v>572.92817679558016</v>
      </c>
      <c r="M235" s="222">
        <f t="shared" ref="M235:U235" si="102">M183/M15</f>
        <v>56.143516785675331</v>
      </c>
      <c r="N235" s="216">
        <f t="shared" si="102"/>
        <v>217.48423160852539</v>
      </c>
      <c r="O235" s="181">
        <f t="shared" si="102"/>
        <v>253.86582648847738</v>
      </c>
      <c r="P235" s="216">
        <f>P183/P12</f>
        <v>230.20092677371932</v>
      </c>
      <c r="Q235" s="1498">
        <f t="shared" si="102"/>
        <v>263.76514063082271</v>
      </c>
      <c r="R235" s="1403">
        <f>R183/R15</f>
        <v>61.961444103333328</v>
      </c>
      <c r="S235" s="1403">
        <f>S183/S15</f>
        <v>61.961444103333321</v>
      </c>
      <c r="T235" s="1403"/>
      <c r="U235" s="216">
        <f t="shared" si="102"/>
        <v>263.76514063082271</v>
      </c>
      <c r="V235" s="216">
        <f>V183/V15</f>
        <v>263.76514063082271</v>
      </c>
      <c r="W235" s="216">
        <f>W183/W15</f>
        <v>263.76514063082271</v>
      </c>
      <c r="X235" s="216">
        <f>X183/X15</f>
        <v>263.76514063082271</v>
      </c>
      <c r="Y235" s="216">
        <f>Y183/Y15</f>
        <v>263.76514063082271</v>
      </c>
      <c r="Z235" s="179"/>
      <c r="AA235" s="179"/>
      <c r="AB235" s="179"/>
      <c r="AC235" s="179"/>
      <c r="AD235" s="179"/>
      <c r="AE235" s="179"/>
      <c r="AF235" s="179"/>
      <c r="AG235" s="179"/>
      <c r="AH235" s="179"/>
      <c r="AI235" s="179"/>
      <c r="AJ235" s="179"/>
      <c r="AK235" s="179"/>
      <c r="AL235" s="179"/>
      <c r="AM235" s="179"/>
      <c r="AN235" s="179"/>
      <c r="AO235" s="179"/>
      <c r="AP235" s="179"/>
      <c r="AQ235" s="179"/>
      <c r="AR235" s="179"/>
      <c r="AS235" s="179"/>
      <c r="AT235" s="179"/>
      <c r="AU235" s="179"/>
      <c r="AV235" s="179"/>
      <c r="AW235" s="179"/>
      <c r="AX235" s="179"/>
      <c r="AY235" s="179"/>
      <c r="AZ235" s="179"/>
      <c r="BA235" s="179"/>
      <c r="BB235" s="179"/>
      <c r="BC235" s="179"/>
      <c r="BD235" s="179"/>
      <c r="BE235" s="179"/>
      <c r="BF235" s="179"/>
    </row>
    <row r="236" spans="2:58" ht="15.75" customHeight="1">
      <c r="B236" s="599" t="s">
        <v>1718</v>
      </c>
      <c r="C236" s="599" t="s">
        <v>0</v>
      </c>
      <c r="D236" s="214"/>
      <c r="E236" s="214"/>
      <c r="F236" s="214"/>
      <c r="G236" s="214"/>
      <c r="H236" s="214"/>
      <c r="I236" s="214"/>
      <c r="J236" s="214"/>
      <c r="K236" s="207">
        <v>1185.3297807363206</v>
      </c>
      <c r="L236" s="207">
        <f t="shared" ref="L236:Y236" si="103">SUM(L237:L241)</f>
        <v>1182.4329614871883</v>
      </c>
      <c r="M236" s="632">
        <f t="shared" si="103"/>
        <v>279.92823719995704</v>
      </c>
      <c r="N236" s="207">
        <f t="shared" si="103"/>
        <v>1058.8364501808876</v>
      </c>
      <c r="O236" s="207">
        <f t="shared" si="103"/>
        <v>1587.2353700272454</v>
      </c>
      <c r="P236" s="307">
        <f t="shared" si="103"/>
        <v>836.63140017101341</v>
      </c>
      <c r="Q236" s="1487">
        <f t="shared" si="103"/>
        <v>932.50658152235019</v>
      </c>
      <c r="R236" s="1392">
        <f>SUM(R237:R241)</f>
        <v>389.35641534993647</v>
      </c>
      <c r="S236" s="1392">
        <f>SUM(S237:S241)</f>
        <v>1344.8629184856134</v>
      </c>
      <c r="T236" s="1392"/>
      <c r="U236" s="207">
        <f t="shared" si="103"/>
        <v>879.1994240172113</v>
      </c>
      <c r="V236" s="207">
        <f t="shared" si="103"/>
        <v>921.18285817955189</v>
      </c>
      <c r="W236" s="207">
        <f t="shared" si="103"/>
        <v>878.02504122892424</v>
      </c>
      <c r="X236" s="207">
        <f t="shared" si="103"/>
        <v>879.1994240172113</v>
      </c>
      <c r="Y236" s="207">
        <f t="shared" si="103"/>
        <v>1007.4118200928078</v>
      </c>
      <c r="Z236" s="179"/>
      <c r="AA236" s="179"/>
      <c r="AB236" s="179"/>
      <c r="AC236" s="179"/>
      <c r="AD236" s="179"/>
      <c r="AE236" s="179"/>
      <c r="AF236" s="179"/>
      <c r="AG236" s="179"/>
      <c r="AH236" s="179"/>
      <c r="AI236" s="179"/>
      <c r="AJ236" s="179"/>
      <c r="AK236" s="179"/>
      <c r="AL236" s="179"/>
      <c r="AM236" s="179"/>
      <c r="AN236" s="179"/>
      <c r="AO236" s="179"/>
      <c r="AP236" s="179"/>
      <c r="AQ236" s="179"/>
      <c r="AR236" s="179"/>
      <c r="AS236" s="179"/>
      <c r="AT236" s="179"/>
      <c r="AU236" s="179"/>
      <c r="AV236" s="179"/>
      <c r="AW236" s="179"/>
      <c r="AX236" s="179"/>
      <c r="AY236" s="179"/>
      <c r="AZ236" s="179"/>
      <c r="BA236" s="179"/>
      <c r="BB236" s="179"/>
      <c r="BC236" s="179"/>
      <c r="BD236" s="179"/>
      <c r="BE236" s="179"/>
      <c r="BF236" s="179"/>
    </row>
    <row r="237" spans="2:58" ht="15.75" customHeight="1">
      <c r="B237" s="594" t="s">
        <v>1723</v>
      </c>
      <c r="C237" s="594" t="s">
        <v>6</v>
      </c>
      <c r="D237" s="214"/>
      <c r="E237" s="214"/>
      <c r="F237" s="214"/>
      <c r="G237" s="214"/>
      <c r="H237" s="214"/>
      <c r="I237" s="214"/>
      <c r="J237" s="214"/>
      <c r="K237" s="216">
        <v>17.591758612925016</v>
      </c>
      <c r="L237" s="216">
        <f>L188/L12</f>
        <v>42.911464435373063</v>
      </c>
      <c r="M237" s="222">
        <f t="shared" ref="M237:U237" si="104">M188/M15</f>
        <v>18.304834739514433</v>
      </c>
      <c r="N237" s="216">
        <f t="shared" si="104"/>
        <v>14</v>
      </c>
      <c r="O237" s="181">
        <f t="shared" si="104"/>
        <v>16.897991572173257</v>
      </c>
      <c r="P237" s="216">
        <f>P188/P12</f>
        <v>17.189320471549465</v>
      </c>
      <c r="Q237" s="1498">
        <f t="shared" si="104"/>
        <v>9.0222982466871766</v>
      </c>
      <c r="R237" s="1970">
        <f t="shared" si="104"/>
        <v>37.646732891154905</v>
      </c>
      <c r="S237" s="1403">
        <f>R237</f>
        <v>37.646732891154905</v>
      </c>
      <c r="T237" s="1403"/>
      <c r="U237" s="216">
        <f t="shared" si="104"/>
        <v>8.5787063764980491</v>
      </c>
      <c r="V237" s="216">
        <f>V188/V15</f>
        <v>8.9127376159247529</v>
      </c>
      <c r="W237" s="216">
        <f>W188/W15</f>
        <v>8.5672474459765802</v>
      </c>
      <c r="X237" s="216">
        <f>X188/X15</f>
        <v>8.5787063764980491</v>
      </c>
      <c r="Y237" s="216">
        <f>Y188/Y15</f>
        <v>9.7470302925657464</v>
      </c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79"/>
      <c r="BB237" s="179"/>
      <c r="BC237" s="179"/>
      <c r="BD237" s="179"/>
      <c r="BE237" s="179"/>
      <c r="BF237" s="179"/>
    </row>
    <row r="238" spans="2:58" ht="15.75" customHeight="1">
      <c r="B238" s="353" t="s">
        <v>1690</v>
      </c>
      <c r="C238" s="353" t="s">
        <v>7</v>
      </c>
      <c r="D238" s="214"/>
      <c r="E238" s="214"/>
      <c r="F238" s="214"/>
      <c r="G238" s="214"/>
      <c r="H238" s="214"/>
      <c r="I238" s="214"/>
      <c r="J238" s="214"/>
      <c r="K238" s="216">
        <v>26.739473091646023</v>
      </c>
      <c r="L238" s="216">
        <f>L189/L12</f>
        <v>27.080996892117096</v>
      </c>
      <c r="M238" s="222">
        <f t="shared" ref="M238:U238" si="105">M189/M15</f>
        <v>0.33923522293628738</v>
      </c>
      <c r="N238" s="216">
        <f t="shared" si="105"/>
        <v>0.30469318849035659</v>
      </c>
      <c r="O238" s="181">
        <f t="shared" si="105"/>
        <v>0.36776449508633174</v>
      </c>
      <c r="P238" s="216">
        <f>P189/P12</f>
        <v>0.23430325574556918</v>
      </c>
      <c r="Q238" s="1498">
        <f t="shared" si="105"/>
        <v>0.24232379555619313</v>
      </c>
      <c r="R238" s="1498">
        <f t="shared" si="105"/>
        <v>0.21618559445842297</v>
      </c>
      <c r="S238" s="1403">
        <f>R238</f>
        <v>0.21618559445842297</v>
      </c>
      <c r="T238" s="1403"/>
      <c r="U238" s="216">
        <f t="shared" si="105"/>
        <v>0.23040966207013053</v>
      </c>
      <c r="V238" s="216">
        <f>V189/V15</f>
        <v>0.23938118080727042</v>
      </c>
      <c r="W238" s="216">
        <f>W189/W15</f>
        <v>0.23010189441924442</v>
      </c>
      <c r="X238" s="216">
        <f>X189/X15</f>
        <v>0.23040966207013053</v>
      </c>
      <c r="Y238" s="216">
        <f>Y189/Y15</f>
        <v>0.26178888253477806</v>
      </c>
      <c r="Z238" s="179"/>
      <c r="AA238" s="179"/>
      <c r="AB238" s="179"/>
      <c r="AC238" s="179"/>
      <c r="AD238" s="179"/>
      <c r="AE238" s="179"/>
      <c r="AF238" s="179"/>
      <c r="AG238" s="179"/>
      <c r="AH238" s="179"/>
      <c r="AI238" s="179"/>
      <c r="AJ238" s="179"/>
      <c r="AK238" s="179"/>
      <c r="AL238" s="179"/>
      <c r="AM238" s="179"/>
      <c r="AN238" s="179"/>
      <c r="AO238" s="179"/>
      <c r="AP238" s="179"/>
      <c r="AQ238" s="179"/>
      <c r="AR238" s="179"/>
      <c r="AS238" s="179"/>
      <c r="AT238" s="179"/>
      <c r="AU238" s="179"/>
      <c r="AV238" s="179"/>
      <c r="AW238" s="179"/>
      <c r="AX238" s="179"/>
      <c r="AY238" s="179"/>
      <c r="AZ238" s="179"/>
      <c r="BA238" s="179"/>
      <c r="BB238" s="179"/>
      <c r="BC238" s="179"/>
      <c r="BD238" s="179"/>
      <c r="BE238" s="179"/>
      <c r="BF238" s="179"/>
    </row>
    <row r="239" spans="2:58" ht="15.75" customHeight="1">
      <c r="B239" s="1968" t="s">
        <v>2055</v>
      </c>
      <c r="C239" s="594" t="s">
        <v>9</v>
      </c>
      <c r="D239" s="214"/>
      <c r="E239" s="214"/>
      <c r="F239" s="214"/>
      <c r="G239" s="214"/>
      <c r="H239" s="214"/>
      <c r="I239" s="214"/>
      <c r="J239" s="214"/>
      <c r="K239" s="216">
        <v>386.31210453726635</v>
      </c>
      <c r="L239" s="216">
        <f>L165/L93*(L88+L91)/L12</f>
        <v>480.86822084805902</v>
      </c>
      <c r="M239" s="222">
        <f>M165/M93*(M88+M91)/M15</f>
        <v>118.5123627114796</v>
      </c>
      <c r="N239" s="216">
        <f>N165/N93*(N88+N91)/N15</f>
        <v>384.1530166701541</v>
      </c>
      <c r="O239" s="181">
        <f>O165/O93*(O88+O91+O86+O90)/O15</f>
        <v>509.27946002806209</v>
      </c>
      <c r="P239" s="216">
        <f>P165/P93*(P88+P91)/P12</f>
        <v>150.04938432875525</v>
      </c>
      <c r="Q239" s="1498">
        <f>Q165/Q93*(Q88+Q91+Q86)/Q15</f>
        <v>138.60814896963956</v>
      </c>
      <c r="R239" s="1970">
        <f>((R86+R88+R90+R91+R92)*R163+2742.46*R166+10921690/'Control list'!M21)/R15</f>
        <v>183.34445277859223</v>
      </c>
      <c r="S239" s="1403">
        <v>520</v>
      </c>
      <c r="T239" s="1403"/>
      <c r="U239" s="216">
        <f>U165/U93*(U88+U91)/U15</f>
        <v>124.33393859253248</v>
      </c>
      <c r="V239" s="216">
        <f>V165/V93*(V88+V91)/V15</f>
        <v>136.92498623053351</v>
      </c>
      <c r="W239" s="216">
        <f>W165/W93*(W88+W91)/W15</f>
        <v>124.16786064309997</v>
      </c>
      <c r="X239" s="216">
        <f>X165/X93*(X88+X91)/X15</f>
        <v>124.33393859253248</v>
      </c>
      <c r="Y239" s="216">
        <f>Y165/Y93*(Y88+Y91)/Y15</f>
        <v>149.7420934072548</v>
      </c>
      <c r="Z239" s="179"/>
      <c r="AA239" s="179"/>
      <c r="AB239" s="179"/>
      <c r="AC239" s="179"/>
      <c r="AD239" s="179"/>
      <c r="AE239" s="179"/>
      <c r="AF239" s="179"/>
      <c r="AG239" s="179"/>
      <c r="AH239" s="179"/>
      <c r="AI239" s="179"/>
      <c r="AJ239" s="179"/>
      <c r="AK239" s="179"/>
      <c r="AL239" s="179"/>
      <c r="AM239" s="179"/>
      <c r="AN239" s="179"/>
      <c r="AO239" s="179"/>
      <c r="AP239" s="179"/>
      <c r="AQ239" s="179"/>
      <c r="AR239" s="179"/>
      <c r="AS239" s="179"/>
      <c r="AT239" s="179"/>
      <c r="AU239" s="179"/>
      <c r="AV239" s="179"/>
      <c r="AW239" s="179"/>
      <c r="AX239" s="179"/>
      <c r="AY239" s="179"/>
      <c r="AZ239" s="179"/>
      <c r="BA239" s="179"/>
      <c r="BB239" s="179"/>
      <c r="BC239" s="179"/>
      <c r="BD239" s="179"/>
      <c r="BE239" s="179"/>
      <c r="BF239" s="179"/>
    </row>
    <row r="240" spans="2:58" ht="15.75" customHeight="1">
      <c r="B240" s="594" t="s">
        <v>1694</v>
      </c>
      <c r="C240" s="594" t="s">
        <v>11</v>
      </c>
      <c r="D240" s="214"/>
      <c r="E240" s="214"/>
      <c r="F240" s="214"/>
      <c r="G240" s="214"/>
      <c r="H240" s="214"/>
      <c r="I240" s="214"/>
      <c r="J240" s="214"/>
      <c r="K240" s="216">
        <v>754.68644449448323</v>
      </c>
      <c r="L240" s="216">
        <f>L193/L12</f>
        <v>631.57227931163914</v>
      </c>
      <c r="M240" s="222">
        <f t="shared" ref="M240:U240" si="106">M193/M15</f>
        <v>142.7718045260267</v>
      </c>
      <c r="N240" s="216">
        <f t="shared" si="106"/>
        <v>660.37874032224317</v>
      </c>
      <c r="O240" s="181">
        <f t="shared" si="106"/>
        <v>1060.6901539319238</v>
      </c>
      <c r="P240" s="216">
        <f>P193/P12</f>
        <v>669.15839211496314</v>
      </c>
      <c r="Q240" s="1498">
        <f t="shared" si="106"/>
        <v>784.63381051046724</v>
      </c>
      <c r="R240" s="1967">
        <f>R193/R15</f>
        <v>168.14904408573094</v>
      </c>
      <c r="S240" s="1403">
        <v>787</v>
      </c>
      <c r="T240" s="1403"/>
      <c r="U240" s="216">
        <f t="shared" si="106"/>
        <v>746.05636938611065</v>
      </c>
      <c r="V240" s="216">
        <f>V193/V15</f>
        <v>775.1057531522863</v>
      </c>
      <c r="W240" s="216">
        <f>W193/W15</f>
        <v>745.05983124542843</v>
      </c>
      <c r="X240" s="216">
        <f>X193/X15</f>
        <v>746.05636938611065</v>
      </c>
      <c r="Y240" s="216">
        <f>Y193/Y15</f>
        <v>847.66090751045249</v>
      </c>
      <c r="Z240" s="179"/>
      <c r="AA240" s="179"/>
      <c r="AB240" s="179"/>
      <c r="AC240" s="179"/>
      <c r="AD240" s="179"/>
      <c r="AE240" s="179"/>
      <c r="AF240" s="179"/>
      <c r="AG240" s="179"/>
      <c r="AH240" s="179"/>
      <c r="AI240" s="179"/>
      <c r="AJ240" s="179"/>
      <c r="AK240" s="179"/>
      <c r="AL240" s="179"/>
      <c r="AM240" s="179"/>
      <c r="AN240" s="179"/>
      <c r="AO240" s="179"/>
      <c r="AP240" s="179"/>
      <c r="AQ240" s="179"/>
      <c r="AR240" s="179"/>
      <c r="AS240" s="179"/>
      <c r="AT240" s="179"/>
      <c r="AU240" s="179"/>
      <c r="AV240" s="179"/>
      <c r="AW240" s="179"/>
      <c r="AX240" s="179"/>
      <c r="AY240" s="179"/>
      <c r="AZ240" s="179"/>
      <c r="BA240" s="179"/>
      <c r="BB240" s="179"/>
      <c r="BC240" s="179"/>
      <c r="BD240" s="179"/>
      <c r="BE240" s="179"/>
      <c r="BF240" s="179"/>
    </row>
    <row r="241" spans="1:58" ht="15.75" customHeight="1">
      <c r="B241" s="594" t="s">
        <v>1700</v>
      </c>
      <c r="C241" s="594" t="s">
        <v>10</v>
      </c>
      <c r="D241" s="214"/>
      <c r="E241" s="214"/>
      <c r="F241" s="214"/>
      <c r="G241" s="214"/>
      <c r="H241" s="214"/>
      <c r="I241" s="214"/>
      <c r="J241" s="214"/>
      <c r="K241" s="224">
        <v>0</v>
      </c>
      <c r="L241" s="224">
        <v>0</v>
      </c>
      <c r="M241" s="224">
        <v>0</v>
      </c>
      <c r="N241" s="224">
        <v>0</v>
      </c>
      <c r="O241" s="181">
        <v>0</v>
      </c>
      <c r="P241" s="224">
        <v>0</v>
      </c>
      <c r="Q241" s="1505">
        <v>0</v>
      </c>
      <c r="R241" s="1411">
        <v>0</v>
      </c>
      <c r="S241" s="1411">
        <v>0</v>
      </c>
      <c r="T241" s="1411"/>
      <c r="U241" s="224">
        <v>0</v>
      </c>
      <c r="V241" s="224">
        <v>0</v>
      </c>
      <c r="W241" s="224">
        <v>0</v>
      </c>
      <c r="X241" s="224">
        <v>0</v>
      </c>
      <c r="Y241" s="224">
        <v>0</v>
      </c>
      <c r="Z241" s="179"/>
      <c r="AA241" s="179"/>
      <c r="AB241" s="179"/>
      <c r="AC241" s="179"/>
      <c r="AD241" s="179"/>
      <c r="AE241" s="179"/>
      <c r="AF241" s="179"/>
      <c r="AG241" s="179"/>
      <c r="AH241" s="179"/>
      <c r="AI241" s="179"/>
      <c r="AJ241" s="179"/>
      <c r="AK241" s="179"/>
      <c r="AL241" s="179"/>
      <c r="AM241" s="179"/>
      <c r="AN241" s="179"/>
      <c r="AO241" s="179"/>
      <c r="AP241" s="179"/>
      <c r="AQ241" s="179"/>
      <c r="AR241" s="179"/>
      <c r="AS241" s="179"/>
      <c r="AT241" s="179"/>
      <c r="AU241" s="179"/>
      <c r="AV241" s="179"/>
      <c r="AW241" s="179"/>
      <c r="AX241" s="179"/>
      <c r="AY241" s="179"/>
      <c r="AZ241" s="179"/>
      <c r="BA241" s="179"/>
      <c r="BB241" s="179"/>
      <c r="BC241" s="179"/>
      <c r="BD241" s="179"/>
      <c r="BE241" s="179"/>
      <c r="BF241" s="179"/>
    </row>
    <row r="242" spans="1:58" ht="15.75" customHeight="1">
      <c r="B242" s="599" t="s">
        <v>1718</v>
      </c>
      <c r="C242" s="599" t="s">
        <v>0</v>
      </c>
      <c r="D242" s="214"/>
      <c r="E242" s="214"/>
      <c r="F242" s="214"/>
      <c r="G242" s="214"/>
      <c r="H242" s="214"/>
      <c r="I242" s="214"/>
      <c r="J242" s="214"/>
      <c r="K242" s="207">
        <v>524.33146225788391</v>
      </c>
      <c r="L242" s="207">
        <f>SUM(L243:L246)</f>
        <v>827.13923125467932</v>
      </c>
      <c r="M242" s="632">
        <f>SUM(M243:M246)</f>
        <v>147.14873498759073</v>
      </c>
      <c r="N242" s="207">
        <f>SUM(N243:N246)</f>
        <v>816.65881983678594</v>
      </c>
      <c r="O242" s="207">
        <f t="shared" ref="O242:Y242" si="107">SUM(O243:O247)</f>
        <v>790.0280134834926</v>
      </c>
      <c r="P242" s="307">
        <f t="shared" si="107"/>
        <v>476.98971702938491</v>
      </c>
      <c r="Q242" s="1487">
        <f t="shared" si="107"/>
        <v>742.3234154235671</v>
      </c>
      <c r="R242" s="1392">
        <f>SUM(R243:R247)</f>
        <v>254.69746904069734</v>
      </c>
      <c r="S242" s="1392">
        <f>SUM(S243:S247)</f>
        <v>276.41727813603416</v>
      </c>
      <c r="T242" s="1392"/>
      <c r="U242" s="207">
        <f t="shared" si="107"/>
        <v>671.40081326106167</v>
      </c>
      <c r="V242" s="207">
        <f t="shared" si="107"/>
        <v>759.88905138317773</v>
      </c>
      <c r="W242" s="207">
        <f t="shared" si="107"/>
        <v>670.50399561355573</v>
      </c>
      <c r="X242" s="207">
        <f t="shared" si="107"/>
        <v>671.40081326106167</v>
      </c>
      <c r="Y242" s="207">
        <f t="shared" si="107"/>
        <v>825.83119439853704</v>
      </c>
      <c r="Z242" s="179"/>
      <c r="AA242" s="179"/>
      <c r="AB242" s="179"/>
      <c r="AC242" s="179"/>
      <c r="AD242" s="179"/>
      <c r="AE242" s="179"/>
      <c r="AF242" s="179"/>
      <c r="AG242" s="179"/>
      <c r="AH242" s="179"/>
      <c r="AI242" s="179"/>
      <c r="AJ242" s="179"/>
      <c r="AK242" s="179"/>
      <c r="AL242" s="179"/>
      <c r="AM242" s="179"/>
      <c r="AN242" s="179"/>
      <c r="AO242" s="179"/>
      <c r="AP242" s="179"/>
      <c r="AQ242" s="179"/>
      <c r="AR242" s="179"/>
      <c r="AS242" s="179"/>
      <c r="AT242" s="179"/>
      <c r="AU242" s="179"/>
      <c r="AV242" s="179"/>
      <c r="AW242" s="179"/>
      <c r="AX242" s="179"/>
      <c r="AY242" s="179"/>
      <c r="AZ242" s="179"/>
      <c r="BA242" s="179"/>
      <c r="BB242" s="179"/>
      <c r="BC242" s="179"/>
      <c r="BD242" s="179"/>
      <c r="BE242" s="179"/>
      <c r="BF242" s="179"/>
    </row>
    <row r="243" spans="1:58" ht="15.75" customHeight="1">
      <c r="B243" s="353" t="s">
        <v>1691</v>
      </c>
      <c r="C243" s="353" t="s">
        <v>644</v>
      </c>
      <c r="D243" s="214"/>
      <c r="E243" s="214"/>
      <c r="F243" s="214"/>
      <c r="G243" s="214"/>
      <c r="H243" s="214"/>
      <c r="I243" s="214"/>
      <c r="J243" s="214"/>
      <c r="K243" s="216">
        <v>1.8479070914049812E-2</v>
      </c>
      <c r="L243" s="216">
        <f>L190/L12</f>
        <v>411.63115276017987</v>
      </c>
      <c r="M243" s="222">
        <f t="shared" ref="M243:U243" si="108">M190/M12</f>
        <v>20.862324205996252</v>
      </c>
      <c r="N243" s="216">
        <f t="shared" si="108"/>
        <v>220.81975707211112</v>
      </c>
      <c r="O243" s="181">
        <f t="shared" si="108"/>
        <v>258.11861502026335</v>
      </c>
      <c r="P243" s="216">
        <f>P190/P12</f>
        <v>287.46370242702386</v>
      </c>
      <c r="Q243" s="1467">
        <f t="shared" si="108"/>
        <v>225.18227619529347</v>
      </c>
      <c r="R243" s="1372">
        <f>R190/R12</f>
        <v>141.69540953853826</v>
      </c>
      <c r="S243" s="1372">
        <f>S190/S12-34</f>
        <v>138.69391611541892</v>
      </c>
      <c r="T243" s="1372"/>
      <c r="U243" s="181">
        <f t="shared" si="108"/>
        <v>214.11092560370864</v>
      </c>
      <c r="V243" s="181">
        <f>V190/V12</f>
        <v>222.4478163556918</v>
      </c>
      <c r="W243" s="181">
        <f>W190/W12</f>
        <v>213.82492884467496</v>
      </c>
      <c r="X243" s="181">
        <f>X190/X12</f>
        <v>214.11092560370864</v>
      </c>
      <c r="Y243" s="181">
        <f>Y190/Y12</f>
        <v>243.27044034820554</v>
      </c>
      <c r="Z243" s="179"/>
      <c r="AA243" s="179"/>
      <c r="AB243" s="179"/>
      <c r="AC243" s="179"/>
      <c r="AD243" s="179"/>
      <c r="AE243" s="179"/>
      <c r="AF243" s="179"/>
      <c r="AG243" s="179"/>
      <c r="AH243" s="179"/>
      <c r="AI243" s="179"/>
      <c r="AJ243" s="179"/>
      <c r="AK243" s="179"/>
      <c r="AL243" s="179"/>
      <c r="AM243" s="179"/>
      <c r="AN243" s="179"/>
      <c r="AO243" s="179"/>
      <c r="AP243" s="179"/>
      <c r="AQ243" s="179"/>
      <c r="AR243" s="179"/>
      <c r="AS243" s="179"/>
      <c r="AT243" s="179"/>
      <c r="AU243" s="179"/>
      <c r="AV243" s="179"/>
      <c r="AW243" s="179"/>
      <c r="AX243" s="179"/>
      <c r="AY243" s="179"/>
      <c r="AZ243" s="179"/>
      <c r="BA243" s="179"/>
      <c r="BB243" s="179"/>
      <c r="BC243" s="179"/>
      <c r="BD243" s="179"/>
      <c r="BE243" s="179"/>
      <c r="BF243" s="179"/>
    </row>
    <row r="244" spans="1:58" ht="15.75" customHeight="1">
      <c r="B244" s="353" t="s">
        <v>1692</v>
      </c>
      <c r="C244" s="353" t="s">
        <v>645</v>
      </c>
      <c r="D244" s="214"/>
      <c r="E244" s="214"/>
      <c r="F244" s="214"/>
      <c r="G244" s="214"/>
      <c r="H244" s="214"/>
      <c r="I244" s="214"/>
      <c r="J244" s="214"/>
      <c r="K244" s="216">
        <v>189.99099301959018</v>
      </c>
      <c r="L244" s="216">
        <f>L191/L12</f>
        <v>147.40109964048509</v>
      </c>
      <c r="M244" s="222">
        <f t="shared" ref="M244:U244" si="109">M191/M15</f>
        <v>48.561483643054416</v>
      </c>
      <c r="N244" s="216">
        <f t="shared" si="109"/>
        <v>326.4063262886238</v>
      </c>
      <c r="O244" s="181">
        <f t="shared" si="109"/>
        <v>114.11278492879373</v>
      </c>
      <c r="P244" s="216">
        <f>P191/P12</f>
        <v>73.735465161656336</v>
      </c>
      <c r="Q244" s="1498">
        <f t="shared" si="109"/>
        <v>250.2834259975094</v>
      </c>
      <c r="R244" s="1403">
        <f>R191/R15</f>
        <v>52.160461604356797</v>
      </c>
      <c r="S244" s="1403">
        <f>S191/S15</f>
        <v>63.571532840620272</v>
      </c>
      <c r="T244" s="1403"/>
      <c r="U244" s="216">
        <f t="shared" si="109"/>
        <v>237.97794794968016</v>
      </c>
      <c r="V244" s="216">
        <f>V191/V15</f>
        <v>247.24415493021388</v>
      </c>
      <c r="W244" s="216">
        <f>W191/W15</f>
        <v>237.66007102843855</v>
      </c>
      <c r="X244" s="216">
        <f>X191/X15</f>
        <v>237.97794794968016</v>
      </c>
      <c r="Y244" s="216">
        <f>Y191/Y15</f>
        <v>270.38788435314791</v>
      </c>
      <c r="Z244" s="179"/>
      <c r="AA244" s="179"/>
      <c r="AB244" s="179"/>
      <c r="AC244" s="179"/>
      <c r="AD244" s="179"/>
      <c r="AE244" s="179"/>
      <c r="AF244" s="179"/>
      <c r="AG244" s="179"/>
      <c r="AH244" s="179"/>
      <c r="AI244" s="179"/>
      <c r="AJ244" s="179"/>
      <c r="AK244" s="179"/>
      <c r="AL244" s="179"/>
      <c r="AM244" s="179"/>
      <c r="AN244" s="179"/>
      <c r="AO244" s="179"/>
      <c r="AP244" s="179"/>
      <c r="AQ244" s="179"/>
      <c r="AR244" s="179"/>
      <c r="AS244" s="179"/>
      <c r="AT244" s="179"/>
      <c r="AU244" s="179"/>
      <c r="AV244" s="179"/>
      <c r="AW244" s="179"/>
      <c r="AX244" s="179"/>
      <c r="AY244" s="179"/>
      <c r="AZ244" s="179"/>
      <c r="BA244" s="179"/>
      <c r="BB244" s="179"/>
      <c r="BC244" s="179"/>
      <c r="BD244" s="179"/>
      <c r="BE244" s="179"/>
      <c r="BF244" s="179"/>
    </row>
    <row r="245" spans="1:58" ht="15.75" customHeight="1">
      <c r="B245" s="353" t="s">
        <v>1693</v>
      </c>
      <c r="C245" s="353" t="s">
        <v>601</v>
      </c>
      <c r="D245" s="214"/>
      <c r="E245" s="214"/>
      <c r="F245" s="214"/>
      <c r="G245" s="214"/>
      <c r="H245" s="214"/>
      <c r="I245" s="214"/>
      <c r="J245" s="214"/>
      <c r="K245" s="216">
        <v>89.506867822562484</v>
      </c>
      <c r="L245" s="216">
        <f>L192/L12</f>
        <v>116.98990657394586</v>
      </c>
      <c r="M245" s="222">
        <f t="shared" ref="M245:U245" si="110">M192/M15</f>
        <v>24.120882679757457</v>
      </c>
      <c r="N245" s="216">
        <f t="shared" si="110"/>
        <v>122.77174941958368</v>
      </c>
      <c r="O245" s="181">
        <f t="shared" si="110"/>
        <v>148.00502537679526</v>
      </c>
      <c r="P245" s="216">
        <f>P192/P12</f>
        <v>45.016022943395505</v>
      </c>
      <c r="Q245" s="1498">
        <f t="shared" si="110"/>
        <v>147.49352415550692</v>
      </c>
      <c r="R245" s="1403">
        <f>R192/R15</f>
        <v>30.727157338625727</v>
      </c>
      <c r="S245" s="1403">
        <f>S192/S15</f>
        <v>37.449294576185125</v>
      </c>
      <c r="T245" s="1403"/>
      <c r="U245" s="216">
        <f t="shared" si="110"/>
        <v>140.24183213291718</v>
      </c>
      <c r="V245" s="216">
        <f>V192/V15</f>
        <v>145.70246348581739</v>
      </c>
      <c r="W245" s="216">
        <f>W192/W15</f>
        <v>140.05450535658446</v>
      </c>
      <c r="X245" s="216">
        <f>X192/X15</f>
        <v>140.24183213291718</v>
      </c>
      <c r="Y245" s="216">
        <f>Y192/Y15</f>
        <v>159.34120205224571</v>
      </c>
      <c r="Z245" s="179"/>
      <c r="AA245" s="179"/>
      <c r="AB245" s="179"/>
      <c r="AC245" s="179"/>
      <c r="AD245" s="179"/>
      <c r="AE245" s="179"/>
      <c r="AF245" s="179"/>
      <c r="AG245" s="179"/>
      <c r="AH245" s="179"/>
      <c r="AI245" s="179"/>
      <c r="AJ245" s="179"/>
      <c r="AK245" s="179"/>
      <c r="AL245" s="179"/>
      <c r="AM245" s="179"/>
      <c r="AN245" s="179"/>
      <c r="AO245" s="179"/>
      <c r="AP245" s="179"/>
      <c r="AQ245" s="179"/>
      <c r="AR245" s="179"/>
      <c r="AS245" s="179"/>
      <c r="AT245" s="179"/>
      <c r="AU245" s="179"/>
      <c r="AV245" s="179"/>
      <c r="AW245" s="179"/>
      <c r="AX245" s="179"/>
      <c r="AY245" s="179"/>
      <c r="AZ245" s="179"/>
      <c r="BA245" s="179"/>
      <c r="BB245" s="179"/>
      <c r="BC245" s="179"/>
      <c r="BD245" s="179"/>
      <c r="BE245" s="179"/>
      <c r="BF245" s="179"/>
    </row>
    <row r="246" spans="1:58" ht="15.75" customHeight="1">
      <c r="B246" s="594" t="s">
        <v>1724</v>
      </c>
      <c r="C246" s="594" t="s">
        <v>12</v>
      </c>
      <c r="D246" s="214"/>
      <c r="E246" s="214"/>
      <c r="F246" s="214"/>
      <c r="G246" s="214"/>
      <c r="H246" s="214"/>
      <c r="I246" s="214"/>
      <c r="J246" s="214"/>
      <c r="K246" s="216">
        <v>244.81512234481724</v>
      </c>
      <c r="L246" s="216">
        <f>L197/L12</f>
        <v>151.11707228006853</v>
      </c>
      <c r="M246" s="222">
        <f t="shared" ref="M246:U246" si="111">M197/M15</f>
        <v>53.60404445878261</v>
      </c>
      <c r="N246" s="216">
        <f t="shared" si="111"/>
        <v>146.66098705646729</v>
      </c>
      <c r="O246" s="181">
        <f t="shared" si="111"/>
        <v>249.78197020167124</v>
      </c>
      <c r="P246" s="216">
        <f>P197/P12</f>
        <v>42.663456850741987</v>
      </c>
      <c r="Q246" s="1498">
        <f>Q197/Q15</f>
        <v>83.158702679401244</v>
      </c>
      <c r="R246" s="1403">
        <f>R197/R15</f>
        <v>30.114440559176572</v>
      </c>
      <c r="S246" s="1403">
        <f>S197/S15</f>
        <v>36.702534603809852</v>
      </c>
      <c r="T246" s="1403"/>
      <c r="U246" s="216">
        <f t="shared" si="111"/>
        <v>79.07010757475571</v>
      </c>
      <c r="V246" s="216">
        <f>V197/V15</f>
        <v>82.14888016302794</v>
      </c>
      <c r="W246" s="216">
        <f>W197/W15</f>
        <v>78.964490383857751</v>
      </c>
      <c r="X246" s="216">
        <f>X197/X15</f>
        <v>79.07010757475571</v>
      </c>
      <c r="Y246" s="216">
        <f>Y197/Y15</f>
        <v>89.838572384171812</v>
      </c>
      <c r="Z246" s="179"/>
      <c r="AA246" s="179"/>
      <c r="AB246" s="179"/>
      <c r="AC246" s="179"/>
      <c r="AD246" s="179"/>
      <c r="AE246" s="179"/>
      <c r="AF246" s="179"/>
      <c r="AG246" s="179"/>
      <c r="AH246" s="179"/>
      <c r="AI246" s="179"/>
      <c r="AJ246" s="179"/>
      <c r="AK246" s="179"/>
      <c r="AL246" s="179"/>
      <c r="AM246" s="179"/>
      <c r="AN246" s="179"/>
      <c r="AO246" s="179"/>
      <c r="AP246" s="179"/>
      <c r="AQ246" s="179"/>
      <c r="AR246" s="179"/>
      <c r="AS246" s="179"/>
      <c r="AT246" s="179"/>
      <c r="AU246" s="179"/>
      <c r="AV246" s="179"/>
      <c r="AW246" s="179"/>
      <c r="AX246" s="179"/>
      <c r="AY246" s="179"/>
      <c r="AZ246" s="179"/>
      <c r="BA246" s="179"/>
      <c r="BB246" s="179"/>
      <c r="BC246" s="179"/>
      <c r="BD246" s="179"/>
      <c r="BE246" s="179"/>
      <c r="BF246" s="179"/>
    </row>
    <row r="247" spans="1:58" ht="15.75" customHeight="1">
      <c r="B247" s="594" t="s">
        <v>1997</v>
      </c>
      <c r="C247" s="594" t="s">
        <v>27</v>
      </c>
      <c r="D247" s="214"/>
      <c r="E247" s="214"/>
      <c r="F247" s="214"/>
      <c r="G247" s="214"/>
      <c r="H247" s="214"/>
      <c r="I247" s="214"/>
      <c r="J247" s="214"/>
      <c r="K247" s="216"/>
      <c r="L247" s="216"/>
      <c r="M247" s="222"/>
      <c r="N247" s="216"/>
      <c r="O247" s="216">
        <f t="shared" ref="O247:Y247" si="112">O198/O15</f>
        <v>20.009617955968974</v>
      </c>
      <c r="P247" s="216">
        <f>P198/P12</f>
        <v>28.111069646567191</v>
      </c>
      <c r="Q247" s="1498">
        <f t="shared" si="112"/>
        <v>36.205486395856049</v>
      </c>
      <c r="R247" s="1403">
        <f>R198/R15</f>
        <v>0</v>
      </c>
      <c r="S247" s="1403">
        <f>S198/S15</f>
        <v>0</v>
      </c>
      <c r="T247" s="1403"/>
      <c r="U247" s="216">
        <f t="shared" si="112"/>
        <v>0</v>
      </c>
      <c r="V247" s="216">
        <f t="shared" si="112"/>
        <v>62.34573644842677</v>
      </c>
      <c r="W247" s="216">
        <f t="shared" si="112"/>
        <v>0</v>
      </c>
      <c r="X247" s="216">
        <f t="shared" si="112"/>
        <v>0</v>
      </c>
      <c r="Y247" s="216">
        <f t="shared" si="112"/>
        <v>62.993095260766083</v>
      </c>
      <c r="Z247" s="179"/>
      <c r="AA247" s="179"/>
      <c r="AB247" s="179"/>
      <c r="AC247" s="179"/>
      <c r="AD247" s="179"/>
      <c r="AE247" s="179"/>
      <c r="AF247" s="179"/>
      <c r="AG247" s="179"/>
      <c r="AH247" s="179"/>
      <c r="AI247" s="179"/>
      <c r="AJ247" s="179"/>
      <c r="AK247" s="179"/>
      <c r="AL247" s="179"/>
      <c r="AM247" s="179"/>
      <c r="AN247" s="179"/>
      <c r="AO247" s="179"/>
      <c r="AP247" s="179"/>
      <c r="AQ247" s="179"/>
      <c r="AR247" s="179"/>
      <c r="AS247" s="179"/>
      <c r="AT247" s="179"/>
      <c r="AU247" s="179"/>
      <c r="AV247" s="179"/>
      <c r="AW247" s="179"/>
      <c r="AX247" s="179"/>
      <c r="AY247" s="179"/>
      <c r="AZ247" s="179"/>
      <c r="BA247" s="179"/>
      <c r="BB247" s="179"/>
      <c r="BC247" s="179"/>
      <c r="BD247" s="179"/>
      <c r="BE247" s="179"/>
      <c r="BF247" s="179"/>
    </row>
    <row r="248" spans="1:58" s="330" customFormat="1" ht="15.75" customHeight="1">
      <c r="A248" s="308"/>
      <c r="B248" s="599" t="s">
        <v>1725</v>
      </c>
      <c r="C248" s="599" t="s">
        <v>1864</v>
      </c>
      <c r="D248" s="225"/>
      <c r="E248" s="225"/>
      <c r="F248" s="225"/>
      <c r="G248" s="225"/>
      <c r="H248" s="225"/>
      <c r="I248" s="225"/>
      <c r="J248" s="225"/>
      <c r="K248" s="207">
        <f>K202*K129/K12</f>
        <v>6684.6541617047533</v>
      </c>
      <c r="L248" s="207">
        <f ca="1">L202*L129/L12</f>
        <v>8408.6906871697574</v>
      </c>
      <c r="M248" s="632">
        <f ca="1">M202*M129/M12</f>
        <v>2930.4782445723895</v>
      </c>
      <c r="N248" s="207">
        <f ca="1">N202*N129/N12</f>
        <v>6663.5067839044223</v>
      </c>
      <c r="O248" s="207">
        <f t="shared" ref="O248:Y248" si="113">O220+O223+O228+O239+O240+O241+O242</f>
        <v>8011.9110739473463</v>
      </c>
      <c r="P248" s="307">
        <f t="shared" si="113"/>
        <v>4329.8560455545557</v>
      </c>
      <c r="Q248" s="1487">
        <f t="shared" si="113"/>
        <v>4500.1748075918222</v>
      </c>
      <c r="R248" s="1392">
        <f>R220+R223+R228+R239+R240+R241+R242</f>
        <v>2497.7277902243632</v>
      </c>
      <c r="S248" s="1392">
        <f>S220+S223+S228+S239+S240+S241+S242</f>
        <v>3248.4095610620252</v>
      </c>
      <c r="T248" s="1392"/>
      <c r="U248" s="207">
        <f t="shared" si="113"/>
        <v>4109.6949631603984</v>
      </c>
      <c r="V248" s="207">
        <f t="shared" si="113"/>
        <v>4241.6183664384425</v>
      </c>
      <c r="W248" s="207">
        <f t="shared" si="113"/>
        <v>4109.1757955438361</v>
      </c>
      <c r="X248" s="207">
        <f t="shared" si="113"/>
        <v>4109.6949631603984</v>
      </c>
      <c r="Y248" s="207">
        <f t="shared" si="113"/>
        <v>4398.4001294877389</v>
      </c>
      <c r="Z248" s="225"/>
      <c r="AA248" s="225"/>
      <c r="AB248" s="225"/>
      <c r="AC248" s="225"/>
      <c r="AD248" s="225"/>
      <c r="AE248" s="225"/>
      <c r="AF248" s="225"/>
      <c r="AG248" s="225"/>
      <c r="AH248" s="225"/>
      <c r="AI248" s="225"/>
      <c r="AJ248" s="225"/>
      <c r="AK248" s="225"/>
      <c r="AL248" s="225"/>
      <c r="AM248" s="225"/>
      <c r="AN248" s="225"/>
      <c r="AO248" s="225"/>
      <c r="AP248" s="225"/>
      <c r="AQ248" s="225"/>
      <c r="AR248" s="225"/>
      <c r="AS248" s="225"/>
      <c r="AT248" s="225"/>
      <c r="AU248" s="225"/>
      <c r="AV248" s="225"/>
      <c r="AW248" s="225"/>
      <c r="AX248" s="225"/>
      <c r="AY248" s="225"/>
      <c r="AZ248" s="225"/>
      <c r="BA248" s="225"/>
      <c r="BB248" s="225"/>
      <c r="BC248" s="225"/>
      <c r="BD248" s="225"/>
      <c r="BE248" s="225"/>
      <c r="BF248" s="225"/>
    </row>
    <row r="249" spans="1:58" ht="15.75" customHeight="1">
      <c r="B249" s="599" t="s">
        <v>1996</v>
      </c>
      <c r="C249" s="599" t="s">
        <v>1995</v>
      </c>
      <c r="D249" s="214"/>
      <c r="E249" s="214"/>
      <c r="F249" s="214"/>
      <c r="G249" s="214"/>
      <c r="H249" s="214"/>
      <c r="I249" s="214"/>
      <c r="J249" s="207"/>
      <c r="K249" s="207">
        <f>SUM(K215:K246)-K236-K228-K215-K242</f>
        <v>19681.915890955162</v>
      </c>
      <c r="L249" s="207">
        <f>SUM(L215:L246)-L236-L228-L215-L242</f>
        <v>17347.243311585047</v>
      </c>
      <c r="M249" s="207">
        <f>SUM(M215:M246)-M236-M228-M215-M242</f>
        <v>8202.2373173138458</v>
      </c>
      <c r="N249" s="207">
        <f>SUM(N215:N246)-N236-N228-N215-N242</f>
        <v>13847.343392956758</v>
      </c>
      <c r="O249" s="207">
        <f t="shared" ref="O249:Y249" ca="1" si="114">SUM(O215:O247)-O236-O228-O215-O242</f>
        <v>15063.92894637557</v>
      </c>
      <c r="P249" s="307">
        <f t="shared" ca="1" si="114"/>
        <v>12188.6414335019</v>
      </c>
      <c r="Q249" s="1487">
        <f t="shared" ca="1" si="114"/>
        <v>12527.187224900996</v>
      </c>
      <c r="R249" s="1392">
        <f ca="1">SUM(R215:R247)-R236-R228-R215-R242</f>
        <v>11297.39029273963</v>
      </c>
      <c r="S249" s="1392">
        <f ca="1">SUM(S215:S247)-S236-S228-S215-S242</f>
        <v>9721.1992633061145</v>
      </c>
      <c r="T249" s="1392">
        <f ca="1">(R249*R12+S12*S249)/T12</f>
        <v>10587.000291546086</v>
      </c>
      <c r="U249" s="207">
        <f t="shared" ca="1" si="114"/>
        <v>12601.072926565947</v>
      </c>
      <c r="V249" s="207">
        <f t="shared" ca="1" si="114"/>
        <v>12734.249045468596</v>
      </c>
      <c r="W249" s="207">
        <f t="shared" ca="1" si="114"/>
        <v>12599.769677787664</v>
      </c>
      <c r="X249" s="207">
        <f t="shared" ca="1" si="114"/>
        <v>12600.147890832508</v>
      </c>
      <c r="Y249" s="207">
        <f t="shared" ca="1" si="114"/>
        <v>12892.248539020502</v>
      </c>
    </row>
    <row r="250" spans="1:58" ht="15.75" hidden="1" customHeight="1" outlineLevel="1">
      <c r="B250" s="169"/>
      <c r="C250" s="406" t="s">
        <v>371</v>
      </c>
      <c r="L250" s="226"/>
      <c r="M250" s="185"/>
      <c r="O250" s="216">
        <f t="shared" ref="O250:Y250" si="115">O458/O15</f>
        <v>1892.0573075946322</v>
      </c>
      <c r="P250" s="216">
        <f>P458/P12</f>
        <v>508.71697629995168</v>
      </c>
      <c r="Q250" s="1498">
        <f t="shared" si="115"/>
        <v>636.29532657669313</v>
      </c>
      <c r="R250" s="1403">
        <v>1233</v>
      </c>
      <c r="S250" s="1403">
        <f>S458/S15</f>
        <v>0</v>
      </c>
      <c r="T250" s="1403"/>
      <c r="U250" s="216">
        <f t="shared" si="115"/>
        <v>161.58508357704753</v>
      </c>
      <c r="V250" s="216">
        <f t="shared" si="115"/>
        <v>120.88252631220051</v>
      </c>
      <c r="W250" s="216">
        <f t="shared" si="115"/>
        <v>128.36351861358378</v>
      </c>
      <c r="X250" s="216">
        <f t="shared" si="115"/>
        <v>175.04118456493305</v>
      </c>
      <c r="Y250" s="216">
        <f t="shared" si="115"/>
        <v>628.43893699555656</v>
      </c>
    </row>
    <row r="251" spans="1:58" ht="15.75" hidden="1" customHeight="1" outlineLevel="1">
      <c r="B251" s="169"/>
      <c r="C251" s="406" t="s">
        <v>1865</v>
      </c>
      <c r="L251" s="226"/>
      <c r="M251" s="185"/>
      <c r="O251" s="216">
        <f t="shared" ref="O251:Y251" ca="1" si="116">O565/O15</f>
        <v>0</v>
      </c>
      <c r="P251" s="216">
        <f ca="1">P565/P12</f>
        <v>15.832470494894968</v>
      </c>
      <c r="Q251" s="1498">
        <f t="shared" ca="1" si="116"/>
        <v>66.726830296464684</v>
      </c>
      <c r="R251" s="1498">
        <f t="shared" ca="1" si="116"/>
        <v>53.3154356793722</v>
      </c>
      <c r="S251" s="1498">
        <f t="shared" ca="1" si="116"/>
        <v>92.796486986431177</v>
      </c>
      <c r="T251" s="1403"/>
      <c r="U251" s="216">
        <f t="shared" ca="1" si="116"/>
        <v>74.242592591205593</v>
      </c>
      <c r="V251" s="216">
        <f t="shared" ca="1" si="116"/>
        <v>20.922766899413723</v>
      </c>
      <c r="W251" s="216">
        <f t="shared" ca="1" si="116"/>
        <v>0</v>
      </c>
      <c r="X251" s="216">
        <f t="shared" ca="1" si="116"/>
        <v>0</v>
      </c>
      <c r="Y251" s="216">
        <f t="shared" ca="1" si="116"/>
        <v>0</v>
      </c>
    </row>
    <row r="252" spans="1:58" ht="15.75" hidden="1" customHeight="1" outlineLevel="1">
      <c r="B252" s="169"/>
      <c r="C252" s="599" t="s">
        <v>1863</v>
      </c>
      <c r="L252" s="169"/>
      <c r="M252" s="185"/>
      <c r="O252" s="207">
        <f ca="1">O248+O250+O251</f>
        <v>9903.9683815419776</v>
      </c>
      <c r="P252" s="207">
        <f ca="1">P249+P250+P251</f>
        <v>12713.190880296746</v>
      </c>
      <c r="Q252" s="1487">
        <f ca="1">Q249+Q250+Q251</f>
        <v>13230.209381774153</v>
      </c>
      <c r="R252" s="1392">
        <f ca="1">R249+R250+R251</f>
        <v>12583.705728419003</v>
      </c>
      <c r="S252" s="1392">
        <f t="shared" ref="S252:Y252" ca="1" si="117">S249+S250+S251</f>
        <v>9813.9957502925463</v>
      </c>
      <c r="T252" s="1392"/>
      <c r="U252" s="207">
        <f t="shared" ca="1" si="117"/>
        <v>12836.900602734198</v>
      </c>
      <c r="V252" s="207">
        <f t="shared" ca="1" si="117"/>
        <v>12876.054338680209</v>
      </c>
      <c r="W252" s="207">
        <f t="shared" ca="1" si="117"/>
        <v>12728.133196401248</v>
      </c>
      <c r="X252" s="207">
        <f t="shared" ca="1" si="117"/>
        <v>12775.18907539744</v>
      </c>
      <c r="Y252" s="207">
        <f t="shared" ca="1" si="117"/>
        <v>13520.687476016059</v>
      </c>
    </row>
    <row r="253" spans="1:58" s="377" customFormat="1" ht="15.75" hidden="1" customHeight="1" outlineLevel="1">
      <c r="C253" s="377" t="s">
        <v>1209</v>
      </c>
      <c r="M253" s="1554"/>
      <c r="N253" s="1555"/>
      <c r="O253" s="1555"/>
      <c r="P253" s="1339"/>
      <c r="Q253" s="1556">
        <f t="shared" ref="Q253:Y253" ca="1" si="118">Q248-(Q200-Q199)/Q15</f>
        <v>0</v>
      </c>
      <c r="R253" s="1557">
        <f ca="1">R248-(R200-R199)/R15</f>
        <v>-0.21618559445823848</v>
      </c>
      <c r="S253" s="1557">
        <f ca="1">S248-(S200-S199)/S15</f>
        <v>-0.21618559445823848</v>
      </c>
      <c r="T253" s="1557"/>
      <c r="U253" s="1558">
        <f t="shared" ca="1" si="118"/>
        <v>-1.4931464112851245</v>
      </c>
      <c r="V253" s="1558">
        <f t="shared" ca="1" si="118"/>
        <v>-1.5512854271828473</v>
      </c>
      <c r="W253" s="1558">
        <f t="shared" ca="1" si="118"/>
        <v>0</v>
      </c>
      <c r="X253" s="1558">
        <f t="shared" ca="1" si="118"/>
        <v>-1.4931464112851245</v>
      </c>
      <c r="Y253" s="1558">
        <f t="shared" ca="1" si="118"/>
        <v>-12.712893266766514</v>
      </c>
    </row>
    <row r="254" spans="1:58" ht="49.5" customHeight="1" collapsed="1">
      <c r="B254" s="366" t="s">
        <v>182</v>
      </c>
      <c r="C254" s="366" t="s">
        <v>182</v>
      </c>
      <c r="I254" s="227"/>
      <c r="J254" s="227"/>
      <c r="K254" s="226"/>
      <c r="L254" s="228"/>
      <c r="M254" s="368"/>
      <c r="N254" s="228"/>
      <c r="O254" s="228"/>
      <c r="P254" s="228"/>
      <c r="Q254" s="1506"/>
      <c r="R254" s="1412"/>
      <c r="S254" s="1412"/>
      <c r="T254" s="1412"/>
      <c r="U254" s="228"/>
      <c r="V254" s="228"/>
      <c r="W254" s="228"/>
      <c r="X254" s="228"/>
      <c r="Y254" s="228"/>
    </row>
    <row r="255" spans="1:58" ht="3" customHeight="1">
      <c r="B255" s="229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1507"/>
      <c r="R255" s="1413"/>
      <c r="S255" s="1413"/>
      <c r="T255" s="1413"/>
      <c r="U255" s="229"/>
      <c r="V255" s="229"/>
      <c r="W255" s="229"/>
      <c r="X255" s="229"/>
      <c r="Y255" s="229"/>
    </row>
    <row r="256" spans="1:58" ht="15" customHeight="1">
      <c r="B256" s="169"/>
      <c r="C256" s="169"/>
      <c r="I256" s="227"/>
      <c r="J256" s="227"/>
      <c r="K256" s="226"/>
      <c r="L256" s="228"/>
      <c r="M256" s="368"/>
      <c r="N256" s="228"/>
      <c r="O256" s="600"/>
      <c r="P256" s="600"/>
      <c r="Q256" s="1508"/>
      <c r="R256" s="1414"/>
      <c r="S256" s="1414"/>
      <c r="T256" s="1414"/>
      <c r="U256" s="600"/>
      <c r="V256" s="600"/>
      <c r="W256" s="600"/>
      <c r="X256" s="600"/>
      <c r="Y256" s="600"/>
    </row>
    <row r="257" spans="1:25" ht="9.75" customHeight="1">
      <c r="B257" s="313" t="s">
        <v>181</v>
      </c>
      <c r="C257" s="313" t="s">
        <v>181</v>
      </c>
      <c r="I257" s="227"/>
      <c r="J257" s="230"/>
      <c r="K257" s="231"/>
      <c r="L257" s="232"/>
      <c r="M257" s="232"/>
      <c r="N257" s="232"/>
      <c r="O257" s="232"/>
      <c r="P257" s="232"/>
      <c r="Q257" s="1509"/>
      <c r="R257" s="1415"/>
      <c r="S257" s="1415"/>
      <c r="T257" s="1415"/>
      <c r="U257" s="232"/>
      <c r="V257" s="232"/>
      <c r="W257" s="232"/>
      <c r="X257" s="232"/>
      <c r="Y257" s="232"/>
    </row>
    <row r="258" spans="1:25">
      <c r="B258" s="348"/>
      <c r="C258" s="348"/>
      <c r="D258" s="233"/>
      <c r="E258" s="233"/>
      <c r="F258" s="233"/>
      <c r="G258" s="233"/>
      <c r="H258" s="233"/>
      <c r="I258" s="174">
        <v>0</v>
      </c>
      <c r="J258" s="174">
        <v>1</v>
      </c>
      <c r="K258" s="174">
        <v>2</v>
      </c>
      <c r="L258" s="175">
        <f t="shared" ref="L258:Q260" si="119">L7</f>
        <v>3</v>
      </c>
      <c r="M258" s="175">
        <f t="shared" si="119"/>
        <v>4</v>
      </c>
      <c r="N258" s="175">
        <f t="shared" si="119"/>
        <v>5</v>
      </c>
      <c r="O258" s="175">
        <f t="shared" si="119"/>
        <v>6</v>
      </c>
      <c r="P258" s="175">
        <f t="shared" si="119"/>
        <v>7</v>
      </c>
      <c r="Q258" s="1463">
        <f t="shared" si="119"/>
        <v>8</v>
      </c>
      <c r="R258" s="1367" t="str">
        <f t="shared" ref="R258:S260" si="120">R7</f>
        <v>1H 8y</v>
      </c>
      <c r="S258" s="1367" t="str">
        <f t="shared" si="120"/>
        <v>2H 8y</v>
      </c>
      <c r="T258" s="1367"/>
      <c r="U258" s="175">
        <f t="shared" ref="U258:V260" si="121">U7</f>
        <v>9</v>
      </c>
      <c r="V258" s="175">
        <f t="shared" si="121"/>
        <v>10</v>
      </c>
      <c r="W258" s="175">
        <f t="shared" ref="W258:Y260" si="122">W7</f>
        <v>11</v>
      </c>
      <c r="X258" s="175">
        <f t="shared" si="122"/>
        <v>12</v>
      </c>
      <c r="Y258" s="175">
        <f t="shared" si="122"/>
        <v>13</v>
      </c>
    </row>
    <row r="259" spans="1:25">
      <c r="B259" s="349"/>
      <c r="C259" s="349"/>
      <c r="D259" s="234"/>
      <c r="E259" s="234"/>
      <c r="F259" s="234"/>
      <c r="G259" s="234"/>
      <c r="H259" s="234"/>
      <c r="I259" s="176"/>
      <c r="J259" s="176"/>
      <c r="K259" s="176"/>
      <c r="L259" s="176"/>
      <c r="M259" s="176"/>
      <c r="N259" s="176"/>
      <c r="O259" s="176"/>
      <c r="P259" s="176"/>
      <c r="Q259" s="1464"/>
      <c r="R259" s="1368"/>
      <c r="S259" s="1368"/>
      <c r="T259" s="1368"/>
      <c r="U259" s="176"/>
      <c r="V259" s="176"/>
      <c r="W259" s="176"/>
      <c r="X259" s="176"/>
      <c r="Y259" s="176"/>
    </row>
    <row r="260" spans="1:25">
      <c r="B260" s="359"/>
      <c r="C260" s="359"/>
      <c r="D260" s="359"/>
      <c r="E260" s="235"/>
      <c r="F260" s="235"/>
      <c r="G260" s="235"/>
      <c r="H260" s="235"/>
      <c r="I260" s="213" t="s">
        <v>499</v>
      </c>
      <c r="J260" s="213" t="s">
        <v>499</v>
      </c>
      <c r="K260" s="213" t="s">
        <v>499</v>
      </c>
      <c r="L260" s="213" t="str">
        <f t="shared" si="119"/>
        <v>($)</v>
      </c>
      <c r="M260" s="213" t="str">
        <f t="shared" si="119"/>
        <v>($)</v>
      </c>
      <c r="N260" s="213" t="str">
        <f t="shared" si="119"/>
        <v>($)</v>
      </c>
      <c r="O260" s="213" t="str">
        <f t="shared" si="119"/>
        <v>($)</v>
      </c>
      <c r="P260" s="213" t="str">
        <f t="shared" si="119"/>
        <v>($)</v>
      </c>
      <c r="Q260" s="1495" t="str">
        <f t="shared" si="119"/>
        <v>($)</v>
      </c>
      <c r="R260" s="1400" t="str">
        <f t="shared" si="120"/>
        <v>($)</v>
      </c>
      <c r="S260" s="1400" t="str">
        <f t="shared" si="120"/>
        <v>($)</v>
      </c>
      <c r="T260" s="1400"/>
      <c r="U260" s="213" t="str">
        <f t="shared" si="121"/>
        <v>($)</v>
      </c>
      <c r="V260" s="213" t="str">
        <f t="shared" si="121"/>
        <v>($)</v>
      </c>
      <c r="W260" s="213" t="str">
        <f t="shared" si="122"/>
        <v>($)</v>
      </c>
      <c r="X260" s="213" t="str">
        <f t="shared" si="122"/>
        <v>($)</v>
      </c>
      <c r="Y260" s="213" t="str">
        <f t="shared" si="122"/>
        <v>($)</v>
      </c>
    </row>
    <row r="261" spans="1:25" ht="9" customHeight="1">
      <c r="B261" s="348"/>
      <c r="C261" s="348"/>
      <c r="D261" s="236"/>
      <c r="E261" s="236"/>
      <c r="F261" s="236"/>
      <c r="G261" s="236"/>
      <c r="H261" s="236"/>
      <c r="I261" s="237"/>
      <c r="J261" s="237"/>
      <c r="K261" s="237"/>
      <c r="L261" s="238"/>
      <c r="M261" s="238"/>
      <c r="N261" s="238"/>
      <c r="O261" s="238"/>
      <c r="P261" s="238"/>
      <c r="Q261" s="1510"/>
      <c r="R261" s="1416"/>
      <c r="S261" s="1416"/>
      <c r="T261" s="1416"/>
      <c r="U261" s="238"/>
      <c r="V261" s="238"/>
      <c r="W261" s="238"/>
      <c r="X261" s="238"/>
      <c r="Y261" s="238"/>
    </row>
    <row r="262" spans="1:25" ht="15.75" customHeight="1">
      <c r="A262" s="169">
        <v>1</v>
      </c>
      <c r="B262" s="242" t="s">
        <v>183</v>
      </c>
      <c r="C262" s="242" t="s">
        <v>183</v>
      </c>
      <c r="D262" s="215"/>
      <c r="E262" s="215"/>
      <c r="F262" s="215"/>
      <c r="G262" s="215"/>
      <c r="H262" s="215"/>
      <c r="I262" s="240"/>
      <c r="J262" s="239">
        <v>291012055</v>
      </c>
      <c r="K262" s="239">
        <f t="shared" ref="K262:P262" si="123">K11</f>
        <v>529020241.75999999</v>
      </c>
      <c r="L262" s="239">
        <f>L11</f>
        <v>367766659.27704996</v>
      </c>
      <c r="M262" s="239">
        <f t="shared" si="123"/>
        <v>249101501.5850482</v>
      </c>
      <c r="N262" s="239">
        <f>N11</f>
        <v>367799246.81279999</v>
      </c>
      <c r="O262" s="239">
        <f>O11</f>
        <v>268187031.42339796</v>
      </c>
      <c r="P262" s="239">
        <f t="shared" si="123"/>
        <v>432821831.28749996</v>
      </c>
      <c r="Q262" s="1511">
        <f t="shared" ref="Q262:Y262" si="124">Q11</f>
        <v>453974076.47812313</v>
      </c>
      <c r="R262" s="1417">
        <f>R11</f>
        <v>281478608.79820746</v>
      </c>
      <c r="S262" s="1417">
        <f>S11</f>
        <v>233181575.21592385</v>
      </c>
      <c r="T262" s="1417">
        <f>R262+S262</f>
        <v>514660184.01413131</v>
      </c>
      <c r="U262" s="239">
        <f t="shared" si="124"/>
        <v>540832832.55394161</v>
      </c>
      <c r="V262" s="239">
        <f t="shared" si="124"/>
        <v>520563520.34420431</v>
      </c>
      <c r="W262" s="239">
        <f t="shared" si="124"/>
        <v>541556211.43275237</v>
      </c>
      <c r="X262" s="239">
        <f t="shared" si="124"/>
        <v>540832832.55394161</v>
      </c>
      <c r="Y262" s="239">
        <f t="shared" si="124"/>
        <v>476006119.81156456</v>
      </c>
    </row>
    <row r="263" spans="1:25" ht="6" customHeight="1">
      <c r="B263" s="169"/>
      <c r="C263" s="169"/>
      <c r="L263" s="169"/>
      <c r="N263" s="169"/>
      <c r="O263" s="169"/>
      <c r="P263" s="169"/>
      <c r="Q263" s="1512"/>
      <c r="R263" s="427"/>
      <c r="S263" s="427"/>
      <c r="T263" s="427">
        <f t="shared" ref="T263:T284" si="125">R263+S263</f>
        <v>0</v>
      </c>
      <c r="U263" s="169"/>
      <c r="V263" s="169"/>
      <c r="W263" s="169"/>
      <c r="X263" s="169"/>
      <c r="Y263" s="169"/>
    </row>
    <row r="264" spans="1:25" ht="15.75" customHeight="1">
      <c r="A264" s="169">
        <v>3</v>
      </c>
      <c r="B264" s="242" t="s">
        <v>191</v>
      </c>
      <c r="C264" s="242" t="s">
        <v>191</v>
      </c>
      <c r="D264" s="215"/>
      <c r="E264" s="215"/>
      <c r="F264" s="215"/>
      <c r="G264" s="215"/>
      <c r="H264" s="215"/>
      <c r="I264" s="239"/>
      <c r="J264" s="239">
        <v>-171000960</v>
      </c>
      <c r="K264" s="239">
        <f>-(K147+K149+K151+K153+K228*K15)</f>
        <v>-239081771.85717407</v>
      </c>
      <c r="L264" s="239">
        <f>-(L147+L149+L151+L153+L228*L12)</f>
        <v>-207451673.79587835</v>
      </c>
      <c r="M264" s="239">
        <f>-(M147+M149+M151+M153+M228*M15)</f>
        <v>-102260038.40876481</v>
      </c>
      <c r="N264" s="239">
        <f>-(N147+N149+N151+N153+N228*N15)</f>
        <v>-178529590.05507907</v>
      </c>
      <c r="O264" s="1562">
        <f>-(O147+O149+O151+O153+O228*O15)</f>
        <v>-157227756.18116224</v>
      </c>
      <c r="P264" s="239">
        <f>-(P216+P218+P219+P220+P228)*P15</f>
        <v>-204620182.47898942</v>
      </c>
      <c r="Q264" s="1511">
        <f>-(Q147+Q149+Q151+Q153+Q228*Q15)</f>
        <v>-202019332.88169026</v>
      </c>
      <c r="R264" s="1417">
        <f>-(R216+R218+R219+R220+R228)*R15</f>
        <v>-113158618.92587684</v>
      </c>
      <c r="S264" s="1417">
        <f>-(S216+S218+S219+S220+S228)*S15</f>
        <v>-67870018.528725043</v>
      </c>
      <c r="T264" s="1417">
        <f t="shared" si="125"/>
        <v>-181028637.45460188</v>
      </c>
      <c r="U264" s="239">
        <f>-(U147+U149+U151+U153+U228*U15)</f>
        <v>-216056293.35757336</v>
      </c>
      <c r="V264" s="239">
        <f>-(V147+V149+V151+V153+V228*V15)</f>
        <v>-207995625.52826527</v>
      </c>
      <c r="W264" s="239">
        <f>-(W147+W149+W151+W153+W228*W15)</f>
        <v>-216378024.87859011</v>
      </c>
      <c r="X264" s="239">
        <f>-(X147+X149+X151+X153+X228*X15)</f>
        <v>-216056293.35757336</v>
      </c>
      <c r="Y264" s="239">
        <f>-(Y147+Y149+Y151+Y153+Y228*Y15)</f>
        <v>-190294513.33854249</v>
      </c>
    </row>
    <row r="265" spans="1:25" ht="9" customHeight="1">
      <c r="B265" s="169"/>
      <c r="C265" s="169"/>
      <c r="L265" s="169"/>
      <c r="N265" s="169"/>
      <c r="O265" s="169"/>
      <c r="P265" s="169"/>
      <c r="Q265" s="1512"/>
      <c r="R265" s="427"/>
      <c r="S265" s="427"/>
      <c r="T265" s="427">
        <f t="shared" si="125"/>
        <v>0</v>
      </c>
      <c r="U265" s="169"/>
      <c r="V265" s="169"/>
      <c r="W265" s="169"/>
      <c r="X265" s="169"/>
      <c r="Y265" s="169"/>
    </row>
    <row r="266" spans="1:25" ht="15.75" customHeight="1">
      <c r="B266" s="242" t="s">
        <v>185</v>
      </c>
      <c r="C266" s="242" t="s">
        <v>185</v>
      </c>
      <c r="D266" s="215"/>
      <c r="E266" s="215"/>
      <c r="F266" s="215"/>
      <c r="G266" s="215"/>
      <c r="H266" s="215"/>
      <c r="I266" s="239"/>
      <c r="J266" s="239">
        <v>120011095</v>
      </c>
      <c r="K266" s="239">
        <f t="shared" ref="K266:U266" si="126">K262+K264</f>
        <v>289938469.90282595</v>
      </c>
      <c r="L266" s="239">
        <f t="shared" si="126"/>
        <v>160314985.48117161</v>
      </c>
      <c r="M266" s="239">
        <f t="shared" si="126"/>
        <v>146841463.17628339</v>
      </c>
      <c r="N266" s="239">
        <f t="shared" si="126"/>
        <v>189269656.75772092</v>
      </c>
      <c r="O266" s="239">
        <f t="shared" si="126"/>
        <v>110959275.24223572</v>
      </c>
      <c r="P266" s="239">
        <f>P262+P264</f>
        <v>228201648.80851054</v>
      </c>
      <c r="Q266" s="1511">
        <f t="shared" si="126"/>
        <v>251954743.59643286</v>
      </c>
      <c r="R266" s="1417">
        <f>R262+R264</f>
        <v>168319989.87233061</v>
      </c>
      <c r="S266" s="1417">
        <f>S262+S264</f>
        <v>165311556.68719882</v>
      </c>
      <c r="T266" s="1417">
        <f t="shared" si="125"/>
        <v>333631546.55952942</v>
      </c>
      <c r="U266" s="239">
        <f t="shared" si="126"/>
        <v>324776539.19636822</v>
      </c>
      <c r="V266" s="239">
        <f>V262+V264</f>
        <v>312567894.81593907</v>
      </c>
      <c r="W266" s="239">
        <f>W262+W264</f>
        <v>325178186.55416226</v>
      </c>
      <c r="X266" s="239">
        <f>X262+X264</f>
        <v>324776539.19636822</v>
      </c>
      <c r="Y266" s="239">
        <f>Y262+Y264</f>
        <v>285711606.4730221</v>
      </c>
    </row>
    <row r="267" spans="1:25" ht="3.75" customHeight="1">
      <c r="B267" s="242"/>
      <c r="C267" s="242"/>
      <c r="D267" s="215"/>
      <c r="E267" s="215"/>
      <c r="F267" s="215"/>
      <c r="G267" s="215"/>
      <c r="H267" s="215"/>
      <c r="I267" s="239"/>
      <c r="J267" s="239"/>
      <c r="K267" s="239"/>
      <c r="L267" s="239"/>
      <c r="M267" s="239"/>
      <c r="N267" s="239"/>
      <c r="O267" s="239"/>
      <c r="P267" s="239"/>
      <c r="Q267" s="1511"/>
      <c r="R267" s="1417"/>
      <c r="S267" s="1417"/>
      <c r="T267" s="1417">
        <f t="shared" si="125"/>
        <v>0</v>
      </c>
      <c r="U267" s="239"/>
      <c r="V267" s="239"/>
      <c r="W267" s="239"/>
      <c r="X267" s="239"/>
      <c r="Y267" s="239"/>
    </row>
    <row r="268" spans="1:25" ht="15.75" customHeight="1">
      <c r="A268" s="169">
        <v>3</v>
      </c>
      <c r="B268" s="242" t="s">
        <v>192</v>
      </c>
      <c r="C268" s="242" t="s">
        <v>192</v>
      </c>
      <c r="D268" s="215"/>
      <c r="E268" s="215"/>
      <c r="F268" s="215"/>
      <c r="G268" s="215"/>
      <c r="H268" s="215"/>
      <c r="I268" s="239"/>
      <c r="J268" s="239">
        <v>-2983530</v>
      </c>
      <c r="K268" s="239">
        <f>-(K236-K241)*K15-(K244+K245+K246)*K15</f>
        <v>-24296075.246666662</v>
      </c>
      <c r="L268" s="239">
        <f>-(L236-L241)*L12-(L244+L245+L246)*L12</f>
        <v>-23602396.120754719</v>
      </c>
      <c r="M268" s="239">
        <f>-(M236-M241)*M15-(M244+M245+M246)*M15</f>
        <v>-5858597.9383703712</v>
      </c>
      <c r="N268" s="239">
        <f>-(N236-N241)*N15-(N244+N245+N246)*N15</f>
        <v>-26569852.768592589</v>
      </c>
      <c r="O268" s="1562">
        <f>-(O236-O241)*O15-(O244+O245+O246)*O15</f>
        <v>-27926059.273190454</v>
      </c>
      <c r="P268" s="239">
        <f>-(P236-P241)*P15-(P244+P245+P246+P247)*P15</f>
        <v>-20667682.567338318</v>
      </c>
      <c r="Q268" s="1511">
        <f t="shared" ref="Q268:Y268" si="127">-(Q236-Q241)*Q15-(Q244+Q245+Q246+Q247)*Q15</f>
        <v>-29268837.111659259</v>
      </c>
      <c r="R268" s="1417">
        <f>-(R236-R241)*R15-(R244+R245+R246+R247)*R15</f>
        <v>-5684549.3314314429</v>
      </c>
      <c r="S268" s="1417">
        <f>-(S236-S241)*S15-(S244+S245+S246+S247)*S15</f>
        <v>-13765152.46991678</v>
      </c>
      <c r="T268" s="1417">
        <f t="shared" si="125"/>
        <v>-19449701.801348224</v>
      </c>
      <c r="U268" s="239">
        <f t="shared" si="127"/>
        <v>-28379442.283925924</v>
      </c>
      <c r="V268" s="239">
        <f t="shared" si="127"/>
        <v>-29812090.53165926</v>
      </c>
      <c r="W268" s="239">
        <f t="shared" si="127"/>
        <v>-28379442.283925924</v>
      </c>
      <c r="X268" s="239">
        <f t="shared" si="127"/>
        <v>-28379442.283925924</v>
      </c>
      <c r="Y268" s="239">
        <f t="shared" si="127"/>
        <v>-29715119.921659261</v>
      </c>
    </row>
    <row r="269" spans="1:25" ht="15.75" customHeight="1">
      <c r="A269" s="169">
        <v>5</v>
      </c>
      <c r="B269" s="242" t="s">
        <v>15</v>
      </c>
      <c r="C269" s="242" t="s">
        <v>15</v>
      </c>
      <c r="D269" s="215"/>
      <c r="E269" s="215"/>
      <c r="F269" s="215"/>
      <c r="G269" s="215"/>
      <c r="H269" s="215"/>
      <c r="I269" s="239"/>
      <c r="J269" s="239">
        <v>-5292231.1449999996</v>
      </c>
      <c r="K269" s="239">
        <f>-(K243)*K15</f>
        <v>-262.60977257374469</v>
      </c>
      <c r="L269" s="239">
        <f>-(L243)*L15</f>
        <v>-6080000</v>
      </c>
      <c r="M269" s="239">
        <f t="shared" ref="M269:W269" si="128">-(M243)*M15</f>
        <v>-300885.18518518517</v>
      </c>
      <c r="N269" s="239">
        <f t="shared" si="128"/>
        <v>-3545800</v>
      </c>
      <c r="O269" s="1562">
        <f t="shared" si="128"/>
        <v>-3433907.4074074072</v>
      </c>
      <c r="P269" s="239">
        <f t="shared" si="128"/>
        <v>-5789763.3110273229</v>
      </c>
      <c r="Q269" s="1511">
        <f t="shared" si="128"/>
        <v>-4546500</v>
      </c>
      <c r="R269" s="1417">
        <f>-(R243)*R15</f>
        <v>-1603386</v>
      </c>
      <c r="S269" s="1417">
        <f>-(S243)*S15</f>
        <v>-1287711.1619613215</v>
      </c>
      <c r="T269" s="1417">
        <f t="shared" si="125"/>
        <v>-2891097.1619613217</v>
      </c>
      <c r="U269" s="239">
        <f t="shared" si="128"/>
        <v>-4546500</v>
      </c>
      <c r="V269" s="239">
        <f t="shared" si="128"/>
        <v>-4546500</v>
      </c>
      <c r="W269" s="239">
        <f t="shared" si="128"/>
        <v>-4546500</v>
      </c>
      <c r="X269" s="239">
        <f>-(X243)*X15</f>
        <v>-4546500</v>
      </c>
      <c r="Y269" s="239">
        <f>-(Y243)*Y15</f>
        <v>-4546500</v>
      </c>
    </row>
    <row r="270" spans="1:25" ht="12.75" customHeight="1">
      <c r="A270" s="169">
        <v>55</v>
      </c>
      <c r="B270" s="242" t="s">
        <v>737</v>
      </c>
      <c r="C270" s="242" t="s">
        <v>737</v>
      </c>
      <c r="D270" s="215"/>
      <c r="E270" s="215"/>
      <c r="F270" s="215"/>
      <c r="G270" s="215"/>
      <c r="H270" s="215"/>
      <c r="I270" s="239"/>
      <c r="J270" s="239"/>
      <c r="K270" s="239">
        <f>-(K222+K223+K224+K225+K226)*K15</f>
        <v>-8428776.915000001</v>
      </c>
      <c r="L270" s="239">
        <f t="shared" ref="L270:W270" si="129">-(L222+L223+L224+L225+L226)*L15</f>
        <v>-15789752.961324601</v>
      </c>
      <c r="M270" s="239">
        <f t="shared" si="129"/>
        <v>-7623678.6703646062</v>
      </c>
      <c r="N270" s="239">
        <f t="shared" si="129"/>
        <v>-11543308.868127998</v>
      </c>
      <c r="O270" s="1562">
        <f ca="1">-(O222+O223+O224+O225+O226)*O15</f>
        <v>-9846013.3219433185</v>
      </c>
      <c r="P270" s="239">
        <f t="shared" ca="1" si="129"/>
        <v>-11868972.699040614</v>
      </c>
      <c r="Q270" s="1511">
        <f t="shared" ca="1" si="129"/>
        <v>-13027524.113905892</v>
      </c>
      <c r="R270" s="1417">
        <f ca="1">-(R222+R223+R224+R225+R226)*R15</f>
        <v>-5951584.5427209595</v>
      </c>
      <c r="S270" s="1417">
        <f ca="1">-(S222+S223+S224+S225+S226)*S15</f>
        <v>-5987857.5885224352</v>
      </c>
      <c r="T270" s="1417">
        <f t="shared" ca="1" si="125"/>
        <v>-11939442.131243395</v>
      </c>
      <c r="U270" s="239">
        <f t="shared" ca="1" si="129"/>
        <v>-13976492.707278715</v>
      </c>
      <c r="V270" s="239">
        <f t="shared" ca="1" si="129"/>
        <v>-13468654.903141445</v>
      </c>
      <c r="W270" s="239">
        <f t="shared" ca="1" si="129"/>
        <v>-13978787.597890683</v>
      </c>
      <c r="X270" s="239">
        <f ca="1">-(X222+X223+X224+X225+X226)*X15</f>
        <v>-13956850.202113666</v>
      </c>
      <c r="Y270" s="239">
        <f ca="1">-(Y222+Y223+Y224+Y225+Y226)*Y15</f>
        <v>-12317673.728854168</v>
      </c>
    </row>
    <row r="271" spans="1:25" ht="24" customHeight="1">
      <c r="B271" s="242" t="s">
        <v>347</v>
      </c>
      <c r="C271" s="242" t="s">
        <v>347</v>
      </c>
      <c r="D271" s="215"/>
      <c r="E271" s="215"/>
      <c r="F271" s="215"/>
      <c r="G271" s="215"/>
      <c r="H271" s="215"/>
      <c r="I271" s="239"/>
      <c r="J271" s="239">
        <v>111735333.855</v>
      </c>
      <c r="K271" s="239">
        <f>K266+K268+K269+K270</f>
        <v>257213355.13138673</v>
      </c>
      <c r="L271" s="239">
        <f t="shared" ref="L271:W271" si="130">L266+L268+L269+L270</f>
        <v>114842836.39909229</v>
      </c>
      <c r="M271" s="239">
        <f t="shared" si="130"/>
        <v>133058301.38236322</v>
      </c>
      <c r="N271" s="239">
        <f t="shared" si="130"/>
        <v>147610695.12100032</v>
      </c>
      <c r="O271" s="239">
        <f t="shared" ca="1" si="130"/>
        <v>69753295.239694551</v>
      </c>
      <c r="P271" s="239">
        <f t="shared" ca="1" si="130"/>
        <v>189875230.23110428</v>
      </c>
      <c r="Q271" s="1511">
        <f t="shared" ca="1" si="130"/>
        <v>205111882.37086773</v>
      </c>
      <c r="R271" s="1417">
        <f ca="1">R266+R268+R269+R270</f>
        <v>155080469.99817818</v>
      </c>
      <c r="S271" s="1417">
        <f ca="1">S266+S268+S269+S270</f>
        <v>144270835.46679828</v>
      </c>
      <c r="T271" s="1417">
        <f t="shared" ca="1" si="125"/>
        <v>299351305.46497643</v>
      </c>
      <c r="U271" s="239">
        <f t="shared" ca="1" si="130"/>
        <v>277874104.20516354</v>
      </c>
      <c r="V271" s="239">
        <f t="shared" ca="1" si="130"/>
        <v>264740649.38113838</v>
      </c>
      <c r="W271" s="239">
        <f t="shared" ca="1" si="130"/>
        <v>278273456.67234564</v>
      </c>
      <c r="X271" s="239">
        <f ca="1">X266+X268+X269+X270</f>
        <v>277893746.71032858</v>
      </c>
      <c r="Y271" s="239">
        <f ca="1">Y266+Y268+Y269+Y270</f>
        <v>239132312.82250866</v>
      </c>
    </row>
    <row r="272" spans="1:25" ht="6" customHeight="1">
      <c r="B272" s="215"/>
      <c r="C272" s="215"/>
      <c r="D272" s="215"/>
      <c r="E272" s="215"/>
      <c r="F272" s="215"/>
      <c r="G272" s="215"/>
      <c r="H272" s="215"/>
      <c r="I272" s="240"/>
      <c r="J272" s="171"/>
      <c r="K272" s="171"/>
      <c r="L272" s="171"/>
      <c r="M272" s="171"/>
      <c r="N272" s="171"/>
      <c r="O272" s="171"/>
      <c r="P272" s="171"/>
      <c r="Q272" s="1483"/>
      <c r="R272" s="1388"/>
      <c r="S272" s="1388"/>
      <c r="T272" s="1388">
        <f t="shared" si="125"/>
        <v>0</v>
      </c>
      <c r="U272" s="171"/>
      <c r="V272" s="171"/>
      <c r="W272" s="171"/>
      <c r="X272" s="171"/>
      <c r="Y272" s="171"/>
    </row>
    <row r="273" spans="1:25" ht="15.75" customHeight="1">
      <c r="A273" s="167">
        <v>7</v>
      </c>
      <c r="B273" s="353" t="s">
        <v>193</v>
      </c>
      <c r="C273" s="353" t="s">
        <v>193</v>
      </c>
      <c r="D273" s="215"/>
      <c r="E273" s="215"/>
      <c r="F273" s="215"/>
      <c r="G273" s="215"/>
      <c r="H273" s="215"/>
      <c r="I273" s="239"/>
      <c r="J273" s="239">
        <v>-9844519</v>
      </c>
      <c r="K273" s="241">
        <f t="shared" ref="K273:Q273" si="131">-K490</f>
        <v>-11003107.013478568</v>
      </c>
      <c r="L273" s="241">
        <f t="shared" ca="1" si="131"/>
        <v>-11119644.903251776</v>
      </c>
      <c r="M273" s="241">
        <f t="shared" ca="1" si="131"/>
        <v>-8152704.0420802329</v>
      </c>
      <c r="N273" s="241">
        <f t="shared" ca="1" si="131"/>
        <v>-8866215.5420802329</v>
      </c>
      <c r="O273" s="1563">
        <f t="shared" ca="1" si="131"/>
        <v>-9461954.1587469</v>
      </c>
      <c r="P273" s="241">
        <f t="shared" ca="1" si="131"/>
        <v>-9760535.6920802332</v>
      </c>
      <c r="Q273" s="1513">
        <f t="shared" ca="1" si="131"/>
        <v>-9719546.1087468993</v>
      </c>
      <c r="R273" s="1418">
        <f t="shared" ref="R273:Y273" ca="1" si="132">-R490</f>
        <v>-4859773.0543734496</v>
      </c>
      <c r="S273" s="1418">
        <f t="shared" ca="1" si="132"/>
        <v>-4844039.7210401166</v>
      </c>
      <c r="T273" s="1418">
        <f t="shared" ca="1" si="125"/>
        <v>-9703812.7754135653</v>
      </c>
      <c r="U273" s="241">
        <f t="shared" ca="1" si="132"/>
        <v>-10164574.511413567</v>
      </c>
      <c r="V273" s="241">
        <f t="shared" ca="1" si="132"/>
        <v>-10280653.022746898</v>
      </c>
      <c r="W273" s="241">
        <f t="shared" ca="1" si="132"/>
        <v>-6941146.1597469002</v>
      </c>
      <c r="X273" s="241">
        <f t="shared" ca="1" si="132"/>
        <v>-6236073.478403667</v>
      </c>
      <c r="Y273" s="241">
        <f t="shared" ca="1" si="132"/>
        <v>-6634436.1604321674</v>
      </c>
    </row>
    <row r="274" spans="1:25" ht="4.5" customHeight="1">
      <c r="A274" s="167"/>
      <c r="B274" s="353"/>
      <c r="C274" s="353"/>
      <c r="D274" s="215"/>
      <c r="E274" s="215"/>
      <c r="F274" s="215"/>
      <c r="G274" s="215"/>
      <c r="H274" s="215"/>
      <c r="I274" s="241"/>
      <c r="J274" s="241"/>
      <c r="K274" s="241"/>
      <c r="L274" s="241"/>
      <c r="M274" s="241"/>
      <c r="N274" s="241"/>
      <c r="O274" s="241"/>
      <c r="P274" s="241"/>
      <c r="Q274" s="1513"/>
      <c r="R274" s="1418"/>
      <c r="S274" s="1418"/>
      <c r="T274" s="1418">
        <f t="shared" si="125"/>
        <v>0</v>
      </c>
      <c r="U274" s="241"/>
      <c r="V274" s="241"/>
      <c r="W274" s="241"/>
      <c r="X274" s="241"/>
      <c r="Y274" s="241"/>
    </row>
    <row r="275" spans="1:25" ht="15.75" customHeight="1">
      <c r="A275" s="167"/>
      <c r="B275" s="242" t="s">
        <v>363</v>
      </c>
      <c r="C275" s="242" t="s">
        <v>363</v>
      </c>
      <c r="D275" s="215"/>
      <c r="E275" s="215"/>
      <c r="F275" s="215"/>
      <c r="G275" s="215"/>
      <c r="H275" s="215"/>
      <c r="I275" s="239"/>
      <c r="J275" s="239">
        <v>101890814.855</v>
      </c>
      <c r="K275" s="239">
        <f t="shared" ref="K275:U275" si="133">SUM(K271:K274)</f>
        <v>246210248.11790815</v>
      </c>
      <c r="L275" s="239">
        <f t="shared" ca="1" si="133"/>
        <v>103723191.4958405</v>
      </c>
      <c r="M275" s="239">
        <f t="shared" ca="1" si="133"/>
        <v>124905597.34028298</v>
      </c>
      <c r="N275" s="239">
        <f t="shared" ca="1" si="133"/>
        <v>138744479.5789201</v>
      </c>
      <c r="O275" s="239">
        <f t="shared" ca="1" si="133"/>
        <v>60291341.080947652</v>
      </c>
      <c r="P275" s="239">
        <f t="shared" ca="1" si="133"/>
        <v>180114694.53902406</v>
      </c>
      <c r="Q275" s="1511">
        <f t="shared" ca="1" si="133"/>
        <v>195392336.26212084</v>
      </c>
      <c r="R275" s="1417">
        <f ca="1">SUM(R271:R274)</f>
        <v>150220696.94380474</v>
      </c>
      <c r="S275" s="1417">
        <f ca="1">SUM(S271:S274)</f>
        <v>139426795.74575815</v>
      </c>
      <c r="T275" s="1417">
        <f t="shared" ca="1" si="125"/>
        <v>289647492.68956292</v>
      </c>
      <c r="U275" s="239">
        <f t="shared" ca="1" si="133"/>
        <v>267709529.69374996</v>
      </c>
      <c r="V275" s="239">
        <f ca="1">SUM(V271:V274)</f>
        <v>254459996.35839149</v>
      </c>
      <c r="W275" s="239">
        <f ca="1">SUM(W271:W274)</f>
        <v>271332310.51259875</v>
      </c>
      <c r="X275" s="239">
        <f ca="1">SUM(X271:X274)</f>
        <v>271657673.23192489</v>
      </c>
      <c r="Y275" s="239">
        <f ca="1">SUM(Y271:Y274)</f>
        <v>232497876.6620765</v>
      </c>
    </row>
    <row r="276" spans="1:25" ht="6" customHeight="1">
      <c r="A276" s="167"/>
      <c r="B276" s="215"/>
      <c r="C276" s="215"/>
      <c r="D276" s="215"/>
      <c r="E276" s="215"/>
      <c r="F276" s="215"/>
      <c r="G276" s="215"/>
      <c r="H276" s="215"/>
      <c r="I276" s="240"/>
      <c r="J276" s="171"/>
      <c r="K276" s="171"/>
      <c r="L276" s="172"/>
      <c r="M276" s="172"/>
      <c r="N276" s="172"/>
      <c r="O276" s="172"/>
      <c r="P276" s="172"/>
      <c r="Q276" s="1514"/>
      <c r="R276" s="1419"/>
      <c r="S276" s="1419"/>
      <c r="T276" s="1419">
        <f t="shared" si="125"/>
        <v>0</v>
      </c>
      <c r="U276" s="172"/>
      <c r="V276" s="172"/>
      <c r="W276" s="172"/>
      <c r="X276" s="172"/>
      <c r="Y276" s="172"/>
    </row>
    <row r="277" spans="1:25" ht="15.75" customHeight="1">
      <c r="A277" s="167">
        <v>8</v>
      </c>
      <c r="B277" s="353" t="s">
        <v>194</v>
      </c>
      <c r="C277" s="353" t="s">
        <v>194</v>
      </c>
      <c r="D277" s="215"/>
      <c r="E277" s="215"/>
      <c r="F277" s="215"/>
      <c r="G277" s="215"/>
      <c r="H277" s="215"/>
      <c r="I277" s="240"/>
      <c r="J277" s="240">
        <v>-5669424</v>
      </c>
      <c r="K277" s="240">
        <f>-K227*K15</f>
        <v>-7896756.4809285384</v>
      </c>
      <c r="L277" s="240">
        <f>-L227*L15</f>
        <v>-3303721.1920259208</v>
      </c>
      <c r="M277" s="240">
        <f>-M227*M15</f>
        <v>-2252904.7654987653</v>
      </c>
      <c r="N277" s="240">
        <f>-N227*N15</f>
        <v>-2164334</v>
      </c>
      <c r="O277" s="240">
        <f t="shared" ref="O277:Y277" ca="1" si="134">-O227*O15-O565</f>
        <v>-1704584</v>
      </c>
      <c r="P277" s="240">
        <f t="shared" ca="1" si="134"/>
        <v>-2873602.7595510846</v>
      </c>
      <c r="Q277" s="1515">
        <f t="shared" ca="1" si="134"/>
        <v>-5412836.8560918458</v>
      </c>
      <c r="R277" s="1420">
        <f ca="1">-R227*R15-R565</f>
        <v>-2043302.7</v>
      </c>
      <c r="S277" s="1420">
        <f ca="1">-S227*S15-S565</f>
        <v>-2207834.3386943638</v>
      </c>
      <c r="T277" s="1420">
        <f t="shared" ca="1" si="125"/>
        <v>-4251137.038694364</v>
      </c>
      <c r="U277" s="240">
        <f t="shared" ca="1" si="134"/>
        <v>-6192982.8278413061</v>
      </c>
      <c r="V277" s="240">
        <f t="shared" ca="1" si="134"/>
        <v>-4873725.6364868358</v>
      </c>
      <c r="W277" s="240">
        <f t="shared" ca="1" si="134"/>
        <v>-4622644.0608601552</v>
      </c>
      <c r="X277" s="240">
        <f t="shared" ca="1" si="134"/>
        <v>-4616491.8278413061</v>
      </c>
      <c r="Y277" s="240">
        <f t="shared" ca="1" si="134"/>
        <v>-4070419.1107473425</v>
      </c>
    </row>
    <row r="278" spans="1:25" ht="15.75" customHeight="1">
      <c r="A278" s="167">
        <v>9</v>
      </c>
      <c r="B278" s="353" t="s">
        <v>187</v>
      </c>
      <c r="C278" s="353" t="s">
        <v>187</v>
      </c>
      <c r="D278" s="215"/>
      <c r="E278" s="215"/>
      <c r="F278" s="215"/>
      <c r="G278" s="215"/>
      <c r="H278" s="215"/>
      <c r="I278" s="240"/>
      <c r="J278" s="240">
        <v>0</v>
      </c>
      <c r="K278" s="240">
        <f t="shared" ref="K278:U278" si="135">K573</f>
        <v>0</v>
      </c>
      <c r="L278" s="240">
        <f t="shared" si="135"/>
        <v>0</v>
      </c>
      <c r="M278" s="240">
        <f t="shared" ca="1" si="135"/>
        <v>0</v>
      </c>
      <c r="N278" s="240">
        <f t="shared" ca="1" si="135"/>
        <v>0</v>
      </c>
      <c r="O278" s="240">
        <f t="shared" ca="1" si="135"/>
        <v>0</v>
      </c>
      <c r="P278" s="240">
        <f t="shared" ca="1" si="135"/>
        <v>0</v>
      </c>
      <c r="Q278" s="1515">
        <f t="shared" ca="1" si="135"/>
        <v>0</v>
      </c>
      <c r="R278" s="1420">
        <f ca="1">R573</f>
        <v>0</v>
      </c>
      <c r="S278" s="1420">
        <f ca="1">S573</f>
        <v>0</v>
      </c>
      <c r="T278" s="1420">
        <f t="shared" ca="1" si="125"/>
        <v>0</v>
      </c>
      <c r="U278" s="240">
        <f t="shared" ca="1" si="135"/>
        <v>0</v>
      </c>
      <c r="V278" s="240">
        <f ca="1">V573</f>
        <v>0</v>
      </c>
      <c r="W278" s="240">
        <f ca="1">W573</f>
        <v>0</v>
      </c>
      <c r="X278" s="240">
        <f ca="1">X573</f>
        <v>0</v>
      </c>
      <c r="Y278" s="240">
        <f ca="1">Y573</f>
        <v>0</v>
      </c>
    </row>
    <row r="279" spans="1:25" ht="15.75" customHeight="1">
      <c r="A279" s="167">
        <v>4</v>
      </c>
      <c r="B279" s="242"/>
      <c r="C279" s="242"/>
      <c r="D279" s="215"/>
      <c r="E279" s="215"/>
      <c r="F279" s="215"/>
      <c r="G279" s="215"/>
      <c r="H279" s="215"/>
      <c r="I279" s="239"/>
      <c r="J279" s="239">
        <v>8845400</v>
      </c>
      <c r="K279" s="239">
        <v>-11460089.440000001</v>
      </c>
      <c r="L279" s="239">
        <f>-16355449+L186</f>
        <v>-11942249.0886754</v>
      </c>
      <c r="M279" s="239">
        <f>-5053597</f>
        <v>-5053597</v>
      </c>
      <c r="N279" s="239"/>
      <c r="O279" s="239"/>
      <c r="P279" s="239"/>
      <c r="Q279" s="1511"/>
      <c r="R279" s="1417"/>
      <c r="S279" s="1417"/>
      <c r="T279" s="1417">
        <f t="shared" si="125"/>
        <v>0</v>
      </c>
      <c r="U279" s="239"/>
      <c r="V279" s="239"/>
      <c r="W279" s="239"/>
      <c r="X279" s="239"/>
      <c r="Y279" s="239"/>
    </row>
    <row r="280" spans="1:25" ht="15.75" customHeight="1">
      <c r="A280" s="167">
        <v>4</v>
      </c>
      <c r="B280" s="242" t="s">
        <v>1746</v>
      </c>
      <c r="C280" s="242" t="s">
        <v>1746</v>
      </c>
      <c r="D280" s="215"/>
      <c r="E280" s="215"/>
      <c r="F280" s="215"/>
      <c r="G280" s="215"/>
      <c r="H280" s="215"/>
      <c r="I280" s="239"/>
      <c r="J280" s="239"/>
      <c r="K280" s="239"/>
      <c r="L280" s="239">
        <f>L463</f>
        <v>-29205809.204677213</v>
      </c>
      <c r="M280" s="239">
        <f t="shared" ref="M280:Y280" si="136">M463</f>
        <v>-3609000</v>
      </c>
      <c r="N280" s="239">
        <f t="shared" si="136"/>
        <v>-2907683</v>
      </c>
      <c r="O280" s="239">
        <f t="shared" si="136"/>
        <v>-7433000</v>
      </c>
      <c r="P280" s="239">
        <f t="shared" si="136"/>
        <v>0</v>
      </c>
      <c r="Q280" s="1511">
        <f t="shared" si="136"/>
        <v>0</v>
      </c>
      <c r="R280" s="1417">
        <f>R463</f>
        <v>0</v>
      </c>
      <c r="S280" s="1417">
        <f>S463</f>
        <v>0</v>
      </c>
      <c r="T280" s="1417">
        <f t="shared" si="125"/>
        <v>0</v>
      </c>
      <c r="U280" s="239">
        <f t="shared" si="136"/>
        <v>0</v>
      </c>
      <c r="V280" s="239">
        <f t="shared" si="136"/>
        <v>0</v>
      </c>
      <c r="W280" s="239">
        <f t="shared" si="136"/>
        <v>0</v>
      </c>
      <c r="X280" s="239">
        <f t="shared" si="136"/>
        <v>0</v>
      </c>
      <c r="Y280" s="239">
        <f t="shared" si="136"/>
        <v>0</v>
      </c>
    </row>
    <row r="281" spans="1:25" ht="15.75" customHeight="1">
      <c r="A281" s="167"/>
      <c r="B281" s="242" t="s">
        <v>188</v>
      </c>
      <c r="C281" s="242" t="s">
        <v>188</v>
      </c>
      <c r="D281" s="215"/>
      <c r="E281" s="215"/>
      <c r="F281" s="215"/>
      <c r="G281" s="215"/>
      <c r="H281" s="215"/>
      <c r="I281" s="239"/>
      <c r="J281" s="239">
        <v>105066790.855</v>
      </c>
      <c r="K281" s="239">
        <f>SUM(K275:K280)</f>
        <v>226853402.19697961</v>
      </c>
      <c r="L281" s="239">
        <f ca="1">SUM(L275:L280)</f>
        <v>59271412.010461986</v>
      </c>
      <c r="M281" s="239">
        <f t="shared" ref="M281:Y281" ca="1" si="137">SUM(M275:M280)</f>
        <v>113990095.5747842</v>
      </c>
      <c r="N281" s="239">
        <f t="shared" ca="1" si="137"/>
        <v>133672462.5789201</v>
      </c>
      <c r="O281" s="239">
        <f t="shared" ca="1" si="137"/>
        <v>51153757.080947652</v>
      </c>
      <c r="P281" s="239">
        <f t="shared" ca="1" si="137"/>
        <v>177241091.77947298</v>
      </c>
      <c r="Q281" s="1511">
        <f t="shared" ca="1" si="137"/>
        <v>189979499.40602899</v>
      </c>
      <c r="R281" s="1417">
        <f ca="1">SUM(R275:R280)</f>
        <v>148177394.24380475</v>
      </c>
      <c r="S281" s="1417">
        <f ca="1">SUM(S275:S280)</f>
        <v>137218961.40706378</v>
      </c>
      <c r="T281" s="1417">
        <f t="shared" ca="1" si="125"/>
        <v>285396355.65086854</v>
      </c>
      <c r="U281" s="239">
        <f t="shared" ca="1" si="137"/>
        <v>261516546.86590865</v>
      </c>
      <c r="V281" s="239">
        <f t="shared" ca="1" si="137"/>
        <v>249586270.72190467</v>
      </c>
      <c r="W281" s="239">
        <f t="shared" ca="1" si="137"/>
        <v>266709666.4517386</v>
      </c>
      <c r="X281" s="239">
        <f t="shared" ca="1" si="137"/>
        <v>267041181.40408358</v>
      </c>
      <c r="Y281" s="239">
        <f t="shared" ca="1" si="137"/>
        <v>228427457.55132917</v>
      </c>
    </row>
    <row r="282" spans="1:25" ht="6.75" customHeight="1">
      <c r="B282" s="169"/>
      <c r="C282" s="169"/>
      <c r="L282" s="169"/>
      <c r="N282" s="169"/>
      <c r="O282" s="169"/>
      <c r="P282" s="169"/>
      <c r="Q282" s="1512"/>
      <c r="R282" s="427"/>
      <c r="S282" s="427"/>
      <c r="T282" s="427">
        <f t="shared" si="125"/>
        <v>0</v>
      </c>
      <c r="U282" s="169"/>
      <c r="V282" s="169"/>
      <c r="W282" s="169"/>
      <c r="X282" s="169"/>
      <c r="Y282" s="169"/>
    </row>
    <row r="283" spans="1:25" ht="15.75" customHeight="1">
      <c r="A283" s="167">
        <v>10</v>
      </c>
      <c r="B283" s="242" t="s">
        <v>189</v>
      </c>
      <c r="C283" s="242" t="s">
        <v>189</v>
      </c>
      <c r="D283" s="215"/>
      <c r="E283" s="215"/>
      <c r="F283" s="215"/>
      <c r="G283" s="215"/>
      <c r="H283" s="215"/>
      <c r="I283" s="239"/>
      <c r="J283" s="240">
        <v>0</v>
      </c>
      <c r="K283" s="239">
        <f>IF(K281&gt;0,-K281*K286,0)</f>
        <v>-453706.80439395923</v>
      </c>
      <c r="L283" s="239">
        <f>-2567877</f>
        <v>-2567877</v>
      </c>
      <c r="M283" s="239">
        <f>-197000/'Control list'!I21</f>
        <v>-7296.2962962962965</v>
      </c>
      <c r="N283" s="239">
        <f>-101000/'Control list'!J21</f>
        <v>-3740.7407407407409</v>
      </c>
      <c r="O283" s="239">
        <f>-856267</f>
        <v>-856267</v>
      </c>
      <c r="P283" s="239">
        <f>-951827</f>
        <v>-951827</v>
      </c>
      <c r="Q283" s="1511">
        <f ca="1">-1331000-1.14%*(Q281-7614000)</f>
        <v>-3409966.69322873</v>
      </c>
      <c r="R283" s="1417"/>
      <c r="S283" s="1417">
        <f ca="1">-Q286*S281</f>
        <v>-2462960.9486310547</v>
      </c>
      <c r="T283" s="1417">
        <f t="shared" ca="1" si="125"/>
        <v>-2462960.9486310547</v>
      </c>
      <c r="U283" s="239">
        <f ca="1">IF(U281&gt;0,-U281*U286,0)</f>
        <v>-4693994.4432374826</v>
      </c>
      <c r="V283" s="239">
        <f ca="1">IF(V281&gt;0,-V281*V286,0)</f>
        <v>-4479856.3682385134</v>
      </c>
      <c r="W283" s="239">
        <f ca="1">IF(W281&gt;0,-W281*W286,0)</f>
        <v>-4787206.4207245233</v>
      </c>
      <c r="X283" s="239">
        <f ca="1">IF(X281&gt;0,-X281*X286,0)</f>
        <v>-4793156.8256331477</v>
      </c>
      <c r="Y283" s="239">
        <f ca="1">IF(Y281&gt;0,-Y281*Y286,0)</f>
        <v>-4100074.0843316107</v>
      </c>
    </row>
    <row r="284" spans="1:25" ht="15.75" customHeight="1">
      <c r="A284" s="167"/>
      <c r="B284" s="242" t="s">
        <v>190</v>
      </c>
      <c r="C284" s="242" t="s">
        <v>190</v>
      </c>
      <c r="D284" s="215"/>
      <c r="E284" s="215"/>
      <c r="F284" s="215"/>
      <c r="G284" s="215"/>
      <c r="H284" s="215"/>
      <c r="I284" s="239"/>
      <c r="J284" s="239">
        <v>105066790.855</v>
      </c>
      <c r="K284" s="239">
        <f t="shared" ref="K284:U284" si="138">SUM(K281:K283)</f>
        <v>226399695.39258566</v>
      </c>
      <c r="L284" s="239">
        <f t="shared" ca="1" si="138"/>
        <v>56703535.010461986</v>
      </c>
      <c r="M284" s="239">
        <f t="shared" ca="1" si="138"/>
        <v>113982799.27848791</v>
      </c>
      <c r="N284" s="239">
        <f ca="1">SUM(N281:N283)</f>
        <v>133668721.83817935</v>
      </c>
      <c r="O284" s="239">
        <f t="shared" ca="1" si="138"/>
        <v>50297490.080947652</v>
      </c>
      <c r="P284" s="239">
        <f t="shared" ca="1" si="138"/>
        <v>176289264.77947298</v>
      </c>
      <c r="Q284" s="1511">
        <f t="shared" ca="1" si="138"/>
        <v>186569532.71280026</v>
      </c>
      <c r="R284" s="1946">
        <f ca="1">SUM(R281:R283)</f>
        <v>148177394.24380475</v>
      </c>
      <c r="S284" s="1417">
        <f ca="1">SUM(S281:S283)</f>
        <v>134756000.45843273</v>
      </c>
      <c r="T284" s="1417">
        <f t="shared" ca="1" si="125"/>
        <v>282933394.70223749</v>
      </c>
      <c r="U284" s="239">
        <f t="shared" ca="1" si="138"/>
        <v>256822552.42267117</v>
      </c>
      <c r="V284" s="239">
        <f ca="1">SUM(V281:V283)</f>
        <v>245106414.35366616</v>
      </c>
      <c r="W284" s="239">
        <f ca="1">SUM(W281:W283)</f>
        <v>261922460.03101408</v>
      </c>
      <c r="X284" s="239">
        <f ca="1">SUM(X281:X283)</f>
        <v>262248024.57845044</v>
      </c>
      <c r="Y284" s="239">
        <f ca="1">SUM(Y281:Y283)</f>
        <v>224327383.46699756</v>
      </c>
    </row>
    <row r="285" spans="1:25" ht="15.75" customHeight="1">
      <c r="A285" s="167"/>
      <c r="B285" s="242"/>
      <c r="C285" s="242"/>
      <c r="D285" s="215"/>
      <c r="E285" s="215"/>
      <c r="F285" s="215"/>
      <c r="G285" s="215"/>
      <c r="H285" s="215"/>
      <c r="I285" s="239"/>
      <c r="J285" s="239"/>
      <c r="K285" s="239"/>
      <c r="L285" s="239"/>
      <c r="M285" s="239"/>
      <c r="N285" s="239"/>
      <c r="O285" s="239"/>
      <c r="P285" s="239"/>
      <c r="Q285" s="1511"/>
      <c r="R285" s="1417"/>
      <c r="S285" s="1417"/>
      <c r="T285" s="1417"/>
      <c r="U285" s="239"/>
      <c r="V285" s="239"/>
      <c r="W285" s="239"/>
      <c r="X285" s="239"/>
      <c r="Y285" s="239"/>
    </row>
    <row r="286" spans="1:25" ht="15.75" hidden="1" customHeight="1" outlineLevel="1">
      <c r="B286" s="356"/>
      <c r="C286" s="356" t="s">
        <v>444</v>
      </c>
      <c r="D286" s="242"/>
      <c r="E286" s="249"/>
      <c r="F286" s="242"/>
      <c r="G286" s="242"/>
      <c r="H286" s="242"/>
      <c r="I286" s="243"/>
      <c r="J286" s="243">
        <v>2E-3</v>
      </c>
      <c r="K286" s="243">
        <v>2E-3</v>
      </c>
      <c r="L286" s="243">
        <v>3.6579E-2</v>
      </c>
      <c r="M286" s="243">
        <f ca="1">M283/M281</f>
        <v>-6.4008160178350728E-5</v>
      </c>
      <c r="N286" s="243">
        <f ca="1">N283/N281</f>
        <v>-2.7984378147684764E-5</v>
      </c>
      <c r="O286" s="275">
        <f ca="1">-O283/O281</f>
        <v>1.6739083282680693E-2</v>
      </c>
      <c r="P286" s="275">
        <f ca="1">-P283/P281</f>
        <v>5.3702388675436665E-3</v>
      </c>
      <c r="Q286" s="1516">
        <f ca="1">-Q283/Q281</f>
        <v>1.7949129795004161E-2</v>
      </c>
      <c r="R286" s="1421">
        <f ca="1">-R283/R281</f>
        <v>0</v>
      </c>
      <c r="S286" s="1421">
        <f ca="1">-S283/S281</f>
        <v>1.7949129795004161E-2</v>
      </c>
      <c r="T286" s="1421"/>
      <c r="U286" s="275">
        <f ca="1">Q286</f>
        <v>1.7949129795004161E-2</v>
      </c>
      <c r="V286" s="275">
        <f ca="1">U286</f>
        <v>1.7949129795004161E-2</v>
      </c>
      <c r="W286" s="275">
        <f ca="1">V286</f>
        <v>1.7949129795004161E-2</v>
      </c>
      <c r="X286" s="275">
        <f ca="1">W286</f>
        <v>1.7949129795004161E-2</v>
      </c>
      <c r="Y286" s="275">
        <f ca="1">X286</f>
        <v>1.7949129795004161E-2</v>
      </c>
    </row>
    <row r="287" spans="1:25" ht="15.75" hidden="1" customHeight="1" outlineLevel="1">
      <c r="B287" s="244" t="s">
        <v>238</v>
      </c>
      <c r="C287" s="244"/>
      <c r="D287" s="244"/>
      <c r="E287" s="244"/>
      <c r="F287" s="244"/>
      <c r="G287" s="244"/>
      <c r="H287" s="244"/>
      <c r="I287" s="244"/>
      <c r="J287" s="244"/>
      <c r="K287" s="244"/>
      <c r="L287" s="244"/>
      <c r="M287" s="185"/>
      <c r="Q287" s="1466"/>
      <c r="R287" s="1371"/>
      <c r="S287" s="1371"/>
      <c r="T287" s="1371"/>
    </row>
    <row r="288" spans="1:25" ht="15.75" hidden="1" customHeight="1" outlineLevel="2">
      <c r="B288" s="244"/>
      <c r="C288" s="244"/>
      <c r="D288" s="244"/>
      <c r="E288" s="244"/>
      <c r="F288" s="244"/>
      <c r="G288" s="244"/>
      <c r="H288" s="244"/>
      <c r="I288" s="244"/>
      <c r="J288" s="244"/>
      <c r="K288" s="244"/>
      <c r="L288" s="244"/>
      <c r="M288" s="428">
        <f ca="1">M284-M278</f>
        <v>113982799.27848791</v>
      </c>
      <c r="Q288" s="1466"/>
      <c r="R288" s="1371"/>
      <c r="S288" s="1371"/>
      <c r="T288" s="1371"/>
    </row>
    <row r="289" spans="2:25" ht="15.75" hidden="1" customHeight="1" outlineLevel="2">
      <c r="B289" s="244"/>
      <c r="C289" s="244"/>
      <c r="D289" s="244"/>
      <c r="E289" s="244"/>
      <c r="F289" s="244"/>
      <c r="G289" s="244"/>
      <c r="H289" s="244"/>
      <c r="I289" s="244"/>
      <c r="J289" s="244"/>
      <c r="K289" s="244"/>
      <c r="L289" s="244"/>
      <c r="M289" s="185"/>
      <c r="Q289" s="1466"/>
      <c r="R289" s="1371"/>
      <c r="S289" s="1371"/>
      <c r="T289" s="1371"/>
    </row>
    <row r="290" spans="2:25" ht="15.75" hidden="1" customHeight="1" outlineLevel="2">
      <c r="B290" s="244"/>
      <c r="C290" s="244"/>
      <c r="D290" s="244"/>
      <c r="E290" s="244"/>
      <c r="F290" s="244"/>
      <c r="G290" s="244"/>
      <c r="H290" s="244"/>
      <c r="I290" s="244"/>
      <c r="J290" s="244"/>
      <c r="K290" s="244"/>
      <c r="L290" s="244" t="s">
        <v>682</v>
      </c>
      <c r="M290" s="428">
        <f>22525429+53191457</f>
        <v>75716886</v>
      </c>
      <c r="Q290" s="1466"/>
      <c r="R290" s="1371"/>
      <c r="S290" s="1371"/>
      <c r="T290" s="1371"/>
    </row>
    <row r="291" spans="2:25" ht="15.75" hidden="1" customHeight="1" outlineLevel="2">
      <c r="B291" s="242"/>
      <c r="C291" s="242"/>
      <c r="D291" s="242"/>
      <c r="E291" s="342"/>
      <c r="F291" s="242"/>
      <c r="G291" s="242"/>
      <c r="H291" s="242"/>
      <c r="I291" s="240"/>
      <c r="J291" s="240"/>
      <c r="K291" s="240"/>
      <c r="L291" s="240"/>
      <c r="M291" s="428">
        <f ca="1">M288-M290</f>
        <v>38265913.278487906</v>
      </c>
      <c r="Q291" s="1466"/>
      <c r="R291" s="1371"/>
      <c r="S291" s="1371"/>
      <c r="T291" s="1371"/>
    </row>
    <row r="292" spans="2:25" ht="15.75" hidden="1" customHeight="1" outlineLevel="2">
      <c r="B292" s="242"/>
      <c r="C292" s="242"/>
      <c r="D292" s="242"/>
      <c r="E292" s="342"/>
      <c r="F292" s="242"/>
      <c r="G292" s="242"/>
      <c r="H292" s="242"/>
      <c r="I292" s="240"/>
      <c r="J292" s="240"/>
      <c r="K292" s="240"/>
      <c r="L292" s="240"/>
      <c r="M292" s="185"/>
      <c r="Q292" s="1466"/>
      <c r="R292" s="1371"/>
      <c r="S292" s="1371"/>
      <c r="T292" s="1371"/>
    </row>
    <row r="293" spans="2:25" ht="27" hidden="1" customHeight="1" outlineLevel="1">
      <c r="B293" s="366"/>
      <c r="C293" s="366" t="s">
        <v>370</v>
      </c>
      <c r="I293" s="227"/>
      <c r="J293" s="227"/>
      <c r="K293" s="226"/>
      <c r="L293" s="228"/>
      <c r="M293" s="367"/>
      <c r="N293" s="228"/>
      <c r="O293" s="228"/>
      <c r="P293" s="228"/>
      <c r="Q293" s="1506"/>
      <c r="R293" s="1412"/>
      <c r="S293" s="1412"/>
      <c r="T293" s="1412"/>
      <c r="U293" s="228"/>
      <c r="V293" s="228"/>
      <c r="W293" s="228"/>
      <c r="X293" s="228"/>
      <c r="Y293" s="228"/>
    </row>
    <row r="294" spans="2:25" ht="3" hidden="1" customHeight="1" outlineLevel="1"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1507"/>
      <c r="R294" s="1413"/>
      <c r="S294" s="1413"/>
      <c r="T294" s="1413"/>
      <c r="U294" s="229"/>
      <c r="V294" s="229"/>
      <c r="W294" s="229"/>
      <c r="X294" s="229"/>
      <c r="Y294" s="229"/>
    </row>
    <row r="295" spans="2:25" ht="15.75" hidden="1" customHeight="1" outlineLevel="1">
      <c r="B295" s="169"/>
      <c r="C295" s="169"/>
      <c r="I295" s="227"/>
      <c r="J295" s="227"/>
      <c r="K295" s="226"/>
      <c r="L295" s="228"/>
      <c r="M295" s="367"/>
      <c r="N295" s="228"/>
      <c r="O295" s="228"/>
      <c r="P295" s="228"/>
      <c r="Q295" s="1506"/>
      <c r="R295" s="1412"/>
      <c r="S295" s="1412"/>
      <c r="T295" s="1412"/>
      <c r="U295" s="228"/>
      <c r="V295" s="228"/>
      <c r="W295" s="228"/>
      <c r="X295" s="228"/>
      <c r="Y295" s="228"/>
    </row>
    <row r="296" spans="2:25" ht="15.75" hidden="1" customHeight="1" outlineLevel="1">
      <c r="B296" s="313"/>
      <c r="C296" s="313" t="s">
        <v>418</v>
      </c>
      <c r="I296" s="227"/>
      <c r="J296" s="230"/>
      <c r="K296" s="231"/>
      <c r="L296" s="232"/>
      <c r="M296" s="231"/>
      <c r="N296" s="232"/>
      <c r="O296" s="232"/>
      <c r="P296" s="232"/>
      <c r="Q296" s="1509"/>
      <c r="R296" s="1415"/>
      <c r="S296" s="1415"/>
      <c r="T296" s="1415"/>
      <c r="U296" s="232"/>
      <c r="V296" s="232"/>
      <c r="W296" s="232"/>
      <c r="X296" s="232"/>
      <c r="Y296" s="232"/>
    </row>
    <row r="297" spans="2:25" ht="15.75" hidden="1" customHeight="1" outlineLevel="1">
      <c r="B297" s="348"/>
      <c r="C297" s="348"/>
      <c r="D297" s="233"/>
      <c r="E297" s="233"/>
      <c r="F297" s="233"/>
      <c r="G297" s="233"/>
      <c r="H297" s="233"/>
      <c r="I297" s="174">
        <v>0</v>
      </c>
      <c r="J297" s="174">
        <v>1</v>
      </c>
      <c r="K297" s="174">
        <v>2</v>
      </c>
      <c r="L297" s="175">
        <v>3</v>
      </c>
      <c r="M297" s="175">
        <f t="shared" ref="M297:W297" si="139">L297+1</f>
        <v>4</v>
      </c>
      <c r="N297" s="175">
        <f t="shared" si="139"/>
        <v>5</v>
      </c>
      <c r="O297" s="175">
        <f t="shared" si="139"/>
        <v>6</v>
      </c>
      <c r="P297" s="175">
        <f t="shared" si="139"/>
        <v>7</v>
      </c>
      <c r="Q297" s="1463">
        <f t="shared" si="139"/>
        <v>8</v>
      </c>
      <c r="R297" s="1367">
        <f>Q297+1</f>
        <v>9</v>
      </c>
      <c r="S297" s="1367">
        <f>R297+1</f>
        <v>10</v>
      </c>
      <c r="T297" s="1367"/>
      <c r="U297" s="175">
        <f>Q297+1</f>
        <v>9</v>
      </c>
      <c r="V297" s="175">
        <f t="shared" si="139"/>
        <v>10</v>
      </c>
      <c r="W297" s="175">
        <f t="shared" si="139"/>
        <v>11</v>
      </c>
      <c r="X297" s="175">
        <f>W297+1</f>
        <v>12</v>
      </c>
      <c r="Y297" s="175">
        <f>X297+1</f>
        <v>13</v>
      </c>
    </row>
    <row r="298" spans="2:25" ht="15.75" hidden="1" customHeight="1" outlineLevel="1">
      <c r="B298" s="349"/>
      <c r="C298" s="349"/>
      <c r="D298" s="234"/>
      <c r="E298" s="234"/>
      <c r="F298" s="234"/>
      <c r="G298" s="234"/>
      <c r="H298" s="234"/>
      <c r="I298" s="176"/>
      <c r="J298" s="176"/>
      <c r="K298" s="176"/>
      <c r="L298" s="176"/>
      <c r="M298" s="176"/>
      <c r="N298" s="176"/>
      <c r="O298" s="176"/>
      <c r="P298" s="176"/>
      <c r="Q298" s="1464"/>
      <c r="R298" s="1368"/>
      <c r="S298" s="1368"/>
      <c r="T298" s="1368"/>
      <c r="U298" s="176"/>
      <c r="V298" s="176"/>
      <c r="W298" s="176"/>
      <c r="X298" s="176"/>
      <c r="Y298" s="176"/>
    </row>
    <row r="299" spans="2:25" ht="15.75" hidden="1" customHeight="1" outlineLevel="1">
      <c r="B299" s="359"/>
      <c r="C299" s="359"/>
      <c r="D299" s="260"/>
      <c r="E299" s="235"/>
      <c r="F299" s="235"/>
      <c r="G299" s="235"/>
      <c r="H299" s="235"/>
      <c r="I299" s="178" t="s">
        <v>499</v>
      </c>
      <c r="J299" s="178" t="s">
        <v>499</v>
      </c>
      <c r="K299" s="245" t="s">
        <v>499</v>
      </c>
      <c r="L299" s="245" t="s">
        <v>499</v>
      </c>
      <c r="M299" s="245" t="s">
        <v>499</v>
      </c>
      <c r="N299" s="245" t="s">
        <v>499</v>
      </c>
      <c r="O299" s="245" t="s">
        <v>499</v>
      </c>
      <c r="P299" s="245" t="s">
        <v>499</v>
      </c>
      <c r="Q299" s="1517" t="s">
        <v>499</v>
      </c>
      <c r="R299" s="1422" t="s">
        <v>499</v>
      </c>
      <c r="S299" s="1422" t="s">
        <v>499</v>
      </c>
      <c r="T299" s="1422"/>
      <c r="U299" s="245" t="s">
        <v>499</v>
      </c>
      <c r="V299" s="245" t="s">
        <v>499</v>
      </c>
      <c r="W299" s="245" t="s">
        <v>499</v>
      </c>
      <c r="X299" s="245" t="s">
        <v>499</v>
      </c>
      <c r="Y299" s="245" t="s">
        <v>499</v>
      </c>
    </row>
    <row r="300" spans="2:25" ht="15.75" hidden="1" customHeight="1" outlineLevel="1">
      <c r="B300" s="242"/>
      <c r="C300" s="242"/>
      <c r="D300" s="242"/>
      <c r="E300" s="276"/>
      <c r="F300" s="246"/>
      <c r="G300" s="246"/>
      <c r="H300" s="246"/>
      <c r="I300" s="242"/>
      <c r="J300" s="237"/>
      <c r="K300" s="247"/>
      <c r="L300" s="247"/>
      <c r="M300" s="185"/>
      <c r="Q300" s="1466"/>
      <c r="R300" s="1371"/>
      <c r="S300" s="1371"/>
      <c r="T300" s="1371"/>
    </row>
    <row r="301" spans="2:25" ht="15.75" hidden="1" customHeight="1" outlineLevel="1">
      <c r="B301" s="369" t="s">
        <v>1333</v>
      </c>
      <c r="C301" s="369" t="s">
        <v>378</v>
      </c>
      <c r="D301" s="215"/>
      <c r="E301" s="248"/>
      <c r="F301" s="248"/>
      <c r="G301" s="248"/>
      <c r="H301" s="248"/>
      <c r="I301" s="242"/>
      <c r="J301" s="242"/>
      <c r="K301" s="370"/>
      <c r="L301" s="370"/>
      <c r="M301" s="185"/>
      <c r="Q301" s="1466"/>
      <c r="R301" s="1371"/>
      <c r="S301" s="1371"/>
      <c r="T301" s="1371"/>
    </row>
    <row r="302" spans="2:25" ht="15.75" hidden="1" customHeight="1" outlineLevel="1">
      <c r="B302" s="242" t="s">
        <v>1334</v>
      </c>
      <c r="C302" s="242" t="s">
        <v>379</v>
      </c>
      <c r="D302" s="215"/>
      <c r="E302" s="249"/>
      <c r="F302" s="249"/>
      <c r="G302" s="249"/>
      <c r="H302" s="249"/>
      <c r="I302" s="246">
        <v>13138</v>
      </c>
      <c r="J302" s="246">
        <v>105046208</v>
      </c>
      <c r="K302" s="246">
        <f>K389</f>
        <v>364318984.21910363</v>
      </c>
      <c r="L302" s="246">
        <f t="shared" ref="L302:U302" ca="1" si="140">L389</f>
        <v>478639108.34153247</v>
      </c>
      <c r="M302" s="246">
        <f ca="1">M389</f>
        <v>625141622.07629943</v>
      </c>
      <c r="N302" s="246">
        <f t="shared" ca="1" si="140"/>
        <v>721380483.52330422</v>
      </c>
      <c r="O302" s="246">
        <f t="shared" ca="1" si="140"/>
        <v>778500473.95880103</v>
      </c>
      <c r="P302" s="246">
        <f t="shared" ca="1" si="140"/>
        <v>984866502.17716277</v>
      </c>
      <c r="Q302" s="1518">
        <f t="shared" ca="1" si="140"/>
        <v>1175607115.3540776</v>
      </c>
      <c r="R302" s="1423">
        <f ca="1">R389</f>
        <v>1128263690.6530247</v>
      </c>
      <c r="S302" s="1423">
        <f ca="1">S389</f>
        <v>1265788498.0101814</v>
      </c>
      <c r="T302" s="1423"/>
      <c r="U302" s="246">
        <f t="shared" ca="1" si="140"/>
        <v>1423834327.4348371</v>
      </c>
      <c r="V302" s="246">
        <f ca="1">V389</f>
        <v>1671825471.5972381</v>
      </c>
      <c r="W302" s="246">
        <f ca="1">W389</f>
        <v>1935388571.1416633</v>
      </c>
      <c r="X302" s="246">
        <f ca="1">X389</f>
        <v>2200183081.8988652</v>
      </c>
      <c r="Y302" s="246">
        <f ca="1">Y389</f>
        <v>2427252041.532413</v>
      </c>
    </row>
    <row r="303" spans="2:25" ht="15.75" hidden="1" customHeight="1" outlineLevel="1">
      <c r="B303" s="242" t="s">
        <v>1335</v>
      </c>
      <c r="C303" s="242" t="s">
        <v>380</v>
      </c>
      <c r="D303" s="242"/>
      <c r="E303" s="242"/>
      <c r="F303" s="242"/>
      <c r="G303" s="242"/>
      <c r="H303" s="242"/>
      <c r="I303" s="246">
        <v>25461022</v>
      </c>
      <c r="J303" s="246">
        <v>4345934.8268834269</v>
      </c>
      <c r="K303" s="246">
        <v>92578542.308000013</v>
      </c>
      <c r="L303" s="246">
        <f t="shared" ref="L303:U303" si="141">SUM(L304:L305)</f>
        <v>64359165.373483747</v>
      </c>
      <c r="M303" s="246">
        <f>SUM(M304:M305)</f>
        <v>43592762.777383439</v>
      </c>
      <c r="N303" s="246">
        <f t="shared" si="141"/>
        <v>64364868.19224</v>
      </c>
      <c r="O303" s="246">
        <f t="shared" si="141"/>
        <v>46932730.499094643</v>
      </c>
      <c r="P303" s="246">
        <f t="shared" si="141"/>
        <v>53626624.89652124</v>
      </c>
      <c r="Q303" s="1518">
        <f t="shared" si="141"/>
        <v>56247388.075639457</v>
      </c>
      <c r="R303" s="1423">
        <f>SUM(R304:R305)</f>
        <v>56247388.075639457</v>
      </c>
      <c r="S303" s="1423">
        <f>SUM(S304:S305)</f>
        <v>56247388.075639457</v>
      </c>
      <c r="T303" s="1423"/>
      <c r="U303" s="246">
        <f t="shared" si="141"/>
        <v>67009187.953433357</v>
      </c>
      <c r="V303" s="246">
        <f>SUM(V304:V305)</f>
        <v>64497820.170646906</v>
      </c>
      <c r="W303" s="246">
        <f>SUM(W304:W305)</f>
        <v>67098814.59651801</v>
      </c>
      <c r="X303" s="246">
        <f>SUM(X304:X305)</f>
        <v>67009187.953433357</v>
      </c>
      <c r="Y303" s="246">
        <f>SUM(Y304:Y305)</f>
        <v>58977158.244652852</v>
      </c>
    </row>
    <row r="304" spans="2:25" ht="15.75" hidden="1" customHeight="1" outlineLevel="1">
      <c r="B304" s="371" t="s">
        <v>1336</v>
      </c>
      <c r="C304" s="371" t="s">
        <v>381</v>
      </c>
      <c r="D304" s="242"/>
      <c r="E304" s="276"/>
      <c r="F304" s="246"/>
      <c r="G304" s="246"/>
      <c r="H304" s="246"/>
      <c r="I304" s="246">
        <v>20612561</v>
      </c>
      <c r="J304" s="246">
        <v>0</v>
      </c>
      <c r="K304" s="246">
        <v>89933441.09920001</v>
      </c>
      <c r="L304" s="246">
        <f t="shared" ref="L304:U304" si="142">L416</f>
        <v>62520332.077098496</v>
      </c>
      <c r="M304" s="246">
        <f t="shared" si="142"/>
        <v>42347255.269458197</v>
      </c>
      <c r="N304" s="246">
        <f t="shared" si="142"/>
        <v>62525871.958176002</v>
      </c>
      <c r="O304" s="246">
        <f t="shared" si="142"/>
        <v>45591795.341977656</v>
      </c>
      <c r="P304" s="246">
        <f t="shared" si="142"/>
        <v>51938619.754499994</v>
      </c>
      <c r="Q304" s="1518">
        <f t="shared" si="142"/>
        <v>54476889.177374773</v>
      </c>
      <c r="R304" s="1423">
        <f>R416</f>
        <v>54476889.177374773</v>
      </c>
      <c r="S304" s="1423">
        <f>S416</f>
        <v>54476889.177374773</v>
      </c>
      <c r="T304" s="1423"/>
      <c r="U304" s="246">
        <f t="shared" si="142"/>
        <v>64899939.906472988</v>
      </c>
      <c r="V304" s="246">
        <f>V416</f>
        <v>62467622.441304512</v>
      </c>
      <c r="W304" s="246">
        <f>W416</f>
        <v>64986745.371930279</v>
      </c>
      <c r="X304" s="246">
        <f>X416</f>
        <v>64899939.906472988</v>
      </c>
      <c r="Y304" s="246">
        <f>Y416</f>
        <v>57120734.377387747</v>
      </c>
    </row>
    <row r="305" spans="2:25" ht="15.75" hidden="1" customHeight="1" outlineLevel="1">
      <c r="B305" s="371" t="s">
        <v>1337</v>
      </c>
      <c r="C305" s="371" t="s">
        <v>382</v>
      </c>
      <c r="D305" s="242"/>
      <c r="E305" s="276"/>
      <c r="F305" s="246"/>
      <c r="G305" s="246"/>
      <c r="H305" s="246"/>
      <c r="I305" s="246">
        <v>4848461</v>
      </c>
      <c r="J305" s="246">
        <v>4345934.8268834269</v>
      </c>
      <c r="K305" s="246">
        <v>2645101.2088000001</v>
      </c>
      <c r="L305" s="246">
        <f t="shared" ref="L305:U305" si="143">L418</f>
        <v>1838833.2963852498</v>
      </c>
      <c r="M305" s="246">
        <f t="shared" si="143"/>
        <v>1245507.507925241</v>
      </c>
      <c r="N305" s="246">
        <f t="shared" si="143"/>
        <v>1838996.234064</v>
      </c>
      <c r="O305" s="246">
        <f t="shared" si="143"/>
        <v>1340935.1571169898</v>
      </c>
      <c r="P305" s="246">
        <f t="shared" si="143"/>
        <v>1688005.1420212497</v>
      </c>
      <c r="Q305" s="1518">
        <f t="shared" si="143"/>
        <v>1770498.8982646801</v>
      </c>
      <c r="R305" s="1423">
        <f>R418</f>
        <v>1770498.8982646801</v>
      </c>
      <c r="S305" s="1423">
        <f>S418</f>
        <v>1770498.8982646801</v>
      </c>
      <c r="T305" s="1423"/>
      <c r="U305" s="246">
        <f t="shared" si="143"/>
        <v>2109248.046960372</v>
      </c>
      <c r="V305" s="246">
        <f>V418</f>
        <v>2030197.7293423966</v>
      </c>
      <c r="W305" s="246">
        <f>W418</f>
        <v>2112069.2245877343</v>
      </c>
      <c r="X305" s="246">
        <f>X418</f>
        <v>2109248.046960372</v>
      </c>
      <c r="Y305" s="246">
        <f>Y418</f>
        <v>1856423.8672651018</v>
      </c>
    </row>
    <row r="306" spans="2:25" ht="15.75" hidden="1" customHeight="1" outlineLevel="1">
      <c r="B306" s="242" t="s">
        <v>1338</v>
      </c>
      <c r="C306" s="242" t="s">
        <v>383</v>
      </c>
      <c r="D306" s="242"/>
      <c r="E306" s="276"/>
      <c r="F306" s="246"/>
      <c r="G306" s="246"/>
      <c r="H306" s="246"/>
      <c r="I306" s="246">
        <v>4270670</v>
      </c>
      <c r="J306" s="246">
        <v>4641190.5166903744</v>
      </c>
      <c r="K306" s="246">
        <v>11927836.148122691</v>
      </c>
      <c r="L306" s="246">
        <f t="shared" ref="L306:U306" si="144">L420</f>
        <v>6447181.4158288231</v>
      </c>
      <c r="M306" s="246">
        <f t="shared" si="144"/>
        <v>4619636.9405335197</v>
      </c>
      <c r="N306" s="246">
        <f t="shared" si="144"/>
        <v>7972570.1238090629</v>
      </c>
      <c r="O306" s="246">
        <f t="shared" si="144"/>
        <v>5641208.0930676293</v>
      </c>
      <c r="P306" s="246">
        <f t="shared" si="144"/>
        <v>10402557.961849749</v>
      </c>
      <c r="Q306" s="1518">
        <f t="shared" si="144"/>
        <v>11094755.81406584</v>
      </c>
      <c r="R306" s="1423">
        <f>R420</f>
        <v>11094755.81406584</v>
      </c>
      <c r="S306" s="1423">
        <f>S420</f>
        <v>11094755.81406584</v>
      </c>
      <c r="T306" s="1423"/>
      <c r="U306" s="246">
        <f t="shared" si="144"/>
        <v>13051155.91535287</v>
      </c>
      <c r="V306" s="246">
        <f>V420</f>
        <v>12563968.424529132</v>
      </c>
      <c r="W306" s="246">
        <f>W420</f>
        <v>13070347.159836989</v>
      </c>
      <c r="X306" s="246">
        <f>X420</f>
        <v>13051155.91535287</v>
      </c>
      <c r="Y306" s="246">
        <f>Y420</f>
        <v>11493974.229606429</v>
      </c>
    </row>
    <row r="307" spans="2:25" ht="15.75" hidden="1" customHeight="1" outlineLevel="1">
      <c r="B307" s="242" t="s">
        <v>1339</v>
      </c>
      <c r="C307" s="242" t="s">
        <v>344</v>
      </c>
      <c r="D307" s="242"/>
      <c r="E307" s="276"/>
      <c r="F307" s="246"/>
      <c r="G307" s="246"/>
      <c r="H307" s="246"/>
      <c r="I307" s="246">
        <v>282719</v>
      </c>
      <c r="J307" s="246">
        <v>65293.052286626902</v>
      </c>
      <c r="K307" s="246">
        <v>4813274.0517561305</v>
      </c>
      <c r="L307" s="246">
        <f t="shared" ref="L307:U307" si="145">L419</f>
        <v>6867553.0614909874</v>
      </c>
      <c r="M307" s="246">
        <f t="shared" si="145"/>
        <v>2134388.4250643523</v>
      </c>
      <c r="N307" s="246">
        <f t="shared" si="145"/>
        <v>5778162.9084818633</v>
      </c>
      <c r="O307" s="246">
        <f t="shared" si="145"/>
        <v>6141191.2485141335</v>
      </c>
      <c r="P307" s="246">
        <f t="shared" si="145"/>
        <v>-21972916.254101973</v>
      </c>
      <c r="Q307" s="1518">
        <f t="shared" si="145"/>
        <v>-19675472.775816854</v>
      </c>
      <c r="R307" s="1423">
        <f>R419</f>
        <v>-19675472.775816854</v>
      </c>
      <c r="S307" s="1423">
        <f>S419</f>
        <v>-19675472.775816854</v>
      </c>
      <c r="T307" s="1423"/>
      <c r="U307" s="246">
        <f t="shared" si="145"/>
        <v>-20053070.31544137</v>
      </c>
      <c r="V307" s="246">
        <f>V419</f>
        <v>-20164485.768198933</v>
      </c>
      <c r="W307" s="246">
        <f>W419</f>
        <v>-20048560.861408502</v>
      </c>
      <c r="X307" s="246">
        <f>X419</f>
        <v>-20053070.31544137</v>
      </c>
      <c r="Y307" s="246">
        <f>Y419</f>
        <v>-20417658.922135618</v>
      </c>
    </row>
    <row r="308" spans="2:25" ht="15.75" hidden="1" customHeight="1" outlineLevel="1">
      <c r="B308" s="242" t="s">
        <v>1739</v>
      </c>
      <c r="C308" s="242" t="s">
        <v>550</v>
      </c>
      <c r="D308" s="242"/>
      <c r="E308" s="276"/>
      <c r="F308" s="246"/>
      <c r="G308" s="246"/>
      <c r="H308" s="246"/>
      <c r="I308" s="246">
        <v>0</v>
      </c>
      <c r="J308" s="246">
        <v>20212870.038210399</v>
      </c>
      <c r="K308" s="246">
        <v>4312043.0418480001</v>
      </c>
      <c r="L308" s="246">
        <f t="shared" ref="L308:U308" si="146">L417</f>
        <v>6140073.9781552469</v>
      </c>
      <c r="M308" s="246">
        <f t="shared" si="146"/>
        <v>3903317.6235927567</v>
      </c>
      <c r="N308" s="246">
        <f t="shared" si="146"/>
        <v>5519904.2430058001</v>
      </c>
      <c r="O308" s="246">
        <f t="shared" si="146"/>
        <v>6251887.0287999995</v>
      </c>
      <c r="P308" s="246">
        <f t="shared" si="146"/>
        <v>3699700.2074014815</v>
      </c>
      <c r="Q308" s="1518">
        <f t="shared" si="146"/>
        <v>2694060.8711458663</v>
      </c>
      <c r="R308" s="1423">
        <f>R417</f>
        <v>2694060.8711458663</v>
      </c>
      <c r="S308" s="1423">
        <f>S417</f>
        <v>2694060.8711458663</v>
      </c>
      <c r="T308" s="1423"/>
      <c r="U308" s="246">
        <f t="shared" si="146"/>
        <v>1977683.1352754666</v>
      </c>
      <c r="V308" s="246">
        <f>V417</f>
        <v>1930752.9335048001</v>
      </c>
      <c r="W308" s="246">
        <f>W417</f>
        <v>1977993.4488221335</v>
      </c>
      <c r="X308" s="246">
        <f>X417</f>
        <v>1977683.1352754666</v>
      </c>
      <c r="Y308" s="246">
        <f>Y417</f>
        <v>1814027.3557522665</v>
      </c>
    </row>
    <row r="309" spans="2:25" ht="15.75" hidden="1" customHeight="1" outlineLevel="1">
      <c r="B309" s="242" t="s">
        <v>1341</v>
      </c>
      <c r="C309" s="242" t="s">
        <v>384</v>
      </c>
      <c r="D309" s="242"/>
      <c r="E309" s="276"/>
      <c r="F309" s="246"/>
      <c r="G309" s="246"/>
      <c r="H309" s="246"/>
      <c r="I309" s="246">
        <v>30027549</v>
      </c>
      <c r="J309" s="246">
        <v>134311496.43407083</v>
      </c>
      <c r="K309" s="246">
        <v>477950679.76883048</v>
      </c>
      <c r="L309" s="246">
        <f t="shared" ref="L309:Q309" ca="1" si="147">SUM(L302:L303,L306:L308)</f>
        <v>562453082.17049134</v>
      </c>
      <c r="M309" s="246">
        <f t="shared" ca="1" si="147"/>
        <v>679391727.84287345</v>
      </c>
      <c r="N309" s="246">
        <f t="shared" ca="1" si="147"/>
        <v>805015988.99084091</v>
      </c>
      <c r="O309" s="246">
        <f t="shared" ca="1" si="147"/>
        <v>843467490.82827747</v>
      </c>
      <c r="P309" s="246">
        <f t="shared" ca="1" si="147"/>
        <v>1030622468.9888332</v>
      </c>
      <c r="Q309" s="1518">
        <f t="shared" ca="1" si="147"/>
        <v>1225967847.339112</v>
      </c>
      <c r="R309" s="1423">
        <f t="shared" ref="R309:Y309" ca="1" si="148">SUM(R302:R303,R306:R308)</f>
        <v>1178624422.6380591</v>
      </c>
      <c r="S309" s="1423">
        <f t="shared" ca="1" si="148"/>
        <v>1316149229.9952159</v>
      </c>
      <c r="T309" s="1423"/>
      <c r="U309" s="246">
        <f t="shared" ca="1" si="148"/>
        <v>1485819284.1234572</v>
      </c>
      <c r="V309" s="246">
        <f t="shared" ca="1" si="148"/>
        <v>1730653527.3577199</v>
      </c>
      <c r="W309" s="246">
        <f t="shared" ca="1" si="148"/>
        <v>1997487165.4854319</v>
      </c>
      <c r="X309" s="246">
        <f t="shared" ca="1" si="148"/>
        <v>2262168038.5874858</v>
      </c>
      <c r="Y309" s="246">
        <f t="shared" ca="1" si="148"/>
        <v>2479119542.440289</v>
      </c>
    </row>
    <row r="310" spans="2:25" ht="15.75" hidden="1" customHeight="1" outlineLevel="1">
      <c r="B310" s="242"/>
      <c r="C310" s="242"/>
      <c r="D310" s="242"/>
      <c r="E310" s="276"/>
      <c r="F310" s="246"/>
      <c r="G310" s="246"/>
      <c r="H310" s="246"/>
      <c r="I310" s="246"/>
      <c r="J310" s="246"/>
      <c r="K310" s="246"/>
      <c r="L310" s="246"/>
      <c r="M310" s="185"/>
      <c r="Q310" s="1466"/>
      <c r="R310" s="1371"/>
      <c r="S310" s="1371"/>
      <c r="T310" s="1371"/>
    </row>
    <row r="311" spans="2:25" ht="15.75" hidden="1" customHeight="1" outlineLevel="1">
      <c r="B311" s="242" t="s">
        <v>1741</v>
      </c>
      <c r="C311" s="242" t="s">
        <v>28</v>
      </c>
      <c r="D311" s="242"/>
      <c r="E311" s="242"/>
      <c r="F311" s="242"/>
      <c r="G311" s="242"/>
      <c r="H311" s="242"/>
      <c r="I311" s="246">
        <v>69390145</v>
      </c>
      <c r="J311" s="246">
        <v>67972665.528232694</v>
      </c>
      <c r="K311" s="246">
        <v>88094834.00401172</v>
      </c>
      <c r="L311" s="246">
        <f t="shared" ref="L311:U311" ca="1" si="149">L465</f>
        <v>55750608.729416065</v>
      </c>
      <c r="M311" s="246">
        <f t="shared" ca="1" si="149"/>
        <v>49016013.520669162</v>
      </c>
      <c r="N311" s="246">
        <f t="shared" ca="1" si="149"/>
        <v>61264163.811922267</v>
      </c>
      <c r="O311" s="246">
        <f t="shared" ca="1" si="149"/>
        <v>69794736.486508697</v>
      </c>
      <c r="P311" s="246">
        <f t="shared" ca="1" si="149"/>
        <v>70911299.627761796</v>
      </c>
      <c r="Q311" s="1518">
        <f t="shared" ca="1" si="149"/>
        <v>74293102.352348223</v>
      </c>
      <c r="R311" s="1423">
        <f ca="1">R465</f>
        <v>82869621.406721681</v>
      </c>
      <c r="S311" s="1423">
        <f ca="1">S465</f>
        <v>78279930.519014895</v>
      </c>
      <c r="T311" s="1423"/>
      <c r="U311" s="246">
        <f t="shared" ca="1" si="149"/>
        <v>67814026.11426799</v>
      </c>
      <c r="V311" s="246">
        <f ca="1">V465</f>
        <v>60258379.604854435</v>
      </c>
      <c r="W311" s="246">
        <f ca="1">W465</f>
        <v>56300940.078440867</v>
      </c>
      <c r="X311" s="246">
        <f ca="1">X465</f>
        <v>54036096.033370532</v>
      </c>
      <c r="Y311" s="246">
        <f ca="1">Y465</f>
        <v>59400952.411559701</v>
      </c>
    </row>
    <row r="312" spans="2:25" ht="15.75" hidden="1" customHeight="1" outlineLevel="1">
      <c r="B312" s="242" t="s">
        <v>1740</v>
      </c>
      <c r="C312" s="242" t="s">
        <v>29</v>
      </c>
      <c r="D312" s="242"/>
      <c r="E312" s="242"/>
      <c r="F312" s="242"/>
      <c r="G312" s="242"/>
      <c r="H312" s="242"/>
      <c r="I312" s="246">
        <v>7630465</v>
      </c>
      <c r="J312" s="246">
        <v>7375900</v>
      </c>
      <c r="K312" s="246">
        <v>7121551.166666667</v>
      </c>
      <c r="L312" s="246">
        <f t="shared" ref="L312:U312" si="150">L468</f>
        <v>6867202.333333334</v>
      </c>
      <c r="M312" s="246">
        <f t="shared" si="150"/>
        <v>6612853.5000000009</v>
      </c>
      <c r="N312" s="246">
        <f t="shared" si="150"/>
        <v>6358504.6666666679</v>
      </c>
      <c r="O312" s="246">
        <f t="shared" si="150"/>
        <v>6104155.8333333349</v>
      </c>
      <c r="P312" s="246">
        <f t="shared" si="150"/>
        <v>5849807.0000000019</v>
      </c>
      <c r="Q312" s="1518">
        <f t="shared" si="150"/>
        <v>5595458.1666666688</v>
      </c>
      <c r="R312" s="1423">
        <f>R468</f>
        <v>5595458.1666666688</v>
      </c>
      <c r="S312" s="1423">
        <f>S468</f>
        <v>5341109.3333333358</v>
      </c>
      <c r="T312" s="1423"/>
      <c r="U312" s="246">
        <f t="shared" si="150"/>
        <v>5341109.3333333358</v>
      </c>
      <c r="V312" s="246">
        <f>V468</f>
        <v>5086760.5000000028</v>
      </c>
      <c r="W312" s="246">
        <f>W468</f>
        <v>4832411.6666666698</v>
      </c>
      <c r="X312" s="246">
        <f>X468</f>
        <v>4578062.8333333367</v>
      </c>
      <c r="Y312" s="246">
        <f>Y468</f>
        <v>4323714.0000000037</v>
      </c>
    </row>
    <row r="313" spans="2:25" ht="15.75" hidden="1" customHeight="1" outlineLevel="1">
      <c r="B313" s="110" t="s">
        <v>1517</v>
      </c>
      <c r="C313" s="242" t="s">
        <v>548</v>
      </c>
      <c r="D313" s="242"/>
      <c r="E313" s="276"/>
      <c r="F313" s="246"/>
      <c r="G313" s="246"/>
      <c r="H313" s="246"/>
      <c r="I313" s="246">
        <v>13869730</v>
      </c>
      <c r="J313" s="246">
        <v>16038025.081759</v>
      </c>
      <c r="K313" s="246"/>
      <c r="L313" s="246"/>
      <c r="M313" s="185"/>
      <c r="Q313" s="1466"/>
      <c r="R313" s="1371"/>
      <c r="S313" s="1371"/>
      <c r="T313" s="1371"/>
    </row>
    <row r="314" spans="2:25" ht="15.75" hidden="1" customHeight="1" outlineLevel="1">
      <c r="B314" s="242" t="s">
        <v>1344</v>
      </c>
      <c r="C314" s="242" t="s">
        <v>497</v>
      </c>
      <c r="D314" s="242"/>
      <c r="E314" s="276"/>
      <c r="F314" s="246"/>
      <c r="G314" s="246"/>
      <c r="H314" s="246"/>
      <c r="I314" s="246">
        <v>4757000</v>
      </c>
      <c r="J314" s="246">
        <v>1047341.0680135697</v>
      </c>
      <c r="K314" s="246">
        <v>984060.13594059483</v>
      </c>
      <c r="L314" s="246">
        <f>L431</f>
        <v>546368</v>
      </c>
      <c r="M314" s="246">
        <f t="shared" ref="M314:U314" si="151">M431</f>
        <v>163280</v>
      </c>
      <c r="N314" s="246">
        <f t="shared" si="151"/>
        <v>482350</v>
      </c>
      <c r="O314" s="246">
        <f t="shared" si="151"/>
        <v>736900</v>
      </c>
      <c r="P314" s="246">
        <f t="shared" si="151"/>
        <v>1038675</v>
      </c>
      <c r="Q314" s="1518">
        <f t="shared" si="151"/>
        <v>1284700</v>
      </c>
      <c r="R314" s="1423">
        <f>R431</f>
        <v>1284700</v>
      </c>
      <c r="S314" s="1423">
        <f>S431</f>
        <v>1284700</v>
      </c>
      <c r="T314" s="1423"/>
      <c r="U314" s="246">
        <f t="shared" si="151"/>
        <v>314558.94400000002</v>
      </c>
      <c r="V314" s="246">
        <f>V431</f>
        <v>247065.76800000004</v>
      </c>
      <c r="W314" s="246">
        <f>W431</f>
        <v>272935.78000000003</v>
      </c>
      <c r="X314" s="246">
        <f>X431</f>
        <v>333680.02400000003</v>
      </c>
      <c r="Y314" s="246">
        <f>Y431</f>
        <v>337465.81200000003</v>
      </c>
    </row>
    <row r="315" spans="2:25" ht="15.75" hidden="1" customHeight="1" outlineLevel="1">
      <c r="B315" s="242" t="s">
        <v>1742</v>
      </c>
      <c r="C315" s="242" t="s">
        <v>549</v>
      </c>
      <c r="D315" s="242"/>
      <c r="E315" s="276"/>
      <c r="F315" s="246"/>
      <c r="G315" s="246"/>
      <c r="H315" s="246"/>
      <c r="I315" s="246">
        <v>84228</v>
      </c>
      <c r="J315" s="246">
        <v>95719</v>
      </c>
      <c r="K315" s="246">
        <v>0</v>
      </c>
      <c r="L315" s="246">
        <v>0</v>
      </c>
      <c r="M315" s="185">
        <v>0</v>
      </c>
      <c r="N315" s="577">
        <v>0</v>
      </c>
      <c r="O315" s="577">
        <v>0</v>
      </c>
      <c r="P315" s="577">
        <v>0</v>
      </c>
      <c r="Q315" s="1466">
        <v>0</v>
      </c>
      <c r="R315" s="1371">
        <v>0</v>
      </c>
      <c r="S315" s="1371">
        <v>0</v>
      </c>
      <c r="T315" s="1371"/>
      <c r="U315" s="577">
        <v>0</v>
      </c>
      <c r="V315" s="577">
        <v>0</v>
      </c>
      <c r="W315" s="577">
        <v>0</v>
      </c>
      <c r="X315" s="577">
        <v>0</v>
      </c>
      <c r="Y315" s="577">
        <v>0</v>
      </c>
    </row>
    <row r="316" spans="2:25" ht="15.75" hidden="1" customHeight="1" outlineLevel="1">
      <c r="B316" s="242" t="s">
        <v>1743</v>
      </c>
      <c r="C316" s="242" t="s">
        <v>535</v>
      </c>
      <c r="D316" s="242"/>
      <c r="E316" s="276"/>
      <c r="F316" s="246"/>
      <c r="G316" s="246"/>
      <c r="H316" s="246"/>
      <c r="I316" s="246">
        <v>2562446.6237623761</v>
      </c>
      <c r="J316" s="246">
        <v>1050688</v>
      </c>
      <c r="K316" s="246">
        <v>0</v>
      </c>
      <c r="L316" s="246">
        <v>0</v>
      </c>
      <c r="M316" s="185">
        <v>0</v>
      </c>
      <c r="N316" s="577">
        <v>0</v>
      </c>
      <c r="O316" s="577">
        <v>0</v>
      </c>
      <c r="P316" s="577">
        <v>0</v>
      </c>
      <c r="Q316" s="1466">
        <v>0</v>
      </c>
      <c r="R316" s="1371">
        <v>0</v>
      </c>
      <c r="S316" s="1371">
        <v>0</v>
      </c>
      <c r="T316" s="1371"/>
      <c r="U316" s="577">
        <v>0</v>
      </c>
      <c r="V316" s="577">
        <v>0</v>
      </c>
      <c r="W316" s="577">
        <v>0</v>
      </c>
      <c r="X316" s="577">
        <v>0</v>
      </c>
      <c r="Y316" s="577">
        <v>0</v>
      </c>
    </row>
    <row r="317" spans="2:25" ht="15.75" hidden="1" customHeight="1" outlineLevel="1">
      <c r="B317" s="242"/>
      <c r="C317" s="242"/>
      <c r="D317" s="242"/>
      <c r="E317" s="276"/>
      <c r="F317" s="246"/>
      <c r="G317" s="246"/>
      <c r="H317" s="246"/>
      <c r="I317" s="246"/>
      <c r="J317" s="246"/>
      <c r="K317" s="246"/>
      <c r="L317" s="246"/>
      <c r="M317" s="185"/>
      <c r="Q317" s="1466"/>
      <c r="R317" s="1371"/>
      <c r="S317" s="1371"/>
      <c r="T317" s="1371"/>
    </row>
    <row r="318" spans="2:25" ht="15.75" hidden="1" customHeight="1" outlineLevel="1">
      <c r="B318" s="242" t="s">
        <v>1346</v>
      </c>
      <c r="C318" s="242" t="s">
        <v>385</v>
      </c>
      <c r="D318" s="242"/>
      <c r="E318" s="276"/>
      <c r="F318" s="246"/>
      <c r="G318" s="246"/>
      <c r="H318" s="246"/>
      <c r="I318" s="246">
        <v>128321563.62376237</v>
      </c>
      <c r="J318" s="246">
        <v>227891835.1120761</v>
      </c>
      <c r="K318" s="246">
        <v>574151125.07544935</v>
      </c>
      <c r="L318" s="246">
        <f t="shared" ref="L318:U318" ca="1" si="152">SUM(L309:L316)</f>
        <v>625617261.23324072</v>
      </c>
      <c r="M318" s="246">
        <f t="shared" ca="1" si="152"/>
        <v>735183874.86354256</v>
      </c>
      <c r="N318" s="246">
        <f t="shared" ca="1" si="152"/>
        <v>873121007.46942985</v>
      </c>
      <c r="O318" s="246">
        <f t="shared" ca="1" si="152"/>
        <v>920103283.14811957</v>
      </c>
      <c r="P318" s="246">
        <f t="shared" ca="1" si="152"/>
        <v>1108422250.616595</v>
      </c>
      <c r="Q318" s="1518">
        <f t="shared" ca="1" si="152"/>
        <v>1307141107.8581271</v>
      </c>
      <c r="R318" s="1423">
        <f ca="1">SUM(R309:R316)</f>
        <v>1268374202.2114475</v>
      </c>
      <c r="S318" s="1423">
        <f ca="1">SUM(S309:S316)</f>
        <v>1401054969.847564</v>
      </c>
      <c r="T318" s="1423"/>
      <c r="U318" s="246">
        <f t="shared" ca="1" si="152"/>
        <v>1559288978.5150585</v>
      </c>
      <c r="V318" s="246">
        <f ca="1">SUM(V309:V316)</f>
        <v>1796245733.2305741</v>
      </c>
      <c r="W318" s="246">
        <f ca="1">SUM(W309:W316)</f>
        <v>2058893453.0105395</v>
      </c>
      <c r="X318" s="246">
        <f ca="1">SUM(X309:X316)</f>
        <v>2321115877.4781899</v>
      </c>
      <c r="Y318" s="246">
        <f ca="1">SUM(Y309:Y316)</f>
        <v>2543181674.6638484</v>
      </c>
    </row>
    <row r="319" spans="2:25" ht="15.75" hidden="1" customHeight="1" outlineLevel="1">
      <c r="B319" s="372"/>
      <c r="C319" s="372"/>
      <c r="D319" s="242"/>
      <c r="E319" s="242"/>
      <c r="F319" s="242"/>
      <c r="G319" s="242"/>
      <c r="H319" s="242"/>
      <c r="I319" s="246"/>
      <c r="J319" s="246"/>
      <c r="K319" s="246"/>
      <c r="L319" s="246"/>
      <c r="M319" s="185"/>
      <c r="Q319" s="1466"/>
      <c r="R319" s="1371"/>
      <c r="S319" s="1371"/>
      <c r="T319" s="1371"/>
    </row>
    <row r="320" spans="2:25" ht="15.75" hidden="1" customHeight="1" outlineLevel="1">
      <c r="B320" s="242" t="s">
        <v>1347</v>
      </c>
      <c r="C320" s="369" t="s">
        <v>386</v>
      </c>
      <c r="D320" s="242"/>
      <c r="E320" s="242"/>
      <c r="F320" s="242"/>
      <c r="G320" s="242"/>
      <c r="H320" s="242"/>
      <c r="I320" s="246"/>
      <c r="J320" s="246"/>
      <c r="K320" s="246"/>
      <c r="L320" s="246"/>
      <c r="M320" s="185"/>
      <c r="Q320" s="1466"/>
      <c r="R320" s="1371"/>
      <c r="S320" s="1371"/>
      <c r="T320" s="1371"/>
    </row>
    <row r="321" spans="2:25" ht="15.75" hidden="1" customHeight="1" outlineLevel="1">
      <c r="B321" s="372" t="s">
        <v>1348</v>
      </c>
      <c r="C321" s="242" t="s">
        <v>387</v>
      </c>
      <c r="D321" s="242"/>
      <c r="E321" s="242"/>
      <c r="F321" s="242"/>
      <c r="G321" s="242"/>
      <c r="H321" s="242"/>
      <c r="I321" s="246">
        <v>1195662.1287128709</v>
      </c>
      <c r="J321" s="246">
        <v>5546054.435872524</v>
      </c>
      <c r="K321" s="246">
        <v>15536042.533412699</v>
      </c>
      <c r="L321" s="246">
        <f t="shared" ref="L321:U321" si="153">SUM(L322:L323)</f>
        <v>11104911.593156695</v>
      </c>
      <c r="M321" s="246">
        <f t="shared" si="153"/>
        <v>7282051.7334307479</v>
      </c>
      <c r="N321" s="246">
        <f t="shared" si="153"/>
        <v>10956973.774999842</v>
      </c>
      <c r="O321" s="246">
        <f t="shared" si="153"/>
        <v>8139820.4496887513</v>
      </c>
      <c r="P321" s="246">
        <f t="shared" si="153"/>
        <v>13335349.139370851</v>
      </c>
      <c r="Q321" s="1518">
        <f t="shared" si="153"/>
        <v>13929912.44214917</v>
      </c>
      <c r="R321" s="1423">
        <f>SUM(R322:R323)</f>
        <v>13929912.44214917</v>
      </c>
      <c r="S321" s="1423">
        <f>SUM(S322:S323)</f>
        <v>13929912.44214917</v>
      </c>
      <c r="T321" s="1423"/>
      <c r="U321" s="246">
        <f t="shared" si="153"/>
        <v>16380936.896030856</v>
      </c>
      <c r="V321" s="246">
        <f>SUM(V322:V323)</f>
        <v>15782623.818928903</v>
      </c>
      <c r="W321" s="246">
        <f>SUM(W322:W323)</f>
        <v>16402920.112437284</v>
      </c>
      <c r="X321" s="246">
        <f>SUM(X322:X323)</f>
        <v>16380936.896030856</v>
      </c>
      <c r="Y321" s="246">
        <f>SUM(Y322:Y323)</f>
        <v>14443484.178404197</v>
      </c>
    </row>
    <row r="322" spans="2:25" ht="15.75" hidden="1" customHeight="1" outlineLevel="1">
      <c r="B322" s="369" t="s">
        <v>1349</v>
      </c>
      <c r="C322" s="371" t="s">
        <v>388</v>
      </c>
      <c r="D322" s="242"/>
      <c r="E322" s="276"/>
      <c r="F322" s="246"/>
      <c r="G322" s="246"/>
      <c r="H322" s="246"/>
      <c r="I322" s="246">
        <v>1006372.7148514851</v>
      </c>
      <c r="J322" s="246">
        <v>714558.43587252381</v>
      </c>
      <c r="K322" s="246">
        <v>1200445.5762333334</v>
      </c>
      <c r="L322" s="246">
        <f t="shared" ref="L322:U322" si="154">L422</f>
        <v>1139027.1420359956</v>
      </c>
      <c r="M322" s="246">
        <f t="shared" si="154"/>
        <v>531802.03358752769</v>
      </c>
      <c r="N322" s="246">
        <f t="shared" si="154"/>
        <v>990206.25411835837</v>
      </c>
      <c r="O322" s="246">
        <f t="shared" si="154"/>
        <v>872383.61430880043</v>
      </c>
      <c r="P322" s="246">
        <f t="shared" si="154"/>
        <v>1606574.2498444275</v>
      </c>
      <c r="Q322" s="1518">
        <f t="shared" si="154"/>
        <v>1627945.7579507865</v>
      </c>
      <c r="R322" s="1423">
        <f>R422</f>
        <v>1627945.7579507865</v>
      </c>
      <c r="S322" s="1423">
        <f>S422</f>
        <v>1627945.7579507865</v>
      </c>
      <c r="T322" s="1423"/>
      <c r="U322" s="246">
        <f t="shared" si="154"/>
        <v>1725237.7437470946</v>
      </c>
      <c r="V322" s="246">
        <f>V422</f>
        <v>1676190.3988434416</v>
      </c>
      <c r="W322" s="246">
        <f>W422</f>
        <v>1727618.5570026187</v>
      </c>
      <c r="X322" s="246">
        <f>X422</f>
        <v>1725237.7437470946</v>
      </c>
      <c r="Y322" s="246">
        <f>Y422</f>
        <v>1544484.586125493</v>
      </c>
    </row>
    <row r="323" spans="2:25" ht="15.75" hidden="1" customHeight="1" outlineLevel="1">
      <c r="B323" s="242" t="s">
        <v>1350</v>
      </c>
      <c r="C323" s="371" t="s">
        <v>389</v>
      </c>
      <c r="D323" s="242"/>
      <c r="E323" s="276"/>
      <c r="F323" s="246"/>
      <c r="G323" s="246"/>
      <c r="H323" s="246"/>
      <c r="I323" s="246">
        <v>189289.41386138572</v>
      </c>
      <c r="J323" s="246">
        <v>4831496</v>
      </c>
      <c r="K323" s="246">
        <v>14335596.957179366</v>
      </c>
      <c r="L323" s="246">
        <f t="shared" ref="L323:U323" si="155">L435</f>
        <v>9965884.4511207007</v>
      </c>
      <c r="M323" s="246">
        <f t="shared" si="155"/>
        <v>6750249.6998432204</v>
      </c>
      <c r="N323" s="246">
        <f t="shared" si="155"/>
        <v>9966767.5208814833</v>
      </c>
      <c r="O323" s="246">
        <f t="shared" si="155"/>
        <v>7267436.8353799507</v>
      </c>
      <c r="P323" s="246">
        <f t="shared" si="155"/>
        <v>11728774.889526423</v>
      </c>
      <c r="Q323" s="1518">
        <f t="shared" si="155"/>
        <v>12301966.684198383</v>
      </c>
      <c r="R323" s="1423">
        <f>R435</f>
        <v>12301966.684198383</v>
      </c>
      <c r="S323" s="1423">
        <f>S435</f>
        <v>12301966.684198383</v>
      </c>
      <c r="T323" s="1423"/>
      <c r="U323" s="246">
        <f t="shared" si="155"/>
        <v>14655699.152283762</v>
      </c>
      <c r="V323" s="246">
        <f>V435</f>
        <v>14106433.420085462</v>
      </c>
      <c r="W323" s="246">
        <f>W435</f>
        <v>14675301.555434665</v>
      </c>
      <c r="X323" s="246">
        <f>X435</f>
        <v>14655699.152283762</v>
      </c>
      <c r="Y323" s="246">
        <f>Y435</f>
        <v>12898999.592278704</v>
      </c>
    </row>
    <row r="324" spans="2:25" ht="15.75" hidden="1" customHeight="1" outlineLevel="1">
      <c r="B324" s="371" t="s">
        <v>1351</v>
      </c>
      <c r="C324" s="242" t="s">
        <v>390</v>
      </c>
      <c r="D324" s="242"/>
      <c r="E324" s="276"/>
      <c r="F324" s="246"/>
      <c r="G324" s="246"/>
      <c r="H324" s="246"/>
      <c r="I324" s="246">
        <v>1569068.742574255</v>
      </c>
      <c r="J324" s="246">
        <v>848194</v>
      </c>
      <c r="K324" s="246">
        <v>2645101.2088000001</v>
      </c>
      <c r="L324" s="246">
        <f t="shared" ref="L324:U324" si="156">L434</f>
        <v>1838833.2963852498</v>
      </c>
      <c r="M324" s="246">
        <f t="shared" si="156"/>
        <v>1245507.507925241</v>
      </c>
      <c r="N324" s="246">
        <f t="shared" si="156"/>
        <v>1838996.234064</v>
      </c>
      <c r="O324" s="246">
        <f t="shared" si="156"/>
        <v>1340935.1571169898</v>
      </c>
      <c r="P324" s="246">
        <f t="shared" si="156"/>
        <v>2164109.1564374999</v>
      </c>
      <c r="Q324" s="1518">
        <f t="shared" si="156"/>
        <v>2269870.3823906155</v>
      </c>
      <c r="R324" s="1423">
        <f>R434</f>
        <v>2269870.3823906155</v>
      </c>
      <c r="S324" s="1423">
        <f>S434</f>
        <v>2269870.3823906155</v>
      </c>
      <c r="T324" s="1423"/>
      <c r="U324" s="246">
        <f t="shared" si="156"/>
        <v>2704164.1627697083</v>
      </c>
      <c r="V324" s="246">
        <f>V434</f>
        <v>2602817.6017210218</v>
      </c>
      <c r="W324" s="246">
        <f>W434</f>
        <v>2707781.0571637619</v>
      </c>
      <c r="X324" s="246">
        <f>X434</f>
        <v>2704164.1627697083</v>
      </c>
      <c r="Y324" s="246">
        <f>Y434</f>
        <v>2380030.599057823</v>
      </c>
    </row>
    <row r="325" spans="2:25" ht="15.75" hidden="1" customHeight="1" outlineLevel="1">
      <c r="B325" s="371" t="s">
        <v>1352</v>
      </c>
      <c r="C325" s="242" t="s">
        <v>391</v>
      </c>
      <c r="D325" s="242"/>
      <c r="E325" s="276"/>
      <c r="F325" s="246"/>
      <c r="G325" s="246"/>
      <c r="H325" s="246"/>
      <c r="I325" s="246">
        <v>2764730.8712871261</v>
      </c>
      <c r="J325" s="246">
        <v>6394248.435872524</v>
      </c>
      <c r="K325" s="246">
        <v>18181143.742212698</v>
      </c>
      <c r="L325" s="246">
        <f t="shared" ref="L325:U325" si="157">SUM(L324,L321)</f>
        <v>12943744.889541944</v>
      </c>
      <c r="M325" s="246">
        <f t="shared" si="157"/>
        <v>8527559.2413559891</v>
      </c>
      <c r="N325" s="246">
        <f t="shared" si="157"/>
        <v>12795970.009063842</v>
      </c>
      <c r="O325" s="246">
        <f t="shared" si="157"/>
        <v>9480755.6068057418</v>
      </c>
      <c r="P325" s="246">
        <f t="shared" si="157"/>
        <v>15499458.295808351</v>
      </c>
      <c r="Q325" s="1518">
        <f t="shared" si="157"/>
        <v>16199782.824539784</v>
      </c>
      <c r="R325" s="1423">
        <f>SUM(R324,R321)</f>
        <v>16199782.824539784</v>
      </c>
      <c r="S325" s="1423">
        <f>SUM(S324,S321)</f>
        <v>16199782.824539784</v>
      </c>
      <c r="T325" s="1423"/>
      <c r="U325" s="246">
        <f t="shared" si="157"/>
        <v>19085101.058800563</v>
      </c>
      <c r="V325" s="246">
        <f>SUM(V324,V321)</f>
        <v>18385441.420649923</v>
      </c>
      <c r="W325" s="246">
        <f>SUM(W324,W321)</f>
        <v>19110701.169601046</v>
      </c>
      <c r="X325" s="246">
        <f>SUM(X324,X321)</f>
        <v>19085101.058800563</v>
      </c>
      <c r="Y325" s="246">
        <f>SUM(Y324,Y321)</f>
        <v>16823514.777462021</v>
      </c>
    </row>
    <row r="326" spans="2:25" ht="15.75" hidden="1" customHeight="1" outlineLevel="1">
      <c r="B326" s="242"/>
      <c r="C326" s="242"/>
      <c r="D326" s="242"/>
      <c r="E326" s="242"/>
      <c r="F326" s="242"/>
      <c r="G326" s="242"/>
      <c r="H326" s="242"/>
      <c r="I326" s="246"/>
      <c r="J326" s="246"/>
      <c r="K326" s="246"/>
      <c r="L326" s="246"/>
      <c r="M326" s="185"/>
      <c r="Q326" s="1466"/>
      <c r="R326" s="1371"/>
      <c r="S326" s="1371"/>
      <c r="T326" s="1371"/>
    </row>
    <row r="327" spans="2:25" ht="15.75" hidden="1" customHeight="1" outlineLevel="1">
      <c r="B327" s="242" t="s">
        <v>1353</v>
      </c>
      <c r="C327" s="242" t="s">
        <v>392</v>
      </c>
      <c r="D327" s="242"/>
      <c r="E327" s="242"/>
      <c r="F327" s="242"/>
      <c r="G327" s="242"/>
      <c r="H327" s="242"/>
      <c r="I327" s="246">
        <v>818113.80198019801</v>
      </c>
      <c r="J327" s="246">
        <v>0</v>
      </c>
      <c r="K327" s="246">
        <v>0</v>
      </c>
      <c r="L327" s="246">
        <f t="shared" ref="L327:U327" ca="1" si="158">L528</f>
        <v>0</v>
      </c>
      <c r="M327" s="246">
        <f t="shared" ca="1" si="158"/>
        <v>0</v>
      </c>
      <c r="N327" s="246">
        <f t="shared" ca="1" si="158"/>
        <v>0</v>
      </c>
      <c r="O327" s="246">
        <f t="shared" ca="1" si="158"/>
        <v>0</v>
      </c>
      <c r="P327" s="246">
        <f t="shared" ca="1" si="158"/>
        <v>0</v>
      </c>
      <c r="Q327" s="1518">
        <f t="shared" ca="1" si="158"/>
        <v>0</v>
      </c>
      <c r="R327" s="1423">
        <f ca="1">R528</f>
        <v>0</v>
      </c>
      <c r="S327" s="1423">
        <f ca="1">S528</f>
        <v>0</v>
      </c>
      <c r="T327" s="1423"/>
      <c r="U327" s="246">
        <f t="shared" ca="1" si="158"/>
        <v>0</v>
      </c>
      <c r="V327" s="246">
        <f ca="1">V528</f>
        <v>0</v>
      </c>
      <c r="W327" s="246">
        <f ca="1">W528</f>
        <v>0</v>
      </c>
      <c r="X327" s="246">
        <f ca="1">X528</f>
        <v>0</v>
      </c>
      <c r="Y327" s="246">
        <f ca="1">Y528</f>
        <v>0</v>
      </c>
    </row>
    <row r="328" spans="2:25" ht="15.75" hidden="1" customHeight="1" outlineLevel="1">
      <c r="B328" s="242" t="s">
        <v>1354</v>
      </c>
      <c r="C328" s="242" t="s">
        <v>496</v>
      </c>
      <c r="D328" s="242"/>
      <c r="E328" s="276"/>
      <c r="F328" s="246"/>
      <c r="G328" s="246"/>
      <c r="H328" s="246"/>
      <c r="I328" s="246">
        <v>35883247</v>
      </c>
      <c r="J328" s="246">
        <v>0</v>
      </c>
      <c r="K328" s="246">
        <v>0</v>
      </c>
      <c r="L328" s="246">
        <f t="shared" ref="L328:U328" si="159">L515</f>
        <v>0</v>
      </c>
      <c r="M328" s="246">
        <f t="shared" si="159"/>
        <v>0</v>
      </c>
      <c r="N328" s="246">
        <f t="shared" si="159"/>
        <v>0</v>
      </c>
      <c r="O328" s="246">
        <f t="shared" si="159"/>
        <v>0</v>
      </c>
      <c r="P328" s="246">
        <f t="shared" si="159"/>
        <v>6011000</v>
      </c>
      <c r="Q328" s="1518">
        <f t="shared" si="159"/>
        <v>17460000</v>
      </c>
      <c r="R328" s="1423">
        <f>R515</f>
        <v>15010000</v>
      </c>
      <c r="S328" s="1423">
        <f>S515</f>
        <v>15010000</v>
      </c>
      <c r="T328" s="1423"/>
      <c r="U328" s="246">
        <f t="shared" si="159"/>
        <v>7450000</v>
      </c>
      <c r="V328" s="246">
        <f>V515</f>
        <v>0</v>
      </c>
      <c r="W328" s="246">
        <f>W515</f>
        <v>0</v>
      </c>
      <c r="X328" s="246">
        <f>X515</f>
        <v>0</v>
      </c>
      <c r="Y328" s="246">
        <f>Y515</f>
        <v>0</v>
      </c>
    </row>
    <row r="329" spans="2:25" ht="15.75" hidden="1" customHeight="1" outlineLevel="1">
      <c r="B329" s="242" t="s">
        <v>1355</v>
      </c>
      <c r="C329" s="242" t="s">
        <v>534</v>
      </c>
      <c r="D329" s="242"/>
      <c r="E329" s="276"/>
      <c r="F329" s="246"/>
      <c r="G329" s="246"/>
      <c r="H329" s="246"/>
      <c r="I329" s="246">
        <v>2813320.1980197998</v>
      </c>
      <c r="J329" s="246">
        <v>0</v>
      </c>
      <c r="K329" s="246">
        <v>0</v>
      </c>
      <c r="L329" s="246">
        <f t="shared" ref="L329:W329" si="160">K329</f>
        <v>0</v>
      </c>
      <c r="M329" s="246">
        <f t="shared" si="160"/>
        <v>0</v>
      </c>
      <c r="N329" s="246">
        <f t="shared" si="160"/>
        <v>0</v>
      </c>
      <c r="O329" s="246">
        <f t="shared" si="160"/>
        <v>0</v>
      </c>
      <c r="P329" s="246">
        <f t="shared" si="160"/>
        <v>0</v>
      </c>
      <c r="Q329" s="1518">
        <f t="shared" si="160"/>
        <v>0</v>
      </c>
      <c r="R329" s="1423">
        <f>Q329</f>
        <v>0</v>
      </c>
      <c r="S329" s="1423">
        <f>R329</f>
        <v>0</v>
      </c>
      <c r="T329" s="1423"/>
      <c r="U329" s="246">
        <f>Q329</f>
        <v>0</v>
      </c>
      <c r="V329" s="246">
        <f t="shared" si="160"/>
        <v>0</v>
      </c>
      <c r="W329" s="246">
        <f t="shared" si="160"/>
        <v>0</v>
      </c>
      <c r="X329" s="246">
        <f>W329</f>
        <v>0</v>
      </c>
      <c r="Y329" s="246">
        <f>X329</f>
        <v>0</v>
      </c>
    </row>
    <row r="330" spans="2:25" ht="15.75" hidden="1" customHeight="1" outlineLevel="1">
      <c r="B330" s="242"/>
      <c r="C330" s="242"/>
      <c r="D330" s="242"/>
      <c r="E330" s="242"/>
      <c r="F330" s="242"/>
      <c r="G330" s="242"/>
      <c r="H330" s="242"/>
      <c r="I330" s="246"/>
      <c r="J330" s="246"/>
      <c r="K330" s="246"/>
      <c r="L330" s="246"/>
      <c r="M330" s="185"/>
      <c r="Q330" s="1466"/>
      <c r="R330" s="1371"/>
      <c r="S330" s="1371"/>
      <c r="T330" s="1371"/>
    </row>
    <row r="331" spans="2:25" ht="15.75" hidden="1" customHeight="1" outlineLevel="1">
      <c r="B331" s="242" t="s">
        <v>1356</v>
      </c>
      <c r="C331" s="242" t="s">
        <v>393</v>
      </c>
      <c r="D331" s="242"/>
      <c r="E331" s="242"/>
      <c r="F331" s="242"/>
      <c r="G331" s="242"/>
      <c r="H331" s="242"/>
      <c r="I331" s="246">
        <v>42279411.87128713</v>
      </c>
      <c r="J331" s="246">
        <v>6394248.435872524</v>
      </c>
      <c r="K331" s="246">
        <v>18181143.742212698</v>
      </c>
      <c r="L331" s="246">
        <f t="shared" ref="L331:U331" ca="1" si="161">SUM(L325:L329)</f>
        <v>12943744.889541944</v>
      </c>
      <c r="M331" s="246">
        <f t="shared" ca="1" si="161"/>
        <v>8527559.2413559891</v>
      </c>
      <c r="N331" s="246">
        <f t="shared" ca="1" si="161"/>
        <v>12795970.009063842</v>
      </c>
      <c r="O331" s="246">
        <f t="shared" ca="1" si="161"/>
        <v>9480755.6068057418</v>
      </c>
      <c r="P331" s="246">
        <f t="shared" ca="1" si="161"/>
        <v>21510458.295808353</v>
      </c>
      <c r="Q331" s="1518">
        <f t="shared" ca="1" si="161"/>
        <v>33659782.824539781</v>
      </c>
      <c r="R331" s="1423">
        <f ca="1">SUM(R325:R329)</f>
        <v>31209782.824539784</v>
      </c>
      <c r="S331" s="1423">
        <f ca="1">SUM(S325:S329)</f>
        <v>31209782.824539784</v>
      </c>
      <c r="T331" s="1423"/>
      <c r="U331" s="246">
        <f t="shared" ca="1" si="161"/>
        <v>26535101.058800563</v>
      </c>
      <c r="V331" s="246">
        <f ca="1">SUM(V325:V329)</f>
        <v>18385441.420649923</v>
      </c>
      <c r="W331" s="246">
        <f ca="1">SUM(W325:W329)</f>
        <v>19110701.169601046</v>
      </c>
      <c r="X331" s="246">
        <f ca="1">SUM(X325:X329)</f>
        <v>19085101.058800563</v>
      </c>
      <c r="Y331" s="246">
        <f ca="1">SUM(Y325:Y329)</f>
        <v>16823514.777462021</v>
      </c>
    </row>
    <row r="332" spans="2:25" ht="15.75" hidden="1" customHeight="1" outlineLevel="1">
      <c r="B332" s="242"/>
      <c r="C332" s="372"/>
      <c r="D332" s="242"/>
      <c r="E332" s="276"/>
      <c r="F332" s="246"/>
      <c r="G332" s="246"/>
      <c r="H332" s="246"/>
      <c r="I332" s="246"/>
      <c r="J332" s="246"/>
      <c r="K332" s="246"/>
      <c r="L332" s="246"/>
      <c r="M332" s="185"/>
      <c r="Q332" s="1466"/>
      <c r="R332" s="1371"/>
      <c r="S332" s="1371"/>
      <c r="T332" s="1371"/>
    </row>
    <row r="333" spans="2:25" ht="15.75" hidden="1" customHeight="1" outlineLevel="1">
      <c r="B333" s="242" t="s">
        <v>1357</v>
      </c>
      <c r="C333" s="242" t="s">
        <v>394</v>
      </c>
      <c r="D333" s="242"/>
      <c r="E333" s="242"/>
      <c r="F333" s="242"/>
      <c r="G333" s="242"/>
      <c r="H333" s="242"/>
      <c r="I333" s="246">
        <v>71588805.461386099</v>
      </c>
      <c r="J333" s="246">
        <v>199238133.46138608</v>
      </c>
      <c r="K333" s="246">
        <v>304304924.3163861</v>
      </c>
      <c r="L333" s="246">
        <f t="shared" ref="L333:W333" si="162">K333+K335</f>
        <v>555969981.54018843</v>
      </c>
      <c r="M333" s="246">
        <f t="shared" ca="1" si="162"/>
        <v>612673516.55065036</v>
      </c>
      <c r="N333" s="246">
        <f t="shared" ca="1" si="162"/>
        <v>726656315.82913828</v>
      </c>
      <c r="O333" s="246">
        <f t="shared" ca="1" si="162"/>
        <v>860325037.66731763</v>
      </c>
      <c r="P333" s="246">
        <f t="shared" ca="1" si="162"/>
        <v>910622527.74826527</v>
      </c>
      <c r="Q333" s="1518">
        <f ca="1">P333+P335</f>
        <v>1086911792.5277383</v>
      </c>
      <c r="R333" s="1423">
        <f ca="1">P333+P335</f>
        <v>1086911792.5277383</v>
      </c>
      <c r="S333" s="1423">
        <f ca="1">R333+R335</f>
        <v>1235089186.771543</v>
      </c>
      <c r="T333" s="1423"/>
      <c r="U333" s="246">
        <f ca="1">Q333+Q335</f>
        <v>1273481325.2405386</v>
      </c>
      <c r="V333" s="246">
        <f t="shared" ca="1" si="162"/>
        <v>1530303877.6632097</v>
      </c>
      <c r="W333" s="246">
        <f t="shared" ca="1" si="162"/>
        <v>1775410292.0168757</v>
      </c>
      <c r="X333" s="246">
        <f ca="1">W333+W335</f>
        <v>2037332752.0478897</v>
      </c>
      <c r="Y333" s="246">
        <f ca="1">X333+X335</f>
        <v>2299580776.6263399</v>
      </c>
    </row>
    <row r="334" spans="2:25" ht="15.75" hidden="1" customHeight="1" outlineLevel="1">
      <c r="B334" s="242" t="s">
        <v>553</v>
      </c>
      <c r="C334" s="242" t="s">
        <v>553</v>
      </c>
      <c r="D334" s="242"/>
      <c r="E334" s="242"/>
      <c r="F334" s="242"/>
      <c r="G334" s="242"/>
      <c r="H334" s="242"/>
      <c r="I334" s="246">
        <v>550377.40772277198</v>
      </c>
      <c r="J334" s="246">
        <v>634363</v>
      </c>
      <c r="K334" s="246">
        <v>0</v>
      </c>
      <c r="L334" s="246">
        <f t="shared" ref="L334:W334" si="163">K334</f>
        <v>0</v>
      </c>
      <c r="M334" s="246">
        <f t="shared" si="163"/>
        <v>0</v>
      </c>
      <c r="N334" s="246">
        <f t="shared" si="163"/>
        <v>0</v>
      </c>
      <c r="O334" s="246">
        <f t="shared" si="163"/>
        <v>0</v>
      </c>
      <c r="P334" s="246">
        <f t="shared" si="163"/>
        <v>0</v>
      </c>
      <c r="Q334" s="1518">
        <f t="shared" si="163"/>
        <v>0</v>
      </c>
      <c r="R334" s="1423">
        <f>Q334</f>
        <v>0</v>
      </c>
      <c r="S334" s="1423">
        <f>R334</f>
        <v>0</v>
      </c>
      <c r="T334" s="1423"/>
      <c r="U334" s="246">
        <f>Q334</f>
        <v>0</v>
      </c>
      <c r="V334" s="246">
        <f t="shared" si="163"/>
        <v>0</v>
      </c>
      <c r="W334" s="246">
        <f t="shared" si="163"/>
        <v>0</v>
      </c>
      <c r="X334" s="246">
        <f>W334</f>
        <v>0</v>
      </c>
      <c r="Y334" s="246">
        <f>X334</f>
        <v>0</v>
      </c>
    </row>
    <row r="335" spans="2:25" ht="15.75" hidden="1" customHeight="1" outlineLevel="1">
      <c r="B335" s="242" t="s">
        <v>1744</v>
      </c>
      <c r="C335" s="242" t="s">
        <v>552</v>
      </c>
      <c r="D335" s="242"/>
      <c r="E335" s="242"/>
      <c r="F335" s="242"/>
      <c r="G335" s="242"/>
      <c r="H335" s="242"/>
      <c r="I335" s="246">
        <v>-11296221.938415896</v>
      </c>
      <c r="J335" s="246">
        <v>105066790.855</v>
      </c>
      <c r="K335" s="246">
        <v>251665057.22380233</v>
      </c>
      <c r="L335" s="246">
        <f t="shared" ref="L335:U335" ca="1" si="164">L284</f>
        <v>56703535.010461986</v>
      </c>
      <c r="M335" s="246">
        <f t="shared" ca="1" si="164"/>
        <v>113982799.27848791</v>
      </c>
      <c r="N335" s="246">
        <f t="shared" ca="1" si="164"/>
        <v>133668721.83817935</v>
      </c>
      <c r="O335" s="246">
        <f t="shared" ca="1" si="164"/>
        <v>50297490.080947652</v>
      </c>
      <c r="P335" s="246">
        <f t="shared" ca="1" si="164"/>
        <v>176289264.77947298</v>
      </c>
      <c r="Q335" s="1518">
        <f t="shared" ca="1" si="164"/>
        <v>186569532.71280026</v>
      </c>
      <c r="R335" s="1423">
        <f ca="1">R284</f>
        <v>148177394.24380475</v>
      </c>
      <c r="S335" s="1423">
        <f ca="1">S284</f>
        <v>134756000.45843273</v>
      </c>
      <c r="T335" s="1423"/>
      <c r="U335" s="246">
        <f t="shared" ca="1" si="164"/>
        <v>256822552.42267117</v>
      </c>
      <c r="V335" s="246">
        <f ca="1">V284</f>
        <v>245106414.35366616</v>
      </c>
      <c r="W335" s="246">
        <f ca="1">W284</f>
        <v>261922460.03101408</v>
      </c>
      <c r="X335" s="246">
        <f ca="1">X284</f>
        <v>262248024.57845044</v>
      </c>
      <c r="Y335" s="246">
        <f ca="1">Y284</f>
        <v>224327383.46699756</v>
      </c>
    </row>
    <row r="336" spans="2:25" ht="15.75" hidden="1" customHeight="1" outlineLevel="1">
      <c r="B336" s="242" t="s">
        <v>554</v>
      </c>
      <c r="C336" s="242" t="s">
        <v>554</v>
      </c>
      <c r="D336" s="242"/>
      <c r="E336" s="242"/>
      <c r="F336" s="242"/>
      <c r="G336" s="242"/>
      <c r="H336" s="242"/>
      <c r="I336" s="246"/>
      <c r="J336" s="246">
        <v>124891</v>
      </c>
      <c r="K336" s="246">
        <v>0</v>
      </c>
      <c r="L336" s="246">
        <f t="shared" ref="L336:W336" si="165">K336</f>
        <v>0</v>
      </c>
      <c r="M336" s="246">
        <f t="shared" si="165"/>
        <v>0</v>
      </c>
      <c r="N336" s="246">
        <f t="shared" si="165"/>
        <v>0</v>
      </c>
      <c r="O336" s="246">
        <f t="shared" si="165"/>
        <v>0</v>
      </c>
      <c r="P336" s="246">
        <f t="shared" si="165"/>
        <v>0</v>
      </c>
      <c r="Q336" s="1518">
        <f t="shared" si="165"/>
        <v>0</v>
      </c>
      <c r="R336" s="1423">
        <f>Q336</f>
        <v>0</v>
      </c>
      <c r="S336" s="1423">
        <f>R336</f>
        <v>0</v>
      </c>
      <c r="T336" s="1423"/>
      <c r="U336" s="246">
        <f>Q336</f>
        <v>0</v>
      </c>
      <c r="V336" s="246">
        <f t="shared" si="165"/>
        <v>0</v>
      </c>
      <c r="W336" s="246">
        <f t="shared" si="165"/>
        <v>0</v>
      </c>
      <c r="X336" s="246">
        <f>W336</f>
        <v>0</v>
      </c>
      <c r="Y336" s="246">
        <f>X336</f>
        <v>0</v>
      </c>
    </row>
    <row r="337" spans="1:25" ht="15.75" hidden="1" customHeight="1" outlineLevel="1">
      <c r="B337" s="242" t="s">
        <v>1745</v>
      </c>
      <c r="C337" s="242" t="s">
        <v>551</v>
      </c>
      <c r="D337" s="242"/>
      <c r="E337" s="242"/>
      <c r="F337" s="242"/>
      <c r="G337" s="242"/>
      <c r="H337" s="242"/>
      <c r="I337" s="246"/>
      <c r="J337" s="246"/>
      <c r="K337" s="246"/>
      <c r="L337" s="246"/>
      <c r="M337" s="185"/>
      <c r="Q337" s="1466"/>
      <c r="R337" s="1371"/>
      <c r="S337" s="1371"/>
      <c r="T337" s="1371"/>
    </row>
    <row r="338" spans="1:25" ht="15.75" hidden="1" customHeight="1" outlineLevel="1">
      <c r="B338" s="242"/>
      <c r="C338" s="242"/>
      <c r="D338" s="242"/>
      <c r="E338" s="276"/>
      <c r="F338" s="246"/>
      <c r="G338" s="246"/>
      <c r="H338" s="246"/>
      <c r="I338" s="246"/>
      <c r="J338" s="246"/>
      <c r="K338" s="246"/>
      <c r="L338" s="246"/>
      <c r="M338" s="185"/>
      <c r="Q338" s="1466"/>
      <c r="R338" s="1371"/>
      <c r="S338" s="1371"/>
      <c r="T338" s="1371"/>
    </row>
    <row r="339" spans="1:25" ht="15.75" hidden="1" customHeight="1" outlineLevel="1">
      <c r="B339" s="260" t="s">
        <v>1358</v>
      </c>
      <c r="C339" s="260" t="s">
        <v>395</v>
      </c>
      <c r="D339" s="260"/>
      <c r="E339" s="373"/>
      <c r="F339" s="250"/>
      <c r="G339" s="250"/>
      <c r="H339" s="250"/>
      <c r="I339" s="250">
        <v>103122372.80198009</v>
      </c>
      <c r="J339" s="250">
        <v>311458426.7522586</v>
      </c>
      <c r="K339" s="250">
        <v>574151125.28240108</v>
      </c>
      <c r="L339" s="250">
        <f t="shared" ref="L339:U339" ca="1" si="166">SUM(L331:L337)</f>
        <v>625617261.44019246</v>
      </c>
      <c r="M339" s="250">
        <f t="shared" ca="1" si="166"/>
        <v>735183875.07049429</v>
      </c>
      <c r="N339" s="250">
        <f t="shared" ca="1" si="166"/>
        <v>873121007.67638147</v>
      </c>
      <c r="O339" s="250">
        <f t="shared" ca="1" si="166"/>
        <v>920103283.35507107</v>
      </c>
      <c r="P339" s="250">
        <f t="shared" ca="1" si="166"/>
        <v>1108422250.8235466</v>
      </c>
      <c r="Q339" s="1519">
        <f t="shared" ca="1" si="166"/>
        <v>1307141108.0650785</v>
      </c>
      <c r="R339" s="1424">
        <f ca="1">SUM(R331:R337)</f>
        <v>1266298969.5960829</v>
      </c>
      <c r="S339" s="1424">
        <f ca="1">SUM(S331:S337)</f>
        <v>1401054970.0545156</v>
      </c>
      <c r="T339" s="1424"/>
      <c r="U339" s="250">
        <f t="shared" ca="1" si="166"/>
        <v>1556838978.7220101</v>
      </c>
      <c r="V339" s="250">
        <f ca="1">SUM(V331:V337)</f>
        <v>1793795733.4375257</v>
      </c>
      <c r="W339" s="250">
        <f ca="1">SUM(W331:W337)</f>
        <v>2056443453.2174907</v>
      </c>
      <c r="X339" s="250">
        <f ca="1">SUM(X331:X337)</f>
        <v>2318665877.6851406</v>
      </c>
      <c r="Y339" s="250">
        <f ca="1">SUM(Y331:Y337)</f>
        <v>2540731674.8707995</v>
      </c>
    </row>
    <row r="340" spans="1:25" ht="15.75" hidden="1" customHeight="1" outlineLevel="1">
      <c r="B340" s="374"/>
      <c r="C340" s="374"/>
      <c r="D340" s="242"/>
      <c r="E340" s="276"/>
      <c r="F340" s="246"/>
      <c r="G340" s="246"/>
      <c r="H340" s="246"/>
      <c r="I340" s="242"/>
      <c r="J340" s="242"/>
      <c r="K340" s="242"/>
      <c r="L340" s="242"/>
      <c r="M340" s="185"/>
      <c r="Q340" s="1466"/>
      <c r="R340" s="1371"/>
      <c r="S340" s="1371"/>
      <c r="T340" s="1371"/>
    </row>
    <row r="341" spans="1:25" s="377" customFormat="1" ht="15.75" hidden="1" customHeight="1" outlineLevel="1">
      <c r="A341" s="622"/>
      <c r="B341" s="623"/>
      <c r="C341" s="623" t="s">
        <v>365</v>
      </c>
      <c r="D341" s="375"/>
      <c r="E341" s="375"/>
      <c r="F341" s="375"/>
      <c r="G341" s="375"/>
      <c r="H341" s="251"/>
      <c r="I341" s="624"/>
      <c r="J341" s="624"/>
      <c r="K341" s="624">
        <v>0.20695173740386963</v>
      </c>
      <c r="L341" s="624">
        <f t="shared" ref="L341:U341" ca="1" si="167">L339-L318</f>
        <v>0.20695173740386963</v>
      </c>
      <c r="M341" s="624">
        <f ca="1">M339-M318</f>
        <v>0.20695173740386963</v>
      </c>
      <c r="N341" s="624">
        <f t="shared" ca="1" si="167"/>
        <v>0.20695161819458008</v>
      </c>
      <c r="O341" s="624">
        <f t="shared" ca="1" si="167"/>
        <v>0.20695149898529053</v>
      </c>
      <c r="P341" s="376">
        <f t="shared" ca="1" si="167"/>
        <v>0.20695161819458008</v>
      </c>
      <c r="Q341" s="1520">
        <f t="shared" ca="1" si="167"/>
        <v>0.20695137977600098</v>
      </c>
      <c r="R341" s="1425">
        <f ca="1">R339-R318</f>
        <v>-2075232.6153645515</v>
      </c>
      <c r="S341" s="1425">
        <f ca="1">S339-S318</f>
        <v>0.20695161819458008</v>
      </c>
      <c r="T341" s="1425"/>
      <c r="U341" s="624">
        <f t="shared" ca="1" si="167"/>
        <v>-2449999.7930483818</v>
      </c>
      <c r="V341" s="624">
        <f ca="1">V339-V318</f>
        <v>-2449999.7930483818</v>
      </c>
      <c r="W341" s="624">
        <f ca="1">W339-W318</f>
        <v>-2449999.7930488586</v>
      </c>
      <c r="X341" s="624">
        <f ca="1">X339-X318</f>
        <v>-2449999.7930493355</v>
      </c>
      <c r="Y341" s="624">
        <f ca="1">Y339-Y318</f>
        <v>-2449999.7930488586</v>
      </c>
    </row>
    <row r="342" spans="1:25" ht="15.75" hidden="1" customHeight="1" outlineLevel="1">
      <c r="B342" s="227"/>
      <c r="C342" s="227"/>
      <c r="D342" s="227"/>
      <c r="E342" s="227"/>
      <c r="F342" s="227"/>
      <c r="G342" s="227"/>
      <c r="H342" s="227"/>
      <c r="I342" s="227"/>
      <c r="J342" s="227"/>
      <c r="K342" s="227"/>
      <c r="L342" s="252"/>
      <c r="M342" s="185"/>
      <c r="Q342" s="1466"/>
      <c r="R342" s="1371"/>
      <c r="S342" s="1371"/>
      <c r="T342" s="1371"/>
    </row>
    <row r="343" spans="1:25" ht="15.75" hidden="1" customHeight="1" outlineLevel="1">
      <c r="D343" s="244" t="s">
        <v>447</v>
      </c>
      <c r="E343" s="625"/>
      <c r="F343" s="626"/>
      <c r="G343" s="626"/>
      <c r="H343" s="626"/>
      <c r="J343" s="253">
        <v>1</v>
      </c>
      <c r="K343" s="253">
        <v>1</v>
      </c>
      <c r="L343" s="253">
        <f t="shared" ref="L343:U343" ca="1" si="168">L333/(L333+L328+L329+L327)</f>
        <v>1</v>
      </c>
      <c r="M343" s="378">
        <f t="shared" ca="1" si="168"/>
        <v>1</v>
      </c>
      <c r="N343" s="253">
        <f t="shared" ca="1" si="168"/>
        <v>1</v>
      </c>
      <c r="O343" s="253">
        <f t="shared" ca="1" si="168"/>
        <v>1</v>
      </c>
      <c r="P343" s="253">
        <f t="shared" ca="1" si="168"/>
        <v>0.99344230838384651</v>
      </c>
      <c r="Q343" s="1521">
        <f t="shared" ca="1" si="168"/>
        <v>0.98419010688417097</v>
      </c>
      <c r="R343" s="1426">
        <f ca="1">R333/(R333+R328+R329+R327)</f>
        <v>0.98637834363401777</v>
      </c>
      <c r="S343" s="1426">
        <f ca="1">S333/(S333+S328+S329+S327)</f>
        <v>0.98799295275220178</v>
      </c>
      <c r="T343" s="1426"/>
      <c r="U343" s="253">
        <f t="shared" ca="1" si="168"/>
        <v>0.99418391926780225</v>
      </c>
      <c r="V343" s="253">
        <f ca="1">V333/(V333+V328+V329+V327)</f>
        <v>1</v>
      </c>
      <c r="W343" s="253">
        <f ca="1">W333/(W333+W328+W329+W327)</f>
        <v>1</v>
      </c>
      <c r="X343" s="253">
        <f ca="1">X333/(X333+X328+X329+X327)</f>
        <v>1</v>
      </c>
      <c r="Y343" s="253">
        <f ca="1">Y333/(Y333+Y328+Y329+Y327)</f>
        <v>1</v>
      </c>
    </row>
    <row r="344" spans="1:25" ht="15.75" hidden="1" customHeight="1" outlineLevel="1">
      <c r="D344" s="242" t="s">
        <v>448</v>
      </c>
      <c r="E344" s="227"/>
      <c r="F344" s="227"/>
      <c r="G344" s="227"/>
      <c r="H344" s="227"/>
      <c r="J344" s="253">
        <v>0</v>
      </c>
      <c r="K344" s="253">
        <v>0</v>
      </c>
      <c r="L344" s="253">
        <f t="shared" ref="L344:U344" ca="1" si="169">1-L343</f>
        <v>0</v>
      </c>
      <c r="M344" s="378">
        <f t="shared" ca="1" si="169"/>
        <v>0</v>
      </c>
      <c r="N344" s="253">
        <f t="shared" ca="1" si="169"/>
        <v>0</v>
      </c>
      <c r="O344" s="253">
        <f t="shared" ca="1" si="169"/>
        <v>0</v>
      </c>
      <c r="P344" s="253">
        <f t="shared" ca="1" si="169"/>
        <v>6.5576916161534937E-3</v>
      </c>
      <c r="Q344" s="1521">
        <f t="shared" ca="1" si="169"/>
        <v>1.5809893115829032E-2</v>
      </c>
      <c r="R344" s="1426">
        <f ca="1">1-R343</f>
        <v>1.3621656365982227E-2</v>
      </c>
      <c r="S344" s="1426">
        <f ca="1">1-S343</f>
        <v>1.2007047247798219E-2</v>
      </c>
      <c r="T344" s="1426"/>
      <c r="U344" s="253">
        <f t="shared" ca="1" si="169"/>
        <v>5.8160807321977481E-3</v>
      </c>
      <c r="V344" s="253">
        <f ca="1">1-V343</f>
        <v>0</v>
      </c>
      <c r="W344" s="253">
        <f ca="1">1-W343</f>
        <v>0</v>
      </c>
      <c r="X344" s="253">
        <f ca="1">1-X343</f>
        <v>0</v>
      </c>
      <c r="Y344" s="253">
        <f ca="1">1-Y343</f>
        <v>0</v>
      </c>
    </row>
    <row r="345" spans="1:25" ht="15.75" hidden="1" customHeight="1" outlineLevel="1">
      <c r="D345" s="242"/>
      <c r="E345" s="227"/>
      <c r="F345" s="227"/>
      <c r="G345" s="227"/>
      <c r="H345" s="227"/>
      <c r="J345" s="253"/>
      <c r="K345" s="253"/>
      <c r="L345" s="253"/>
      <c r="M345" s="185"/>
      <c r="Q345" s="1466"/>
      <c r="R345" s="1371"/>
      <c r="S345" s="1371"/>
      <c r="T345" s="1371"/>
    </row>
    <row r="346" spans="1:25" ht="15.75" customHeight="1" collapsed="1">
      <c r="B346" s="254"/>
      <c r="C346" s="254"/>
      <c r="D346" s="254"/>
      <c r="E346" s="254"/>
      <c r="F346" s="254"/>
      <c r="G346" s="254"/>
      <c r="H346" s="254"/>
      <c r="I346" s="254"/>
      <c r="J346" s="254"/>
      <c r="K346" s="255"/>
      <c r="L346" s="256"/>
      <c r="M346" s="639"/>
      <c r="N346" s="256"/>
      <c r="O346" s="256"/>
      <c r="P346" s="256"/>
      <c r="Q346" s="1502"/>
      <c r="R346" s="1407"/>
      <c r="S346" s="1407"/>
      <c r="T346" s="1407"/>
      <c r="U346" s="256"/>
      <c r="V346" s="256"/>
      <c r="W346" s="256"/>
      <c r="X346" s="256"/>
      <c r="Y346" s="256"/>
    </row>
    <row r="347" spans="1:25" ht="15.75" customHeight="1">
      <c r="B347" s="254"/>
      <c r="C347" s="254"/>
      <c r="D347" s="254"/>
      <c r="E347" s="254"/>
      <c r="F347" s="254"/>
      <c r="G347" s="254"/>
      <c r="H347" s="254"/>
      <c r="I347" s="254"/>
      <c r="J347" s="254"/>
      <c r="K347" s="255"/>
      <c r="L347" s="255"/>
      <c r="M347" s="185"/>
      <c r="Q347" s="1466"/>
      <c r="R347" s="1371"/>
      <c r="S347" s="1371"/>
      <c r="T347" s="1371"/>
    </row>
    <row r="348" spans="1:25" ht="15.75" customHeight="1">
      <c r="B348" s="254"/>
      <c r="C348" s="254"/>
      <c r="D348" s="254"/>
      <c r="E348" s="254"/>
      <c r="F348" s="254"/>
      <c r="G348" s="254"/>
      <c r="H348" s="254"/>
      <c r="I348" s="254"/>
      <c r="J348" s="254"/>
      <c r="K348" s="255"/>
      <c r="L348" s="255"/>
      <c r="M348" s="185"/>
      <c r="Q348" s="1466"/>
      <c r="R348" s="1371"/>
      <c r="S348" s="1371"/>
      <c r="T348" s="1371"/>
    </row>
    <row r="349" spans="1:25" ht="27">
      <c r="B349" s="366" t="s">
        <v>197</v>
      </c>
      <c r="C349" s="366" t="s">
        <v>197</v>
      </c>
      <c r="I349" s="227"/>
      <c r="J349" s="227"/>
      <c r="K349" s="226"/>
      <c r="L349" s="228"/>
      <c r="M349" s="368"/>
      <c r="N349" s="228"/>
      <c r="O349" s="228"/>
      <c r="P349" s="228"/>
      <c r="Q349" s="1506"/>
      <c r="R349" s="1412"/>
      <c r="S349" s="1412"/>
      <c r="T349" s="1412"/>
      <c r="U349" s="228"/>
      <c r="V349" s="228"/>
      <c r="W349" s="228"/>
      <c r="X349" s="228"/>
      <c r="Y349" s="228"/>
    </row>
    <row r="350" spans="1:25" ht="3" customHeight="1">
      <c r="B350" s="229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1507"/>
      <c r="R350" s="1413"/>
      <c r="S350" s="1413"/>
      <c r="T350" s="1413"/>
      <c r="U350" s="229"/>
      <c r="V350" s="229"/>
      <c r="W350" s="229"/>
      <c r="X350" s="229"/>
      <c r="Y350" s="229"/>
    </row>
    <row r="351" spans="1:25" ht="9.75" customHeight="1">
      <c r="B351" s="169"/>
      <c r="C351" s="169"/>
      <c r="I351" s="227"/>
      <c r="J351" s="227"/>
      <c r="K351" s="226"/>
      <c r="L351" s="228"/>
      <c r="M351" s="368"/>
      <c r="N351" s="228"/>
      <c r="O351" s="228"/>
      <c r="P351" s="228"/>
      <c r="Q351" s="1506"/>
      <c r="R351" s="1412"/>
      <c r="S351" s="1412"/>
      <c r="T351" s="1412"/>
      <c r="U351" s="228"/>
      <c r="V351" s="228"/>
      <c r="W351" s="228"/>
      <c r="X351" s="228"/>
      <c r="Y351" s="228"/>
    </row>
    <row r="352" spans="1:25" ht="10.5" customHeight="1">
      <c r="B352" s="313" t="s">
        <v>196</v>
      </c>
      <c r="C352" s="313" t="s">
        <v>196</v>
      </c>
      <c r="I352" s="227"/>
      <c r="J352" s="230"/>
      <c r="K352" s="231"/>
      <c r="L352" s="232"/>
      <c r="M352" s="232"/>
      <c r="N352" s="232"/>
      <c r="O352" s="232"/>
      <c r="P352" s="232"/>
      <c r="Q352" s="1509"/>
      <c r="R352" s="1415"/>
      <c r="S352" s="1415"/>
      <c r="T352" s="1415"/>
      <c r="U352" s="232"/>
      <c r="V352" s="232"/>
      <c r="W352" s="232"/>
      <c r="X352" s="232"/>
      <c r="Y352" s="232"/>
    </row>
    <row r="353" spans="1:25">
      <c r="B353" s="348"/>
      <c r="C353" s="348"/>
      <c r="D353" s="233"/>
      <c r="E353" s="233"/>
      <c r="F353" s="233"/>
      <c r="G353" s="233"/>
      <c r="H353" s="233"/>
      <c r="I353" s="174">
        <v>0</v>
      </c>
      <c r="J353" s="174">
        <v>1</v>
      </c>
      <c r="K353" s="174">
        <v>2</v>
      </c>
      <c r="L353" s="175">
        <f t="shared" ref="L353:Q355" si="170">L297</f>
        <v>3</v>
      </c>
      <c r="M353" s="175">
        <f t="shared" si="170"/>
        <v>4</v>
      </c>
      <c r="N353" s="175">
        <f t="shared" si="170"/>
        <v>5</v>
      </c>
      <c r="O353" s="175">
        <f t="shared" si="170"/>
        <v>6</v>
      </c>
      <c r="P353" s="175">
        <f t="shared" si="170"/>
        <v>7</v>
      </c>
      <c r="Q353" s="1463">
        <f t="shared" si="170"/>
        <v>8</v>
      </c>
      <c r="R353" s="1367">
        <f t="shared" ref="R353:S355" si="171">R297</f>
        <v>9</v>
      </c>
      <c r="S353" s="1367">
        <f t="shared" si="171"/>
        <v>10</v>
      </c>
      <c r="T353" s="1367"/>
      <c r="U353" s="175">
        <f t="shared" ref="U353:V355" si="172">U297</f>
        <v>9</v>
      </c>
      <c r="V353" s="175">
        <f t="shared" si="172"/>
        <v>10</v>
      </c>
      <c r="W353" s="175">
        <f t="shared" ref="W353:Y355" si="173">W297</f>
        <v>11</v>
      </c>
      <c r="X353" s="175">
        <f t="shared" si="173"/>
        <v>12</v>
      </c>
      <c r="Y353" s="175">
        <f t="shared" si="173"/>
        <v>13</v>
      </c>
    </row>
    <row r="354" spans="1:25">
      <c r="B354" s="349"/>
      <c r="C354" s="349"/>
      <c r="D354" s="234"/>
      <c r="E354" s="234"/>
      <c r="F354" s="234"/>
      <c r="G354" s="234"/>
      <c r="H354" s="234"/>
      <c r="I354" s="176"/>
      <c r="J354" s="176"/>
      <c r="K354" s="176"/>
      <c r="L354" s="176"/>
      <c r="M354" s="176"/>
      <c r="N354" s="176"/>
      <c r="O354" s="176"/>
      <c r="P354" s="176"/>
      <c r="Q354" s="1464"/>
      <c r="R354" s="1368"/>
      <c r="S354" s="1368"/>
      <c r="T354" s="1368"/>
      <c r="U354" s="176"/>
      <c r="V354" s="176"/>
      <c r="W354" s="176"/>
      <c r="X354" s="176"/>
      <c r="Y354" s="176"/>
    </row>
    <row r="355" spans="1:25">
      <c r="B355" s="359"/>
      <c r="C355" s="359"/>
      <c r="D355" s="260"/>
      <c r="E355" s="235"/>
      <c r="F355" s="235"/>
      <c r="G355" s="235"/>
      <c r="H355" s="235"/>
      <c r="I355" s="178" t="s">
        <v>499</v>
      </c>
      <c r="J355" s="178" t="s">
        <v>499</v>
      </c>
      <c r="K355" s="245" t="s">
        <v>499</v>
      </c>
      <c r="L355" s="245" t="str">
        <f t="shared" si="170"/>
        <v>($)</v>
      </c>
      <c r="M355" s="245" t="str">
        <f t="shared" si="170"/>
        <v>($)</v>
      </c>
      <c r="N355" s="245" t="str">
        <f t="shared" si="170"/>
        <v>($)</v>
      </c>
      <c r="O355" s="245" t="str">
        <f t="shared" si="170"/>
        <v>($)</v>
      </c>
      <c r="P355" s="245" t="str">
        <f t="shared" si="170"/>
        <v>($)</v>
      </c>
      <c r="Q355" s="1517" t="str">
        <f t="shared" si="170"/>
        <v>($)</v>
      </c>
      <c r="R355" s="1422" t="str">
        <f t="shared" si="171"/>
        <v>($)</v>
      </c>
      <c r="S355" s="1422" t="str">
        <f t="shared" si="171"/>
        <v>($)</v>
      </c>
      <c r="T355" s="1422"/>
      <c r="U355" s="245" t="str">
        <f t="shared" si="172"/>
        <v>($)</v>
      </c>
      <c r="V355" s="245" t="str">
        <f t="shared" si="172"/>
        <v>($)</v>
      </c>
      <c r="W355" s="245" t="str">
        <f t="shared" si="173"/>
        <v>($)</v>
      </c>
      <c r="X355" s="245" t="str">
        <f t="shared" si="173"/>
        <v>($)</v>
      </c>
      <c r="Y355" s="245" t="str">
        <f t="shared" si="173"/>
        <v>($)</v>
      </c>
    </row>
    <row r="356" spans="1:25" ht="7.5" customHeight="1">
      <c r="B356" s="242"/>
      <c r="C356" s="242"/>
      <c r="D356" s="242"/>
      <c r="E356" s="242"/>
      <c r="F356" s="242"/>
      <c r="G356" s="242"/>
      <c r="H356" s="242"/>
      <c r="I356" s="242"/>
      <c r="J356" s="237"/>
      <c r="K356" s="257"/>
      <c r="L356" s="257"/>
      <c r="M356" s="185"/>
      <c r="Q356" s="1466"/>
      <c r="R356" s="1371"/>
      <c r="S356" s="1371"/>
      <c r="T356" s="1371"/>
    </row>
    <row r="357" spans="1:25" ht="15.75" customHeight="1">
      <c r="B357" s="356" t="s">
        <v>198</v>
      </c>
      <c r="C357" s="356" t="s">
        <v>198</v>
      </c>
      <c r="D357" s="242"/>
      <c r="E357" s="242"/>
      <c r="F357" s="242"/>
      <c r="G357" s="242"/>
      <c r="H357" s="242"/>
      <c r="I357" s="242"/>
      <c r="J357" s="242"/>
      <c r="K357" s="242"/>
      <c r="L357" s="242"/>
      <c r="M357" s="185"/>
      <c r="Q357" s="1466"/>
      <c r="R357" s="1371"/>
      <c r="S357" s="1371"/>
      <c r="T357" s="1371"/>
    </row>
    <row r="358" spans="1:25" ht="15.75" customHeight="1">
      <c r="B358" s="371" t="s">
        <v>363</v>
      </c>
      <c r="C358" s="371" t="s">
        <v>363</v>
      </c>
      <c r="D358" s="242"/>
      <c r="E358" s="276"/>
      <c r="F358" s="246"/>
      <c r="G358" s="246"/>
      <c r="H358" s="246"/>
      <c r="I358" s="240"/>
      <c r="J358" s="240">
        <v>101890814.855</v>
      </c>
      <c r="K358" s="240">
        <f t="shared" ref="K358:U358" si="174">K275</f>
        <v>246210248.11790815</v>
      </c>
      <c r="L358" s="240">
        <f t="shared" ca="1" si="174"/>
        <v>103723191.4958405</v>
      </c>
      <c r="M358" s="240">
        <f t="shared" ca="1" si="174"/>
        <v>124905597.34028298</v>
      </c>
      <c r="N358" s="240">
        <f t="shared" ca="1" si="174"/>
        <v>138744479.5789201</v>
      </c>
      <c r="O358" s="240">
        <f t="shared" ca="1" si="174"/>
        <v>60291341.080947652</v>
      </c>
      <c r="P358" s="240">
        <f t="shared" ca="1" si="174"/>
        <v>180114694.53902406</v>
      </c>
      <c r="Q358" s="1515">
        <f t="shared" ca="1" si="174"/>
        <v>195392336.26212084</v>
      </c>
      <c r="R358" s="1420">
        <f ca="1">R275</f>
        <v>150220696.94380474</v>
      </c>
      <c r="S358" s="1420">
        <f ca="1">S275</f>
        <v>139426795.74575815</v>
      </c>
      <c r="T358" s="1420">
        <f ca="1">R358+S358</f>
        <v>289647492.68956292</v>
      </c>
      <c r="U358" s="240">
        <f t="shared" ca="1" si="174"/>
        <v>267709529.69374996</v>
      </c>
      <c r="V358" s="240">
        <f ca="1">V275</f>
        <v>254459996.35839149</v>
      </c>
      <c r="W358" s="240">
        <f ca="1">W275</f>
        <v>271332310.51259875</v>
      </c>
      <c r="X358" s="240">
        <f ca="1">X275</f>
        <v>271657673.23192489</v>
      </c>
      <c r="Y358" s="240">
        <f ca="1">Y275</f>
        <v>232497876.6620765</v>
      </c>
    </row>
    <row r="359" spans="1:25" ht="15.75" customHeight="1">
      <c r="B359" s="371" t="s">
        <v>199</v>
      </c>
      <c r="C359" s="371" t="s">
        <v>199</v>
      </c>
      <c r="D359" s="242"/>
      <c r="E359" s="276"/>
      <c r="F359" s="246"/>
      <c r="G359" s="246"/>
      <c r="H359" s="246"/>
      <c r="I359" s="240"/>
      <c r="J359" s="240">
        <v>7892157.5000604326</v>
      </c>
      <c r="K359" s="240">
        <v>11003107.013478568</v>
      </c>
      <c r="L359" s="240">
        <f t="shared" ref="L359:U359" ca="1" si="175">-L273</f>
        <v>11119644.903251776</v>
      </c>
      <c r="M359" s="240">
        <f t="shared" ca="1" si="175"/>
        <v>8152704.0420802329</v>
      </c>
      <c r="N359" s="240">
        <f t="shared" ca="1" si="175"/>
        <v>8866215.5420802329</v>
      </c>
      <c r="O359" s="240">
        <f t="shared" ca="1" si="175"/>
        <v>9461954.1587469</v>
      </c>
      <c r="P359" s="240">
        <f t="shared" ca="1" si="175"/>
        <v>9760535.6920802332</v>
      </c>
      <c r="Q359" s="1515">
        <f t="shared" ca="1" si="175"/>
        <v>9719546.1087468993</v>
      </c>
      <c r="R359" s="1420">
        <f ca="1">-R273</f>
        <v>4859773.0543734496</v>
      </c>
      <c r="S359" s="1420">
        <f ca="1">-S273</f>
        <v>4844039.7210401166</v>
      </c>
      <c r="T359" s="1420">
        <f t="shared" ref="T359:T389" ca="1" si="176">R359+S359</f>
        <v>9703812.7754135653</v>
      </c>
      <c r="U359" s="240">
        <f t="shared" ca="1" si="175"/>
        <v>10164574.511413567</v>
      </c>
      <c r="V359" s="240">
        <f ca="1">-V273</f>
        <v>10280653.022746898</v>
      </c>
      <c r="W359" s="240">
        <f ca="1">-W273</f>
        <v>6941146.1597469002</v>
      </c>
      <c r="X359" s="240">
        <f ca="1">-X273</f>
        <v>6236073.478403667</v>
      </c>
      <c r="Y359" s="240">
        <f ca="1">-Y273</f>
        <v>6634436.1604321674</v>
      </c>
    </row>
    <row r="360" spans="1:25" ht="15.75" customHeight="1">
      <c r="A360" s="169">
        <v>11</v>
      </c>
      <c r="B360" s="371" t="s">
        <v>200</v>
      </c>
      <c r="C360" s="371" t="s">
        <v>200</v>
      </c>
      <c r="D360" s="242"/>
      <c r="E360" s="276"/>
      <c r="F360" s="246"/>
      <c r="G360" s="246"/>
      <c r="H360" s="246"/>
      <c r="I360" s="240"/>
      <c r="J360" s="240">
        <v>-183598811.65281355</v>
      </c>
      <c r="K360" s="240">
        <v>71167561.679320037</v>
      </c>
      <c r="L360" s="240">
        <f t="shared" ref="L360:U360" si="177">-L426</f>
        <v>29756303.286570713</v>
      </c>
      <c r="M360" s="240">
        <f t="shared" si="177"/>
        <v>28956642.953936264</v>
      </c>
      <c r="N360" s="240">
        <f t="shared" si="177"/>
        <v>-28926995.48043184</v>
      </c>
      <c r="O360" s="240">
        <f t="shared" si="177"/>
        <v>18550665.958250776</v>
      </c>
      <c r="P360" s="240">
        <f t="shared" si="177"/>
        <v>19945240.693341531</v>
      </c>
      <c r="Q360" s="1515">
        <f t="shared" si="177"/>
        <v>-4583393.6652574465</v>
      </c>
      <c r="R360" s="1420">
        <f>Q360/2</f>
        <v>-2291696.8326287232</v>
      </c>
      <c r="S360" s="1420">
        <f>Q360/2</f>
        <v>-2291696.8326287232</v>
      </c>
      <c r="T360" s="1420">
        <f t="shared" si="176"/>
        <v>-4583393.6652574465</v>
      </c>
      <c r="U360" s="240">
        <f t="shared" si="177"/>
        <v>-11526932.717789717</v>
      </c>
      <c r="V360" s="240">
        <f>-V426</f>
        <v>3107853.5832347721</v>
      </c>
      <c r="W360" s="240">
        <f>-W426</f>
        <v>-3219110.4251275584</v>
      </c>
      <c r="X360" s="240">
        <f>-X426</f>
        <v>111256.84189278632</v>
      </c>
      <c r="Y360" s="240">
        <f>-Y426</f>
        <v>9936702.6231227964</v>
      </c>
    </row>
    <row r="361" spans="1:25" ht="15.75" customHeight="1">
      <c r="A361" s="169">
        <v>12</v>
      </c>
      <c r="B361" s="371" t="s">
        <v>201</v>
      </c>
      <c r="C361" s="371" t="s">
        <v>201</v>
      </c>
      <c r="D361" s="242"/>
      <c r="E361" s="242"/>
      <c r="F361" s="242"/>
      <c r="G361" s="242"/>
      <c r="H361" s="242"/>
      <c r="I361" s="240"/>
      <c r="J361" s="240">
        <v>8293677.4385301378</v>
      </c>
      <c r="K361" s="240">
        <v>7702960.5915086344</v>
      </c>
      <c r="L361" s="240">
        <f t="shared" ref="L361:U361" si="178">-L438</f>
        <v>-4738288.2825328223</v>
      </c>
      <c r="M361" s="240">
        <f t="shared" si="178"/>
        <v>-3425872.5397374881</v>
      </c>
      <c r="N361" s="240">
        <f t="shared" si="178"/>
        <v>3490936.5471770214</v>
      </c>
      <c r="O361" s="240">
        <f t="shared" si="178"/>
        <v>-3451941.7624485418</v>
      </c>
      <c r="P361" s="240">
        <f t="shared" si="178"/>
        <v>4982737.0534669813</v>
      </c>
      <c r="Q361" s="1515">
        <f t="shared" si="178"/>
        <v>432928.02062507533</v>
      </c>
      <c r="R361" s="1420">
        <f>Q361/2</f>
        <v>216464.01031253766</v>
      </c>
      <c r="S361" s="1420">
        <f>Q361/2</f>
        <v>216464.01031253766</v>
      </c>
      <c r="T361" s="1420">
        <f t="shared" si="176"/>
        <v>432928.02062507533</v>
      </c>
      <c r="U361" s="240">
        <f t="shared" si="178"/>
        <v>3758167.3044644725</v>
      </c>
      <c r="V361" s="240">
        <f>-V438</f>
        <v>-583119.11724698637</v>
      </c>
      <c r="W361" s="240">
        <f>-W438</f>
        <v>647961.57879194256</v>
      </c>
      <c r="X361" s="240">
        <f>-X438</f>
        <v>-83963.541544956213</v>
      </c>
      <c r="Y361" s="240">
        <f>-Y438</f>
        <v>-2084618.9117169429</v>
      </c>
    </row>
    <row r="362" spans="1:25" ht="15.75" customHeight="1">
      <c r="B362" s="242"/>
      <c r="C362" s="242"/>
      <c r="D362" s="242"/>
      <c r="E362" s="242"/>
      <c r="F362" s="242"/>
      <c r="G362" s="242"/>
      <c r="H362" s="242"/>
      <c r="I362" s="240"/>
      <c r="J362" s="240"/>
      <c r="K362" s="240"/>
      <c r="L362" s="240"/>
      <c r="M362" s="240"/>
      <c r="N362" s="240"/>
      <c r="O362" s="240"/>
      <c r="P362" s="240"/>
      <c r="Q362" s="1515"/>
      <c r="R362" s="1420"/>
      <c r="S362" s="1420"/>
      <c r="T362" s="1420">
        <f t="shared" si="176"/>
        <v>0</v>
      </c>
      <c r="U362" s="240"/>
      <c r="V362" s="240"/>
      <c r="W362" s="240"/>
      <c r="X362" s="240"/>
      <c r="Y362" s="240"/>
    </row>
    <row r="363" spans="1:25" ht="15.75" customHeight="1">
      <c r="B363" s="356" t="s">
        <v>202</v>
      </c>
      <c r="C363" s="356" t="s">
        <v>202</v>
      </c>
      <c r="D363" s="242"/>
      <c r="E363" s="276"/>
      <c r="F363" s="246"/>
      <c r="G363" s="246"/>
      <c r="H363" s="246"/>
      <c r="I363" s="246"/>
      <c r="J363" s="240">
        <v>-65522161.859222971</v>
      </c>
      <c r="K363" s="240">
        <f>SUM(K358:K362)</f>
        <v>336083877.40221536</v>
      </c>
      <c r="L363" s="240">
        <f t="shared" ref="L363:Y363" ca="1" si="179">SUM(L358:L362)</f>
        <v>139860851.40313017</v>
      </c>
      <c r="M363" s="240">
        <f t="shared" ca="1" si="179"/>
        <v>158589071.79656199</v>
      </c>
      <c r="N363" s="240">
        <f t="shared" ca="1" si="179"/>
        <v>122174636.1877455</v>
      </c>
      <c r="O363" s="240">
        <f t="shared" ca="1" si="179"/>
        <v>84852019.435496777</v>
      </c>
      <c r="P363" s="240">
        <f t="shared" ca="1" si="179"/>
        <v>214803207.97791278</v>
      </c>
      <c r="Q363" s="1515">
        <f t="shared" ca="1" si="179"/>
        <v>200961416.72623536</v>
      </c>
      <c r="R363" s="1420">
        <f ca="1">SUM(R358:R362)</f>
        <v>153005237.17586198</v>
      </c>
      <c r="S363" s="1420">
        <f ca="1">SUM(S358:S362)</f>
        <v>142195602.64448208</v>
      </c>
      <c r="T363" s="1420">
        <f t="shared" ca="1" si="176"/>
        <v>295200839.82034409</v>
      </c>
      <c r="U363" s="240">
        <f t="shared" ca="1" si="179"/>
        <v>270105338.79183829</v>
      </c>
      <c r="V363" s="240">
        <f t="shared" ca="1" si="179"/>
        <v>267265383.84712619</v>
      </c>
      <c r="W363" s="240">
        <f t="shared" ca="1" si="179"/>
        <v>275702307.82600999</v>
      </c>
      <c r="X363" s="240">
        <f t="shared" ca="1" si="179"/>
        <v>277921040.01067638</v>
      </c>
      <c r="Y363" s="240">
        <f t="shared" ca="1" si="179"/>
        <v>246984396.53391451</v>
      </c>
    </row>
    <row r="364" spans="1:25" ht="15.75" customHeight="1">
      <c r="A364" s="169">
        <v>13</v>
      </c>
      <c r="B364" s="371" t="s">
        <v>203</v>
      </c>
      <c r="C364" s="371" t="s">
        <v>203</v>
      </c>
      <c r="D364" s="242"/>
      <c r="E364" s="242"/>
      <c r="F364" s="242"/>
      <c r="G364" s="242"/>
      <c r="H364" s="242"/>
      <c r="I364" s="240"/>
      <c r="J364" s="240">
        <v>-5669424</v>
      </c>
      <c r="K364" s="240">
        <f t="shared" ref="K364:O365" si="180">K277</f>
        <v>-7896756.4809285384</v>
      </c>
      <c r="L364" s="240">
        <f>L277</f>
        <v>-3303721.1920259208</v>
      </c>
      <c r="M364" s="240">
        <f t="shared" si="180"/>
        <v>-2252904.7654987653</v>
      </c>
      <c r="N364" s="240">
        <f t="shared" si="180"/>
        <v>-2164334</v>
      </c>
      <c r="O364" s="240">
        <f t="shared" ca="1" si="180"/>
        <v>-1704584</v>
      </c>
      <c r="P364" s="240">
        <f t="shared" ref="P364:U365" ca="1" si="181">P277</f>
        <v>-2873602.7595510846</v>
      </c>
      <c r="Q364" s="1515">
        <f t="shared" ca="1" si="181"/>
        <v>-5412836.8560918458</v>
      </c>
      <c r="R364" s="1420">
        <f ca="1">R277</f>
        <v>-2043302.7</v>
      </c>
      <c r="S364" s="1420">
        <f ca="1">S277</f>
        <v>-2207834.3386943638</v>
      </c>
      <c r="T364" s="1420">
        <f t="shared" ca="1" si="176"/>
        <v>-4251137.038694364</v>
      </c>
      <c r="U364" s="240">
        <f t="shared" ca="1" si="181"/>
        <v>-6192982.8278413061</v>
      </c>
      <c r="V364" s="240">
        <f t="shared" ref="V364:Y365" ca="1" si="182">V277</f>
        <v>-4873725.6364868358</v>
      </c>
      <c r="W364" s="240">
        <f t="shared" ca="1" si="182"/>
        <v>-4622644.0608601552</v>
      </c>
      <c r="X364" s="240">
        <f t="shared" ca="1" si="182"/>
        <v>-4616491.8278413061</v>
      </c>
      <c r="Y364" s="240">
        <f t="shared" ca="1" si="182"/>
        <v>-4070419.1107473425</v>
      </c>
    </row>
    <row r="365" spans="1:25" ht="15.75" customHeight="1">
      <c r="A365" s="169">
        <v>14</v>
      </c>
      <c r="B365" s="371" t="s">
        <v>187</v>
      </c>
      <c r="C365" s="371" t="s">
        <v>187</v>
      </c>
      <c r="D365" s="242"/>
      <c r="E365" s="242"/>
      <c r="F365" s="242"/>
      <c r="G365" s="242"/>
      <c r="H365" s="242"/>
      <c r="I365" s="240"/>
      <c r="J365" s="240">
        <v>0</v>
      </c>
      <c r="K365" s="240">
        <f t="shared" si="180"/>
        <v>0</v>
      </c>
      <c r="L365" s="240">
        <f>L278</f>
        <v>0</v>
      </c>
      <c r="M365" s="240">
        <f t="shared" ca="1" si="180"/>
        <v>0</v>
      </c>
      <c r="N365" s="240">
        <f t="shared" ca="1" si="180"/>
        <v>0</v>
      </c>
      <c r="O365" s="240">
        <f t="shared" ca="1" si="180"/>
        <v>0</v>
      </c>
      <c r="P365" s="240">
        <f t="shared" ca="1" si="181"/>
        <v>0</v>
      </c>
      <c r="Q365" s="1515">
        <f t="shared" ca="1" si="181"/>
        <v>0</v>
      </c>
      <c r="R365" s="1420">
        <f ca="1">R278</f>
        <v>0</v>
      </c>
      <c r="S365" s="1420">
        <f ca="1">S278</f>
        <v>0</v>
      </c>
      <c r="T365" s="1420">
        <f t="shared" ca="1" si="176"/>
        <v>0</v>
      </c>
      <c r="U365" s="240">
        <f t="shared" ca="1" si="181"/>
        <v>0</v>
      </c>
      <c r="V365" s="240">
        <f t="shared" ca="1" si="182"/>
        <v>0</v>
      </c>
      <c r="W365" s="240">
        <f t="shared" ca="1" si="182"/>
        <v>0</v>
      </c>
      <c r="X365" s="240">
        <f t="shared" ca="1" si="182"/>
        <v>0</v>
      </c>
      <c r="Y365" s="240">
        <f t="shared" ca="1" si="182"/>
        <v>0</v>
      </c>
    </row>
    <row r="366" spans="1:25" ht="15.75" customHeight="1">
      <c r="A366" s="169">
        <v>15</v>
      </c>
      <c r="B366" s="371" t="s">
        <v>204</v>
      </c>
      <c r="C366" s="371" t="s">
        <v>204</v>
      </c>
      <c r="D366" s="380"/>
      <c r="E366" s="381"/>
      <c r="F366" s="258"/>
      <c r="G366" s="258"/>
      <c r="H366" s="258"/>
      <c r="I366" s="240"/>
      <c r="J366" s="240">
        <v>0</v>
      </c>
      <c r="K366" s="240">
        <f t="shared" ref="K366:U366" si="183">K283</f>
        <v>-453706.80439395923</v>
      </c>
      <c r="L366" s="240">
        <f t="shared" si="183"/>
        <v>-2567877</v>
      </c>
      <c r="M366" s="240">
        <f t="shared" si="183"/>
        <v>-7296.2962962962965</v>
      </c>
      <c r="N366" s="240">
        <f t="shared" si="183"/>
        <v>-3740.7407407407409</v>
      </c>
      <c r="O366" s="240">
        <f t="shared" si="183"/>
        <v>-856267</v>
      </c>
      <c r="P366" s="240">
        <f t="shared" si="183"/>
        <v>-951827</v>
      </c>
      <c r="Q366" s="1515">
        <f t="shared" ca="1" si="183"/>
        <v>-3409966.69322873</v>
      </c>
      <c r="R366" s="1420">
        <f>R283</f>
        <v>0</v>
      </c>
      <c r="S366" s="1420">
        <f ca="1">S283</f>
        <v>-2462960.9486310547</v>
      </c>
      <c r="T366" s="1420">
        <f t="shared" ca="1" si="176"/>
        <v>-2462960.9486310547</v>
      </c>
      <c r="U366" s="240">
        <f t="shared" ca="1" si="183"/>
        <v>-4693994.4432374826</v>
      </c>
      <c r="V366" s="240">
        <f ca="1">V283</f>
        <v>-4479856.3682385134</v>
      </c>
      <c r="W366" s="240">
        <f ca="1">W283</f>
        <v>-4787206.4207245233</v>
      </c>
      <c r="X366" s="240">
        <f ca="1">X283</f>
        <v>-4793156.8256331477</v>
      </c>
      <c r="Y366" s="240">
        <f ca="1">Y283</f>
        <v>-4100074.0843316107</v>
      </c>
    </row>
    <row r="367" spans="1:25" ht="15.75" customHeight="1">
      <c r="B367" s="186" t="s">
        <v>205</v>
      </c>
      <c r="C367" s="186" t="s">
        <v>205</v>
      </c>
      <c r="D367" s="242"/>
      <c r="E367" s="242"/>
      <c r="F367" s="242"/>
      <c r="G367" s="242"/>
      <c r="H367" s="242"/>
      <c r="I367" s="240"/>
      <c r="J367" s="240">
        <v>-71191585.859222978</v>
      </c>
      <c r="K367" s="240">
        <f t="shared" ref="K367:Q367" si="184">SUM(K364:K366,K358:K361)</f>
        <v>327733414.11689293</v>
      </c>
      <c r="L367" s="240">
        <f t="shared" ca="1" si="184"/>
        <v>133989253.21110426</v>
      </c>
      <c r="M367" s="240">
        <f ca="1">SUM(M364:M366,M358:M361)</f>
        <v>156328870.73476693</v>
      </c>
      <c r="N367" s="240">
        <f t="shared" ca="1" si="184"/>
        <v>120006561.44700475</v>
      </c>
      <c r="O367" s="240">
        <f t="shared" ca="1" si="184"/>
        <v>82291168.435496777</v>
      </c>
      <c r="P367" s="240">
        <f t="shared" ca="1" si="184"/>
        <v>210977778.21836171</v>
      </c>
      <c r="Q367" s="1515">
        <f t="shared" ca="1" si="184"/>
        <v>192138613.17691478</v>
      </c>
      <c r="R367" s="1420">
        <f t="shared" ref="R367:Y367" ca="1" si="185">SUM(R364:R366,R358:R361)</f>
        <v>150961934.475862</v>
      </c>
      <c r="S367" s="1420">
        <f t="shared" ca="1" si="185"/>
        <v>137524807.35715666</v>
      </c>
      <c r="T367" s="1420">
        <f t="shared" ca="1" si="176"/>
        <v>288486741.83301866</v>
      </c>
      <c r="U367" s="240">
        <f t="shared" ca="1" si="185"/>
        <v>259218361.52075949</v>
      </c>
      <c r="V367" s="240">
        <f t="shared" ca="1" si="185"/>
        <v>257911801.84240085</v>
      </c>
      <c r="W367" s="240">
        <f t="shared" ca="1" si="185"/>
        <v>266292457.34442535</v>
      </c>
      <c r="X367" s="240">
        <f t="shared" ca="1" si="185"/>
        <v>268511391.35720193</v>
      </c>
      <c r="Y367" s="240">
        <f t="shared" ca="1" si="185"/>
        <v>238813903.3388356</v>
      </c>
    </row>
    <row r="368" spans="1:25" ht="7.5" customHeight="1">
      <c r="B368" s="242"/>
      <c r="C368" s="242"/>
      <c r="D368" s="242"/>
      <c r="E368" s="242"/>
      <c r="F368" s="242"/>
      <c r="G368" s="242"/>
      <c r="H368" s="242"/>
      <c r="I368" s="242"/>
      <c r="J368" s="242"/>
      <c r="K368" s="242"/>
      <c r="L368" s="242"/>
      <c r="M368" s="185"/>
      <c r="Q368" s="1466"/>
      <c r="R368" s="1371"/>
      <c r="S368" s="1371"/>
      <c r="T368" s="1371">
        <f t="shared" si="176"/>
        <v>0</v>
      </c>
    </row>
    <row r="369" spans="1:25" ht="15.75" customHeight="1">
      <c r="B369" s="356" t="s">
        <v>206</v>
      </c>
      <c r="C369" s="356" t="s">
        <v>206</v>
      </c>
      <c r="D369" s="215"/>
      <c r="E369" s="215"/>
      <c r="F369" s="215"/>
      <c r="G369" s="215"/>
      <c r="H369" s="215"/>
      <c r="I369" s="240"/>
      <c r="J369" s="240"/>
      <c r="K369" s="240"/>
      <c r="L369" s="240"/>
      <c r="M369" s="185"/>
      <c r="Q369" s="1466"/>
      <c r="R369" s="1371"/>
      <c r="S369" s="1371"/>
      <c r="T369" s="1371">
        <f t="shared" si="176"/>
        <v>0</v>
      </c>
    </row>
    <row r="370" spans="1:25" ht="15.75" customHeight="1">
      <c r="A370" s="169">
        <v>16</v>
      </c>
      <c r="B370" s="371" t="s">
        <v>207</v>
      </c>
      <c r="C370" s="371" t="s">
        <v>207</v>
      </c>
      <c r="D370" s="215"/>
      <c r="E370" s="215"/>
      <c r="F370" s="215"/>
      <c r="G370" s="215"/>
      <c r="H370" s="215"/>
      <c r="I370" s="240"/>
      <c r="J370" s="240">
        <v>-7811558.8900975501</v>
      </c>
      <c r="K370" s="240">
        <f t="shared" ref="K370:U370" si="186">-K458</f>
        <v>-17362112.294059414</v>
      </c>
      <c r="L370" s="240">
        <f t="shared" si="186"/>
        <v>-7726880</v>
      </c>
      <c r="M370" s="240">
        <f t="shared" si="186"/>
        <v>-4772760</v>
      </c>
      <c r="N370" s="240">
        <f>-N458</f>
        <v>-23767700</v>
      </c>
      <c r="O370" s="240">
        <f>-O458-O371</f>
        <v>-25171178</v>
      </c>
      <c r="P370" s="240">
        <f>-P458-P371</f>
        <v>-10622750</v>
      </c>
      <c r="Q370" s="1515">
        <f t="shared" si="186"/>
        <v>-12847000</v>
      </c>
      <c r="R370" s="1420">
        <f>-R458</f>
        <v>-16563746</v>
      </c>
      <c r="S370" s="1420">
        <f>-S458</f>
        <v>0</v>
      </c>
      <c r="T370" s="1420">
        <f t="shared" si="176"/>
        <v>-16563746</v>
      </c>
      <c r="U370" s="240">
        <f t="shared" si="186"/>
        <v>-3431149.44</v>
      </c>
      <c r="V370" s="240">
        <f>-V458</f>
        <v>-2470657.6800000002</v>
      </c>
      <c r="W370" s="240">
        <f>-W458</f>
        <v>-2729357.8000000003</v>
      </c>
      <c r="X370" s="240">
        <f>-X458</f>
        <v>-3716880.6000000006</v>
      </c>
      <c r="Y370" s="240">
        <f>-Y458</f>
        <v>-11744943.705288004</v>
      </c>
    </row>
    <row r="371" spans="1:25" ht="15.75" customHeight="1">
      <c r="A371" s="169">
        <v>25</v>
      </c>
      <c r="B371" s="516" t="s">
        <v>711</v>
      </c>
      <c r="C371" s="516" t="s">
        <v>711</v>
      </c>
      <c r="D371" s="215"/>
      <c r="E371" s="215"/>
      <c r="F371" s="215"/>
      <c r="G371" s="215"/>
      <c r="H371" s="215"/>
      <c r="I371" s="240"/>
      <c r="J371" s="240">
        <v>0</v>
      </c>
      <c r="K371" s="240"/>
      <c r="L371" s="240"/>
      <c r="M371" s="240"/>
      <c r="N371" s="240"/>
      <c r="O371" s="240"/>
      <c r="P371" s="240"/>
      <c r="Q371" s="1515"/>
      <c r="R371" s="1420"/>
      <c r="S371" s="1420"/>
      <c r="T371" s="1420">
        <f t="shared" si="176"/>
        <v>0</v>
      </c>
      <c r="U371" s="240"/>
      <c r="V371" s="240"/>
      <c r="W371" s="240"/>
      <c r="X371" s="240"/>
      <c r="Y371" s="240"/>
    </row>
    <row r="372" spans="1:25" ht="15.75" customHeight="1">
      <c r="B372" s="371" t="s">
        <v>209</v>
      </c>
      <c r="C372" s="371" t="s">
        <v>209</v>
      </c>
      <c r="D372" s="242"/>
      <c r="E372" s="242"/>
      <c r="F372" s="242"/>
      <c r="G372" s="242"/>
      <c r="H372" s="242"/>
      <c r="I372" s="239"/>
      <c r="J372" s="239">
        <v>0</v>
      </c>
      <c r="K372" s="239">
        <v>0</v>
      </c>
      <c r="L372" s="239">
        <v>0</v>
      </c>
      <c r="M372" s="239">
        <v>0</v>
      </c>
      <c r="N372" s="239">
        <v>0</v>
      </c>
      <c r="O372" s="239">
        <v>0</v>
      </c>
      <c r="P372" s="239">
        <v>0</v>
      </c>
      <c r="Q372" s="1511">
        <v>0</v>
      </c>
      <c r="R372" s="1417">
        <v>0</v>
      </c>
      <c r="S372" s="1417">
        <v>0</v>
      </c>
      <c r="T372" s="1417">
        <f t="shared" si="176"/>
        <v>0</v>
      </c>
      <c r="U372" s="239">
        <v>0</v>
      </c>
      <c r="V372" s="239">
        <v>0</v>
      </c>
      <c r="W372" s="239">
        <v>0</v>
      </c>
      <c r="X372" s="239">
        <v>0</v>
      </c>
      <c r="Y372" s="239">
        <v>0</v>
      </c>
    </row>
    <row r="373" spans="1:25" ht="15.75" customHeight="1">
      <c r="B373" s="371" t="s">
        <v>210</v>
      </c>
      <c r="C373" s="371" t="s">
        <v>210</v>
      </c>
      <c r="D373" s="242"/>
      <c r="E373" s="242"/>
      <c r="F373" s="242"/>
      <c r="G373" s="242"/>
      <c r="H373" s="242"/>
      <c r="I373" s="239"/>
      <c r="J373" s="239">
        <v>0</v>
      </c>
      <c r="K373" s="239">
        <v>0</v>
      </c>
      <c r="L373" s="239">
        <v>0</v>
      </c>
      <c r="M373" s="239">
        <v>0</v>
      </c>
      <c r="N373" s="239">
        <v>0</v>
      </c>
      <c r="O373" s="239">
        <v>0</v>
      </c>
      <c r="P373" s="239">
        <v>0</v>
      </c>
      <c r="Q373" s="1511">
        <v>0</v>
      </c>
      <c r="R373" s="1417">
        <v>0</v>
      </c>
      <c r="S373" s="1417">
        <v>0</v>
      </c>
      <c r="T373" s="1417">
        <f t="shared" si="176"/>
        <v>0</v>
      </c>
      <c r="U373" s="239">
        <v>0</v>
      </c>
      <c r="V373" s="239">
        <v>0</v>
      </c>
      <c r="W373" s="239">
        <v>0</v>
      </c>
      <c r="X373" s="239">
        <v>0</v>
      </c>
      <c r="Y373" s="239">
        <v>0</v>
      </c>
    </row>
    <row r="374" spans="1:25" ht="15.75" customHeight="1">
      <c r="B374" s="186" t="s">
        <v>211</v>
      </c>
      <c r="C374" s="186" t="s">
        <v>211</v>
      </c>
      <c r="D374" s="242"/>
      <c r="E374" s="242"/>
      <c r="F374" s="242"/>
      <c r="G374" s="242"/>
      <c r="H374" s="242"/>
      <c r="I374" s="240"/>
      <c r="J374" s="240">
        <v>-7811558.8900975501</v>
      </c>
      <c r="K374" s="240">
        <f t="shared" ref="K374:U374" si="187">SUM(K370:K373)</f>
        <v>-17362112.294059414</v>
      </c>
      <c r="L374" s="240">
        <f t="shared" si="187"/>
        <v>-7726880</v>
      </c>
      <c r="M374" s="240">
        <f t="shared" si="187"/>
        <v>-4772760</v>
      </c>
      <c r="N374" s="240">
        <f t="shared" si="187"/>
        <v>-23767700</v>
      </c>
      <c r="O374" s="240">
        <f t="shared" si="187"/>
        <v>-25171178</v>
      </c>
      <c r="P374" s="240">
        <f t="shared" si="187"/>
        <v>-10622750</v>
      </c>
      <c r="Q374" s="1515">
        <f t="shared" si="187"/>
        <v>-12847000</v>
      </c>
      <c r="R374" s="1420">
        <f>SUM(R370:R373)</f>
        <v>-16563746</v>
      </c>
      <c r="S374" s="1420">
        <f>SUM(S370:S373)</f>
        <v>0</v>
      </c>
      <c r="T374" s="1420">
        <f t="shared" si="176"/>
        <v>-16563746</v>
      </c>
      <c r="U374" s="240">
        <f t="shared" si="187"/>
        <v>-3431149.44</v>
      </c>
      <c r="V374" s="240">
        <f>SUM(V370:V373)</f>
        <v>-2470657.6800000002</v>
      </c>
      <c r="W374" s="240">
        <f>SUM(W370:W373)</f>
        <v>-2729357.8000000003</v>
      </c>
      <c r="X374" s="240">
        <f>SUM(X370:X373)</f>
        <v>-3716880.6000000006</v>
      </c>
      <c r="Y374" s="240">
        <f>SUM(Y370:Y373)</f>
        <v>-11744943.705288004</v>
      </c>
    </row>
    <row r="375" spans="1:25" ht="7.5" customHeight="1">
      <c r="B375" s="242"/>
      <c r="C375" s="242"/>
      <c r="D375" s="242"/>
      <c r="E375" s="242"/>
      <c r="F375" s="242"/>
      <c r="G375" s="242"/>
      <c r="H375" s="242"/>
      <c r="I375" s="240"/>
      <c r="J375" s="240"/>
      <c r="K375" s="240"/>
      <c r="L375" s="240"/>
      <c r="M375" s="185"/>
      <c r="Q375" s="1466"/>
      <c r="R375" s="1371"/>
      <c r="S375" s="1371"/>
      <c r="T375" s="1371">
        <f t="shared" si="176"/>
        <v>0</v>
      </c>
    </row>
    <row r="376" spans="1:25" ht="15.75" customHeight="1">
      <c r="B376" s="186" t="s">
        <v>212</v>
      </c>
      <c r="C376" s="186" t="s">
        <v>212</v>
      </c>
      <c r="D376" s="242"/>
      <c r="E376" s="242"/>
      <c r="F376" s="242"/>
      <c r="G376" s="242"/>
      <c r="H376" s="242"/>
      <c r="I376" s="240"/>
      <c r="J376" s="240">
        <v>-79003144.749320522</v>
      </c>
      <c r="K376" s="240">
        <f t="shared" ref="K376:Y376" si="188">SUM(K374,K367)</f>
        <v>310371301.82283354</v>
      </c>
      <c r="L376" s="240">
        <f t="shared" ca="1" si="188"/>
        <v>126262373.21110426</v>
      </c>
      <c r="M376" s="240">
        <f t="shared" ca="1" si="188"/>
        <v>151556110.73476693</v>
      </c>
      <c r="N376" s="240">
        <f t="shared" ca="1" si="188"/>
        <v>96238861.44700475</v>
      </c>
      <c r="O376" s="240">
        <f t="shared" ca="1" si="188"/>
        <v>57119990.435496777</v>
      </c>
      <c r="P376" s="240">
        <f t="shared" ca="1" si="188"/>
        <v>200355028.21836171</v>
      </c>
      <c r="Q376" s="1515">
        <f t="shared" ca="1" si="188"/>
        <v>179291613.17691478</v>
      </c>
      <c r="R376" s="1420">
        <f ca="1">SUM(R374,R367)</f>
        <v>134398188.475862</v>
      </c>
      <c r="S376" s="1420">
        <f ca="1">SUM(S374,S367)</f>
        <v>137524807.35715666</v>
      </c>
      <c r="T376" s="1420">
        <f t="shared" ca="1" si="176"/>
        <v>271922995.83301866</v>
      </c>
      <c r="U376" s="240">
        <f t="shared" ca="1" si="188"/>
        <v>255787212.0807595</v>
      </c>
      <c r="V376" s="240">
        <f t="shared" ca="1" si="188"/>
        <v>255441144.16240084</v>
      </c>
      <c r="W376" s="240">
        <f t="shared" ca="1" si="188"/>
        <v>263563099.54442534</v>
      </c>
      <c r="X376" s="240">
        <f t="shared" ca="1" si="188"/>
        <v>264794510.75720194</v>
      </c>
      <c r="Y376" s="240">
        <f t="shared" ca="1" si="188"/>
        <v>227068959.6335476</v>
      </c>
    </row>
    <row r="377" spans="1:25" ht="14.25" customHeight="1">
      <c r="B377" s="186"/>
      <c r="C377" s="186"/>
      <c r="D377" s="248"/>
      <c r="E377" s="248"/>
      <c r="F377" s="248"/>
      <c r="G377" s="248"/>
      <c r="H377" s="248"/>
      <c r="I377" s="240"/>
      <c r="J377" s="240"/>
      <c r="K377" s="240"/>
      <c r="L377" s="240"/>
      <c r="M377" s="185"/>
      <c r="Q377" s="1466"/>
      <c r="R377" s="1371"/>
      <c r="S377" s="1371"/>
      <c r="T377" s="1371">
        <f t="shared" si="176"/>
        <v>0</v>
      </c>
    </row>
    <row r="378" spans="1:25" ht="15.75" customHeight="1">
      <c r="B378" s="110" t="s">
        <v>1359</v>
      </c>
      <c r="C378" s="110" t="s">
        <v>1359</v>
      </c>
      <c r="D378" s="242"/>
      <c r="E378" s="242"/>
      <c r="F378" s="242"/>
      <c r="G378" s="242"/>
      <c r="H378" s="242"/>
      <c r="I378" s="240"/>
      <c r="J378" s="240">
        <v>-79003144.749320522</v>
      </c>
      <c r="K378" s="240">
        <v>0</v>
      </c>
      <c r="L378" s="240">
        <f t="shared" ref="L378:U378" ca="1" si="189">IF(L376&lt;0,L376,0)</f>
        <v>0</v>
      </c>
      <c r="M378" s="240">
        <f t="shared" ca="1" si="189"/>
        <v>0</v>
      </c>
      <c r="N378" s="240">
        <f t="shared" ca="1" si="189"/>
        <v>0</v>
      </c>
      <c r="O378" s="240">
        <f t="shared" ca="1" si="189"/>
        <v>0</v>
      </c>
      <c r="P378" s="240">
        <f t="shared" ca="1" si="189"/>
        <v>0</v>
      </c>
      <c r="Q378" s="1515">
        <f t="shared" ca="1" si="189"/>
        <v>0</v>
      </c>
      <c r="R378" s="1420">
        <f ca="1">IF(R376&lt;0,R376,0)</f>
        <v>0</v>
      </c>
      <c r="S378" s="1420">
        <f ca="1">IF(S376&lt;0,S376,0)</f>
        <v>0</v>
      </c>
      <c r="T378" s="1420"/>
      <c r="U378" s="240">
        <f t="shared" ca="1" si="189"/>
        <v>0</v>
      </c>
      <c r="V378" s="240">
        <f ca="1">IF(V376&lt;0,V376,0)</f>
        <v>0</v>
      </c>
      <c r="W378" s="240">
        <f ca="1">IF(W376&lt;0,W376,0)</f>
        <v>0</v>
      </c>
      <c r="X378" s="240">
        <f ca="1">IF(X376&lt;0,X376,0)</f>
        <v>0</v>
      </c>
      <c r="Y378" s="240">
        <f ca="1">IF(Y376&lt;0,Y376,0)</f>
        <v>0</v>
      </c>
    </row>
    <row r="379" spans="1:25" ht="15.75" customHeight="1">
      <c r="B379" s="242"/>
      <c r="C379" s="242"/>
      <c r="D379" s="242"/>
      <c r="E379" s="242"/>
      <c r="F379" s="242"/>
      <c r="G379" s="242"/>
      <c r="H379" s="242"/>
      <c r="I379" s="242"/>
      <c r="J379" s="242"/>
      <c r="K379" s="242"/>
      <c r="L379" s="242"/>
      <c r="M379" s="185"/>
      <c r="Q379" s="1466"/>
      <c r="R379" s="1371"/>
      <c r="S379" s="1371"/>
      <c r="T379" s="1371">
        <f t="shared" si="176"/>
        <v>0</v>
      </c>
    </row>
    <row r="380" spans="1:25" ht="15.75" customHeight="1">
      <c r="B380" s="356" t="s">
        <v>213</v>
      </c>
      <c r="C380" s="356" t="s">
        <v>213</v>
      </c>
      <c r="D380" s="215"/>
      <c r="E380" s="249"/>
      <c r="F380" s="249"/>
      <c r="G380" s="249"/>
      <c r="H380" s="249"/>
      <c r="I380" s="240"/>
      <c r="J380" s="240"/>
      <c r="K380" s="240"/>
      <c r="L380" s="240"/>
      <c r="M380" s="185"/>
      <c r="Q380" s="1466"/>
      <c r="R380" s="1371"/>
      <c r="S380" s="1371"/>
      <c r="T380" s="1371">
        <f t="shared" si="176"/>
        <v>0</v>
      </c>
    </row>
    <row r="381" spans="1:25" ht="15.75" customHeight="1">
      <c r="A381" s="169">
        <v>17</v>
      </c>
      <c r="B381" s="353" t="s">
        <v>214</v>
      </c>
      <c r="C381" s="353" t="s">
        <v>214</v>
      </c>
      <c r="D381" s="242"/>
      <c r="E381" s="242"/>
      <c r="F381" s="242"/>
      <c r="G381" s="242"/>
      <c r="H381" s="242"/>
      <c r="I381" s="240"/>
      <c r="J381" s="240">
        <v>0</v>
      </c>
      <c r="K381" s="240">
        <v>0</v>
      </c>
      <c r="L381" s="240">
        <f>L521</f>
        <v>0</v>
      </c>
      <c r="M381" s="240">
        <f>M521</f>
        <v>0</v>
      </c>
      <c r="O381" s="256">
        <f>O521</f>
        <v>0</v>
      </c>
      <c r="P381" s="256">
        <f t="shared" ref="P381:Y381" si="190">P521</f>
        <v>6011000</v>
      </c>
      <c r="Q381" s="1502">
        <f t="shared" si="190"/>
        <v>11449000</v>
      </c>
      <c r="R381" s="1407">
        <f>R521</f>
        <v>8999000</v>
      </c>
      <c r="S381" s="1407">
        <f>S521</f>
        <v>0</v>
      </c>
      <c r="T381" s="1407">
        <f t="shared" si="176"/>
        <v>8999000</v>
      </c>
      <c r="U381" s="256">
        <f t="shared" si="190"/>
        <v>-7560000</v>
      </c>
      <c r="V381" s="256">
        <f t="shared" si="190"/>
        <v>-7450000</v>
      </c>
      <c r="W381" s="256">
        <f t="shared" si="190"/>
        <v>0</v>
      </c>
      <c r="X381" s="256">
        <f t="shared" si="190"/>
        <v>0</v>
      </c>
      <c r="Y381" s="256">
        <f t="shared" si="190"/>
        <v>0</v>
      </c>
    </row>
    <row r="382" spans="1:25" ht="15.75" customHeight="1">
      <c r="A382" s="169">
        <v>18</v>
      </c>
      <c r="B382" s="353" t="s">
        <v>215</v>
      </c>
      <c r="C382" s="353" t="s">
        <v>215</v>
      </c>
      <c r="D382" s="242"/>
      <c r="E382" s="242"/>
      <c r="F382" s="242"/>
      <c r="G382" s="242"/>
      <c r="H382" s="242"/>
      <c r="I382" s="240"/>
      <c r="J382" s="240">
        <v>0</v>
      </c>
      <c r="K382" s="240">
        <v>0</v>
      </c>
      <c r="L382" s="240">
        <f t="shared" ref="L382:U382" ca="1" si="191">L527</f>
        <v>0</v>
      </c>
      <c r="M382" s="240">
        <f t="shared" ca="1" si="191"/>
        <v>0</v>
      </c>
      <c r="N382" s="240">
        <f t="shared" ca="1" si="191"/>
        <v>0</v>
      </c>
      <c r="O382" s="240">
        <f t="shared" ca="1" si="191"/>
        <v>0</v>
      </c>
      <c r="P382" s="240">
        <f t="shared" ca="1" si="191"/>
        <v>0</v>
      </c>
      <c r="Q382" s="1515">
        <f t="shared" ca="1" si="191"/>
        <v>0</v>
      </c>
      <c r="R382" s="1420">
        <f ca="1">R527</f>
        <v>0</v>
      </c>
      <c r="S382" s="1420">
        <f ca="1">S527</f>
        <v>0</v>
      </c>
      <c r="T382" s="1420">
        <f t="shared" ca="1" si="176"/>
        <v>0</v>
      </c>
      <c r="U382" s="240">
        <f t="shared" ca="1" si="191"/>
        <v>0</v>
      </c>
      <c r="V382" s="240">
        <f ca="1">V527</f>
        <v>0</v>
      </c>
      <c r="W382" s="240">
        <f ca="1">W527</f>
        <v>0</v>
      </c>
      <c r="X382" s="240">
        <f ca="1">X527</f>
        <v>0</v>
      </c>
      <c r="Y382" s="240">
        <f ca="1">Y527</f>
        <v>0</v>
      </c>
    </row>
    <row r="383" spans="1:25" ht="15.75" customHeight="1">
      <c r="A383" s="169">
        <v>23</v>
      </c>
      <c r="B383" s="353" t="s">
        <v>216</v>
      </c>
      <c r="C383" s="353" t="s">
        <v>216</v>
      </c>
      <c r="D383" s="242"/>
      <c r="E383" s="242"/>
      <c r="F383" s="242"/>
      <c r="G383" s="242"/>
      <c r="H383" s="242"/>
      <c r="I383" s="240"/>
      <c r="J383" s="240">
        <v>0</v>
      </c>
      <c r="K383" s="240">
        <v>0</v>
      </c>
      <c r="L383" s="240">
        <f>L279</f>
        <v>-11942249.0886754</v>
      </c>
      <c r="M383" s="240">
        <f>M279</f>
        <v>-5053597</v>
      </c>
      <c r="N383" s="240">
        <v>0</v>
      </c>
      <c r="O383" s="240">
        <v>0</v>
      </c>
      <c r="P383" s="240">
        <v>0</v>
      </c>
      <c r="Q383" s="1515">
        <v>0</v>
      </c>
      <c r="R383" s="1420">
        <v>0</v>
      </c>
      <c r="S383" s="1420">
        <v>0</v>
      </c>
      <c r="T383" s="1420">
        <f t="shared" si="176"/>
        <v>0</v>
      </c>
      <c r="U383" s="240">
        <v>0</v>
      </c>
      <c r="V383" s="240">
        <v>0</v>
      </c>
      <c r="W383" s="240">
        <v>0</v>
      </c>
      <c r="X383" s="240">
        <v>0</v>
      </c>
      <c r="Y383" s="240">
        <v>0</v>
      </c>
    </row>
    <row r="384" spans="1:25" ht="15.75" customHeight="1">
      <c r="B384" s="186" t="s">
        <v>217</v>
      </c>
      <c r="C384" s="186" t="s">
        <v>217</v>
      </c>
      <c r="D384" s="242"/>
      <c r="E384" s="243"/>
      <c r="F384" s="243"/>
      <c r="G384" s="243"/>
      <c r="H384" s="243"/>
      <c r="I384" s="240"/>
      <c r="J384" s="240">
        <v>0</v>
      </c>
      <c r="K384" s="240">
        <f t="shared" ref="K384:U384" si="192">SUM(K381:K383)</f>
        <v>0</v>
      </c>
      <c r="L384" s="240">
        <f t="shared" ca="1" si="192"/>
        <v>-11942249.0886754</v>
      </c>
      <c r="M384" s="240">
        <f ca="1">SUM(M381:M383)</f>
        <v>-5053597</v>
      </c>
      <c r="N384" s="240">
        <f t="shared" ca="1" si="192"/>
        <v>0</v>
      </c>
      <c r="O384" s="240">
        <f t="shared" ca="1" si="192"/>
        <v>0</v>
      </c>
      <c r="P384" s="240">
        <f t="shared" ca="1" si="192"/>
        <v>6011000</v>
      </c>
      <c r="Q384" s="1515">
        <f t="shared" ca="1" si="192"/>
        <v>11449000</v>
      </c>
      <c r="R384" s="1420">
        <f ca="1">SUM(R381:R383)</f>
        <v>8999000</v>
      </c>
      <c r="S384" s="1420">
        <f ca="1">SUM(S381:S383)</f>
        <v>0</v>
      </c>
      <c r="T384" s="1420">
        <f t="shared" ca="1" si="176"/>
        <v>8999000</v>
      </c>
      <c r="U384" s="240">
        <f t="shared" ca="1" si="192"/>
        <v>-7560000</v>
      </c>
      <c r="V384" s="240">
        <f ca="1">SUM(V381:V383)</f>
        <v>-7450000</v>
      </c>
      <c r="W384" s="240">
        <f ca="1">SUM(W381:W383)</f>
        <v>0</v>
      </c>
      <c r="X384" s="240">
        <f ca="1">SUM(X381:X383)</f>
        <v>0</v>
      </c>
      <c r="Y384" s="240">
        <f ca="1">SUM(Y381:Y383)</f>
        <v>0</v>
      </c>
    </row>
    <row r="385" spans="2:25" ht="7.5" customHeight="1">
      <c r="B385" s="242"/>
      <c r="C385" s="242"/>
      <c r="D385" s="242"/>
      <c r="E385" s="243"/>
      <c r="F385" s="243"/>
      <c r="G385" s="243"/>
      <c r="H385" s="243"/>
      <c r="I385" s="240"/>
      <c r="J385" s="240"/>
      <c r="K385" s="240"/>
      <c r="L385" s="240"/>
      <c r="M385" s="185"/>
      <c r="Q385" s="1466"/>
      <c r="R385" s="1371"/>
      <c r="S385" s="1371"/>
      <c r="T385" s="1371">
        <f t="shared" si="176"/>
        <v>0</v>
      </c>
    </row>
    <row r="386" spans="2:25" s="330" customFormat="1" ht="15.75" customHeight="1" collapsed="1">
      <c r="B386" s="329" t="s">
        <v>219</v>
      </c>
      <c r="C386" s="329" t="s">
        <v>219</v>
      </c>
      <c r="D386" s="200"/>
      <c r="E386" s="384"/>
      <c r="F386" s="384"/>
      <c r="G386" s="384"/>
      <c r="H386" s="384"/>
      <c r="I386" s="382"/>
      <c r="J386" s="382">
        <v>-79003144.749320522</v>
      </c>
      <c r="K386" s="382">
        <f t="shared" ref="K386:Y386" si="193">K367+K374+K384</f>
        <v>310371301.82283354</v>
      </c>
      <c r="L386" s="382">
        <f t="shared" ca="1" si="193"/>
        <v>114320124.12242886</v>
      </c>
      <c r="M386" s="382">
        <f t="shared" ca="1" si="193"/>
        <v>146502513.73476693</v>
      </c>
      <c r="N386" s="382">
        <f t="shared" ca="1" si="193"/>
        <v>96238861.44700475</v>
      </c>
      <c r="O386" s="382">
        <f t="shared" ca="1" si="193"/>
        <v>57119990.435496777</v>
      </c>
      <c r="P386" s="382">
        <f t="shared" ca="1" si="193"/>
        <v>206366028.21836171</v>
      </c>
      <c r="Q386" s="1522">
        <f t="shared" ca="1" si="193"/>
        <v>190740613.17691478</v>
      </c>
      <c r="R386" s="1427">
        <f ca="1">R367+R374+R384</f>
        <v>143397188.475862</v>
      </c>
      <c r="S386" s="1427">
        <f ca="1">S367+S374+S384</f>
        <v>137524807.35715666</v>
      </c>
      <c r="T386" s="1427">
        <f t="shared" ca="1" si="176"/>
        <v>280921995.83301866</v>
      </c>
      <c r="U386" s="382">
        <f t="shared" ca="1" si="193"/>
        <v>248227212.0807595</v>
      </c>
      <c r="V386" s="382">
        <f t="shared" ca="1" si="193"/>
        <v>247991144.16240084</v>
      </c>
      <c r="W386" s="382">
        <f t="shared" ca="1" si="193"/>
        <v>263563099.54442534</v>
      </c>
      <c r="X386" s="382">
        <f t="shared" ca="1" si="193"/>
        <v>264794510.75720194</v>
      </c>
      <c r="Y386" s="382">
        <f t="shared" ca="1" si="193"/>
        <v>227068959.6335476</v>
      </c>
    </row>
    <row r="387" spans="2:25" ht="15.75" hidden="1" customHeight="1" outlineLevel="1">
      <c r="B387" s="242" t="s">
        <v>1818</v>
      </c>
      <c r="C387" s="242" t="s">
        <v>1998</v>
      </c>
      <c r="D387" s="215"/>
      <c r="E387" s="271"/>
      <c r="F387" s="243"/>
      <c r="G387" s="243"/>
      <c r="H387" s="243"/>
      <c r="I387" s="242"/>
      <c r="J387" s="240"/>
      <c r="K387" s="240"/>
      <c r="L387" s="240"/>
      <c r="M387" s="185"/>
      <c r="Q387" s="1466"/>
      <c r="R387" s="1371"/>
      <c r="S387" s="1371"/>
      <c r="T387" s="1371">
        <f t="shared" si="176"/>
        <v>0</v>
      </c>
    </row>
    <row r="388" spans="2:25" ht="15.75" hidden="1" customHeight="1" outlineLevel="1">
      <c r="B388" s="483" t="s">
        <v>1364</v>
      </c>
      <c r="C388" s="483" t="s">
        <v>1364</v>
      </c>
      <c r="D388" s="242"/>
      <c r="E388" s="242"/>
      <c r="F388" s="242"/>
      <c r="G388" s="242"/>
      <c r="H388" s="242"/>
      <c r="I388" s="240"/>
      <c r="J388" s="259">
        <v>13138</v>
      </c>
      <c r="K388" s="240">
        <v>0</v>
      </c>
      <c r="L388" s="240">
        <f>K389</f>
        <v>364318984.21910363</v>
      </c>
      <c r="M388" s="240">
        <f ca="1">L389</f>
        <v>478639108.34153247</v>
      </c>
      <c r="N388" s="240">
        <f ca="1">M389</f>
        <v>625141622.07629943</v>
      </c>
      <c r="O388" s="240">
        <f t="shared" ref="O388:Y388" ca="1" si="194">N389</f>
        <v>721380483.52330422</v>
      </c>
      <c r="P388" s="240">
        <f t="shared" ca="1" si="194"/>
        <v>778500473.95880103</v>
      </c>
      <c r="Q388" s="1515">
        <f t="shared" ca="1" si="194"/>
        <v>984866502.17716277</v>
      </c>
      <c r="R388" s="1420">
        <f ca="1">P389</f>
        <v>984866502.17716277</v>
      </c>
      <c r="S388" s="1420">
        <f ca="1">R389</f>
        <v>1128263690.6530247</v>
      </c>
      <c r="T388" s="1420">
        <f t="shared" ca="1" si="176"/>
        <v>2113130192.8301873</v>
      </c>
      <c r="U388" s="240">
        <f ca="1">Q389</f>
        <v>1175607115.3540776</v>
      </c>
      <c r="V388" s="240">
        <f t="shared" ca="1" si="194"/>
        <v>1423834327.4348371</v>
      </c>
      <c r="W388" s="240">
        <f t="shared" ca="1" si="194"/>
        <v>1671825471.5972381</v>
      </c>
      <c r="X388" s="240">
        <f t="shared" ca="1" si="194"/>
        <v>1935388571.1416633</v>
      </c>
      <c r="Y388" s="240">
        <f t="shared" ca="1" si="194"/>
        <v>2200183081.8988652</v>
      </c>
    </row>
    <row r="389" spans="2:25" ht="15.75" hidden="1" customHeight="1" outlineLevel="1">
      <c r="B389" s="529" t="s">
        <v>1365</v>
      </c>
      <c r="C389" s="529" t="s">
        <v>1365</v>
      </c>
      <c r="D389" s="260"/>
      <c r="E389" s="260"/>
      <c r="F389" s="260"/>
      <c r="G389" s="260"/>
      <c r="H389" s="260"/>
      <c r="I389" s="261"/>
      <c r="J389" s="261">
        <v>0</v>
      </c>
      <c r="K389" s="261">
        <v>364318984.21910363</v>
      </c>
      <c r="L389" s="261">
        <f ca="1">L386+L388</f>
        <v>478639108.34153247</v>
      </c>
      <c r="M389" s="261">
        <f ca="1">M386+M388</f>
        <v>625141622.07629943</v>
      </c>
      <c r="N389" s="261">
        <f ca="1">N386+N388</f>
        <v>721380483.52330422</v>
      </c>
      <c r="O389" s="261">
        <f t="shared" ref="O389:Y389" ca="1" si="195">O386+O388</f>
        <v>778500473.95880103</v>
      </c>
      <c r="P389" s="261">
        <f t="shared" ca="1" si="195"/>
        <v>984866502.17716277</v>
      </c>
      <c r="Q389" s="1523">
        <f t="shared" ca="1" si="195"/>
        <v>1175607115.3540776</v>
      </c>
      <c r="R389" s="1428">
        <f ca="1">R386+R388</f>
        <v>1128263690.6530247</v>
      </c>
      <c r="S389" s="1428">
        <f ca="1">S386+S388</f>
        <v>1265788498.0101814</v>
      </c>
      <c r="T389" s="1428">
        <f t="shared" ca="1" si="176"/>
        <v>2394052188.6632061</v>
      </c>
      <c r="U389" s="261">
        <f t="shared" ca="1" si="195"/>
        <v>1423834327.4348371</v>
      </c>
      <c r="V389" s="261">
        <f t="shared" ca="1" si="195"/>
        <v>1671825471.5972381</v>
      </c>
      <c r="W389" s="261">
        <f t="shared" ca="1" si="195"/>
        <v>1935388571.1416633</v>
      </c>
      <c r="X389" s="261">
        <f t="shared" ca="1" si="195"/>
        <v>2200183081.8988652</v>
      </c>
      <c r="Y389" s="261">
        <f t="shared" ca="1" si="195"/>
        <v>2427252041.532413</v>
      </c>
    </row>
    <row r="390" spans="2:25" ht="15.75" customHeight="1" collapsed="1">
      <c r="B390" s="227"/>
      <c r="C390" s="227"/>
      <c r="D390" s="227"/>
      <c r="E390" s="227"/>
      <c r="F390" s="227"/>
      <c r="G390" s="227"/>
      <c r="H390" s="227"/>
      <c r="I390" s="227"/>
      <c r="J390" s="227"/>
      <c r="K390" s="252"/>
      <c r="L390" s="252"/>
      <c r="M390" s="185"/>
      <c r="Q390" s="1466"/>
      <c r="R390" s="1371"/>
      <c r="S390" s="1371"/>
      <c r="T390" s="1371"/>
    </row>
    <row r="391" spans="2:25" ht="15.75" customHeight="1">
      <c r="B391" s="356"/>
      <c r="C391" s="356"/>
      <c r="D391" s="242"/>
      <c r="E391" s="243"/>
      <c r="F391" s="243"/>
      <c r="G391" s="243"/>
      <c r="H391" s="243"/>
      <c r="I391" s="242"/>
      <c r="J391" s="240"/>
      <c r="K391" s="240"/>
      <c r="L391" s="240"/>
      <c r="M391" s="640">
        <v>68409621.142610148</v>
      </c>
      <c r="P391" s="871"/>
      <c r="Q391" s="1466"/>
      <c r="R391" s="1371"/>
      <c r="S391" s="1371"/>
      <c r="T391" s="1371"/>
    </row>
    <row r="392" spans="2:25" ht="15.75" hidden="1" customHeight="1" outlineLevel="1">
      <c r="B392" s="227"/>
      <c r="C392" s="227"/>
      <c r="D392" s="227"/>
      <c r="E392" s="227"/>
      <c r="F392" s="227"/>
      <c r="G392" s="227"/>
      <c r="H392" s="227"/>
      <c r="I392" s="227"/>
      <c r="J392" s="227"/>
      <c r="K392" s="252"/>
      <c r="L392" s="252"/>
      <c r="M392" s="640">
        <f ca="1">M386-M391</f>
        <v>78092892.592156783</v>
      </c>
      <c r="Q392" s="1466"/>
      <c r="R392" s="1371"/>
      <c r="S392" s="1371"/>
      <c r="T392" s="1371"/>
    </row>
    <row r="393" spans="2:25" ht="15.75" hidden="1" customHeight="1" outlineLevel="1">
      <c r="B393" s="227"/>
      <c r="C393" s="227"/>
      <c r="D393" s="227"/>
      <c r="E393" s="227"/>
      <c r="F393" s="227"/>
      <c r="G393" s="227"/>
      <c r="H393" s="227"/>
      <c r="I393" s="227"/>
      <c r="J393" s="227"/>
      <c r="K393" s="252"/>
      <c r="L393" s="252"/>
      <c r="M393" s="428">
        <f ca="1">M386-M365</f>
        <v>146502513.73476693</v>
      </c>
      <c r="Q393" s="1466"/>
      <c r="R393" s="1371"/>
      <c r="S393" s="1371"/>
      <c r="T393" s="1371"/>
    </row>
    <row r="394" spans="2:25" ht="15.75" hidden="1" customHeight="1" outlineLevel="1">
      <c r="B394" s="227"/>
      <c r="C394" s="227"/>
      <c r="D394" s="227"/>
      <c r="E394" s="227"/>
      <c r="F394" s="227"/>
      <c r="G394" s="227"/>
      <c r="H394" s="227"/>
      <c r="I394" s="227"/>
      <c r="J394" s="227"/>
      <c r="K394" s="252"/>
      <c r="L394" s="252"/>
      <c r="M394" s="640">
        <f ca="1">M393-M391</f>
        <v>78092892.592156783</v>
      </c>
      <c r="Q394" s="1466"/>
      <c r="R394" s="1371"/>
      <c r="S394" s="1371"/>
      <c r="T394" s="1371"/>
    </row>
    <row r="395" spans="2:25" ht="15.75" hidden="1" customHeight="1" outlineLevel="1">
      <c r="B395" s="227"/>
      <c r="C395" s="227"/>
      <c r="D395" s="227"/>
      <c r="E395" s="227"/>
      <c r="F395" s="227"/>
      <c r="G395" s="227"/>
      <c r="H395" s="227"/>
      <c r="I395" s="227"/>
      <c r="J395" s="227"/>
      <c r="K395" s="252"/>
      <c r="L395" s="252"/>
      <c r="M395" s="185"/>
      <c r="Q395" s="1466"/>
      <c r="R395" s="1371"/>
      <c r="S395" s="1371"/>
      <c r="T395" s="1371"/>
    </row>
    <row r="396" spans="2:25" ht="27" hidden="1" outlineLevel="1">
      <c r="B396" s="366" t="s">
        <v>1729</v>
      </c>
      <c r="C396" s="366" t="s">
        <v>445</v>
      </c>
      <c r="I396" s="227"/>
      <c r="J396" s="227"/>
      <c r="K396" s="226"/>
      <c r="L396" s="228"/>
      <c r="M396" s="368"/>
      <c r="N396" s="228"/>
      <c r="O396" s="228"/>
      <c r="P396" s="228"/>
      <c r="Q396" s="1506"/>
      <c r="R396" s="1412"/>
      <c r="S396" s="1412"/>
      <c r="T396" s="1412"/>
      <c r="U396" s="228"/>
      <c r="V396" s="228"/>
      <c r="W396" s="228"/>
      <c r="X396" s="228"/>
      <c r="Y396" s="228"/>
    </row>
    <row r="397" spans="2:25" ht="3" hidden="1" customHeight="1" outlineLevel="1">
      <c r="B397" s="229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1507"/>
      <c r="R397" s="1413"/>
      <c r="S397" s="1413"/>
      <c r="T397" s="1413"/>
      <c r="U397" s="229"/>
      <c r="V397" s="229"/>
      <c r="W397" s="229"/>
      <c r="X397" s="229"/>
      <c r="Y397" s="229"/>
    </row>
    <row r="398" spans="2:25" ht="15.75" hidden="1" customHeight="1" outlineLevel="1">
      <c r="B398" s="169"/>
      <c r="C398" s="169"/>
      <c r="I398" s="227"/>
      <c r="J398" s="227"/>
      <c r="K398" s="226"/>
      <c r="L398" s="228"/>
      <c r="M398" s="368"/>
      <c r="N398" s="228"/>
      <c r="O398" s="228"/>
      <c r="P398" s="228"/>
      <c r="Q398" s="1506"/>
      <c r="R398" s="1412"/>
      <c r="S398" s="1412"/>
      <c r="T398" s="1412"/>
      <c r="U398" s="228"/>
      <c r="V398" s="228"/>
      <c r="W398" s="228"/>
      <c r="X398" s="228"/>
      <c r="Y398" s="228"/>
    </row>
    <row r="399" spans="2:25" ht="15.75" hidden="1" customHeight="1" outlineLevel="1">
      <c r="B399" s="313" t="s">
        <v>1367</v>
      </c>
      <c r="C399" s="313" t="s">
        <v>417</v>
      </c>
      <c r="I399" s="227"/>
      <c r="J399" s="230"/>
      <c r="K399" s="231"/>
      <c r="L399" s="232"/>
      <c r="M399" s="232"/>
      <c r="N399" s="232"/>
      <c r="O399" s="232"/>
      <c r="P399" s="232"/>
      <c r="Q399" s="1509"/>
      <c r="R399" s="1415"/>
      <c r="S399" s="1415"/>
      <c r="T399" s="1415"/>
      <c r="U399" s="232"/>
      <c r="V399" s="232"/>
      <c r="W399" s="232"/>
      <c r="X399" s="232"/>
      <c r="Y399" s="232"/>
    </row>
    <row r="400" spans="2:25" ht="15.75" hidden="1" customHeight="1" outlineLevel="1">
      <c r="B400" s="348"/>
      <c r="C400" s="348"/>
      <c r="D400" s="233"/>
      <c r="E400" s="233"/>
      <c r="F400" s="233"/>
      <c r="G400" s="233"/>
      <c r="H400" s="233"/>
      <c r="I400" s="174">
        <v>0</v>
      </c>
      <c r="J400" s="174">
        <v>1</v>
      </c>
      <c r="K400" s="174">
        <v>2</v>
      </c>
      <c r="L400" s="174">
        <f t="shared" ref="L400:Q402" si="196">L353</f>
        <v>3</v>
      </c>
      <c r="M400" s="174">
        <f t="shared" si="196"/>
        <v>4</v>
      </c>
      <c r="N400" s="174">
        <f t="shared" si="196"/>
        <v>5</v>
      </c>
      <c r="O400" s="174">
        <f t="shared" si="196"/>
        <v>6</v>
      </c>
      <c r="P400" s="174">
        <f t="shared" si="196"/>
        <v>7</v>
      </c>
      <c r="Q400" s="1473">
        <f t="shared" si="196"/>
        <v>8</v>
      </c>
      <c r="R400" s="1378">
        <f t="shared" ref="R400:S402" si="197">R353</f>
        <v>9</v>
      </c>
      <c r="S400" s="1378">
        <f t="shared" si="197"/>
        <v>10</v>
      </c>
      <c r="T400" s="1378"/>
      <c r="U400" s="174">
        <f t="shared" ref="U400:V402" si="198">U353</f>
        <v>9</v>
      </c>
      <c r="V400" s="174">
        <f t="shared" si="198"/>
        <v>10</v>
      </c>
      <c r="W400" s="174">
        <f t="shared" ref="W400:Y402" si="199">W353</f>
        <v>11</v>
      </c>
      <c r="X400" s="174">
        <f t="shared" si="199"/>
        <v>12</v>
      </c>
      <c r="Y400" s="174">
        <f t="shared" si="199"/>
        <v>13</v>
      </c>
    </row>
    <row r="401" spans="2:25" ht="15.75" hidden="1" customHeight="1" outlineLevel="1">
      <c r="B401" s="349"/>
      <c r="C401" s="349"/>
      <c r="D401" s="234"/>
      <c r="E401" s="234"/>
      <c r="F401" s="234"/>
      <c r="G401" s="234"/>
      <c r="H401" s="234"/>
      <c r="I401" s="176"/>
      <c r="J401" s="176"/>
      <c r="K401" s="176"/>
      <c r="L401" s="176"/>
      <c r="M401" s="176"/>
      <c r="N401" s="176"/>
      <c r="O401" s="176"/>
      <c r="P401" s="176"/>
      <c r="Q401" s="1464"/>
      <c r="R401" s="1368"/>
      <c r="S401" s="1368"/>
      <c r="T401" s="1368"/>
      <c r="U401" s="176"/>
      <c r="V401" s="176"/>
      <c r="W401" s="176"/>
      <c r="X401" s="176"/>
      <c r="Y401" s="176"/>
    </row>
    <row r="402" spans="2:25" ht="15.75" hidden="1" customHeight="1" outlineLevel="1">
      <c r="B402" s="359"/>
      <c r="C402" s="359"/>
      <c r="D402" s="260"/>
      <c r="E402" s="235"/>
      <c r="F402" s="235"/>
      <c r="G402" s="235"/>
      <c r="H402" s="235"/>
      <c r="I402" s="178" t="s">
        <v>499</v>
      </c>
      <c r="J402" s="178" t="s">
        <v>499</v>
      </c>
      <c r="K402" s="245" t="s">
        <v>499</v>
      </c>
      <c r="L402" s="245" t="str">
        <f t="shared" si="196"/>
        <v>($)</v>
      </c>
      <c r="M402" s="245" t="str">
        <f t="shared" si="196"/>
        <v>($)</v>
      </c>
      <c r="N402" s="245" t="str">
        <f t="shared" si="196"/>
        <v>($)</v>
      </c>
      <c r="O402" s="245" t="str">
        <f t="shared" si="196"/>
        <v>($)</v>
      </c>
      <c r="P402" s="245" t="str">
        <f t="shared" si="196"/>
        <v>($)</v>
      </c>
      <c r="Q402" s="1517" t="str">
        <f t="shared" si="196"/>
        <v>($)</v>
      </c>
      <c r="R402" s="1422" t="str">
        <f t="shared" si="197"/>
        <v>($)</v>
      </c>
      <c r="S402" s="1422" t="str">
        <f t="shared" si="197"/>
        <v>($)</v>
      </c>
      <c r="T402" s="1422"/>
      <c r="U402" s="245" t="str">
        <f t="shared" si="198"/>
        <v>($)</v>
      </c>
      <c r="V402" s="245" t="str">
        <f t="shared" si="198"/>
        <v>($)</v>
      </c>
      <c r="W402" s="245" t="str">
        <f t="shared" si="199"/>
        <v>($)</v>
      </c>
      <c r="X402" s="245" t="str">
        <f t="shared" si="199"/>
        <v>($)</v>
      </c>
      <c r="Y402" s="245" t="str">
        <f t="shared" si="199"/>
        <v>($)</v>
      </c>
    </row>
    <row r="403" spans="2:25" ht="15.75" hidden="1" customHeight="1" outlineLevel="1">
      <c r="B403" s="242"/>
      <c r="C403" s="242"/>
      <c r="D403" s="242"/>
      <c r="E403" s="242"/>
      <c r="F403" s="242"/>
      <c r="G403" s="242"/>
      <c r="H403" s="242"/>
      <c r="I403" s="237"/>
      <c r="J403" s="257"/>
      <c r="K403" s="257"/>
      <c r="L403" s="257"/>
      <c r="M403" s="257"/>
      <c r="N403" s="257"/>
      <c r="O403" s="257"/>
      <c r="P403" s="257"/>
      <c r="Q403" s="1524"/>
      <c r="R403" s="1429"/>
      <c r="S403" s="1429"/>
      <c r="T403" s="1429"/>
      <c r="U403" s="257"/>
      <c r="V403" s="257"/>
      <c r="W403" s="257"/>
      <c r="X403" s="257"/>
      <c r="Y403" s="257"/>
    </row>
    <row r="404" spans="2:25" ht="15.75" hidden="1" customHeight="1" outlineLevel="1">
      <c r="B404" s="110" t="s">
        <v>1368</v>
      </c>
      <c r="C404" s="110" t="s">
        <v>1368</v>
      </c>
      <c r="D404" s="215"/>
      <c r="E404" s="271"/>
      <c r="F404" s="243"/>
      <c r="G404" s="243"/>
      <c r="H404" s="243"/>
      <c r="I404" s="246"/>
      <c r="J404" s="246">
        <v>291012055</v>
      </c>
      <c r="K404" s="246">
        <v>529020241.75999999</v>
      </c>
      <c r="L404" s="246">
        <f t="shared" ref="L404:U404" si="200">L262</f>
        <v>367766659.27704996</v>
      </c>
      <c r="M404" s="246">
        <f t="shared" si="200"/>
        <v>249101501.5850482</v>
      </c>
      <c r="N404" s="246">
        <f t="shared" si="200"/>
        <v>367799246.81279999</v>
      </c>
      <c r="O404" s="246">
        <f t="shared" si="200"/>
        <v>268187031.42339796</v>
      </c>
      <c r="P404" s="246">
        <f t="shared" si="200"/>
        <v>432821831.28749996</v>
      </c>
      <c r="Q404" s="1518">
        <f t="shared" si="200"/>
        <v>453974076.47812313</v>
      </c>
      <c r="R404" s="1423">
        <f>R262</f>
        <v>281478608.79820746</v>
      </c>
      <c r="S404" s="1423">
        <f>S262</f>
        <v>233181575.21592385</v>
      </c>
      <c r="T404" s="1518">
        <f>T262</f>
        <v>514660184.01413131</v>
      </c>
      <c r="U404" s="246">
        <f t="shared" si="200"/>
        <v>540832832.55394161</v>
      </c>
      <c r="V404" s="246">
        <f>V262</f>
        <v>520563520.34420431</v>
      </c>
      <c r="W404" s="246">
        <f>W262</f>
        <v>541556211.43275237</v>
      </c>
      <c r="X404" s="246">
        <f>X262</f>
        <v>540832832.55394161</v>
      </c>
      <c r="Y404" s="246">
        <f>Y262</f>
        <v>476006119.81156456</v>
      </c>
    </row>
    <row r="405" spans="2:25" ht="15.75" hidden="1" customHeight="1" outlineLevel="1">
      <c r="B405" s="110" t="s">
        <v>1369</v>
      </c>
      <c r="C405" s="110" t="s">
        <v>1369</v>
      </c>
      <c r="D405" s="215"/>
      <c r="E405" s="215"/>
      <c r="F405" s="215"/>
      <c r="G405" s="215"/>
      <c r="H405" s="215"/>
      <c r="I405" s="246"/>
      <c r="J405" s="246">
        <v>171000960</v>
      </c>
      <c r="K405" s="246">
        <v>214836052</v>
      </c>
      <c r="L405" s="246">
        <f t="shared" ref="L405:U405" si="201">-L264</f>
        <v>207451673.79587835</v>
      </c>
      <c r="M405" s="246">
        <f t="shared" si="201"/>
        <v>102260038.40876481</v>
      </c>
      <c r="N405" s="246">
        <f t="shared" si="201"/>
        <v>178529590.05507907</v>
      </c>
      <c r="O405" s="246">
        <f t="shared" si="201"/>
        <v>157227756.18116224</v>
      </c>
      <c r="P405" s="246">
        <f t="shared" si="201"/>
        <v>204620182.47898942</v>
      </c>
      <c r="Q405" s="1518">
        <f t="shared" si="201"/>
        <v>202019332.88169026</v>
      </c>
      <c r="R405" s="1423">
        <f>-R264</f>
        <v>113158618.92587684</v>
      </c>
      <c r="S405" s="1423">
        <f>-S264</f>
        <v>67870018.528725043</v>
      </c>
      <c r="T405" s="1518">
        <f>-T264</f>
        <v>181028637.45460188</v>
      </c>
      <c r="U405" s="246">
        <f t="shared" si="201"/>
        <v>216056293.35757336</v>
      </c>
      <c r="V405" s="246">
        <f>-V264</f>
        <v>207995625.52826527</v>
      </c>
      <c r="W405" s="246">
        <f>-W264</f>
        <v>216378024.87859011</v>
      </c>
      <c r="X405" s="246">
        <f>-X264</f>
        <v>216056293.35757336</v>
      </c>
      <c r="Y405" s="246">
        <f>-Y264</f>
        <v>190294513.33854249</v>
      </c>
    </row>
    <row r="406" spans="2:25" ht="15.75" hidden="1" customHeight="1" outlineLevel="1">
      <c r="B406" s="387"/>
      <c r="C406" s="387"/>
      <c r="D406" s="215"/>
      <c r="E406" s="215"/>
      <c r="F406" s="215"/>
      <c r="G406" s="215"/>
      <c r="H406" s="215"/>
      <c r="I406" s="215"/>
      <c r="J406" s="215"/>
      <c r="K406" s="215"/>
      <c r="L406" s="215"/>
      <c r="M406" s="215"/>
      <c r="Q406" s="1466"/>
      <c r="R406" s="1371"/>
      <c r="S406" s="1371"/>
      <c r="T406" s="1466"/>
    </row>
    <row r="407" spans="2:25" ht="15.75" hidden="1" customHeight="1" outlineLevel="1">
      <c r="B407" s="163" t="s">
        <v>1379</v>
      </c>
      <c r="C407" s="163" t="s">
        <v>1379</v>
      </c>
      <c r="D407" s="262"/>
      <c r="E407" s="262"/>
      <c r="F407" s="262"/>
      <c r="G407" s="262"/>
      <c r="H407" s="262"/>
      <c r="I407" s="262"/>
      <c r="J407" s="263"/>
      <c r="K407" s="263"/>
      <c r="L407" s="263"/>
      <c r="M407" s="215"/>
      <c r="Q407" s="1466"/>
      <c r="R407" s="1371"/>
      <c r="S407" s="1371"/>
      <c r="T407" s="1466"/>
    </row>
    <row r="408" spans="2:25" ht="15.75" hidden="1" customHeight="1" outlineLevel="1">
      <c r="B408" s="482" t="s">
        <v>1371</v>
      </c>
      <c r="C408" s="482" t="s">
        <v>1371</v>
      </c>
      <c r="D408" s="262"/>
      <c r="E408" s="388"/>
      <c r="F408" s="264"/>
      <c r="G408" s="264"/>
      <c r="H408" s="264"/>
      <c r="I408" s="265"/>
      <c r="J408" s="265">
        <v>0.17</v>
      </c>
      <c r="K408" s="265">
        <v>0.17</v>
      </c>
      <c r="L408" s="265">
        <v>0.17</v>
      </c>
      <c r="M408" s="265">
        <v>0.17</v>
      </c>
      <c r="N408" s="265">
        <v>0.17</v>
      </c>
      <c r="O408" s="265">
        <v>0.17</v>
      </c>
      <c r="P408" s="265">
        <v>0.12</v>
      </c>
      <c r="Q408" s="1525">
        <f t="shared" ref="Q408:Y408" si="202">P408</f>
        <v>0.12</v>
      </c>
      <c r="R408" s="1430">
        <f>Q408</f>
        <v>0.12</v>
      </c>
      <c r="S408" s="1430">
        <f>R408</f>
        <v>0.12</v>
      </c>
      <c r="T408" s="1525">
        <f t="shared" si="202"/>
        <v>0.12</v>
      </c>
      <c r="U408" s="265">
        <f>Q408</f>
        <v>0.12</v>
      </c>
      <c r="V408" s="265">
        <f t="shared" si="202"/>
        <v>0.12</v>
      </c>
      <c r="W408" s="265">
        <f t="shared" si="202"/>
        <v>0.12</v>
      </c>
      <c r="X408" s="265">
        <f t="shared" si="202"/>
        <v>0.12</v>
      </c>
      <c r="Y408" s="265">
        <f t="shared" si="202"/>
        <v>0.12</v>
      </c>
    </row>
    <row r="409" spans="2:25" ht="15.75" hidden="1" customHeight="1" outlineLevel="1">
      <c r="B409" s="353" t="s">
        <v>1730</v>
      </c>
      <c r="C409" s="353" t="s">
        <v>1730</v>
      </c>
      <c r="D409" s="262"/>
      <c r="E409" s="388"/>
      <c r="F409" s="264"/>
      <c r="G409" s="264"/>
      <c r="H409" s="264"/>
      <c r="I409" s="265"/>
      <c r="J409" s="265"/>
      <c r="K409" s="266">
        <v>1</v>
      </c>
      <c r="L409" s="266">
        <v>1</v>
      </c>
      <c r="M409" s="266">
        <v>1</v>
      </c>
      <c r="N409" s="266">
        <v>1</v>
      </c>
      <c r="O409" s="266">
        <v>1</v>
      </c>
      <c r="P409" s="266">
        <v>1</v>
      </c>
      <c r="Q409" s="1526">
        <v>1</v>
      </c>
      <c r="R409" s="1431">
        <v>1</v>
      </c>
      <c r="S409" s="1431">
        <v>1</v>
      </c>
      <c r="T409" s="1526">
        <v>1</v>
      </c>
      <c r="U409" s="266">
        <v>1</v>
      </c>
      <c r="V409" s="266">
        <v>1</v>
      </c>
      <c r="W409" s="266">
        <v>1</v>
      </c>
      <c r="X409" s="266">
        <v>1</v>
      </c>
      <c r="Y409" s="266">
        <v>1</v>
      </c>
    </row>
    <row r="410" spans="2:25" ht="15.75" hidden="1" customHeight="1" outlineLevel="1">
      <c r="B410" s="482" t="s">
        <v>1372</v>
      </c>
      <c r="C410" s="482" t="s">
        <v>1372</v>
      </c>
      <c r="D410" s="215"/>
      <c r="E410" s="271"/>
      <c r="F410" s="243"/>
      <c r="G410" s="243"/>
      <c r="H410" s="243"/>
      <c r="I410" s="243"/>
      <c r="J410" s="243">
        <v>5.0000000000000001E-3</v>
      </c>
      <c r="K410" s="243">
        <v>5.0000000000000001E-3</v>
      </c>
      <c r="L410" s="243">
        <f t="shared" ref="L410:W410" si="203">K410</f>
        <v>5.0000000000000001E-3</v>
      </c>
      <c r="M410" s="243">
        <f t="shared" si="203"/>
        <v>5.0000000000000001E-3</v>
      </c>
      <c r="N410" s="243">
        <f t="shared" si="203"/>
        <v>5.0000000000000001E-3</v>
      </c>
      <c r="O410" s="243">
        <f t="shared" si="203"/>
        <v>5.0000000000000001E-3</v>
      </c>
      <c r="P410" s="243">
        <v>3.8999999999999998E-3</v>
      </c>
      <c r="Q410" s="1527">
        <f t="shared" si="203"/>
        <v>3.8999999999999998E-3</v>
      </c>
      <c r="R410" s="1432">
        <f>Q410</f>
        <v>3.8999999999999998E-3</v>
      </c>
      <c r="S410" s="1432">
        <f>R410</f>
        <v>3.8999999999999998E-3</v>
      </c>
      <c r="T410" s="1527">
        <f t="shared" si="203"/>
        <v>3.8999999999999998E-3</v>
      </c>
      <c r="U410" s="243">
        <f>Q410</f>
        <v>3.8999999999999998E-3</v>
      </c>
      <c r="V410" s="243">
        <f t="shared" si="203"/>
        <v>3.8999999999999998E-3</v>
      </c>
      <c r="W410" s="243">
        <f t="shared" si="203"/>
        <v>3.8999999999999998E-3</v>
      </c>
      <c r="X410" s="243">
        <f>W410</f>
        <v>3.8999999999999998E-3</v>
      </c>
      <c r="Y410" s="243">
        <f>X410</f>
        <v>3.8999999999999998E-3</v>
      </c>
    </row>
    <row r="411" spans="2:25" ht="15.75" hidden="1" customHeight="1" outlineLevel="1">
      <c r="B411" s="353" t="s">
        <v>1731</v>
      </c>
      <c r="C411" s="353" t="s">
        <v>1731</v>
      </c>
      <c r="D411" s="215"/>
      <c r="E411" s="271"/>
      <c r="F411" s="243"/>
      <c r="G411" s="243"/>
      <c r="H411" s="243"/>
      <c r="I411" s="243"/>
      <c r="J411" s="243"/>
      <c r="K411" s="265">
        <v>0.33300000000000002</v>
      </c>
      <c r="L411" s="265">
        <v>0.33300000000000002</v>
      </c>
      <c r="M411" s="265">
        <v>0.33300000000000002</v>
      </c>
      <c r="N411" s="265">
        <v>0.33300000000000002</v>
      </c>
      <c r="O411" s="265">
        <v>0.33300000000000002</v>
      </c>
      <c r="P411" s="265">
        <v>0.33300000000000002</v>
      </c>
      <c r="Q411" s="1525">
        <v>0.33300000000000002</v>
      </c>
      <c r="R411" s="1430">
        <v>0.33300000000000002</v>
      </c>
      <c r="S411" s="1430">
        <v>0.33300000000000002</v>
      </c>
      <c r="T411" s="1525">
        <v>0.33300000000000002</v>
      </c>
      <c r="U411" s="265">
        <v>0.33300000000000002</v>
      </c>
      <c r="V411" s="265">
        <v>0.33300000000000002</v>
      </c>
      <c r="W411" s="265">
        <v>0.33300000000000002</v>
      </c>
      <c r="X411" s="265">
        <v>0.33300000000000002</v>
      </c>
      <c r="Y411" s="265">
        <v>0.33300000000000002</v>
      </c>
    </row>
    <row r="412" spans="2:25" ht="15.75" hidden="1" customHeight="1" outlineLevel="1">
      <c r="B412" s="353" t="s">
        <v>1732</v>
      </c>
      <c r="C412" s="353" t="s">
        <v>22</v>
      </c>
      <c r="D412" s="242"/>
      <c r="E412" s="242"/>
      <c r="F412" s="242"/>
      <c r="G412" s="242"/>
      <c r="H412" s="242"/>
      <c r="I412" s="243"/>
      <c r="J412" s="243">
        <v>1</v>
      </c>
      <c r="K412" s="243">
        <v>1</v>
      </c>
      <c r="L412" s="243">
        <v>1</v>
      </c>
      <c r="M412" s="243">
        <v>1</v>
      </c>
      <c r="N412" s="243">
        <v>1</v>
      </c>
      <c r="O412" s="243">
        <v>1</v>
      </c>
      <c r="P412" s="243">
        <v>0.8</v>
      </c>
      <c r="Q412" s="1527">
        <v>1</v>
      </c>
      <c r="R412" s="1432">
        <v>1</v>
      </c>
      <c r="S412" s="1432">
        <v>1</v>
      </c>
      <c r="T412" s="1527">
        <v>1</v>
      </c>
      <c r="U412" s="243">
        <v>1</v>
      </c>
      <c r="V412" s="243">
        <v>1</v>
      </c>
      <c r="W412" s="243">
        <v>1</v>
      </c>
      <c r="X412" s="243">
        <v>1</v>
      </c>
      <c r="Y412" s="243">
        <v>1</v>
      </c>
    </row>
    <row r="413" spans="2:25" ht="15.75" hidden="1" customHeight="1" outlineLevel="1">
      <c r="B413" s="482" t="s">
        <v>24</v>
      </c>
      <c r="C413" s="482" t="s">
        <v>1733</v>
      </c>
      <c r="D413" s="242"/>
      <c r="E413" s="242"/>
      <c r="F413" s="242"/>
      <c r="G413" s="242"/>
      <c r="H413" s="242"/>
      <c r="I413" s="267"/>
      <c r="J413" s="267">
        <v>0</v>
      </c>
      <c r="K413" s="267">
        <v>5.0000000000000001E-3</v>
      </c>
      <c r="L413" s="267">
        <v>5.0000000000000001E-3</v>
      </c>
      <c r="M413" s="267">
        <v>5.0000000000000001E-3</v>
      </c>
      <c r="N413" s="267">
        <v>5.0000000000000001E-3</v>
      </c>
      <c r="O413" s="267">
        <v>5.0000000000000001E-3</v>
      </c>
      <c r="P413" s="267">
        <v>7.4000000000000003E-3</v>
      </c>
      <c r="Q413" s="1527">
        <f t="shared" ref="Q413:Y413" si="204">P413</f>
        <v>7.4000000000000003E-3</v>
      </c>
      <c r="R413" s="1432">
        <f>Q413</f>
        <v>7.4000000000000003E-3</v>
      </c>
      <c r="S413" s="1432">
        <f>R413</f>
        <v>7.4000000000000003E-3</v>
      </c>
      <c r="T413" s="1527">
        <f t="shared" si="204"/>
        <v>7.4000000000000003E-3</v>
      </c>
      <c r="U413" s="243">
        <f>Q413</f>
        <v>7.4000000000000003E-3</v>
      </c>
      <c r="V413" s="243">
        <f t="shared" si="204"/>
        <v>7.4000000000000003E-3</v>
      </c>
      <c r="W413" s="243">
        <f t="shared" si="204"/>
        <v>7.4000000000000003E-3</v>
      </c>
      <c r="X413" s="243">
        <f t="shared" si="204"/>
        <v>7.4000000000000003E-3</v>
      </c>
      <c r="Y413" s="243">
        <f t="shared" si="204"/>
        <v>7.4000000000000003E-3</v>
      </c>
    </row>
    <row r="414" spans="2:25" ht="15.75" hidden="1" customHeight="1" outlineLevel="1">
      <c r="B414" s="331"/>
      <c r="C414" s="331"/>
      <c r="D414" s="244"/>
      <c r="E414" s="244"/>
      <c r="F414" s="244"/>
      <c r="G414" s="244"/>
      <c r="H414" s="244"/>
      <c r="I414" s="242"/>
      <c r="J414" s="268"/>
      <c r="K414" s="268"/>
      <c r="L414" s="268"/>
      <c r="M414" s="215"/>
      <c r="Q414" s="1466"/>
      <c r="R414" s="1371"/>
      <c r="S414" s="1371"/>
      <c r="T414" s="1466"/>
    </row>
    <row r="415" spans="2:25" ht="15.75" hidden="1" customHeight="1" outlineLevel="1">
      <c r="B415" s="163" t="s">
        <v>1379</v>
      </c>
      <c r="C415" s="163" t="s">
        <v>1379</v>
      </c>
      <c r="D415" s="215"/>
      <c r="E415" s="271"/>
      <c r="F415" s="243"/>
      <c r="G415" s="243"/>
      <c r="H415" s="243"/>
      <c r="I415" s="242"/>
      <c r="J415" s="269"/>
      <c r="K415" s="269"/>
      <c r="L415" s="269"/>
      <c r="M415" s="185"/>
      <c r="Q415" s="1466"/>
      <c r="R415" s="1371"/>
      <c r="S415" s="1371"/>
      <c r="T415" s="1466"/>
    </row>
    <row r="416" spans="2:25" ht="15.75" hidden="1" customHeight="1" outlineLevel="1">
      <c r="B416" s="478" t="s">
        <v>1380</v>
      </c>
      <c r="C416" s="478" t="s">
        <v>1380</v>
      </c>
      <c r="D416" s="242"/>
      <c r="E416" s="243"/>
      <c r="F416" s="243"/>
      <c r="G416" s="243"/>
      <c r="H416" s="243"/>
      <c r="I416" s="269"/>
      <c r="J416" s="269">
        <v>12597851.652813563</v>
      </c>
      <c r="K416" s="269">
        <v>89933441.09920001</v>
      </c>
      <c r="L416" s="269">
        <f t="shared" ref="L416:Q416" si="205">L11*L408</f>
        <v>62520332.077098496</v>
      </c>
      <c r="M416" s="269">
        <f t="shared" si="205"/>
        <v>42347255.269458197</v>
      </c>
      <c r="N416" s="269">
        <f t="shared" si="205"/>
        <v>62525871.958176002</v>
      </c>
      <c r="O416" s="269">
        <f t="shared" si="205"/>
        <v>45591795.341977656</v>
      </c>
      <c r="P416" s="269">
        <f t="shared" si="205"/>
        <v>51938619.754499994</v>
      </c>
      <c r="Q416" s="1528">
        <f t="shared" si="205"/>
        <v>54476889.177374773</v>
      </c>
      <c r="R416" s="1433">
        <f>Q416</f>
        <v>54476889.177374773</v>
      </c>
      <c r="S416" s="1433">
        <f>R416</f>
        <v>54476889.177374773</v>
      </c>
      <c r="T416" s="1528">
        <f t="shared" ref="T416:Y416" si="206">T11*T408</f>
        <v>61759222.081695758</v>
      </c>
      <c r="U416" s="269">
        <f t="shared" si="206"/>
        <v>64899939.906472988</v>
      </c>
      <c r="V416" s="269">
        <f t="shared" si="206"/>
        <v>62467622.441304512</v>
      </c>
      <c r="W416" s="269">
        <f t="shared" si="206"/>
        <v>64986745.371930279</v>
      </c>
      <c r="X416" s="269">
        <f t="shared" si="206"/>
        <v>64899939.906472988</v>
      </c>
      <c r="Y416" s="269">
        <f t="shared" si="206"/>
        <v>57120734.377387747</v>
      </c>
    </row>
    <row r="417" spans="2:25" ht="15.75" hidden="1" customHeight="1" outlineLevel="1">
      <c r="B417" s="478" t="s">
        <v>1730</v>
      </c>
      <c r="C417" s="478" t="s">
        <v>1730</v>
      </c>
      <c r="D417" s="242"/>
      <c r="E417" s="243"/>
      <c r="F417" s="243"/>
      <c r="G417" s="243"/>
      <c r="H417" s="243"/>
      <c r="I417" s="269"/>
      <c r="J417" s="269"/>
      <c r="K417" s="269">
        <v>4312043.0418480001</v>
      </c>
      <c r="L417" s="269">
        <f>(L165+L170)/12*L409*1.2</f>
        <v>6140073.9781552469</v>
      </c>
      <c r="M417" s="269">
        <f>(M165+M170*2)/12*M409*1.2</f>
        <v>3903317.6235927567</v>
      </c>
      <c r="N417" s="269">
        <f t="shared" ref="N417:Y417" si="207">(N165+N170)/12*N409*1.2</f>
        <v>5519904.2430058001</v>
      </c>
      <c r="O417" s="269">
        <f t="shared" si="207"/>
        <v>6251887.0287999995</v>
      </c>
      <c r="P417" s="269">
        <f t="shared" si="207"/>
        <v>3699700.2074014815</v>
      </c>
      <c r="Q417" s="1528">
        <f t="shared" si="207"/>
        <v>2694060.8711458663</v>
      </c>
      <c r="R417" s="1433">
        <f t="shared" ref="R417:S422" si="208">Q417</f>
        <v>2694060.8711458663</v>
      </c>
      <c r="S417" s="1433">
        <f t="shared" si="208"/>
        <v>2694060.8711458663</v>
      </c>
      <c r="T417" s="1528">
        <f>(T165+T170)/12*T409*1.2</f>
        <v>0</v>
      </c>
      <c r="U417" s="269">
        <f t="shared" si="207"/>
        <v>1977683.1352754666</v>
      </c>
      <c r="V417" s="269">
        <f t="shared" si="207"/>
        <v>1930752.9335048001</v>
      </c>
      <c r="W417" s="269">
        <f t="shared" si="207"/>
        <v>1977993.4488221335</v>
      </c>
      <c r="X417" s="269">
        <f t="shared" si="207"/>
        <v>1977683.1352754666</v>
      </c>
      <c r="Y417" s="269">
        <f t="shared" si="207"/>
        <v>1814027.3557522665</v>
      </c>
    </row>
    <row r="418" spans="2:25" ht="15.75" hidden="1" customHeight="1" outlineLevel="1">
      <c r="B418" s="478" t="s">
        <v>1337</v>
      </c>
      <c r="C418" s="478" t="s">
        <v>1337</v>
      </c>
      <c r="D418" s="242"/>
      <c r="E418" s="243"/>
      <c r="F418" s="243"/>
      <c r="G418" s="243"/>
      <c r="H418" s="243"/>
      <c r="I418" s="269"/>
      <c r="J418" s="269"/>
      <c r="K418" s="269">
        <v>2645101.2088000001</v>
      </c>
      <c r="L418" s="269">
        <f t="shared" ref="L418:Q418" si="209">L410*L11</f>
        <v>1838833.2963852498</v>
      </c>
      <c r="M418" s="269">
        <f t="shared" si="209"/>
        <v>1245507.507925241</v>
      </c>
      <c r="N418" s="269">
        <f t="shared" si="209"/>
        <v>1838996.234064</v>
      </c>
      <c r="O418" s="269">
        <f t="shared" si="209"/>
        <v>1340935.1571169898</v>
      </c>
      <c r="P418" s="269">
        <f t="shared" si="209"/>
        <v>1688005.1420212497</v>
      </c>
      <c r="Q418" s="1528">
        <f t="shared" si="209"/>
        <v>1770498.8982646801</v>
      </c>
      <c r="R418" s="1433">
        <f t="shared" si="208"/>
        <v>1770498.8982646801</v>
      </c>
      <c r="S418" s="1433">
        <f t="shared" si="208"/>
        <v>1770498.8982646801</v>
      </c>
      <c r="T418" s="1528">
        <f t="shared" ref="T418:Y418" si="210">T410*T11</f>
        <v>2007174.717655112</v>
      </c>
      <c r="U418" s="269">
        <f t="shared" si="210"/>
        <v>2109248.046960372</v>
      </c>
      <c r="V418" s="269">
        <f t="shared" si="210"/>
        <v>2030197.7293423966</v>
      </c>
      <c r="W418" s="269">
        <f t="shared" si="210"/>
        <v>2112069.2245877343</v>
      </c>
      <c r="X418" s="269">
        <f t="shared" si="210"/>
        <v>2109248.046960372</v>
      </c>
      <c r="Y418" s="269">
        <f t="shared" si="210"/>
        <v>1856423.8672651018</v>
      </c>
    </row>
    <row r="419" spans="2:25" ht="15.75" hidden="1" customHeight="1" outlineLevel="1">
      <c r="B419" s="310" t="s">
        <v>1734</v>
      </c>
      <c r="C419" s="310" t="s">
        <v>1734</v>
      </c>
      <c r="D419" s="242"/>
      <c r="E419" s="243"/>
      <c r="F419" s="243"/>
      <c r="G419" s="243"/>
      <c r="H419" s="243"/>
      <c r="I419" s="269"/>
      <c r="J419" s="269"/>
      <c r="K419" s="269">
        <v>4813274.0517561305</v>
      </c>
      <c r="L419" s="269">
        <f>(L153+L155+L165+L170+L177+L179+L181+L183+L190+L191+L192+L197)*20%*L411</f>
        <v>6867553.0614909874</v>
      </c>
      <c r="M419" s="269">
        <f>(M153+M155+M165+M170+M174+M177+M179+M181+M183+M190+M191+M192+M197)*20%*M411</f>
        <v>2134388.4250643523</v>
      </c>
      <c r="N419" s="269">
        <f>(N153+N155+N165+N170+N177+N179+N181+N183+N190+N191+N192+N197)*20%*N411</f>
        <v>5778162.9084818633</v>
      </c>
      <c r="O419" s="269">
        <f>(O153+O155+O165+O170+O177+O179+O181+O183+O190+O191+O192+O197)*20%*O411</f>
        <v>6141191.2485141335</v>
      </c>
      <c r="P419" s="269">
        <f>(P153+P155+P165+P170+P177+P179+P181+P183+P190+P191+P192+P197)*10%*P411-24500000</f>
        <v>-21972916.254101973</v>
      </c>
      <c r="Q419" s="1528">
        <f t="shared" ref="Q419:Y419" si="211">(Q153+Q155+Q165+Q170+Q177+Q179+Q181+Q183+Q190+Q191+Q192+Q197)*20%*Q411-24500000</f>
        <v>-19675472.775816854</v>
      </c>
      <c r="R419" s="1433">
        <f t="shared" si="208"/>
        <v>-19675472.775816854</v>
      </c>
      <c r="S419" s="1433">
        <f t="shared" si="208"/>
        <v>-19675472.775816854</v>
      </c>
      <c r="T419" s="1528">
        <f>(T153+T155+T165+T170+T177+T179+T181+T183+T190+T191+T192+T197)*20%*T411-24500000</f>
        <v>-24500000</v>
      </c>
      <c r="U419" s="269">
        <f t="shared" si="211"/>
        <v>-20053070.31544137</v>
      </c>
      <c r="V419" s="269">
        <f t="shared" si="211"/>
        <v>-20164485.768198933</v>
      </c>
      <c r="W419" s="269">
        <f t="shared" si="211"/>
        <v>-20048560.861408502</v>
      </c>
      <c r="X419" s="269">
        <f t="shared" si="211"/>
        <v>-20053070.31544137</v>
      </c>
      <c r="Y419" s="269">
        <f t="shared" si="211"/>
        <v>-20417658.922135618</v>
      </c>
    </row>
    <row r="420" spans="2:25" ht="15.75" hidden="1" customHeight="1" outlineLevel="1">
      <c r="B420" s="310" t="s">
        <v>1735</v>
      </c>
      <c r="C420" s="310" t="s">
        <v>1735</v>
      </c>
      <c r="D420" s="215"/>
      <c r="E420" s="248"/>
      <c r="F420" s="248"/>
      <c r="G420" s="248"/>
      <c r="H420" s="248"/>
      <c r="I420" s="246"/>
      <c r="J420" s="246">
        <v>171000960</v>
      </c>
      <c r="K420" s="246">
        <v>11927836.148122691</v>
      </c>
      <c r="L420" s="246">
        <f t="shared" ref="L420:Y420" si="212">(L177+L179+L181+L183)/12*L412+L147/12*1.3</f>
        <v>6447181.4158288231</v>
      </c>
      <c r="M420" s="246">
        <f t="shared" si="212"/>
        <v>4619636.9405335197</v>
      </c>
      <c r="N420" s="246">
        <f t="shared" si="212"/>
        <v>7972570.1238090629</v>
      </c>
      <c r="O420" s="246">
        <f t="shared" si="212"/>
        <v>5641208.0930676293</v>
      </c>
      <c r="P420" s="246">
        <f t="shared" si="212"/>
        <v>10402557.961849749</v>
      </c>
      <c r="Q420" s="1518">
        <f t="shared" si="212"/>
        <v>11094755.81406584</v>
      </c>
      <c r="R420" s="1433">
        <f t="shared" si="208"/>
        <v>11094755.81406584</v>
      </c>
      <c r="S420" s="1433">
        <f t="shared" si="208"/>
        <v>11094755.81406584</v>
      </c>
      <c r="T420" s="1518">
        <f>(T177+T179+T181+T183)/12*T412+T147/12*1.3</f>
        <v>0</v>
      </c>
      <c r="U420" s="246">
        <f t="shared" si="212"/>
        <v>13051155.91535287</v>
      </c>
      <c r="V420" s="246">
        <f t="shared" si="212"/>
        <v>12563968.424529132</v>
      </c>
      <c r="W420" s="246">
        <f t="shared" si="212"/>
        <v>13070347.159836989</v>
      </c>
      <c r="X420" s="246">
        <f t="shared" si="212"/>
        <v>13051155.91535287</v>
      </c>
      <c r="Y420" s="246">
        <f t="shared" si="212"/>
        <v>11493974.229606429</v>
      </c>
    </row>
    <row r="421" spans="2:25" ht="15.75" hidden="1" customHeight="1" outlineLevel="1">
      <c r="B421" s="482" t="s">
        <v>1381</v>
      </c>
      <c r="C421" s="482" t="s">
        <v>1381</v>
      </c>
      <c r="D421" s="215"/>
      <c r="E421" s="215"/>
      <c r="F421" s="215"/>
      <c r="G421" s="215"/>
      <c r="H421" s="215"/>
      <c r="I421" s="269"/>
      <c r="J421" s="269">
        <v>183598811.65281355</v>
      </c>
      <c r="K421" s="269">
        <v>113631695.54972684</v>
      </c>
      <c r="L421" s="269">
        <f t="shared" ref="L421:U421" si="213">SUM(L416:L420)</f>
        <v>83813973.828958794</v>
      </c>
      <c r="M421" s="269">
        <f t="shared" si="213"/>
        <v>54250105.76657407</v>
      </c>
      <c r="N421" s="269">
        <f t="shared" si="213"/>
        <v>83635505.467536733</v>
      </c>
      <c r="O421" s="269">
        <f t="shared" si="213"/>
        <v>64967016.8694764</v>
      </c>
      <c r="P421" s="269">
        <f t="shared" si="213"/>
        <v>45755966.811670497</v>
      </c>
      <c r="Q421" s="1528">
        <f t="shared" si="213"/>
        <v>50360731.985034302</v>
      </c>
      <c r="R421" s="1433">
        <f>SUM(R416:R420)</f>
        <v>50360731.985034302</v>
      </c>
      <c r="S421" s="1433">
        <f>SUM(S416:S420)</f>
        <v>50360731.985034302</v>
      </c>
      <c r="T421" s="1528">
        <f>SUM(T416:T420)</f>
        <v>39266396.799350873</v>
      </c>
      <c r="U421" s="269">
        <f t="shared" si="213"/>
        <v>61984956.688620329</v>
      </c>
      <c r="V421" s="269">
        <f>SUM(V416:V420)</f>
        <v>58828055.760481909</v>
      </c>
      <c r="W421" s="269">
        <f>SUM(W416:W420)</f>
        <v>62098594.343768641</v>
      </c>
      <c r="X421" s="269">
        <f>SUM(X416:X420)</f>
        <v>61984956.688620329</v>
      </c>
      <c r="Y421" s="269">
        <f>SUM(Y416:Y420)</f>
        <v>51867500.907875933</v>
      </c>
    </row>
    <row r="422" spans="2:25" ht="15.75" hidden="1" customHeight="1" outlineLevel="1">
      <c r="B422" s="478" t="s">
        <v>1382</v>
      </c>
      <c r="C422" s="478" t="s">
        <v>1382</v>
      </c>
      <c r="D422" s="242"/>
      <c r="E422" s="242"/>
      <c r="F422" s="242"/>
      <c r="G422" s="242"/>
      <c r="H422" s="242"/>
      <c r="I422" s="269"/>
      <c r="J422" s="269">
        <v>0</v>
      </c>
      <c r="K422" s="269">
        <v>1200445.5762333334</v>
      </c>
      <c r="L422" s="269">
        <f t="shared" ref="L422:Y422" si="214">L413*(-L264-L268-L269-L193)</f>
        <v>1139027.1420359956</v>
      </c>
      <c r="M422" s="269">
        <f t="shared" si="214"/>
        <v>531802.03358752769</v>
      </c>
      <c r="N422" s="269">
        <f t="shared" si="214"/>
        <v>990206.25411835837</v>
      </c>
      <c r="O422" s="269">
        <f t="shared" si="214"/>
        <v>872383.61430880043</v>
      </c>
      <c r="P422" s="269">
        <f t="shared" si="214"/>
        <v>1606574.2498444275</v>
      </c>
      <c r="Q422" s="1528">
        <f t="shared" si="214"/>
        <v>1627945.7579507865</v>
      </c>
      <c r="R422" s="1433">
        <f t="shared" si="208"/>
        <v>1627945.7579507865</v>
      </c>
      <c r="S422" s="1433">
        <f t="shared" si="208"/>
        <v>1627945.7579507865</v>
      </c>
      <c r="T422" s="1528">
        <f>T413*(-T264-T268-T269-T193)</f>
        <v>1504933.8294925445</v>
      </c>
      <c r="U422" s="269">
        <f t="shared" si="214"/>
        <v>1725237.7437470946</v>
      </c>
      <c r="V422" s="269">
        <f t="shared" si="214"/>
        <v>1676190.3988434416</v>
      </c>
      <c r="W422" s="269">
        <f t="shared" si="214"/>
        <v>1727618.5570026187</v>
      </c>
      <c r="X422" s="269">
        <f t="shared" si="214"/>
        <v>1725237.7437470946</v>
      </c>
      <c r="Y422" s="269">
        <f t="shared" si="214"/>
        <v>1544484.586125493</v>
      </c>
    </row>
    <row r="423" spans="2:25" ht="15.75" hidden="1" customHeight="1" outlineLevel="1">
      <c r="B423" s="482" t="s">
        <v>1383</v>
      </c>
      <c r="C423" s="482" t="s">
        <v>1383</v>
      </c>
      <c r="D423" s="242"/>
      <c r="E423" s="242"/>
      <c r="F423" s="242"/>
      <c r="G423" s="242"/>
      <c r="H423" s="242"/>
      <c r="I423" s="246"/>
      <c r="J423" s="246">
        <v>0</v>
      </c>
      <c r="K423" s="246">
        <v>1200445.5762333334</v>
      </c>
      <c r="L423" s="246">
        <f t="shared" ref="L423:U423" si="215">SUM(L422)</f>
        <v>1139027.1420359956</v>
      </c>
      <c r="M423" s="246">
        <f t="shared" si="215"/>
        <v>531802.03358752769</v>
      </c>
      <c r="N423" s="246">
        <f t="shared" si="215"/>
        <v>990206.25411835837</v>
      </c>
      <c r="O423" s="246">
        <f t="shared" si="215"/>
        <v>872383.61430880043</v>
      </c>
      <c r="P423" s="246">
        <f t="shared" si="215"/>
        <v>1606574.2498444275</v>
      </c>
      <c r="Q423" s="1518">
        <f t="shared" si="215"/>
        <v>1627945.7579507865</v>
      </c>
      <c r="R423" s="1423">
        <f>SUM(R422)</f>
        <v>1627945.7579507865</v>
      </c>
      <c r="S423" s="1423">
        <f>SUM(S422)</f>
        <v>1627945.7579507865</v>
      </c>
      <c r="T423" s="1518">
        <f>SUM(T422)</f>
        <v>1504933.8294925445</v>
      </c>
      <c r="U423" s="246">
        <f t="shared" si="215"/>
        <v>1725237.7437470946</v>
      </c>
      <c r="V423" s="246">
        <f>SUM(V422)</f>
        <v>1676190.3988434416</v>
      </c>
      <c r="W423" s="246">
        <f>SUM(W422)</f>
        <v>1727618.5570026187</v>
      </c>
      <c r="X423" s="246">
        <f>SUM(X422)</f>
        <v>1725237.7437470946</v>
      </c>
      <c r="Y423" s="246">
        <f>SUM(Y422)</f>
        <v>1544484.586125493</v>
      </c>
    </row>
    <row r="424" spans="2:25" ht="15.75" hidden="1" customHeight="1" outlineLevel="1">
      <c r="B424" s="331"/>
      <c r="C424" s="331"/>
      <c r="D424" s="244"/>
      <c r="E424" s="244"/>
      <c r="F424" s="244"/>
      <c r="G424" s="244"/>
      <c r="H424" s="244"/>
      <c r="I424" s="242"/>
      <c r="J424" s="268"/>
      <c r="K424" s="268"/>
      <c r="L424" s="268"/>
      <c r="M424" s="185"/>
      <c r="Q424" s="1466"/>
      <c r="R424" s="1371"/>
      <c r="S424" s="1371"/>
      <c r="T424" s="1466"/>
    </row>
    <row r="425" spans="2:25" ht="15.75" hidden="1" customHeight="1" outlineLevel="1">
      <c r="B425" s="163" t="s">
        <v>1384</v>
      </c>
      <c r="C425" s="163" t="s">
        <v>1384</v>
      </c>
      <c r="D425" s="242"/>
      <c r="E425" s="242"/>
      <c r="F425" s="242"/>
      <c r="G425" s="242"/>
      <c r="H425" s="242"/>
      <c r="I425" s="269"/>
      <c r="J425" s="269">
        <v>183598811.65281355</v>
      </c>
      <c r="K425" s="269">
        <v>112431249.97349352</v>
      </c>
      <c r="L425" s="269">
        <f t="shared" ref="L425:Q425" si="216">L421-L423</f>
        <v>82674946.686922804</v>
      </c>
      <c r="M425" s="269">
        <f t="shared" si="216"/>
        <v>53718303.73298654</v>
      </c>
      <c r="N425" s="269">
        <f>N421-N423</f>
        <v>82645299.213418379</v>
      </c>
      <c r="O425" s="269">
        <f t="shared" si="216"/>
        <v>64094633.255167603</v>
      </c>
      <c r="P425" s="269">
        <f t="shared" si="216"/>
        <v>44149392.561826073</v>
      </c>
      <c r="Q425" s="1528">
        <f t="shared" si="216"/>
        <v>48732786.227083519</v>
      </c>
      <c r="R425" s="1433">
        <f t="shared" ref="R425:Y425" si="217">R421-R423</f>
        <v>48732786.227083519</v>
      </c>
      <c r="S425" s="1433">
        <f t="shared" si="217"/>
        <v>48732786.227083519</v>
      </c>
      <c r="T425" s="1528">
        <f t="shared" si="217"/>
        <v>37761462.969858326</v>
      </c>
      <c r="U425" s="269">
        <f t="shared" si="217"/>
        <v>60259718.944873236</v>
      </c>
      <c r="V425" s="269">
        <f t="shared" si="217"/>
        <v>57151865.361638464</v>
      </c>
      <c r="W425" s="269">
        <f t="shared" si="217"/>
        <v>60370975.786766022</v>
      </c>
      <c r="X425" s="269">
        <f t="shared" si="217"/>
        <v>60259718.944873236</v>
      </c>
      <c r="Y425" s="269">
        <f t="shared" si="217"/>
        <v>50323016.32175044</v>
      </c>
    </row>
    <row r="426" spans="2:25" ht="15.75" hidden="1" customHeight="1" outlineLevel="1">
      <c r="B426" s="163" t="s">
        <v>1385</v>
      </c>
      <c r="C426" s="163" t="s">
        <v>1385</v>
      </c>
      <c r="D426" s="242"/>
      <c r="E426" s="242"/>
      <c r="F426" s="242"/>
      <c r="G426" s="242"/>
      <c r="H426" s="242"/>
      <c r="I426" s="269"/>
      <c r="J426" s="269">
        <v>183598811.65281355</v>
      </c>
      <c r="K426" s="269">
        <v>-71167561.679320037</v>
      </c>
      <c r="L426" s="269">
        <f t="shared" ref="L426:W426" si="218">L425-K425</f>
        <v>-29756303.286570713</v>
      </c>
      <c r="M426" s="269">
        <f t="shared" si="218"/>
        <v>-28956642.953936264</v>
      </c>
      <c r="N426" s="269">
        <f t="shared" si="218"/>
        <v>28926995.48043184</v>
      </c>
      <c r="O426" s="269">
        <f t="shared" si="218"/>
        <v>-18550665.958250776</v>
      </c>
      <c r="P426" s="269">
        <f t="shared" si="218"/>
        <v>-19945240.693341531</v>
      </c>
      <c r="Q426" s="1528">
        <f t="shared" si="218"/>
        <v>4583393.6652574465</v>
      </c>
      <c r="R426" s="1433">
        <f>R425-Q425</f>
        <v>0</v>
      </c>
      <c r="S426" s="1433">
        <f>S425-R425</f>
        <v>0</v>
      </c>
      <c r="T426" s="1528">
        <f t="shared" si="218"/>
        <v>-10971323.257225193</v>
      </c>
      <c r="U426" s="269">
        <f>U425-Q425</f>
        <v>11526932.717789717</v>
      </c>
      <c r="V426" s="269">
        <f t="shared" si="218"/>
        <v>-3107853.5832347721</v>
      </c>
      <c r="W426" s="269">
        <f t="shared" si="218"/>
        <v>3219110.4251275584</v>
      </c>
      <c r="X426" s="269">
        <f>X425-W425</f>
        <v>-111256.84189278632</v>
      </c>
      <c r="Y426" s="269">
        <f>Y425-X425</f>
        <v>-9936702.6231227964</v>
      </c>
    </row>
    <row r="427" spans="2:25" ht="15.75" hidden="1" customHeight="1" outlineLevel="1">
      <c r="B427" s="482" t="s">
        <v>1386</v>
      </c>
      <c r="C427" s="482" t="s">
        <v>1386</v>
      </c>
      <c r="D427" s="215"/>
      <c r="E427" s="293"/>
      <c r="F427" s="243"/>
      <c r="G427" s="243"/>
      <c r="H427" s="243"/>
      <c r="I427" s="243"/>
      <c r="J427" s="243">
        <v>0</v>
      </c>
      <c r="K427" s="243">
        <v>0</v>
      </c>
      <c r="L427" s="243">
        <f t="shared" ref="L427:M430" si="219">K427</f>
        <v>0</v>
      </c>
      <c r="M427" s="243">
        <f t="shared" si="219"/>
        <v>0</v>
      </c>
      <c r="N427" s="243">
        <f>M427</f>
        <v>0</v>
      </c>
      <c r="O427" s="243">
        <f t="shared" ref="O427:W430" si="220">N427</f>
        <v>0</v>
      </c>
      <c r="P427" s="243">
        <f t="shared" si="220"/>
        <v>0</v>
      </c>
      <c r="Q427" s="1527">
        <f t="shared" si="220"/>
        <v>0</v>
      </c>
      <c r="R427" s="1432">
        <f t="shared" ref="R427:S430" si="221">Q427</f>
        <v>0</v>
      </c>
      <c r="S427" s="1432">
        <f t="shared" si="221"/>
        <v>0</v>
      </c>
      <c r="T427" s="1527">
        <f t="shared" si="220"/>
        <v>0</v>
      </c>
      <c r="U427" s="243">
        <f>Q427</f>
        <v>0</v>
      </c>
      <c r="V427" s="243">
        <f t="shared" si="220"/>
        <v>0</v>
      </c>
      <c r="W427" s="243">
        <f t="shared" si="220"/>
        <v>0</v>
      </c>
      <c r="X427" s="243">
        <f t="shared" ref="X427:Y430" si="222">W427</f>
        <v>0</v>
      </c>
      <c r="Y427" s="243">
        <f t="shared" si="222"/>
        <v>0</v>
      </c>
    </row>
    <row r="428" spans="2:25" ht="15.75" hidden="1" customHeight="1" outlineLevel="1">
      <c r="B428" s="482" t="s">
        <v>1387</v>
      </c>
      <c r="C428" s="482" t="s">
        <v>1387</v>
      </c>
      <c r="D428" s="215"/>
      <c r="E428" s="215"/>
      <c r="F428" s="243"/>
      <c r="G428" s="243"/>
      <c r="H428" s="243"/>
      <c r="I428" s="243"/>
      <c r="J428" s="243">
        <v>0.1</v>
      </c>
      <c r="K428" s="243">
        <v>0.1</v>
      </c>
      <c r="L428" s="243">
        <f t="shared" si="219"/>
        <v>0.1</v>
      </c>
      <c r="M428" s="243">
        <f t="shared" si="219"/>
        <v>0.1</v>
      </c>
      <c r="N428" s="243">
        <f>M428</f>
        <v>0.1</v>
      </c>
      <c r="O428" s="243">
        <f t="shared" si="220"/>
        <v>0.1</v>
      </c>
      <c r="P428" s="243">
        <f t="shared" si="220"/>
        <v>0.1</v>
      </c>
      <c r="Q428" s="1527">
        <f t="shared" si="220"/>
        <v>0.1</v>
      </c>
      <c r="R428" s="1432">
        <f t="shared" si="221"/>
        <v>0.1</v>
      </c>
      <c r="S428" s="1432">
        <f t="shared" si="221"/>
        <v>0.1</v>
      </c>
      <c r="T428" s="1527">
        <f t="shared" si="220"/>
        <v>0.1</v>
      </c>
      <c r="U428" s="243">
        <f>Q428</f>
        <v>0.1</v>
      </c>
      <c r="V428" s="243">
        <f t="shared" si="220"/>
        <v>0.1</v>
      </c>
      <c r="W428" s="243">
        <f t="shared" si="220"/>
        <v>0.1</v>
      </c>
      <c r="X428" s="243">
        <f t="shared" si="222"/>
        <v>0.1</v>
      </c>
      <c r="Y428" s="243">
        <f t="shared" si="222"/>
        <v>0.1</v>
      </c>
    </row>
    <row r="429" spans="2:25" ht="15.75" hidden="1" customHeight="1" outlineLevel="1">
      <c r="B429" s="482" t="s">
        <v>1388</v>
      </c>
      <c r="C429" s="482" t="s">
        <v>1388</v>
      </c>
      <c r="D429" s="242"/>
      <c r="E429" s="242"/>
      <c r="F429" s="242"/>
      <c r="G429" s="242"/>
      <c r="H429" s="242"/>
      <c r="I429" s="243"/>
      <c r="J429" s="243">
        <v>5.0000000000000001E-3</v>
      </c>
      <c r="K429" s="243">
        <v>5.0000000000000001E-3</v>
      </c>
      <c r="L429" s="243">
        <f t="shared" si="219"/>
        <v>5.0000000000000001E-3</v>
      </c>
      <c r="M429" s="243">
        <f t="shared" si="219"/>
        <v>5.0000000000000001E-3</v>
      </c>
      <c r="N429" s="243">
        <f>M429</f>
        <v>5.0000000000000001E-3</v>
      </c>
      <c r="O429" s="243">
        <f t="shared" si="220"/>
        <v>5.0000000000000001E-3</v>
      </c>
      <c r="P429" s="243">
        <f t="shared" si="220"/>
        <v>5.0000000000000001E-3</v>
      </c>
      <c r="Q429" s="1527">
        <f t="shared" si="220"/>
        <v>5.0000000000000001E-3</v>
      </c>
      <c r="R429" s="1432">
        <f t="shared" si="221"/>
        <v>5.0000000000000001E-3</v>
      </c>
      <c r="S429" s="1432">
        <f t="shared" si="221"/>
        <v>5.0000000000000001E-3</v>
      </c>
      <c r="T429" s="1527">
        <f t="shared" si="220"/>
        <v>5.0000000000000001E-3</v>
      </c>
      <c r="U429" s="243">
        <f>Q429</f>
        <v>5.0000000000000001E-3</v>
      </c>
      <c r="V429" s="243">
        <f t="shared" si="220"/>
        <v>5.0000000000000001E-3</v>
      </c>
      <c r="W429" s="243">
        <f t="shared" si="220"/>
        <v>5.0000000000000001E-3</v>
      </c>
      <c r="X429" s="243">
        <f t="shared" si="222"/>
        <v>5.0000000000000001E-3</v>
      </c>
      <c r="Y429" s="243">
        <f t="shared" si="222"/>
        <v>5.0000000000000001E-3</v>
      </c>
    </row>
    <row r="430" spans="2:25" ht="15.75" hidden="1" customHeight="1" outlineLevel="1">
      <c r="B430" s="482" t="s">
        <v>1389</v>
      </c>
      <c r="C430" s="482" t="s">
        <v>1389</v>
      </c>
      <c r="D430" s="215"/>
      <c r="E430" s="215"/>
      <c r="F430" s="243"/>
      <c r="G430" s="243"/>
      <c r="H430" s="243"/>
      <c r="I430" s="243"/>
      <c r="J430" s="243">
        <v>2.7098390242093949E-2</v>
      </c>
      <c r="K430" s="243">
        <v>2.7098390242093949E-2</v>
      </c>
      <c r="L430" s="243">
        <f t="shared" si="219"/>
        <v>2.7098390242093949E-2</v>
      </c>
      <c r="M430" s="243">
        <f t="shared" si="219"/>
        <v>2.7098390242093949E-2</v>
      </c>
      <c r="N430" s="243">
        <f>M430</f>
        <v>2.7098390242093949E-2</v>
      </c>
      <c r="O430" s="243">
        <f t="shared" si="220"/>
        <v>2.7098390242093949E-2</v>
      </c>
      <c r="P430" s="243">
        <f t="shared" si="220"/>
        <v>2.7098390242093949E-2</v>
      </c>
      <c r="Q430" s="1527">
        <f t="shared" si="220"/>
        <v>2.7098390242093949E-2</v>
      </c>
      <c r="R430" s="1432">
        <f t="shared" si="221"/>
        <v>2.7098390242093949E-2</v>
      </c>
      <c r="S430" s="1432">
        <f t="shared" si="221"/>
        <v>2.7098390242093949E-2</v>
      </c>
      <c r="T430" s="1527">
        <f t="shared" si="220"/>
        <v>2.7098390242093949E-2</v>
      </c>
      <c r="U430" s="243">
        <f>Q430</f>
        <v>2.7098390242093949E-2</v>
      </c>
      <c r="V430" s="243">
        <f t="shared" si="220"/>
        <v>2.7098390242093949E-2</v>
      </c>
      <c r="W430" s="243">
        <f t="shared" si="220"/>
        <v>2.7098390242093949E-2</v>
      </c>
      <c r="X430" s="243">
        <f t="shared" si="222"/>
        <v>2.7098390242093949E-2</v>
      </c>
      <c r="Y430" s="243">
        <f t="shared" si="222"/>
        <v>2.7098390242093949E-2</v>
      </c>
    </row>
    <row r="431" spans="2:25" ht="15.75" hidden="1" customHeight="1" outlineLevel="1">
      <c r="B431" s="353" t="s">
        <v>1736</v>
      </c>
      <c r="C431" s="353" t="s">
        <v>1736</v>
      </c>
      <c r="D431" s="215"/>
      <c r="E431" s="215"/>
      <c r="F431" s="215"/>
      <c r="G431" s="215"/>
      <c r="H431" s="215"/>
      <c r="I431" s="269"/>
      <c r="J431" s="269">
        <v>1047341.0680135697</v>
      </c>
      <c r="K431" s="269">
        <v>984060.13594059483</v>
      </c>
      <c r="L431" s="269">
        <f t="shared" ref="L431:Y431" si="223">L428*L451</f>
        <v>546368</v>
      </c>
      <c r="M431" s="269">
        <f t="shared" si="223"/>
        <v>163280</v>
      </c>
      <c r="N431" s="269">
        <f t="shared" si="223"/>
        <v>482350</v>
      </c>
      <c r="O431" s="269">
        <f t="shared" si="223"/>
        <v>736900</v>
      </c>
      <c r="P431" s="269">
        <f t="shared" si="223"/>
        <v>1038675</v>
      </c>
      <c r="Q431" s="1528">
        <f t="shared" si="223"/>
        <v>1284700</v>
      </c>
      <c r="R431" s="1433">
        <f>Q431</f>
        <v>1284700</v>
      </c>
      <c r="S431" s="1433">
        <f>R431</f>
        <v>1284700</v>
      </c>
      <c r="T431" s="1528">
        <f>T428*T451</f>
        <v>1284700</v>
      </c>
      <c r="U431" s="269">
        <f t="shared" si="223"/>
        <v>314558.94400000002</v>
      </c>
      <c r="V431" s="269">
        <f t="shared" si="223"/>
        <v>247065.76800000004</v>
      </c>
      <c r="W431" s="269">
        <f t="shared" si="223"/>
        <v>272935.78000000003</v>
      </c>
      <c r="X431" s="269">
        <f t="shared" si="223"/>
        <v>333680.02400000003</v>
      </c>
      <c r="Y431" s="269">
        <f t="shared" si="223"/>
        <v>337465.81200000003</v>
      </c>
    </row>
    <row r="432" spans="2:25" ht="15.75" hidden="1" customHeight="1" outlineLevel="1">
      <c r="B432" s="110" t="s">
        <v>1391</v>
      </c>
      <c r="C432" s="110" t="s">
        <v>1391</v>
      </c>
      <c r="D432" s="242"/>
      <c r="E432" s="242"/>
      <c r="F432" s="242"/>
      <c r="G432" s="242"/>
      <c r="H432" s="242"/>
      <c r="I432" s="269"/>
      <c r="J432" s="269">
        <v>1047341.0680135697</v>
      </c>
      <c r="K432" s="269">
        <v>984060.13594059483</v>
      </c>
      <c r="L432" s="269">
        <f t="shared" ref="L432:U432" si="224">SUM(L431:L431)</f>
        <v>546368</v>
      </c>
      <c r="M432" s="269">
        <f t="shared" si="224"/>
        <v>163280</v>
      </c>
      <c r="N432" s="269">
        <f t="shared" si="224"/>
        <v>482350</v>
      </c>
      <c r="O432" s="269">
        <f t="shared" si="224"/>
        <v>736900</v>
      </c>
      <c r="P432" s="269">
        <f t="shared" si="224"/>
        <v>1038675</v>
      </c>
      <c r="Q432" s="1528">
        <f t="shared" si="224"/>
        <v>1284700</v>
      </c>
      <c r="R432" s="1433">
        <f>SUM(R431:R431)</f>
        <v>1284700</v>
      </c>
      <c r="S432" s="1433">
        <f>SUM(S431:S431)</f>
        <v>1284700</v>
      </c>
      <c r="T432" s="1528">
        <f>SUM(T431:T431)</f>
        <v>1284700</v>
      </c>
      <c r="U432" s="269">
        <f t="shared" si="224"/>
        <v>314558.94400000002</v>
      </c>
      <c r="V432" s="269">
        <f>SUM(V431:V431)</f>
        <v>247065.76800000004</v>
      </c>
      <c r="W432" s="269">
        <f>SUM(W431:W431)</f>
        <v>272935.78000000003</v>
      </c>
      <c r="X432" s="269">
        <f>SUM(X431:X431)</f>
        <v>333680.02400000003</v>
      </c>
      <c r="Y432" s="269">
        <f>SUM(Y431:Y431)</f>
        <v>337465.81200000003</v>
      </c>
    </row>
    <row r="433" spans="2:25" ht="15.75" hidden="1" customHeight="1" outlineLevel="1">
      <c r="B433" s="533" t="s">
        <v>1392</v>
      </c>
      <c r="C433" s="533" t="s">
        <v>1392</v>
      </c>
      <c r="D433" s="215"/>
      <c r="E433" s="215"/>
      <c r="F433" s="215"/>
      <c r="G433" s="215"/>
      <c r="H433" s="215"/>
      <c r="I433" s="269"/>
      <c r="J433" s="269">
        <v>1047341.0680135697</v>
      </c>
      <c r="K433" s="269">
        <v>-63280.932072974858</v>
      </c>
      <c r="L433" s="269">
        <f t="shared" ref="L433:W433" si="225">L432-K432</f>
        <v>-437692.13594059483</v>
      </c>
      <c r="M433" s="269">
        <f t="shared" si="225"/>
        <v>-383088</v>
      </c>
      <c r="N433" s="269">
        <f t="shared" si="225"/>
        <v>319070</v>
      </c>
      <c r="O433" s="269">
        <f t="shared" si="225"/>
        <v>254550</v>
      </c>
      <c r="P433" s="269">
        <f t="shared" si="225"/>
        <v>301775</v>
      </c>
      <c r="Q433" s="1528">
        <f t="shared" si="225"/>
        <v>246025</v>
      </c>
      <c r="R433" s="1433">
        <f>R432-Q432</f>
        <v>0</v>
      </c>
      <c r="S433" s="1433">
        <f>S432-R432</f>
        <v>0</v>
      </c>
      <c r="T433" s="1528">
        <f t="shared" si="225"/>
        <v>0</v>
      </c>
      <c r="U433" s="269">
        <f>U432-Q432</f>
        <v>-970141.05599999998</v>
      </c>
      <c r="V433" s="269">
        <f t="shared" si="225"/>
        <v>-67493.175999999978</v>
      </c>
      <c r="W433" s="269">
        <f t="shared" si="225"/>
        <v>25870.011999999988</v>
      </c>
      <c r="X433" s="269">
        <f>X432-W432</f>
        <v>60744.244000000006</v>
      </c>
      <c r="Y433" s="269">
        <f>Y432-X432</f>
        <v>3785.7880000000005</v>
      </c>
    </row>
    <row r="434" spans="2:25" ht="15.75" hidden="1" customHeight="1" outlineLevel="1">
      <c r="B434" s="482" t="s">
        <v>1393</v>
      </c>
      <c r="C434" s="482" t="s">
        <v>1393</v>
      </c>
      <c r="D434" s="215"/>
      <c r="E434" s="248"/>
      <c r="F434" s="248"/>
      <c r="G434" s="248"/>
      <c r="H434" s="248"/>
      <c r="I434" s="269"/>
      <c r="J434" s="269">
        <v>1455060.2750000001</v>
      </c>
      <c r="K434" s="269">
        <v>2645101.2088000001</v>
      </c>
      <c r="L434" s="269">
        <f t="shared" ref="L434:U434" si="226">L429*L404</f>
        <v>1838833.2963852498</v>
      </c>
      <c r="M434" s="269">
        <f t="shared" si="226"/>
        <v>1245507.507925241</v>
      </c>
      <c r="N434" s="269">
        <f t="shared" si="226"/>
        <v>1838996.234064</v>
      </c>
      <c r="O434" s="269">
        <f t="shared" si="226"/>
        <v>1340935.1571169898</v>
      </c>
      <c r="P434" s="269">
        <f t="shared" si="226"/>
        <v>2164109.1564374999</v>
      </c>
      <c r="Q434" s="1528">
        <f t="shared" si="226"/>
        <v>2269870.3823906155</v>
      </c>
      <c r="R434" s="1433">
        <f>Q434</f>
        <v>2269870.3823906155</v>
      </c>
      <c r="S434" s="1433">
        <f>R434</f>
        <v>2269870.3823906155</v>
      </c>
      <c r="T434" s="1528">
        <f>T429*T404</f>
        <v>2573300.9200706566</v>
      </c>
      <c r="U434" s="269">
        <f t="shared" si="226"/>
        <v>2704164.1627697083</v>
      </c>
      <c r="V434" s="269">
        <f>V429*V404</f>
        <v>2602817.6017210218</v>
      </c>
      <c r="W434" s="269">
        <f>W429*W404</f>
        <v>2707781.0571637619</v>
      </c>
      <c r="X434" s="269">
        <f>X429*X404</f>
        <v>2704164.1627697083</v>
      </c>
      <c r="Y434" s="269">
        <f>Y429*Y404</f>
        <v>2380030.599057823</v>
      </c>
    </row>
    <row r="435" spans="2:25" ht="15.75" hidden="1" customHeight="1" outlineLevel="1">
      <c r="B435" s="482" t="s">
        <v>1394</v>
      </c>
      <c r="C435" s="482" t="s">
        <v>1394</v>
      </c>
      <c r="D435" s="215"/>
      <c r="E435" s="249"/>
      <c r="F435" s="270"/>
      <c r="G435" s="270"/>
      <c r="H435" s="270"/>
      <c r="I435" s="269"/>
      <c r="J435" s="269">
        <v>7885958.2315437077</v>
      </c>
      <c r="K435" s="269">
        <v>14335596.957179366</v>
      </c>
      <c r="L435" s="269">
        <f t="shared" ref="L435:U435" si="227">L430*L404</f>
        <v>9965884.4511207007</v>
      </c>
      <c r="M435" s="269">
        <f t="shared" si="227"/>
        <v>6750249.6998432204</v>
      </c>
      <c r="N435" s="269">
        <f t="shared" si="227"/>
        <v>9966767.5208814833</v>
      </c>
      <c r="O435" s="269">
        <f t="shared" si="227"/>
        <v>7267436.8353799507</v>
      </c>
      <c r="P435" s="269">
        <f t="shared" si="227"/>
        <v>11728774.889526423</v>
      </c>
      <c r="Q435" s="1528">
        <f t="shared" si="227"/>
        <v>12301966.684198383</v>
      </c>
      <c r="R435" s="1433">
        <f>Q435</f>
        <v>12301966.684198383</v>
      </c>
      <c r="S435" s="1433">
        <f>R435</f>
        <v>12301966.684198383</v>
      </c>
      <c r="T435" s="1528">
        <f>T430*T404</f>
        <v>13946462.508482812</v>
      </c>
      <c r="U435" s="269">
        <f t="shared" si="227"/>
        <v>14655699.152283762</v>
      </c>
      <c r="V435" s="269">
        <f>V430*V404</f>
        <v>14106433.420085462</v>
      </c>
      <c r="W435" s="269">
        <f>W430*W404</f>
        <v>14675301.555434665</v>
      </c>
      <c r="X435" s="269">
        <f>X430*X404</f>
        <v>14655699.152283762</v>
      </c>
      <c r="Y435" s="269">
        <f>Y430*Y404</f>
        <v>12898999.592278704</v>
      </c>
    </row>
    <row r="436" spans="2:25" ht="15.75" hidden="1" customHeight="1" outlineLevel="1">
      <c r="B436" s="110" t="s">
        <v>1395</v>
      </c>
      <c r="C436" s="110" t="s">
        <v>1395</v>
      </c>
      <c r="D436" s="356"/>
      <c r="E436" s="391"/>
      <c r="F436" s="271"/>
      <c r="G436" s="271"/>
      <c r="H436" s="271"/>
      <c r="I436" s="269"/>
      <c r="J436" s="269">
        <v>9341018.5065437071</v>
      </c>
      <c r="K436" s="269">
        <v>16980698.165979367</v>
      </c>
      <c r="L436" s="269">
        <f t="shared" ref="L436:U436" si="228">SUM(L434:L435)</f>
        <v>11804717.74750595</v>
      </c>
      <c r="M436" s="269">
        <f t="shared" si="228"/>
        <v>7995757.2077684617</v>
      </c>
      <c r="N436" s="269">
        <f t="shared" si="228"/>
        <v>11805763.754945483</v>
      </c>
      <c r="O436" s="269">
        <f t="shared" si="228"/>
        <v>8608371.9924969412</v>
      </c>
      <c r="P436" s="269">
        <f t="shared" si="228"/>
        <v>13892884.045963923</v>
      </c>
      <c r="Q436" s="1528">
        <f t="shared" si="228"/>
        <v>14571837.066588998</v>
      </c>
      <c r="R436" s="1433">
        <f>SUM(R434:R435)</f>
        <v>14571837.066588998</v>
      </c>
      <c r="S436" s="1433">
        <f>SUM(S434:S435)</f>
        <v>14571837.066588998</v>
      </c>
      <c r="T436" s="1528">
        <f>SUM(T434:T435)</f>
        <v>16519763.428553469</v>
      </c>
      <c r="U436" s="269">
        <f t="shared" si="228"/>
        <v>17359863.31505347</v>
      </c>
      <c r="V436" s="269">
        <f>SUM(V434:V435)</f>
        <v>16709251.021806484</v>
      </c>
      <c r="W436" s="269">
        <f>SUM(W434:W435)</f>
        <v>17383082.612598427</v>
      </c>
      <c r="X436" s="269">
        <f>SUM(X434:X435)</f>
        <v>17359863.31505347</v>
      </c>
      <c r="Y436" s="269">
        <f>SUM(Y434:Y435)</f>
        <v>15279030.191336527</v>
      </c>
    </row>
    <row r="437" spans="2:25" ht="15.75" hidden="1" customHeight="1" outlineLevel="1">
      <c r="B437" s="533" t="s">
        <v>1396</v>
      </c>
      <c r="C437" s="533" t="s">
        <v>1396</v>
      </c>
      <c r="D437" s="356"/>
      <c r="E437" s="391"/>
      <c r="F437" s="272"/>
      <c r="G437" s="272"/>
      <c r="H437" s="272"/>
      <c r="I437" s="269"/>
      <c r="J437" s="269">
        <v>9341018.5065437071</v>
      </c>
      <c r="K437" s="269">
        <v>7639679.6594356596</v>
      </c>
      <c r="L437" s="269">
        <f t="shared" ref="L437:W437" si="229">L436-K436</f>
        <v>-5175980.4184734169</v>
      </c>
      <c r="M437" s="269">
        <f t="shared" si="229"/>
        <v>-3808960.5397374881</v>
      </c>
      <c r="N437" s="269">
        <f t="shared" si="229"/>
        <v>3810006.5471770214</v>
      </c>
      <c r="O437" s="269">
        <f t="shared" si="229"/>
        <v>-3197391.7624485418</v>
      </c>
      <c r="P437" s="269">
        <f t="shared" si="229"/>
        <v>5284512.0534669813</v>
      </c>
      <c r="Q437" s="1528">
        <f t="shared" si="229"/>
        <v>678953.02062507533</v>
      </c>
      <c r="R437" s="1433">
        <f>R436-Q436</f>
        <v>0</v>
      </c>
      <c r="S437" s="1433">
        <f>S436-R436</f>
        <v>0</v>
      </c>
      <c r="T437" s="1528">
        <f t="shared" si="229"/>
        <v>1947926.3619644716</v>
      </c>
      <c r="U437" s="269">
        <f>U436-Q436</f>
        <v>2788026.2484644726</v>
      </c>
      <c r="V437" s="269">
        <f t="shared" si="229"/>
        <v>-650612.29324698634</v>
      </c>
      <c r="W437" s="269">
        <f t="shared" si="229"/>
        <v>673831.59079194255</v>
      </c>
      <c r="X437" s="269">
        <f>X436-W436</f>
        <v>-23219.297544956207</v>
      </c>
      <c r="Y437" s="269">
        <f>Y436-X436</f>
        <v>-2080833.123716943</v>
      </c>
    </row>
    <row r="438" spans="2:25" ht="15.75" hidden="1" customHeight="1" outlineLevel="1">
      <c r="B438" s="482" t="s">
        <v>1397</v>
      </c>
      <c r="C438" s="482" t="s">
        <v>1397</v>
      </c>
      <c r="D438" s="356"/>
      <c r="E438" s="391"/>
      <c r="F438" s="272"/>
      <c r="G438" s="272"/>
      <c r="H438" s="272"/>
      <c r="I438" s="269"/>
      <c r="J438" s="269">
        <v>-8293677.4385301378</v>
      </c>
      <c r="K438" s="269">
        <v>-7702960.5915086344</v>
      </c>
      <c r="L438" s="269">
        <f t="shared" ref="L438:Q438" si="230">L433-L437</f>
        <v>4738288.2825328223</v>
      </c>
      <c r="M438" s="269">
        <f t="shared" si="230"/>
        <v>3425872.5397374881</v>
      </c>
      <c r="N438" s="269">
        <f t="shared" si="230"/>
        <v>-3490936.5471770214</v>
      </c>
      <c r="O438" s="269">
        <f t="shared" si="230"/>
        <v>3451941.7624485418</v>
      </c>
      <c r="P438" s="269">
        <f t="shared" si="230"/>
        <v>-4982737.0534669813</v>
      </c>
      <c r="Q438" s="1528">
        <f t="shared" si="230"/>
        <v>-432928.02062507533</v>
      </c>
      <c r="R438" s="1433">
        <f t="shared" ref="R438:Y438" si="231">R433-R437</f>
        <v>0</v>
      </c>
      <c r="S438" s="1433">
        <f t="shared" si="231"/>
        <v>0</v>
      </c>
      <c r="T438" s="1528">
        <f t="shared" si="231"/>
        <v>-1947926.3619644716</v>
      </c>
      <c r="U438" s="269">
        <f t="shared" si="231"/>
        <v>-3758167.3044644725</v>
      </c>
      <c r="V438" s="269">
        <f t="shared" si="231"/>
        <v>583119.11724698637</v>
      </c>
      <c r="W438" s="269">
        <f t="shared" si="231"/>
        <v>-647961.57879194256</v>
      </c>
      <c r="X438" s="269">
        <f t="shared" si="231"/>
        <v>83963.541544956213</v>
      </c>
      <c r="Y438" s="269">
        <f t="shared" si="231"/>
        <v>2084618.9117169429</v>
      </c>
    </row>
    <row r="439" spans="2:25" ht="15.75" customHeight="1" collapsed="1">
      <c r="B439" s="353"/>
      <c r="C439" s="353"/>
      <c r="D439" s="242"/>
      <c r="E439" s="242"/>
      <c r="F439" s="242"/>
      <c r="G439" s="242"/>
      <c r="H439" s="242"/>
      <c r="I439" s="242"/>
      <c r="J439" s="242"/>
      <c r="K439" s="393"/>
      <c r="L439" s="393"/>
      <c r="M439" s="185"/>
      <c r="Q439" s="1466"/>
      <c r="R439" s="1371"/>
      <c r="S439" s="1371"/>
      <c r="T439" s="1466"/>
    </row>
    <row r="440" spans="2:25" ht="15.75" customHeight="1">
      <c r="B440" s="227"/>
      <c r="C440" s="227"/>
      <c r="D440" s="227"/>
      <c r="E440" s="227"/>
      <c r="F440" s="227"/>
      <c r="G440" s="227"/>
      <c r="H440" s="227"/>
      <c r="I440" s="227"/>
      <c r="J440" s="227"/>
      <c r="K440" s="252"/>
      <c r="L440" s="252"/>
      <c r="M440" s="185"/>
      <c r="Q440" s="1466"/>
      <c r="R440" s="1371"/>
      <c r="S440" s="1371"/>
      <c r="T440" s="1466"/>
    </row>
    <row r="441" spans="2:25" ht="15.75" customHeight="1">
      <c r="B441" s="227"/>
      <c r="C441" s="227"/>
      <c r="D441" s="227"/>
      <c r="E441" s="227"/>
      <c r="F441" s="227"/>
      <c r="G441" s="227"/>
      <c r="H441" s="227"/>
      <c r="I441" s="227"/>
      <c r="J441" s="227"/>
      <c r="K441" s="252"/>
      <c r="L441" s="252"/>
      <c r="M441" s="185"/>
      <c r="Q441" s="1466"/>
      <c r="R441" s="1371"/>
      <c r="S441" s="1371"/>
      <c r="T441" s="1466"/>
    </row>
    <row r="442" spans="2:25" ht="27">
      <c r="B442" s="366" t="s">
        <v>238</v>
      </c>
      <c r="C442" s="366" t="s">
        <v>238</v>
      </c>
      <c r="I442" s="227"/>
      <c r="J442" s="227"/>
      <c r="K442" s="226"/>
      <c r="L442" s="228"/>
      <c r="M442" s="368"/>
      <c r="N442" s="228"/>
      <c r="O442" s="228"/>
      <c r="P442" s="228"/>
      <c r="Q442" s="1506"/>
      <c r="R442" s="1412"/>
      <c r="S442" s="1412"/>
      <c r="T442" s="1506"/>
      <c r="U442" s="228"/>
      <c r="V442" s="228"/>
      <c r="W442" s="228"/>
      <c r="X442" s="228"/>
      <c r="Y442" s="228"/>
    </row>
    <row r="443" spans="2:25" ht="3" customHeight="1"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1507"/>
      <c r="R443" s="1413"/>
      <c r="S443" s="1413"/>
      <c r="T443" s="1507"/>
      <c r="U443" s="229"/>
      <c r="V443" s="229"/>
      <c r="W443" s="229"/>
      <c r="X443" s="229"/>
      <c r="Y443" s="229"/>
    </row>
    <row r="444" spans="2:25" ht="15.75" customHeight="1">
      <c r="B444" s="169"/>
      <c r="C444" s="169"/>
      <c r="I444" s="227"/>
      <c r="J444" s="227"/>
      <c r="K444" s="226"/>
      <c r="L444" s="228"/>
      <c r="M444" s="368"/>
      <c r="N444" s="228"/>
      <c r="O444" s="228"/>
      <c r="P444" s="228"/>
      <c r="Q444" s="1506"/>
      <c r="R444" s="1412"/>
      <c r="S444" s="1412"/>
      <c r="T444" s="1506"/>
      <c r="U444" s="228"/>
      <c r="V444" s="228"/>
      <c r="W444" s="228"/>
      <c r="X444" s="228"/>
      <c r="Y444" s="228"/>
    </row>
    <row r="445" spans="2:25" ht="4.5" customHeight="1">
      <c r="B445" s="313"/>
      <c r="C445" s="313"/>
      <c r="I445" s="227"/>
      <c r="J445" s="230"/>
      <c r="K445" s="231"/>
      <c r="L445" s="232"/>
      <c r="M445" s="231"/>
      <c r="N445" s="232"/>
      <c r="O445" s="232"/>
      <c r="P445" s="232"/>
      <c r="Q445" s="1509"/>
      <c r="R445" s="1415"/>
      <c r="S445" s="1415"/>
      <c r="T445" s="1509"/>
      <c r="U445" s="232"/>
      <c r="V445" s="232"/>
      <c r="W445" s="232"/>
      <c r="X445" s="232"/>
      <c r="Y445" s="232"/>
    </row>
    <row r="446" spans="2:25">
      <c r="B446" s="348"/>
      <c r="C446" s="348"/>
      <c r="D446" s="233"/>
      <c r="E446" s="233"/>
      <c r="F446" s="233"/>
      <c r="G446" s="233"/>
      <c r="H446" s="233"/>
      <c r="I446" s="174">
        <v>0</v>
      </c>
      <c r="J446" s="174">
        <v>1</v>
      </c>
      <c r="K446" s="174">
        <v>2</v>
      </c>
      <c r="L446" s="175">
        <f t="shared" ref="L446:Q448" si="232">L400</f>
        <v>3</v>
      </c>
      <c r="M446" s="175">
        <f t="shared" si="232"/>
        <v>4</v>
      </c>
      <c r="N446" s="175">
        <f t="shared" si="232"/>
        <v>5</v>
      </c>
      <c r="O446" s="175">
        <f t="shared" si="232"/>
        <v>6</v>
      </c>
      <c r="P446" s="175">
        <f t="shared" si="232"/>
        <v>7</v>
      </c>
      <c r="Q446" s="1463">
        <f t="shared" si="232"/>
        <v>8</v>
      </c>
      <c r="R446" s="1367">
        <f t="shared" ref="R446:T448" si="233">R400</f>
        <v>9</v>
      </c>
      <c r="S446" s="1367">
        <f t="shared" si="233"/>
        <v>10</v>
      </c>
      <c r="T446" s="1463">
        <f t="shared" si="233"/>
        <v>0</v>
      </c>
      <c r="U446" s="175">
        <f t="shared" ref="U446:V448" si="234">U400</f>
        <v>9</v>
      </c>
      <c r="V446" s="175">
        <f t="shared" si="234"/>
        <v>10</v>
      </c>
      <c r="W446" s="175">
        <f t="shared" ref="W446:Y448" si="235">W400</f>
        <v>11</v>
      </c>
      <c r="X446" s="175">
        <f t="shared" si="235"/>
        <v>12</v>
      </c>
      <c r="Y446" s="175">
        <f t="shared" si="235"/>
        <v>13</v>
      </c>
    </row>
    <row r="447" spans="2:25">
      <c r="B447" s="349"/>
      <c r="C447" s="349"/>
      <c r="D447" s="234"/>
      <c r="E447" s="234"/>
      <c r="F447" s="234"/>
      <c r="G447" s="234"/>
      <c r="H447" s="234"/>
      <c r="I447" s="176"/>
      <c r="J447" s="176"/>
      <c r="K447" s="176"/>
      <c r="L447" s="176"/>
      <c r="M447" s="176"/>
      <c r="N447" s="176"/>
      <c r="O447" s="176"/>
      <c r="P447" s="176"/>
      <c r="Q447" s="1464"/>
      <c r="R447" s="1368"/>
      <c r="S447" s="1368"/>
      <c r="T447" s="1464"/>
      <c r="U447" s="176"/>
      <c r="V447" s="176"/>
      <c r="W447" s="176"/>
      <c r="X447" s="176"/>
      <c r="Y447" s="176"/>
    </row>
    <row r="448" spans="2:25">
      <c r="B448" s="359"/>
      <c r="C448" s="359"/>
      <c r="D448" s="260"/>
      <c r="E448" s="235"/>
      <c r="F448" s="235"/>
      <c r="G448" s="235"/>
      <c r="H448" s="235"/>
      <c r="I448" s="178" t="s">
        <v>499</v>
      </c>
      <c r="J448" s="178" t="s">
        <v>499</v>
      </c>
      <c r="K448" s="245" t="s">
        <v>499</v>
      </c>
      <c r="L448" s="245" t="str">
        <f t="shared" si="232"/>
        <v>($)</v>
      </c>
      <c r="M448" s="245" t="str">
        <f t="shared" si="232"/>
        <v>($)</v>
      </c>
      <c r="N448" s="245" t="str">
        <f t="shared" si="232"/>
        <v>($)</v>
      </c>
      <c r="O448" s="245" t="str">
        <f t="shared" si="232"/>
        <v>($)</v>
      </c>
      <c r="P448" s="245" t="str">
        <f t="shared" si="232"/>
        <v>($)</v>
      </c>
      <c r="Q448" s="1517" t="str">
        <f t="shared" si="232"/>
        <v>($)</v>
      </c>
      <c r="R448" s="1422" t="str">
        <f t="shared" si="233"/>
        <v>($)</v>
      </c>
      <c r="S448" s="1422" t="str">
        <f t="shared" si="233"/>
        <v>($)</v>
      </c>
      <c r="T448" s="1517">
        <f t="shared" si="233"/>
        <v>0</v>
      </c>
      <c r="U448" s="245" t="str">
        <f t="shared" si="234"/>
        <v>($)</v>
      </c>
      <c r="V448" s="245" t="str">
        <f t="shared" si="234"/>
        <v>($)</v>
      </c>
      <c r="W448" s="245" t="str">
        <f t="shared" si="235"/>
        <v>($)</v>
      </c>
      <c r="X448" s="245" t="str">
        <f t="shared" si="235"/>
        <v>($)</v>
      </c>
      <c r="Y448" s="245" t="str">
        <f t="shared" si="235"/>
        <v>($)</v>
      </c>
    </row>
    <row r="449" spans="2:25" ht="15.75" customHeight="1">
      <c r="B449" s="237"/>
      <c r="C449" s="237"/>
      <c r="D449" s="237"/>
      <c r="E449" s="237"/>
      <c r="F449" s="237"/>
      <c r="G449" s="237"/>
      <c r="H449" s="237"/>
      <c r="I449" s="627"/>
      <c r="J449" s="273"/>
      <c r="K449" s="273"/>
      <c r="L449" s="273"/>
      <c r="M449" s="185"/>
      <c r="Q449" s="1466"/>
      <c r="R449" s="1371"/>
      <c r="S449" s="1371"/>
      <c r="T449" s="1466"/>
    </row>
    <row r="450" spans="2:25" ht="15.75" customHeight="1">
      <c r="B450" s="242" t="s">
        <v>220</v>
      </c>
      <c r="C450" s="242" t="s">
        <v>220</v>
      </c>
      <c r="D450" s="242"/>
      <c r="E450" s="242"/>
      <c r="F450" s="242"/>
      <c r="G450" s="242"/>
      <c r="H450" s="242"/>
      <c r="I450" s="269">
        <v>0</v>
      </c>
      <c r="J450" s="269">
        <v>291012055</v>
      </c>
      <c r="K450" s="269">
        <v>251665057.22380233</v>
      </c>
      <c r="L450" s="269">
        <f t="shared" ref="L450:U450" ca="1" si="236">L284</f>
        <v>56703535.010461986</v>
      </c>
      <c r="M450" s="269">
        <f t="shared" ca="1" si="236"/>
        <v>113982799.27848791</v>
      </c>
      <c r="N450" s="269">
        <f t="shared" ca="1" si="236"/>
        <v>133668721.83817935</v>
      </c>
      <c r="O450" s="269">
        <f t="shared" ca="1" si="236"/>
        <v>50297490.080947652</v>
      </c>
      <c r="P450" s="269">
        <f t="shared" ca="1" si="236"/>
        <v>176289264.77947298</v>
      </c>
      <c r="Q450" s="1528">
        <f t="shared" ca="1" si="236"/>
        <v>186569532.71280026</v>
      </c>
      <c r="R450" s="1433">
        <f ca="1">R284</f>
        <v>148177394.24380475</v>
      </c>
      <c r="S450" s="1433">
        <f ca="1">S284</f>
        <v>134756000.45843273</v>
      </c>
      <c r="T450" s="1528">
        <f ca="1">T284</f>
        <v>282933394.70223749</v>
      </c>
      <c r="U450" s="269">
        <f t="shared" ca="1" si="236"/>
        <v>256822552.42267117</v>
      </c>
      <c r="V450" s="269">
        <f ca="1">V284</f>
        <v>245106414.35366616</v>
      </c>
      <c r="W450" s="269">
        <f ca="1">W284</f>
        <v>261922460.03101408</v>
      </c>
      <c r="X450" s="269">
        <f ca="1">X284</f>
        <v>262248024.57845044</v>
      </c>
      <c r="Y450" s="269">
        <f ca="1">Y284</f>
        <v>224327383.46699756</v>
      </c>
    </row>
    <row r="451" spans="2:25" ht="15.75" customHeight="1">
      <c r="B451" s="242" t="s">
        <v>221</v>
      </c>
      <c r="C451" s="242" t="s">
        <v>221</v>
      </c>
      <c r="D451" s="242"/>
      <c r="E451" s="242"/>
      <c r="F451" s="242"/>
      <c r="G451" s="242"/>
      <c r="H451" s="242"/>
      <c r="I451" s="239">
        <v>26000000</v>
      </c>
      <c r="J451" s="239">
        <v>7811558.8900975501</v>
      </c>
      <c r="K451" s="239">
        <v>9840601.3594059478</v>
      </c>
      <c r="L451" s="239">
        <f>(47145400-11830000-23382600+11843500+3542100)/5</f>
        <v>5463680</v>
      </c>
      <c r="M451" s="269">
        <f>4500500-773100-1641400-453200</f>
        <v>1632800</v>
      </c>
      <c r="N451" s="269">
        <f>6405500-2355000+773000</f>
        <v>4823500</v>
      </c>
      <c r="O451" s="269">
        <v>7369000</v>
      </c>
      <c r="P451" s="269">
        <f>(96805000-7127000-4696000)/'Control list'!L23-('Ni segment'!P455+'Ni segment'!P457)</f>
        <v>10386750</v>
      </c>
      <c r="Q451" s="1528">
        <f>12847000</f>
        <v>12847000</v>
      </c>
      <c r="R451" s="1433">
        <f>11563746+5000000</f>
        <v>16563746</v>
      </c>
      <c r="S451" s="1433">
        <v>0</v>
      </c>
      <c r="T451" s="1528">
        <f>12847000</f>
        <v>12847000</v>
      </c>
      <c r="U451" s="269">
        <f>78639736*U452</f>
        <v>3145589.44</v>
      </c>
      <c r="V451" s="269">
        <f>61766442*V452</f>
        <v>2470657.6800000002</v>
      </c>
      <c r="W451" s="269">
        <f>68233945*W452</f>
        <v>2729357.8000000003</v>
      </c>
      <c r="X451" s="269">
        <f>83420006*X452</f>
        <v>3336800.24</v>
      </c>
      <c r="Y451" s="269">
        <f>84366453*Y452</f>
        <v>3374658.12</v>
      </c>
    </row>
    <row r="452" spans="2:25" ht="15.75" hidden="1" customHeight="1" outlineLevel="1">
      <c r="B452" s="242" t="s">
        <v>222</v>
      </c>
      <c r="C452" s="242" t="s">
        <v>222</v>
      </c>
      <c r="D452" s="242"/>
      <c r="E452" s="242"/>
      <c r="F452" s="242"/>
      <c r="G452" s="242"/>
      <c r="H452" s="242"/>
      <c r="I452" s="274"/>
      <c r="J452" s="274">
        <v>2.6842732992959861E-2</v>
      </c>
      <c r="K452" s="274">
        <v>7.0000000000000007E-2</v>
      </c>
      <c r="L452" s="274">
        <f ca="1">L451/L450</f>
        <v>9.6355191946885382E-2</v>
      </c>
      <c r="M452" s="274">
        <f ca="1">M451/M450</f>
        <v>1.4324968419232007E-2</v>
      </c>
      <c r="N452" s="274">
        <f ca="1">N451/N450</f>
        <v>3.6085480085905029E-2</v>
      </c>
      <c r="O452" s="274">
        <f ca="1">O451/O450</f>
        <v>0.14650830465179271</v>
      </c>
      <c r="P452" s="274">
        <f ca="1">P451/P450</f>
        <v>5.8918789031159581E-2</v>
      </c>
      <c r="Q452" s="1529">
        <v>0.04</v>
      </c>
      <c r="R452" s="1434">
        <v>0.04</v>
      </c>
      <c r="S452" s="1434">
        <v>0.04</v>
      </c>
      <c r="T452" s="1529">
        <v>0.04</v>
      </c>
      <c r="U452" s="274">
        <f>Q452</f>
        <v>0.04</v>
      </c>
      <c r="V452" s="274">
        <f>U452</f>
        <v>0.04</v>
      </c>
      <c r="W452" s="274">
        <f>V452</f>
        <v>0.04</v>
      </c>
      <c r="X452" s="274">
        <f>W452</f>
        <v>0.04</v>
      </c>
      <c r="Y452" s="274">
        <f>X452</f>
        <v>0.04</v>
      </c>
    </row>
    <row r="453" spans="2:25" ht="15.75" customHeight="1" collapsed="1">
      <c r="B453" s="242" t="s">
        <v>235</v>
      </c>
      <c r="C453" s="242" t="s">
        <v>235</v>
      </c>
      <c r="D453" s="242"/>
      <c r="E453" s="242"/>
      <c r="F453" s="242"/>
      <c r="G453" s="242"/>
      <c r="H453" s="242"/>
      <c r="I453" s="269">
        <f>(I33)*I45*60%</f>
        <v>0</v>
      </c>
      <c r="J453" s="269">
        <f>(J33)*J45*60%</f>
        <v>0</v>
      </c>
      <c r="K453" s="269">
        <f>(K33)*K45*60%</f>
        <v>4431517.8427722771</v>
      </c>
      <c r="L453" s="269">
        <f>(L33)*L45*60%</f>
        <v>0</v>
      </c>
      <c r="M453" s="269">
        <f>(M33)*M45*60%</f>
        <v>0</v>
      </c>
      <c r="N453" s="269">
        <f>15012400-1883200</f>
        <v>13129200</v>
      </c>
      <c r="O453" s="269">
        <v>17802178</v>
      </c>
      <c r="P453" s="269">
        <f t="shared" ref="P453:Y453" si="237">(P33)*P45*60%</f>
        <v>0</v>
      </c>
      <c r="Q453" s="1528">
        <f t="shared" si="237"/>
        <v>0</v>
      </c>
      <c r="R453" s="1433">
        <f>(R33)*R45*60%</f>
        <v>0</v>
      </c>
      <c r="S453" s="1433">
        <f>(S33)*S45*60%</f>
        <v>0</v>
      </c>
      <c r="T453" s="1528">
        <f>(T33)*T45*60%</f>
        <v>0</v>
      </c>
      <c r="U453" s="269">
        <f t="shared" si="237"/>
        <v>0</v>
      </c>
      <c r="V453" s="269">
        <f t="shared" si="237"/>
        <v>0</v>
      </c>
      <c r="W453" s="269">
        <f t="shared" si="237"/>
        <v>0</v>
      </c>
      <c r="X453" s="269">
        <f t="shared" si="237"/>
        <v>0</v>
      </c>
      <c r="Y453" s="269">
        <f t="shared" si="237"/>
        <v>5022171.351172803</v>
      </c>
    </row>
    <row r="454" spans="2:25" ht="15.75" customHeight="1">
      <c r="B454" s="242" t="s">
        <v>236</v>
      </c>
      <c r="C454" s="242" t="s">
        <v>236</v>
      </c>
      <c r="D454" s="242"/>
      <c r="E454" s="242"/>
      <c r="F454" s="242"/>
      <c r="G454" s="242"/>
      <c r="H454" s="242"/>
      <c r="I454" s="274"/>
      <c r="J454" s="274"/>
      <c r="K454" s="269"/>
      <c r="L454" s="269">
        <f>(L37)*L45*60%</f>
        <v>0</v>
      </c>
      <c r="M454" s="269">
        <f>(M37)*M45*60%</f>
        <v>984840</v>
      </c>
      <c r="N454" s="269">
        <f>3785500+146300</f>
        <v>3931800</v>
      </c>
      <c r="O454" s="269">
        <v>0</v>
      </c>
      <c r="P454" s="269">
        <f t="shared" ref="P454:Y454" si="238">(P37)*P45*60%</f>
        <v>0</v>
      </c>
      <c r="Q454" s="1528">
        <f t="shared" si="238"/>
        <v>0</v>
      </c>
      <c r="R454" s="1433">
        <f>(R37)*R45*60%</f>
        <v>0</v>
      </c>
      <c r="S454" s="1433">
        <f>(S37)*S45*60%</f>
        <v>0</v>
      </c>
      <c r="T454" s="1528">
        <f>(T37)*T45*60%</f>
        <v>0</v>
      </c>
      <c r="U454" s="269">
        <f t="shared" si="238"/>
        <v>0</v>
      </c>
      <c r="V454" s="269">
        <f t="shared" si="238"/>
        <v>0</v>
      </c>
      <c r="W454" s="269">
        <f t="shared" si="238"/>
        <v>0</v>
      </c>
      <c r="X454" s="269">
        <f t="shared" si="238"/>
        <v>0</v>
      </c>
      <c r="Y454" s="269">
        <f t="shared" si="238"/>
        <v>0</v>
      </c>
    </row>
    <row r="455" spans="2:25" ht="15.75" customHeight="1">
      <c r="B455" s="242" t="s">
        <v>237</v>
      </c>
      <c r="C455" s="242" t="s">
        <v>237</v>
      </c>
      <c r="D455" s="242"/>
      <c r="E455" s="242"/>
      <c r="F455" s="242"/>
      <c r="G455" s="242"/>
      <c r="H455" s="242"/>
      <c r="I455" s="274"/>
      <c r="J455" s="274"/>
      <c r="K455" s="269">
        <v>81388.718019801963</v>
      </c>
      <c r="L455" s="269">
        <f t="shared" ref="L455:U455" si="239">L41*L47*60%</f>
        <v>380000</v>
      </c>
      <c r="M455" s="269">
        <f t="shared" si="239"/>
        <v>271920</v>
      </c>
      <c r="N455" s="269">
        <f t="shared" si="239"/>
        <v>0</v>
      </c>
      <c r="O455" s="269">
        <f t="shared" si="239"/>
        <v>0</v>
      </c>
      <c r="P455" s="269">
        <f t="shared" si="239"/>
        <v>141600</v>
      </c>
      <c r="Q455" s="1528">
        <f t="shared" si="239"/>
        <v>0</v>
      </c>
      <c r="R455" s="1433">
        <f>R41*R47*60%</f>
        <v>0</v>
      </c>
      <c r="S455" s="1433">
        <f>S41*S47*60%</f>
        <v>0</v>
      </c>
      <c r="T455" s="1528">
        <f>T41*T47*60%</f>
        <v>0</v>
      </c>
      <c r="U455" s="269">
        <f t="shared" si="239"/>
        <v>171336.00000000003</v>
      </c>
      <c r="V455" s="269">
        <f>V41*V47*60%</f>
        <v>0</v>
      </c>
      <c r="W455" s="269">
        <f>W41*W47*60%</f>
        <v>0</v>
      </c>
      <c r="X455" s="269">
        <f>X41*X47*60%</f>
        <v>228048.21600000013</v>
      </c>
      <c r="Y455" s="269">
        <f>Y41*Y47*60%</f>
        <v>0</v>
      </c>
    </row>
    <row r="456" spans="2:25" ht="15.75" customHeight="1">
      <c r="B456" s="242" t="s">
        <v>223</v>
      </c>
      <c r="C456" s="242" t="s">
        <v>223</v>
      </c>
      <c r="D456" s="242"/>
      <c r="E456" s="242"/>
      <c r="F456" s="242"/>
      <c r="G456" s="242"/>
      <c r="H456" s="242"/>
      <c r="I456" s="269">
        <v>26000000</v>
      </c>
      <c r="J456" s="269">
        <v>7811558.8900975501</v>
      </c>
      <c r="K456" s="269">
        <v>14353507.920197999</v>
      </c>
      <c r="L456" s="269">
        <f t="shared" ref="L456:U456" si="240">SUM(L453:L455)+L451</f>
        <v>5843680</v>
      </c>
      <c r="M456" s="269">
        <f>SUM(M453:M455)+M451</f>
        <v>2889560</v>
      </c>
      <c r="N456" s="269">
        <f>SUM(N453:N455)+N451</f>
        <v>21884500</v>
      </c>
      <c r="O456" s="269">
        <f t="shared" si="240"/>
        <v>25171178</v>
      </c>
      <c r="P456" s="269">
        <f t="shared" si="240"/>
        <v>10528350</v>
      </c>
      <c r="Q456" s="1528">
        <f t="shared" si="240"/>
        <v>12847000</v>
      </c>
      <c r="R456" s="1433">
        <f>SUM(R453:R455)+R451</f>
        <v>16563746</v>
      </c>
      <c r="S456" s="1433">
        <f>SUM(S453:S455)+S451</f>
        <v>0</v>
      </c>
      <c r="T456" s="1528">
        <f>SUM(T453:T455)+T451</f>
        <v>12847000</v>
      </c>
      <c r="U456" s="269">
        <f t="shared" si="240"/>
        <v>3316925.44</v>
      </c>
      <c r="V456" s="269">
        <f>SUM(V453:V455)+V451</f>
        <v>2470657.6800000002</v>
      </c>
      <c r="W456" s="269">
        <f>SUM(W453:W455)+W451</f>
        <v>2729357.8000000003</v>
      </c>
      <c r="X456" s="269">
        <f>SUM(X453:X455)+X451</f>
        <v>3564848.4560000002</v>
      </c>
      <c r="Y456" s="269">
        <f>SUM(Y453:Y455)+Y451</f>
        <v>8396829.4711728022</v>
      </c>
    </row>
    <row r="457" spans="2:25" ht="15.75" customHeight="1">
      <c r="B457" s="242" t="s">
        <v>233</v>
      </c>
      <c r="C457" s="242" t="s">
        <v>233</v>
      </c>
      <c r="D457" s="242"/>
      <c r="E457" s="242"/>
      <c r="F457" s="242"/>
      <c r="G457" s="242"/>
      <c r="H457" s="242"/>
      <c r="I457" s="269"/>
      <c r="J457" s="269"/>
      <c r="K457" s="269">
        <v>1883200</v>
      </c>
      <c r="L457" s="269">
        <v>1883200</v>
      </c>
      <c r="M457" s="269">
        <v>1883200</v>
      </c>
      <c r="N457" s="269">
        <f>1883200</f>
        <v>1883200</v>
      </c>
      <c r="O457" s="269">
        <v>0</v>
      </c>
      <c r="P457" s="269">
        <f t="shared" ref="P457:Y457" si="241">SUM(P453:P455)/6*4</f>
        <v>94400</v>
      </c>
      <c r="Q457" s="1528">
        <f t="shared" si="241"/>
        <v>0</v>
      </c>
      <c r="R457" s="1433">
        <f>SUM(R453:R455)/6*4</f>
        <v>0</v>
      </c>
      <c r="S457" s="1433">
        <f>SUM(S453:S455)/6*4</f>
        <v>0</v>
      </c>
      <c r="T457" s="1528">
        <f>SUM(T453:T455)/6*4</f>
        <v>0</v>
      </c>
      <c r="U457" s="269">
        <f t="shared" si="241"/>
        <v>114224.00000000001</v>
      </c>
      <c r="V457" s="269">
        <f t="shared" si="241"/>
        <v>0</v>
      </c>
      <c r="W457" s="269">
        <f t="shared" si="241"/>
        <v>0</v>
      </c>
      <c r="X457" s="269">
        <f t="shared" si="241"/>
        <v>152032.14400000009</v>
      </c>
      <c r="Y457" s="269">
        <f t="shared" si="241"/>
        <v>3348114.234115202</v>
      </c>
    </row>
    <row r="458" spans="2:25" ht="15.75" customHeight="1">
      <c r="B458" s="242" t="s">
        <v>234</v>
      </c>
      <c r="C458" s="242" t="s">
        <v>234</v>
      </c>
      <c r="D458" s="242"/>
      <c r="E458" s="242"/>
      <c r="F458" s="242"/>
      <c r="G458" s="242"/>
      <c r="H458" s="242"/>
      <c r="I458" s="269">
        <v>26000000</v>
      </c>
      <c r="J458" s="269">
        <v>7811558.8900975501</v>
      </c>
      <c r="K458" s="269">
        <v>17362112.294059414</v>
      </c>
      <c r="L458" s="269">
        <f t="shared" ref="L458:U458" si="242">L456+L457</f>
        <v>7726880</v>
      </c>
      <c r="M458" s="269">
        <f>M456+M457</f>
        <v>4772760</v>
      </c>
      <c r="N458" s="269">
        <f>N456+N457</f>
        <v>23767700</v>
      </c>
      <c r="O458" s="269">
        <f t="shared" si="242"/>
        <v>25171178</v>
      </c>
      <c r="P458" s="269">
        <f t="shared" si="242"/>
        <v>10622750</v>
      </c>
      <c r="Q458" s="1528">
        <f t="shared" si="242"/>
        <v>12847000</v>
      </c>
      <c r="R458" s="1433">
        <f>R456+R457</f>
        <v>16563746</v>
      </c>
      <c r="S458" s="1433">
        <f>S456+S457</f>
        <v>0</v>
      </c>
      <c r="T458" s="1528">
        <f>T456+T457</f>
        <v>12847000</v>
      </c>
      <c r="U458" s="269">
        <f t="shared" si="242"/>
        <v>3431149.44</v>
      </c>
      <c r="V458" s="269">
        <f>V456+V457</f>
        <v>2470657.6800000002</v>
      </c>
      <c r="W458" s="269">
        <f>W456+W457</f>
        <v>2729357.8000000003</v>
      </c>
      <c r="X458" s="269">
        <f>X456+X457</f>
        <v>3716880.6000000006</v>
      </c>
      <c r="Y458" s="269">
        <f>Y456+Y457</f>
        <v>11744943.705288004</v>
      </c>
    </row>
    <row r="459" spans="2:25" ht="9.75" customHeight="1">
      <c r="B459" s="242"/>
      <c r="C459" s="242"/>
      <c r="D459" s="242"/>
      <c r="E459" s="242"/>
      <c r="F459" s="242"/>
      <c r="G459" s="242"/>
      <c r="H459" s="242"/>
      <c r="I459" s="275"/>
      <c r="J459" s="246"/>
      <c r="K459" s="246"/>
      <c r="L459" s="246"/>
      <c r="M459" s="185"/>
      <c r="Q459" s="1466"/>
      <c r="R459" s="1371"/>
      <c r="S459" s="1371"/>
      <c r="T459" s="1466"/>
    </row>
    <row r="460" spans="2:25" ht="15.75" customHeight="1">
      <c r="B460" s="244" t="s">
        <v>224</v>
      </c>
      <c r="C460" s="244" t="s">
        <v>224</v>
      </c>
      <c r="D460" s="244"/>
      <c r="E460" s="242"/>
      <c r="F460" s="242"/>
      <c r="G460" s="242"/>
      <c r="H460" s="242"/>
      <c r="I460" s="246"/>
      <c r="J460" s="221">
        <v>83259875</v>
      </c>
      <c r="K460" s="221">
        <v>81481479.890097544</v>
      </c>
      <c r="L460" s="221">
        <f>K465</f>
        <v>88094834.00401172</v>
      </c>
      <c r="M460" s="246">
        <f t="shared" ref="M460:W460" ca="1" si="243">L465</f>
        <v>55750608.729416065</v>
      </c>
      <c r="N460" s="221">
        <f t="shared" ca="1" si="243"/>
        <v>49016013.520669162</v>
      </c>
      <c r="O460" s="221">
        <f t="shared" ca="1" si="243"/>
        <v>61264163.811922267</v>
      </c>
      <c r="P460" s="221">
        <f t="shared" ca="1" si="243"/>
        <v>69794736.486508697</v>
      </c>
      <c r="Q460" s="1518">
        <f t="shared" ca="1" si="243"/>
        <v>70911299.627761796</v>
      </c>
      <c r="R460" s="1423">
        <f ca="1">P465</f>
        <v>70911299.627761796</v>
      </c>
      <c r="S460" s="1423">
        <f ca="1">R465</f>
        <v>82869621.406721681</v>
      </c>
      <c r="T460" s="1518">
        <f t="shared" ca="1" si="243"/>
        <v>78279930.519014895</v>
      </c>
      <c r="U460" s="221">
        <f ca="1">Q465</f>
        <v>74293102.352348223</v>
      </c>
      <c r="V460" s="221">
        <f t="shared" ca="1" si="243"/>
        <v>67814026.11426799</v>
      </c>
      <c r="W460" s="221">
        <f t="shared" ca="1" si="243"/>
        <v>60258379.604854435</v>
      </c>
      <c r="X460" s="221">
        <f ca="1">W465</f>
        <v>56300940.078440867</v>
      </c>
      <c r="Y460" s="221">
        <f ca="1">X465</f>
        <v>54036096.033370532</v>
      </c>
    </row>
    <row r="461" spans="2:25" ht="15.75" customHeight="1">
      <c r="B461" s="331" t="s">
        <v>225</v>
      </c>
      <c r="C461" s="331" t="s">
        <v>225</v>
      </c>
      <c r="D461" s="244"/>
      <c r="E461" s="242"/>
      <c r="F461" s="242"/>
      <c r="G461" s="242"/>
      <c r="H461" s="242"/>
      <c r="I461" s="269"/>
      <c r="J461" s="269">
        <v>7811558.8900975501</v>
      </c>
      <c r="K461" s="269">
        <v>17362112.294059414</v>
      </c>
      <c r="L461" s="269">
        <f t="shared" ref="L461:U461" si="244">L458</f>
        <v>7726880</v>
      </c>
      <c r="M461" s="269">
        <f>M458</f>
        <v>4772760</v>
      </c>
      <c r="N461" s="269">
        <f t="shared" si="244"/>
        <v>23767700</v>
      </c>
      <c r="O461" s="269">
        <f t="shared" si="244"/>
        <v>25171178</v>
      </c>
      <c r="P461" s="269">
        <f t="shared" si="244"/>
        <v>10622750</v>
      </c>
      <c r="Q461" s="1528">
        <f t="shared" si="244"/>
        <v>12847000</v>
      </c>
      <c r="R461" s="1433">
        <f>R458</f>
        <v>16563746</v>
      </c>
      <c r="S461" s="1433">
        <f>S458</f>
        <v>0</v>
      </c>
      <c r="T461" s="1528">
        <f>T458</f>
        <v>12847000</v>
      </c>
      <c r="U461" s="269">
        <f t="shared" si="244"/>
        <v>3431149.44</v>
      </c>
      <c r="V461" s="269">
        <f>V458</f>
        <v>2470657.6800000002</v>
      </c>
      <c r="W461" s="269">
        <f>W458</f>
        <v>2729357.8000000003</v>
      </c>
      <c r="X461" s="269">
        <f>X458</f>
        <v>3716880.6000000006</v>
      </c>
      <c r="Y461" s="269">
        <f>Y458</f>
        <v>11744943.705288004</v>
      </c>
    </row>
    <row r="462" spans="2:25" ht="15.75" customHeight="1">
      <c r="B462" s="331" t="s">
        <v>226</v>
      </c>
      <c r="C462" s="331" t="s">
        <v>226</v>
      </c>
      <c r="D462" s="244"/>
      <c r="E462" s="242"/>
      <c r="F462" s="242"/>
      <c r="G462" s="242"/>
      <c r="H462" s="242"/>
      <c r="I462" s="246"/>
      <c r="J462" s="246">
        <v>-9589954</v>
      </c>
      <c r="K462" s="246">
        <v>-10748758.180145234</v>
      </c>
      <c r="L462" s="246">
        <f t="shared" ref="L462:U462" ca="1" si="245">-L490+L474-L464</f>
        <v>-9609829.4032517765</v>
      </c>
      <c r="M462" s="246">
        <f t="shared" ca="1" si="245"/>
        <v>-6015155.2087468999</v>
      </c>
      <c r="N462" s="246">
        <f t="shared" ca="1" si="245"/>
        <v>-6728666.7087468989</v>
      </c>
      <c r="O462" s="246">
        <f t="shared" ca="1" si="245"/>
        <v>-7952138.6587468991</v>
      </c>
      <c r="P462" s="246">
        <f t="shared" ca="1" si="245"/>
        <v>-8846986.8587468993</v>
      </c>
      <c r="Q462" s="1518">
        <f t="shared" ca="1" si="245"/>
        <v>-9433730.6087468993</v>
      </c>
      <c r="R462" s="1423">
        <f ca="1">-R490+R474-R464</f>
        <v>-4573957.5543734496</v>
      </c>
      <c r="S462" s="1423">
        <f ca="1">-S490+S474-S464</f>
        <v>-4589690.8877067836</v>
      </c>
      <c r="T462" s="1518">
        <f>-T490+T474-T464</f>
        <v>0</v>
      </c>
      <c r="U462" s="246">
        <f t="shared" ca="1" si="245"/>
        <v>-9840684.3447468989</v>
      </c>
      <c r="V462" s="246">
        <f ca="1">-V490+V474-V464</f>
        <v>-9988229.5227468982</v>
      </c>
      <c r="W462" s="246">
        <f ca="1">-W490+W474-W464</f>
        <v>-6648722.6597469002</v>
      </c>
      <c r="X462" s="246">
        <f ca="1">-X490+X474-X464</f>
        <v>-5931047.2637370005</v>
      </c>
      <c r="Y462" s="246">
        <f ca="1">-Y490+Y474-Y464</f>
        <v>-5213371.8677270999</v>
      </c>
    </row>
    <row r="463" spans="2:25" ht="15.75" customHeight="1">
      <c r="B463" s="331" t="s">
        <v>227</v>
      </c>
      <c r="C463" s="331" t="s">
        <v>227</v>
      </c>
      <c r="D463" s="244"/>
      <c r="E463" s="242"/>
      <c r="F463" s="242"/>
      <c r="G463" s="242"/>
      <c r="H463" s="242"/>
      <c r="I463" s="239"/>
      <c r="J463" s="239">
        <v>0</v>
      </c>
      <c r="K463" s="239">
        <v>0</v>
      </c>
      <c r="L463" s="239">
        <v>-29205809.204677213</v>
      </c>
      <c r="M463" s="239">
        <f>-3609000</f>
        <v>-3609000</v>
      </c>
      <c r="N463" s="239">
        <f>-2907683</f>
        <v>-2907683</v>
      </c>
      <c r="O463" s="239">
        <f>-7433000</f>
        <v>-7433000</v>
      </c>
      <c r="P463" s="239">
        <v>0</v>
      </c>
      <c r="Q463" s="1511">
        <v>0</v>
      </c>
      <c r="R463" s="1417">
        <v>0</v>
      </c>
      <c r="S463" s="1417">
        <v>0</v>
      </c>
      <c r="T463" s="1511">
        <v>0</v>
      </c>
      <c r="U463" s="239">
        <v>0</v>
      </c>
      <c r="V463" s="239">
        <v>0</v>
      </c>
      <c r="W463" s="239">
        <v>0</v>
      </c>
      <c r="X463" s="239">
        <v>0</v>
      </c>
      <c r="Y463" s="239">
        <v>0</v>
      </c>
    </row>
    <row r="464" spans="2:25" ht="15.75" customHeight="1">
      <c r="B464" s="331" t="s">
        <v>228</v>
      </c>
      <c r="C464" s="331" t="s">
        <v>228</v>
      </c>
      <c r="D464" s="244"/>
      <c r="E464" s="242"/>
      <c r="F464" s="242"/>
      <c r="G464" s="242"/>
      <c r="H464" s="242"/>
      <c r="I464" s="239"/>
      <c r="J464" s="239"/>
      <c r="K464" s="239">
        <v>0</v>
      </c>
      <c r="L464" s="239">
        <f t="shared" ref="L464:W464" si="246">-(J457/3+K457/3+L457/3)</f>
        <v>-1255466.6666666667</v>
      </c>
      <c r="M464" s="239">
        <f t="shared" si="246"/>
        <v>-1883200</v>
      </c>
      <c r="N464" s="239">
        <f t="shared" si="246"/>
        <v>-1883200</v>
      </c>
      <c r="O464" s="239">
        <f t="shared" si="246"/>
        <v>-1255466.6666666667</v>
      </c>
      <c r="P464" s="239">
        <f t="shared" si="246"/>
        <v>-659200</v>
      </c>
      <c r="Q464" s="1511">
        <f t="shared" si="246"/>
        <v>-31466.666666666668</v>
      </c>
      <c r="R464" s="1417">
        <f>-(P457/3+Q457/3+R457/3)</f>
        <v>-31466.666666666668</v>
      </c>
      <c r="S464" s="1417">
        <f>-(Q457/3+R457/3+S457/3)</f>
        <v>0</v>
      </c>
      <c r="T464" s="1511">
        <f t="shared" si="246"/>
        <v>0</v>
      </c>
      <c r="U464" s="239">
        <f>-(P457/3+Q457/3+U457/3)</f>
        <v>-69541.333333333343</v>
      </c>
      <c r="V464" s="239">
        <f>-(Q457/3+U457/3+V457/3)</f>
        <v>-38074.666666666672</v>
      </c>
      <c r="W464" s="239">
        <f t="shared" si="246"/>
        <v>-38074.666666666672</v>
      </c>
      <c r="X464" s="239">
        <f>-(V457/3+W457/3+X457/3)</f>
        <v>-50677.38133333336</v>
      </c>
      <c r="Y464" s="239">
        <f>-(W457/3+X457/3+Y457/3)</f>
        <v>-1166715.4593717342</v>
      </c>
    </row>
    <row r="465" spans="2:25" ht="15.75" customHeight="1">
      <c r="B465" s="244" t="s">
        <v>229</v>
      </c>
      <c r="C465" s="244" t="s">
        <v>229</v>
      </c>
      <c r="D465" s="244"/>
      <c r="E465" s="242"/>
      <c r="F465" s="242"/>
      <c r="G465" s="242"/>
      <c r="H465" s="242"/>
      <c r="I465" s="246">
        <v>83259875</v>
      </c>
      <c r="J465" s="246">
        <v>81481479.890097544</v>
      </c>
      <c r="K465" s="246">
        <v>88094834.00401172</v>
      </c>
      <c r="L465" s="246">
        <f ca="1">SUM(L460:L464)</f>
        <v>55750608.729416065</v>
      </c>
      <c r="M465" s="246">
        <f t="shared" ref="M465:U465" ca="1" si="247">SUM(M460:M464)</f>
        <v>49016013.520669162</v>
      </c>
      <c r="N465" s="246">
        <f t="shared" ca="1" si="247"/>
        <v>61264163.811922267</v>
      </c>
      <c r="O465" s="246">
        <f t="shared" ca="1" si="247"/>
        <v>69794736.486508697</v>
      </c>
      <c r="P465" s="246">
        <f t="shared" ca="1" si="247"/>
        <v>70911299.627761796</v>
      </c>
      <c r="Q465" s="1518">
        <f t="shared" ca="1" si="247"/>
        <v>74293102.352348223</v>
      </c>
      <c r="R465" s="1423">
        <f ca="1">SUM(R460:R464)</f>
        <v>82869621.406721681</v>
      </c>
      <c r="S465" s="1423">
        <f ca="1">SUM(S460:S464)</f>
        <v>78279930.519014895</v>
      </c>
      <c r="T465" s="1518">
        <f ca="1">SUM(T460:T464)</f>
        <v>91126930.519014895</v>
      </c>
      <c r="U465" s="246">
        <f t="shared" ca="1" si="247"/>
        <v>67814026.11426799</v>
      </c>
      <c r="V465" s="246">
        <f ca="1">SUM(V460:V464)</f>
        <v>60258379.604854435</v>
      </c>
      <c r="W465" s="246">
        <f ca="1">SUM(W460:W464)</f>
        <v>56300940.078440867</v>
      </c>
      <c r="X465" s="246">
        <f ca="1">SUM(X460:X464)</f>
        <v>54036096.033370532</v>
      </c>
      <c r="Y465" s="246">
        <f ca="1">SUM(Y460:Y464)</f>
        <v>59400952.411559701</v>
      </c>
    </row>
    <row r="466" spans="2:25" ht="15.75" customHeight="1">
      <c r="B466" s="244" t="s">
        <v>230</v>
      </c>
      <c r="C466" s="244" t="s">
        <v>230</v>
      </c>
      <c r="D466" s="244"/>
      <c r="E466" s="242"/>
      <c r="F466" s="242"/>
      <c r="G466" s="242"/>
      <c r="H466" s="242"/>
      <c r="J466" s="246">
        <v>7630465</v>
      </c>
      <c r="K466" s="246">
        <v>7375900</v>
      </c>
      <c r="L466" s="246">
        <f>K468</f>
        <v>7121551.166666667</v>
      </c>
      <c r="M466" s="246">
        <f t="shared" ref="M466:W466" si="248">L468</f>
        <v>6867202.333333334</v>
      </c>
      <c r="N466" s="246">
        <f t="shared" si="248"/>
        <v>6612853.5000000009</v>
      </c>
      <c r="O466" s="246">
        <f t="shared" si="248"/>
        <v>6358504.6666666679</v>
      </c>
      <c r="P466" s="246">
        <f t="shared" si="248"/>
        <v>6104155.8333333349</v>
      </c>
      <c r="Q466" s="1518">
        <f t="shared" si="248"/>
        <v>5849807.0000000019</v>
      </c>
      <c r="R466" s="1423">
        <f>P468</f>
        <v>5849807.0000000019</v>
      </c>
      <c r="S466" s="1423">
        <f>R468</f>
        <v>5595458.1666666688</v>
      </c>
      <c r="T466" s="1518">
        <f t="shared" si="248"/>
        <v>5341109.3333333358</v>
      </c>
      <c r="U466" s="246">
        <f>Q468</f>
        <v>5595458.1666666688</v>
      </c>
      <c r="V466" s="246">
        <f t="shared" si="248"/>
        <v>5341109.3333333358</v>
      </c>
      <c r="W466" s="246">
        <f t="shared" si="248"/>
        <v>5086760.5000000028</v>
      </c>
      <c r="X466" s="246">
        <f>W468</f>
        <v>4832411.6666666698</v>
      </c>
      <c r="Y466" s="246">
        <f>X468</f>
        <v>4578062.8333333367</v>
      </c>
    </row>
    <row r="467" spans="2:25" ht="15.75" customHeight="1">
      <c r="B467" s="331" t="s">
        <v>231</v>
      </c>
      <c r="C467" s="331" t="s">
        <v>231</v>
      </c>
      <c r="D467" s="244"/>
      <c r="E467" s="242"/>
      <c r="F467" s="242"/>
      <c r="G467" s="242"/>
      <c r="H467" s="242"/>
      <c r="I467" s="246"/>
      <c r="J467" s="246">
        <v>-254565</v>
      </c>
      <c r="K467" s="246">
        <v>-254348.83333333334</v>
      </c>
      <c r="L467" s="246">
        <f t="shared" ref="L467:U467" si="249">-L474</f>
        <v>-254348.83333333334</v>
      </c>
      <c r="M467" s="246">
        <f t="shared" si="249"/>
        <v>-254348.83333333334</v>
      </c>
      <c r="N467" s="246">
        <f t="shared" si="249"/>
        <v>-254348.83333333334</v>
      </c>
      <c r="O467" s="246">
        <f t="shared" si="249"/>
        <v>-254348.83333333334</v>
      </c>
      <c r="P467" s="246">
        <f t="shared" si="249"/>
        <v>-254348.83333333334</v>
      </c>
      <c r="Q467" s="1518">
        <f t="shared" si="249"/>
        <v>-254348.83333333334</v>
      </c>
      <c r="R467" s="1423">
        <f>-R474</f>
        <v>-254348.83333333334</v>
      </c>
      <c r="S467" s="1423">
        <f>-S474</f>
        <v>-254348.83333333334</v>
      </c>
      <c r="T467" s="1518">
        <f>-T474</f>
        <v>0</v>
      </c>
      <c r="U467" s="246">
        <f t="shared" si="249"/>
        <v>-254348.83333333334</v>
      </c>
      <c r="V467" s="246">
        <f>-V474</f>
        <v>-254348.83333333334</v>
      </c>
      <c r="W467" s="246">
        <f>-W474</f>
        <v>-254348.83333333334</v>
      </c>
      <c r="X467" s="246">
        <f>-X474</f>
        <v>-254348.83333333334</v>
      </c>
      <c r="Y467" s="246">
        <f>-Y474</f>
        <v>-254348.83333333334</v>
      </c>
    </row>
    <row r="468" spans="2:25" ht="15.75" customHeight="1">
      <c r="B468" s="244" t="s">
        <v>232</v>
      </c>
      <c r="C468" s="244" t="s">
        <v>232</v>
      </c>
      <c r="D468" s="244"/>
      <c r="E468" s="242"/>
      <c r="F468" s="242"/>
      <c r="G468" s="242"/>
      <c r="H468" s="242"/>
      <c r="I468" s="246">
        <v>7630465</v>
      </c>
      <c r="J468" s="246">
        <v>7375900</v>
      </c>
      <c r="K468" s="246">
        <v>7121551.166666667</v>
      </c>
      <c r="L468" s="246">
        <f t="shared" ref="L468:U468" si="250">L466+L467</f>
        <v>6867202.333333334</v>
      </c>
      <c r="M468" s="246">
        <f t="shared" si="250"/>
        <v>6612853.5000000009</v>
      </c>
      <c r="N468" s="246">
        <f t="shared" si="250"/>
        <v>6358504.6666666679</v>
      </c>
      <c r="O468" s="246">
        <f t="shared" si="250"/>
        <v>6104155.8333333349</v>
      </c>
      <c r="P468" s="246">
        <f t="shared" si="250"/>
        <v>5849807.0000000019</v>
      </c>
      <c r="Q468" s="1518">
        <f t="shared" si="250"/>
        <v>5595458.1666666688</v>
      </c>
      <c r="R468" s="1423">
        <f>R466+R467</f>
        <v>5595458.1666666688</v>
      </c>
      <c r="S468" s="1423">
        <f>S466+S467</f>
        <v>5341109.3333333358</v>
      </c>
      <c r="T468" s="1518">
        <f>T466+T467</f>
        <v>5341109.3333333358</v>
      </c>
      <c r="U468" s="246">
        <f t="shared" si="250"/>
        <v>5341109.3333333358</v>
      </c>
      <c r="V468" s="246">
        <f>V466+V467</f>
        <v>5086760.5000000028</v>
      </c>
      <c r="W468" s="246">
        <f>W466+W467</f>
        <v>4832411.6666666698</v>
      </c>
      <c r="X468" s="246">
        <f>X466+X467</f>
        <v>4578062.8333333367</v>
      </c>
      <c r="Y468" s="246">
        <f>Y466+Y467</f>
        <v>4323714.0000000037</v>
      </c>
    </row>
    <row r="469" spans="2:25" ht="15.75" customHeight="1">
      <c r="B469" s="242"/>
      <c r="C469" s="242"/>
      <c r="D469" s="242"/>
      <c r="E469" s="242"/>
      <c r="F469" s="242"/>
      <c r="G469" s="242"/>
      <c r="H469" s="242"/>
      <c r="I469" s="276"/>
      <c r="J469" s="246"/>
      <c r="K469" s="246"/>
      <c r="L469" s="246"/>
      <c r="M469" s="185"/>
      <c r="Q469" s="1466"/>
      <c r="R469" s="1371"/>
      <c r="S469" s="1371"/>
      <c r="T469" s="1371"/>
    </row>
    <row r="470" spans="2:25" ht="15.75" hidden="1" customHeight="1" outlineLevel="1">
      <c r="B470" s="242"/>
      <c r="C470" s="242"/>
      <c r="D470" s="242"/>
      <c r="E470" s="242"/>
      <c r="F470" s="246"/>
      <c r="G470" s="221"/>
      <c r="H470" s="221"/>
      <c r="I470" s="277"/>
      <c r="J470" s="227"/>
      <c r="K470" s="246"/>
      <c r="L470" s="246"/>
      <c r="M470" s="185"/>
      <c r="Q470" s="1466"/>
      <c r="R470" s="1371"/>
      <c r="S470" s="1371"/>
      <c r="T470" s="1371"/>
    </row>
    <row r="471" spans="2:25" ht="15.75" hidden="1" customHeight="1" outlineLevel="2">
      <c r="B471" s="353"/>
      <c r="C471" s="353"/>
      <c r="D471" s="242"/>
      <c r="E471" s="242"/>
      <c r="F471" s="246"/>
      <c r="G471" s="221"/>
      <c r="H471" s="246" t="s">
        <v>462</v>
      </c>
      <c r="I471" s="227"/>
      <c r="J471" s="246"/>
      <c r="K471" s="227"/>
      <c r="L471" s="252"/>
      <c r="M471" s="185"/>
      <c r="Q471" s="1466"/>
      <c r="R471" s="1371"/>
      <c r="S471" s="1371"/>
      <c r="T471" s="1371"/>
    </row>
    <row r="472" spans="2:25" ht="15.75" hidden="1" customHeight="1" outlineLevel="2">
      <c r="B472" s="169"/>
      <c r="C472" s="169"/>
      <c r="D472" s="244"/>
      <c r="E472" s="279" t="s">
        <v>33</v>
      </c>
      <c r="F472" s="221">
        <f>I313</f>
        <v>13869730</v>
      </c>
      <c r="G472" s="221"/>
      <c r="H472" s="246">
        <v>45</v>
      </c>
      <c r="I472" s="246" t="s">
        <v>449</v>
      </c>
      <c r="J472" s="246">
        <v>308216.22222222225</v>
      </c>
      <c r="K472" s="246">
        <v>308216.22222222225</v>
      </c>
      <c r="L472" s="246">
        <f>SLN($F472,,$H472)</f>
        <v>308216.22222222225</v>
      </c>
      <c r="M472" s="246">
        <f t="shared" ref="M472:Y474" si="251">SLN($F472,,$H472)</f>
        <v>308216.22222222225</v>
      </c>
      <c r="N472" s="246">
        <f>SLN($F472,,$H472)</f>
        <v>308216.22222222225</v>
      </c>
      <c r="O472" s="246">
        <f t="shared" si="251"/>
        <v>308216.22222222225</v>
      </c>
      <c r="P472" s="246">
        <f t="shared" si="251"/>
        <v>308216.22222222225</v>
      </c>
      <c r="Q472" s="1518">
        <f t="shared" si="251"/>
        <v>308216.22222222225</v>
      </c>
      <c r="R472" s="1423">
        <f t="shared" si="251"/>
        <v>308216.22222222225</v>
      </c>
      <c r="S472" s="1423">
        <f t="shared" si="251"/>
        <v>308216.22222222225</v>
      </c>
      <c r="T472" s="1423"/>
      <c r="U472" s="246">
        <f t="shared" si="251"/>
        <v>308216.22222222225</v>
      </c>
      <c r="V472" s="246">
        <f t="shared" si="251"/>
        <v>308216.22222222225</v>
      </c>
      <c r="W472" s="246">
        <f t="shared" si="251"/>
        <v>308216.22222222225</v>
      </c>
      <c r="X472" s="246">
        <f t="shared" si="251"/>
        <v>308216.22222222225</v>
      </c>
      <c r="Y472" s="246">
        <f t="shared" si="251"/>
        <v>308216.22222222225</v>
      </c>
    </row>
    <row r="473" spans="2:25" ht="15.75" hidden="1" customHeight="1" outlineLevel="2">
      <c r="B473" s="169"/>
      <c r="C473" s="169"/>
      <c r="D473" s="244"/>
      <c r="E473" s="279" t="s">
        <v>34</v>
      </c>
      <c r="F473" s="221">
        <f>I311</f>
        <v>69390145</v>
      </c>
      <c r="G473" s="221"/>
      <c r="H473" s="246">
        <v>20</v>
      </c>
      <c r="I473" s="246" t="s">
        <v>449</v>
      </c>
      <c r="J473" s="246">
        <v>6939014.5</v>
      </c>
      <c r="K473" s="246">
        <v>6939014.5</v>
      </c>
      <c r="L473" s="246">
        <f>K473</f>
        <v>6939014.5</v>
      </c>
      <c r="M473" s="246">
        <f t="shared" si="251"/>
        <v>3469507.25</v>
      </c>
      <c r="N473" s="246">
        <f t="shared" si="251"/>
        <v>3469507.25</v>
      </c>
      <c r="O473" s="246">
        <f t="shared" si="251"/>
        <v>3469507.25</v>
      </c>
      <c r="P473" s="246">
        <f t="shared" si="251"/>
        <v>3469507.25</v>
      </c>
      <c r="Q473" s="1518">
        <f t="shared" si="251"/>
        <v>3469507.25</v>
      </c>
      <c r="R473" s="1423">
        <f t="shared" si="251"/>
        <v>3469507.25</v>
      </c>
      <c r="S473" s="1423">
        <f t="shared" si="251"/>
        <v>3469507.25</v>
      </c>
      <c r="T473" s="1423"/>
      <c r="U473" s="246">
        <f t="shared" si="251"/>
        <v>3469507.25</v>
      </c>
      <c r="V473" s="246">
        <f t="shared" si="251"/>
        <v>3469507.25</v>
      </c>
      <c r="W473" s="246"/>
      <c r="X473" s="246"/>
      <c r="Y473" s="246"/>
    </row>
    <row r="474" spans="2:25" ht="15.75" hidden="1" customHeight="1" outlineLevel="2">
      <c r="B474" s="244"/>
      <c r="C474" s="244"/>
      <c r="D474" s="244"/>
      <c r="E474" s="279" t="s">
        <v>30</v>
      </c>
      <c r="F474" s="211">
        <f>I468</f>
        <v>7630465</v>
      </c>
      <c r="H474" s="246">
        <v>30</v>
      </c>
      <c r="I474" s="246" t="s">
        <v>449</v>
      </c>
      <c r="J474" s="246">
        <v>254348.83333333334</v>
      </c>
      <c r="K474" s="246">
        <v>254348.83333333334</v>
      </c>
      <c r="L474" s="246">
        <f>SLN($F474,,$H474)</f>
        <v>254348.83333333334</v>
      </c>
      <c r="M474" s="246">
        <f t="shared" si="251"/>
        <v>254348.83333333334</v>
      </c>
      <c r="N474" s="246">
        <f t="shared" si="251"/>
        <v>254348.83333333334</v>
      </c>
      <c r="O474" s="246">
        <f t="shared" si="251"/>
        <v>254348.83333333334</v>
      </c>
      <c r="P474" s="246">
        <f t="shared" si="251"/>
        <v>254348.83333333334</v>
      </c>
      <c r="Q474" s="1518">
        <f t="shared" si="251"/>
        <v>254348.83333333334</v>
      </c>
      <c r="R474" s="1423">
        <f t="shared" si="251"/>
        <v>254348.83333333334</v>
      </c>
      <c r="S474" s="1423">
        <f t="shared" si="251"/>
        <v>254348.83333333334</v>
      </c>
      <c r="T474" s="1423"/>
      <c r="U474" s="246">
        <f t="shared" si="251"/>
        <v>254348.83333333334</v>
      </c>
      <c r="V474" s="246">
        <f t="shared" si="251"/>
        <v>254348.83333333334</v>
      </c>
      <c r="W474" s="246">
        <f t="shared" si="251"/>
        <v>254348.83333333334</v>
      </c>
      <c r="X474" s="246">
        <f t="shared" si="251"/>
        <v>254348.83333333334</v>
      </c>
      <c r="Y474" s="246">
        <f t="shared" si="251"/>
        <v>254348.83333333334</v>
      </c>
    </row>
    <row r="475" spans="2:25" ht="15.75" hidden="1" customHeight="1" outlineLevel="2">
      <c r="B475" s="244"/>
      <c r="C475" s="244"/>
      <c r="D475" s="244"/>
      <c r="E475" s="277"/>
      <c r="I475" s="227"/>
      <c r="J475" s="246"/>
      <c r="K475" s="227"/>
      <c r="L475" s="252"/>
      <c r="M475" s="185"/>
      <c r="Q475" s="1466"/>
      <c r="R475" s="1371"/>
      <c r="S475" s="1371"/>
      <c r="T475" s="1371"/>
    </row>
    <row r="476" spans="2:25" ht="15.75" hidden="1" customHeight="1" outlineLevel="2">
      <c r="B476" s="244"/>
      <c r="C476" s="244"/>
      <c r="D476" s="244"/>
      <c r="E476" s="396"/>
      <c r="F476" s="395" t="str">
        <f>C451</f>
        <v>Capital Investments (with out furnace renewal and maintenance)</v>
      </c>
      <c r="G476" s="395"/>
      <c r="H476" s="246" t="str">
        <f>H471</f>
        <v>Срок полезного использования</v>
      </c>
      <c r="I476" s="246"/>
      <c r="J476" s="246"/>
      <c r="K476" s="246"/>
      <c r="L476" s="246"/>
      <c r="M476" s="185"/>
      <c r="Q476" s="1466"/>
      <c r="R476" s="1371"/>
      <c r="S476" s="1371"/>
      <c r="T476" s="1371"/>
    </row>
    <row r="477" spans="2:25" ht="15.75" hidden="1" customHeight="1" outlineLevel="2">
      <c r="B477" s="244"/>
      <c r="C477" s="244"/>
      <c r="D477" s="244"/>
      <c r="E477" s="396">
        <v>1</v>
      </c>
      <c r="F477" s="221">
        <f ca="1">OFFSET($I$456,0,E477)</f>
        <v>7811558.8900975501</v>
      </c>
      <c r="G477" s="221"/>
      <c r="H477" s="246">
        <f>$H$473</f>
        <v>20</v>
      </c>
      <c r="I477" s="227"/>
      <c r="J477" s="246">
        <v>390577.94450487749</v>
      </c>
      <c r="K477" s="246">
        <v>781155.88900975499</v>
      </c>
      <c r="L477" s="246">
        <f>K477</f>
        <v>781155.88900975499</v>
      </c>
      <c r="M477" s="246">
        <f t="shared" ref="M477:Y479" ca="1" si="252">SLN($F477,,$H477)</f>
        <v>390577.94450487749</v>
      </c>
      <c r="N477" s="246">
        <f t="shared" ca="1" si="252"/>
        <v>390577.94450487749</v>
      </c>
      <c r="O477" s="246">
        <f t="shared" ca="1" si="252"/>
        <v>390577.94450487749</v>
      </c>
      <c r="P477" s="246">
        <f t="shared" ca="1" si="252"/>
        <v>390577.94450487749</v>
      </c>
      <c r="Q477" s="1518">
        <f t="shared" ca="1" si="252"/>
        <v>390577.94450487749</v>
      </c>
      <c r="R477" s="1423">
        <f t="shared" ca="1" si="252"/>
        <v>390577.94450487749</v>
      </c>
      <c r="S477" s="1423">
        <f t="shared" ca="1" si="252"/>
        <v>390577.94450487749</v>
      </c>
      <c r="T477" s="1423"/>
      <c r="U477" s="246">
        <f t="shared" ca="1" si="252"/>
        <v>390577.94450487749</v>
      </c>
      <c r="V477" s="246">
        <f t="shared" ca="1" si="252"/>
        <v>390577.94450487749</v>
      </c>
      <c r="W477" s="246">
        <f t="shared" ca="1" si="252"/>
        <v>390577.94450487749</v>
      </c>
      <c r="X477" s="246">
        <f t="shared" ca="1" si="252"/>
        <v>390577.94450487749</v>
      </c>
      <c r="Y477" s="246">
        <f t="shared" ca="1" si="252"/>
        <v>390577.94450487749</v>
      </c>
    </row>
    <row r="478" spans="2:25" ht="15.75" hidden="1" customHeight="1" outlineLevel="2">
      <c r="B478" s="244"/>
      <c r="C478" s="244"/>
      <c r="D478" s="244"/>
      <c r="E478" s="396">
        <f t="shared" ref="E478:E488" si="253">E477+1</f>
        <v>2</v>
      </c>
      <c r="F478" s="221">
        <f ca="1">OFFSET($I$456,0,E478)</f>
        <v>14353507.920197999</v>
      </c>
      <c r="G478" s="221"/>
      <c r="H478" s="246">
        <v>10</v>
      </c>
      <c r="I478" s="227"/>
      <c r="J478" s="246"/>
      <c r="K478" s="246">
        <v>717675.39600990131</v>
      </c>
      <c r="L478" s="246">
        <f ca="1">SLN($F478,,$H478)</f>
        <v>1435350.7920197998</v>
      </c>
      <c r="M478" s="246">
        <f t="shared" ca="1" si="252"/>
        <v>1435350.7920197998</v>
      </c>
      <c r="N478" s="246">
        <f t="shared" ca="1" si="252"/>
        <v>1435350.7920197998</v>
      </c>
      <c r="O478" s="246">
        <f ca="1">SLN($F478,,$H478)</f>
        <v>1435350.7920197998</v>
      </c>
      <c r="P478" s="246">
        <f t="shared" ca="1" si="252"/>
        <v>1435350.7920197998</v>
      </c>
      <c r="Q478" s="1518">
        <f t="shared" ca="1" si="252"/>
        <v>1435350.7920197998</v>
      </c>
      <c r="R478" s="1423">
        <f t="shared" ca="1" si="252"/>
        <v>1435350.7920197998</v>
      </c>
      <c r="S478" s="1423">
        <f t="shared" ca="1" si="252"/>
        <v>1435350.7920197998</v>
      </c>
      <c r="T478" s="1423"/>
      <c r="U478" s="246">
        <f t="shared" ca="1" si="252"/>
        <v>1435350.7920197998</v>
      </c>
      <c r="V478" s="246">
        <f t="shared" ca="1" si="252"/>
        <v>1435350.7920197998</v>
      </c>
      <c r="W478" s="246">
        <f t="shared" ca="1" si="252"/>
        <v>1435350.7920197998</v>
      </c>
      <c r="X478" s="246">
        <f ca="1">SLN($F478,,$H478)/2</f>
        <v>717675.39600989991</v>
      </c>
      <c r="Y478" s="246"/>
    </row>
    <row r="479" spans="2:25" ht="15.75" hidden="1" customHeight="1" outlineLevel="2">
      <c r="B479" s="244"/>
      <c r="C479" s="244"/>
      <c r="D479" s="244"/>
      <c r="E479" s="396">
        <f t="shared" si="253"/>
        <v>3</v>
      </c>
      <c r="F479" s="221">
        <f ca="1">OFFSET($I$456,0,E479)</f>
        <v>5843680</v>
      </c>
      <c r="G479" s="221"/>
      <c r="H479" s="246">
        <f t="shared" ref="H479:H488" si="254">$H$473</f>
        <v>20</v>
      </c>
      <c r="I479" s="227"/>
      <c r="J479" s="246"/>
      <c r="K479" s="246"/>
      <c r="L479" s="246">
        <f ca="1">SLN($F479,,$H479)/2</f>
        <v>146092</v>
      </c>
      <c r="M479" s="246">
        <f ca="1">SLN($F479,,$H479)</f>
        <v>292184</v>
      </c>
      <c r="N479" s="246">
        <f ca="1">SLN($F479,,$H479)</f>
        <v>292184</v>
      </c>
      <c r="O479" s="246">
        <f ca="1">SLN($F479,,$H479)</f>
        <v>292184</v>
      </c>
      <c r="P479" s="246">
        <f t="shared" ref="P479:W483" ca="1" si="255">SLN($F479,,$H479)</f>
        <v>292184</v>
      </c>
      <c r="Q479" s="1518">
        <f t="shared" ca="1" si="255"/>
        <v>292184</v>
      </c>
      <c r="R479" s="1423">
        <f t="shared" ca="1" si="255"/>
        <v>292184</v>
      </c>
      <c r="S479" s="1423">
        <f t="shared" ca="1" si="255"/>
        <v>292184</v>
      </c>
      <c r="T479" s="1423"/>
      <c r="U479" s="246">
        <f t="shared" ca="1" si="255"/>
        <v>292184</v>
      </c>
      <c r="V479" s="246">
        <f t="shared" ca="1" si="255"/>
        <v>292184</v>
      </c>
      <c r="W479" s="246">
        <f t="shared" ca="1" si="255"/>
        <v>292184</v>
      </c>
      <c r="X479" s="246">
        <f t="shared" ca="1" si="252"/>
        <v>292184</v>
      </c>
      <c r="Y479" s="246">
        <f ca="1">SLN($F479,,$H479)</f>
        <v>292184</v>
      </c>
    </row>
    <row r="480" spans="2:25" ht="15.75" hidden="1" customHeight="1" outlineLevel="2">
      <c r="B480" s="227"/>
      <c r="C480" s="227"/>
      <c r="D480" s="227"/>
      <c r="E480" s="396">
        <f t="shared" si="253"/>
        <v>4</v>
      </c>
      <c r="F480" s="221">
        <f>M458</f>
        <v>4772760</v>
      </c>
      <c r="G480" s="221"/>
      <c r="H480" s="246">
        <f t="shared" si="254"/>
        <v>20</v>
      </c>
      <c r="I480" s="227"/>
      <c r="J480" s="246"/>
      <c r="K480" s="246"/>
      <c r="L480" s="246"/>
      <c r="M480" s="246">
        <f>SLN($F480,,$H480)/2</f>
        <v>119319</v>
      </c>
      <c r="N480" s="246">
        <f>SLN($F480,,$H480)</f>
        <v>238638</v>
      </c>
      <c r="O480" s="246">
        <f>SLN($F480,,$H480)</f>
        <v>238638</v>
      </c>
      <c r="P480" s="246">
        <f t="shared" si="255"/>
        <v>238638</v>
      </c>
      <c r="Q480" s="1518">
        <f t="shared" si="255"/>
        <v>238638</v>
      </c>
      <c r="R480" s="1423">
        <f t="shared" si="255"/>
        <v>238638</v>
      </c>
      <c r="S480" s="1423">
        <f t="shared" si="255"/>
        <v>238638</v>
      </c>
      <c r="T480" s="1423"/>
      <c r="U480" s="246">
        <f t="shared" si="255"/>
        <v>238638</v>
      </c>
      <c r="V480" s="246">
        <f t="shared" si="255"/>
        <v>238638</v>
      </c>
      <c r="W480" s="246">
        <f t="shared" si="255"/>
        <v>238638</v>
      </c>
      <c r="X480" s="246">
        <f t="shared" ref="X480:Y486" si="256">SLN($F480,,$H480)</f>
        <v>238638</v>
      </c>
      <c r="Y480" s="246">
        <f t="shared" si="256"/>
        <v>238638</v>
      </c>
    </row>
    <row r="481" spans="2:25" ht="15.75" hidden="1" customHeight="1" outlineLevel="2">
      <c r="B481" s="227"/>
      <c r="C481" s="227"/>
      <c r="D481" s="227"/>
      <c r="E481" s="396">
        <f t="shared" si="253"/>
        <v>5</v>
      </c>
      <c r="F481" s="221">
        <f>N458</f>
        <v>23767700</v>
      </c>
      <c r="G481" s="221"/>
      <c r="H481" s="246">
        <f t="shared" si="254"/>
        <v>20</v>
      </c>
      <c r="I481" s="227"/>
      <c r="J481" s="246"/>
      <c r="K481" s="246"/>
      <c r="L481" s="246"/>
      <c r="M481" s="185"/>
      <c r="N481" s="246">
        <f>SLN($F481,,$H481)/2</f>
        <v>594192.5</v>
      </c>
      <c r="O481" s="246">
        <f>SLN($F481,,$H481)</f>
        <v>1188385</v>
      </c>
      <c r="P481" s="246">
        <f t="shared" si="255"/>
        <v>1188385</v>
      </c>
      <c r="Q481" s="1518">
        <f t="shared" si="255"/>
        <v>1188385</v>
      </c>
      <c r="R481" s="1423">
        <f t="shared" si="255"/>
        <v>1188385</v>
      </c>
      <c r="S481" s="1423">
        <f t="shared" si="255"/>
        <v>1188385</v>
      </c>
      <c r="T481" s="1423"/>
      <c r="U481" s="246">
        <f t="shared" si="255"/>
        <v>1188385</v>
      </c>
      <c r="V481" s="246">
        <f t="shared" si="255"/>
        <v>1188385</v>
      </c>
      <c r="W481" s="246">
        <f t="shared" si="255"/>
        <v>1188385</v>
      </c>
      <c r="X481" s="246">
        <f t="shared" si="256"/>
        <v>1188385</v>
      </c>
      <c r="Y481" s="246">
        <f t="shared" si="256"/>
        <v>1188385</v>
      </c>
    </row>
    <row r="482" spans="2:25" ht="15.75" hidden="1" customHeight="1" outlineLevel="2">
      <c r="B482" s="227"/>
      <c r="C482" s="227"/>
      <c r="D482" s="227"/>
      <c r="E482" s="396">
        <f t="shared" si="253"/>
        <v>6</v>
      </c>
      <c r="F482" s="221">
        <f>O458</f>
        <v>25171178</v>
      </c>
      <c r="G482" s="221"/>
      <c r="H482" s="246">
        <f t="shared" si="254"/>
        <v>20</v>
      </c>
      <c r="I482" s="221"/>
      <c r="J482" s="246"/>
      <c r="K482" s="246"/>
      <c r="L482" s="246"/>
      <c r="M482" s="185"/>
      <c r="N482" s="246"/>
      <c r="O482" s="246">
        <f>SLN($F482,,$H482)/2</f>
        <v>629279.44999999995</v>
      </c>
      <c r="P482" s="246">
        <f t="shared" si="255"/>
        <v>1258558.8999999999</v>
      </c>
      <c r="Q482" s="1518">
        <f t="shared" si="255"/>
        <v>1258558.8999999999</v>
      </c>
      <c r="R482" s="1423">
        <f t="shared" si="255"/>
        <v>1258558.8999999999</v>
      </c>
      <c r="S482" s="1423">
        <f t="shared" si="255"/>
        <v>1258558.8999999999</v>
      </c>
      <c r="T482" s="1423"/>
      <c r="U482" s="246">
        <f t="shared" si="255"/>
        <v>1258558.8999999999</v>
      </c>
      <c r="V482" s="246">
        <f t="shared" si="255"/>
        <v>1258558.8999999999</v>
      </c>
      <c r="W482" s="246">
        <f t="shared" si="255"/>
        <v>1258558.8999999999</v>
      </c>
      <c r="X482" s="246">
        <f t="shared" si="256"/>
        <v>1258558.8999999999</v>
      </c>
      <c r="Y482" s="246">
        <f t="shared" si="256"/>
        <v>1258558.8999999999</v>
      </c>
    </row>
    <row r="483" spans="2:25" ht="15.75" hidden="1" customHeight="1" outlineLevel="2">
      <c r="B483" s="227"/>
      <c r="C483" s="227"/>
      <c r="D483" s="227"/>
      <c r="E483" s="396">
        <f t="shared" si="253"/>
        <v>7</v>
      </c>
      <c r="F483" s="221">
        <f>P458</f>
        <v>10622750</v>
      </c>
      <c r="G483" s="221"/>
      <c r="H483" s="246">
        <f t="shared" si="254"/>
        <v>20</v>
      </c>
      <c r="I483" s="221"/>
      <c r="J483" s="246"/>
      <c r="K483" s="246"/>
      <c r="L483" s="246"/>
      <c r="M483" s="185"/>
      <c r="P483" s="246">
        <f>SLN($F483,,$H483)/2</f>
        <v>265568.75</v>
      </c>
      <c r="Q483" s="1518">
        <f>SLN($F483,,$H483)</f>
        <v>531137.5</v>
      </c>
      <c r="R483" s="1423">
        <f t="shared" si="255"/>
        <v>531137.5</v>
      </c>
      <c r="S483" s="1423">
        <f t="shared" si="255"/>
        <v>531137.5</v>
      </c>
      <c r="T483" s="1423"/>
      <c r="U483" s="246">
        <f t="shared" ref="U483:W484" si="257">SLN($F483,,$H483)</f>
        <v>531137.5</v>
      </c>
      <c r="V483" s="246">
        <f t="shared" si="257"/>
        <v>531137.5</v>
      </c>
      <c r="W483" s="246">
        <f t="shared" si="257"/>
        <v>531137.5</v>
      </c>
      <c r="X483" s="246">
        <f t="shared" si="256"/>
        <v>531137.5</v>
      </c>
      <c r="Y483" s="246">
        <f t="shared" si="256"/>
        <v>531137.5</v>
      </c>
    </row>
    <row r="484" spans="2:25" ht="15.75" hidden="1" customHeight="1" outlineLevel="2">
      <c r="B484" s="227"/>
      <c r="C484" s="227"/>
      <c r="D484" s="227"/>
      <c r="E484" s="396">
        <f t="shared" si="253"/>
        <v>8</v>
      </c>
      <c r="F484" s="221">
        <f>Q458</f>
        <v>12847000</v>
      </c>
      <c r="G484" s="221"/>
      <c r="H484" s="246">
        <f t="shared" si="254"/>
        <v>20</v>
      </c>
      <c r="I484" s="221"/>
      <c r="J484" s="246"/>
      <c r="K484" s="246"/>
      <c r="L484" s="246"/>
      <c r="M484" s="185"/>
      <c r="Q484" s="1518">
        <f>SLN($F484,,$H484)/2</f>
        <v>321175</v>
      </c>
      <c r="R484" s="1423">
        <f>SLN($F484,,$H484)/2</f>
        <v>321175</v>
      </c>
      <c r="S484" s="1423">
        <f>SLN($F484,,$H484)/2</f>
        <v>321175</v>
      </c>
      <c r="T484" s="1423"/>
      <c r="U484" s="246">
        <f t="shared" si="257"/>
        <v>642350</v>
      </c>
      <c r="V484" s="246">
        <f t="shared" si="257"/>
        <v>642350</v>
      </c>
      <c r="W484" s="246">
        <f t="shared" si="257"/>
        <v>642350</v>
      </c>
      <c r="X484" s="246">
        <f t="shared" si="256"/>
        <v>642350</v>
      </c>
      <c r="Y484" s="246">
        <f t="shared" si="256"/>
        <v>642350</v>
      </c>
    </row>
    <row r="485" spans="2:25" ht="15.75" hidden="1" customHeight="1" outlineLevel="2">
      <c r="B485" s="244"/>
      <c r="C485" s="244"/>
      <c r="D485" s="244"/>
      <c r="E485" s="396">
        <f t="shared" si="253"/>
        <v>9</v>
      </c>
      <c r="F485" s="221">
        <f>U458</f>
        <v>3431149.44</v>
      </c>
      <c r="G485" s="221"/>
      <c r="H485" s="246">
        <f t="shared" si="254"/>
        <v>20</v>
      </c>
      <c r="I485" s="221"/>
      <c r="J485" s="246"/>
      <c r="K485" s="246"/>
      <c r="L485" s="246"/>
      <c r="M485" s="185"/>
      <c r="Q485" s="1466"/>
      <c r="R485" s="1371"/>
      <c r="S485" s="1371"/>
      <c r="T485" s="1371"/>
      <c r="U485" s="246">
        <f>SLN($F485,,$H485)/2</f>
        <v>85778.736000000004</v>
      </c>
      <c r="V485" s="246">
        <f>SLN($F485,,$H485)</f>
        <v>171557.47200000001</v>
      </c>
      <c r="W485" s="246">
        <f>SLN($F485,,$H485)</f>
        <v>171557.47200000001</v>
      </c>
      <c r="X485" s="246">
        <f t="shared" si="256"/>
        <v>171557.47200000001</v>
      </c>
      <c r="Y485" s="246">
        <f t="shared" si="256"/>
        <v>171557.47200000001</v>
      </c>
    </row>
    <row r="486" spans="2:25" ht="15.75" hidden="1" customHeight="1" outlineLevel="2">
      <c r="B486" s="244"/>
      <c r="C486" s="244"/>
      <c r="D486" s="244"/>
      <c r="E486" s="396">
        <f t="shared" si="253"/>
        <v>10</v>
      </c>
      <c r="F486" s="221">
        <f>V458</f>
        <v>2470657.6800000002</v>
      </c>
      <c r="G486" s="221"/>
      <c r="H486" s="246">
        <f t="shared" si="254"/>
        <v>20</v>
      </c>
      <c r="I486" s="221"/>
      <c r="J486" s="246"/>
      <c r="K486" s="246"/>
      <c r="L486" s="246"/>
      <c r="M486" s="185"/>
      <c r="Q486" s="1466"/>
      <c r="R486" s="1371"/>
      <c r="S486" s="1371"/>
      <c r="T486" s="1371"/>
      <c r="U486" s="246"/>
      <c r="V486" s="246">
        <f>SLN($F486,,$H486)/2</f>
        <v>61766.442000000003</v>
      </c>
      <c r="W486" s="246">
        <f>SLN($F486,,$H486)</f>
        <v>123532.88400000001</v>
      </c>
      <c r="X486" s="246">
        <f t="shared" si="256"/>
        <v>123532.88400000001</v>
      </c>
      <c r="Y486" s="246">
        <f t="shared" si="256"/>
        <v>123532.88400000001</v>
      </c>
    </row>
    <row r="487" spans="2:25" ht="15.75" hidden="1" customHeight="1" outlineLevel="2">
      <c r="B487" s="244"/>
      <c r="C487" s="244"/>
      <c r="D487" s="244"/>
      <c r="E487" s="396">
        <f t="shared" si="253"/>
        <v>11</v>
      </c>
      <c r="F487" s="221">
        <f>W458</f>
        <v>2729357.8000000003</v>
      </c>
      <c r="G487" s="221"/>
      <c r="H487" s="246">
        <f t="shared" si="254"/>
        <v>20</v>
      </c>
      <c r="I487" s="221"/>
      <c r="J487" s="246"/>
      <c r="K487" s="246"/>
      <c r="L487" s="246"/>
      <c r="M487" s="185"/>
      <c r="Q487" s="1466"/>
      <c r="R487" s="1371"/>
      <c r="S487" s="1371"/>
      <c r="T487" s="1371"/>
      <c r="U487" s="246"/>
      <c r="V487" s="246"/>
      <c r="W487" s="246">
        <f>SLN($F487,,$H487)/2</f>
        <v>68233.945000000007</v>
      </c>
      <c r="X487" s="246">
        <f>SLN($F487,,$H487)/2</f>
        <v>68233.945000000007</v>
      </c>
      <c r="Y487" s="246">
        <f>SLN($F487,,$H487)/2</f>
        <v>68233.945000000007</v>
      </c>
    </row>
    <row r="488" spans="2:25" ht="15.75" hidden="1" customHeight="1" outlineLevel="2">
      <c r="B488" s="244"/>
      <c r="C488" s="244"/>
      <c r="D488" s="244"/>
      <c r="E488" s="396">
        <f t="shared" si="253"/>
        <v>12</v>
      </c>
      <c r="F488" s="221" t="s">
        <v>524</v>
      </c>
      <c r="G488" s="221"/>
      <c r="H488" s="246">
        <f t="shared" si="254"/>
        <v>20</v>
      </c>
      <c r="I488" s="221"/>
      <c r="J488" s="246"/>
      <c r="K488" s="246"/>
      <c r="L488" s="246"/>
      <c r="M488" s="185"/>
      <c r="Q488" s="1466"/>
      <c r="R488" s="1371"/>
      <c r="S488" s="1371"/>
      <c r="T488" s="1371"/>
      <c r="U488" s="246"/>
      <c r="V488" s="246"/>
      <c r="W488" s="246"/>
      <c r="X488" s="246"/>
      <c r="Y488" s="246"/>
    </row>
    <row r="489" spans="2:25" ht="15.75" hidden="1" customHeight="1" outlineLevel="2">
      <c r="B489" s="244"/>
      <c r="C489" s="244"/>
      <c r="D489" s="244"/>
      <c r="E489" s="396"/>
      <c r="F489" s="221"/>
      <c r="G489" s="221"/>
      <c r="H489" s="246"/>
      <c r="I489" s="221"/>
      <c r="J489" s="246"/>
      <c r="K489" s="246"/>
      <c r="L489" s="246"/>
      <c r="M489" s="185"/>
      <c r="Q489" s="1466"/>
      <c r="R489" s="1371"/>
      <c r="S489" s="1371"/>
      <c r="T489" s="1371"/>
      <c r="U489" s="246"/>
      <c r="V489" s="246"/>
      <c r="W489" s="246"/>
      <c r="X489" s="246"/>
      <c r="Y489" s="246"/>
    </row>
    <row r="490" spans="2:25" ht="15.75" hidden="1" customHeight="1" outlineLevel="1">
      <c r="B490" s="244" t="s">
        <v>1726</v>
      </c>
      <c r="C490" s="244" t="s">
        <v>463</v>
      </c>
      <c r="D490" s="244"/>
      <c r="E490" s="244"/>
      <c r="F490" s="244"/>
      <c r="G490" s="244"/>
      <c r="H490" s="244"/>
      <c r="I490" s="239"/>
      <c r="J490" s="239">
        <v>7892157.5000604298</v>
      </c>
      <c r="K490" s="239">
        <v>11003107.013478568</v>
      </c>
      <c r="L490" s="239">
        <f ca="1">SUM(L472:L485)-L464</f>
        <v>11119644.903251776</v>
      </c>
      <c r="M490" s="239">
        <f ca="1">SUM(M472:M485)-M464</f>
        <v>8152704.0420802329</v>
      </c>
      <c r="N490" s="239">
        <f ca="1">SUM(N472:N485)-N464</f>
        <v>8866215.5420802329</v>
      </c>
      <c r="O490" s="239">
        <f ca="1">SUM(O472:O485)-O464</f>
        <v>9461954.1587469</v>
      </c>
      <c r="P490" s="239">
        <f t="shared" ref="P490:Y490" ca="1" si="258">SUM(P472:P488)-P464</f>
        <v>9760535.6920802332</v>
      </c>
      <c r="Q490" s="1511">
        <f t="shared" ca="1" si="258"/>
        <v>9719546.1087468993</v>
      </c>
      <c r="R490" s="1417">
        <f ca="1">(SUM(R472:R488)-R464)/2</f>
        <v>4859773.0543734496</v>
      </c>
      <c r="S490" s="1417">
        <f ca="1">(SUM(S472:S488)-S464)/2</f>
        <v>4844039.7210401166</v>
      </c>
      <c r="T490" s="1417"/>
      <c r="U490" s="239">
        <f t="shared" ca="1" si="258"/>
        <v>10164574.511413567</v>
      </c>
      <c r="V490" s="239">
        <f t="shared" ca="1" si="258"/>
        <v>10280653.022746898</v>
      </c>
      <c r="W490" s="239">
        <f t="shared" ca="1" si="258"/>
        <v>6941146.1597469002</v>
      </c>
      <c r="X490" s="239">
        <f t="shared" ca="1" si="258"/>
        <v>6236073.478403667</v>
      </c>
      <c r="Y490" s="239">
        <f t="shared" ca="1" si="258"/>
        <v>6634436.1604321674</v>
      </c>
    </row>
    <row r="491" spans="2:25" ht="15.75" hidden="1" customHeight="1" outlineLevel="1">
      <c r="B491" s="244" t="s">
        <v>1727</v>
      </c>
      <c r="C491" s="244" t="s">
        <v>31</v>
      </c>
      <c r="D491" s="244"/>
      <c r="E491" s="244"/>
      <c r="F491" s="244"/>
      <c r="G491" s="244"/>
      <c r="H491" s="244"/>
      <c r="I491" s="221"/>
      <c r="J491" s="221">
        <v>88857379.890097544</v>
      </c>
      <c r="K491" s="221">
        <v>95216385.170678392</v>
      </c>
      <c r="L491" s="221">
        <f t="shared" ref="L491:U491" ca="1" si="259">L465+L468</f>
        <v>62617811.062749401</v>
      </c>
      <c r="M491" s="246">
        <f t="shared" ca="1" si="259"/>
        <v>55628867.020669162</v>
      </c>
      <c r="N491" s="221">
        <f t="shared" ca="1" si="259"/>
        <v>67622668.478588939</v>
      </c>
      <c r="O491" s="221">
        <f t="shared" ca="1" si="259"/>
        <v>75898892.319842026</v>
      </c>
      <c r="P491" s="221">
        <f t="shared" ca="1" si="259"/>
        <v>76761106.627761796</v>
      </c>
      <c r="Q491" s="1518">
        <f t="shared" ca="1" si="259"/>
        <v>79888560.519014895</v>
      </c>
      <c r="R491" s="1423">
        <f ca="1">R465+R468</f>
        <v>88465079.573388353</v>
      </c>
      <c r="S491" s="1423">
        <f ca="1">S465+S468</f>
        <v>83621039.852348238</v>
      </c>
      <c r="T491" s="1423"/>
      <c r="U491" s="221">
        <f t="shared" ca="1" si="259"/>
        <v>73155135.447601318</v>
      </c>
      <c r="V491" s="221">
        <f ca="1">V465+V468</f>
        <v>65345140.104854435</v>
      </c>
      <c r="W491" s="221">
        <f ca="1">W465+W468</f>
        <v>61133351.745107539</v>
      </c>
      <c r="X491" s="221">
        <f ca="1">X465+X468</f>
        <v>58614158.866703868</v>
      </c>
      <c r="Y491" s="221">
        <f ca="1">Y465+Y468</f>
        <v>63724666.411559701</v>
      </c>
    </row>
    <row r="492" spans="2:25" ht="15.75" hidden="1" customHeight="1" outlineLevel="1">
      <c r="B492" s="331" t="s">
        <v>1728</v>
      </c>
      <c r="C492" s="331" t="s">
        <v>526</v>
      </c>
      <c r="D492" s="331"/>
      <c r="E492" s="244"/>
      <c r="F492" s="244"/>
      <c r="G492" s="244"/>
      <c r="H492" s="244"/>
      <c r="I492" s="278"/>
      <c r="J492" s="278">
        <v>8.8818255836732724E-2</v>
      </c>
      <c r="K492" s="278">
        <v>0.11555896596741358</v>
      </c>
      <c r="L492" s="278">
        <f t="shared" ref="L492:U492" ca="1" si="260">L490/L491</f>
        <v>0.17757958501789153</v>
      </c>
      <c r="M492" s="243">
        <f t="shared" ca="1" si="260"/>
        <v>0.14655527747942554</v>
      </c>
      <c r="N492" s="278">
        <f t="shared" ca="1" si="260"/>
        <v>0.13111306817014332</v>
      </c>
      <c r="O492" s="278">
        <f t="shared" ca="1" si="260"/>
        <v>0.12466524700879315</v>
      </c>
      <c r="P492" s="278">
        <f t="shared" ca="1" si="260"/>
        <v>0.12715470269875173</v>
      </c>
      <c r="Q492" s="1527">
        <f t="shared" ca="1" si="260"/>
        <v>0.12166380324794406</v>
      </c>
      <c r="R492" s="1432">
        <f ca="1">R490/R491</f>
        <v>5.4934365942008873E-2</v>
      </c>
      <c r="S492" s="1432">
        <f ca="1">S490/S491</f>
        <v>5.7928479837052481E-2</v>
      </c>
      <c r="T492" s="1432"/>
      <c r="U492" s="278">
        <f t="shared" ca="1" si="260"/>
        <v>0.1389454677271991</v>
      </c>
      <c r="V492" s="278">
        <f ca="1">V490/V491</f>
        <v>0.15732850226122871</v>
      </c>
      <c r="W492" s="278">
        <f ca="1">W490/W491</f>
        <v>0.11354106983513129</v>
      </c>
      <c r="X492" s="278">
        <f ca="1">X490/X491</f>
        <v>0.10639192985069187</v>
      </c>
      <c r="Y492" s="278">
        <f ca="1">Y490/Y491</f>
        <v>0.10411095944519022</v>
      </c>
    </row>
    <row r="493" spans="2:25" ht="15.75" hidden="1" customHeight="1" outlineLevel="1">
      <c r="B493" s="331"/>
      <c r="C493" s="331"/>
      <c r="D493" s="331"/>
      <c r="E493" s="244"/>
      <c r="F493" s="244"/>
      <c r="G493" s="244"/>
      <c r="H493" s="244"/>
      <c r="I493" s="244"/>
      <c r="J493" s="244"/>
      <c r="K493" s="279"/>
      <c r="L493" s="279"/>
      <c r="M493" s="185"/>
      <c r="Q493" s="1466"/>
      <c r="R493" s="1371"/>
      <c r="S493" s="1371"/>
      <c r="T493" s="1371"/>
    </row>
    <row r="494" spans="2:25" ht="15.75" hidden="1" customHeight="1" outlineLevel="1">
      <c r="B494" s="244"/>
      <c r="C494" s="244"/>
      <c r="D494" s="244"/>
      <c r="E494" s="244"/>
      <c r="F494" s="244"/>
      <c r="G494" s="244"/>
      <c r="H494" s="244"/>
      <c r="I494" s="244"/>
      <c r="J494" s="244"/>
      <c r="K494" s="279"/>
      <c r="L494" s="279"/>
      <c r="M494" s="185"/>
      <c r="Q494" s="1466"/>
      <c r="R494" s="1371"/>
      <c r="S494" s="1371"/>
      <c r="T494" s="1371"/>
    </row>
    <row r="495" spans="2:25" ht="15.75" hidden="1" customHeight="1" outlineLevel="1">
      <c r="B495" s="244"/>
      <c r="C495" s="244"/>
      <c r="D495" s="244"/>
      <c r="E495" s="244"/>
      <c r="F495" s="244"/>
      <c r="G495" s="244"/>
      <c r="H495" s="244"/>
      <c r="I495" s="244"/>
      <c r="J495" s="244"/>
      <c r="K495" s="279"/>
      <c r="L495" s="279"/>
      <c r="M495" s="185"/>
      <c r="Q495" s="1466"/>
      <c r="R495" s="1371"/>
      <c r="S495" s="1371"/>
      <c r="T495" s="1371"/>
    </row>
    <row r="496" spans="2:25" ht="27" hidden="1" outlineLevel="1">
      <c r="B496" s="366" t="s">
        <v>283</v>
      </c>
      <c r="C496" s="366" t="s">
        <v>603</v>
      </c>
      <c r="I496" s="227"/>
      <c r="J496" s="227"/>
      <c r="K496" s="226"/>
      <c r="L496" s="228"/>
      <c r="M496" s="368"/>
      <c r="N496" s="228"/>
      <c r="O496" s="228"/>
      <c r="P496" s="228"/>
      <c r="Q496" s="1506"/>
      <c r="R496" s="1412"/>
      <c r="S496" s="1412"/>
      <c r="T496" s="1412"/>
      <c r="U496" s="228"/>
      <c r="V496" s="228"/>
      <c r="W496" s="228"/>
      <c r="X496" s="228"/>
      <c r="Y496" s="228"/>
    </row>
    <row r="497" spans="2:25" ht="3" hidden="1" customHeight="1" outlineLevel="1">
      <c r="B497" s="229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1507"/>
      <c r="R497" s="1413"/>
      <c r="S497" s="1413"/>
      <c r="T497" s="1413"/>
      <c r="U497" s="229"/>
      <c r="V497" s="229"/>
      <c r="W497" s="229"/>
      <c r="X497" s="229"/>
      <c r="Y497" s="229"/>
    </row>
    <row r="498" spans="2:25" ht="15.75" hidden="1" customHeight="1" outlineLevel="1">
      <c r="B498" s="169"/>
      <c r="C498" s="169"/>
      <c r="I498" s="227"/>
      <c r="J498" s="227"/>
      <c r="K498" s="226"/>
      <c r="L498" s="228"/>
      <c r="M498" s="368"/>
      <c r="N498" s="228"/>
      <c r="O498" s="228"/>
      <c r="P498" s="228"/>
      <c r="Q498" s="1506"/>
      <c r="R498" s="1412"/>
      <c r="S498" s="1412"/>
      <c r="T498" s="1412"/>
      <c r="U498" s="228"/>
      <c r="V498" s="228"/>
      <c r="W498" s="228"/>
      <c r="X498" s="228"/>
      <c r="Y498" s="228"/>
    </row>
    <row r="499" spans="2:25" ht="15.75" hidden="1" customHeight="1" outlineLevel="1">
      <c r="B499" s="313" t="s">
        <v>283</v>
      </c>
      <c r="C499" s="313" t="s">
        <v>455</v>
      </c>
      <c r="I499" s="227"/>
      <c r="J499" s="230"/>
      <c r="K499" s="231"/>
      <c r="L499" s="232"/>
      <c r="M499" s="185"/>
      <c r="Q499" s="1466"/>
      <c r="R499" s="1371"/>
      <c r="S499" s="1371"/>
      <c r="T499" s="1371"/>
    </row>
    <row r="500" spans="2:25" ht="15.75" hidden="1" customHeight="1" outlineLevel="1">
      <c r="B500" s="348"/>
      <c r="C500" s="348"/>
      <c r="D500" s="233"/>
      <c r="E500" s="233"/>
      <c r="F500" s="233"/>
      <c r="G500" s="233"/>
      <c r="H500" s="233"/>
      <c r="I500" s="174">
        <v>0</v>
      </c>
      <c r="J500" s="174">
        <v>1</v>
      </c>
      <c r="K500" s="174">
        <v>2</v>
      </c>
      <c r="L500" s="174">
        <v>3</v>
      </c>
      <c r="M500" s="174">
        <v>4</v>
      </c>
      <c r="N500" s="174">
        <v>5</v>
      </c>
      <c r="O500" s="174">
        <f t="shared" ref="O500:W500" si="261">O446</f>
        <v>6</v>
      </c>
      <c r="P500" s="174">
        <f t="shared" si="261"/>
        <v>7</v>
      </c>
      <c r="Q500" s="1473">
        <f t="shared" si="261"/>
        <v>8</v>
      </c>
      <c r="R500" s="1378">
        <f>R446</f>
        <v>9</v>
      </c>
      <c r="S500" s="1378">
        <f>S446</f>
        <v>10</v>
      </c>
      <c r="T500" s="1378"/>
      <c r="U500" s="174">
        <f t="shared" si="261"/>
        <v>9</v>
      </c>
      <c r="V500" s="174">
        <f t="shared" si="261"/>
        <v>10</v>
      </c>
      <c r="W500" s="174">
        <f t="shared" si="261"/>
        <v>11</v>
      </c>
      <c r="X500" s="174">
        <f>X446</f>
        <v>12</v>
      </c>
      <c r="Y500" s="174">
        <f>Y446</f>
        <v>13</v>
      </c>
    </row>
    <row r="501" spans="2:25" ht="15.75" hidden="1" customHeight="1" outlineLevel="1">
      <c r="B501" s="349"/>
      <c r="C501" s="349"/>
      <c r="D501" s="234"/>
      <c r="E501" s="234"/>
      <c r="F501" s="234"/>
      <c r="G501" s="234"/>
      <c r="H501" s="234"/>
      <c r="I501" s="176"/>
      <c r="J501" s="176"/>
      <c r="K501" s="176"/>
      <c r="L501" s="176"/>
      <c r="M501" s="176"/>
      <c r="N501" s="176"/>
      <c r="O501" s="176"/>
      <c r="P501" s="176"/>
      <c r="Q501" s="1464"/>
      <c r="R501" s="1368"/>
      <c r="S501" s="1368"/>
      <c r="T501" s="1368"/>
      <c r="U501" s="176"/>
      <c r="V501" s="176"/>
      <c r="W501" s="176"/>
      <c r="X501" s="176"/>
      <c r="Y501" s="176"/>
    </row>
    <row r="502" spans="2:25" ht="15.75" hidden="1" customHeight="1" outlineLevel="1">
      <c r="B502" s="359"/>
      <c r="C502" s="359"/>
      <c r="D502" s="260"/>
      <c r="E502" s="235"/>
      <c r="F502" s="235"/>
      <c r="G502" s="235"/>
      <c r="H502" s="235"/>
      <c r="I502" s="178" t="s">
        <v>499</v>
      </c>
      <c r="J502" s="178" t="s">
        <v>499</v>
      </c>
      <c r="K502" s="245" t="s">
        <v>499</v>
      </c>
      <c r="L502" s="245" t="s">
        <v>499</v>
      </c>
      <c r="M502" s="245" t="s">
        <v>499</v>
      </c>
      <c r="N502" s="245" t="s">
        <v>499</v>
      </c>
      <c r="O502" s="245" t="s">
        <v>499</v>
      </c>
      <c r="P502" s="245" t="s">
        <v>499</v>
      </c>
      <c r="Q502" s="1517" t="s">
        <v>499</v>
      </c>
      <c r="R502" s="1422" t="s">
        <v>499</v>
      </c>
      <c r="S502" s="1422" t="s">
        <v>499</v>
      </c>
      <c r="T502" s="1422"/>
      <c r="U502" s="245" t="s">
        <v>499</v>
      </c>
      <c r="V502" s="245" t="s">
        <v>499</v>
      </c>
      <c r="W502" s="245" t="s">
        <v>499</v>
      </c>
      <c r="X502" s="245" t="s">
        <v>499</v>
      </c>
      <c r="Y502" s="245" t="s">
        <v>499</v>
      </c>
    </row>
    <row r="503" spans="2:25" ht="15.75" hidden="1" customHeight="1" outlineLevel="1">
      <c r="B503" s="227"/>
      <c r="C503" s="227"/>
      <c r="D503" s="227"/>
      <c r="E503" s="227"/>
      <c r="F503" s="227"/>
      <c r="G503" s="227"/>
      <c r="H503" s="227"/>
      <c r="I503" s="227"/>
      <c r="J503" s="227"/>
      <c r="K503" s="227"/>
      <c r="L503" s="252"/>
      <c r="M503" s="185"/>
      <c r="Q503" s="1466"/>
      <c r="R503" s="1371"/>
      <c r="S503" s="1371"/>
      <c r="T503" s="1371"/>
    </row>
    <row r="504" spans="2:25" ht="15.75" hidden="1" customHeight="1" outlineLevel="1">
      <c r="B504" s="280" t="s">
        <v>212</v>
      </c>
      <c r="C504" s="280" t="s">
        <v>372</v>
      </c>
      <c r="D504" s="280"/>
      <c r="E504" s="280"/>
      <c r="F504" s="280"/>
      <c r="G504" s="280"/>
      <c r="H504" s="280"/>
      <c r="I504" s="280"/>
      <c r="J504" s="280">
        <v>-79003144.749320522</v>
      </c>
      <c r="K504" s="280">
        <v>0</v>
      </c>
      <c r="L504" s="280">
        <f t="shared" ref="L504:U504" ca="1" si="262">L376</f>
        <v>126262373.21110426</v>
      </c>
      <c r="M504" s="280">
        <f t="shared" ca="1" si="262"/>
        <v>151556110.73476693</v>
      </c>
      <c r="N504" s="280">
        <f t="shared" ca="1" si="262"/>
        <v>96238861.44700475</v>
      </c>
      <c r="O504" s="280">
        <f t="shared" ca="1" si="262"/>
        <v>57119990.435496777</v>
      </c>
      <c r="P504" s="246">
        <f t="shared" ca="1" si="262"/>
        <v>200355028.21836171</v>
      </c>
      <c r="Q504" s="1530">
        <f t="shared" ca="1" si="262"/>
        <v>179291613.17691478</v>
      </c>
      <c r="R504" s="1435">
        <f ca="1">R376</f>
        <v>134398188.475862</v>
      </c>
      <c r="S504" s="1435">
        <f ca="1">S376</f>
        <v>137524807.35715666</v>
      </c>
      <c r="T504" s="1435"/>
      <c r="U504" s="280">
        <f t="shared" ca="1" si="262"/>
        <v>255787212.0807595</v>
      </c>
      <c r="V504" s="280">
        <f ca="1">V376</f>
        <v>255441144.16240084</v>
      </c>
      <c r="W504" s="280">
        <f ca="1">W376</f>
        <v>263563099.54442534</v>
      </c>
      <c r="X504" s="280">
        <f ca="1">X376</f>
        <v>264794510.75720194</v>
      </c>
      <c r="Y504" s="280">
        <f ca="1">Y376</f>
        <v>227068959.6335476</v>
      </c>
    </row>
    <row r="505" spans="2:25" ht="15.75" hidden="1" customHeight="1" outlineLevel="1">
      <c r="B505" s="80" t="s">
        <v>1412</v>
      </c>
      <c r="C505" s="80" t="s">
        <v>1412</v>
      </c>
      <c r="D505" s="280"/>
      <c r="E505" s="280"/>
      <c r="F505" s="280"/>
      <c r="G505" s="280"/>
      <c r="H505" s="280"/>
      <c r="I505" s="280"/>
      <c r="J505" s="280">
        <v>0</v>
      </c>
      <c r="K505" s="280">
        <v>0</v>
      </c>
      <c r="L505" s="280">
        <f t="shared" ref="L505:W505" si="263">K505</f>
        <v>0</v>
      </c>
      <c r="M505" s="280">
        <f t="shared" si="263"/>
        <v>0</v>
      </c>
      <c r="N505" s="280">
        <f t="shared" si="263"/>
        <v>0</v>
      </c>
      <c r="O505" s="280">
        <f t="shared" si="263"/>
        <v>0</v>
      </c>
      <c r="P505" s="246">
        <f t="shared" si="263"/>
        <v>0</v>
      </c>
      <c r="Q505" s="1530">
        <f t="shared" si="263"/>
        <v>0</v>
      </c>
      <c r="R505" s="1435">
        <f>Q505</f>
        <v>0</v>
      </c>
      <c r="S505" s="1435">
        <f>R505</f>
        <v>0</v>
      </c>
      <c r="T505" s="1435"/>
      <c r="U505" s="280">
        <f>Q505</f>
        <v>0</v>
      </c>
      <c r="V505" s="280">
        <f t="shared" si="263"/>
        <v>0</v>
      </c>
      <c r="W505" s="280">
        <f t="shared" si="263"/>
        <v>0</v>
      </c>
      <c r="X505" s="280">
        <f>W505</f>
        <v>0</v>
      </c>
      <c r="Y505" s="280">
        <f>X505</f>
        <v>0</v>
      </c>
    </row>
    <row r="506" spans="2:25" ht="15.75" hidden="1" customHeight="1" outlineLevel="1">
      <c r="B506" s="280" t="s">
        <v>285</v>
      </c>
      <c r="C506" s="280" t="s">
        <v>419</v>
      </c>
      <c r="D506" s="280"/>
      <c r="E506" s="280"/>
      <c r="F506" s="280"/>
      <c r="G506" s="280"/>
      <c r="H506" s="280"/>
      <c r="I506" s="280"/>
      <c r="J506" s="280">
        <v>13138</v>
      </c>
      <c r="K506" s="280">
        <v>0</v>
      </c>
      <c r="L506" s="280">
        <f t="shared" ref="L506:U506" si="264">L388</f>
        <v>364318984.21910363</v>
      </c>
      <c r="M506" s="280">
        <f t="shared" ca="1" si="264"/>
        <v>478639108.34153247</v>
      </c>
      <c r="N506" s="280">
        <f t="shared" ca="1" si="264"/>
        <v>625141622.07629943</v>
      </c>
      <c r="O506" s="280">
        <f t="shared" ca="1" si="264"/>
        <v>721380483.52330422</v>
      </c>
      <c r="P506" s="246">
        <f t="shared" ca="1" si="264"/>
        <v>778500473.95880103</v>
      </c>
      <c r="Q506" s="1530">
        <f t="shared" ca="1" si="264"/>
        <v>984866502.17716277</v>
      </c>
      <c r="R506" s="1435">
        <f ca="1">R388</f>
        <v>984866502.17716277</v>
      </c>
      <c r="S506" s="1435">
        <f ca="1">S388</f>
        <v>1128263690.6530247</v>
      </c>
      <c r="T506" s="1435"/>
      <c r="U506" s="280">
        <f t="shared" ca="1" si="264"/>
        <v>1175607115.3540776</v>
      </c>
      <c r="V506" s="280">
        <f ca="1">V388</f>
        <v>1423834327.4348371</v>
      </c>
      <c r="W506" s="280">
        <f ca="1">W388</f>
        <v>1671825471.5972381</v>
      </c>
      <c r="X506" s="280">
        <f ca="1">X388</f>
        <v>1935388571.1416633</v>
      </c>
      <c r="Y506" s="280">
        <f ca="1">Y388</f>
        <v>2200183081.8988652</v>
      </c>
    </row>
    <row r="507" spans="2:25" ht="15.75" hidden="1" customHeight="1" outlineLevel="1">
      <c r="B507" s="356" t="s">
        <v>1737</v>
      </c>
      <c r="C507" s="356" t="s">
        <v>454</v>
      </c>
      <c r="D507" s="242"/>
      <c r="E507" s="363"/>
      <c r="F507" s="246"/>
      <c r="G507" s="246"/>
      <c r="H507" s="246"/>
      <c r="I507" s="243"/>
      <c r="J507" s="281">
        <v>0.04</v>
      </c>
      <c r="K507" s="243">
        <v>0.04</v>
      </c>
      <c r="L507" s="243">
        <f t="shared" ref="L507:W507" si="265">K507</f>
        <v>0.04</v>
      </c>
      <c r="M507" s="243">
        <f t="shared" si="265"/>
        <v>0.04</v>
      </c>
      <c r="N507" s="243">
        <f t="shared" si="265"/>
        <v>0.04</v>
      </c>
      <c r="O507" s="243">
        <f t="shared" si="265"/>
        <v>0.04</v>
      </c>
      <c r="P507" s="243">
        <f t="shared" si="265"/>
        <v>0.04</v>
      </c>
      <c r="Q507" s="1527">
        <f t="shared" si="265"/>
        <v>0.04</v>
      </c>
      <c r="R507" s="1432">
        <f>Q507</f>
        <v>0.04</v>
      </c>
      <c r="S507" s="1432">
        <f>R507</f>
        <v>0.04</v>
      </c>
      <c r="T507" s="1432"/>
      <c r="U507" s="243">
        <f>Q507</f>
        <v>0.04</v>
      </c>
      <c r="V507" s="243">
        <f t="shared" si="265"/>
        <v>0.04</v>
      </c>
      <c r="W507" s="243">
        <f t="shared" si="265"/>
        <v>0.04</v>
      </c>
      <c r="X507" s="243">
        <f>W507</f>
        <v>0.04</v>
      </c>
      <c r="Y507" s="243">
        <f>X507</f>
        <v>0.04</v>
      </c>
    </row>
    <row r="508" spans="2:25" ht="15.75" hidden="1" customHeight="1" outlineLevel="1">
      <c r="B508" s="280" t="s">
        <v>286</v>
      </c>
      <c r="C508" s="280" t="s">
        <v>420</v>
      </c>
      <c r="D508" s="280"/>
      <c r="E508" s="280"/>
      <c r="F508" s="280"/>
      <c r="G508" s="280"/>
      <c r="H508" s="280"/>
      <c r="I508" s="239"/>
      <c r="J508" s="269">
        <v>-11640482.200000001</v>
      </c>
      <c r="K508" s="269">
        <v>-21160809.670400001</v>
      </c>
      <c r="L508" s="269">
        <f t="shared" ref="L508:Y508" si="266">-L262*L507</f>
        <v>-14710666.371081999</v>
      </c>
      <c r="M508" s="269">
        <f t="shared" si="266"/>
        <v>-9964060.0634019282</v>
      </c>
      <c r="N508" s="269">
        <f t="shared" si="266"/>
        <v>-14711969.872512</v>
      </c>
      <c r="O508" s="269">
        <f t="shared" si="266"/>
        <v>-10727481.256935919</v>
      </c>
      <c r="P508" s="269">
        <f t="shared" si="266"/>
        <v>-17312873.251499999</v>
      </c>
      <c r="Q508" s="1528">
        <f t="shared" si="266"/>
        <v>-18158963.059124924</v>
      </c>
      <c r="R508" s="1433">
        <f>-R262*R507</f>
        <v>-11259144.351928299</v>
      </c>
      <c r="S508" s="1433">
        <f>-S262*S507</f>
        <v>-9327263.0086369533</v>
      </c>
      <c r="T508" s="1433"/>
      <c r="U508" s="269">
        <f t="shared" si="266"/>
        <v>-21633313.302157667</v>
      </c>
      <c r="V508" s="269">
        <f t="shared" si="266"/>
        <v>-20822540.813768174</v>
      </c>
      <c r="W508" s="269">
        <f t="shared" si="266"/>
        <v>-21662248.457310095</v>
      </c>
      <c r="X508" s="269">
        <f t="shared" si="266"/>
        <v>-21633313.302157667</v>
      </c>
      <c r="Y508" s="269">
        <f t="shared" si="266"/>
        <v>-19040244.792462584</v>
      </c>
    </row>
    <row r="509" spans="2:25" ht="15.75" hidden="1" customHeight="1" outlineLevel="1">
      <c r="B509" s="286" t="s">
        <v>287</v>
      </c>
      <c r="C509" s="286" t="s">
        <v>421</v>
      </c>
      <c r="D509" s="280"/>
      <c r="E509" s="280"/>
      <c r="F509" s="280"/>
      <c r="G509" s="280"/>
      <c r="H509" s="280"/>
      <c r="I509" s="282"/>
      <c r="J509" s="282">
        <v>-90630488.909320518</v>
      </c>
      <c r="K509" s="282">
        <v>-21160809.630399998</v>
      </c>
      <c r="L509" s="282">
        <f t="shared" ref="L509:U509" ca="1" si="267">SUM(L504:L508)</f>
        <v>475870691.09912592</v>
      </c>
      <c r="M509" s="282">
        <f t="shared" ca="1" si="267"/>
        <v>620231159.05289745</v>
      </c>
      <c r="N509" s="282">
        <f t="shared" ca="1" si="267"/>
        <v>706668513.6907922</v>
      </c>
      <c r="O509" s="282">
        <f t="shared" ca="1" si="267"/>
        <v>767772992.74186504</v>
      </c>
      <c r="P509" s="282">
        <f t="shared" ca="1" si="267"/>
        <v>961542628.96566272</v>
      </c>
      <c r="Q509" s="1531">
        <f t="shared" ca="1" si="267"/>
        <v>1145999152.3349526</v>
      </c>
      <c r="R509" s="1436">
        <f ca="1">SUM(R504:R508)</f>
        <v>1108005546.3410964</v>
      </c>
      <c r="S509" s="1436">
        <f ca="1">SUM(S504:S508)</f>
        <v>1256461235.0415444</v>
      </c>
      <c r="T509" s="1436"/>
      <c r="U509" s="282">
        <f t="shared" ca="1" si="267"/>
        <v>1409761014.1726794</v>
      </c>
      <c r="V509" s="282">
        <f ca="1">SUM(V504:V508)</f>
        <v>1658452930.8234699</v>
      </c>
      <c r="W509" s="282">
        <f ca="1">SUM(W504:W508)</f>
        <v>1913726322.7243531</v>
      </c>
      <c r="X509" s="282">
        <f ca="1">SUM(X504:X508)</f>
        <v>2178549768.6367073</v>
      </c>
      <c r="Y509" s="282">
        <f ca="1">SUM(Y504:Y508)</f>
        <v>2408211796.7799506</v>
      </c>
    </row>
    <row r="510" spans="2:25" ht="15.75" hidden="1" customHeight="1" outlineLevel="1">
      <c r="B510" s="280"/>
      <c r="C510" s="280"/>
      <c r="D510" s="280"/>
      <c r="E510" s="280"/>
      <c r="F510" s="280"/>
      <c r="G510" s="280"/>
      <c r="H510" s="280"/>
      <c r="I510" s="280"/>
      <c r="J510" s="280"/>
      <c r="K510" s="283"/>
      <c r="L510" s="283"/>
      <c r="M510" s="185"/>
      <c r="Q510" s="1466"/>
      <c r="R510" s="1371"/>
      <c r="S510" s="1371"/>
      <c r="T510" s="1371"/>
    </row>
    <row r="511" spans="2:25" ht="15.75" hidden="1" customHeight="1" outlineLevel="1">
      <c r="B511" s="179" t="s">
        <v>288</v>
      </c>
      <c r="C511" s="179" t="s">
        <v>484</v>
      </c>
      <c r="D511" s="280"/>
      <c r="E511" s="280"/>
      <c r="F511" s="280"/>
      <c r="G511" s="280"/>
      <c r="H511" s="280"/>
      <c r="I511" s="280"/>
      <c r="J511" s="280"/>
      <c r="K511" s="283"/>
      <c r="L511" s="283"/>
      <c r="M511" s="185"/>
      <c r="Q511" s="1466"/>
      <c r="R511" s="1371"/>
      <c r="S511" s="1371"/>
      <c r="T511" s="1371"/>
    </row>
    <row r="512" spans="2:25" ht="15.75" hidden="1" customHeight="1" outlineLevel="1">
      <c r="B512" s="404" t="s">
        <v>487</v>
      </c>
      <c r="C512" s="404" t="s">
        <v>487</v>
      </c>
      <c r="D512" s="280"/>
      <c r="E512" s="280"/>
      <c r="F512" s="280"/>
      <c r="G512" s="280"/>
      <c r="H512" s="280"/>
      <c r="I512" s="280"/>
      <c r="J512" s="284">
        <v>35883247</v>
      </c>
      <c r="K512" s="280">
        <v>0</v>
      </c>
      <c r="L512" s="280">
        <f t="shared" ref="L512:M514" si="268">K512+L518</f>
        <v>0</v>
      </c>
      <c r="M512" s="280">
        <f t="shared" si="268"/>
        <v>0</v>
      </c>
      <c r="N512" s="280">
        <f>M512+N518</f>
        <v>0</v>
      </c>
      <c r="O512" s="280">
        <f t="shared" ref="O512:W514" si="269">N512+O518</f>
        <v>0</v>
      </c>
      <c r="P512" s="246">
        <f t="shared" si="269"/>
        <v>6011000</v>
      </c>
      <c r="Q512" s="1530">
        <f t="shared" si="269"/>
        <v>17460000</v>
      </c>
      <c r="R512" s="1435">
        <f>P512+R518</f>
        <v>15010000</v>
      </c>
      <c r="S512" s="1435">
        <f t="shared" ref="R512:S514" si="270">R512+S518</f>
        <v>15010000</v>
      </c>
      <c r="T512" s="1435"/>
      <c r="U512" s="280">
        <f>S512+U518</f>
        <v>7450000</v>
      </c>
      <c r="V512" s="280">
        <f t="shared" si="269"/>
        <v>0</v>
      </c>
      <c r="W512" s="280">
        <f t="shared" si="269"/>
        <v>0</v>
      </c>
      <c r="X512" s="280">
        <f t="shared" ref="X512:Y514" si="271">W512+X518</f>
        <v>0</v>
      </c>
      <c r="Y512" s="280">
        <f t="shared" si="271"/>
        <v>0</v>
      </c>
    </row>
    <row r="513" spans="2:25" ht="15.75" hidden="1" customHeight="1" outlineLevel="1">
      <c r="B513" s="404" t="s">
        <v>488</v>
      </c>
      <c r="C513" s="404" t="s">
        <v>488</v>
      </c>
      <c r="D513" s="280"/>
      <c r="E513" s="280"/>
      <c r="F513" s="280"/>
      <c r="G513" s="280"/>
      <c r="H513" s="280"/>
      <c r="I513" s="280"/>
      <c r="J513" s="280">
        <v>0</v>
      </c>
      <c r="K513" s="283">
        <v>0</v>
      </c>
      <c r="L513" s="283">
        <f t="shared" si="268"/>
        <v>0</v>
      </c>
      <c r="M513" s="283">
        <f t="shared" si="268"/>
        <v>0</v>
      </c>
      <c r="N513" s="283">
        <f>M513+N519</f>
        <v>0</v>
      </c>
      <c r="O513" s="283">
        <f t="shared" si="269"/>
        <v>0</v>
      </c>
      <c r="P513" s="272">
        <f t="shared" si="269"/>
        <v>0</v>
      </c>
      <c r="Q513" s="1468">
        <f t="shared" si="269"/>
        <v>0</v>
      </c>
      <c r="R513" s="1373">
        <f t="shared" si="270"/>
        <v>0</v>
      </c>
      <c r="S513" s="1373">
        <f t="shared" si="270"/>
        <v>0</v>
      </c>
      <c r="T513" s="1373"/>
      <c r="U513" s="283">
        <f>Q513+U519</f>
        <v>0</v>
      </c>
      <c r="V513" s="283">
        <f t="shared" si="269"/>
        <v>0</v>
      </c>
      <c r="W513" s="283">
        <f t="shared" si="269"/>
        <v>0</v>
      </c>
      <c r="X513" s="283">
        <f t="shared" si="271"/>
        <v>0</v>
      </c>
      <c r="Y513" s="283">
        <f t="shared" si="271"/>
        <v>0</v>
      </c>
    </row>
    <row r="514" spans="2:25" ht="15.75" hidden="1" customHeight="1" outlineLevel="1">
      <c r="B514" s="404" t="s">
        <v>489</v>
      </c>
      <c r="C514" s="404" t="s">
        <v>489</v>
      </c>
      <c r="D514" s="280"/>
      <c r="E514" s="280"/>
      <c r="F514" s="280"/>
      <c r="G514" s="280"/>
      <c r="H514" s="280"/>
      <c r="I514" s="280"/>
      <c r="J514" s="280">
        <v>0</v>
      </c>
      <c r="K514" s="280">
        <v>0</v>
      </c>
      <c r="L514" s="280">
        <f t="shared" si="268"/>
        <v>0</v>
      </c>
      <c r="M514" s="280">
        <f t="shared" si="268"/>
        <v>0</v>
      </c>
      <c r="N514" s="280">
        <f>M514+N520</f>
        <v>0</v>
      </c>
      <c r="O514" s="280">
        <f t="shared" si="269"/>
        <v>0</v>
      </c>
      <c r="P514" s="246">
        <f t="shared" si="269"/>
        <v>0</v>
      </c>
      <c r="Q514" s="1530">
        <f t="shared" si="269"/>
        <v>0</v>
      </c>
      <c r="R514" s="1435">
        <f t="shared" si="270"/>
        <v>0</v>
      </c>
      <c r="S514" s="1435">
        <f t="shared" si="270"/>
        <v>0</v>
      </c>
      <c r="T514" s="1435"/>
      <c r="U514" s="280">
        <f>Q514+U520</f>
        <v>0</v>
      </c>
      <c r="V514" s="280">
        <f t="shared" si="269"/>
        <v>0</v>
      </c>
      <c r="W514" s="280">
        <f t="shared" si="269"/>
        <v>0</v>
      </c>
      <c r="X514" s="280">
        <f t="shared" si="271"/>
        <v>0</v>
      </c>
      <c r="Y514" s="280">
        <f t="shared" si="271"/>
        <v>0</v>
      </c>
    </row>
    <row r="515" spans="2:25" ht="15.75" hidden="1" customHeight="1" outlineLevel="1">
      <c r="B515" s="179" t="s">
        <v>289</v>
      </c>
      <c r="C515" s="179" t="s">
        <v>485</v>
      </c>
      <c r="D515" s="280"/>
      <c r="E515" s="280"/>
      <c r="F515" s="280"/>
      <c r="G515" s="280"/>
      <c r="H515" s="280"/>
      <c r="I515" s="285"/>
      <c r="J515" s="280">
        <v>35883247</v>
      </c>
      <c r="K515" s="283">
        <v>0</v>
      </c>
      <c r="L515" s="283">
        <f t="shared" ref="L515:U515" si="272">SUM(L512:L514)</f>
        <v>0</v>
      </c>
      <c r="M515" s="283">
        <f t="shared" si="272"/>
        <v>0</v>
      </c>
      <c r="N515" s="283">
        <f t="shared" si="272"/>
        <v>0</v>
      </c>
      <c r="O515" s="283">
        <f t="shared" si="272"/>
        <v>0</v>
      </c>
      <c r="P515" s="272">
        <f t="shared" si="272"/>
        <v>6011000</v>
      </c>
      <c r="Q515" s="1468">
        <f t="shared" si="272"/>
        <v>17460000</v>
      </c>
      <c r="R515" s="1373">
        <f>SUM(R512:R514)</f>
        <v>15010000</v>
      </c>
      <c r="S515" s="1373">
        <f>SUM(S512:S514)</f>
        <v>15010000</v>
      </c>
      <c r="T515" s="1373"/>
      <c r="U515" s="283">
        <f t="shared" si="272"/>
        <v>7450000</v>
      </c>
      <c r="V515" s="283">
        <f>SUM(V512:V514)</f>
        <v>0</v>
      </c>
      <c r="W515" s="283">
        <f>SUM(W512:W514)</f>
        <v>0</v>
      </c>
      <c r="X515" s="283">
        <f>SUM(X512:X514)</f>
        <v>0</v>
      </c>
      <c r="Y515" s="283">
        <f>SUM(Y512:Y514)</f>
        <v>0</v>
      </c>
    </row>
    <row r="516" spans="2:25" ht="15.75" hidden="1" customHeight="1" outlineLevel="1">
      <c r="B516" s="227"/>
      <c r="C516" s="227"/>
      <c r="D516" s="227"/>
      <c r="E516" s="227"/>
      <c r="F516" s="227"/>
      <c r="G516" s="227"/>
      <c r="H516" s="227"/>
      <c r="I516" s="227"/>
      <c r="J516" s="227"/>
      <c r="K516" s="252"/>
      <c r="L516" s="252"/>
      <c r="M516" s="185"/>
      <c r="Q516" s="1466"/>
      <c r="R516" s="1371"/>
      <c r="S516" s="1371"/>
      <c r="T516" s="1371"/>
    </row>
    <row r="517" spans="2:25" ht="15.75" hidden="1" customHeight="1" outlineLevel="1">
      <c r="B517" s="179" t="s">
        <v>290</v>
      </c>
      <c r="C517" s="179" t="s">
        <v>486</v>
      </c>
      <c r="D517" s="280"/>
      <c r="E517" s="280"/>
      <c r="F517" s="280"/>
      <c r="G517" s="280"/>
      <c r="H517" s="280"/>
      <c r="I517" s="280"/>
      <c r="J517" s="280"/>
      <c r="K517" s="283"/>
      <c r="L517" s="283"/>
      <c r="M517" s="185"/>
      <c r="Q517" s="1466"/>
      <c r="R517" s="1371"/>
      <c r="S517" s="1371"/>
      <c r="T517" s="1371"/>
    </row>
    <row r="518" spans="2:25" ht="15.75" hidden="1" customHeight="1" outlineLevel="1">
      <c r="B518" s="404" t="str">
        <f t="shared" ref="B518:C520" si="273">B512</f>
        <v>LT Debt A - due xx/xx/xx @ LIBOR +x%</v>
      </c>
      <c r="C518" s="404" t="str">
        <f t="shared" si="273"/>
        <v>LT Debt A - due xx/xx/xx @ LIBOR +x%</v>
      </c>
      <c r="D518" s="280"/>
      <c r="E518" s="280"/>
      <c r="F518" s="280"/>
      <c r="G518" s="280"/>
      <c r="H518" s="280"/>
      <c r="I518" s="239"/>
      <c r="J518" s="239">
        <v>0</v>
      </c>
      <c r="K518" s="239">
        <v>0</v>
      </c>
      <c r="L518" s="239">
        <v>0</v>
      </c>
      <c r="M518" s="239">
        <v>0</v>
      </c>
      <c r="N518" s="239">
        <v>0</v>
      </c>
      <c r="O518" s="239">
        <v>0</v>
      </c>
      <c r="P518" s="239">
        <f>19350000-13339000</f>
        <v>6011000</v>
      </c>
      <c r="Q518" s="1511">
        <f>13339000-600000*'Control list'!M17*3</f>
        <v>11449000</v>
      </c>
      <c r="R518" s="1417">
        <f>10999000-2000000</f>
        <v>8999000</v>
      </c>
      <c r="S518" s="1417">
        <v>0</v>
      </c>
      <c r="T518" s="1417"/>
      <c r="U518" s="239">
        <f>-600000*12*'Control list'!N17</f>
        <v>-7560000</v>
      </c>
      <c r="V518" s="239">
        <f>-MIN(U512,600000*12*'Control list'!O17)</f>
        <v>-7450000</v>
      </c>
      <c r="W518" s="239">
        <v>0</v>
      </c>
      <c r="X518" s="239">
        <v>0</v>
      </c>
      <c r="Y518" s="239">
        <v>0</v>
      </c>
    </row>
    <row r="519" spans="2:25" ht="15.75" hidden="1" customHeight="1" outlineLevel="1">
      <c r="B519" s="404" t="str">
        <f t="shared" si="273"/>
        <v>LT Debt B - due xx/xx/xx @ LIBOR +x%</v>
      </c>
      <c r="C519" s="404" t="str">
        <f t="shared" si="273"/>
        <v>LT Debt B - due xx/xx/xx @ LIBOR +x%</v>
      </c>
      <c r="D519" s="280"/>
      <c r="E519" s="280"/>
      <c r="F519" s="280"/>
      <c r="G519" s="280"/>
      <c r="H519" s="280"/>
      <c r="I519" s="239"/>
      <c r="J519" s="239">
        <v>0</v>
      </c>
      <c r="K519" s="239">
        <v>0</v>
      </c>
      <c r="L519" s="239">
        <v>0</v>
      </c>
      <c r="M519" s="239">
        <v>0</v>
      </c>
      <c r="N519" s="239">
        <v>0</v>
      </c>
      <c r="O519" s="239">
        <v>0</v>
      </c>
      <c r="P519" s="239">
        <v>0</v>
      </c>
      <c r="Q519" s="1511">
        <v>0</v>
      </c>
      <c r="R519" s="1417">
        <v>0</v>
      </c>
      <c r="S519" s="1417">
        <v>0</v>
      </c>
      <c r="T519" s="1417"/>
      <c r="U519" s="239">
        <v>0</v>
      </c>
      <c r="V519" s="239">
        <v>0</v>
      </c>
      <c r="W519" s="239">
        <v>0</v>
      </c>
      <c r="X519" s="239">
        <v>0</v>
      </c>
      <c r="Y519" s="239">
        <v>0</v>
      </c>
    </row>
    <row r="520" spans="2:25" ht="15.75" hidden="1" customHeight="1" outlineLevel="1">
      <c r="B520" s="404" t="str">
        <f t="shared" si="273"/>
        <v>LT Debt C - due xx/xx/xx @ LIBOR +x%</v>
      </c>
      <c r="C520" s="404" t="str">
        <f t="shared" si="273"/>
        <v>LT Debt C - due xx/xx/xx @ LIBOR +x%</v>
      </c>
      <c r="D520" s="280"/>
      <c r="E520" s="280"/>
      <c r="F520" s="280"/>
      <c r="G520" s="280"/>
      <c r="H520" s="280"/>
      <c r="I520" s="239"/>
      <c r="J520" s="239">
        <v>0</v>
      </c>
      <c r="K520" s="239">
        <v>0</v>
      </c>
      <c r="L520" s="239">
        <v>0</v>
      </c>
      <c r="M520" s="239">
        <v>0</v>
      </c>
      <c r="N520" s="239">
        <v>0</v>
      </c>
      <c r="O520" s="239">
        <v>0</v>
      </c>
      <c r="P520" s="239">
        <v>0</v>
      </c>
      <c r="Q520" s="1511">
        <v>0</v>
      </c>
      <c r="R520" s="1417">
        <v>0</v>
      </c>
      <c r="S520" s="1417">
        <v>0</v>
      </c>
      <c r="T520" s="1417"/>
      <c r="U520" s="239">
        <v>0</v>
      </c>
      <c r="V520" s="239">
        <v>0</v>
      </c>
      <c r="W520" s="239">
        <v>0</v>
      </c>
      <c r="X520" s="239">
        <v>0</v>
      </c>
      <c r="Y520" s="239">
        <v>0</v>
      </c>
    </row>
    <row r="521" spans="2:25" ht="15.75" hidden="1" customHeight="1" outlineLevel="1">
      <c r="B521" s="179" t="s">
        <v>290</v>
      </c>
      <c r="C521" s="179" t="s">
        <v>486</v>
      </c>
      <c r="D521" s="280"/>
      <c r="E521" s="280"/>
      <c r="F521" s="280"/>
      <c r="G521" s="280"/>
      <c r="H521" s="280"/>
      <c r="I521" s="285"/>
      <c r="J521" s="246">
        <v>0</v>
      </c>
      <c r="K521" s="272">
        <v>0</v>
      </c>
      <c r="L521" s="272">
        <f t="shared" ref="L521:U521" si="274">SUM(L518:L520)</f>
        <v>0</v>
      </c>
      <c r="M521" s="272">
        <f t="shared" si="274"/>
        <v>0</v>
      </c>
      <c r="N521" s="272">
        <f t="shared" si="274"/>
        <v>0</v>
      </c>
      <c r="O521" s="272">
        <f t="shared" si="274"/>
        <v>0</v>
      </c>
      <c r="P521" s="272">
        <f t="shared" si="274"/>
        <v>6011000</v>
      </c>
      <c r="Q521" s="1447">
        <f t="shared" si="274"/>
        <v>11449000</v>
      </c>
      <c r="R521" s="1437">
        <f>SUM(R518:R520)</f>
        <v>8999000</v>
      </c>
      <c r="S521" s="1437">
        <f>SUM(S518:S520)</f>
        <v>0</v>
      </c>
      <c r="T521" s="1437"/>
      <c r="U521" s="272">
        <f t="shared" si="274"/>
        <v>-7560000</v>
      </c>
      <c r="V521" s="272">
        <f>SUM(V518:V520)</f>
        <v>-7450000</v>
      </c>
      <c r="W521" s="272">
        <f>SUM(W518:W520)</f>
        <v>0</v>
      </c>
      <c r="X521" s="272">
        <f>SUM(X518:X520)</f>
        <v>0</v>
      </c>
      <c r="Y521" s="272">
        <f>SUM(Y518:Y520)</f>
        <v>0</v>
      </c>
    </row>
    <row r="522" spans="2:25" ht="15.75" hidden="1" customHeight="1" outlineLevel="1">
      <c r="B522" s="227"/>
      <c r="C522" s="227"/>
      <c r="D522" s="227"/>
      <c r="E522" s="227"/>
      <c r="F522" s="227"/>
      <c r="G522" s="227"/>
      <c r="H522" s="227"/>
      <c r="I522" s="227"/>
      <c r="J522" s="227"/>
      <c r="K522" s="252"/>
      <c r="L522" s="252"/>
      <c r="M522" s="185"/>
      <c r="Q522" s="1466"/>
      <c r="R522" s="1371"/>
      <c r="S522" s="1371"/>
      <c r="T522" s="1371"/>
    </row>
    <row r="523" spans="2:25" ht="15.75" hidden="1" customHeight="1" outlineLevel="1">
      <c r="B523" s="179" t="s">
        <v>291</v>
      </c>
      <c r="C523" s="179" t="s">
        <v>422</v>
      </c>
      <c r="D523" s="280"/>
      <c r="E523" s="280"/>
      <c r="F523" s="280"/>
      <c r="G523" s="280"/>
      <c r="H523" s="280"/>
      <c r="I523" s="280"/>
      <c r="J523" s="280">
        <v>-90630488.909320518</v>
      </c>
      <c r="K523" s="280">
        <v>-21160809.630399998</v>
      </c>
      <c r="L523" s="280">
        <f t="shared" ref="L523:U523" ca="1" si="275">L509+L521</f>
        <v>475870691.09912592</v>
      </c>
      <c r="M523" s="280">
        <f t="shared" ca="1" si="275"/>
        <v>620231159.05289745</v>
      </c>
      <c r="N523" s="280">
        <f t="shared" ca="1" si="275"/>
        <v>706668513.6907922</v>
      </c>
      <c r="O523" s="280">
        <f t="shared" ca="1" si="275"/>
        <v>767772992.74186504</v>
      </c>
      <c r="P523" s="246">
        <f t="shared" ca="1" si="275"/>
        <v>967553628.96566272</v>
      </c>
      <c r="Q523" s="1530">
        <f t="shared" ca="1" si="275"/>
        <v>1157448152.3349526</v>
      </c>
      <c r="R523" s="1435">
        <f ca="1">R509+R521</f>
        <v>1117004546.3410964</v>
      </c>
      <c r="S523" s="1435">
        <f ca="1">S509+S521</f>
        <v>1256461235.0415444</v>
      </c>
      <c r="T523" s="1435"/>
      <c r="U523" s="280">
        <f t="shared" ca="1" si="275"/>
        <v>1402201014.1726794</v>
      </c>
      <c r="V523" s="280">
        <f ca="1">V509+V521</f>
        <v>1651002930.8234699</v>
      </c>
      <c r="W523" s="280">
        <f ca="1">W509+W521</f>
        <v>1913726322.7243531</v>
      </c>
      <c r="X523" s="280">
        <f ca="1">X509+X521</f>
        <v>2178549768.6367073</v>
      </c>
      <c r="Y523" s="280">
        <f ca="1">Y509+Y521</f>
        <v>2408211796.7799506</v>
      </c>
    </row>
    <row r="524" spans="2:25" ht="15.75" hidden="1" customHeight="1" outlineLevel="1">
      <c r="B524" s="227"/>
      <c r="C524" s="227"/>
      <c r="D524" s="286"/>
      <c r="E524" s="286"/>
      <c r="F524" s="286"/>
      <c r="G524" s="286"/>
      <c r="H524" s="286"/>
      <c r="I524" s="286"/>
      <c r="J524" s="280"/>
      <c r="K524" s="280"/>
      <c r="L524" s="280"/>
      <c r="M524" s="185"/>
      <c r="Q524" s="1466"/>
      <c r="R524" s="1371"/>
      <c r="S524" s="1371"/>
      <c r="T524" s="1371"/>
    </row>
    <row r="525" spans="2:25" ht="15.75" hidden="1" customHeight="1" outlineLevel="1">
      <c r="B525" s="179" t="s">
        <v>292</v>
      </c>
      <c r="C525" s="179" t="s">
        <v>392</v>
      </c>
      <c r="D525" s="286"/>
      <c r="E525" s="286"/>
      <c r="F525" s="286"/>
      <c r="G525" s="286"/>
      <c r="H525" s="286"/>
      <c r="I525" s="286"/>
      <c r="J525" s="280"/>
      <c r="K525" s="280"/>
      <c r="L525" s="280"/>
      <c r="M525" s="185"/>
      <c r="Q525" s="1466"/>
      <c r="R525" s="1371"/>
      <c r="S525" s="1371"/>
      <c r="T525" s="1371"/>
    </row>
    <row r="526" spans="2:25" ht="15.75" hidden="1" customHeight="1" outlineLevel="1">
      <c r="B526" s="404" t="s">
        <v>293</v>
      </c>
      <c r="C526" s="404" t="s">
        <v>414</v>
      </c>
      <c r="D526" s="283"/>
      <c r="E526" s="379"/>
      <c r="F526" s="280"/>
      <c r="G526" s="280"/>
      <c r="H526" s="280"/>
      <c r="I526" s="286"/>
      <c r="J526" s="284">
        <v>0</v>
      </c>
      <c r="K526" s="287">
        <v>0</v>
      </c>
      <c r="L526" s="287">
        <f t="shared" ref="L526:W526" si="276">K528</f>
        <v>0</v>
      </c>
      <c r="M526" s="288">
        <f t="shared" ca="1" si="276"/>
        <v>0</v>
      </c>
      <c r="N526" s="288">
        <f t="shared" ca="1" si="276"/>
        <v>0</v>
      </c>
      <c r="O526" s="288">
        <f t="shared" ca="1" si="276"/>
        <v>0</v>
      </c>
      <c r="P526" s="288">
        <f t="shared" ca="1" si="276"/>
        <v>0</v>
      </c>
      <c r="Q526" s="1532">
        <f t="shared" ca="1" si="276"/>
        <v>0</v>
      </c>
      <c r="R526" s="1438">
        <f ca="1">Q528</f>
        <v>0</v>
      </c>
      <c r="S526" s="1438">
        <f ca="1">R528</f>
        <v>0</v>
      </c>
      <c r="T526" s="1438"/>
      <c r="U526" s="288">
        <f ca="1">Q528</f>
        <v>0</v>
      </c>
      <c r="V526" s="288">
        <f t="shared" ca="1" si="276"/>
        <v>0</v>
      </c>
      <c r="W526" s="288">
        <f t="shared" ca="1" si="276"/>
        <v>0</v>
      </c>
      <c r="X526" s="288">
        <f ca="1">W528</f>
        <v>0</v>
      </c>
      <c r="Y526" s="288">
        <f ca="1">X528</f>
        <v>0</v>
      </c>
    </row>
    <row r="527" spans="2:25" ht="15.75" hidden="1" customHeight="1" outlineLevel="1">
      <c r="B527" s="404" t="s">
        <v>294</v>
      </c>
      <c r="C527" s="404" t="s">
        <v>423</v>
      </c>
      <c r="D527" s="280"/>
      <c r="E527" s="280"/>
      <c r="F527" s="280"/>
      <c r="G527" s="280"/>
      <c r="H527" s="280"/>
      <c r="I527" s="288"/>
      <c r="J527" s="287">
        <v>0</v>
      </c>
      <c r="K527" s="287">
        <v>21160809.630400002</v>
      </c>
      <c r="L527" s="287">
        <f t="shared" ref="L527:U527" ca="1" si="277">-MIN(L523,L526)</f>
        <v>0</v>
      </c>
      <c r="M527" s="288">
        <f t="shared" ca="1" si="277"/>
        <v>0</v>
      </c>
      <c r="N527" s="288">
        <f t="shared" ca="1" si="277"/>
        <v>0</v>
      </c>
      <c r="O527" s="288">
        <f t="shared" ca="1" si="277"/>
        <v>0</v>
      </c>
      <c r="P527" s="288">
        <f t="shared" ca="1" si="277"/>
        <v>0</v>
      </c>
      <c r="Q527" s="1532">
        <f t="shared" ca="1" si="277"/>
        <v>0</v>
      </c>
      <c r="R527" s="1438">
        <f ca="1">-MIN(R523,R526)</f>
        <v>0</v>
      </c>
      <c r="S527" s="1438">
        <f ca="1">-MIN(S523,S526)</f>
        <v>0</v>
      </c>
      <c r="T527" s="1438"/>
      <c r="U527" s="288">
        <f t="shared" ca="1" si="277"/>
        <v>0</v>
      </c>
      <c r="V527" s="288">
        <f ca="1">-MIN(V523,V526)</f>
        <v>0</v>
      </c>
      <c r="W527" s="288">
        <f ca="1">-MIN(W523,W526)</f>
        <v>0</v>
      </c>
      <c r="X527" s="288">
        <f ca="1">-MIN(X523,X526)</f>
        <v>0</v>
      </c>
      <c r="Y527" s="288">
        <f ca="1">-MIN(Y523,Y526)</f>
        <v>0</v>
      </c>
    </row>
    <row r="528" spans="2:25" ht="15.75" hidden="1" customHeight="1" outlineLevel="1">
      <c r="B528" s="404" t="s">
        <v>295</v>
      </c>
      <c r="C528" s="404" t="s">
        <v>415</v>
      </c>
      <c r="D528" s="280"/>
      <c r="E528" s="280"/>
      <c r="F528" s="280"/>
      <c r="G528" s="280"/>
      <c r="H528" s="280"/>
      <c r="I528" s="285"/>
      <c r="J528" s="289">
        <v>0</v>
      </c>
      <c r="K528" s="289">
        <v>0</v>
      </c>
      <c r="L528" s="289">
        <f t="shared" ref="L528:U528" ca="1" si="278">L526+L527</f>
        <v>0</v>
      </c>
      <c r="M528" s="285">
        <f t="shared" ca="1" si="278"/>
        <v>0</v>
      </c>
      <c r="N528" s="285">
        <f t="shared" ca="1" si="278"/>
        <v>0</v>
      </c>
      <c r="O528" s="285">
        <f t="shared" ca="1" si="278"/>
        <v>0</v>
      </c>
      <c r="P528" s="285">
        <f t="shared" ca="1" si="278"/>
        <v>0</v>
      </c>
      <c r="Q528" s="1533">
        <f t="shared" ca="1" si="278"/>
        <v>0</v>
      </c>
      <c r="R528" s="1439">
        <f ca="1">R526+R527</f>
        <v>0</v>
      </c>
      <c r="S528" s="1439">
        <f ca="1">S526+S527</f>
        <v>0</v>
      </c>
      <c r="T528" s="1439"/>
      <c r="U528" s="285">
        <f t="shared" ca="1" si="278"/>
        <v>0</v>
      </c>
      <c r="V528" s="285">
        <f ca="1">V526+V527</f>
        <v>0</v>
      </c>
      <c r="W528" s="285">
        <f ca="1">W526+W527</f>
        <v>0</v>
      </c>
      <c r="X528" s="285">
        <f ca="1">X526+X527</f>
        <v>0</v>
      </c>
      <c r="Y528" s="285">
        <f ca="1">Y526+Y527</f>
        <v>0</v>
      </c>
    </row>
    <row r="529" spans="2:25" ht="15.75" hidden="1" customHeight="1" outlineLevel="1">
      <c r="B529" s="227"/>
      <c r="C529" s="227"/>
      <c r="D529" s="280"/>
      <c r="E529" s="280"/>
      <c r="F529" s="280"/>
      <c r="G529" s="280"/>
      <c r="H529" s="280"/>
      <c r="I529" s="280"/>
      <c r="J529" s="280"/>
      <c r="K529" s="280"/>
      <c r="L529" s="280"/>
      <c r="M529" s="185"/>
      <c r="Q529" s="1466"/>
      <c r="R529" s="1371"/>
      <c r="S529" s="1371"/>
      <c r="T529" s="1371"/>
    </row>
    <row r="530" spans="2:25" ht="15.75" hidden="1" customHeight="1" outlineLevel="1">
      <c r="B530" s="179" t="s">
        <v>296</v>
      </c>
      <c r="C530" s="179" t="s">
        <v>424</v>
      </c>
      <c r="D530" s="280"/>
      <c r="E530" s="280"/>
      <c r="F530" s="280"/>
      <c r="G530" s="280"/>
      <c r="H530" s="280"/>
      <c r="I530" s="290"/>
      <c r="J530" s="290">
        <v>-90630488.909320518</v>
      </c>
      <c r="K530" s="290">
        <v>0</v>
      </c>
      <c r="L530" s="290">
        <f t="shared" ref="L530:U530" ca="1" si="279">L523+L527</f>
        <v>475870691.09912592</v>
      </c>
      <c r="M530" s="288">
        <f t="shared" ca="1" si="279"/>
        <v>620231159.05289745</v>
      </c>
      <c r="N530" s="290">
        <f t="shared" ca="1" si="279"/>
        <v>706668513.6907922</v>
      </c>
      <c r="O530" s="290">
        <f t="shared" ca="1" si="279"/>
        <v>767772992.74186504</v>
      </c>
      <c r="P530" s="290">
        <f t="shared" ca="1" si="279"/>
        <v>967553628.96566272</v>
      </c>
      <c r="Q530" s="1532">
        <f t="shared" ca="1" si="279"/>
        <v>1157448152.3349526</v>
      </c>
      <c r="R530" s="1438">
        <f ca="1">R523+R527</f>
        <v>1117004546.3410964</v>
      </c>
      <c r="S530" s="1438">
        <f ca="1">S523+S527</f>
        <v>1256461235.0415444</v>
      </c>
      <c r="T530" s="1438"/>
      <c r="U530" s="290">
        <f t="shared" ca="1" si="279"/>
        <v>1402201014.1726794</v>
      </c>
      <c r="V530" s="290">
        <f ca="1">V523+V527</f>
        <v>1651002930.8234699</v>
      </c>
      <c r="W530" s="290">
        <f ca="1">W523+W527</f>
        <v>1913726322.7243531</v>
      </c>
      <c r="X530" s="290">
        <f ca="1">X523+X527</f>
        <v>2178549768.6367073</v>
      </c>
      <c r="Y530" s="290">
        <f ca="1">Y523+Y527</f>
        <v>2408211796.7799506</v>
      </c>
    </row>
    <row r="531" spans="2:25" ht="15.75" hidden="1" customHeight="1" outlineLevel="1">
      <c r="B531" s="179"/>
      <c r="C531" s="179"/>
      <c r="D531" s="280"/>
      <c r="E531" s="280"/>
      <c r="F531" s="280"/>
      <c r="G531" s="280"/>
      <c r="H531" s="280"/>
      <c r="I531" s="280"/>
      <c r="J531" s="280"/>
      <c r="K531" s="280"/>
      <c r="L531" s="280"/>
      <c r="M531" s="185"/>
      <c r="Q531" s="1466"/>
      <c r="R531" s="1371"/>
      <c r="S531" s="1371"/>
      <c r="T531" s="1371"/>
    </row>
    <row r="532" spans="2:25" ht="15.75" hidden="1" customHeight="1" outlineLevel="1">
      <c r="B532" s="179" t="s">
        <v>1413</v>
      </c>
      <c r="C532" s="179" t="s">
        <v>425</v>
      </c>
      <c r="D532" s="280"/>
      <c r="E532" s="280"/>
      <c r="F532" s="280"/>
      <c r="G532" s="280"/>
      <c r="H532" s="280"/>
      <c r="I532" s="290"/>
      <c r="J532" s="290">
        <v>11640482.199999999</v>
      </c>
      <c r="K532" s="290">
        <v>21160809.670400001</v>
      </c>
      <c r="L532" s="290">
        <f t="shared" ref="L532:U532" si="280">-L508</f>
        <v>14710666.371081999</v>
      </c>
      <c r="M532" s="288">
        <f t="shared" si="280"/>
        <v>9964060.0634019282</v>
      </c>
      <c r="N532" s="290">
        <f t="shared" si="280"/>
        <v>14711969.872512</v>
      </c>
      <c r="O532" s="290">
        <f t="shared" si="280"/>
        <v>10727481.256935919</v>
      </c>
      <c r="P532" s="290">
        <f t="shared" si="280"/>
        <v>17312873.251499999</v>
      </c>
      <c r="Q532" s="1532">
        <f t="shared" si="280"/>
        <v>18158963.059124924</v>
      </c>
      <c r="R532" s="1438">
        <f>-R508</f>
        <v>11259144.351928299</v>
      </c>
      <c r="S532" s="1438">
        <f>-S508</f>
        <v>9327263.0086369533</v>
      </c>
      <c r="T532" s="1438"/>
      <c r="U532" s="290">
        <f t="shared" si="280"/>
        <v>21633313.302157667</v>
      </c>
      <c r="V532" s="290">
        <f>-V508</f>
        <v>20822540.813768174</v>
      </c>
      <c r="W532" s="290">
        <f>-W508</f>
        <v>21662248.457310095</v>
      </c>
      <c r="X532" s="290">
        <f>-X508</f>
        <v>21633313.302157667</v>
      </c>
      <c r="Y532" s="290">
        <f>-Y508</f>
        <v>19040244.792462584</v>
      </c>
    </row>
    <row r="533" spans="2:25" ht="15.75" hidden="1" customHeight="1" outlineLevel="1">
      <c r="B533" s="179" t="s">
        <v>1414</v>
      </c>
      <c r="C533" s="179" t="s">
        <v>426</v>
      </c>
      <c r="D533" s="291"/>
      <c r="E533" s="291"/>
      <c r="F533" s="291"/>
      <c r="G533" s="291"/>
      <c r="H533" s="291"/>
      <c r="I533" s="290"/>
      <c r="J533" s="290">
        <v>0</v>
      </c>
      <c r="K533" s="290">
        <v>364318984.21910363</v>
      </c>
      <c r="L533" s="290">
        <f t="shared" ref="L533:U533" ca="1" si="281">L389</f>
        <v>478639108.34153247</v>
      </c>
      <c r="M533" s="288">
        <f t="shared" ca="1" si="281"/>
        <v>625141622.07629943</v>
      </c>
      <c r="N533" s="290">
        <f t="shared" ca="1" si="281"/>
        <v>721380483.52330422</v>
      </c>
      <c r="O533" s="290">
        <f t="shared" ca="1" si="281"/>
        <v>778500473.95880103</v>
      </c>
      <c r="P533" s="290">
        <f t="shared" ca="1" si="281"/>
        <v>984866502.17716277</v>
      </c>
      <c r="Q533" s="1532">
        <f t="shared" ca="1" si="281"/>
        <v>1175607115.3540776</v>
      </c>
      <c r="R533" s="1438">
        <f ca="1">R389</f>
        <v>1128263690.6530247</v>
      </c>
      <c r="S533" s="1438">
        <f ca="1">S389</f>
        <v>1265788498.0101814</v>
      </c>
      <c r="T533" s="1438"/>
      <c r="U533" s="290">
        <f t="shared" ca="1" si="281"/>
        <v>1423834327.4348371</v>
      </c>
      <c r="V533" s="290">
        <f ca="1">V389</f>
        <v>1671825471.5972381</v>
      </c>
      <c r="W533" s="290">
        <f ca="1">W389</f>
        <v>1935388571.1416633</v>
      </c>
      <c r="X533" s="290">
        <f ca="1">X389</f>
        <v>2200183081.8988652</v>
      </c>
      <c r="Y533" s="290">
        <f ca="1">Y389</f>
        <v>2427252041.532413</v>
      </c>
    </row>
    <row r="534" spans="2:25" ht="15.75" hidden="1" customHeight="1" outlineLevel="1"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52"/>
      <c r="M534" s="185"/>
      <c r="Q534" s="1466"/>
      <c r="R534" s="1371"/>
      <c r="S534" s="1371"/>
      <c r="T534" s="1371"/>
    </row>
    <row r="535" spans="2:25" ht="15.75" hidden="1" customHeight="1" outlineLevel="1">
      <c r="B535" s="227"/>
      <c r="C535" s="227"/>
      <c r="D535" s="227"/>
      <c r="E535" s="227"/>
      <c r="F535" s="227"/>
      <c r="G535" s="227"/>
      <c r="H535" s="227"/>
      <c r="I535" s="227"/>
      <c r="J535" s="227"/>
      <c r="K535" s="227"/>
      <c r="L535" s="252"/>
      <c r="M535" s="185"/>
      <c r="Q535" s="1466"/>
      <c r="R535" s="1371"/>
      <c r="S535" s="1371"/>
      <c r="T535" s="1371"/>
    </row>
    <row r="536" spans="2:25" ht="15.75" hidden="1" customHeight="1" outlineLevel="1">
      <c r="B536" s="227"/>
      <c r="C536" s="227"/>
      <c r="D536" s="227"/>
      <c r="E536" s="227"/>
      <c r="F536" s="227"/>
      <c r="G536" s="227"/>
      <c r="H536" s="227"/>
      <c r="I536" s="227"/>
      <c r="J536" s="227"/>
      <c r="K536" s="227"/>
      <c r="L536" s="252"/>
      <c r="M536" s="185"/>
      <c r="Q536" s="1466"/>
      <c r="R536" s="1371"/>
      <c r="S536" s="1371"/>
      <c r="T536" s="1371"/>
    </row>
    <row r="537" spans="2:25" ht="15.75" hidden="1" customHeight="1" outlineLevel="1">
      <c r="B537" s="227"/>
      <c r="C537" s="227"/>
      <c r="D537" s="227"/>
      <c r="E537" s="227"/>
      <c r="F537" s="227"/>
      <c r="G537" s="227"/>
      <c r="H537" s="227"/>
      <c r="I537" s="227"/>
      <c r="J537" s="227"/>
      <c r="K537" s="227"/>
      <c r="L537" s="252"/>
      <c r="M537" s="185"/>
      <c r="Q537" s="1466"/>
      <c r="R537" s="1371"/>
      <c r="S537" s="1371"/>
      <c r="T537" s="1371"/>
    </row>
    <row r="538" spans="2:25" ht="27" hidden="1" outlineLevel="1">
      <c r="B538" s="366" t="s">
        <v>1415</v>
      </c>
      <c r="C538" s="366" t="s">
        <v>602</v>
      </c>
      <c r="I538" s="227"/>
      <c r="J538" s="227"/>
      <c r="K538" s="226"/>
      <c r="L538" s="228"/>
      <c r="M538" s="254"/>
      <c r="N538" s="226"/>
      <c r="O538" s="226"/>
      <c r="P538" s="226"/>
      <c r="Q538" s="1534"/>
      <c r="R538" s="1440"/>
      <c r="S538" s="1440"/>
      <c r="T538" s="1440"/>
      <c r="U538" s="226"/>
      <c r="V538" s="226"/>
      <c r="W538" s="226"/>
      <c r="X538" s="226"/>
      <c r="Y538" s="226"/>
    </row>
    <row r="539" spans="2:25" ht="3" hidden="1" customHeight="1" outlineLevel="1">
      <c r="B539" s="229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1507"/>
      <c r="R539" s="1413"/>
      <c r="S539" s="1413"/>
      <c r="T539" s="1413"/>
      <c r="U539" s="229"/>
      <c r="V539" s="229"/>
      <c r="W539" s="229"/>
      <c r="X539" s="229"/>
      <c r="Y539" s="229"/>
    </row>
    <row r="540" spans="2:25" ht="15.75" hidden="1" customHeight="1" outlineLevel="1">
      <c r="B540" s="169"/>
      <c r="C540" s="169"/>
      <c r="I540" s="227"/>
      <c r="J540" s="227"/>
      <c r="K540" s="226"/>
      <c r="L540" s="228"/>
      <c r="M540" s="254"/>
      <c r="N540" s="226"/>
      <c r="O540" s="226"/>
      <c r="P540" s="226"/>
      <c r="Q540" s="1534"/>
      <c r="R540" s="1440"/>
      <c r="S540" s="1440"/>
      <c r="T540" s="1440"/>
      <c r="U540" s="226"/>
      <c r="V540" s="226"/>
      <c r="W540" s="226"/>
      <c r="X540" s="226"/>
      <c r="Y540" s="226"/>
    </row>
    <row r="541" spans="2:25" ht="15.75" hidden="1" customHeight="1" outlineLevel="1">
      <c r="B541" s="313" t="s">
        <v>1415</v>
      </c>
      <c r="C541" s="313" t="s">
        <v>427</v>
      </c>
      <c r="I541" s="227"/>
      <c r="J541" s="230"/>
      <c r="K541" s="231"/>
      <c r="L541" s="232"/>
      <c r="M541" s="230"/>
      <c r="N541" s="231"/>
      <c r="O541" s="231"/>
      <c r="P541" s="231"/>
      <c r="Q541" s="1535"/>
      <c r="R541" s="1441"/>
      <c r="S541" s="1441"/>
      <c r="T541" s="1441"/>
      <c r="U541" s="231"/>
      <c r="V541" s="231"/>
      <c r="W541" s="231"/>
      <c r="X541" s="231"/>
      <c r="Y541" s="231"/>
    </row>
    <row r="542" spans="2:25" ht="15.75" hidden="1" customHeight="1" outlineLevel="1">
      <c r="B542" s="348"/>
      <c r="C542" s="348"/>
      <c r="D542" s="233"/>
      <c r="E542" s="233"/>
      <c r="F542" s="233"/>
      <c r="G542" s="233"/>
      <c r="H542" s="233"/>
      <c r="I542" s="174">
        <v>0</v>
      </c>
      <c r="J542" s="174">
        <v>1</v>
      </c>
      <c r="K542" s="174">
        <v>2</v>
      </c>
      <c r="L542" s="174">
        <f t="shared" ref="L542:Q544" si="282">L500</f>
        <v>3</v>
      </c>
      <c r="M542" s="174">
        <f t="shared" si="282"/>
        <v>4</v>
      </c>
      <c r="N542" s="174">
        <f t="shared" si="282"/>
        <v>5</v>
      </c>
      <c r="O542" s="174">
        <f t="shared" si="282"/>
        <v>6</v>
      </c>
      <c r="P542" s="174">
        <f t="shared" si="282"/>
        <v>7</v>
      </c>
      <c r="Q542" s="1473">
        <f t="shared" si="282"/>
        <v>8</v>
      </c>
      <c r="R542" s="1378">
        <f t="shared" ref="R542:S544" si="283">R500</f>
        <v>9</v>
      </c>
      <c r="S542" s="1378">
        <f t="shared" si="283"/>
        <v>10</v>
      </c>
      <c r="T542" s="1378"/>
      <c r="U542" s="174">
        <f t="shared" ref="U542:V544" si="284">U500</f>
        <v>9</v>
      </c>
      <c r="V542" s="174">
        <f t="shared" si="284"/>
        <v>10</v>
      </c>
      <c r="W542" s="174">
        <f t="shared" ref="W542:Y544" si="285">W500</f>
        <v>11</v>
      </c>
      <c r="X542" s="174">
        <f t="shared" si="285"/>
        <v>12</v>
      </c>
      <c r="Y542" s="174">
        <f t="shared" si="285"/>
        <v>13</v>
      </c>
    </row>
    <row r="543" spans="2:25" ht="15.75" hidden="1" customHeight="1" outlineLevel="1">
      <c r="B543" s="349"/>
      <c r="C543" s="349"/>
      <c r="D543" s="234"/>
      <c r="E543" s="234"/>
      <c r="F543" s="234"/>
      <c r="G543" s="234"/>
      <c r="H543" s="234"/>
      <c r="I543" s="176"/>
      <c r="J543" s="176"/>
      <c r="K543" s="176"/>
      <c r="L543" s="176"/>
      <c r="M543" s="176"/>
      <c r="N543" s="176"/>
      <c r="O543" s="176"/>
      <c r="P543" s="176"/>
      <c r="Q543" s="1464"/>
      <c r="R543" s="1368"/>
      <c r="S543" s="1368"/>
      <c r="T543" s="1368"/>
      <c r="U543" s="176"/>
      <c r="V543" s="176"/>
      <c r="W543" s="176"/>
      <c r="X543" s="176"/>
      <c r="Y543" s="176"/>
    </row>
    <row r="544" spans="2:25" ht="15.75" hidden="1" customHeight="1" outlineLevel="1">
      <c r="B544" s="359"/>
      <c r="C544" s="359"/>
      <c r="D544" s="260"/>
      <c r="E544" s="235"/>
      <c r="F544" s="235"/>
      <c r="G544" s="235"/>
      <c r="H544" s="235"/>
      <c r="I544" s="178" t="s">
        <v>499</v>
      </c>
      <c r="J544" s="178" t="s">
        <v>499</v>
      </c>
      <c r="K544" s="245" t="s">
        <v>499</v>
      </c>
      <c r="L544" s="245" t="str">
        <f t="shared" si="282"/>
        <v>($)</v>
      </c>
      <c r="M544" s="178" t="str">
        <f t="shared" si="282"/>
        <v>($)</v>
      </c>
      <c r="N544" s="245" t="str">
        <f t="shared" si="282"/>
        <v>($)</v>
      </c>
      <c r="O544" s="245" t="str">
        <f t="shared" si="282"/>
        <v>($)</v>
      </c>
      <c r="P544" s="245" t="str">
        <f t="shared" si="282"/>
        <v>($)</v>
      </c>
      <c r="Q544" s="1517" t="str">
        <f t="shared" si="282"/>
        <v>($)</v>
      </c>
      <c r="R544" s="1422" t="str">
        <f t="shared" si="283"/>
        <v>($)</v>
      </c>
      <c r="S544" s="1422" t="str">
        <f t="shared" si="283"/>
        <v>($)</v>
      </c>
      <c r="T544" s="1422"/>
      <c r="U544" s="245" t="str">
        <f t="shared" si="284"/>
        <v>($)</v>
      </c>
      <c r="V544" s="245" t="str">
        <f t="shared" si="284"/>
        <v>($)</v>
      </c>
      <c r="W544" s="245" t="str">
        <f t="shared" si="285"/>
        <v>($)</v>
      </c>
      <c r="X544" s="245" t="str">
        <f t="shared" si="285"/>
        <v>($)</v>
      </c>
      <c r="Y544" s="245" t="str">
        <f t="shared" si="285"/>
        <v>($)</v>
      </c>
    </row>
    <row r="545" spans="2:25" ht="15.75" hidden="1" customHeight="1" outlineLevel="1">
      <c r="B545" s="233"/>
      <c r="C545" s="233"/>
      <c r="D545" s="233"/>
      <c r="E545" s="233"/>
      <c r="F545" s="233"/>
      <c r="G545" s="233"/>
      <c r="H545" s="233"/>
      <c r="I545" s="233"/>
      <c r="J545" s="233"/>
      <c r="K545" s="233"/>
      <c r="L545" s="292"/>
      <c r="M545" s="185"/>
      <c r="Q545" s="1466"/>
      <c r="R545" s="1371"/>
      <c r="S545" s="1371"/>
      <c r="T545" s="1371"/>
    </row>
    <row r="546" spans="2:25" ht="15.75" hidden="1" customHeight="1" outlineLevel="1">
      <c r="B546" s="179" t="s">
        <v>1416</v>
      </c>
      <c r="C546" s="179" t="s">
        <v>490</v>
      </c>
      <c r="D546" s="254"/>
      <c r="E546" s="254"/>
      <c r="F546" s="254"/>
      <c r="G546" s="254"/>
      <c r="H546" s="254"/>
      <c r="I546" s="254"/>
      <c r="J546" s="254"/>
      <c r="K546" s="254"/>
      <c r="L546" s="255"/>
      <c r="M546" s="185"/>
      <c r="Q546" s="1466"/>
      <c r="R546" s="1371"/>
      <c r="S546" s="1371"/>
      <c r="T546" s="1371"/>
    </row>
    <row r="547" spans="2:25" ht="15.75" hidden="1" customHeight="1" outlineLevel="1">
      <c r="B547" s="404" t="str">
        <f t="shared" ref="B547:C549" si="286">B512</f>
        <v>LT Debt A - due xx/xx/xx @ LIBOR +x%</v>
      </c>
      <c r="C547" s="404" t="str">
        <f t="shared" si="286"/>
        <v>LT Debt A - due xx/xx/xx @ LIBOR +x%</v>
      </c>
      <c r="D547" s="242"/>
      <c r="E547" s="242"/>
      <c r="F547" s="242"/>
      <c r="G547" s="242"/>
      <c r="H547" s="242"/>
      <c r="I547" s="246"/>
      <c r="J547" s="246">
        <v>35883247</v>
      </c>
      <c r="K547" s="246">
        <v>17941623.5</v>
      </c>
      <c r="L547" s="246">
        <f>AVERAGE(K512:L512)</f>
        <v>0</v>
      </c>
      <c r="M547" s="246">
        <f t="shared" ref="L547:M549" si="287">AVERAGE(L512:M512)</f>
        <v>0</v>
      </c>
      <c r="N547" s="246">
        <f>AVERAGE(M512:N512)</f>
        <v>0</v>
      </c>
      <c r="O547" s="246">
        <f t="shared" ref="O547:W549" si="288">AVERAGE(N512:O512)</f>
        <v>0</v>
      </c>
      <c r="P547" s="246">
        <f t="shared" si="288"/>
        <v>3005500</v>
      </c>
      <c r="Q547" s="1518">
        <f t="shared" si="288"/>
        <v>11735500</v>
      </c>
      <c r="R547" s="1423">
        <f>AVERAGE(P512,R512)</f>
        <v>10510500</v>
      </c>
      <c r="S547" s="1423">
        <f t="shared" ref="R547:S549" si="289">AVERAGE(R512:S512)</f>
        <v>15010000</v>
      </c>
      <c r="T547" s="1423"/>
      <c r="U547" s="246">
        <f>AVERAGE(Q512:U512)</f>
        <v>13732500</v>
      </c>
      <c r="V547" s="246">
        <f t="shared" si="288"/>
        <v>3725000</v>
      </c>
      <c r="W547" s="246">
        <f t="shared" si="288"/>
        <v>0</v>
      </c>
      <c r="X547" s="246">
        <f t="shared" ref="X547:Y549" si="290">AVERAGE(W512:X512)</f>
        <v>0</v>
      </c>
      <c r="Y547" s="246">
        <f t="shared" si="290"/>
        <v>0</v>
      </c>
    </row>
    <row r="548" spans="2:25" ht="15.75" hidden="1" customHeight="1" outlineLevel="1">
      <c r="B548" s="404" t="str">
        <f t="shared" si="286"/>
        <v>LT Debt B - due xx/xx/xx @ LIBOR +x%</v>
      </c>
      <c r="C548" s="404" t="str">
        <f t="shared" si="286"/>
        <v>LT Debt B - due xx/xx/xx @ LIBOR +x%</v>
      </c>
      <c r="D548" s="242"/>
      <c r="E548" s="242"/>
      <c r="F548" s="242"/>
      <c r="G548" s="242"/>
      <c r="H548" s="242"/>
      <c r="I548" s="246"/>
      <c r="J548" s="246">
        <v>0</v>
      </c>
      <c r="K548" s="246">
        <v>0</v>
      </c>
      <c r="L548" s="246">
        <f t="shared" si="287"/>
        <v>0</v>
      </c>
      <c r="M548" s="246">
        <f t="shared" si="287"/>
        <v>0</v>
      </c>
      <c r="N548" s="246">
        <f>AVERAGE(M513:N513)</f>
        <v>0</v>
      </c>
      <c r="O548" s="246">
        <f t="shared" si="288"/>
        <v>0</v>
      </c>
      <c r="P548" s="246">
        <f t="shared" si="288"/>
        <v>0</v>
      </c>
      <c r="Q548" s="1518">
        <f t="shared" si="288"/>
        <v>0</v>
      </c>
      <c r="R548" s="1423">
        <f t="shared" si="289"/>
        <v>0</v>
      </c>
      <c r="S548" s="1423">
        <f t="shared" si="289"/>
        <v>0</v>
      </c>
      <c r="T548" s="1423"/>
      <c r="U548" s="246">
        <f>AVERAGE(Q513:U513)</f>
        <v>0</v>
      </c>
      <c r="V548" s="246">
        <f t="shared" si="288"/>
        <v>0</v>
      </c>
      <c r="W548" s="246">
        <f t="shared" si="288"/>
        <v>0</v>
      </c>
      <c r="X548" s="246">
        <f t="shared" si="290"/>
        <v>0</v>
      </c>
      <c r="Y548" s="246">
        <f t="shared" si="290"/>
        <v>0</v>
      </c>
    </row>
    <row r="549" spans="2:25" ht="15.75" hidden="1" customHeight="1" outlineLevel="1">
      <c r="B549" s="404" t="str">
        <f t="shared" si="286"/>
        <v>LT Debt C - due xx/xx/xx @ LIBOR +x%</v>
      </c>
      <c r="C549" s="404" t="str">
        <f t="shared" si="286"/>
        <v>LT Debt C - due xx/xx/xx @ LIBOR +x%</v>
      </c>
      <c r="D549" s="242"/>
      <c r="E549" s="242"/>
      <c r="F549" s="242"/>
      <c r="G549" s="242"/>
      <c r="H549" s="242"/>
      <c r="I549" s="246"/>
      <c r="J549" s="246">
        <v>0</v>
      </c>
      <c r="K549" s="246">
        <v>0</v>
      </c>
      <c r="L549" s="246">
        <f t="shared" si="287"/>
        <v>0</v>
      </c>
      <c r="M549" s="246">
        <f t="shared" si="287"/>
        <v>0</v>
      </c>
      <c r="N549" s="246">
        <f>AVERAGE(M514:N514)</f>
        <v>0</v>
      </c>
      <c r="O549" s="246">
        <f t="shared" si="288"/>
        <v>0</v>
      </c>
      <c r="P549" s="246">
        <f t="shared" si="288"/>
        <v>0</v>
      </c>
      <c r="Q549" s="1518">
        <f t="shared" si="288"/>
        <v>0</v>
      </c>
      <c r="R549" s="1423">
        <f t="shared" si="289"/>
        <v>0</v>
      </c>
      <c r="S549" s="1423">
        <f t="shared" si="289"/>
        <v>0</v>
      </c>
      <c r="T549" s="1423"/>
      <c r="U549" s="246">
        <f>AVERAGE(Q514:U514)</f>
        <v>0</v>
      </c>
      <c r="V549" s="246">
        <f t="shared" si="288"/>
        <v>0</v>
      </c>
      <c r="W549" s="246">
        <f t="shared" si="288"/>
        <v>0</v>
      </c>
      <c r="X549" s="246">
        <f t="shared" si="290"/>
        <v>0</v>
      </c>
      <c r="Y549" s="246">
        <f t="shared" si="290"/>
        <v>0</v>
      </c>
    </row>
    <row r="550" spans="2:25" ht="15.75" hidden="1" customHeight="1" outlineLevel="1">
      <c r="B550" s="404" t="s">
        <v>1417</v>
      </c>
      <c r="C550" s="404" t="s">
        <v>392</v>
      </c>
      <c r="D550" s="242"/>
      <c r="E550" s="242"/>
      <c r="F550" s="242"/>
      <c r="G550" s="242"/>
      <c r="H550" s="242"/>
      <c r="I550" s="246"/>
      <c r="J550" s="246">
        <v>0</v>
      </c>
      <c r="K550" s="246">
        <v>0</v>
      </c>
      <c r="L550" s="246">
        <f t="shared" ref="L550:W550" si="291">K528</f>
        <v>0</v>
      </c>
      <c r="M550" s="246">
        <f t="shared" ca="1" si="291"/>
        <v>0</v>
      </c>
      <c r="N550" s="246">
        <f t="shared" ca="1" si="291"/>
        <v>0</v>
      </c>
      <c r="O550" s="246">
        <f t="shared" ca="1" si="291"/>
        <v>0</v>
      </c>
      <c r="P550" s="246">
        <f t="shared" ca="1" si="291"/>
        <v>0</v>
      </c>
      <c r="Q550" s="1518">
        <f t="shared" ca="1" si="291"/>
        <v>0</v>
      </c>
      <c r="R550" s="1423">
        <f ca="1">Q528</f>
        <v>0</v>
      </c>
      <c r="S550" s="1423">
        <f ca="1">R528</f>
        <v>0</v>
      </c>
      <c r="T550" s="1423"/>
      <c r="U550" s="246">
        <f ca="1">Q528</f>
        <v>0</v>
      </c>
      <c r="V550" s="246">
        <f t="shared" ca="1" si="291"/>
        <v>0</v>
      </c>
      <c r="W550" s="246">
        <f t="shared" ca="1" si="291"/>
        <v>0</v>
      </c>
      <c r="X550" s="246">
        <f ca="1">W528</f>
        <v>0</v>
      </c>
      <c r="Y550" s="246">
        <f ca="1">X528</f>
        <v>0</v>
      </c>
    </row>
    <row r="551" spans="2:25" ht="15.75" hidden="1" customHeight="1" outlineLevel="1">
      <c r="B551" s="404" t="s">
        <v>1418</v>
      </c>
      <c r="C551" s="404" t="s">
        <v>379</v>
      </c>
      <c r="D551" s="242"/>
      <c r="E551" s="242"/>
      <c r="F551" s="242"/>
      <c r="G551" s="242"/>
      <c r="H551" s="242"/>
      <c r="I551" s="246"/>
      <c r="J551" s="246">
        <v>0</v>
      </c>
      <c r="K551" s="246">
        <v>0</v>
      </c>
      <c r="L551" s="246">
        <f t="shared" ref="L551:W551" si="292">K533</f>
        <v>364318984.21910363</v>
      </c>
      <c r="M551" s="246">
        <f t="shared" ca="1" si="292"/>
        <v>478639108.34153247</v>
      </c>
      <c r="N551" s="246">
        <f t="shared" ca="1" si="292"/>
        <v>625141622.07629943</v>
      </c>
      <c r="O551" s="246">
        <f t="shared" ca="1" si="292"/>
        <v>721380483.52330422</v>
      </c>
      <c r="P551" s="246">
        <f t="shared" ca="1" si="292"/>
        <v>778500473.95880103</v>
      </c>
      <c r="Q551" s="1518">
        <f t="shared" ca="1" si="292"/>
        <v>984866502.17716277</v>
      </c>
      <c r="R551" s="1423">
        <f ca="1">Q533</f>
        <v>1175607115.3540776</v>
      </c>
      <c r="S551" s="1423">
        <f ca="1">R533</f>
        <v>1128263690.6530247</v>
      </c>
      <c r="T551" s="1423"/>
      <c r="U551" s="246">
        <f ca="1">Q533</f>
        <v>1175607115.3540776</v>
      </c>
      <c r="V551" s="246">
        <f t="shared" ca="1" si="292"/>
        <v>1423834327.4348371</v>
      </c>
      <c r="W551" s="246">
        <f t="shared" ca="1" si="292"/>
        <v>1671825471.5972381</v>
      </c>
      <c r="X551" s="246">
        <f ca="1">W533</f>
        <v>1935388571.1416633</v>
      </c>
      <c r="Y551" s="246">
        <f ca="1">X533</f>
        <v>2200183081.8988652</v>
      </c>
    </row>
    <row r="552" spans="2:25" ht="15.75" hidden="1" customHeight="1" outlineLevel="1">
      <c r="B552" s="227"/>
      <c r="C552" s="227"/>
      <c r="D552" s="227"/>
      <c r="E552" s="227"/>
      <c r="F552" s="227"/>
      <c r="G552" s="227"/>
      <c r="H552" s="227"/>
      <c r="I552" s="227"/>
      <c r="J552" s="227"/>
      <c r="K552" s="227"/>
      <c r="L552" s="227"/>
      <c r="M552" s="185"/>
      <c r="Q552" s="1466"/>
      <c r="R552" s="1371"/>
      <c r="S552" s="1371"/>
      <c r="T552" s="1371"/>
    </row>
    <row r="553" spans="2:25" ht="15.75" hidden="1" customHeight="1" outlineLevel="1">
      <c r="B553" s="179" t="s">
        <v>1419</v>
      </c>
      <c r="C553" s="179" t="s">
        <v>428</v>
      </c>
      <c r="D553" s="242"/>
      <c r="E553" s="242"/>
      <c r="F553" s="242"/>
      <c r="G553" s="242"/>
      <c r="H553" s="242"/>
      <c r="I553" s="242"/>
      <c r="J553" s="242"/>
      <c r="K553" s="249"/>
      <c r="L553" s="249"/>
      <c r="M553" s="185"/>
      <c r="Q553" s="1466"/>
      <c r="R553" s="1371"/>
      <c r="S553" s="1371"/>
      <c r="T553" s="1371"/>
    </row>
    <row r="554" spans="2:25" ht="15.75" hidden="1" customHeight="1" outlineLevel="1">
      <c r="B554" s="404" t="str">
        <f t="shared" ref="B554:C558" si="293">B547</f>
        <v>LT Debt A - due xx/xx/xx @ LIBOR +x%</v>
      </c>
      <c r="C554" s="404" t="str">
        <f t="shared" si="293"/>
        <v>LT Debt A - due xx/xx/xx @ LIBOR +x%</v>
      </c>
      <c r="D554" s="242"/>
      <c r="E554" s="242"/>
      <c r="F554" s="242"/>
      <c r="G554" s="242"/>
      <c r="H554" s="242"/>
      <c r="I554" s="293"/>
      <c r="J554" s="293">
        <v>0.11</v>
      </c>
      <c r="K554" s="293">
        <v>0.11</v>
      </c>
      <c r="L554" s="293">
        <f t="shared" ref="L554:M557" si="294">K554</f>
        <v>0.11</v>
      </c>
      <c r="M554" s="293">
        <f t="shared" si="294"/>
        <v>0.11</v>
      </c>
      <c r="N554" s="293">
        <f t="shared" ref="N554:P557" si="295">M554</f>
        <v>0.11</v>
      </c>
      <c r="O554" s="293">
        <f t="shared" si="295"/>
        <v>0.11</v>
      </c>
      <c r="P554" s="293">
        <f t="shared" si="295"/>
        <v>0.11</v>
      </c>
      <c r="Q554" s="1536">
        <v>0.1148</v>
      </c>
      <c r="R554" s="1442">
        <v>0.1148</v>
      </c>
      <c r="S554" s="1442">
        <v>0.1148</v>
      </c>
      <c r="T554" s="1442"/>
      <c r="U554" s="293">
        <f>Q554</f>
        <v>0.1148</v>
      </c>
      <c r="V554" s="293">
        <f t="shared" ref="V554:W557" si="296">U554</f>
        <v>0.1148</v>
      </c>
      <c r="W554" s="293">
        <f t="shared" si="296"/>
        <v>0.1148</v>
      </c>
      <c r="X554" s="293">
        <f t="shared" ref="X554:Y557" si="297">W554</f>
        <v>0.1148</v>
      </c>
      <c r="Y554" s="293">
        <f t="shared" si="297"/>
        <v>0.1148</v>
      </c>
    </row>
    <row r="555" spans="2:25" ht="15.75" hidden="1" customHeight="1" outlineLevel="1">
      <c r="B555" s="404" t="str">
        <f t="shared" si="293"/>
        <v>LT Debt B - due xx/xx/xx @ LIBOR +x%</v>
      </c>
      <c r="C555" s="404" t="str">
        <f t="shared" si="293"/>
        <v>LT Debt B - due xx/xx/xx @ LIBOR +x%</v>
      </c>
      <c r="D555" s="242"/>
      <c r="E555" s="242"/>
      <c r="F555" s="242"/>
      <c r="G555" s="242"/>
      <c r="H555" s="242"/>
      <c r="I555" s="293"/>
      <c r="J555" s="293">
        <v>0.11</v>
      </c>
      <c r="K555" s="293">
        <v>0.11</v>
      </c>
      <c r="L555" s="293">
        <f t="shared" si="294"/>
        <v>0.11</v>
      </c>
      <c r="M555" s="293">
        <f t="shared" si="294"/>
        <v>0.11</v>
      </c>
      <c r="N555" s="293">
        <f t="shared" si="295"/>
        <v>0.11</v>
      </c>
      <c r="O555" s="293">
        <f t="shared" si="295"/>
        <v>0.11</v>
      </c>
      <c r="P555" s="293">
        <f t="shared" si="295"/>
        <v>0.11</v>
      </c>
      <c r="Q555" s="1536">
        <v>0</v>
      </c>
      <c r="R555" s="1442">
        <v>0</v>
      </c>
      <c r="S555" s="1442">
        <v>0</v>
      </c>
      <c r="T555" s="1442"/>
      <c r="U555" s="293">
        <f>Q555</f>
        <v>0</v>
      </c>
      <c r="V555" s="293">
        <f t="shared" si="296"/>
        <v>0</v>
      </c>
      <c r="W555" s="293">
        <f t="shared" si="296"/>
        <v>0</v>
      </c>
      <c r="X555" s="293">
        <f t="shared" si="297"/>
        <v>0</v>
      </c>
      <c r="Y555" s="293">
        <f t="shared" si="297"/>
        <v>0</v>
      </c>
    </row>
    <row r="556" spans="2:25" ht="15.75" hidden="1" customHeight="1" outlineLevel="1">
      <c r="B556" s="404" t="str">
        <f t="shared" si="293"/>
        <v>LT Debt C - due xx/xx/xx @ LIBOR +x%</v>
      </c>
      <c r="C556" s="404" t="str">
        <f t="shared" si="293"/>
        <v>LT Debt C - due xx/xx/xx @ LIBOR +x%</v>
      </c>
      <c r="D556" s="242"/>
      <c r="E556" s="242"/>
      <c r="F556" s="242"/>
      <c r="G556" s="242"/>
      <c r="H556" s="242"/>
      <c r="I556" s="293"/>
      <c r="J556" s="293">
        <v>0.11</v>
      </c>
      <c r="K556" s="243">
        <v>0.11</v>
      </c>
      <c r="L556" s="243">
        <f t="shared" si="294"/>
        <v>0.11</v>
      </c>
      <c r="M556" s="243">
        <f t="shared" si="294"/>
        <v>0.11</v>
      </c>
      <c r="N556" s="243">
        <f t="shared" si="295"/>
        <v>0.11</v>
      </c>
      <c r="O556" s="243">
        <f t="shared" si="295"/>
        <v>0.11</v>
      </c>
      <c r="P556" s="243">
        <f t="shared" si="295"/>
        <v>0.11</v>
      </c>
      <c r="Q556" s="1527">
        <v>0</v>
      </c>
      <c r="R556" s="1432">
        <v>0</v>
      </c>
      <c r="S556" s="1432">
        <v>0</v>
      </c>
      <c r="T556" s="1432"/>
      <c r="U556" s="243">
        <f>Q556</f>
        <v>0</v>
      </c>
      <c r="V556" s="243">
        <f t="shared" si="296"/>
        <v>0</v>
      </c>
      <c r="W556" s="243">
        <f t="shared" si="296"/>
        <v>0</v>
      </c>
      <c r="X556" s="243">
        <f t="shared" si="297"/>
        <v>0</v>
      </c>
      <c r="Y556" s="243">
        <f t="shared" si="297"/>
        <v>0</v>
      </c>
    </row>
    <row r="557" spans="2:25" ht="15.75" hidden="1" customHeight="1" outlineLevel="1">
      <c r="B557" s="404" t="str">
        <f t="shared" si="293"/>
        <v>Револьверный кредит (revolving)</v>
      </c>
      <c r="C557" s="404" t="str">
        <f t="shared" si="293"/>
        <v>Револьверный кредит</v>
      </c>
      <c r="D557" s="242"/>
      <c r="E557" s="242"/>
      <c r="F557" s="242"/>
      <c r="G557" s="242"/>
      <c r="H557" s="242"/>
      <c r="I557" s="243"/>
      <c r="J557" s="243">
        <v>0.11</v>
      </c>
      <c r="K557" s="293">
        <v>0.11</v>
      </c>
      <c r="L557" s="293">
        <f t="shared" si="294"/>
        <v>0.11</v>
      </c>
      <c r="M557" s="293">
        <f t="shared" si="294"/>
        <v>0.11</v>
      </c>
      <c r="N557" s="293">
        <f t="shared" si="295"/>
        <v>0.11</v>
      </c>
      <c r="O557" s="293">
        <f t="shared" si="295"/>
        <v>0.11</v>
      </c>
      <c r="P557" s="293">
        <f t="shared" si="295"/>
        <v>0.11</v>
      </c>
      <c r="Q557" s="1536">
        <v>0</v>
      </c>
      <c r="R557" s="1442">
        <v>0</v>
      </c>
      <c r="S557" s="1442">
        <v>0</v>
      </c>
      <c r="T557" s="1442"/>
      <c r="U557" s="293">
        <f>Q557</f>
        <v>0</v>
      </c>
      <c r="V557" s="293">
        <f t="shared" si="296"/>
        <v>0</v>
      </c>
      <c r="W557" s="293">
        <f t="shared" si="296"/>
        <v>0</v>
      </c>
      <c r="X557" s="293">
        <f t="shared" si="297"/>
        <v>0</v>
      </c>
      <c r="Y557" s="293">
        <f t="shared" si="297"/>
        <v>0</v>
      </c>
    </row>
    <row r="558" spans="2:25" ht="15.75" hidden="1" customHeight="1" outlineLevel="1">
      <c r="B558" s="404" t="str">
        <f t="shared" si="293"/>
        <v xml:space="preserve"> Cash</v>
      </c>
      <c r="C558" s="404" t="str">
        <f t="shared" si="293"/>
        <v>Деньги</v>
      </c>
      <c r="D558" s="242"/>
      <c r="E558" s="242"/>
      <c r="F558" s="242"/>
      <c r="G558" s="242"/>
      <c r="H558" s="242"/>
      <c r="I558" s="243"/>
      <c r="J558" s="243">
        <v>0</v>
      </c>
      <c r="K558" s="243">
        <v>0</v>
      </c>
      <c r="L558" s="243">
        <v>0</v>
      </c>
      <c r="M558" s="243">
        <v>0</v>
      </c>
      <c r="N558" s="243">
        <v>0</v>
      </c>
      <c r="O558" s="243">
        <v>0</v>
      </c>
      <c r="P558" s="243">
        <v>0</v>
      </c>
      <c r="Q558" s="1527">
        <v>0</v>
      </c>
      <c r="R558" s="1432">
        <v>0</v>
      </c>
      <c r="S558" s="1432">
        <v>0</v>
      </c>
      <c r="T558" s="1432"/>
      <c r="U558" s="243">
        <v>0</v>
      </c>
      <c r="V558" s="243">
        <v>0</v>
      </c>
      <c r="W558" s="243">
        <v>0</v>
      </c>
      <c r="X558" s="243">
        <v>0</v>
      </c>
      <c r="Y558" s="243">
        <v>0</v>
      </c>
    </row>
    <row r="559" spans="2:25" ht="15.75" hidden="1" customHeight="1" outlineLevel="1">
      <c r="B559" s="227"/>
      <c r="C559" s="227"/>
      <c r="D559" s="227"/>
      <c r="E559" s="227"/>
      <c r="F559" s="227"/>
      <c r="G559" s="227"/>
      <c r="H559" s="227"/>
      <c r="I559" s="227"/>
      <c r="J559" s="227"/>
      <c r="K559" s="227"/>
      <c r="L559" s="227"/>
      <c r="M559" s="185"/>
      <c r="Q559" s="1466"/>
      <c r="R559" s="1371"/>
      <c r="S559" s="1371"/>
      <c r="T559" s="1371"/>
    </row>
    <row r="560" spans="2:25" ht="15.75" hidden="1" customHeight="1" outlineLevel="1">
      <c r="B560" s="179" t="s">
        <v>1420</v>
      </c>
      <c r="C560" s="179" t="s">
        <v>491</v>
      </c>
      <c r="D560" s="242"/>
      <c r="E560" s="242"/>
      <c r="F560" s="242"/>
      <c r="G560" s="242"/>
      <c r="H560" s="242"/>
      <c r="I560" s="242"/>
      <c r="J560" s="294"/>
      <c r="K560" s="294"/>
      <c r="L560" s="294"/>
      <c r="M560" s="185"/>
      <c r="Q560" s="1466"/>
      <c r="R560" s="1371"/>
      <c r="S560" s="1371"/>
      <c r="T560" s="1371"/>
    </row>
    <row r="561" spans="2:25" ht="15.75" hidden="1" customHeight="1" outlineLevel="1">
      <c r="B561" s="404" t="str">
        <f t="shared" ref="B561:C563" si="298">B554</f>
        <v>LT Debt A - due xx/xx/xx @ LIBOR +x%</v>
      </c>
      <c r="C561" s="404" t="str">
        <f t="shared" si="298"/>
        <v>LT Debt A - due xx/xx/xx @ LIBOR +x%</v>
      </c>
      <c r="D561" s="242"/>
      <c r="E561" s="242"/>
      <c r="F561" s="242"/>
      <c r="G561" s="242"/>
      <c r="H561" s="242"/>
      <c r="I561" s="239"/>
      <c r="J561" s="239">
        <v>3947157.17</v>
      </c>
      <c r="K561" s="239">
        <v>1973578.585</v>
      </c>
      <c r="L561" s="239">
        <f t="shared" ref="L561:Q564" si="299">L547*L554</f>
        <v>0</v>
      </c>
      <c r="M561" s="239">
        <f t="shared" si="299"/>
        <v>0</v>
      </c>
      <c r="N561" s="239">
        <f t="shared" si="299"/>
        <v>0</v>
      </c>
      <c r="O561" s="239">
        <f t="shared" si="299"/>
        <v>0</v>
      </c>
      <c r="P561" s="239">
        <f t="shared" si="299"/>
        <v>330605</v>
      </c>
      <c r="Q561" s="1511">
        <f t="shared" si="299"/>
        <v>1347235.4</v>
      </c>
      <c r="R561" s="1417">
        <f>R547*R554/2</f>
        <v>603302.69999999995</v>
      </c>
      <c r="S561" s="1417">
        <f>S547*S554/2</f>
        <v>861574</v>
      </c>
      <c r="T561" s="1417"/>
      <c r="U561" s="239">
        <f t="shared" ref="U561:V564" si="300">U547*U554</f>
        <v>1576491</v>
      </c>
      <c r="V561" s="239">
        <f t="shared" si="300"/>
        <v>427630</v>
      </c>
      <c r="W561" s="239">
        <f t="shared" ref="W561:Y564" si="301">W547*W554</f>
        <v>0</v>
      </c>
      <c r="X561" s="239">
        <f t="shared" si="301"/>
        <v>0</v>
      </c>
      <c r="Y561" s="239">
        <f t="shared" si="301"/>
        <v>0</v>
      </c>
    </row>
    <row r="562" spans="2:25" ht="15.75" hidden="1" customHeight="1" outlineLevel="1">
      <c r="B562" s="404" t="str">
        <f t="shared" si="298"/>
        <v>LT Debt B - due xx/xx/xx @ LIBOR +x%</v>
      </c>
      <c r="C562" s="404" t="str">
        <f t="shared" si="298"/>
        <v>LT Debt B - due xx/xx/xx @ LIBOR +x%</v>
      </c>
      <c r="D562" s="242"/>
      <c r="E562" s="242"/>
      <c r="F562" s="242"/>
      <c r="G562" s="242"/>
      <c r="H562" s="242"/>
      <c r="I562" s="239"/>
      <c r="J562" s="239">
        <v>0</v>
      </c>
      <c r="K562" s="239">
        <v>0</v>
      </c>
      <c r="L562" s="239">
        <f t="shared" si="299"/>
        <v>0</v>
      </c>
      <c r="M562" s="239">
        <f t="shared" si="299"/>
        <v>0</v>
      </c>
      <c r="N562" s="239">
        <f t="shared" si="299"/>
        <v>0</v>
      </c>
      <c r="O562" s="239">
        <f t="shared" si="299"/>
        <v>0</v>
      </c>
      <c r="P562" s="239">
        <f t="shared" si="299"/>
        <v>0</v>
      </c>
      <c r="Q562" s="1511">
        <f t="shared" si="299"/>
        <v>0</v>
      </c>
      <c r="R562" s="1417">
        <f t="shared" ref="R562:S564" si="302">R548*R555</f>
        <v>0</v>
      </c>
      <c r="S562" s="1417">
        <f t="shared" si="302"/>
        <v>0</v>
      </c>
      <c r="T562" s="1417"/>
      <c r="U562" s="239">
        <f t="shared" si="300"/>
        <v>0</v>
      </c>
      <c r="V562" s="239">
        <f t="shared" si="300"/>
        <v>0</v>
      </c>
      <c r="W562" s="239">
        <f t="shared" si="301"/>
        <v>0</v>
      </c>
      <c r="X562" s="239">
        <f t="shared" si="301"/>
        <v>0</v>
      </c>
      <c r="Y562" s="239">
        <f t="shared" si="301"/>
        <v>0</v>
      </c>
    </row>
    <row r="563" spans="2:25" ht="15.75" hidden="1" customHeight="1" outlineLevel="1">
      <c r="B563" s="404" t="str">
        <f t="shared" si="298"/>
        <v>LT Debt C - due xx/xx/xx @ LIBOR +x%</v>
      </c>
      <c r="C563" s="404" t="str">
        <f t="shared" si="298"/>
        <v>LT Debt C - due xx/xx/xx @ LIBOR +x%</v>
      </c>
      <c r="D563" s="242"/>
      <c r="E563" s="242"/>
      <c r="F563" s="242"/>
      <c r="G563" s="242"/>
      <c r="H563" s="242"/>
      <c r="I563" s="239"/>
      <c r="J563" s="239">
        <v>0</v>
      </c>
      <c r="K563" s="239">
        <v>0</v>
      </c>
      <c r="L563" s="239">
        <f t="shared" si="299"/>
        <v>0</v>
      </c>
      <c r="M563" s="239">
        <f t="shared" si="299"/>
        <v>0</v>
      </c>
      <c r="N563" s="239">
        <f t="shared" si="299"/>
        <v>0</v>
      </c>
      <c r="O563" s="239">
        <f t="shared" si="299"/>
        <v>0</v>
      </c>
      <c r="P563" s="239">
        <f t="shared" si="299"/>
        <v>0</v>
      </c>
      <c r="Q563" s="1511">
        <f t="shared" si="299"/>
        <v>0</v>
      </c>
      <c r="R563" s="1417">
        <f t="shared" si="302"/>
        <v>0</v>
      </c>
      <c r="S563" s="1417">
        <f t="shared" si="302"/>
        <v>0</v>
      </c>
      <c r="T563" s="1417"/>
      <c r="U563" s="239">
        <f t="shared" si="300"/>
        <v>0</v>
      </c>
      <c r="V563" s="239">
        <f t="shared" si="300"/>
        <v>0</v>
      </c>
      <c r="W563" s="239">
        <f t="shared" si="301"/>
        <v>0</v>
      </c>
      <c r="X563" s="239">
        <f t="shared" si="301"/>
        <v>0</v>
      </c>
      <c r="Y563" s="239">
        <f t="shared" si="301"/>
        <v>0</v>
      </c>
    </row>
    <row r="564" spans="2:25" ht="15.75" hidden="1" customHeight="1" outlineLevel="1">
      <c r="B564" s="404" t="s">
        <v>1417</v>
      </c>
      <c r="C564" s="404" t="str">
        <f>C557</f>
        <v>Револьверный кредит</v>
      </c>
      <c r="D564" s="242"/>
      <c r="E564" s="242"/>
      <c r="F564" s="242"/>
      <c r="G564" s="242"/>
      <c r="H564" s="242"/>
      <c r="I564" s="239"/>
      <c r="J564" s="239">
        <v>0</v>
      </c>
      <c r="K564" s="239">
        <v>0</v>
      </c>
      <c r="L564" s="239">
        <f t="shared" si="299"/>
        <v>0</v>
      </c>
      <c r="M564" s="239">
        <f t="shared" ca="1" si="299"/>
        <v>0</v>
      </c>
      <c r="N564" s="239">
        <f t="shared" ca="1" si="299"/>
        <v>0</v>
      </c>
      <c r="O564" s="239">
        <f t="shared" ca="1" si="299"/>
        <v>0</v>
      </c>
      <c r="P564" s="239">
        <f t="shared" ca="1" si="299"/>
        <v>0</v>
      </c>
      <c r="Q564" s="1511">
        <f t="shared" ca="1" si="299"/>
        <v>0</v>
      </c>
      <c r="R564" s="1417">
        <f t="shared" ca="1" si="302"/>
        <v>0</v>
      </c>
      <c r="S564" s="1417">
        <f t="shared" ca="1" si="302"/>
        <v>0</v>
      </c>
      <c r="T564" s="1417"/>
      <c r="U564" s="239">
        <f t="shared" ca="1" si="300"/>
        <v>0</v>
      </c>
      <c r="V564" s="239">
        <f t="shared" ca="1" si="300"/>
        <v>0</v>
      </c>
      <c r="W564" s="239">
        <f t="shared" ca="1" si="301"/>
        <v>0</v>
      </c>
      <c r="X564" s="239">
        <f t="shared" ca="1" si="301"/>
        <v>0</v>
      </c>
      <c r="Y564" s="239">
        <f t="shared" ca="1" si="301"/>
        <v>0</v>
      </c>
    </row>
    <row r="565" spans="2:25" ht="15.75" hidden="1" customHeight="1" outlineLevel="1">
      <c r="B565" s="404" t="s">
        <v>1421</v>
      </c>
      <c r="C565" s="404" t="s">
        <v>492</v>
      </c>
      <c r="D565" s="242"/>
      <c r="E565" s="242"/>
      <c r="F565" s="242"/>
      <c r="G565" s="242"/>
      <c r="H565" s="242"/>
      <c r="I565" s="246"/>
      <c r="J565" s="246">
        <v>3947157.17</v>
      </c>
      <c r="K565" s="246">
        <v>1973578.585</v>
      </c>
      <c r="L565" s="246">
        <f t="shared" ref="L565:U565" si="303">SUM(L561:L564)</f>
        <v>0</v>
      </c>
      <c r="M565" s="246">
        <f t="shared" ca="1" si="303"/>
        <v>0</v>
      </c>
      <c r="N565" s="246">
        <f t="shared" ca="1" si="303"/>
        <v>0</v>
      </c>
      <c r="O565" s="246">
        <f t="shared" ca="1" si="303"/>
        <v>0</v>
      </c>
      <c r="P565" s="246">
        <f t="shared" ca="1" si="303"/>
        <v>330605</v>
      </c>
      <c r="Q565" s="1518">
        <f t="shared" ca="1" si="303"/>
        <v>1347235.4</v>
      </c>
      <c r="R565" s="1423">
        <f ca="1">SUM(R561:R564)</f>
        <v>603302.69999999995</v>
      </c>
      <c r="S565" s="1423">
        <f ca="1">SUM(S561:S564)</f>
        <v>861574</v>
      </c>
      <c r="T565" s="1423"/>
      <c r="U565" s="246">
        <f t="shared" ca="1" si="303"/>
        <v>1576491</v>
      </c>
      <c r="V565" s="246">
        <f ca="1">SUM(V561:V564)</f>
        <v>427630</v>
      </c>
      <c r="W565" s="246">
        <f ca="1">SUM(W561:W564)</f>
        <v>0</v>
      </c>
      <c r="X565" s="246">
        <f ca="1">SUM(X561:X564)</f>
        <v>0</v>
      </c>
      <c r="Y565" s="246">
        <f ca="1">SUM(Y561:Y564)</f>
        <v>0</v>
      </c>
    </row>
    <row r="566" spans="2:25" ht="15.75" hidden="1" customHeight="1" outlineLevel="1">
      <c r="B566" s="227"/>
      <c r="C566" s="227"/>
      <c r="D566" s="227"/>
      <c r="E566" s="227"/>
      <c r="F566" s="227"/>
      <c r="G566" s="227"/>
      <c r="H566" s="227"/>
      <c r="I566" s="227"/>
      <c r="J566" s="227"/>
      <c r="K566" s="227"/>
      <c r="L566" s="227"/>
      <c r="M566" s="185"/>
      <c r="Q566" s="1466"/>
      <c r="R566" s="1371"/>
      <c r="S566" s="1371"/>
      <c r="T566" s="1371"/>
    </row>
    <row r="567" spans="2:25" ht="15.75" hidden="1" customHeight="1" outlineLevel="1">
      <c r="B567" s="406" t="s">
        <v>1422</v>
      </c>
      <c r="C567" s="406" t="s">
        <v>493</v>
      </c>
      <c r="D567" s="242"/>
      <c r="E567" s="242"/>
      <c r="F567" s="242"/>
      <c r="G567" s="242"/>
      <c r="H567" s="242"/>
      <c r="I567" s="239"/>
      <c r="J567" s="239">
        <v>0</v>
      </c>
      <c r="K567" s="239">
        <v>0</v>
      </c>
      <c r="L567" s="239">
        <f t="shared" ref="L567:W567" si="304">K567</f>
        <v>0</v>
      </c>
      <c r="M567" s="239">
        <f t="shared" si="304"/>
        <v>0</v>
      </c>
      <c r="N567" s="239">
        <f t="shared" si="304"/>
        <v>0</v>
      </c>
      <c r="O567" s="239">
        <f t="shared" si="304"/>
        <v>0</v>
      </c>
      <c r="P567" s="239">
        <f t="shared" si="304"/>
        <v>0</v>
      </c>
      <c r="Q567" s="1511">
        <f t="shared" si="304"/>
        <v>0</v>
      </c>
      <c r="R567" s="1417">
        <f>Q567</f>
        <v>0</v>
      </c>
      <c r="S567" s="1417">
        <f>R567</f>
        <v>0</v>
      </c>
      <c r="T567" s="1417"/>
      <c r="U567" s="239">
        <f>Q567</f>
        <v>0</v>
      </c>
      <c r="V567" s="239">
        <f t="shared" si="304"/>
        <v>0</v>
      </c>
      <c r="W567" s="239">
        <f t="shared" si="304"/>
        <v>0</v>
      </c>
      <c r="X567" s="239">
        <f>W567</f>
        <v>0</v>
      </c>
      <c r="Y567" s="239">
        <f>X567</f>
        <v>0</v>
      </c>
    </row>
    <row r="568" spans="2:25" ht="15.75" hidden="1" customHeight="1" outlineLevel="1">
      <c r="B568" s="227"/>
      <c r="C568" s="227"/>
      <c r="D568" s="227"/>
      <c r="E568" s="227"/>
      <c r="F568" s="227"/>
      <c r="G568" s="227"/>
      <c r="H568" s="227"/>
      <c r="I568" s="227"/>
      <c r="J568" s="227"/>
      <c r="K568" s="227"/>
      <c r="L568" s="227"/>
      <c r="M568" s="185"/>
      <c r="Q568" s="1466"/>
      <c r="R568" s="1371"/>
      <c r="S568" s="1371"/>
      <c r="T568" s="1371"/>
    </row>
    <row r="569" spans="2:25" ht="15.75" hidden="1" customHeight="1" outlineLevel="1">
      <c r="B569" s="406" t="s">
        <v>1423</v>
      </c>
      <c r="C569" s="406" t="s">
        <v>429</v>
      </c>
      <c r="D569" s="242"/>
      <c r="E569" s="242"/>
      <c r="F569" s="242"/>
      <c r="G569" s="242"/>
      <c r="H569" s="242"/>
      <c r="I569" s="246"/>
      <c r="J569" s="246">
        <v>3947157.17</v>
      </c>
      <c r="K569" s="246">
        <v>1973578.585</v>
      </c>
      <c r="L569" s="246">
        <f t="shared" ref="L569:U569" si="305">SUM(L565:L567)</f>
        <v>0</v>
      </c>
      <c r="M569" s="246">
        <f t="shared" ca="1" si="305"/>
        <v>0</v>
      </c>
      <c r="N569" s="246">
        <f t="shared" ca="1" si="305"/>
        <v>0</v>
      </c>
      <c r="O569" s="246">
        <f t="shared" ca="1" si="305"/>
        <v>0</v>
      </c>
      <c r="P569" s="246">
        <f t="shared" ca="1" si="305"/>
        <v>330605</v>
      </c>
      <c r="Q569" s="1518">
        <f t="shared" ca="1" si="305"/>
        <v>1347235.4</v>
      </c>
      <c r="R569" s="1423">
        <f ca="1">SUM(R565:R567)</f>
        <v>603302.69999999995</v>
      </c>
      <c r="S569" s="1423">
        <f ca="1">SUM(S565:S567)</f>
        <v>861574</v>
      </c>
      <c r="T569" s="1423"/>
      <c r="U569" s="246">
        <f t="shared" ca="1" si="305"/>
        <v>1576491</v>
      </c>
      <c r="V569" s="246">
        <f ca="1">SUM(V565:V567)</f>
        <v>427630</v>
      </c>
      <c r="W569" s="246">
        <f ca="1">SUM(W565:W567)</f>
        <v>0</v>
      </c>
      <c r="X569" s="246">
        <f ca="1">SUM(X565:X567)</f>
        <v>0</v>
      </c>
      <c r="Y569" s="246">
        <f ca="1">SUM(Y565:Y567)</f>
        <v>0</v>
      </c>
    </row>
    <row r="570" spans="2:25" ht="15.75" hidden="1" customHeight="1" outlineLevel="1">
      <c r="B570" s="227"/>
      <c r="C570" s="227"/>
      <c r="D570" s="242"/>
      <c r="E570" s="242"/>
      <c r="F570" s="242"/>
      <c r="G570" s="242"/>
      <c r="H570" s="242"/>
      <c r="I570" s="242"/>
      <c r="J570" s="249"/>
      <c r="K570" s="249"/>
      <c r="L570" s="249"/>
      <c r="M570" s="185"/>
      <c r="Q570" s="1466"/>
      <c r="R570" s="1371"/>
      <c r="S570" s="1371"/>
      <c r="T570" s="1371"/>
    </row>
    <row r="571" spans="2:25" ht="15.75" hidden="1" customHeight="1" outlineLevel="1">
      <c r="B571" s="179" t="s">
        <v>1424</v>
      </c>
      <c r="C571" s="179" t="s">
        <v>430</v>
      </c>
      <c r="D571" s="242"/>
      <c r="E571" s="242"/>
      <c r="F571" s="242"/>
      <c r="G571" s="242"/>
      <c r="H571" s="242"/>
      <c r="I571" s="239"/>
      <c r="J571" s="239">
        <v>0</v>
      </c>
      <c r="K571" s="239">
        <v>0</v>
      </c>
      <c r="L571" s="239">
        <f t="shared" ref="L571:W571" si="306">(K551+L551)/2*L558</f>
        <v>0</v>
      </c>
      <c r="M571" s="239">
        <f t="shared" ca="1" si="306"/>
        <v>0</v>
      </c>
      <c r="N571" s="239">
        <f ca="1">(M551+N551)/2*N558</f>
        <v>0</v>
      </c>
      <c r="O571" s="239">
        <f t="shared" ca="1" si="306"/>
        <v>0</v>
      </c>
      <c r="P571" s="239">
        <f t="shared" ca="1" si="306"/>
        <v>0</v>
      </c>
      <c r="Q571" s="1511">
        <f t="shared" ca="1" si="306"/>
        <v>0</v>
      </c>
      <c r="R571" s="1417">
        <f ca="1">(Q551+R551)/2*R558</f>
        <v>0</v>
      </c>
      <c r="S571" s="1417">
        <f ca="1">(R551+S551)/2*S558</f>
        <v>0</v>
      </c>
      <c r="T571" s="1417"/>
      <c r="U571" s="239">
        <f ca="1">(Q551+U551)/2*U558</f>
        <v>0</v>
      </c>
      <c r="V571" s="239">
        <f t="shared" ca="1" si="306"/>
        <v>0</v>
      </c>
      <c r="W571" s="239">
        <f t="shared" ca="1" si="306"/>
        <v>0</v>
      </c>
      <c r="X571" s="239">
        <f ca="1">(W551+X551)/2*X558</f>
        <v>0</v>
      </c>
      <c r="Y571" s="239">
        <f ca="1">(X551+Y551)/2*Y558</f>
        <v>0</v>
      </c>
    </row>
    <row r="572" spans="2:25" ht="15.75" hidden="1" customHeight="1" outlineLevel="1">
      <c r="B572" s="179" t="s">
        <v>1425</v>
      </c>
      <c r="C572" s="179" t="s">
        <v>494</v>
      </c>
      <c r="D572" s="242"/>
      <c r="E572" s="242"/>
      <c r="F572" s="242"/>
      <c r="G572" s="242"/>
      <c r="H572" s="242"/>
      <c r="I572" s="239"/>
      <c r="J572" s="239">
        <v>0</v>
      </c>
      <c r="K572" s="239">
        <v>0</v>
      </c>
      <c r="L572" s="239">
        <f t="shared" ref="L572:W572" si="307">K572</f>
        <v>0</v>
      </c>
      <c r="M572" s="239">
        <f t="shared" si="307"/>
        <v>0</v>
      </c>
      <c r="N572" s="239">
        <f t="shared" si="307"/>
        <v>0</v>
      </c>
      <c r="O572" s="239">
        <f t="shared" si="307"/>
        <v>0</v>
      </c>
      <c r="P572" s="239">
        <f t="shared" si="307"/>
        <v>0</v>
      </c>
      <c r="Q572" s="1511">
        <f t="shared" si="307"/>
        <v>0</v>
      </c>
      <c r="R572" s="1417">
        <f>Q572</f>
        <v>0</v>
      </c>
      <c r="S572" s="1417">
        <f>R572</f>
        <v>0</v>
      </c>
      <c r="T572" s="1417"/>
      <c r="U572" s="239">
        <f>Q572</f>
        <v>0</v>
      </c>
      <c r="V572" s="239">
        <f t="shared" si="307"/>
        <v>0</v>
      </c>
      <c r="W572" s="239">
        <f t="shared" si="307"/>
        <v>0</v>
      </c>
      <c r="X572" s="239">
        <f>W572</f>
        <v>0</v>
      </c>
      <c r="Y572" s="239">
        <f>X572</f>
        <v>0</v>
      </c>
    </row>
    <row r="573" spans="2:25" ht="15.75" hidden="1" customHeight="1" outlineLevel="1">
      <c r="B573" s="406" t="s">
        <v>1426</v>
      </c>
      <c r="C573" s="406" t="s">
        <v>495</v>
      </c>
      <c r="D573" s="242"/>
      <c r="E573" s="242"/>
      <c r="F573" s="242"/>
      <c r="G573" s="242"/>
      <c r="H573" s="242"/>
      <c r="I573" s="246"/>
      <c r="J573" s="246">
        <v>0</v>
      </c>
      <c r="K573" s="246">
        <v>0</v>
      </c>
      <c r="L573" s="246">
        <f t="shared" ref="L573:U573" si="308">SUM(L571:L572)</f>
        <v>0</v>
      </c>
      <c r="M573" s="246">
        <f t="shared" ca="1" si="308"/>
        <v>0</v>
      </c>
      <c r="N573" s="246">
        <f ca="1">SUM(N571:N572)</f>
        <v>0</v>
      </c>
      <c r="O573" s="246">
        <f t="shared" ca="1" si="308"/>
        <v>0</v>
      </c>
      <c r="P573" s="246">
        <f t="shared" ca="1" si="308"/>
        <v>0</v>
      </c>
      <c r="Q573" s="1518">
        <f t="shared" ca="1" si="308"/>
        <v>0</v>
      </c>
      <c r="R573" s="1423">
        <f ca="1">SUM(R571:R572)</f>
        <v>0</v>
      </c>
      <c r="S573" s="1423">
        <f ca="1">SUM(S571:S572)</f>
        <v>0</v>
      </c>
      <c r="T573" s="1423"/>
      <c r="U573" s="246">
        <f t="shared" ca="1" si="308"/>
        <v>0</v>
      </c>
      <c r="V573" s="246">
        <f ca="1">SUM(V571:V572)</f>
        <v>0</v>
      </c>
      <c r="W573" s="246">
        <f ca="1">SUM(W571:W572)</f>
        <v>0</v>
      </c>
      <c r="X573" s="246">
        <f ca="1">SUM(X571:X572)</f>
        <v>0</v>
      </c>
      <c r="Y573" s="246">
        <f ca="1">SUM(Y571:Y572)</f>
        <v>0</v>
      </c>
    </row>
    <row r="574" spans="2:25" ht="15.75" hidden="1" customHeight="1" outlineLevel="1" collapsed="1"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185"/>
      <c r="Q574" s="1466"/>
      <c r="R574" s="1371"/>
      <c r="S574" s="1371"/>
      <c r="T574" s="1371"/>
    </row>
    <row r="575" spans="2:25" ht="15.75" hidden="1" customHeight="1" outlineLevel="1"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52"/>
      <c r="M575" s="185"/>
      <c r="Q575" s="1466"/>
      <c r="R575" s="1371"/>
      <c r="S575" s="1371"/>
      <c r="T575" s="1371"/>
    </row>
    <row r="576" spans="2:25" ht="15.75" hidden="1" customHeight="1" outlineLevel="1">
      <c r="B576" s="227"/>
      <c r="C576" s="1278" t="s">
        <v>1845</v>
      </c>
      <c r="D576" s="242"/>
      <c r="E576" s="242"/>
      <c r="F576" s="242"/>
      <c r="G576" s="242"/>
      <c r="H576" s="242"/>
      <c r="I576" s="242"/>
      <c r="J576" s="242"/>
      <c r="K576" s="249"/>
      <c r="L576" s="249"/>
      <c r="M576" s="185"/>
      <c r="O576" s="879"/>
      <c r="P576" s="1340">
        <v>0.27733333333333299</v>
      </c>
      <c r="Q576" s="1466"/>
      <c r="R576" s="1371"/>
      <c r="S576" s="1371"/>
      <c r="T576" s="1371"/>
    </row>
    <row r="577" spans="2:25" s="168" customFormat="1" hidden="1" outlineLevel="1">
      <c r="B577" s="601"/>
      <c r="C577" s="1278" t="s">
        <v>1846</v>
      </c>
      <c r="N577" s="592"/>
      <c r="O577" s="1179"/>
      <c r="P577" s="1340">
        <v>5.0000000000000001E-3</v>
      </c>
      <c r="Q577" s="1466"/>
      <c r="R577" s="1371"/>
      <c r="S577" s="1371"/>
      <c r="T577" s="1371"/>
      <c r="U577" s="592"/>
      <c r="V577" s="592"/>
      <c r="W577" s="592"/>
      <c r="X577" s="592"/>
      <c r="Y577" s="592"/>
    </row>
    <row r="578" spans="2:25" s="168" customFormat="1" hidden="1" outlineLevel="1">
      <c r="B578" s="601"/>
      <c r="C578" s="1278" t="s">
        <v>1847</v>
      </c>
      <c r="N578" s="592"/>
      <c r="O578" s="592"/>
      <c r="P578" s="592"/>
      <c r="Q578" s="1537">
        <v>1</v>
      </c>
      <c r="R578" s="1443"/>
      <c r="S578" s="1443"/>
      <c r="T578" s="1443"/>
      <c r="U578" s="1177">
        <f>Q578+1</f>
        <v>2</v>
      </c>
      <c r="V578" s="1177">
        <f>U578+1</f>
        <v>3</v>
      </c>
      <c r="W578" s="1177">
        <f>V578+1</f>
        <v>4</v>
      </c>
      <c r="X578" s="1177">
        <f>W578+1</f>
        <v>5</v>
      </c>
      <c r="Y578" s="592"/>
    </row>
    <row r="579" spans="2:25" s="168" customFormat="1" hidden="1" outlineLevel="1">
      <c r="B579" s="601"/>
      <c r="C579" s="1278" t="s">
        <v>1848</v>
      </c>
      <c r="N579" s="592"/>
      <c r="O579" s="592"/>
      <c r="P579" s="592"/>
      <c r="Q579" s="1538">
        <f>(1/(1+P576)^Q578)</f>
        <v>0.78288100208768285</v>
      </c>
      <c r="R579" s="1444"/>
      <c r="S579" s="1444"/>
      <c r="T579" s="1444"/>
      <c r="U579" s="1178">
        <f>(1/(1+$P$576)^U578)</f>
        <v>0.61290266342981459</v>
      </c>
      <c r="V579" s="1178">
        <f>(1/(1+$P$576)^V578)</f>
        <v>0.47982985132814304</v>
      </c>
      <c r="W579" s="1178">
        <f>(1/(1+$P$576)^W578)</f>
        <v>0.37564967483936051</v>
      </c>
      <c r="X579" s="1178">
        <f>(1/(1+$P$576)^X578)</f>
        <v>0.29408899387215082</v>
      </c>
      <c r="Y579" s="592"/>
    </row>
    <row r="580" spans="2:25" s="168" customFormat="1" hidden="1" outlineLevel="1">
      <c r="B580" s="601"/>
      <c r="C580" s="1278" t="s">
        <v>1849</v>
      </c>
      <c r="N580" s="592"/>
      <c r="O580" s="592"/>
      <c r="P580" s="592"/>
      <c r="Q580" s="1539">
        <f ca="1">Q386*Q579</f>
        <v>149327202.38276213</v>
      </c>
      <c r="R580" s="1445"/>
      <c r="S580" s="1445"/>
      <c r="T580" s="1445"/>
      <c r="U580" s="321">
        <f ca="1">U386*U579</f>
        <v>152139119.42005494</v>
      </c>
      <c r="V580" s="321">
        <f ca="1">V386*V579</f>
        <v>118993553.83414088</v>
      </c>
      <c r="W580" s="321">
        <f ca="1">W386*W579</f>
        <v>99007392.64351739</v>
      </c>
      <c r="X580" s="321">
        <f ca="1">X386*X579</f>
        <v>77873151.251453936</v>
      </c>
      <c r="Y580" s="592"/>
    </row>
    <row r="581" spans="2:25" s="168" customFormat="1" hidden="1" outlineLevel="1">
      <c r="B581" s="601"/>
      <c r="C581" s="1278" t="s">
        <v>1850</v>
      </c>
      <c r="N581" s="592"/>
      <c r="O581" s="592"/>
      <c r="P581" s="592"/>
      <c r="Q581" s="1539">
        <f ca="1">SUM(Q580:X580)</f>
        <v>597340419.53192925</v>
      </c>
      <c r="R581" s="1445"/>
      <c r="S581" s="1445"/>
      <c r="T581" s="1445"/>
      <c r="U581" s="592"/>
      <c r="V581" s="592"/>
      <c r="W581" s="592"/>
      <c r="X581" s="592"/>
      <c r="Y581" s="592"/>
    </row>
    <row r="582" spans="2:25" s="168" customFormat="1" hidden="1" outlineLevel="1">
      <c r="B582" s="601"/>
      <c r="C582" s="1278" t="s">
        <v>1851</v>
      </c>
      <c r="N582" s="592"/>
      <c r="O582" s="592"/>
      <c r="P582" s="592"/>
      <c r="Q582" s="1537">
        <f ca="1">X580/(P576-P577)</f>
        <v>285947923.81194872</v>
      </c>
      <c r="R582" s="1443"/>
      <c r="S582" s="1443"/>
      <c r="T582" s="1443"/>
      <c r="U582" s="592"/>
      <c r="V582" s="592"/>
      <c r="W582" s="592"/>
      <c r="X582" s="592"/>
      <c r="Y582" s="592"/>
    </row>
    <row r="583" spans="2:25" s="168" customFormat="1" hidden="1" outlineLevel="1">
      <c r="B583" s="601"/>
      <c r="C583" s="1278" t="s">
        <v>1852</v>
      </c>
      <c r="N583" s="592"/>
      <c r="O583" s="592"/>
      <c r="P583" s="592"/>
      <c r="Q583" s="1539">
        <f ca="1">Q582*X579</f>
        <v>84094137.213686436</v>
      </c>
      <c r="R583" s="1445"/>
      <c r="S583" s="1445"/>
      <c r="T583" s="1445"/>
      <c r="U583" s="592"/>
      <c r="V583" s="592"/>
      <c r="W583" s="592"/>
      <c r="X583" s="592"/>
      <c r="Y583" s="592"/>
    </row>
    <row r="584" spans="2:25" s="168" customFormat="1" hidden="1" outlineLevel="1">
      <c r="B584" s="601"/>
      <c r="C584" s="1278"/>
      <c r="N584" s="592"/>
      <c r="O584" s="592"/>
      <c r="P584" s="592"/>
      <c r="Q584" s="1512"/>
      <c r="R584" s="427"/>
      <c r="S584" s="427"/>
      <c r="T584" s="427"/>
      <c r="U584" s="592"/>
      <c r="V584" s="592"/>
      <c r="W584" s="592"/>
      <c r="X584" s="592"/>
      <c r="Y584" s="592"/>
    </row>
    <row r="585" spans="2:25" s="168" customFormat="1" hidden="1" outlineLevel="1">
      <c r="B585" s="601"/>
      <c r="C585" s="1278" t="s">
        <v>1853</v>
      </c>
      <c r="N585" s="592"/>
      <c r="O585" s="592"/>
      <c r="P585" s="592"/>
      <c r="Q585" s="1537">
        <f ca="1">Q583+Q581</f>
        <v>681434556.74561572</v>
      </c>
      <c r="R585" s="1443"/>
      <c r="S585" s="1443"/>
      <c r="T585" s="1443"/>
      <c r="U585" s="592"/>
      <c r="V585" s="592"/>
      <c r="W585" s="592"/>
      <c r="X585" s="592"/>
      <c r="Y585" s="592"/>
    </row>
    <row r="586" spans="2:25" s="168" customFormat="1" hidden="1" outlineLevel="1">
      <c r="B586" s="601"/>
      <c r="C586" s="1278" t="s">
        <v>1854</v>
      </c>
      <c r="N586" s="592"/>
      <c r="O586" s="592"/>
      <c r="P586" s="592"/>
      <c r="Q586" s="1493">
        <f>P425+P432-P436</f>
        <v>31295183.515862152</v>
      </c>
      <c r="R586" s="1398"/>
      <c r="S586" s="1398"/>
      <c r="T586" s="1398"/>
      <c r="U586" s="592"/>
      <c r="V586" s="592"/>
      <c r="W586" s="592"/>
      <c r="X586" s="592"/>
      <c r="Y586" s="592"/>
    </row>
    <row r="587" spans="2:25" s="168" customFormat="1" hidden="1" outlineLevel="1">
      <c r="B587" s="601"/>
      <c r="C587" s="1278" t="s">
        <v>1855</v>
      </c>
      <c r="N587" s="592"/>
      <c r="O587" s="592"/>
      <c r="P587" s="592"/>
      <c r="Q587" s="1512">
        <v>0</v>
      </c>
      <c r="R587" s="427"/>
      <c r="S587" s="427"/>
      <c r="T587" s="427"/>
      <c r="U587" s="592"/>
      <c r="V587" s="592"/>
      <c r="W587" s="592"/>
      <c r="X587" s="592"/>
      <c r="Y587" s="592"/>
    </row>
    <row r="588" spans="2:25" s="168" customFormat="1" hidden="1" outlineLevel="1">
      <c r="B588" s="601"/>
      <c r="C588" s="1278" t="s">
        <v>1856</v>
      </c>
      <c r="N588" s="592"/>
      <c r="O588" s="592"/>
      <c r="P588" s="592"/>
      <c r="Q588" s="1537">
        <f ca="1">Q585-Q586-Q587</f>
        <v>650139373.22975361</v>
      </c>
      <c r="R588" s="1443"/>
      <c r="S588" s="1443"/>
      <c r="T588" s="1443"/>
      <c r="U588" s="592"/>
      <c r="V588" s="592"/>
      <c r="W588" s="592"/>
      <c r="X588" s="592"/>
      <c r="Y588" s="592"/>
    </row>
    <row r="589" spans="2:25" s="168" customFormat="1" hidden="1" outlineLevel="1">
      <c r="B589" s="601"/>
      <c r="C589" s="1322" t="s">
        <v>1857</v>
      </c>
      <c r="N589" s="592"/>
      <c r="O589" s="592"/>
      <c r="P589" s="592"/>
      <c r="Q589" s="1559">
        <f ca="1">ROUND(Q588,-3)</f>
        <v>650139000</v>
      </c>
      <c r="R589" s="1560"/>
      <c r="S589" s="1560"/>
      <c r="T589" s="1560"/>
      <c r="U589" s="592"/>
      <c r="V589" s="592"/>
      <c r="W589" s="592"/>
      <c r="X589" s="592"/>
      <c r="Y589" s="592"/>
    </row>
    <row r="590" spans="2:25" s="168" customFormat="1" collapsed="1">
      <c r="B590" s="601"/>
      <c r="C590" s="601"/>
      <c r="N590" s="592"/>
      <c r="O590" s="592"/>
      <c r="P590" s="592"/>
      <c r="Q590" s="592"/>
      <c r="R590" s="592"/>
      <c r="S590" s="592"/>
      <c r="T590" s="592"/>
      <c r="U590" s="592"/>
      <c r="V590" s="592"/>
      <c r="W590" s="592"/>
      <c r="X590" s="592"/>
      <c r="Y590" s="592"/>
    </row>
    <row r="591" spans="2:25" s="168" customFormat="1">
      <c r="B591" s="601"/>
      <c r="C591" s="601"/>
      <c r="N591" s="592"/>
      <c r="O591" s="592"/>
      <c r="P591" s="592"/>
      <c r="Q591" s="592"/>
      <c r="R591" s="592"/>
      <c r="S591" s="592"/>
      <c r="T591" s="592"/>
      <c r="U591" s="592"/>
      <c r="V591" s="592"/>
      <c r="W591" s="592"/>
      <c r="X591" s="592"/>
      <c r="Y591" s="592"/>
    </row>
    <row r="592" spans="2:25" s="168" customFormat="1">
      <c r="B592" s="601"/>
      <c r="C592" s="601"/>
      <c r="N592" s="592"/>
      <c r="O592" s="592"/>
      <c r="P592" s="592"/>
      <c r="Q592" s="592"/>
      <c r="R592" s="592"/>
      <c r="S592" s="592"/>
      <c r="T592" s="592"/>
      <c r="U592" s="592"/>
      <c r="V592" s="592"/>
      <c r="W592" s="592"/>
      <c r="X592" s="592"/>
      <c r="Y592" s="592"/>
    </row>
    <row r="593" spans="2:25" s="168" customFormat="1">
      <c r="B593" s="601"/>
      <c r="C593" s="601"/>
      <c r="N593" s="592"/>
      <c r="O593" s="592"/>
      <c r="P593" s="592"/>
      <c r="Q593" s="592"/>
      <c r="R593" s="592"/>
      <c r="S593" s="592"/>
      <c r="T593" s="592"/>
      <c r="U593" s="592"/>
      <c r="V593" s="592"/>
      <c r="W593" s="592"/>
      <c r="X593" s="592"/>
      <c r="Y593" s="592"/>
    </row>
    <row r="594" spans="2:25" s="168" customFormat="1">
      <c r="B594" s="601"/>
      <c r="C594" s="601"/>
      <c r="N594" s="592"/>
      <c r="O594" s="592"/>
      <c r="P594" s="592"/>
      <c r="Q594" s="592"/>
      <c r="R594" s="592"/>
      <c r="S594" s="592"/>
      <c r="T594" s="592"/>
      <c r="U594" s="592"/>
      <c r="V594" s="592"/>
      <c r="W594" s="592"/>
      <c r="X594" s="592"/>
      <c r="Y594" s="592"/>
    </row>
    <row r="595" spans="2:25" s="168" customFormat="1">
      <c r="B595" s="601"/>
      <c r="C595" s="601"/>
      <c r="N595" s="592"/>
      <c r="O595" s="592"/>
      <c r="P595" s="592"/>
      <c r="Q595" s="592"/>
      <c r="R595" s="592"/>
      <c r="S595" s="592"/>
      <c r="T595" s="592"/>
      <c r="U595" s="592"/>
      <c r="V595" s="592"/>
      <c r="W595" s="592"/>
      <c r="X595" s="592"/>
      <c r="Y595" s="592"/>
    </row>
    <row r="596" spans="2:25" s="168" customFormat="1">
      <c r="B596" s="601"/>
      <c r="C596" s="601"/>
      <c r="N596" s="592"/>
      <c r="O596" s="592"/>
      <c r="P596" s="592"/>
      <c r="Q596" s="592"/>
      <c r="R596" s="592"/>
      <c r="S596" s="592"/>
      <c r="T596" s="592"/>
      <c r="U596" s="592"/>
      <c r="V596" s="592"/>
      <c r="W596" s="592"/>
      <c r="X596" s="592"/>
      <c r="Y596" s="592"/>
    </row>
    <row r="597" spans="2:25" s="168" customFormat="1">
      <c r="B597" s="601"/>
      <c r="C597" s="601"/>
      <c r="N597" s="592"/>
      <c r="O597" s="592"/>
      <c r="P597" s="592"/>
      <c r="Q597" s="592"/>
      <c r="R597" s="592"/>
      <c r="S597" s="592"/>
      <c r="T597" s="592"/>
      <c r="U597" s="592"/>
      <c r="V597" s="592"/>
      <c r="W597" s="592"/>
      <c r="X597" s="592"/>
      <c r="Y597" s="592"/>
    </row>
    <row r="598" spans="2:25" s="168" customFormat="1">
      <c r="B598" s="601"/>
      <c r="C598" s="601"/>
      <c r="N598" s="592"/>
      <c r="O598" s="592"/>
      <c r="P598" s="592"/>
      <c r="Q598" s="592"/>
      <c r="R598" s="592"/>
      <c r="S598" s="592"/>
      <c r="T598" s="592"/>
      <c r="U598" s="592"/>
      <c r="V598" s="592"/>
      <c r="W598" s="592"/>
      <c r="X598" s="592"/>
      <c r="Y598" s="592"/>
    </row>
    <row r="599" spans="2:25" s="168" customFormat="1">
      <c r="B599" s="601"/>
      <c r="C599" s="601"/>
      <c r="N599" s="592"/>
      <c r="O599" s="592"/>
      <c r="P599" s="592"/>
      <c r="Q599" s="592"/>
      <c r="R599" s="592"/>
      <c r="S599" s="592"/>
      <c r="T599" s="592"/>
      <c r="U599" s="592"/>
      <c r="V599" s="592"/>
      <c r="W599" s="592"/>
      <c r="X599" s="592"/>
      <c r="Y599" s="592"/>
    </row>
    <row r="600" spans="2:25" s="168" customFormat="1">
      <c r="B600" s="601"/>
      <c r="C600" s="601"/>
      <c r="N600" s="592"/>
      <c r="O600" s="592"/>
      <c r="P600" s="592"/>
      <c r="Q600" s="592"/>
      <c r="R600" s="592"/>
      <c r="S600" s="592"/>
      <c r="T600" s="592"/>
      <c r="U600" s="592"/>
      <c r="V600" s="592"/>
      <c r="W600" s="592"/>
      <c r="X600" s="592"/>
      <c r="Y600" s="592"/>
    </row>
    <row r="601" spans="2:25" s="168" customFormat="1">
      <c r="B601" s="601"/>
      <c r="C601" s="601"/>
      <c r="N601" s="592"/>
      <c r="O601" s="592"/>
      <c r="P601" s="592"/>
      <c r="Q601" s="592"/>
      <c r="R601" s="592"/>
      <c r="S601" s="592"/>
      <c r="T601" s="592"/>
      <c r="U601" s="592"/>
      <c r="V601" s="592"/>
      <c r="W601" s="592"/>
      <c r="X601" s="592"/>
      <c r="Y601" s="592"/>
    </row>
    <row r="602" spans="2:25" s="168" customFormat="1">
      <c r="B602" s="601"/>
      <c r="C602" s="601"/>
      <c r="N602" s="592"/>
      <c r="O602" s="592"/>
      <c r="P602" s="592"/>
      <c r="Q602" s="592"/>
      <c r="R602" s="592"/>
      <c r="S602" s="592"/>
      <c r="T602" s="592"/>
      <c r="U602" s="592"/>
      <c r="V602" s="592"/>
      <c r="W602" s="592"/>
      <c r="X602" s="592"/>
      <c r="Y602" s="592"/>
    </row>
    <row r="603" spans="2:25" s="168" customFormat="1">
      <c r="B603" s="601"/>
      <c r="C603" s="601"/>
      <c r="N603" s="592"/>
      <c r="O603" s="592"/>
      <c r="P603" s="592"/>
      <c r="Q603" s="592"/>
      <c r="R603" s="592"/>
      <c r="S603" s="592"/>
      <c r="T603" s="592"/>
      <c r="U603" s="592"/>
      <c r="V603" s="592"/>
      <c r="W603" s="592"/>
      <c r="X603" s="592"/>
      <c r="Y603" s="592"/>
    </row>
    <row r="604" spans="2:25" s="168" customFormat="1">
      <c r="B604" s="601"/>
      <c r="C604" s="601"/>
      <c r="N604" s="592"/>
      <c r="O604" s="592"/>
      <c r="P604" s="592"/>
      <c r="Q604" s="592"/>
      <c r="R604" s="592"/>
      <c r="S604" s="592"/>
      <c r="T604" s="592"/>
      <c r="U604" s="592"/>
      <c r="V604" s="592"/>
      <c r="W604" s="592"/>
      <c r="X604" s="592"/>
      <c r="Y604" s="592"/>
    </row>
  </sheetData>
  <autoFilter ref="A9:ID9"/>
  <mergeCells count="10">
    <mergeCell ref="G77:L77"/>
    <mergeCell ref="G67:L67"/>
    <mergeCell ref="G72:L72"/>
    <mergeCell ref="G59:L59"/>
    <mergeCell ref="G36:L36"/>
    <mergeCell ref="G32:L32"/>
    <mergeCell ref="G40:L40"/>
    <mergeCell ref="G51:L51"/>
    <mergeCell ref="G55:L55"/>
    <mergeCell ref="G63:L63"/>
  </mergeCells>
  <phoneticPr fontId="0" type="noConversion"/>
  <printOptions horizontalCentered="1" headings="1"/>
  <pageMargins left="0.35433070866141736" right="0.35433070866141736" top="0.51181102362204722" bottom="1.29" header="0.51181102362204722" footer="0.38"/>
  <pageSetup paperSize="9" scale="98" fitToHeight="14" orientation="portrait" r:id="rId1"/>
  <headerFooter alignWithMargins="0"/>
  <rowBreaks count="4" manualBreakCount="4">
    <brk id="202" min="1" max="17" man="1"/>
    <brk id="347" max="20" man="1"/>
    <brk id="394" min="1" max="17" man="1"/>
    <brk id="440" min="1" max="17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D894"/>
  <sheetViews>
    <sheetView showGridLines="0" zoomScale="85" zoomScaleNormal="85" zoomScaleSheetLayoutView="85" workbookViewId="0">
      <pane xSplit="3" ySplit="9" topLeftCell="D13" activePane="bottomRight" state="frozen"/>
      <selection activeCell="P18" sqref="P18"/>
      <selection pane="topRight" activeCell="P18" sqref="P18"/>
      <selection pane="bottomLeft" activeCell="P18" sqref="P18"/>
      <selection pane="bottomRight" activeCell="C13" sqref="C13"/>
    </sheetView>
  </sheetViews>
  <sheetFormatPr defaultRowHeight="12.75" outlineLevelRow="1" outlineLevelCol="1"/>
  <cols>
    <col min="1" max="1" width="3.42578125" style="169" customWidth="1"/>
    <col min="2" max="2" width="2.85546875" style="169" customWidth="1"/>
    <col min="3" max="3" width="24.140625" style="295" customWidth="1"/>
    <col min="4" max="4" width="13.5703125" style="169" bestFit="1" customWidth="1"/>
    <col min="5" max="5" width="51.42578125" style="169" hidden="1" customWidth="1" outlineLevel="1"/>
    <col min="6" max="6" width="54.28515625" style="169" hidden="1" customWidth="1" outlineLevel="1"/>
    <col min="7" max="7" width="12.7109375" style="169" hidden="1" customWidth="1" outlineLevel="1"/>
    <col min="8" max="8" width="27.28515625" style="169" hidden="1" customWidth="1" outlineLevel="1"/>
    <col min="9" max="9" width="12.28515625" style="169" hidden="1" customWidth="1" outlineLevel="1"/>
    <col min="10" max="10" width="12.7109375" style="169" hidden="1" customWidth="1" outlineLevel="1"/>
    <col min="11" max="11" width="12.85546875" style="169" hidden="1" customWidth="1" outlineLevel="1" collapsed="1"/>
    <col min="12" max="12" width="12.85546875" style="168" hidden="1" customWidth="1" outlineLevel="1"/>
    <col min="13" max="13" width="15.28515625" style="168" hidden="1" customWidth="1" outlineLevel="1" collapsed="1"/>
    <col min="14" max="14" width="12.85546875" style="577" hidden="1" customWidth="1" outlineLevel="1" collapsed="1"/>
    <col min="15" max="15" width="15.42578125" style="577" hidden="1" customWidth="1" outlineLevel="1"/>
    <col min="16" max="16" width="15.42578125" style="577" customWidth="1" collapsed="1"/>
    <col min="17" max="23" width="15.42578125" style="577" customWidth="1"/>
    <col min="24" max="27" width="15.28515625" style="169" customWidth="1"/>
    <col min="28" max="42" width="15.28515625" style="169" hidden="1" customWidth="1" outlineLevel="1"/>
    <col min="43" max="47" width="19" style="169" hidden="1" customWidth="1" outlineLevel="1"/>
    <col min="48" max="48" width="12.85546875" style="169" customWidth="1" collapsed="1"/>
    <col min="49" max="51" width="12.85546875" style="169" customWidth="1"/>
    <col min="52" max="58" width="11.7109375" style="169" customWidth="1"/>
    <col min="59" max="16384" width="9.140625" style="169"/>
  </cols>
  <sheetData>
    <row r="1" spans="1:238" ht="15.75" customHeight="1">
      <c r="A1" s="295"/>
      <c r="E1" s="168"/>
      <c r="F1" s="168"/>
      <c r="G1" s="168"/>
      <c r="H1" s="167"/>
      <c r="I1" s="168"/>
      <c r="J1" s="168"/>
      <c r="N1" s="602"/>
      <c r="O1" s="216"/>
      <c r="P1" s="214"/>
      <c r="Q1" s="214"/>
      <c r="R1" s="214"/>
      <c r="S1" s="214"/>
      <c r="T1" s="214"/>
      <c r="U1" s="214"/>
      <c r="V1" s="214"/>
      <c r="W1" s="214"/>
    </row>
    <row r="2" spans="1:238" ht="15.75" customHeight="1">
      <c r="C2" s="296"/>
      <c r="D2" s="168"/>
      <c r="E2" s="168"/>
      <c r="F2" s="168"/>
      <c r="G2" s="168"/>
      <c r="H2" s="168"/>
      <c r="I2" s="168"/>
      <c r="J2" s="168"/>
    </row>
    <row r="3" spans="1:238" ht="27" customHeight="1">
      <c r="C3" s="297" t="s">
        <v>905</v>
      </c>
      <c r="L3" s="169"/>
      <c r="N3" s="169"/>
      <c r="O3" s="169"/>
      <c r="P3" s="169"/>
      <c r="Q3" s="169"/>
      <c r="R3" s="169"/>
      <c r="S3" s="169"/>
      <c r="T3" s="169"/>
      <c r="U3" s="169"/>
      <c r="V3" s="169"/>
      <c r="W3" s="169"/>
    </row>
    <row r="4" spans="1:238" ht="3" customHeight="1">
      <c r="C4" s="299"/>
      <c r="D4" s="170"/>
      <c r="E4" s="170"/>
      <c r="F4" s="170"/>
      <c r="G4" s="170"/>
      <c r="H4" s="170"/>
      <c r="I4" s="170"/>
      <c r="J4" s="170"/>
      <c r="K4" s="170"/>
      <c r="L4" s="170"/>
      <c r="M4" s="170"/>
      <c r="N4" s="170"/>
      <c r="O4" s="170"/>
      <c r="P4" s="170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  <c r="AC4" s="170"/>
      <c r="AD4" s="170"/>
      <c r="AE4" s="170"/>
      <c r="AF4" s="170"/>
      <c r="AG4" s="170"/>
      <c r="AH4" s="170"/>
      <c r="AI4" s="170"/>
      <c r="AJ4" s="170"/>
      <c r="AK4" s="170"/>
      <c r="AL4" s="170"/>
      <c r="AM4" s="170"/>
      <c r="AN4" s="170"/>
      <c r="AO4" s="170"/>
      <c r="AP4" s="170"/>
      <c r="AQ4" s="170"/>
      <c r="AR4" s="170"/>
      <c r="AS4" s="170"/>
      <c r="AT4" s="170"/>
      <c r="AU4" s="170"/>
      <c r="AV4" s="170"/>
      <c r="AW4" s="170"/>
      <c r="AX4" s="170"/>
      <c r="AY4" s="170"/>
    </row>
    <row r="5" spans="1:238" ht="15.75" customHeight="1">
      <c r="H5" s="171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  <c r="Z5" s="171"/>
      <c r="AA5" s="171"/>
      <c r="AB5" s="171"/>
      <c r="AC5" s="171"/>
      <c r="AD5" s="171"/>
      <c r="AE5" s="171"/>
      <c r="AF5" s="171"/>
      <c r="AG5" s="171"/>
      <c r="AH5" s="171"/>
      <c r="AI5" s="171"/>
      <c r="AJ5" s="171"/>
      <c r="AK5" s="171"/>
      <c r="AL5" s="171"/>
      <c r="AM5" s="171"/>
      <c r="AN5" s="171"/>
      <c r="AO5" s="171"/>
      <c r="AP5" s="171"/>
      <c r="AQ5" s="171"/>
      <c r="AR5" s="171"/>
      <c r="AS5" s="171"/>
      <c r="AT5" s="171"/>
      <c r="AU5" s="171"/>
      <c r="AV5" s="171"/>
      <c r="AW5" s="171"/>
      <c r="AX5" s="171"/>
      <c r="AY5" s="171"/>
    </row>
    <row r="6" spans="1:238" ht="15.75" customHeight="1">
      <c r="C6" s="302" t="s">
        <v>168</v>
      </c>
      <c r="D6" s="303"/>
      <c r="E6" s="303"/>
      <c r="F6" s="303"/>
      <c r="G6" s="303"/>
      <c r="H6" s="172"/>
      <c r="I6" s="172"/>
      <c r="J6" s="172"/>
      <c r="K6" s="172"/>
      <c r="L6" s="173"/>
    </row>
    <row r="7" spans="1:238" ht="15.75" customHeight="1">
      <c r="B7" s="172"/>
      <c r="C7" s="603"/>
      <c r="D7" s="233"/>
      <c r="E7" s="233"/>
      <c r="F7" s="233"/>
      <c r="G7" s="603"/>
      <c r="H7" s="603"/>
      <c r="I7" s="174"/>
      <c r="J7" s="174"/>
      <c r="K7" s="175"/>
      <c r="L7" s="175"/>
      <c r="M7" s="1300"/>
      <c r="N7" s="1300"/>
      <c r="O7" s="175">
        <v>-3</v>
      </c>
      <c r="P7" s="175">
        <f>O7+1</f>
        <v>-2</v>
      </c>
      <c r="Q7" s="175">
        <f>P7+1</f>
        <v>-1</v>
      </c>
      <c r="R7" s="175">
        <f>Q7+2</f>
        <v>1</v>
      </c>
      <c r="S7" s="175"/>
      <c r="T7" s="175"/>
      <c r="U7" s="175" t="s">
        <v>2012</v>
      </c>
      <c r="V7" s="175">
        <f>R7+1</f>
        <v>2</v>
      </c>
      <c r="W7" s="175">
        <f>V7+1</f>
        <v>3</v>
      </c>
      <c r="X7" s="175">
        <f t="shared" ref="X7:AM7" si="0">W7+1</f>
        <v>4</v>
      </c>
      <c r="Y7" s="175">
        <f t="shared" si="0"/>
        <v>5</v>
      </c>
      <c r="Z7" s="175">
        <f t="shared" si="0"/>
        <v>6</v>
      </c>
      <c r="AA7" s="175">
        <f t="shared" si="0"/>
        <v>7</v>
      </c>
      <c r="AB7" s="175">
        <f t="shared" si="0"/>
        <v>8</v>
      </c>
      <c r="AC7" s="175">
        <f t="shared" si="0"/>
        <v>9</v>
      </c>
      <c r="AD7" s="175">
        <f t="shared" si="0"/>
        <v>10</v>
      </c>
      <c r="AE7" s="175">
        <f t="shared" si="0"/>
        <v>11</v>
      </c>
      <c r="AF7" s="175">
        <f t="shared" si="0"/>
        <v>12</v>
      </c>
      <c r="AG7" s="175">
        <f t="shared" si="0"/>
        <v>13</v>
      </c>
      <c r="AH7" s="175">
        <f t="shared" si="0"/>
        <v>14</v>
      </c>
      <c r="AI7" s="175">
        <f t="shared" si="0"/>
        <v>15</v>
      </c>
      <c r="AJ7" s="175">
        <f t="shared" si="0"/>
        <v>16</v>
      </c>
      <c r="AK7" s="175">
        <f t="shared" si="0"/>
        <v>17</v>
      </c>
      <c r="AL7" s="175">
        <f t="shared" si="0"/>
        <v>18</v>
      </c>
      <c r="AM7" s="175">
        <f t="shared" si="0"/>
        <v>19</v>
      </c>
      <c r="AN7" s="175">
        <f t="shared" ref="AN7:AU7" si="1">AM7+1</f>
        <v>20</v>
      </c>
      <c r="AO7" s="175">
        <f t="shared" si="1"/>
        <v>21</v>
      </c>
      <c r="AP7" s="175">
        <f t="shared" si="1"/>
        <v>22</v>
      </c>
      <c r="AQ7" s="175">
        <f t="shared" si="1"/>
        <v>23</v>
      </c>
      <c r="AR7" s="175">
        <f t="shared" si="1"/>
        <v>24</v>
      </c>
      <c r="AS7" s="175">
        <f t="shared" si="1"/>
        <v>25</v>
      </c>
      <c r="AT7" s="175">
        <f t="shared" si="1"/>
        <v>26</v>
      </c>
      <c r="AU7" s="175">
        <f t="shared" si="1"/>
        <v>27</v>
      </c>
      <c r="AV7" s="175"/>
      <c r="AW7" s="175"/>
      <c r="AX7" s="175"/>
      <c r="AY7" s="175"/>
      <c r="AZ7" s="179"/>
      <c r="BA7" s="179"/>
      <c r="BB7" s="179"/>
      <c r="BC7" s="179"/>
      <c r="BD7" s="179"/>
      <c r="BE7" s="179"/>
      <c r="BF7" s="179"/>
    </row>
    <row r="8" spans="1:238" ht="15.75" customHeight="1">
      <c r="B8" s="172"/>
      <c r="C8" s="604"/>
      <c r="D8" s="234"/>
      <c r="E8" s="234"/>
      <c r="F8" s="234"/>
      <c r="G8" s="604"/>
      <c r="H8" s="604"/>
      <c r="I8" s="176"/>
      <c r="J8" s="176"/>
      <c r="K8" s="758"/>
      <c r="L8" s="758"/>
      <c r="M8" s="758"/>
      <c r="N8" s="758"/>
      <c r="O8" s="758"/>
      <c r="P8" s="758"/>
      <c r="Q8" s="758"/>
      <c r="R8" s="758"/>
      <c r="S8" s="758"/>
      <c r="T8" s="758"/>
      <c r="U8" s="758"/>
      <c r="V8" s="758"/>
      <c r="W8" s="758"/>
      <c r="X8" s="758"/>
      <c r="Y8" s="758"/>
      <c r="Z8" s="758"/>
      <c r="AA8" s="758"/>
      <c r="AB8" s="758"/>
      <c r="AC8" s="758"/>
      <c r="AD8" s="758"/>
      <c r="AE8" s="758"/>
      <c r="AF8" s="758"/>
      <c r="AG8" s="758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AU8" s="758"/>
      <c r="AV8" s="758"/>
      <c r="AW8" s="758"/>
      <c r="AX8" s="758"/>
      <c r="AY8" s="758"/>
      <c r="AZ8" s="179"/>
      <c r="BA8" s="179"/>
      <c r="BB8" s="179"/>
      <c r="BC8" s="179"/>
      <c r="BD8" s="179"/>
      <c r="BE8" s="179"/>
      <c r="BF8" s="179"/>
    </row>
    <row r="9" spans="1:238" ht="15.75" customHeight="1">
      <c r="B9" s="172"/>
      <c r="C9" s="177"/>
      <c r="D9" s="260"/>
      <c r="E9" s="235"/>
      <c r="F9" s="235"/>
      <c r="G9" s="177"/>
      <c r="H9" s="177"/>
      <c r="I9" s="178"/>
      <c r="J9" s="178"/>
      <c r="K9" s="178"/>
      <c r="L9" s="178"/>
      <c r="M9" s="178" t="s">
        <v>499</v>
      </c>
      <c r="N9" s="178" t="s">
        <v>499</v>
      </c>
      <c r="O9" s="178" t="s">
        <v>499</v>
      </c>
      <c r="P9" s="178" t="str">
        <f t="shared" ref="P9:AU9" si="2">O9</f>
        <v>($)</v>
      </c>
      <c r="Q9" s="178" t="str">
        <f t="shared" si="2"/>
        <v>($)</v>
      </c>
      <c r="R9" s="178" t="str">
        <f t="shared" si="2"/>
        <v>($)</v>
      </c>
      <c r="S9" s="178" t="str">
        <f>R9</f>
        <v>($)</v>
      </c>
      <c r="T9" s="178" t="str">
        <f>S9</f>
        <v>($)</v>
      </c>
      <c r="U9" s="178" t="str">
        <f>T9</f>
        <v>($)</v>
      </c>
      <c r="V9" s="178" t="str">
        <f>R9</f>
        <v>($)</v>
      </c>
      <c r="W9" s="178" t="str">
        <f t="shared" si="2"/>
        <v>($)</v>
      </c>
      <c r="X9" s="178" t="str">
        <f t="shared" si="2"/>
        <v>($)</v>
      </c>
      <c r="Y9" s="178" t="str">
        <f t="shared" si="2"/>
        <v>($)</v>
      </c>
      <c r="Z9" s="178" t="str">
        <f t="shared" si="2"/>
        <v>($)</v>
      </c>
      <c r="AA9" s="178" t="str">
        <f t="shared" si="2"/>
        <v>($)</v>
      </c>
      <c r="AB9" s="178" t="str">
        <f t="shared" si="2"/>
        <v>($)</v>
      </c>
      <c r="AC9" s="178" t="str">
        <f t="shared" si="2"/>
        <v>($)</v>
      </c>
      <c r="AD9" s="178" t="str">
        <f t="shared" si="2"/>
        <v>($)</v>
      </c>
      <c r="AE9" s="178" t="str">
        <f t="shared" si="2"/>
        <v>($)</v>
      </c>
      <c r="AF9" s="178" t="str">
        <f t="shared" si="2"/>
        <v>($)</v>
      </c>
      <c r="AG9" s="178" t="str">
        <f t="shared" si="2"/>
        <v>($)</v>
      </c>
      <c r="AH9" s="178" t="str">
        <f t="shared" si="2"/>
        <v>($)</v>
      </c>
      <c r="AI9" s="178" t="str">
        <f t="shared" si="2"/>
        <v>($)</v>
      </c>
      <c r="AJ9" s="178" t="str">
        <f t="shared" si="2"/>
        <v>($)</v>
      </c>
      <c r="AK9" s="178" t="str">
        <f t="shared" si="2"/>
        <v>($)</v>
      </c>
      <c r="AL9" s="178" t="str">
        <f t="shared" si="2"/>
        <v>($)</v>
      </c>
      <c r="AM9" s="178" t="str">
        <f t="shared" si="2"/>
        <v>($)</v>
      </c>
      <c r="AN9" s="178" t="str">
        <f t="shared" si="2"/>
        <v>($)</v>
      </c>
      <c r="AO9" s="178" t="str">
        <f t="shared" si="2"/>
        <v>($)</v>
      </c>
      <c r="AP9" s="178" t="str">
        <f t="shared" si="2"/>
        <v>($)</v>
      </c>
      <c r="AQ9" s="178" t="str">
        <f t="shared" si="2"/>
        <v>($)</v>
      </c>
      <c r="AR9" s="178" t="str">
        <f t="shared" si="2"/>
        <v>($)</v>
      </c>
      <c r="AS9" s="178" t="str">
        <f t="shared" si="2"/>
        <v>($)</v>
      </c>
      <c r="AT9" s="178" t="str">
        <f t="shared" si="2"/>
        <v>($)</v>
      </c>
      <c r="AU9" s="178" t="str">
        <f t="shared" si="2"/>
        <v>($)</v>
      </c>
      <c r="AV9" s="178"/>
      <c r="AW9" s="178"/>
      <c r="AX9" s="178"/>
      <c r="AY9" s="178"/>
      <c r="AZ9" s="179"/>
      <c r="BA9" s="179"/>
      <c r="BB9" s="179"/>
      <c r="BC9" s="179"/>
      <c r="BD9" s="179"/>
      <c r="BE9" s="179"/>
      <c r="BF9" s="179"/>
    </row>
    <row r="10" spans="1:238" s="214" customFormat="1" ht="15.75" customHeight="1">
      <c r="B10" s="172"/>
      <c r="C10" s="173"/>
      <c r="D10" s="172"/>
      <c r="E10" s="172"/>
      <c r="F10" s="172"/>
      <c r="I10" s="172"/>
      <c r="J10" s="172"/>
      <c r="K10" s="172"/>
      <c r="L10" s="172"/>
      <c r="M10" s="215"/>
      <c r="V10" s="1205"/>
      <c r="ID10" s="605"/>
    </row>
    <row r="11" spans="1:238" s="214" customFormat="1" ht="15.75" customHeight="1">
      <c r="B11" s="172"/>
      <c r="C11" s="307" t="s">
        <v>170</v>
      </c>
      <c r="D11" s="216"/>
      <c r="E11" s="216"/>
      <c r="F11" s="216"/>
      <c r="I11" s="395"/>
      <c r="J11" s="395"/>
      <c r="K11" s="216"/>
      <c r="L11" s="216"/>
      <c r="M11" s="222"/>
      <c r="N11" s="216"/>
      <c r="O11" s="216"/>
      <c r="P11" s="216"/>
      <c r="Q11" s="216"/>
      <c r="R11" s="216">
        <f>R23+R26</f>
        <v>99958572.842530459</v>
      </c>
      <c r="S11" s="216"/>
      <c r="T11" s="216">
        <f>T23+T26</f>
        <v>112577334.71458274</v>
      </c>
      <c r="U11" s="216">
        <f>T11</f>
        <v>112577334.71458274</v>
      </c>
      <c r="V11" s="216">
        <f t="shared" ref="V11:AU11" si="3">V23+V26</f>
        <v>576699759.83441806</v>
      </c>
      <c r="W11" s="216">
        <f t="shared" si="3"/>
        <v>665765364.19076073</v>
      </c>
      <c r="X11" s="216">
        <f t="shared" si="3"/>
        <v>665765364.19076073</v>
      </c>
      <c r="Y11" s="216">
        <f t="shared" si="3"/>
        <v>665765364.19076073</v>
      </c>
      <c r="Z11" s="216">
        <f t="shared" si="3"/>
        <v>665765364.19076073</v>
      </c>
      <c r="AA11" s="216">
        <f t="shared" si="3"/>
        <v>665765364.19076073</v>
      </c>
      <c r="AB11" s="216">
        <f t="shared" si="3"/>
        <v>672276639.76016223</v>
      </c>
      <c r="AC11" s="216">
        <f t="shared" si="3"/>
        <v>672276639.76016223</v>
      </c>
      <c r="AD11" s="216">
        <f t="shared" si="3"/>
        <v>672276639.76016223</v>
      </c>
      <c r="AE11" s="216">
        <f t="shared" si="3"/>
        <v>672276639.76016223</v>
      </c>
      <c r="AF11" s="216">
        <f t="shared" si="3"/>
        <v>672276639.76016223</v>
      </c>
      <c r="AG11" s="216">
        <f t="shared" si="3"/>
        <v>672276639.76016223</v>
      </c>
      <c r="AH11" s="216">
        <f t="shared" si="3"/>
        <v>672276639.76016223</v>
      </c>
      <c r="AI11" s="216">
        <f t="shared" si="3"/>
        <v>672276639.76016223</v>
      </c>
      <c r="AJ11" s="216">
        <f t="shared" si="3"/>
        <v>672276639.76016223</v>
      </c>
      <c r="AK11" s="216">
        <f t="shared" si="3"/>
        <v>672276639.76016223</v>
      </c>
      <c r="AL11" s="216">
        <f t="shared" si="3"/>
        <v>672276639.76016223</v>
      </c>
      <c r="AM11" s="216">
        <f t="shared" si="3"/>
        <v>672276639.76016223</v>
      </c>
      <c r="AN11" s="216">
        <f t="shared" si="3"/>
        <v>672276639.76016223</v>
      </c>
      <c r="AO11" s="216">
        <f t="shared" si="3"/>
        <v>672276639.76016223</v>
      </c>
      <c r="AP11" s="216">
        <f t="shared" si="3"/>
        <v>672276639.76016223</v>
      </c>
      <c r="AQ11" s="216">
        <f t="shared" si="3"/>
        <v>672276639.76016223</v>
      </c>
      <c r="AR11" s="216">
        <f t="shared" si="3"/>
        <v>672276639.76016223</v>
      </c>
      <c r="AS11" s="216">
        <f t="shared" si="3"/>
        <v>672276639.76016223</v>
      </c>
      <c r="AT11" s="216">
        <f t="shared" si="3"/>
        <v>672276639.76016223</v>
      </c>
      <c r="AU11" s="216">
        <f t="shared" si="3"/>
        <v>672276639.76016223</v>
      </c>
      <c r="AV11" s="216"/>
      <c r="AW11" s="216"/>
      <c r="AX11" s="216"/>
      <c r="AY11" s="216"/>
    </row>
    <row r="12" spans="1:238" s="214" customFormat="1" ht="15.75" customHeight="1">
      <c r="B12" s="172"/>
      <c r="C12" s="594" t="s">
        <v>173</v>
      </c>
      <c r="D12" s="216"/>
      <c r="E12" s="216"/>
      <c r="F12" s="216"/>
      <c r="I12" s="395"/>
      <c r="J12" s="395"/>
      <c r="K12" s="395"/>
      <c r="L12" s="395"/>
      <c r="M12" s="272"/>
      <c r="N12" s="395"/>
      <c r="O12" s="395"/>
      <c r="P12" s="395"/>
      <c r="Q12" s="395"/>
      <c r="R12" s="395">
        <f>R171</f>
        <v>3078.1828333828339</v>
      </c>
      <c r="S12" s="395"/>
      <c r="T12" s="1588">
        <f>T171</f>
        <v>3078.1828333828339</v>
      </c>
      <c r="U12" s="395">
        <f t="shared" ref="U12:U75" si="4">T12</f>
        <v>3078.1828333828339</v>
      </c>
      <c r="V12" s="395">
        <f t="shared" ref="V12:AU12" si="5">V171</f>
        <v>21466.551498986453</v>
      </c>
      <c r="W12" s="395">
        <f t="shared" si="5"/>
        <v>24995.299690600663</v>
      </c>
      <c r="X12" s="395">
        <f t="shared" si="5"/>
        <v>24995.299690600663</v>
      </c>
      <c r="Y12" s="395">
        <f t="shared" si="5"/>
        <v>24995.299690600663</v>
      </c>
      <c r="Z12" s="395">
        <f t="shared" si="5"/>
        <v>24995.299690600663</v>
      </c>
      <c r="AA12" s="395">
        <f t="shared" si="5"/>
        <v>24995.299690600663</v>
      </c>
      <c r="AB12" s="395">
        <f t="shared" si="5"/>
        <v>24995.299690600663</v>
      </c>
      <c r="AC12" s="395">
        <f t="shared" si="5"/>
        <v>24995.299690600663</v>
      </c>
      <c r="AD12" s="395">
        <f t="shared" si="5"/>
        <v>24995.299690600663</v>
      </c>
      <c r="AE12" s="395">
        <f t="shared" si="5"/>
        <v>24995.299690600663</v>
      </c>
      <c r="AF12" s="395">
        <f t="shared" si="5"/>
        <v>24995.299690600663</v>
      </c>
      <c r="AG12" s="395">
        <f t="shared" si="5"/>
        <v>24995.299690600663</v>
      </c>
      <c r="AH12" s="395">
        <f t="shared" si="5"/>
        <v>24995.299690600663</v>
      </c>
      <c r="AI12" s="395">
        <f t="shared" si="5"/>
        <v>24995.299690600663</v>
      </c>
      <c r="AJ12" s="395">
        <f t="shared" si="5"/>
        <v>24995.299690600663</v>
      </c>
      <c r="AK12" s="395">
        <f t="shared" si="5"/>
        <v>24995.299690600663</v>
      </c>
      <c r="AL12" s="395">
        <f t="shared" si="5"/>
        <v>24995.299690600663</v>
      </c>
      <c r="AM12" s="395">
        <f t="shared" si="5"/>
        <v>24995.299690600663</v>
      </c>
      <c r="AN12" s="395">
        <f t="shared" si="5"/>
        <v>24995.299690600663</v>
      </c>
      <c r="AO12" s="395">
        <f t="shared" si="5"/>
        <v>24995.299690600663</v>
      </c>
      <c r="AP12" s="395">
        <f t="shared" si="5"/>
        <v>24995.299690600663</v>
      </c>
      <c r="AQ12" s="395">
        <f t="shared" si="5"/>
        <v>24995.299690600663</v>
      </c>
      <c r="AR12" s="395">
        <f t="shared" si="5"/>
        <v>24995.299690600663</v>
      </c>
      <c r="AS12" s="395">
        <f t="shared" si="5"/>
        <v>24995.299690600663</v>
      </c>
      <c r="AT12" s="395">
        <f t="shared" si="5"/>
        <v>24995.299690600663</v>
      </c>
      <c r="AU12" s="395">
        <f t="shared" si="5"/>
        <v>24995.299690600663</v>
      </c>
      <c r="AV12" s="395"/>
      <c r="AW12" s="395"/>
      <c r="AX12" s="395"/>
      <c r="AY12" s="395"/>
    </row>
    <row r="13" spans="1:238" s="214" customFormat="1" ht="15.75" customHeight="1">
      <c r="B13" s="172"/>
      <c r="C13" s="217" t="s">
        <v>174</v>
      </c>
      <c r="D13" s="216"/>
      <c r="E13" s="216"/>
      <c r="F13" s="216"/>
      <c r="I13" s="395"/>
      <c r="J13" s="311"/>
      <c r="K13" s="1206"/>
      <c r="L13" s="1206"/>
      <c r="M13" s="311"/>
      <c r="N13" s="1206"/>
      <c r="O13" s="1206"/>
      <c r="P13" s="1206"/>
      <c r="Q13" s="1206"/>
      <c r="R13" s="1206"/>
      <c r="S13" s="1206"/>
      <c r="T13" s="1206"/>
      <c r="U13" s="1206">
        <f t="shared" si="4"/>
        <v>0</v>
      </c>
      <c r="V13" s="1206"/>
      <c r="W13" s="1206"/>
      <c r="X13" s="1206"/>
      <c r="Y13" s="1206"/>
      <c r="Z13" s="1206"/>
      <c r="AA13" s="1206"/>
      <c r="AB13" s="1206"/>
      <c r="AC13" s="1206"/>
      <c r="AD13" s="1206"/>
      <c r="AE13" s="1206"/>
      <c r="AF13" s="1206"/>
      <c r="AG13" s="1206"/>
      <c r="AH13" s="1206"/>
      <c r="AI13" s="1206"/>
      <c r="AJ13" s="1206"/>
      <c r="AK13" s="1206"/>
      <c r="AL13" s="1206"/>
      <c r="AM13" s="1206"/>
      <c r="AN13" s="1206"/>
      <c r="AO13" s="1206"/>
      <c r="AP13" s="1206"/>
      <c r="AQ13" s="1206"/>
      <c r="AR13" s="1206"/>
      <c r="AS13" s="1206"/>
      <c r="AT13" s="1206"/>
      <c r="AU13" s="1206"/>
      <c r="AV13" s="1206"/>
      <c r="AW13" s="1206"/>
      <c r="AX13" s="1206"/>
      <c r="AY13" s="1206"/>
    </row>
    <row r="14" spans="1:238" s="214" customFormat="1" ht="15.75" customHeight="1">
      <c r="B14" s="172"/>
      <c r="C14" s="594" t="s">
        <v>175</v>
      </c>
      <c r="D14" s="216"/>
      <c r="E14" s="216"/>
      <c r="F14" s="216"/>
      <c r="I14" s="407"/>
      <c r="J14" s="407"/>
      <c r="K14" s="407"/>
      <c r="L14" s="407"/>
      <c r="M14" s="634"/>
      <c r="N14" s="407"/>
      <c r="O14" s="407"/>
      <c r="P14" s="407"/>
      <c r="Q14" s="407"/>
      <c r="R14" s="620">
        <v>0.35</v>
      </c>
      <c r="S14" s="620"/>
      <c r="T14" s="620">
        <v>0.35</v>
      </c>
      <c r="U14" s="620">
        <f t="shared" si="4"/>
        <v>0.35</v>
      </c>
      <c r="V14" s="620">
        <v>0.35</v>
      </c>
      <c r="W14" s="620">
        <v>0.35</v>
      </c>
      <c r="X14" s="620">
        <v>0.35</v>
      </c>
      <c r="Y14" s="620">
        <v>0.35</v>
      </c>
      <c r="Z14" s="620">
        <v>0.35</v>
      </c>
      <c r="AA14" s="620">
        <v>0.35</v>
      </c>
      <c r="AB14" s="620">
        <v>0.35</v>
      </c>
      <c r="AC14" s="620">
        <v>0.35</v>
      </c>
      <c r="AD14" s="620">
        <v>0.35</v>
      </c>
      <c r="AE14" s="620">
        <v>0.35</v>
      </c>
      <c r="AF14" s="620">
        <v>0.35</v>
      </c>
      <c r="AG14" s="620">
        <v>0.35</v>
      </c>
      <c r="AH14" s="620">
        <v>0.35</v>
      </c>
      <c r="AI14" s="620">
        <v>0.35</v>
      </c>
      <c r="AJ14" s="620">
        <v>0.35</v>
      </c>
      <c r="AK14" s="620">
        <v>0.35</v>
      </c>
      <c r="AL14" s="620">
        <v>0.35</v>
      </c>
      <c r="AM14" s="620">
        <v>0.35</v>
      </c>
      <c r="AN14" s="620">
        <v>0.35</v>
      </c>
      <c r="AO14" s="620">
        <v>0.35</v>
      </c>
      <c r="AP14" s="620">
        <v>0.35</v>
      </c>
      <c r="AQ14" s="620">
        <v>0.35</v>
      </c>
      <c r="AR14" s="620">
        <v>0.35</v>
      </c>
      <c r="AS14" s="620">
        <v>0.35</v>
      </c>
      <c r="AT14" s="620">
        <v>0.35</v>
      </c>
      <c r="AU14" s="620">
        <v>0.35</v>
      </c>
      <c r="AV14" s="407"/>
      <c r="AW14" s="407"/>
      <c r="AX14" s="407"/>
      <c r="AY14" s="407"/>
    </row>
    <row r="15" spans="1:238" s="214" customFormat="1" ht="15.75" customHeight="1">
      <c r="B15" s="172"/>
      <c r="C15" s="594" t="s">
        <v>906</v>
      </c>
      <c r="D15" s="216"/>
      <c r="E15" s="216"/>
      <c r="F15" s="216"/>
      <c r="I15" s="407"/>
      <c r="J15" s="407"/>
      <c r="K15" s="407"/>
      <c r="L15" s="407"/>
      <c r="M15" s="634"/>
      <c r="N15" s="407"/>
      <c r="O15" s="407"/>
      <c r="P15" s="407"/>
      <c r="Q15" s="407"/>
      <c r="R15" s="620">
        <v>0.63700000000000001</v>
      </c>
      <c r="S15" s="620"/>
      <c r="T15" s="620">
        <v>0.63700000000000001</v>
      </c>
      <c r="U15" s="620">
        <f t="shared" si="4"/>
        <v>0.63700000000000001</v>
      </c>
      <c r="V15" s="620">
        <v>0.63700000000000001</v>
      </c>
      <c r="W15" s="620">
        <v>0.63700000000000001</v>
      </c>
      <c r="X15" s="620">
        <v>0.63700000000000001</v>
      </c>
      <c r="Y15" s="620">
        <v>0.63700000000000001</v>
      </c>
      <c r="Z15" s="620">
        <v>0.63700000000000001</v>
      </c>
      <c r="AA15" s="620">
        <v>0.63700000000000001</v>
      </c>
      <c r="AB15" s="620">
        <v>0.63700000000000001</v>
      </c>
      <c r="AC15" s="620">
        <v>0.63700000000000001</v>
      </c>
      <c r="AD15" s="620">
        <v>0.63700000000000001</v>
      </c>
      <c r="AE15" s="620">
        <v>0.63700000000000001</v>
      </c>
      <c r="AF15" s="620">
        <v>0.63700000000000001</v>
      </c>
      <c r="AG15" s="620">
        <v>0.63700000000000001</v>
      </c>
      <c r="AH15" s="620">
        <v>0.63700000000000001</v>
      </c>
      <c r="AI15" s="620">
        <v>0.63700000000000001</v>
      </c>
      <c r="AJ15" s="620">
        <v>0.63700000000000001</v>
      </c>
      <c r="AK15" s="620">
        <v>0.63700000000000001</v>
      </c>
      <c r="AL15" s="620">
        <v>0.63700000000000001</v>
      </c>
      <c r="AM15" s="620">
        <v>0.63700000000000001</v>
      </c>
      <c r="AN15" s="620">
        <v>0.63700000000000001</v>
      </c>
      <c r="AO15" s="620">
        <v>0.63700000000000001</v>
      </c>
      <c r="AP15" s="620">
        <v>0.63700000000000001</v>
      </c>
      <c r="AQ15" s="620">
        <v>0.63700000000000001</v>
      </c>
      <c r="AR15" s="620">
        <v>0.63700000000000001</v>
      </c>
      <c r="AS15" s="620">
        <v>0.63700000000000001</v>
      </c>
      <c r="AT15" s="620">
        <v>0.63700000000000001</v>
      </c>
      <c r="AU15" s="620">
        <v>0.63700000000000001</v>
      </c>
      <c r="AV15" s="407"/>
      <c r="AW15" s="407"/>
      <c r="AX15" s="407"/>
      <c r="AY15" s="407"/>
    </row>
    <row r="16" spans="1:238" s="214" customFormat="1" ht="15.75" customHeight="1">
      <c r="B16" s="172"/>
      <c r="C16" s="594" t="s">
        <v>176</v>
      </c>
      <c r="D16" s="216"/>
      <c r="E16" s="216"/>
      <c r="F16" s="216"/>
      <c r="I16" s="395"/>
      <c r="J16" s="395"/>
      <c r="K16" s="395"/>
      <c r="L16" s="395"/>
      <c r="M16" s="272"/>
      <c r="N16" s="395"/>
      <c r="O16" s="395"/>
      <c r="P16" s="395"/>
      <c r="Q16" s="395"/>
      <c r="R16" s="395">
        <f>R12</f>
        <v>3078.1828333828339</v>
      </c>
      <c r="S16" s="395"/>
      <c r="T16" s="395">
        <f>T12</f>
        <v>3078.1828333828339</v>
      </c>
      <c r="U16" s="395">
        <f t="shared" si="4"/>
        <v>3078.1828333828339</v>
      </c>
      <c r="V16" s="395">
        <f t="shared" ref="V16:AU16" si="6">V12</f>
        <v>21466.551498986453</v>
      </c>
      <c r="W16" s="395">
        <f t="shared" si="6"/>
        <v>24995.299690600663</v>
      </c>
      <c r="X16" s="395">
        <f t="shared" si="6"/>
        <v>24995.299690600663</v>
      </c>
      <c r="Y16" s="395">
        <f t="shared" si="6"/>
        <v>24995.299690600663</v>
      </c>
      <c r="Z16" s="395">
        <f t="shared" si="6"/>
        <v>24995.299690600663</v>
      </c>
      <c r="AA16" s="395">
        <f t="shared" si="6"/>
        <v>24995.299690600663</v>
      </c>
      <c r="AB16" s="395">
        <f t="shared" si="6"/>
        <v>24995.299690600663</v>
      </c>
      <c r="AC16" s="395">
        <f t="shared" si="6"/>
        <v>24995.299690600663</v>
      </c>
      <c r="AD16" s="395">
        <f t="shared" si="6"/>
        <v>24995.299690600663</v>
      </c>
      <c r="AE16" s="395">
        <f t="shared" si="6"/>
        <v>24995.299690600663</v>
      </c>
      <c r="AF16" s="395">
        <f t="shared" si="6"/>
        <v>24995.299690600663</v>
      </c>
      <c r="AG16" s="395">
        <f t="shared" si="6"/>
        <v>24995.299690600663</v>
      </c>
      <c r="AH16" s="395">
        <f t="shared" si="6"/>
        <v>24995.299690600663</v>
      </c>
      <c r="AI16" s="395">
        <f t="shared" si="6"/>
        <v>24995.299690600663</v>
      </c>
      <c r="AJ16" s="395">
        <f t="shared" si="6"/>
        <v>24995.299690600663</v>
      </c>
      <c r="AK16" s="395">
        <f t="shared" si="6"/>
        <v>24995.299690600663</v>
      </c>
      <c r="AL16" s="395">
        <f t="shared" si="6"/>
        <v>24995.299690600663</v>
      </c>
      <c r="AM16" s="395">
        <f t="shared" si="6"/>
        <v>24995.299690600663</v>
      </c>
      <c r="AN16" s="395">
        <f t="shared" si="6"/>
        <v>24995.299690600663</v>
      </c>
      <c r="AO16" s="395">
        <f t="shared" si="6"/>
        <v>24995.299690600663</v>
      </c>
      <c r="AP16" s="395">
        <f t="shared" si="6"/>
        <v>24995.299690600663</v>
      </c>
      <c r="AQ16" s="395">
        <f t="shared" si="6"/>
        <v>24995.299690600663</v>
      </c>
      <c r="AR16" s="395">
        <f t="shared" si="6"/>
        <v>24995.299690600663</v>
      </c>
      <c r="AS16" s="395">
        <f t="shared" si="6"/>
        <v>24995.299690600663</v>
      </c>
      <c r="AT16" s="395">
        <f t="shared" si="6"/>
        <v>24995.299690600663</v>
      </c>
      <c r="AU16" s="395">
        <f t="shared" si="6"/>
        <v>24995.299690600663</v>
      </c>
      <c r="AV16" s="395"/>
      <c r="AW16" s="395"/>
      <c r="AX16" s="395"/>
      <c r="AY16" s="395"/>
    </row>
    <row r="17" spans="2:58" s="214" customFormat="1" ht="15.75" customHeight="1">
      <c r="B17" s="172"/>
      <c r="C17" s="594" t="s">
        <v>177</v>
      </c>
      <c r="D17" s="216"/>
      <c r="E17" s="216"/>
      <c r="F17" s="216"/>
      <c r="I17" s="395"/>
      <c r="J17" s="395"/>
      <c r="K17" s="395"/>
      <c r="L17" s="395"/>
      <c r="M17" s="272"/>
      <c r="N17" s="395"/>
      <c r="O17" s="395"/>
      <c r="P17" s="395"/>
      <c r="Q17" s="395"/>
      <c r="R17" s="395">
        <f>R16/R14</f>
        <v>8794.8080953795252</v>
      </c>
      <c r="S17" s="395"/>
      <c r="T17" s="395">
        <f>T16/T14</f>
        <v>8794.8080953795252</v>
      </c>
      <c r="U17" s="395">
        <f t="shared" si="4"/>
        <v>8794.8080953795252</v>
      </c>
      <c r="V17" s="395">
        <f t="shared" ref="V17:AU17" si="7">V16/V14</f>
        <v>61333.004282818445</v>
      </c>
      <c r="W17" s="395">
        <f t="shared" si="7"/>
        <v>71415.141973144753</v>
      </c>
      <c r="X17" s="395">
        <f t="shared" si="7"/>
        <v>71415.141973144753</v>
      </c>
      <c r="Y17" s="395">
        <f t="shared" si="7"/>
        <v>71415.141973144753</v>
      </c>
      <c r="Z17" s="395">
        <f t="shared" si="7"/>
        <v>71415.141973144753</v>
      </c>
      <c r="AA17" s="395">
        <f t="shared" si="7"/>
        <v>71415.141973144753</v>
      </c>
      <c r="AB17" s="395">
        <f t="shared" si="7"/>
        <v>71415.141973144753</v>
      </c>
      <c r="AC17" s="395">
        <f t="shared" si="7"/>
        <v>71415.141973144753</v>
      </c>
      <c r="AD17" s="395">
        <f t="shared" si="7"/>
        <v>71415.141973144753</v>
      </c>
      <c r="AE17" s="395">
        <f t="shared" si="7"/>
        <v>71415.141973144753</v>
      </c>
      <c r="AF17" s="395">
        <f t="shared" si="7"/>
        <v>71415.141973144753</v>
      </c>
      <c r="AG17" s="395">
        <f t="shared" si="7"/>
        <v>71415.141973144753</v>
      </c>
      <c r="AH17" s="395">
        <f t="shared" si="7"/>
        <v>71415.141973144753</v>
      </c>
      <c r="AI17" s="395">
        <f t="shared" si="7"/>
        <v>71415.141973144753</v>
      </c>
      <c r="AJ17" s="395">
        <f t="shared" si="7"/>
        <v>71415.141973144753</v>
      </c>
      <c r="AK17" s="395">
        <f t="shared" si="7"/>
        <v>71415.141973144753</v>
      </c>
      <c r="AL17" s="395">
        <f t="shared" si="7"/>
        <v>71415.141973144753</v>
      </c>
      <c r="AM17" s="395">
        <f t="shared" si="7"/>
        <v>71415.141973144753</v>
      </c>
      <c r="AN17" s="395">
        <f t="shared" si="7"/>
        <v>71415.141973144753</v>
      </c>
      <c r="AO17" s="395">
        <f t="shared" si="7"/>
        <v>71415.141973144753</v>
      </c>
      <c r="AP17" s="395">
        <f t="shared" si="7"/>
        <v>71415.141973144753</v>
      </c>
      <c r="AQ17" s="395">
        <f t="shared" si="7"/>
        <v>71415.141973144753</v>
      </c>
      <c r="AR17" s="395">
        <f t="shared" si="7"/>
        <v>71415.141973144753</v>
      </c>
      <c r="AS17" s="395">
        <f t="shared" si="7"/>
        <v>71415.141973144753</v>
      </c>
      <c r="AT17" s="395">
        <f t="shared" si="7"/>
        <v>71415.141973144753</v>
      </c>
      <c r="AU17" s="395">
        <f t="shared" si="7"/>
        <v>71415.141973144753</v>
      </c>
      <c r="AV17" s="395"/>
      <c r="AW17" s="395"/>
      <c r="AX17" s="395"/>
      <c r="AY17" s="395"/>
    </row>
    <row r="18" spans="2:58" s="214" customFormat="1" ht="15.75" customHeight="1">
      <c r="B18" s="172"/>
      <c r="C18" s="594" t="s">
        <v>178</v>
      </c>
      <c r="D18" s="216"/>
      <c r="E18" s="216"/>
      <c r="F18" s="216"/>
      <c r="I18" s="395"/>
      <c r="J18" s="395"/>
      <c r="K18" s="395"/>
      <c r="L18" s="395"/>
      <c r="M18" s="272"/>
      <c r="N18" s="395"/>
      <c r="O18" s="395"/>
      <c r="P18" s="395"/>
      <c r="Q18" s="395"/>
      <c r="R18" s="395">
        <f>Commodities_prices!Q124</f>
        <v>22000</v>
      </c>
      <c r="S18" s="395"/>
      <c r="T18" s="1588">
        <f>Total!T144</f>
        <v>25000</v>
      </c>
      <c r="U18" s="395">
        <f t="shared" si="4"/>
        <v>25000</v>
      </c>
      <c r="V18" s="395">
        <f>Commodities_prices!R124</f>
        <v>25000</v>
      </c>
      <c r="W18" s="395">
        <f>Commodities_prices!S124</f>
        <v>25000</v>
      </c>
      <c r="X18" s="395">
        <f>Commodities_prices!T124</f>
        <v>25000</v>
      </c>
      <c r="Y18" s="395">
        <f>Commodities_prices!U124</f>
        <v>25000</v>
      </c>
      <c r="Z18" s="395">
        <f>Commodities_prices!V124</f>
        <v>25000</v>
      </c>
      <c r="AA18" s="395">
        <f>Commodities_prices!W124</f>
        <v>25000</v>
      </c>
      <c r="AB18" s="395">
        <f>Commodities_prices!X124</f>
        <v>25000</v>
      </c>
      <c r="AC18" s="395">
        <f>Commodities_prices!Y124</f>
        <v>25000</v>
      </c>
      <c r="AD18" s="395">
        <f>Commodities_prices!Z124</f>
        <v>25000</v>
      </c>
      <c r="AE18" s="395">
        <f>Commodities_prices!AA124</f>
        <v>25000</v>
      </c>
      <c r="AF18" s="395">
        <f>Commodities_prices!AB124</f>
        <v>25000</v>
      </c>
      <c r="AG18" s="395">
        <f>Commodities_prices!AC124</f>
        <v>25000</v>
      </c>
      <c r="AH18" s="395">
        <f>Commodities_prices!AD124</f>
        <v>25000</v>
      </c>
      <c r="AI18" s="395">
        <f>Commodities_prices!AE124</f>
        <v>25000</v>
      </c>
      <c r="AJ18" s="395">
        <f>Commodities_prices!AF124</f>
        <v>25000</v>
      </c>
      <c r="AK18" s="395">
        <f>Commodities_prices!AG124</f>
        <v>25000</v>
      </c>
      <c r="AL18" s="395">
        <f>Commodities_prices!AH124</f>
        <v>25000</v>
      </c>
      <c r="AM18" s="395">
        <f>Commodities_prices!AI124</f>
        <v>25000</v>
      </c>
      <c r="AN18" s="395">
        <f>Commodities_prices!AJ124</f>
        <v>25000</v>
      </c>
      <c r="AO18" s="395">
        <f>Commodities_prices!AK124</f>
        <v>25000</v>
      </c>
      <c r="AP18" s="395">
        <f>Commodities_prices!AL124</f>
        <v>25000</v>
      </c>
      <c r="AQ18" s="395">
        <f>Commodities_prices!AM124</f>
        <v>25000</v>
      </c>
      <c r="AR18" s="395">
        <f>Commodities_prices!AN124</f>
        <v>25000</v>
      </c>
      <c r="AS18" s="395">
        <f>Commodities_prices!AO124</f>
        <v>25000</v>
      </c>
      <c r="AT18" s="395">
        <f>Commodities_prices!AP124</f>
        <v>25000</v>
      </c>
      <c r="AU18" s="395">
        <f>Commodities_prices!AQ124</f>
        <v>25000</v>
      </c>
      <c r="AV18" s="395"/>
      <c r="AW18" s="395"/>
      <c r="AX18" s="395"/>
      <c r="AY18" s="395"/>
    </row>
    <row r="19" spans="2:58" s="214" customFormat="1" ht="15.75" customHeight="1">
      <c r="B19" s="172"/>
      <c r="C19" s="594" t="s">
        <v>907</v>
      </c>
      <c r="D19" s="216"/>
      <c r="E19" s="216"/>
      <c r="F19" s="216"/>
      <c r="I19" s="395"/>
      <c r="J19" s="395"/>
      <c r="K19" s="395"/>
      <c r="L19" s="395"/>
      <c r="M19" s="272"/>
      <c r="N19" s="395"/>
      <c r="O19" s="395"/>
      <c r="P19" s="395"/>
      <c r="Q19" s="395"/>
      <c r="R19" s="395">
        <v>275</v>
      </c>
      <c r="S19" s="395"/>
      <c r="T19" s="395">
        <v>275</v>
      </c>
      <c r="U19" s="395">
        <f t="shared" si="4"/>
        <v>275</v>
      </c>
      <c r="V19" s="395">
        <v>275</v>
      </c>
      <c r="W19" s="395">
        <v>275</v>
      </c>
      <c r="X19" s="395">
        <v>275</v>
      </c>
      <c r="Y19" s="395">
        <v>275</v>
      </c>
      <c r="Z19" s="395">
        <v>275</v>
      </c>
      <c r="AA19" s="395">
        <v>275</v>
      </c>
      <c r="AB19" s="395">
        <v>275</v>
      </c>
      <c r="AC19" s="395">
        <v>275</v>
      </c>
      <c r="AD19" s="395">
        <v>275</v>
      </c>
      <c r="AE19" s="395">
        <v>275</v>
      </c>
      <c r="AF19" s="395">
        <v>275</v>
      </c>
      <c r="AG19" s="395">
        <v>275</v>
      </c>
      <c r="AH19" s="395">
        <v>275</v>
      </c>
      <c r="AI19" s="395">
        <v>275</v>
      </c>
      <c r="AJ19" s="395">
        <v>275</v>
      </c>
      <c r="AK19" s="395">
        <v>275</v>
      </c>
      <c r="AL19" s="395">
        <v>275</v>
      </c>
      <c r="AM19" s="395">
        <v>275</v>
      </c>
      <c r="AN19" s="395">
        <v>275</v>
      </c>
      <c r="AO19" s="395">
        <v>275</v>
      </c>
      <c r="AP19" s="395">
        <v>275</v>
      </c>
      <c r="AQ19" s="395">
        <v>275</v>
      </c>
      <c r="AR19" s="395">
        <v>275</v>
      </c>
      <c r="AS19" s="395">
        <v>275</v>
      </c>
      <c r="AT19" s="395">
        <v>275</v>
      </c>
      <c r="AU19" s="395">
        <v>275</v>
      </c>
      <c r="AV19" s="395"/>
      <c r="AW19" s="395"/>
      <c r="AX19" s="395"/>
      <c r="AY19" s="395"/>
    </row>
    <row r="20" spans="2:58" s="214" customFormat="1" ht="15.75" customHeight="1">
      <c r="B20" s="172"/>
      <c r="C20" s="594" t="s">
        <v>179</v>
      </c>
      <c r="D20" s="216"/>
      <c r="E20" s="216"/>
      <c r="F20" s="216"/>
      <c r="I20" s="395"/>
      <c r="J20" s="395"/>
      <c r="K20" s="395"/>
      <c r="L20" s="395"/>
      <c r="M20" s="272"/>
      <c r="N20" s="395"/>
      <c r="O20" s="395"/>
      <c r="P20" s="395"/>
      <c r="Q20" s="395"/>
      <c r="R20" s="395">
        <f>R15*R17</f>
        <v>5602.2927567567576</v>
      </c>
      <c r="S20" s="395"/>
      <c r="T20" s="395">
        <f>T15*T17</f>
        <v>5602.2927567567576</v>
      </c>
      <c r="U20" s="395">
        <f t="shared" si="4"/>
        <v>5602.2927567567576</v>
      </c>
      <c r="V20" s="395">
        <f t="shared" ref="V20:AU20" si="8">V15*V17</f>
        <v>39069.123728155348</v>
      </c>
      <c r="W20" s="395">
        <f t="shared" si="8"/>
        <v>45491.445436893206</v>
      </c>
      <c r="X20" s="395">
        <f t="shared" si="8"/>
        <v>45491.445436893206</v>
      </c>
      <c r="Y20" s="395">
        <f t="shared" si="8"/>
        <v>45491.445436893206</v>
      </c>
      <c r="Z20" s="395">
        <f t="shared" si="8"/>
        <v>45491.445436893206</v>
      </c>
      <c r="AA20" s="395">
        <f t="shared" si="8"/>
        <v>45491.445436893206</v>
      </c>
      <c r="AB20" s="395">
        <f t="shared" si="8"/>
        <v>45491.445436893206</v>
      </c>
      <c r="AC20" s="395">
        <f t="shared" si="8"/>
        <v>45491.445436893206</v>
      </c>
      <c r="AD20" s="395">
        <f t="shared" si="8"/>
        <v>45491.445436893206</v>
      </c>
      <c r="AE20" s="395">
        <f t="shared" si="8"/>
        <v>45491.445436893206</v>
      </c>
      <c r="AF20" s="395">
        <f t="shared" si="8"/>
        <v>45491.445436893206</v>
      </c>
      <c r="AG20" s="395">
        <f t="shared" si="8"/>
        <v>45491.445436893206</v>
      </c>
      <c r="AH20" s="395">
        <f t="shared" si="8"/>
        <v>45491.445436893206</v>
      </c>
      <c r="AI20" s="395">
        <f t="shared" si="8"/>
        <v>45491.445436893206</v>
      </c>
      <c r="AJ20" s="395">
        <f t="shared" si="8"/>
        <v>45491.445436893206</v>
      </c>
      <c r="AK20" s="395">
        <f t="shared" si="8"/>
        <v>45491.445436893206</v>
      </c>
      <c r="AL20" s="395">
        <f t="shared" si="8"/>
        <v>45491.445436893206</v>
      </c>
      <c r="AM20" s="395">
        <f t="shared" si="8"/>
        <v>45491.445436893206</v>
      </c>
      <c r="AN20" s="395">
        <f t="shared" si="8"/>
        <v>45491.445436893206</v>
      </c>
      <c r="AO20" s="395">
        <f t="shared" si="8"/>
        <v>45491.445436893206</v>
      </c>
      <c r="AP20" s="395">
        <f t="shared" si="8"/>
        <v>45491.445436893206</v>
      </c>
      <c r="AQ20" s="395">
        <f t="shared" si="8"/>
        <v>45491.445436893206</v>
      </c>
      <c r="AR20" s="395">
        <f t="shared" si="8"/>
        <v>45491.445436893206</v>
      </c>
      <c r="AS20" s="395">
        <f t="shared" si="8"/>
        <v>45491.445436893206</v>
      </c>
      <c r="AT20" s="395">
        <f t="shared" si="8"/>
        <v>45491.445436893206</v>
      </c>
      <c r="AU20" s="395">
        <f t="shared" si="8"/>
        <v>45491.445436893206</v>
      </c>
      <c r="AV20" s="395"/>
      <c r="AW20" s="395"/>
      <c r="AX20" s="395"/>
      <c r="AY20" s="395"/>
    </row>
    <row r="21" spans="2:58" s="214" customFormat="1" ht="15.75" customHeight="1">
      <c r="B21" s="172"/>
      <c r="C21" s="594" t="s">
        <v>180</v>
      </c>
      <c r="D21" s="216"/>
      <c r="E21" s="216"/>
      <c r="F21" s="216"/>
      <c r="I21" s="395"/>
      <c r="J21" s="395"/>
      <c r="K21" s="395"/>
      <c r="L21" s="395"/>
      <c r="M21" s="272"/>
      <c r="N21" s="395"/>
      <c r="O21" s="395"/>
      <c r="P21" s="395"/>
      <c r="Q21" s="395"/>
      <c r="R21" s="395">
        <f>R20*R19</f>
        <v>1540630.5081081083</v>
      </c>
      <c r="S21" s="395"/>
      <c r="T21" s="1588">
        <f>240*T12</f>
        <v>738763.88001188019</v>
      </c>
      <c r="U21" s="1588">
        <f t="shared" si="4"/>
        <v>738763.88001188019</v>
      </c>
      <c r="V21" s="1588">
        <f t="shared" ref="V21:AA21" si="9">240*V12</f>
        <v>5151972.3597567491</v>
      </c>
      <c r="W21" s="1588">
        <f t="shared" si="9"/>
        <v>5998871.9257441591</v>
      </c>
      <c r="X21" s="1588">
        <f t="shared" si="9"/>
        <v>5998871.9257441591</v>
      </c>
      <c r="Y21" s="1588">
        <f t="shared" si="9"/>
        <v>5998871.9257441591</v>
      </c>
      <c r="Z21" s="1588">
        <f t="shared" si="9"/>
        <v>5998871.9257441591</v>
      </c>
      <c r="AA21" s="1588">
        <f t="shared" si="9"/>
        <v>5998871.9257441591</v>
      </c>
      <c r="AB21" s="395">
        <f t="shared" ref="AB21:AU21" si="10">AB20*AB19</f>
        <v>12510147.495145632</v>
      </c>
      <c r="AC21" s="395">
        <f t="shared" si="10"/>
        <v>12510147.495145632</v>
      </c>
      <c r="AD21" s="395">
        <f t="shared" si="10"/>
        <v>12510147.495145632</v>
      </c>
      <c r="AE21" s="395">
        <f t="shared" si="10"/>
        <v>12510147.495145632</v>
      </c>
      <c r="AF21" s="395">
        <f t="shared" si="10"/>
        <v>12510147.495145632</v>
      </c>
      <c r="AG21" s="395">
        <f t="shared" si="10"/>
        <v>12510147.495145632</v>
      </c>
      <c r="AH21" s="395">
        <f t="shared" si="10"/>
        <v>12510147.495145632</v>
      </c>
      <c r="AI21" s="395">
        <f t="shared" si="10"/>
        <v>12510147.495145632</v>
      </c>
      <c r="AJ21" s="395">
        <f t="shared" si="10"/>
        <v>12510147.495145632</v>
      </c>
      <c r="AK21" s="395">
        <f t="shared" si="10"/>
        <v>12510147.495145632</v>
      </c>
      <c r="AL21" s="395">
        <f t="shared" si="10"/>
        <v>12510147.495145632</v>
      </c>
      <c r="AM21" s="395">
        <f t="shared" si="10"/>
        <v>12510147.495145632</v>
      </c>
      <c r="AN21" s="395">
        <f t="shared" si="10"/>
        <v>12510147.495145632</v>
      </c>
      <c r="AO21" s="395">
        <f t="shared" si="10"/>
        <v>12510147.495145632</v>
      </c>
      <c r="AP21" s="395">
        <f t="shared" si="10"/>
        <v>12510147.495145632</v>
      </c>
      <c r="AQ21" s="395">
        <f t="shared" si="10"/>
        <v>12510147.495145632</v>
      </c>
      <c r="AR21" s="395">
        <f t="shared" si="10"/>
        <v>12510147.495145632</v>
      </c>
      <c r="AS21" s="395">
        <f t="shared" si="10"/>
        <v>12510147.495145632</v>
      </c>
      <c r="AT21" s="395">
        <f t="shared" si="10"/>
        <v>12510147.495145632</v>
      </c>
      <c r="AU21" s="395">
        <f t="shared" si="10"/>
        <v>12510147.495145632</v>
      </c>
      <c r="AV21" s="395"/>
      <c r="AW21" s="395"/>
      <c r="AX21" s="395"/>
      <c r="AY21" s="395"/>
    </row>
    <row r="22" spans="2:58" s="214" customFormat="1" ht="15.75" customHeight="1">
      <c r="B22" s="172"/>
      <c r="C22" s="594" t="s">
        <v>1920</v>
      </c>
      <c r="D22" s="216"/>
      <c r="E22" s="216"/>
      <c r="F22" s="216"/>
      <c r="I22" s="216"/>
      <c r="J22" s="216"/>
      <c r="K22" s="216"/>
      <c r="L22" s="216"/>
      <c r="M22" s="215"/>
      <c r="R22" s="214">
        <f>R21/R16</f>
        <v>500.5</v>
      </c>
      <c r="T22" s="214">
        <f>T21/T16</f>
        <v>240.00000000000003</v>
      </c>
      <c r="U22" s="214">
        <f t="shared" si="4"/>
        <v>240.00000000000003</v>
      </c>
      <c r="V22" s="214">
        <f t="shared" ref="V22:AU22" si="11">V21/V16</f>
        <v>240.00000000000003</v>
      </c>
      <c r="W22" s="214">
        <f t="shared" si="11"/>
        <v>240</v>
      </c>
      <c r="X22" s="214">
        <f t="shared" si="11"/>
        <v>240</v>
      </c>
      <c r="Y22" s="214">
        <f t="shared" si="11"/>
        <v>240</v>
      </c>
      <c r="Z22" s="214">
        <f t="shared" si="11"/>
        <v>240</v>
      </c>
      <c r="AA22" s="214">
        <f t="shared" si="11"/>
        <v>240</v>
      </c>
      <c r="AB22" s="214">
        <f t="shared" si="11"/>
        <v>500.5</v>
      </c>
      <c r="AC22" s="214">
        <f t="shared" si="11"/>
        <v>500.5</v>
      </c>
      <c r="AD22" s="214">
        <f t="shared" si="11"/>
        <v>500.5</v>
      </c>
      <c r="AE22" s="214">
        <f t="shared" si="11"/>
        <v>500.5</v>
      </c>
      <c r="AF22" s="214">
        <f t="shared" si="11"/>
        <v>500.5</v>
      </c>
      <c r="AG22" s="214">
        <f t="shared" si="11"/>
        <v>500.5</v>
      </c>
      <c r="AH22" s="214">
        <f t="shared" si="11"/>
        <v>500.5</v>
      </c>
      <c r="AI22" s="214">
        <f t="shared" si="11"/>
        <v>500.5</v>
      </c>
      <c r="AJ22" s="214">
        <f t="shared" si="11"/>
        <v>500.5</v>
      </c>
      <c r="AK22" s="214">
        <f t="shared" si="11"/>
        <v>500.5</v>
      </c>
      <c r="AL22" s="214">
        <f t="shared" si="11"/>
        <v>500.5</v>
      </c>
      <c r="AM22" s="214">
        <f t="shared" si="11"/>
        <v>500.5</v>
      </c>
      <c r="AN22" s="214">
        <f t="shared" si="11"/>
        <v>500.5</v>
      </c>
      <c r="AO22" s="214">
        <f t="shared" si="11"/>
        <v>500.5</v>
      </c>
      <c r="AP22" s="214">
        <f t="shared" si="11"/>
        <v>500.5</v>
      </c>
      <c r="AQ22" s="214">
        <f t="shared" si="11"/>
        <v>500.5</v>
      </c>
      <c r="AR22" s="214">
        <f t="shared" si="11"/>
        <v>500.5</v>
      </c>
      <c r="AS22" s="214">
        <f t="shared" si="11"/>
        <v>500.5</v>
      </c>
      <c r="AT22" s="214">
        <f t="shared" si="11"/>
        <v>500.5</v>
      </c>
      <c r="AU22" s="214">
        <f t="shared" si="11"/>
        <v>500.5</v>
      </c>
    </row>
    <row r="23" spans="2:58" s="214" customFormat="1" ht="15.75" customHeight="1">
      <c r="B23" s="172"/>
      <c r="C23" s="216" t="s">
        <v>1918</v>
      </c>
      <c r="D23" s="216"/>
      <c r="E23" s="216"/>
      <c r="F23" s="216"/>
      <c r="I23" s="216"/>
      <c r="J23" s="216"/>
      <c r="K23" s="216"/>
      <c r="L23" s="216"/>
      <c r="M23" s="215"/>
      <c r="R23" s="395">
        <f>R16*R18+R21</f>
        <v>69260652.842530459</v>
      </c>
      <c r="S23" s="395"/>
      <c r="T23" s="395">
        <f>T16*T18+T21</f>
        <v>77693334.714582741</v>
      </c>
      <c r="U23" s="395">
        <f t="shared" si="4"/>
        <v>77693334.714582741</v>
      </c>
      <c r="V23" s="395">
        <f t="shared" ref="V23:AU23" si="12">V16*V18+V21</f>
        <v>541815759.83441806</v>
      </c>
      <c r="W23" s="395">
        <f t="shared" si="12"/>
        <v>630881364.19076073</v>
      </c>
      <c r="X23" s="395">
        <f t="shared" si="12"/>
        <v>630881364.19076073</v>
      </c>
      <c r="Y23" s="395">
        <f t="shared" si="12"/>
        <v>630881364.19076073</v>
      </c>
      <c r="Z23" s="395">
        <f t="shared" si="12"/>
        <v>630881364.19076073</v>
      </c>
      <c r="AA23" s="395">
        <f t="shared" si="12"/>
        <v>630881364.19076073</v>
      </c>
      <c r="AB23" s="395">
        <f t="shared" si="12"/>
        <v>637392639.76016223</v>
      </c>
      <c r="AC23" s="395">
        <f t="shared" si="12"/>
        <v>637392639.76016223</v>
      </c>
      <c r="AD23" s="395">
        <f t="shared" si="12"/>
        <v>637392639.76016223</v>
      </c>
      <c r="AE23" s="395">
        <f t="shared" si="12"/>
        <v>637392639.76016223</v>
      </c>
      <c r="AF23" s="395">
        <f t="shared" si="12"/>
        <v>637392639.76016223</v>
      </c>
      <c r="AG23" s="395">
        <f t="shared" si="12"/>
        <v>637392639.76016223</v>
      </c>
      <c r="AH23" s="395">
        <f t="shared" si="12"/>
        <v>637392639.76016223</v>
      </c>
      <c r="AI23" s="395">
        <f t="shared" si="12"/>
        <v>637392639.76016223</v>
      </c>
      <c r="AJ23" s="395">
        <f t="shared" si="12"/>
        <v>637392639.76016223</v>
      </c>
      <c r="AK23" s="395">
        <f t="shared" si="12"/>
        <v>637392639.76016223</v>
      </c>
      <c r="AL23" s="395">
        <f t="shared" si="12"/>
        <v>637392639.76016223</v>
      </c>
      <c r="AM23" s="395">
        <f t="shared" si="12"/>
        <v>637392639.76016223</v>
      </c>
      <c r="AN23" s="395">
        <f t="shared" si="12"/>
        <v>637392639.76016223</v>
      </c>
      <c r="AO23" s="395">
        <f t="shared" si="12"/>
        <v>637392639.76016223</v>
      </c>
      <c r="AP23" s="395">
        <f t="shared" si="12"/>
        <v>637392639.76016223</v>
      </c>
      <c r="AQ23" s="395">
        <f t="shared" si="12"/>
        <v>637392639.76016223</v>
      </c>
      <c r="AR23" s="395">
        <f t="shared" si="12"/>
        <v>637392639.76016223</v>
      </c>
      <c r="AS23" s="395">
        <f t="shared" si="12"/>
        <v>637392639.76016223</v>
      </c>
      <c r="AT23" s="395">
        <f t="shared" si="12"/>
        <v>637392639.76016223</v>
      </c>
      <c r="AU23" s="395">
        <f t="shared" si="12"/>
        <v>637392639.76016223</v>
      </c>
    </row>
    <row r="24" spans="2:58" s="214" customFormat="1" ht="15.75" customHeight="1">
      <c r="B24" s="172"/>
      <c r="C24" s="594" t="s">
        <v>1917</v>
      </c>
      <c r="L24" s="216"/>
      <c r="M24" s="215"/>
      <c r="R24" s="1207">
        <f>R18*0.2*R160*(1-R164)</f>
        <v>56.847999999999992</v>
      </c>
      <c r="S24" s="1207"/>
      <c r="T24" s="1207">
        <f>T18*0.2*T160*(1-T164)</f>
        <v>64.599999999999994</v>
      </c>
      <c r="U24" s="1207">
        <f t="shared" si="4"/>
        <v>64.599999999999994</v>
      </c>
      <c r="V24" s="1207">
        <f t="shared" ref="V24:AU24" si="13">V18*0.2*V160*(1-V164)</f>
        <v>64.599999999999994</v>
      </c>
      <c r="W24" s="1207">
        <f t="shared" si="13"/>
        <v>64.599999999999994</v>
      </c>
      <c r="X24" s="1207">
        <f t="shared" si="13"/>
        <v>64.599999999999994</v>
      </c>
      <c r="Y24" s="1207">
        <f t="shared" si="13"/>
        <v>64.599999999999994</v>
      </c>
      <c r="Z24" s="1207">
        <f t="shared" si="13"/>
        <v>64.599999999999994</v>
      </c>
      <c r="AA24" s="1207">
        <f t="shared" si="13"/>
        <v>64.599999999999994</v>
      </c>
      <c r="AB24" s="1207">
        <f t="shared" si="13"/>
        <v>64.599999999999994</v>
      </c>
      <c r="AC24" s="1207">
        <f t="shared" si="13"/>
        <v>64.599999999999994</v>
      </c>
      <c r="AD24" s="1207">
        <f t="shared" si="13"/>
        <v>64.599999999999994</v>
      </c>
      <c r="AE24" s="1207">
        <f t="shared" si="13"/>
        <v>64.599999999999994</v>
      </c>
      <c r="AF24" s="1207">
        <f t="shared" si="13"/>
        <v>64.599999999999994</v>
      </c>
      <c r="AG24" s="1207">
        <f t="shared" si="13"/>
        <v>64.599999999999994</v>
      </c>
      <c r="AH24" s="1207">
        <f t="shared" si="13"/>
        <v>64.599999999999994</v>
      </c>
      <c r="AI24" s="1207">
        <f t="shared" si="13"/>
        <v>64.599999999999994</v>
      </c>
      <c r="AJ24" s="1207">
        <f t="shared" si="13"/>
        <v>64.599999999999994</v>
      </c>
      <c r="AK24" s="1207">
        <f t="shared" si="13"/>
        <v>64.599999999999994</v>
      </c>
      <c r="AL24" s="1207">
        <f t="shared" si="13"/>
        <v>64.599999999999994</v>
      </c>
      <c r="AM24" s="1207">
        <f t="shared" si="13"/>
        <v>64.599999999999994</v>
      </c>
      <c r="AN24" s="1207">
        <f t="shared" si="13"/>
        <v>64.599999999999994</v>
      </c>
      <c r="AO24" s="1207">
        <f t="shared" si="13"/>
        <v>64.599999999999994</v>
      </c>
      <c r="AP24" s="1207">
        <f t="shared" si="13"/>
        <v>64.599999999999994</v>
      </c>
      <c r="AQ24" s="1207">
        <f t="shared" si="13"/>
        <v>64.599999999999994</v>
      </c>
      <c r="AR24" s="1207">
        <f t="shared" si="13"/>
        <v>64.599999999999994</v>
      </c>
      <c r="AS24" s="1207">
        <f t="shared" si="13"/>
        <v>64.599999999999994</v>
      </c>
      <c r="AT24" s="1207">
        <f t="shared" si="13"/>
        <v>64.599999999999994</v>
      </c>
      <c r="AU24" s="1207">
        <f t="shared" si="13"/>
        <v>64.599999999999994</v>
      </c>
    </row>
    <row r="25" spans="2:58" s="214" customFormat="1" ht="15.75" customHeight="1">
      <c r="B25" s="172"/>
      <c r="C25" s="594" t="s">
        <v>1921</v>
      </c>
      <c r="L25" s="216"/>
      <c r="M25" s="215"/>
      <c r="R25" s="395">
        <f>R178</f>
        <v>540000</v>
      </c>
      <c r="S25" s="395"/>
      <c r="T25" s="395">
        <f>T178</f>
        <v>540000</v>
      </c>
      <c r="U25" s="395">
        <f t="shared" si="4"/>
        <v>540000</v>
      </c>
      <c r="V25" s="395">
        <f t="shared" ref="V25:AU25" si="14">V178</f>
        <v>540000</v>
      </c>
      <c r="W25" s="395">
        <f t="shared" si="14"/>
        <v>540000</v>
      </c>
      <c r="X25" s="395">
        <f t="shared" si="14"/>
        <v>540000</v>
      </c>
      <c r="Y25" s="395">
        <f t="shared" si="14"/>
        <v>540000</v>
      </c>
      <c r="Z25" s="395">
        <f t="shared" si="14"/>
        <v>540000</v>
      </c>
      <c r="AA25" s="395">
        <f t="shared" si="14"/>
        <v>540000</v>
      </c>
      <c r="AB25" s="395">
        <f t="shared" si="14"/>
        <v>540000</v>
      </c>
      <c r="AC25" s="395">
        <f t="shared" si="14"/>
        <v>540000</v>
      </c>
      <c r="AD25" s="395">
        <f t="shared" si="14"/>
        <v>540000</v>
      </c>
      <c r="AE25" s="395">
        <f t="shared" si="14"/>
        <v>540000</v>
      </c>
      <c r="AF25" s="395">
        <f t="shared" si="14"/>
        <v>540000</v>
      </c>
      <c r="AG25" s="395">
        <f t="shared" si="14"/>
        <v>540000</v>
      </c>
      <c r="AH25" s="395">
        <f t="shared" si="14"/>
        <v>540000</v>
      </c>
      <c r="AI25" s="395">
        <f t="shared" si="14"/>
        <v>540000</v>
      </c>
      <c r="AJ25" s="395">
        <f t="shared" si="14"/>
        <v>540000</v>
      </c>
      <c r="AK25" s="395">
        <f t="shared" si="14"/>
        <v>540000</v>
      </c>
      <c r="AL25" s="395">
        <f t="shared" si="14"/>
        <v>540000</v>
      </c>
      <c r="AM25" s="395">
        <f t="shared" si="14"/>
        <v>540000</v>
      </c>
      <c r="AN25" s="395">
        <f t="shared" si="14"/>
        <v>540000</v>
      </c>
      <c r="AO25" s="395">
        <f t="shared" si="14"/>
        <v>540000</v>
      </c>
      <c r="AP25" s="395">
        <f t="shared" si="14"/>
        <v>540000</v>
      </c>
      <c r="AQ25" s="395">
        <f t="shared" si="14"/>
        <v>540000</v>
      </c>
      <c r="AR25" s="395">
        <f t="shared" si="14"/>
        <v>540000</v>
      </c>
      <c r="AS25" s="395">
        <f t="shared" si="14"/>
        <v>540000</v>
      </c>
      <c r="AT25" s="395">
        <f t="shared" si="14"/>
        <v>540000</v>
      </c>
      <c r="AU25" s="395">
        <f t="shared" si="14"/>
        <v>540000</v>
      </c>
    </row>
    <row r="26" spans="2:58" s="214" customFormat="1" ht="15.75" customHeight="1">
      <c r="B26" s="172"/>
      <c r="C26" s="216" t="s">
        <v>1919</v>
      </c>
      <c r="L26" s="222"/>
      <c r="M26" s="222"/>
      <c r="R26" s="395">
        <f>R24*R25</f>
        <v>30697919.999999996</v>
      </c>
      <c r="S26" s="395"/>
      <c r="T26" s="395">
        <f>T24*T25</f>
        <v>34884000</v>
      </c>
      <c r="U26" s="395">
        <f t="shared" si="4"/>
        <v>34884000</v>
      </c>
      <c r="V26" s="395">
        <f t="shared" ref="V26:AU26" si="15">V24*V25</f>
        <v>34884000</v>
      </c>
      <c r="W26" s="395">
        <f t="shared" si="15"/>
        <v>34884000</v>
      </c>
      <c r="X26" s="395">
        <f t="shared" si="15"/>
        <v>34884000</v>
      </c>
      <c r="Y26" s="395">
        <f t="shared" si="15"/>
        <v>34884000</v>
      </c>
      <c r="Z26" s="395">
        <f t="shared" si="15"/>
        <v>34884000</v>
      </c>
      <c r="AA26" s="395">
        <f t="shared" si="15"/>
        <v>34884000</v>
      </c>
      <c r="AB26" s="395">
        <f t="shared" si="15"/>
        <v>34884000</v>
      </c>
      <c r="AC26" s="395">
        <f t="shared" si="15"/>
        <v>34884000</v>
      </c>
      <c r="AD26" s="395">
        <f t="shared" si="15"/>
        <v>34884000</v>
      </c>
      <c r="AE26" s="395">
        <f t="shared" si="15"/>
        <v>34884000</v>
      </c>
      <c r="AF26" s="395">
        <f t="shared" si="15"/>
        <v>34884000</v>
      </c>
      <c r="AG26" s="395">
        <f t="shared" si="15"/>
        <v>34884000</v>
      </c>
      <c r="AH26" s="395">
        <f t="shared" si="15"/>
        <v>34884000</v>
      </c>
      <c r="AI26" s="395">
        <f t="shared" si="15"/>
        <v>34884000</v>
      </c>
      <c r="AJ26" s="395">
        <f t="shared" si="15"/>
        <v>34884000</v>
      </c>
      <c r="AK26" s="395">
        <f t="shared" si="15"/>
        <v>34884000</v>
      </c>
      <c r="AL26" s="395">
        <f t="shared" si="15"/>
        <v>34884000</v>
      </c>
      <c r="AM26" s="395">
        <f t="shared" si="15"/>
        <v>34884000</v>
      </c>
      <c r="AN26" s="395">
        <f t="shared" si="15"/>
        <v>34884000</v>
      </c>
      <c r="AO26" s="395">
        <f t="shared" si="15"/>
        <v>34884000</v>
      </c>
      <c r="AP26" s="395">
        <f t="shared" si="15"/>
        <v>34884000</v>
      </c>
      <c r="AQ26" s="395">
        <f t="shared" si="15"/>
        <v>34884000</v>
      </c>
      <c r="AR26" s="395">
        <f t="shared" si="15"/>
        <v>34884000</v>
      </c>
      <c r="AS26" s="395">
        <f t="shared" si="15"/>
        <v>34884000</v>
      </c>
      <c r="AT26" s="395">
        <f t="shared" si="15"/>
        <v>34884000</v>
      </c>
      <c r="AU26" s="395">
        <f t="shared" si="15"/>
        <v>34884000</v>
      </c>
    </row>
    <row r="27" spans="2:58" s="214" customFormat="1" ht="15.75" customHeight="1">
      <c r="B27" s="172"/>
      <c r="C27" s="593"/>
      <c r="L27" s="215"/>
      <c r="M27" s="215"/>
    </row>
    <row r="28" spans="2:58" ht="27">
      <c r="B28" s="172"/>
      <c r="C28" s="297" t="s">
        <v>908</v>
      </c>
      <c r="L28" s="169"/>
      <c r="M28" s="185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</row>
    <row r="29" spans="2:58" ht="15.75" customHeight="1">
      <c r="B29" s="172"/>
      <c r="C29" s="299"/>
      <c r="D29" s="170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0"/>
      <c r="W29" s="170"/>
      <c r="X29" s="179"/>
      <c r="Y29" s="179"/>
      <c r="Z29" s="179"/>
      <c r="AA29" s="179"/>
      <c r="AB29" s="179"/>
      <c r="AC29" s="179"/>
      <c r="AD29" s="179"/>
      <c r="AE29" s="179"/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  <c r="AQ29" s="179"/>
      <c r="AR29" s="179"/>
      <c r="AS29" s="179"/>
      <c r="AT29" s="179"/>
      <c r="AU29" s="179"/>
      <c r="AV29" s="179"/>
      <c r="AW29" s="179"/>
      <c r="AX29" s="179"/>
      <c r="AY29" s="179"/>
      <c r="AZ29" s="179"/>
      <c r="BA29" s="179"/>
      <c r="BB29" s="179"/>
      <c r="BC29" s="179"/>
      <c r="BD29" s="179"/>
      <c r="BE29" s="179"/>
      <c r="BF29" s="179"/>
    </row>
    <row r="30" spans="2:58" ht="15.75" customHeight="1" outlineLevel="1">
      <c r="B30" s="172"/>
      <c r="C30" s="302" t="s">
        <v>908</v>
      </c>
      <c r="D30" s="303"/>
      <c r="E30" s="303"/>
      <c r="F30" s="303"/>
      <c r="G30" s="303"/>
      <c r="H30" s="172"/>
      <c r="I30" s="172"/>
      <c r="J30" s="172"/>
      <c r="K30" s="172"/>
      <c r="L30" s="173"/>
      <c r="M30" s="173"/>
      <c r="N30" s="173"/>
      <c r="O30" s="173"/>
      <c r="P30" s="173"/>
      <c r="Q30" s="173"/>
      <c r="R30" s="173"/>
      <c r="S30" s="173"/>
      <c r="T30" s="173"/>
      <c r="U30" s="173"/>
      <c r="V30" s="173"/>
      <c r="W30" s="173"/>
      <c r="X30" s="173"/>
      <c r="Y30" s="173"/>
      <c r="Z30" s="173"/>
      <c r="AA30" s="173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  <c r="AL30" s="173"/>
      <c r="AM30" s="173"/>
      <c r="AN30" s="173"/>
      <c r="AO30" s="173"/>
      <c r="AP30" s="173"/>
      <c r="AQ30" s="173"/>
      <c r="AR30" s="173"/>
      <c r="AS30" s="173"/>
      <c r="AT30" s="173"/>
      <c r="AU30" s="173"/>
      <c r="AV30" s="173"/>
      <c r="AW30" s="173"/>
      <c r="AX30" s="173"/>
      <c r="AY30" s="173"/>
      <c r="AZ30" s="179"/>
      <c r="BA30" s="179"/>
      <c r="BB30" s="179"/>
      <c r="BC30" s="179"/>
      <c r="BD30" s="179"/>
      <c r="BE30" s="179"/>
      <c r="BF30" s="179"/>
    </row>
    <row r="31" spans="2:58" ht="15.75" customHeight="1" outlineLevel="1">
      <c r="B31" s="172"/>
      <c r="C31" s="603"/>
      <c r="D31" s="233"/>
      <c r="E31" s="233"/>
      <c r="F31" s="233"/>
      <c r="G31" s="603"/>
      <c r="H31" s="603"/>
      <c r="I31" s="174"/>
      <c r="J31" s="174"/>
      <c r="K31" s="174"/>
      <c r="L31" s="174"/>
      <c r="M31" s="1300"/>
      <c r="N31" s="1300"/>
      <c r="O31" s="175">
        <v>-3</v>
      </c>
      <c r="P31" s="175">
        <f>O31+1</f>
        <v>-2</v>
      </c>
      <c r="Q31" s="175">
        <f>P31+1</f>
        <v>-1</v>
      </c>
      <c r="R31" s="175">
        <f>Q31+2</f>
        <v>1</v>
      </c>
      <c r="S31" s="175">
        <f>$S$8</f>
        <v>0</v>
      </c>
      <c r="T31" s="175">
        <f>$T$8</f>
        <v>0</v>
      </c>
      <c r="U31" s="175" t="str">
        <f>$U$7</f>
        <v>Revised</v>
      </c>
      <c r="V31" s="175">
        <f>R31+1</f>
        <v>2</v>
      </c>
      <c r="W31" s="175">
        <f t="shared" ref="W31:AU32" si="16">V31+1</f>
        <v>3</v>
      </c>
      <c r="X31" s="175">
        <f t="shared" si="16"/>
        <v>4</v>
      </c>
      <c r="Y31" s="175">
        <f t="shared" si="16"/>
        <v>5</v>
      </c>
      <c r="Z31" s="175">
        <f t="shared" si="16"/>
        <v>6</v>
      </c>
      <c r="AA31" s="175">
        <f t="shared" si="16"/>
        <v>7</v>
      </c>
      <c r="AB31" s="175">
        <f t="shared" si="16"/>
        <v>8</v>
      </c>
      <c r="AC31" s="175">
        <f t="shared" si="16"/>
        <v>9</v>
      </c>
      <c r="AD31" s="175">
        <f t="shared" si="16"/>
        <v>10</v>
      </c>
      <c r="AE31" s="175">
        <f t="shared" si="16"/>
        <v>11</v>
      </c>
      <c r="AF31" s="175">
        <f t="shared" si="16"/>
        <v>12</v>
      </c>
      <c r="AG31" s="175">
        <f t="shared" si="16"/>
        <v>13</v>
      </c>
      <c r="AH31" s="175">
        <f t="shared" si="16"/>
        <v>14</v>
      </c>
      <c r="AI31" s="175">
        <f t="shared" si="16"/>
        <v>15</v>
      </c>
      <c r="AJ31" s="175">
        <f t="shared" si="16"/>
        <v>16</v>
      </c>
      <c r="AK31" s="175">
        <f t="shared" si="16"/>
        <v>17</v>
      </c>
      <c r="AL31" s="175">
        <f t="shared" si="16"/>
        <v>18</v>
      </c>
      <c r="AM31" s="175">
        <f t="shared" si="16"/>
        <v>19</v>
      </c>
      <c r="AN31" s="175">
        <f t="shared" si="16"/>
        <v>20</v>
      </c>
      <c r="AO31" s="175">
        <f t="shared" si="16"/>
        <v>21</v>
      </c>
      <c r="AP31" s="175">
        <f t="shared" si="16"/>
        <v>22</v>
      </c>
      <c r="AQ31" s="175">
        <f t="shared" si="16"/>
        <v>23</v>
      </c>
      <c r="AR31" s="175">
        <f t="shared" si="16"/>
        <v>24</v>
      </c>
      <c r="AS31" s="175">
        <f t="shared" si="16"/>
        <v>25</v>
      </c>
      <c r="AT31" s="175">
        <f t="shared" si="16"/>
        <v>26</v>
      </c>
      <c r="AU31" s="175">
        <f t="shared" si="16"/>
        <v>27</v>
      </c>
      <c r="AV31" s="175"/>
      <c r="AW31" s="175"/>
      <c r="AX31" s="175"/>
      <c r="AY31" s="175"/>
      <c r="AZ31" s="179"/>
      <c r="BA31" s="179"/>
      <c r="BB31" s="179"/>
      <c r="BC31" s="179"/>
      <c r="BD31" s="179"/>
      <c r="BE31" s="179"/>
      <c r="BF31" s="179"/>
    </row>
    <row r="32" spans="2:58" ht="15.75" customHeight="1" outlineLevel="1">
      <c r="B32" s="172"/>
      <c r="C32" s="604"/>
      <c r="D32" s="234"/>
      <c r="E32" s="234"/>
      <c r="F32" s="234"/>
      <c r="G32" s="604"/>
      <c r="H32" s="604"/>
      <c r="I32" s="176"/>
      <c r="J32" s="176"/>
      <c r="K32" s="176"/>
      <c r="L32" s="176"/>
      <c r="M32" s="758"/>
      <c r="N32" s="758"/>
      <c r="O32" s="758"/>
      <c r="P32" s="758">
        <f>P8</f>
        <v>0</v>
      </c>
      <c r="Q32" s="758">
        <f>P32+1</f>
        <v>1</v>
      </c>
      <c r="R32" s="758">
        <f>Q32+1</f>
        <v>2</v>
      </c>
      <c r="S32" s="758"/>
      <c r="T32" s="758"/>
      <c r="U32" s="758">
        <f>$U$8</f>
        <v>0</v>
      </c>
      <c r="V32" s="758">
        <f>R32+1</f>
        <v>3</v>
      </c>
      <c r="W32" s="758">
        <f>V32+1</f>
        <v>4</v>
      </c>
      <c r="X32" s="758">
        <f t="shared" si="16"/>
        <v>5</v>
      </c>
      <c r="Y32" s="758">
        <f t="shared" si="16"/>
        <v>6</v>
      </c>
      <c r="Z32" s="758">
        <f t="shared" si="16"/>
        <v>7</v>
      </c>
      <c r="AA32" s="758">
        <f t="shared" si="16"/>
        <v>8</v>
      </c>
      <c r="AB32" s="758">
        <f t="shared" si="16"/>
        <v>9</v>
      </c>
      <c r="AC32" s="758">
        <f t="shared" si="16"/>
        <v>10</v>
      </c>
      <c r="AD32" s="758">
        <f t="shared" si="16"/>
        <v>11</v>
      </c>
      <c r="AE32" s="758">
        <f t="shared" si="16"/>
        <v>12</v>
      </c>
      <c r="AF32" s="758">
        <f t="shared" si="16"/>
        <v>13</v>
      </c>
      <c r="AG32" s="758">
        <f t="shared" si="16"/>
        <v>14</v>
      </c>
      <c r="AH32" s="758">
        <f t="shared" si="16"/>
        <v>15</v>
      </c>
      <c r="AI32" s="758">
        <f t="shared" si="16"/>
        <v>16</v>
      </c>
      <c r="AJ32" s="758">
        <f t="shared" si="16"/>
        <v>17</v>
      </c>
      <c r="AK32" s="758">
        <f t="shared" si="16"/>
        <v>18</v>
      </c>
      <c r="AL32" s="758">
        <f t="shared" si="16"/>
        <v>19</v>
      </c>
      <c r="AM32" s="758">
        <f t="shared" si="16"/>
        <v>20</v>
      </c>
      <c r="AN32" s="758">
        <f t="shared" si="16"/>
        <v>21</v>
      </c>
      <c r="AO32" s="758">
        <f t="shared" si="16"/>
        <v>22</v>
      </c>
      <c r="AP32" s="758">
        <f t="shared" si="16"/>
        <v>23</v>
      </c>
      <c r="AQ32" s="758">
        <f t="shared" si="16"/>
        <v>24</v>
      </c>
      <c r="AR32" s="758">
        <f t="shared" si="16"/>
        <v>25</v>
      </c>
      <c r="AS32" s="758">
        <f t="shared" si="16"/>
        <v>26</v>
      </c>
      <c r="AT32" s="758">
        <f t="shared" si="16"/>
        <v>27</v>
      </c>
      <c r="AU32" s="758">
        <f t="shared" si="16"/>
        <v>28</v>
      </c>
      <c r="AV32" s="758"/>
      <c r="AW32" s="758"/>
      <c r="AX32" s="758"/>
      <c r="AY32" s="758"/>
      <c r="AZ32" s="179"/>
      <c r="BA32" s="179"/>
      <c r="BB32" s="179"/>
      <c r="BC32" s="179"/>
      <c r="BD32" s="179"/>
      <c r="BE32" s="179"/>
      <c r="BF32" s="179"/>
    </row>
    <row r="33" spans="1:58" ht="15.75" customHeight="1" outlineLevel="1">
      <c r="A33" s="303"/>
      <c r="B33" s="851"/>
      <c r="C33" s="177"/>
      <c r="D33" s="260"/>
      <c r="E33" s="235"/>
      <c r="F33" s="235"/>
      <c r="G33" s="177"/>
      <c r="H33" s="177"/>
      <c r="I33" s="178"/>
      <c r="J33" s="178"/>
      <c r="K33" s="178"/>
      <c r="L33" s="178"/>
      <c r="M33" s="178" t="s">
        <v>499</v>
      </c>
      <c r="N33" s="178" t="s">
        <v>499</v>
      </c>
      <c r="O33" s="178" t="s">
        <v>499</v>
      </c>
      <c r="P33" s="178" t="str">
        <f t="shared" ref="P33:U33" si="17">O33</f>
        <v>($)</v>
      </c>
      <c r="Q33" s="178" t="str">
        <f t="shared" si="17"/>
        <v>($)</v>
      </c>
      <c r="R33" s="178" t="str">
        <f t="shared" si="17"/>
        <v>($)</v>
      </c>
      <c r="S33" s="178" t="str">
        <f t="shared" si="17"/>
        <v>($)</v>
      </c>
      <c r="T33" s="178" t="str">
        <f t="shared" si="17"/>
        <v>($)</v>
      </c>
      <c r="U33" s="178" t="str">
        <f t="shared" si="17"/>
        <v>($)</v>
      </c>
      <c r="V33" s="178" t="str">
        <f>R33</f>
        <v>($)</v>
      </c>
      <c r="W33" s="178" t="str">
        <f>V33</f>
        <v>($)</v>
      </c>
      <c r="X33" s="178" t="str">
        <f t="shared" ref="X33:AU33" si="18">W33</f>
        <v>($)</v>
      </c>
      <c r="Y33" s="178" t="str">
        <f t="shared" si="18"/>
        <v>($)</v>
      </c>
      <c r="Z33" s="178" t="str">
        <f t="shared" si="18"/>
        <v>($)</v>
      </c>
      <c r="AA33" s="178" t="str">
        <f t="shared" si="18"/>
        <v>($)</v>
      </c>
      <c r="AB33" s="178" t="str">
        <f t="shared" si="18"/>
        <v>($)</v>
      </c>
      <c r="AC33" s="178" t="str">
        <f t="shared" si="18"/>
        <v>($)</v>
      </c>
      <c r="AD33" s="178" t="str">
        <f t="shared" si="18"/>
        <v>($)</v>
      </c>
      <c r="AE33" s="178" t="str">
        <f t="shared" si="18"/>
        <v>($)</v>
      </c>
      <c r="AF33" s="178" t="str">
        <f t="shared" si="18"/>
        <v>($)</v>
      </c>
      <c r="AG33" s="178" t="str">
        <f t="shared" si="18"/>
        <v>($)</v>
      </c>
      <c r="AH33" s="178" t="str">
        <f t="shared" si="18"/>
        <v>($)</v>
      </c>
      <c r="AI33" s="178" t="str">
        <f t="shared" si="18"/>
        <v>($)</v>
      </c>
      <c r="AJ33" s="178" t="str">
        <f t="shared" si="18"/>
        <v>($)</v>
      </c>
      <c r="AK33" s="178" t="str">
        <f t="shared" si="18"/>
        <v>($)</v>
      </c>
      <c r="AL33" s="178" t="str">
        <f t="shared" si="18"/>
        <v>($)</v>
      </c>
      <c r="AM33" s="178" t="str">
        <f t="shared" si="18"/>
        <v>($)</v>
      </c>
      <c r="AN33" s="178" t="str">
        <f t="shared" si="18"/>
        <v>($)</v>
      </c>
      <c r="AO33" s="178" t="str">
        <f t="shared" si="18"/>
        <v>($)</v>
      </c>
      <c r="AP33" s="178" t="str">
        <f t="shared" si="18"/>
        <v>($)</v>
      </c>
      <c r="AQ33" s="178" t="str">
        <f t="shared" si="18"/>
        <v>($)</v>
      </c>
      <c r="AR33" s="178" t="str">
        <f t="shared" si="18"/>
        <v>($)</v>
      </c>
      <c r="AS33" s="178" t="str">
        <f t="shared" si="18"/>
        <v>($)</v>
      </c>
      <c r="AT33" s="178" t="str">
        <f t="shared" si="18"/>
        <v>($)</v>
      </c>
      <c r="AU33" s="178" t="str">
        <f t="shared" si="18"/>
        <v>($)</v>
      </c>
      <c r="AV33" s="178"/>
      <c r="AW33" s="178"/>
      <c r="AX33" s="178"/>
      <c r="AY33" s="178"/>
      <c r="AZ33" s="179"/>
      <c r="BA33" s="179"/>
      <c r="BB33" s="179"/>
      <c r="BC33" s="179"/>
      <c r="BD33" s="179"/>
      <c r="BE33" s="179"/>
      <c r="BF33" s="179"/>
    </row>
    <row r="34" spans="1:58" s="215" customFormat="1" ht="15.75" customHeight="1" outlineLevel="1">
      <c r="C34" s="593" t="s">
        <v>909</v>
      </c>
      <c r="E34" s="185"/>
      <c r="F34" s="185"/>
      <c r="G34" s="185"/>
      <c r="H34" s="205"/>
      <c r="I34" s="205"/>
      <c r="J34" s="205"/>
      <c r="K34" s="205"/>
      <c r="L34" s="205"/>
      <c r="M34" s="379"/>
      <c r="P34" s="214"/>
      <c r="Q34" s="214"/>
      <c r="R34" s="337"/>
      <c r="S34" s="337"/>
      <c r="T34" s="337"/>
      <c r="U34" s="337">
        <f t="shared" si="4"/>
        <v>0</v>
      </c>
      <c r="V34" s="337"/>
      <c r="W34" s="337"/>
      <c r="X34" s="337"/>
      <c r="Y34" s="337"/>
      <c r="Z34" s="337"/>
      <c r="AA34" s="337"/>
      <c r="AB34" s="337"/>
      <c r="AC34" s="337"/>
      <c r="AD34" s="337"/>
      <c r="AE34" s="337"/>
      <c r="AF34" s="337"/>
      <c r="AG34" s="337"/>
      <c r="AH34" s="337"/>
      <c r="AI34" s="337"/>
      <c r="AJ34" s="337"/>
      <c r="AK34" s="337"/>
      <c r="AL34" s="337"/>
      <c r="AM34" s="337"/>
      <c r="AN34" s="337"/>
      <c r="AO34" s="337"/>
      <c r="AP34" s="337"/>
      <c r="AQ34" s="337"/>
      <c r="AR34" s="337"/>
      <c r="AS34" s="337"/>
      <c r="AT34" s="337"/>
      <c r="AU34" s="337"/>
      <c r="AV34" s="873"/>
      <c r="AW34" s="873"/>
      <c r="AX34" s="873"/>
      <c r="AY34" s="873"/>
      <c r="AZ34" s="179"/>
      <c r="BA34" s="179"/>
      <c r="BB34" s="179"/>
      <c r="BC34" s="179"/>
      <c r="BD34" s="179"/>
      <c r="BE34" s="179"/>
      <c r="BF34" s="179"/>
    </row>
    <row r="35" spans="1:58" s="743" customFormat="1" ht="17.25" customHeight="1" outlineLevel="1">
      <c r="A35" s="1208"/>
      <c r="C35" s="599" t="s">
        <v>908</v>
      </c>
      <c r="D35" s="194"/>
      <c r="E35" s="194"/>
      <c r="F35" s="194"/>
      <c r="G35" s="194"/>
      <c r="H35" s="1209"/>
      <c r="I35" s="1209"/>
      <c r="J35" s="1209"/>
      <c r="K35" s="1209"/>
      <c r="L35" s="1209"/>
      <c r="M35" s="632"/>
      <c r="N35" s="1208"/>
      <c r="O35" s="1210"/>
      <c r="P35" s="1210"/>
      <c r="Q35" s="1210"/>
      <c r="R35" s="1210"/>
      <c r="S35" s="1210"/>
      <c r="T35" s="1210"/>
      <c r="U35" s="1210">
        <f t="shared" si="4"/>
        <v>0</v>
      </c>
      <c r="V35" s="1210"/>
      <c r="W35" s="1210"/>
      <c r="X35" s="1210"/>
      <c r="Y35" s="1210"/>
      <c r="Z35" s="1210"/>
      <c r="AA35" s="1210"/>
      <c r="AB35" s="1210"/>
      <c r="AC35" s="1210"/>
      <c r="AD35" s="1210"/>
      <c r="AE35" s="1210"/>
      <c r="AF35" s="1210"/>
      <c r="AG35" s="1210"/>
      <c r="AH35" s="1210"/>
      <c r="AI35" s="1210"/>
      <c r="AJ35" s="1210"/>
      <c r="AK35" s="1210"/>
      <c r="AL35" s="1210"/>
      <c r="AM35" s="1210"/>
      <c r="AN35" s="1210"/>
      <c r="AO35" s="1210"/>
      <c r="AP35" s="1210"/>
      <c r="AQ35" s="1210"/>
      <c r="AR35" s="1210"/>
      <c r="AS35" s="1210"/>
      <c r="AT35" s="1210"/>
      <c r="AU35" s="1210"/>
      <c r="AV35" s="1210"/>
      <c r="AW35" s="1210"/>
      <c r="AX35" s="1210"/>
      <c r="AY35" s="1210"/>
      <c r="AZ35" s="225"/>
      <c r="BA35" s="225"/>
      <c r="BB35" s="225"/>
      <c r="BC35" s="225"/>
      <c r="BD35" s="225"/>
      <c r="BE35" s="225"/>
      <c r="BF35" s="225"/>
    </row>
    <row r="36" spans="1:58" s="743" customFormat="1" ht="17.25" customHeight="1" outlineLevel="1">
      <c r="A36" s="1208"/>
      <c r="C36" s="1211" t="s">
        <v>1973</v>
      </c>
      <c r="D36" s="194"/>
      <c r="E36" s="194"/>
      <c r="F36" s="194"/>
      <c r="G36" s="194"/>
      <c r="H36" s="1209"/>
      <c r="I36" s="1209"/>
      <c r="J36" s="1209"/>
      <c r="K36" s="1209"/>
      <c r="L36" s="1209"/>
      <c r="M36" s="632"/>
      <c r="N36" s="1208"/>
      <c r="O36" s="1210"/>
      <c r="P36" s="1210"/>
      <c r="Q36" s="1210"/>
      <c r="R36" s="337">
        <v>251.25</v>
      </c>
      <c r="S36" s="337"/>
      <c r="T36" s="337">
        <v>251.25</v>
      </c>
      <c r="U36" s="337">
        <f t="shared" si="4"/>
        <v>251.25</v>
      </c>
      <c r="V36" s="337">
        <v>0</v>
      </c>
      <c r="W36" s="337">
        <f>V36</f>
        <v>0</v>
      </c>
      <c r="X36" s="337">
        <f t="shared" ref="X36:AU38" si="19">W36</f>
        <v>0</v>
      </c>
      <c r="Y36" s="337">
        <f t="shared" si="19"/>
        <v>0</v>
      </c>
      <c r="Z36" s="337">
        <f t="shared" si="19"/>
        <v>0</v>
      </c>
      <c r="AA36" s="337">
        <f t="shared" si="19"/>
        <v>0</v>
      </c>
      <c r="AB36" s="337">
        <f t="shared" si="19"/>
        <v>0</v>
      </c>
      <c r="AC36" s="337">
        <f t="shared" si="19"/>
        <v>0</v>
      </c>
      <c r="AD36" s="337">
        <f t="shared" si="19"/>
        <v>0</v>
      </c>
      <c r="AE36" s="337">
        <f t="shared" si="19"/>
        <v>0</v>
      </c>
      <c r="AF36" s="337">
        <f t="shared" si="19"/>
        <v>0</v>
      </c>
      <c r="AG36" s="337">
        <f t="shared" si="19"/>
        <v>0</v>
      </c>
      <c r="AH36" s="337">
        <f t="shared" si="19"/>
        <v>0</v>
      </c>
      <c r="AI36" s="337">
        <f t="shared" si="19"/>
        <v>0</v>
      </c>
      <c r="AJ36" s="337">
        <f t="shared" si="19"/>
        <v>0</v>
      </c>
      <c r="AK36" s="337">
        <f t="shared" si="19"/>
        <v>0</v>
      </c>
      <c r="AL36" s="337">
        <f t="shared" si="19"/>
        <v>0</v>
      </c>
      <c r="AM36" s="337">
        <f t="shared" si="19"/>
        <v>0</v>
      </c>
      <c r="AN36" s="337">
        <f t="shared" si="19"/>
        <v>0</v>
      </c>
      <c r="AO36" s="337">
        <f t="shared" si="19"/>
        <v>0</v>
      </c>
      <c r="AP36" s="337">
        <f t="shared" si="19"/>
        <v>0</v>
      </c>
      <c r="AQ36" s="337">
        <f t="shared" si="19"/>
        <v>0</v>
      </c>
      <c r="AR36" s="337">
        <f t="shared" si="19"/>
        <v>0</v>
      </c>
      <c r="AS36" s="337">
        <f t="shared" si="19"/>
        <v>0</v>
      </c>
      <c r="AT36" s="337">
        <f t="shared" si="19"/>
        <v>0</v>
      </c>
      <c r="AU36" s="337">
        <f t="shared" si="19"/>
        <v>0</v>
      </c>
      <c r="AV36" s="1210"/>
      <c r="AW36" s="1210"/>
      <c r="AX36" s="1210"/>
      <c r="AY36" s="1210"/>
      <c r="AZ36" s="225"/>
      <c r="BA36" s="225"/>
      <c r="BB36" s="225"/>
      <c r="BC36" s="225"/>
      <c r="BD36" s="225"/>
      <c r="BE36" s="225"/>
      <c r="BF36" s="225"/>
    </row>
    <row r="37" spans="1:58" s="743" customFormat="1" ht="17.25" customHeight="1" outlineLevel="1">
      <c r="A37" s="1208"/>
      <c r="C37" s="1211" t="s">
        <v>1974</v>
      </c>
      <c r="D37" s="194"/>
      <c r="E37" s="194"/>
      <c r="F37" s="194"/>
      <c r="G37" s="194"/>
      <c r="H37" s="1209"/>
      <c r="I37" s="1209"/>
      <c r="J37" s="1209"/>
      <c r="K37" s="1209"/>
      <c r="L37" s="1209"/>
      <c r="M37" s="632"/>
      <c r="N37" s="1208"/>
      <c r="O37" s="1210"/>
      <c r="P37" s="1210"/>
      <c r="Q37" s="1210"/>
      <c r="R37" s="337">
        <v>0</v>
      </c>
      <c r="S37" s="337"/>
      <c r="T37" s="337">
        <v>0</v>
      </c>
      <c r="U37" s="337">
        <f t="shared" si="4"/>
        <v>0</v>
      </c>
      <c r="V37" s="337">
        <v>76</v>
      </c>
      <c r="W37" s="337">
        <f t="shared" ref="W37:AL38" si="20">V37</f>
        <v>76</v>
      </c>
      <c r="X37" s="337">
        <f t="shared" si="20"/>
        <v>76</v>
      </c>
      <c r="Y37" s="337">
        <f t="shared" si="20"/>
        <v>76</v>
      </c>
      <c r="Z37" s="337">
        <f t="shared" si="20"/>
        <v>76</v>
      </c>
      <c r="AA37" s="337">
        <f t="shared" si="20"/>
        <v>76</v>
      </c>
      <c r="AB37" s="337">
        <f t="shared" si="20"/>
        <v>76</v>
      </c>
      <c r="AC37" s="337">
        <f t="shared" si="20"/>
        <v>76</v>
      </c>
      <c r="AD37" s="337">
        <f t="shared" si="20"/>
        <v>76</v>
      </c>
      <c r="AE37" s="337">
        <f t="shared" si="20"/>
        <v>76</v>
      </c>
      <c r="AF37" s="337">
        <f t="shared" si="20"/>
        <v>76</v>
      </c>
      <c r="AG37" s="337">
        <f t="shared" si="20"/>
        <v>76</v>
      </c>
      <c r="AH37" s="337">
        <f t="shared" si="20"/>
        <v>76</v>
      </c>
      <c r="AI37" s="337">
        <f t="shared" si="20"/>
        <v>76</v>
      </c>
      <c r="AJ37" s="337">
        <f t="shared" si="20"/>
        <v>76</v>
      </c>
      <c r="AK37" s="337">
        <f t="shared" si="20"/>
        <v>76</v>
      </c>
      <c r="AL37" s="337">
        <f t="shared" si="20"/>
        <v>76</v>
      </c>
      <c r="AM37" s="337">
        <f t="shared" si="19"/>
        <v>76</v>
      </c>
      <c r="AN37" s="337">
        <f t="shared" si="19"/>
        <v>76</v>
      </c>
      <c r="AO37" s="337">
        <f t="shared" si="19"/>
        <v>76</v>
      </c>
      <c r="AP37" s="337">
        <f t="shared" si="19"/>
        <v>76</v>
      </c>
      <c r="AQ37" s="337">
        <f t="shared" si="19"/>
        <v>76</v>
      </c>
      <c r="AR37" s="337">
        <f t="shared" si="19"/>
        <v>76</v>
      </c>
      <c r="AS37" s="337">
        <f t="shared" si="19"/>
        <v>76</v>
      </c>
      <c r="AT37" s="337">
        <f t="shared" si="19"/>
        <v>76</v>
      </c>
      <c r="AU37" s="337">
        <f t="shared" si="19"/>
        <v>76</v>
      </c>
      <c r="AV37" s="1210"/>
      <c r="AW37" s="1210"/>
      <c r="AX37" s="1210"/>
      <c r="AY37" s="1210"/>
      <c r="AZ37" s="225"/>
      <c r="BA37" s="225"/>
      <c r="BB37" s="225"/>
      <c r="BC37" s="225"/>
      <c r="BD37" s="225"/>
      <c r="BE37" s="225"/>
      <c r="BF37" s="225"/>
    </row>
    <row r="38" spans="1:58" s="743" customFormat="1" ht="17.25" customHeight="1" outlineLevel="1">
      <c r="A38" s="1208"/>
      <c r="C38" s="1211" t="s">
        <v>1975</v>
      </c>
      <c r="D38" s="194"/>
      <c r="E38" s="194"/>
      <c r="F38" s="194"/>
      <c r="G38" s="194"/>
      <c r="H38" s="1209"/>
      <c r="I38" s="1209"/>
      <c r="J38" s="1209"/>
      <c r="K38" s="1209"/>
      <c r="L38" s="1209"/>
      <c r="M38" s="632"/>
      <c r="N38" s="1208"/>
      <c r="O38" s="1210"/>
      <c r="P38" s="1210"/>
      <c r="Q38" s="1210"/>
      <c r="R38" s="337">
        <v>145</v>
      </c>
      <c r="S38" s="337"/>
      <c r="T38" s="337">
        <v>145</v>
      </c>
      <c r="U38" s="337">
        <f t="shared" si="4"/>
        <v>145</v>
      </c>
      <c r="V38" s="337">
        <v>145</v>
      </c>
      <c r="W38" s="337">
        <f t="shared" si="20"/>
        <v>145</v>
      </c>
      <c r="X38" s="337">
        <f t="shared" si="19"/>
        <v>145</v>
      </c>
      <c r="Y38" s="337">
        <f t="shared" si="19"/>
        <v>145</v>
      </c>
      <c r="Z38" s="337">
        <f t="shared" si="19"/>
        <v>145</v>
      </c>
      <c r="AA38" s="337">
        <f t="shared" si="19"/>
        <v>145</v>
      </c>
      <c r="AB38" s="337">
        <f t="shared" si="19"/>
        <v>145</v>
      </c>
      <c r="AC38" s="337">
        <f t="shared" si="19"/>
        <v>145</v>
      </c>
      <c r="AD38" s="337">
        <f t="shared" si="19"/>
        <v>145</v>
      </c>
      <c r="AE38" s="337">
        <f t="shared" si="19"/>
        <v>145</v>
      </c>
      <c r="AF38" s="337">
        <f t="shared" si="19"/>
        <v>145</v>
      </c>
      <c r="AG38" s="337">
        <f t="shared" si="19"/>
        <v>145</v>
      </c>
      <c r="AH38" s="337">
        <f t="shared" si="19"/>
        <v>145</v>
      </c>
      <c r="AI38" s="337">
        <f t="shared" si="19"/>
        <v>145</v>
      </c>
      <c r="AJ38" s="337">
        <f t="shared" si="19"/>
        <v>145</v>
      </c>
      <c r="AK38" s="337">
        <f t="shared" si="19"/>
        <v>145</v>
      </c>
      <c r="AL38" s="337">
        <f t="shared" si="19"/>
        <v>145</v>
      </c>
      <c r="AM38" s="337">
        <f t="shared" si="19"/>
        <v>145</v>
      </c>
      <c r="AN38" s="337">
        <f t="shared" si="19"/>
        <v>145</v>
      </c>
      <c r="AO38" s="337">
        <f t="shared" si="19"/>
        <v>145</v>
      </c>
      <c r="AP38" s="337">
        <f t="shared" si="19"/>
        <v>145</v>
      </c>
      <c r="AQ38" s="337">
        <f t="shared" si="19"/>
        <v>145</v>
      </c>
      <c r="AR38" s="337">
        <f t="shared" si="19"/>
        <v>145</v>
      </c>
      <c r="AS38" s="337">
        <f t="shared" si="19"/>
        <v>145</v>
      </c>
      <c r="AT38" s="337">
        <f t="shared" si="19"/>
        <v>145</v>
      </c>
      <c r="AU38" s="337">
        <f t="shared" si="19"/>
        <v>145</v>
      </c>
      <c r="AV38" s="1210"/>
      <c r="AW38" s="1210"/>
      <c r="AX38" s="1210"/>
      <c r="AY38" s="1210"/>
      <c r="AZ38" s="225"/>
      <c r="BA38" s="225"/>
      <c r="BB38" s="225"/>
      <c r="BC38" s="225"/>
      <c r="BD38" s="225"/>
      <c r="BE38" s="225"/>
      <c r="BF38" s="225"/>
    </row>
    <row r="39" spans="1:58" s="743" customFormat="1" ht="17.25" customHeight="1" outlineLevel="1">
      <c r="A39" s="1208"/>
      <c r="C39" s="1211"/>
      <c r="D39" s="194"/>
      <c r="E39" s="194"/>
      <c r="F39" s="194"/>
      <c r="G39" s="194"/>
      <c r="H39" s="1209"/>
      <c r="I39" s="1209"/>
      <c r="J39" s="1209"/>
      <c r="K39" s="1209"/>
      <c r="L39" s="1209"/>
      <c r="M39" s="632"/>
      <c r="N39" s="1208"/>
      <c r="O39" s="1210"/>
      <c r="P39" s="1210"/>
      <c r="Q39" s="1210"/>
      <c r="R39" s="337"/>
      <c r="S39" s="337"/>
      <c r="T39" s="337"/>
      <c r="U39" s="337">
        <f t="shared" si="4"/>
        <v>0</v>
      </c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225"/>
      <c r="BA39" s="225"/>
      <c r="BB39" s="225"/>
      <c r="BC39" s="225"/>
      <c r="BD39" s="225"/>
      <c r="BE39" s="225"/>
      <c r="BF39" s="225"/>
    </row>
    <row r="40" spans="1:58" s="215" customFormat="1" ht="15.75" customHeight="1" outlineLevel="1">
      <c r="C40" s="1211" t="s">
        <v>1976</v>
      </c>
      <c r="E40" s="185"/>
      <c r="F40" s="185"/>
      <c r="G40" s="185"/>
      <c r="H40" s="205"/>
      <c r="I40" s="205"/>
      <c r="J40" s="205"/>
      <c r="K40" s="205"/>
      <c r="L40" s="205"/>
      <c r="M40" s="379"/>
      <c r="P40" s="214"/>
      <c r="Q40" s="214"/>
      <c r="R40" s="337">
        <v>237</v>
      </c>
      <c r="S40" s="337"/>
      <c r="T40" s="337">
        <v>237</v>
      </c>
      <c r="U40" s="337">
        <f t="shared" si="4"/>
        <v>237</v>
      </c>
      <c r="V40" s="337">
        <v>95.34</v>
      </c>
      <c r="W40" s="337">
        <f t="shared" ref="W40:AU42" si="21">V40</f>
        <v>95.34</v>
      </c>
      <c r="X40" s="337">
        <f t="shared" si="21"/>
        <v>95.34</v>
      </c>
      <c r="Y40" s="337">
        <f t="shared" si="21"/>
        <v>95.34</v>
      </c>
      <c r="Z40" s="337">
        <f t="shared" si="21"/>
        <v>95.34</v>
      </c>
      <c r="AA40" s="337">
        <f t="shared" si="21"/>
        <v>95.34</v>
      </c>
      <c r="AB40" s="337">
        <f t="shared" si="21"/>
        <v>95.34</v>
      </c>
      <c r="AC40" s="337">
        <f t="shared" si="21"/>
        <v>95.34</v>
      </c>
      <c r="AD40" s="337">
        <f t="shared" si="21"/>
        <v>95.34</v>
      </c>
      <c r="AE40" s="337">
        <f t="shared" si="21"/>
        <v>95.34</v>
      </c>
      <c r="AF40" s="337">
        <f t="shared" si="21"/>
        <v>95.34</v>
      </c>
      <c r="AG40" s="337">
        <f t="shared" si="21"/>
        <v>95.34</v>
      </c>
      <c r="AH40" s="337">
        <f t="shared" si="21"/>
        <v>95.34</v>
      </c>
      <c r="AI40" s="337">
        <f t="shared" si="21"/>
        <v>95.34</v>
      </c>
      <c r="AJ40" s="337">
        <f t="shared" si="21"/>
        <v>95.34</v>
      </c>
      <c r="AK40" s="337">
        <f t="shared" si="21"/>
        <v>95.34</v>
      </c>
      <c r="AL40" s="337">
        <f t="shared" si="21"/>
        <v>95.34</v>
      </c>
      <c r="AM40" s="337">
        <f t="shared" si="21"/>
        <v>95.34</v>
      </c>
      <c r="AN40" s="337">
        <f t="shared" si="21"/>
        <v>95.34</v>
      </c>
      <c r="AO40" s="337">
        <f t="shared" si="21"/>
        <v>95.34</v>
      </c>
      <c r="AP40" s="337">
        <f t="shared" si="21"/>
        <v>95.34</v>
      </c>
      <c r="AQ40" s="337">
        <f t="shared" si="21"/>
        <v>95.34</v>
      </c>
      <c r="AR40" s="337">
        <f t="shared" si="21"/>
        <v>95.34</v>
      </c>
      <c r="AS40" s="337">
        <f t="shared" si="21"/>
        <v>95.34</v>
      </c>
      <c r="AT40" s="337">
        <f t="shared" si="21"/>
        <v>95.34</v>
      </c>
      <c r="AU40" s="337">
        <f t="shared" si="21"/>
        <v>95.34</v>
      </c>
      <c r="AV40" s="873"/>
      <c r="AW40" s="873"/>
      <c r="AX40" s="873"/>
      <c r="AY40" s="873"/>
      <c r="AZ40" s="179"/>
      <c r="BA40" s="179"/>
      <c r="BB40" s="179"/>
      <c r="BC40" s="179"/>
      <c r="BD40" s="179"/>
      <c r="BE40" s="179"/>
      <c r="BF40" s="179"/>
    </row>
    <row r="41" spans="1:58" s="215" customFormat="1" ht="15.75" customHeight="1" outlineLevel="1">
      <c r="C41" s="1211" t="s">
        <v>910</v>
      </c>
      <c r="E41" s="185"/>
      <c r="F41" s="185"/>
      <c r="G41" s="185"/>
      <c r="H41" s="205"/>
      <c r="I41" s="205"/>
      <c r="J41" s="205"/>
      <c r="K41" s="205"/>
      <c r="L41" s="205"/>
      <c r="M41" s="379"/>
      <c r="P41" s="214"/>
      <c r="Q41" s="214"/>
      <c r="R41" s="337">
        <v>140</v>
      </c>
      <c r="S41" s="337"/>
      <c r="T41" s="337">
        <v>140</v>
      </c>
      <c r="U41" s="337">
        <f t="shared" si="4"/>
        <v>140</v>
      </c>
      <c r="V41" s="337">
        <f>R41</f>
        <v>140</v>
      </c>
      <c r="W41" s="337">
        <f t="shared" ref="W41:AK41" si="22">V41</f>
        <v>140</v>
      </c>
      <c r="X41" s="337">
        <f t="shared" si="22"/>
        <v>140</v>
      </c>
      <c r="Y41" s="337">
        <f t="shared" si="22"/>
        <v>140</v>
      </c>
      <c r="Z41" s="337">
        <f t="shared" si="22"/>
        <v>140</v>
      </c>
      <c r="AA41" s="337">
        <f t="shared" si="22"/>
        <v>140</v>
      </c>
      <c r="AB41" s="337">
        <f t="shared" si="22"/>
        <v>140</v>
      </c>
      <c r="AC41" s="337">
        <f t="shared" si="22"/>
        <v>140</v>
      </c>
      <c r="AD41" s="337">
        <f t="shared" si="22"/>
        <v>140</v>
      </c>
      <c r="AE41" s="337">
        <f t="shared" si="22"/>
        <v>140</v>
      </c>
      <c r="AF41" s="337">
        <f t="shared" si="22"/>
        <v>140</v>
      </c>
      <c r="AG41" s="337">
        <f t="shared" si="22"/>
        <v>140</v>
      </c>
      <c r="AH41" s="337">
        <f t="shared" si="22"/>
        <v>140</v>
      </c>
      <c r="AI41" s="337">
        <f t="shared" si="22"/>
        <v>140</v>
      </c>
      <c r="AJ41" s="337">
        <f t="shared" si="22"/>
        <v>140</v>
      </c>
      <c r="AK41" s="337">
        <f t="shared" si="22"/>
        <v>140</v>
      </c>
      <c r="AL41" s="337">
        <f t="shared" si="21"/>
        <v>140</v>
      </c>
      <c r="AM41" s="337">
        <f t="shared" si="21"/>
        <v>140</v>
      </c>
      <c r="AN41" s="337">
        <f t="shared" si="21"/>
        <v>140</v>
      </c>
      <c r="AO41" s="337">
        <f t="shared" si="21"/>
        <v>140</v>
      </c>
      <c r="AP41" s="337">
        <f t="shared" si="21"/>
        <v>140</v>
      </c>
      <c r="AQ41" s="337">
        <f t="shared" si="21"/>
        <v>140</v>
      </c>
      <c r="AR41" s="337">
        <f t="shared" si="21"/>
        <v>140</v>
      </c>
      <c r="AS41" s="337">
        <f t="shared" si="21"/>
        <v>140</v>
      </c>
      <c r="AT41" s="337">
        <f t="shared" si="21"/>
        <v>140</v>
      </c>
      <c r="AU41" s="337">
        <f t="shared" si="21"/>
        <v>140</v>
      </c>
      <c r="AV41" s="873"/>
      <c r="AW41" s="873"/>
      <c r="AX41" s="873"/>
      <c r="AY41" s="873"/>
      <c r="AZ41" s="179"/>
      <c r="BA41" s="179"/>
      <c r="BB41" s="179"/>
      <c r="BC41" s="179"/>
      <c r="BD41" s="179"/>
      <c r="BE41" s="179"/>
      <c r="BF41" s="179"/>
    </row>
    <row r="42" spans="1:58" s="215" customFormat="1" ht="15.75" customHeight="1" outlineLevel="1">
      <c r="C42" s="1211" t="s">
        <v>911</v>
      </c>
      <c r="E42" s="185"/>
      <c r="F42" s="185"/>
      <c r="G42" s="185"/>
      <c r="H42" s="205"/>
      <c r="I42" s="205"/>
      <c r="J42" s="205"/>
      <c r="K42" s="205"/>
      <c r="L42" s="205"/>
      <c r="M42" s="379"/>
      <c r="P42" s="214"/>
      <c r="Q42" s="214"/>
      <c r="R42" s="337">
        <v>83.4</v>
      </c>
      <c r="S42" s="337"/>
      <c r="T42" s="337">
        <v>83.4</v>
      </c>
      <c r="U42" s="337">
        <f t="shared" si="4"/>
        <v>83.4</v>
      </c>
      <c r="V42" s="337">
        <f>R42</f>
        <v>83.4</v>
      </c>
      <c r="W42" s="337">
        <f t="shared" si="21"/>
        <v>83.4</v>
      </c>
      <c r="X42" s="337">
        <f t="shared" si="21"/>
        <v>83.4</v>
      </c>
      <c r="Y42" s="337">
        <f t="shared" si="21"/>
        <v>83.4</v>
      </c>
      <c r="Z42" s="337">
        <f t="shared" si="21"/>
        <v>83.4</v>
      </c>
      <c r="AA42" s="337">
        <f t="shared" si="21"/>
        <v>83.4</v>
      </c>
      <c r="AB42" s="337">
        <f t="shared" si="21"/>
        <v>83.4</v>
      </c>
      <c r="AC42" s="337">
        <f t="shared" si="21"/>
        <v>83.4</v>
      </c>
      <c r="AD42" s="337">
        <f t="shared" si="21"/>
        <v>83.4</v>
      </c>
      <c r="AE42" s="337">
        <f t="shared" si="21"/>
        <v>83.4</v>
      </c>
      <c r="AF42" s="337">
        <f t="shared" si="21"/>
        <v>83.4</v>
      </c>
      <c r="AG42" s="337">
        <f t="shared" si="21"/>
        <v>83.4</v>
      </c>
      <c r="AH42" s="337">
        <f t="shared" si="21"/>
        <v>83.4</v>
      </c>
      <c r="AI42" s="337">
        <f t="shared" si="21"/>
        <v>83.4</v>
      </c>
      <c r="AJ42" s="337">
        <f t="shared" si="21"/>
        <v>83.4</v>
      </c>
      <c r="AK42" s="337">
        <f t="shared" si="21"/>
        <v>83.4</v>
      </c>
      <c r="AL42" s="337">
        <f t="shared" si="21"/>
        <v>83.4</v>
      </c>
      <c r="AM42" s="337">
        <f t="shared" si="21"/>
        <v>83.4</v>
      </c>
      <c r="AN42" s="337">
        <f t="shared" si="21"/>
        <v>83.4</v>
      </c>
      <c r="AO42" s="337">
        <f t="shared" si="21"/>
        <v>83.4</v>
      </c>
      <c r="AP42" s="337">
        <f t="shared" si="21"/>
        <v>83.4</v>
      </c>
      <c r="AQ42" s="337">
        <f t="shared" si="21"/>
        <v>83.4</v>
      </c>
      <c r="AR42" s="337">
        <f t="shared" si="21"/>
        <v>83.4</v>
      </c>
      <c r="AS42" s="337">
        <f t="shared" si="21"/>
        <v>83.4</v>
      </c>
      <c r="AT42" s="337">
        <f t="shared" si="21"/>
        <v>83.4</v>
      </c>
      <c r="AU42" s="337">
        <f t="shared" si="21"/>
        <v>83.4</v>
      </c>
      <c r="AV42" s="873"/>
      <c r="AW42" s="873"/>
      <c r="AX42" s="873"/>
      <c r="AY42" s="873"/>
      <c r="AZ42" s="179"/>
      <c r="BA42" s="179"/>
      <c r="BB42" s="179"/>
      <c r="BC42" s="179"/>
      <c r="BD42" s="179"/>
      <c r="BE42" s="179"/>
      <c r="BF42" s="179"/>
    </row>
    <row r="43" spans="1:58" s="215" customFormat="1" ht="15.75" customHeight="1">
      <c r="A43" s="214"/>
      <c r="C43" s="1212"/>
      <c r="D43" s="185"/>
      <c r="E43" s="185"/>
      <c r="F43" s="185"/>
      <c r="G43" s="185"/>
      <c r="H43" s="205"/>
      <c r="I43" s="205"/>
      <c r="J43" s="205"/>
      <c r="K43" s="205"/>
      <c r="L43" s="205"/>
      <c r="M43" s="379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214"/>
      <c r="AZ43" s="179"/>
      <c r="BA43" s="179"/>
      <c r="BB43" s="179"/>
      <c r="BC43" s="179"/>
      <c r="BD43" s="179"/>
      <c r="BE43" s="179"/>
      <c r="BF43" s="179"/>
    </row>
    <row r="44" spans="1:58" s="168" customFormat="1" ht="27">
      <c r="A44" s="169"/>
      <c r="B44" s="215"/>
      <c r="C44" s="297" t="s">
        <v>913</v>
      </c>
      <c r="D44" s="169"/>
      <c r="E44" s="169"/>
      <c r="F44" s="169"/>
      <c r="G44" s="169"/>
      <c r="H44" s="169"/>
      <c r="I44" s="169"/>
      <c r="J44" s="169"/>
      <c r="K44" s="169"/>
      <c r="L44" s="169"/>
      <c r="M44" s="185"/>
      <c r="N44" s="577"/>
      <c r="O44" s="577"/>
      <c r="P44" s="577"/>
      <c r="Q44" s="577"/>
      <c r="R44" s="577"/>
      <c r="S44" s="577"/>
      <c r="T44" s="577"/>
      <c r="U44" s="577"/>
      <c r="V44" s="577"/>
      <c r="W44" s="577"/>
      <c r="X44" s="577"/>
      <c r="Y44" s="577"/>
      <c r="Z44" s="577"/>
      <c r="AA44" s="577"/>
      <c r="AB44" s="577"/>
      <c r="AC44" s="577"/>
      <c r="AD44" s="577"/>
      <c r="AE44" s="577"/>
      <c r="AF44" s="577"/>
      <c r="AG44" s="577"/>
      <c r="AH44" s="577"/>
      <c r="AI44" s="577"/>
      <c r="AJ44" s="577"/>
      <c r="AK44" s="577"/>
      <c r="AL44" s="577"/>
      <c r="AM44" s="577"/>
      <c r="AN44" s="577"/>
      <c r="AO44" s="577"/>
      <c r="AP44" s="577"/>
      <c r="AQ44" s="577"/>
      <c r="AR44" s="577"/>
      <c r="AS44" s="577"/>
      <c r="AT44" s="577"/>
      <c r="AU44" s="577"/>
      <c r="AV44" s="577"/>
      <c r="AW44" s="577"/>
      <c r="AX44" s="577"/>
      <c r="AY44" s="577"/>
      <c r="AZ44" s="179"/>
      <c r="BA44" s="179"/>
      <c r="BB44" s="179"/>
      <c r="BC44" s="179"/>
      <c r="BD44" s="179"/>
      <c r="BE44" s="179"/>
      <c r="BF44" s="179"/>
    </row>
    <row r="45" spans="1:58" s="168" customFormat="1" ht="15.75" customHeight="1">
      <c r="A45" s="169"/>
      <c r="B45" s="215"/>
      <c r="C45" s="299"/>
      <c r="D45" s="170"/>
      <c r="E45" s="170"/>
      <c r="F45" s="170"/>
      <c r="G45" s="170"/>
      <c r="H45" s="170"/>
      <c r="I45" s="170"/>
      <c r="J45" s="170"/>
      <c r="K45" s="170"/>
      <c r="L45" s="170"/>
      <c r="M45" s="170"/>
      <c r="N45" s="170"/>
      <c r="O45" s="170"/>
      <c r="P45" s="170"/>
      <c r="Q45" s="170"/>
      <c r="R45" s="170"/>
      <c r="S45" s="170"/>
      <c r="T45" s="170"/>
      <c r="U45" s="170"/>
      <c r="V45" s="170"/>
      <c r="W45" s="170"/>
      <c r="X45" s="170"/>
      <c r="Y45" s="170"/>
      <c r="Z45" s="170"/>
      <c r="AA45" s="170"/>
      <c r="AB45" s="170"/>
      <c r="AC45" s="170"/>
      <c r="AD45" s="170"/>
      <c r="AE45" s="170"/>
      <c r="AF45" s="170"/>
      <c r="AG45" s="170"/>
      <c r="AH45" s="170"/>
      <c r="AI45" s="170"/>
      <c r="AJ45" s="170"/>
      <c r="AK45" s="170"/>
      <c r="AL45" s="170"/>
      <c r="AM45" s="170"/>
      <c r="AN45" s="170"/>
      <c r="AO45" s="170"/>
      <c r="AP45" s="170"/>
      <c r="AQ45" s="170"/>
      <c r="AR45" s="170"/>
      <c r="AS45" s="170"/>
      <c r="AT45" s="170"/>
      <c r="AU45" s="170"/>
      <c r="AV45" s="170"/>
      <c r="AW45" s="170"/>
      <c r="AX45" s="170"/>
      <c r="AY45" s="170"/>
      <c r="AZ45" s="179"/>
      <c r="BA45" s="179"/>
      <c r="BB45" s="179"/>
      <c r="BC45" s="179"/>
      <c r="BD45" s="179"/>
      <c r="BE45" s="179"/>
      <c r="BF45" s="179"/>
    </row>
    <row r="46" spans="1:58" s="168" customFormat="1" ht="15.75" hidden="1" customHeight="1" outlineLevel="1">
      <c r="A46" s="169"/>
      <c r="B46" s="215"/>
      <c r="C46" s="295"/>
      <c r="D46" s="169"/>
      <c r="E46" s="169"/>
      <c r="F46" s="169"/>
      <c r="G46" s="169"/>
      <c r="H46" s="171"/>
      <c r="I46" s="171"/>
      <c r="J46" s="171"/>
      <c r="K46" s="171"/>
      <c r="L46" s="171"/>
      <c r="M46" s="171"/>
      <c r="N46" s="59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  <c r="AA46" s="171"/>
      <c r="AB46" s="171"/>
      <c r="AC46" s="171"/>
      <c r="AD46" s="171"/>
      <c r="AE46" s="171"/>
      <c r="AF46" s="171"/>
      <c r="AG46" s="171"/>
      <c r="AH46" s="171"/>
      <c r="AI46" s="171"/>
      <c r="AJ46" s="171"/>
      <c r="AK46" s="171"/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171"/>
      <c r="AY46" s="171"/>
      <c r="AZ46" s="179"/>
      <c r="BA46" s="179"/>
      <c r="BB46" s="179"/>
      <c r="BC46" s="179"/>
      <c r="BD46" s="179"/>
      <c r="BE46" s="179"/>
      <c r="BF46" s="179"/>
    </row>
    <row r="47" spans="1:58" s="168" customFormat="1" ht="15.75" hidden="1" customHeight="1" outlineLevel="1">
      <c r="A47" s="169"/>
      <c r="B47" s="215"/>
      <c r="C47" s="302" t="s">
        <v>913</v>
      </c>
      <c r="D47" s="303"/>
      <c r="E47" s="303"/>
      <c r="F47" s="303"/>
      <c r="G47" s="303"/>
      <c r="H47" s="172"/>
      <c r="I47" s="172"/>
      <c r="J47" s="172"/>
      <c r="K47" s="172"/>
      <c r="L47" s="173"/>
      <c r="M47" s="173"/>
      <c r="N47" s="173"/>
      <c r="O47" s="173"/>
      <c r="P47" s="173"/>
      <c r="Q47" s="173"/>
      <c r="R47" s="173"/>
      <c r="S47" s="173"/>
      <c r="T47" s="173"/>
      <c r="U47" s="173"/>
      <c r="V47" s="173"/>
      <c r="W47" s="173"/>
      <c r="X47" s="173"/>
      <c r="Y47" s="173"/>
      <c r="Z47" s="173"/>
      <c r="AA47" s="173"/>
      <c r="AB47" s="173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9"/>
      <c r="BA47" s="179"/>
      <c r="BB47" s="179"/>
      <c r="BC47" s="179"/>
      <c r="BD47" s="179"/>
      <c r="BE47" s="179"/>
      <c r="BF47" s="179"/>
    </row>
    <row r="48" spans="1:58" s="168" customFormat="1" ht="15.75" hidden="1" customHeight="1" outlineLevel="1">
      <c r="A48" s="169"/>
      <c r="B48" s="215"/>
      <c r="C48" s="603"/>
      <c r="D48" s="233"/>
      <c r="E48" s="233"/>
      <c r="F48" s="233"/>
      <c r="G48" s="603"/>
      <c r="H48" s="603"/>
      <c r="I48" s="174"/>
      <c r="J48" s="174"/>
      <c r="K48" s="174"/>
      <c r="L48" s="174"/>
      <c r="M48" s="1300"/>
      <c r="N48" s="1300"/>
      <c r="O48" s="175">
        <v>-3</v>
      </c>
      <c r="P48" s="175">
        <f>O48+1</f>
        <v>-2</v>
      </c>
      <c r="Q48" s="175">
        <f>P48+1</f>
        <v>-1</v>
      </c>
      <c r="R48" s="175">
        <f>Q48+2</f>
        <v>1</v>
      </c>
      <c r="S48" s="175">
        <f>$S$8</f>
        <v>0</v>
      </c>
      <c r="T48" s="175">
        <f>$T$8</f>
        <v>0</v>
      </c>
      <c r="U48" s="175" t="str">
        <f>$U$7</f>
        <v>Revised</v>
      </c>
      <c r="V48" s="175">
        <f>R48+1</f>
        <v>2</v>
      </c>
      <c r="W48" s="175">
        <f t="shared" ref="W48:AU49" si="23">V48+1</f>
        <v>3</v>
      </c>
      <c r="X48" s="175">
        <f t="shared" si="23"/>
        <v>4</v>
      </c>
      <c r="Y48" s="175">
        <f t="shared" si="23"/>
        <v>5</v>
      </c>
      <c r="Z48" s="175">
        <f t="shared" si="23"/>
        <v>6</v>
      </c>
      <c r="AA48" s="175">
        <f t="shared" si="23"/>
        <v>7</v>
      </c>
      <c r="AB48" s="175">
        <f t="shared" si="23"/>
        <v>8</v>
      </c>
      <c r="AC48" s="175">
        <f t="shared" si="23"/>
        <v>9</v>
      </c>
      <c r="AD48" s="175">
        <f t="shared" si="23"/>
        <v>10</v>
      </c>
      <c r="AE48" s="175">
        <f t="shared" si="23"/>
        <v>11</v>
      </c>
      <c r="AF48" s="175">
        <f t="shared" si="23"/>
        <v>12</v>
      </c>
      <c r="AG48" s="175">
        <f t="shared" si="23"/>
        <v>13</v>
      </c>
      <c r="AH48" s="175">
        <f t="shared" si="23"/>
        <v>14</v>
      </c>
      <c r="AI48" s="175">
        <f t="shared" si="23"/>
        <v>15</v>
      </c>
      <c r="AJ48" s="175">
        <f t="shared" si="23"/>
        <v>16</v>
      </c>
      <c r="AK48" s="175">
        <f t="shared" si="23"/>
        <v>17</v>
      </c>
      <c r="AL48" s="175">
        <f t="shared" si="23"/>
        <v>18</v>
      </c>
      <c r="AM48" s="175">
        <f t="shared" si="23"/>
        <v>19</v>
      </c>
      <c r="AN48" s="175">
        <f t="shared" si="23"/>
        <v>20</v>
      </c>
      <c r="AO48" s="175">
        <f t="shared" si="23"/>
        <v>21</v>
      </c>
      <c r="AP48" s="175">
        <f t="shared" si="23"/>
        <v>22</v>
      </c>
      <c r="AQ48" s="175">
        <f t="shared" si="23"/>
        <v>23</v>
      </c>
      <c r="AR48" s="175">
        <f t="shared" si="23"/>
        <v>24</v>
      </c>
      <c r="AS48" s="175">
        <f t="shared" si="23"/>
        <v>25</v>
      </c>
      <c r="AT48" s="175">
        <f t="shared" si="23"/>
        <v>26</v>
      </c>
      <c r="AU48" s="175">
        <f t="shared" si="23"/>
        <v>27</v>
      </c>
      <c r="AV48" s="175"/>
      <c r="AW48" s="175"/>
      <c r="AX48" s="175"/>
      <c r="AY48" s="175"/>
      <c r="AZ48" s="179"/>
      <c r="BA48" s="179"/>
      <c r="BB48" s="179"/>
      <c r="BC48" s="179"/>
      <c r="BD48" s="179"/>
      <c r="BE48" s="179"/>
      <c r="BF48" s="179"/>
    </row>
    <row r="49" spans="1:58" s="168" customFormat="1" ht="15.75" hidden="1" customHeight="1" outlineLevel="1">
      <c r="A49" s="169"/>
      <c r="B49" s="215"/>
      <c r="C49" s="604"/>
      <c r="D49" s="234"/>
      <c r="E49" s="234"/>
      <c r="F49" s="234"/>
      <c r="G49" s="604"/>
      <c r="H49" s="604"/>
      <c r="I49" s="176"/>
      <c r="J49" s="176"/>
      <c r="K49" s="176"/>
      <c r="L49" s="176"/>
      <c r="M49" s="758"/>
      <c r="N49" s="758"/>
      <c r="O49" s="758"/>
      <c r="P49" s="758"/>
      <c r="Q49" s="758">
        <f>Q8</f>
        <v>0</v>
      </c>
      <c r="R49" s="758">
        <f>Q49+1</f>
        <v>1</v>
      </c>
      <c r="S49" s="758"/>
      <c r="T49" s="758"/>
      <c r="U49" s="758">
        <f>$U$8</f>
        <v>0</v>
      </c>
      <c r="V49" s="758">
        <f>R49+1</f>
        <v>2</v>
      </c>
      <c r="W49" s="758">
        <f t="shared" si="23"/>
        <v>3</v>
      </c>
      <c r="X49" s="758">
        <f t="shared" si="23"/>
        <v>4</v>
      </c>
      <c r="Y49" s="758">
        <f t="shared" si="23"/>
        <v>5</v>
      </c>
      <c r="Z49" s="758">
        <f t="shared" si="23"/>
        <v>6</v>
      </c>
      <c r="AA49" s="758">
        <f t="shared" si="23"/>
        <v>7</v>
      </c>
      <c r="AB49" s="758">
        <f t="shared" si="23"/>
        <v>8</v>
      </c>
      <c r="AC49" s="758">
        <f t="shared" si="23"/>
        <v>9</v>
      </c>
      <c r="AD49" s="758">
        <f t="shared" si="23"/>
        <v>10</v>
      </c>
      <c r="AE49" s="758">
        <f t="shared" si="23"/>
        <v>11</v>
      </c>
      <c r="AF49" s="758">
        <f t="shared" si="23"/>
        <v>12</v>
      </c>
      <c r="AG49" s="758">
        <f t="shared" si="23"/>
        <v>13</v>
      </c>
      <c r="AH49" s="758">
        <f t="shared" si="23"/>
        <v>14</v>
      </c>
      <c r="AI49" s="758">
        <f t="shared" si="23"/>
        <v>15</v>
      </c>
      <c r="AJ49" s="758">
        <f t="shared" si="23"/>
        <v>16</v>
      </c>
      <c r="AK49" s="758">
        <f t="shared" si="23"/>
        <v>17</v>
      </c>
      <c r="AL49" s="758">
        <f t="shared" si="23"/>
        <v>18</v>
      </c>
      <c r="AM49" s="758">
        <f t="shared" si="23"/>
        <v>19</v>
      </c>
      <c r="AN49" s="758">
        <f t="shared" si="23"/>
        <v>20</v>
      </c>
      <c r="AO49" s="758">
        <f t="shared" si="23"/>
        <v>21</v>
      </c>
      <c r="AP49" s="758">
        <f t="shared" si="23"/>
        <v>22</v>
      </c>
      <c r="AQ49" s="758">
        <f t="shared" si="23"/>
        <v>23</v>
      </c>
      <c r="AR49" s="758">
        <f t="shared" si="23"/>
        <v>24</v>
      </c>
      <c r="AS49" s="758">
        <f t="shared" si="23"/>
        <v>25</v>
      </c>
      <c r="AT49" s="758">
        <f t="shared" si="23"/>
        <v>26</v>
      </c>
      <c r="AU49" s="758">
        <f t="shared" si="23"/>
        <v>27</v>
      </c>
      <c r="AV49" s="758"/>
      <c r="AW49" s="758"/>
      <c r="AX49" s="758"/>
      <c r="AY49" s="758"/>
      <c r="AZ49" s="179"/>
      <c r="BA49" s="179"/>
      <c r="BB49" s="179"/>
      <c r="BC49" s="179"/>
      <c r="BD49" s="179"/>
      <c r="BE49" s="179"/>
      <c r="BF49" s="179"/>
    </row>
    <row r="50" spans="1:58" s="168" customFormat="1" ht="15.75" hidden="1" customHeight="1" outlineLevel="1">
      <c r="A50" s="169"/>
      <c r="B50" s="215"/>
      <c r="C50" s="177"/>
      <c r="D50" s="260"/>
      <c r="E50" s="235"/>
      <c r="F50" s="235"/>
      <c r="G50" s="177"/>
      <c r="H50" s="177"/>
      <c r="I50" s="178"/>
      <c r="J50" s="178"/>
      <c r="K50" s="178"/>
      <c r="L50" s="178"/>
      <c r="M50" s="178" t="s">
        <v>499</v>
      </c>
      <c r="N50" s="178" t="s">
        <v>499</v>
      </c>
      <c r="O50" s="178" t="s">
        <v>499</v>
      </c>
      <c r="P50" s="178" t="str">
        <f t="shared" ref="P50:AU50" si="24">O50</f>
        <v>($)</v>
      </c>
      <c r="Q50" s="178" t="str">
        <f t="shared" si="24"/>
        <v>($)</v>
      </c>
      <c r="R50" s="178" t="str">
        <f t="shared" si="24"/>
        <v>($)</v>
      </c>
      <c r="S50" s="178" t="str">
        <f t="shared" si="24"/>
        <v>($)</v>
      </c>
      <c r="T50" s="178" t="str">
        <f t="shared" si="24"/>
        <v>($)</v>
      </c>
      <c r="U50" s="178" t="str">
        <f t="shared" si="24"/>
        <v>($)</v>
      </c>
      <c r="V50" s="178" t="str">
        <f>R50</f>
        <v>($)</v>
      </c>
      <c r="W50" s="178" t="str">
        <f t="shared" si="24"/>
        <v>($)</v>
      </c>
      <c r="X50" s="178" t="str">
        <f t="shared" si="24"/>
        <v>($)</v>
      </c>
      <c r="Y50" s="178" t="str">
        <f t="shared" si="24"/>
        <v>($)</v>
      </c>
      <c r="Z50" s="178" t="str">
        <f t="shared" si="24"/>
        <v>($)</v>
      </c>
      <c r="AA50" s="178" t="str">
        <f t="shared" si="24"/>
        <v>($)</v>
      </c>
      <c r="AB50" s="178" t="str">
        <f t="shared" si="24"/>
        <v>($)</v>
      </c>
      <c r="AC50" s="178" t="str">
        <f t="shared" si="24"/>
        <v>($)</v>
      </c>
      <c r="AD50" s="178" t="str">
        <f t="shared" si="24"/>
        <v>($)</v>
      </c>
      <c r="AE50" s="178" t="str">
        <f t="shared" si="24"/>
        <v>($)</v>
      </c>
      <c r="AF50" s="178" t="str">
        <f t="shared" si="24"/>
        <v>($)</v>
      </c>
      <c r="AG50" s="178" t="str">
        <f t="shared" si="24"/>
        <v>($)</v>
      </c>
      <c r="AH50" s="178" t="str">
        <f t="shared" si="24"/>
        <v>($)</v>
      </c>
      <c r="AI50" s="178" t="str">
        <f t="shared" si="24"/>
        <v>($)</v>
      </c>
      <c r="AJ50" s="178" t="str">
        <f t="shared" si="24"/>
        <v>($)</v>
      </c>
      <c r="AK50" s="178" t="str">
        <f t="shared" si="24"/>
        <v>($)</v>
      </c>
      <c r="AL50" s="178" t="str">
        <f t="shared" si="24"/>
        <v>($)</v>
      </c>
      <c r="AM50" s="178" t="str">
        <f t="shared" si="24"/>
        <v>($)</v>
      </c>
      <c r="AN50" s="178" t="str">
        <f t="shared" si="24"/>
        <v>($)</v>
      </c>
      <c r="AO50" s="178" t="str">
        <f t="shared" si="24"/>
        <v>($)</v>
      </c>
      <c r="AP50" s="178" t="str">
        <f t="shared" si="24"/>
        <v>($)</v>
      </c>
      <c r="AQ50" s="178" t="str">
        <f t="shared" si="24"/>
        <v>($)</v>
      </c>
      <c r="AR50" s="178" t="str">
        <f t="shared" si="24"/>
        <v>($)</v>
      </c>
      <c r="AS50" s="178" t="str">
        <f t="shared" si="24"/>
        <v>($)</v>
      </c>
      <c r="AT50" s="178" t="str">
        <f t="shared" si="24"/>
        <v>($)</v>
      </c>
      <c r="AU50" s="178" t="str">
        <f t="shared" si="24"/>
        <v>($)</v>
      </c>
      <c r="AV50" s="178"/>
      <c r="AW50" s="178"/>
      <c r="AX50" s="178"/>
      <c r="AY50" s="178"/>
      <c r="AZ50" s="179"/>
      <c r="BA50" s="179"/>
      <c r="BB50" s="179"/>
      <c r="BC50" s="179"/>
      <c r="BD50" s="179"/>
      <c r="BE50" s="179"/>
      <c r="BF50" s="179"/>
    </row>
    <row r="51" spans="1:58" s="215" customFormat="1" ht="15.75" hidden="1" customHeight="1" outlineLevel="1">
      <c r="A51" s="214"/>
      <c r="D51" s="242"/>
      <c r="E51" s="249"/>
      <c r="F51" s="249"/>
      <c r="G51" s="186"/>
      <c r="H51" s="186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>
        <f t="shared" si="4"/>
        <v>0</v>
      </c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214"/>
      <c r="BA51" s="214"/>
      <c r="BB51" s="214"/>
      <c r="BC51" s="214"/>
      <c r="BD51" s="214"/>
      <c r="BE51" s="214"/>
      <c r="BF51" s="214"/>
    </row>
    <row r="52" spans="1:58" s="215" customFormat="1" ht="15.75" hidden="1" customHeight="1" outlineLevel="1">
      <c r="A52" s="214"/>
      <c r="C52" s="1208" t="s">
        <v>1887</v>
      </c>
      <c r="D52" s="242"/>
      <c r="E52" s="249"/>
      <c r="F52" s="249"/>
      <c r="G52" s="186"/>
      <c r="H52" s="186"/>
      <c r="I52" s="187"/>
      <c r="J52" s="187"/>
      <c r="K52" s="187"/>
      <c r="L52" s="187"/>
      <c r="M52" s="1191"/>
      <c r="N52" s="1191"/>
      <c r="O52" s="1191"/>
      <c r="P52" s="1191"/>
      <c r="Q52" s="1191"/>
      <c r="R52" s="1251">
        <f>SUM(R53:R55)</f>
        <v>2.46</v>
      </c>
      <c r="S52" s="1251"/>
      <c r="T52" s="1251">
        <f>SUM(T53:T55)</f>
        <v>2.46</v>
      </c>
      <c r="U52" s="1251">
        <f t="shared" si="4"/>
        <v>2.46</v>
      </c>
      <c r="V52" s="1251">
        <f>SUM(V53:V55)</f>
        <v>2.46</v>
      </c>
      <c r="W52" s="1251">
        <f t="shared" ref="W52:AU52" si="25">SUM(W53:W55)</f>
        <v>2.46</v>
      </c>
      <c r="X52" s="1251">
        <f t="shared" si="25"/>
        <v>2.46</v>
      </c>
      <c r="Y52" s="1251">
        <f t="shared" si="25"/>
        <v>2.46</v>
      </c>
      <c r="Z52" s="1251">
        <f t="shared" si="25"/>
        <v>2.46</v>
      </c>
      <c r="AA52" s="1251">
        <f t="shared" si="25"/>
        <v>2.46</v>
      </c>
      <c r="AB52" s="1251">
        <f t="shared" si="25"/>
        <v>2.46</v>
      </c>
      <c r="AC52" s="1251">
        <f t="shared" si="25"/>
        <v>2.46</v>
      </c>
      <c r="AD52" s="1251">
        <f t="shared" si="25"/>
        <v>2.46</v>
      </c>
      <c r="AE52" s="1251">
        <f t="shared" si="25"/>
        <v>2.46</v>
      </c>
      <c r="AF52" s="1251">
        <f t="shared" si="25"/>
        <v>2.46</v>
      </c>
      <c r="AG52" s="1251">
        <f t="shared" si="25"/>
        <v>2.46</v>
      </c>
      <c r="AH52" s="1251">
        <f t="shared" si="25"/>
        <v>2.46</v>
      </c>
      <c r="AI52" s="1251">
        <f t="shared" si="25"/>
        <v>2.46</v>
      </c>
      <c r="AJ52" s="1251">
        <f t="shared" si="25"/>
        <v>2.46</v>
      </c>
      <c r="AK52" s="1251">
        <f t="shared" si="25"/>
        <v>2.46</v>
      </c>
      <c r="AL52" s="1251">
        <f t="shared" si="25"/>
        <v>2.46</v>
      </c>
      <c r="AM52" s="1251">
        <f t="shared" si="25"/>
        <v>2.46</v>
      </c>
      <c r="AN52" s="1251">
        <f t="shared" si="25"/>
        <v>2.46</v>
      </c>
      <c r="AO52" s="1251">
        <f t="shared" si="25"/>
        <v>2.46</v>
      </c>
      <c r="AP52" s="1251">
        <f t="shared" si="25"/>
        <v>2.46</v>
      </c>
      <c r="AQ52" s="1251">
        <f t="shared" si="25"/>
        <v>2.46</v>
      </c>
      <c r="AR52" s="1251">
        <f t="shared" si="25"/>
        <v>2.46</v>
      </c>
      <c r="AS52" s="1251">
        <f t="shared" si="25"/>
        <v>2.46</v>
      </c>
      <c r="AT52" s="1251">
        <f t="shared" si="25"/>
        <v>2.46</v>
      </c>
      <c r="AU52" s="1251">
        <f t="shared" si="25"/>
        <v>2.46</v>
      </c>
      <c r="AV52" s="1191"/>
      <c r="AW52" s="187"/>
      <c r="AX52" s="187"/>
      <c r="AY52" s="187"/>
      <c r="AZ52" s="214"/>
      <c r="BA52" s="214"/>
      <c r="BB52" s="214"/>
      <c r="BC52" s="214"/>
      <c r="BD52" s="214"/>
      <c r="BE52" s="214"/>
      <c r="BF52" s="214"/>
    </row>
    <row r="53" spans="1:58" s="215" customFormat="1" ht="15.75" hidden="1" customHeight="1" outlineLevel="1">
      <c r="A53" s="214"/>
      <c r="C53" s="1211" t="s">
        <v>914</v>
      </c>
      <c r="D53" s="242"/>
      <c r="E53" s="249"/>
      <c r="F53" s="249"/>
      <c r="G53" s="186"/>
      <c r="H53" s="186"/>
      <c r="I53" s="187"/>
      <c r="J53" s="187"/>
      <c r="K53" s="187"/>
      <c r="L53" s="187"/>
      <c r="M53" s="1191"/>
      <c r="N53" s="1191"/>
      <c r="O53" s="1191"/>
      <c r="P53" s="1191"/>
      <c r="Q53" s="1191"/>
      <c r="R53" s="337">
        <v>0.55000000000000004</v>
      </c>
      <c r="S53" s="337"/>
      <c r="T53" s="337">
        <v>0.55000000000000004</v>
      </c>
      <c r="U53" s="337">
        <f t="shared" si="4"/>
        <v>0.55000000000000004</v>
      </c>
      <c r="V53" s="337">
        <f>R53</f>
        <v>0.55000000000000004</v>
      </c>
      <c r="W53" s="337">
        <f t="shared" ref="W53:AU60" si="26">V53</f>
        <v>0.55000000000000004</v>
      </c>
      <c r="X53" s="337">
        <f t="shared" si="26"/>
        <v>0.55000000000000004</v>
      </c>
      <c r="Y53" s="337">
        <f t="shared" si="26"/>
        <v>0.55000000000000004</v>
      </c>
      <c r="Z53" s="337">
        <f t="shared" si="26"/>
        <v>0.55000000000000004</v>
      </c>
      <c r="AA53" s="337">
        <f t="shared" si="26"/>
        <v>0.55000000000000004</v>
      </c>
      <c r="AB53" s="337">
        <f t="shared" si="26"/>
        <v>0.55000000000000004</v>
      </c>
      <c r="AC53" s="337">
        <f t="shared" si="26"/>
        <v>0.55000000000000004</v>
      </c>
      <c r="AD53" s="337">
        <f t="shared" si="26"/>
        <v>0.55000000000000004</v>
      </c>
      <c r="AE53" s="337">
        <f t="shared" si="26"/>
        <v>0.55000000000000004</v>
      </c>
      <c r="AF53" s="337">
        <f t="shared" si="26"/>
        <v>0.55000000000000004</v>
      </c>
      <c r="AG53" s="337">
        <f t="shared" si="26"/>
        <v>0.55000000000000004</v>
      </c>
      <c r="AH53" s="337">
        <f t="shared" si="26"/>
        <v>0.55000000000000004</v>
      </c>
      <c r="AI53" s="337">
        <f t="shared" si="26"/>
        <v>0.55000000000000004</v>
      </c>
      <c r="AJ53" s="337">
        <f t="shared" si="26"/>
        <v>0.55000000000000004</v>
      </c>
      <c r="AK53" s="337">
        <f t="shared" si="26"/>
        <v>0.55000000000000004</v>
      </c>
      <c r="AL53" s="337">
        <f t="shared" si="26"/>
        <v>0.55000000000000004</v>
      </c>
      <c r="AM53" s="337">
        <f t="shared" si="26"/>
        <v>0.55000000000000004</v>
      </c>
      <c r="AN53" s="337">
        <f t="shared" si="26"/>
        <v>0.55000000000000004</v>
      </c>
      <c r="AO53" s="337">
        <f t="shared" si="26"/>
        <v>0.55000000000000004</v>
      </c>
      <c r="AP53" s="337">
        <f t="shared" si="26"/>
        <v>0.55000000000000004</v>
      </c>
      <c r="AQ53" s="337">
        <f t="shared" si="26"/>
        <v>0.55000000000000004</v>
      </c>
      <c r="AR53" s="337">
        <f t="shared" si="26"/>
        <v>0.55000000000000004</v>
      </c>
      <c r="AS53" s="337">
        <f t="shared" si="26"/>
        <v>0.55000000000000004</v>
      </c>
      <c r="AT53" s="337">
        <f t="shared" si="26"/>
        <v>0.55000000000000004</v>
      </c>
      <c r="AU53" s="337">
        <f t="shared" si="26"/>
        <v>0.55000000000000004</v>
      </c>
      <c r="AV53" s="1191"/>
      <c r="AW53" s="187"/>
      <c r="AX53" s="187"/>
      <c r="AY53" s="187"/>
      <c r="AZ53" s="214"/>
      <c r="BA53" s="214"/>
      <c r="BB53" s="214"/>
      <c r="BC53" s="214"/>
      <c r="BD53" s="214"/>
      <c r="BE53" s="214"/>
      <c r="BF53" s="214"/>
    </row>
    <row r="54" spans="1:58" s="215" customFormat="1" ht="15.75" hidden="1" customHeight="1" outlineLevel="1">
      <c r="A54" s="214"/>
      <c r="C54" s="1211" t="s">
        <v>915</v>
      </c>
      <c r="D54" s="242"/>
      <c r="E54" s="249"/>
      <c r="F54" s="249"/>
      <c r="G54" s="186"/>
      <c r="H54" s="186"/>
      <c r="I54" s="187"/>
      <c r="J54" s="187"/>
      <c r="K54" s="187"/>
      <c r="L54" s="187"/>
      <c r="M54" s="1191"/>
      <c r="N54" s="1191"/>
      <c r="O54" s="1191"/>
      <c r="P54" s="1191"/>
      <c r="Q54" s="1191"/>
      <c r="R54" s="337">
        <v>0.44</v>
      </c>
      <c r="S54" s="337"/>
      <c r="T54" s="337">
        <v>0.44</v>
      </c>
      <c r="U54" s="337">
        <f t="shared" si="4"/>
        <v>0.44</v>
      </c>
      <c r="V54" s="337">
        <f>R54</f>
        <v>0.44</v>
      </c>
      <c r="W54" s="337">
        <f t="shared" ref="W54:AK54" si="27">V54</f>
        <v>0.44</v>
      </c>
      <c r="X54" s="337">
        <f t="shared" si="27"/>
        <v>0.44</v>
      </c>
      <c r="Y54" s="337">
        <f t="shared" si="27"/>
        <v>0.44</v>
      </c>
      <c r="Z54" s="337">
        <f t="shared" si="27"/>
        <v>0.44</v>
      </c>
      <c r="AA54" s="337">
        <f t="shared" si="27"/>
        <v>0.44</v>
      </c>
      <c r="AB54" s="337">
        <f t="shared" si="27"/>
        <v>0.44</v>
      </c>
      <c r="AC54" s="337">
        <f t="shared" si="27"/>
        <v>0.44</v>
      </c>
      <c r="AD54" s="337">
        <f t="shared" si="27"/>
        <v>0.44</v>
      </c>
      <c r="AE54" s="337">
        <f t="shared" si="27"/>
        <v>0.44</v>
      </c>
      <c r="AF54" s="337">
        <f t="shared" si="27"/>
        <v>0.44</v>
      </c>
      <c r="AG54" s="337">
        <f t="shared" si="27"/>
        <v>0.44</v>
      </c>
      <c r="AH54" s="337">
        <f t="shared" si="27"/>
        <v>0.44</v>
      </c>
      <c r="AI54" s="337">
        <f t="shared" si="27"/>
        <v>0.44</v>
      </c>
      <c r="AJ54" s="337">
        <f t="shared" si="27"/>
        <v>0.44</v>
      </c>
      <c r="AK54" s="337">
        <f t="shared" si="27"/>
        <v>0.44</v>
      </c>
      <c r="AL54" s="337">
        <f t="shared" si="26"/>
        <v>0.44</v>
      </c>
      <c r="AM54" s="337">
        <f t="shared" si="26"/>
        <v>0.44</v>
      </c>
      <c r="AN54" s="337">
        <f t="shared" si="26"/>
        <v>0.44</v>
      </c>
      <c r="AO54" s="337">
        <f t="shared" si="26"/>
        <v>0.44</v>
      </c>
      <c r="AP54" s="337">
        <f t="shared" si="26"/>
        <v>0.44</v>
      </c>
      <c r="AQ54" s="337">
        <f t="shared" si="26"/>
        <v>0.44</v>
      </c>
      <c r="AR54" s="337">
        <f t="shared" si="26"/>
        <v>0.44</v>
      </c>
      <c r="AS54" s="337">
        <f t="shared" si="26"/>
        <v>0.44</v>
      </c>
      <c r="AT54" s="337">
        <f t="shared" si="26"/>
        <v>0.44</v>
      </c>
      <c r="AU54" s="337">
        <f t="shared" si="26"/>
        <v>0.44</v>
      </c>
      <c r="AV54" s="1191"/>
      <c r="AW54" s="187"/>
      <c r="AX54" s="187"/>
      <c r="AY54" s="187"/>
      <c r="AZ54" s="214"/>
      <c r="BA54" s="214"/>
      <c r="BB54" s="214"/>
      <c r="BC54" s="214"/>
      <c r="BD54" s="214"/>
      <c r="BE54" s="214"/>
      <c r="BF54" s="214"/>
    </row>
    <row r="55" spans="1:58" s="215" customFormat="1" ht="15.75" hidden="1" customHeight="1" outlineLevel="1">
      <c r="A55" s="214"/>
      <c r="C55" s="1211" t="s">
        <v>916</v>
      </c>
      <c r="D55" s="242"/>
      <c r="E55" s="249"/>
      <c r="F55" s="249"/>
      <c r="G55" s="186"/>
      <c r="H55" s="186"/>
      <c r="I55" s="187"/>
      <c r="J55" s="187"/>
      <c r="K55" s="187"/>
      <c r="L55" s="187"/>
      <c r="M55" s="1191"/>
      <c r="N55" s="1191"/>
      <c r="O55" s="1191"/>
      <c r="P55" s="1191"/>
      <c r="Q55" s="1191"/>
      <c r="R55" s="337">
        <v>1.47</v>
      </c>
      <c r="S55" s="337"/>
      <c r="T55" s="337">
        <v>1.47</v>
      </c>
      <c r="U55" s="337">
        <f t="shared" si="4"/>
        <v>1.47</v>
      </c>
      <c r="V55" s="337">
        <f>R55</f>
        <v>1.47</v>
      </c>
      <c r="W55" s="337">
        <f t="shared" si="26"/>
        <v>1.47</v>
      </c>
      <c r="X55" s="337">
        <f t="shared" si="26"/>
        <v>1.47</v>
      </c>
      <c r="Y55" s="337">
        <f t="shared" si="26"/>
        <v>1.47</v>
      </c>
      <c r="Z55" s="337">
        <f t="shared" si="26"/>
        <v>1.47</v>
      </c>
      <c r="AA55" s="337">
        <f t="shared" si="26"/>
        <v>1.47</v>
      </c>
      <c r="AB55" s="337">
        <f t="shared" si="26"/>
        <v>1.47</v>
      </c>
      <c r="AC55" s="337">
        <f t="shared" si="26"/>
        <v>1.47</v>
      </c>
      <c r="AD55" s="337">
        <f t="shared" si="26"/>
        <v>1.47</v>
      </c>
      <c r="AE55" s="337">
        <f t="shared" si="26"/>
        <v>1.47</v>
      </c>
      <c r="AF55" s="337">
        <f t="shared" si="26"/>
        <v>1.47</v>
      </c>
      <c r="AG55" s="337">
        <f t="shared" si="26"/>
        <v>1.47</v>
      </c>
      <c r="AH55" s="337">
        <f t="shared" si="26"/>
        <v>1.47</v>
      </c>
      <c r="AI55" s="337">
        <f t="shared" si="26"/>
        <v>1.47</v>
      </c>
      <c r="AJ55" s="337">
        <f t="shared" si="26"/>
        <v>1.47</v>
      </c>
      <c r="AK55" s="337">
        <f t="shared" si="26"/>
        <v>1.47</v>
      </c>
      <c r="AL55" s="337">
        <f t="shared" si="26"/>
        <v>1.47</v>
      </c>
      <c r="AM55" s="337">
        <f t="shared" si="26"/>
        <v>1.47</v>
      </c>
      <c r="AN55" s="337">
        <f t="shared" si="26"/>
        <v>1.47</v>
      </c>
      <c r="AO55" s="337">
        <f t="shared" si="26"/>
        <v>1.47</v>
      </c>
      <c r="AP55" s="337">
        <f t="shared" si="26"/>
        <v>1.47</v>
      </c>
      <c r="AQ55" s="337">
        <f t="shared" si="26"/>
        <v>1.47</v>
      </c>
      <c r="AR55" s="337">
        <f t="shared" si="26"/>
        <v>1.47</v>
      </c>
      <c r="AS55" s="337">
        <f t="shared" si="26"/>
        <v>1.47</v>
      </c>
      <c r="AT55" s="337">
        <f t="shared" si="26"/>
        <v>1.47</v>
      </c>
      <c r="AU55" s="337">
        <f t="shared" si="26"/>
        <v>1.47</v>
      </c>
      <c r="AV55" s="1191"/>
      <c r="AW55" s="187"/>
      <c r="AX55" s="187"/>
      <c r="AY55" s="187"/>
      <c r="AZ55" s="214"/>
      <c r="BA55" s="214"/>
      <c r="BB55" s="214"/>
      <c r="BC55" s="214"/>
      <c r="BD55" s="214"/>
      <c r="BE55" s="214"/>
      <c r="BF55" s="214"/>
    </row>
    <row r="56" spans="1:58" s="215" customFormat="1" ht="15.75" hidden="1" customHeight="1" outlineLevel="1">
      <c r="A56" s="214"/>
      <c r="C56" s="1211"/>
      <c r="D56" s="242"/>
      <c r="E56" s="249"/>
      <c r="F56" s="249"/>
      <c r="G56" s="186"/>
      <c r="H56" s="186"/>
      <c r="I56" s="187"/>
      <c r="J56" s="187"/>
      <c r="K56" s="187"/>
      <c r="L56" s="187"/>
      <c r="M56" s="1191"/>
      <c r="N56" s="1191"/>
      <c r="O56" s="1191"/>
      <c r="P56" s="1191"/>
      <c r="Q56" s="1191"/>
      <c r="R56" s="337"/>
      <c r="S56" s="337"/>
      <c r="T56" s="337"/>
      <c r="U56" s="337">
        <f t="shared" si="4"/>
        <v>0</v>
      </c>
      <c r="V56" s="337"/>
      <c r="W56" s="337"/>
      <c r="X56" s="337"/>
      <c r="Y56" s="337"/>
      <c r="Z56" s="337"/>
      <c r="AA56" s="337"/>
      <c r="AB56" s="337"/>
      <c r="AC56" s="337"/>
      <c r="AD56" s="337"/>
      <c r="AE56" s="337"/>
      <c r="AF56" s="337"/>
      <c r="AG56" s="337"/>
      <c r="AH56" s="337"/>
      <c r="AI56" s="337"/>
      <c r="AJ56" s="337"/>
      <c r="AK56" s="337"/>
      <c r="AL56" s="337"/>
      <c r="AM56" s="337"/>
      <c r="AN56" s="337"/>
      <c r="AO56" s="337"/>
      <c r="AP56" s="337"/>
      <c r="AQ56" s="337"/>
      <c r="AR56" s="337"/>
      <c r="AS56" s="337"/>
      <c r="AT56" s="337"/>
      <c r="AU56" s="337"/>
      <c r="AV56" s="1191"/>
      <c r="AW56" s="187"/>
      <c r="AX56" s="187"/>
      <c r="AY56" s="187"/>
      <c r="AZ56" s="214"/>
      <c r="BA56" s="214"/>
      <c r="BB56" s="214"/>
      <c r="BC56" s="214"/>
      <c r="BD56" s="214"/>
      <c r="BE56" s="214"/>
      <c r="BF56" s="214"/>
    </row>
    <row r="57" spans="1:58" s="215" customFormat="1" ht="15.75" hidden="1" customHeight="1" outlineLevel="1">
      <c r="A57" s="214"/>
      <c r="C57" s="1208" t="s">
        <v>1888</v>
      </c>
      <c r="D57" s="242"/>
      <c r="E57" s="249"/>
      <c r="F57" s="249"/>
      <c r="G57" s="186"/>
      <c r="H57" s="186"/>
      <c r="I57" s="187"/>
      <c r="J57" s="187"/>
      <c r="K57" s="187"/>
      <c r="L57" s="187"/>
      <c r="M57" s="1191"/>
      <c r="N57" s="1191"/>
      <c r="O57" s="1191"/>
      <c r="P57" s="1191"/>
      <c r="Q57" s="1191"/>
      <c r="R57" s="1251">
        <f>SUM(R58:R60)</f>
        <v>0.77</v>
      </c>
      <c r="S57" s="1251"/>
      <c r="T57" s="1251">
        <f>SUM(T58:T60)</f>
        <v>0.77</v>
      </c>
      <c r="U57" s="1251">
        <f t="shared" si="4"/>
        <v>0.77</v>
      </c>
      <c r="V57" s="1251">
        <f>SUM(V58:V60)</f>
        <v>0.77</v>
      </c>
      <c r="W57" s="1251">
        <f t="shared" ref="W57:AU57" si="28">SUM(W58:W60)</f>
        <v>0.77</v>
      </c>
      <c r="X57" s="1251">
        <f t="shared" si="28"/>
        <v>0.77</v>
      </c>
      <c r="Y57" s="1251">
        <f t="shared" si="28"/>
        <v>0.77</v>
      </c>
      <c r="Z57" s="1251">
        <f t="shared" si="28"/>
        <v>0.77</v>
      </c>
      <c r="AA57" s="1251">
        <f t="shared" si="28"/>
        <v>0.77</v>
      </c>
      <c r="AB57" s="1251">
        <f t="shared" si="28"/>
        <v>0.77</v>
      </c>
      <c r="AC57" s="1251">
        <f t="shared" si="28"/>
        <v>0.77</v>
      </c>
      <c r="AD57" s="1251">
        <f t="shared" si="28"/>
        <v>0.77</v>
      </c>
      <c r="AE57" s="1251">
        <f t="shared" si="28"/>
        <v>0.77</v>
      </c>
      <c r="AF57" s="1251">
        <f t="shared" si="28"/>
        <v>0.77</v>
      </c>
      <c r="AG57" s="1251">
        <f t="shared" si="28"/>
        <v>0.77</v>
      </c>
      <c r="AH57" s="1251">
        <f t="shared" si="28"/>
        <v>0.77</v>
      </c>
      <c r="AI57" s="1251">
        <f t="shared" si="28"/>
        <v>0.77</v>
      </c>
      <c r="AJ57" s="1251">
        <f t="shared" si="28"/>
        <v>0.77</v>
      </c>
      <c r="AK57" s="1251">
        <f t="shared" si="28"/>
        <v>0.77</v>
      </c>
      <c r="AL57" s="1251">
        <f t="shared" si="28"/>
        <v>0.77</v>
      </c>
      <c r="AM57" s="1251">
        <f t="shared" si="28"/>
        <v>0.77</v>
      </c>
      <c r="AN57" s="1251">
        <f t="shared" si="28"/>
        <v>0.77</v>
      </c>
      <c r="AO57" s="1251">
        <f t="shared" si="28"/>
        <v>0.77</v>
      </c>
      <c r="AP57" s="1251">
        <f t="shared" si="28"/>
        <v>0.77</v>
      </c>
      <c r="AQ57" s="1251">
        <f t="shared" si="28"/>
        <v>0.77</v>
      </c>
      <c r="AR57" s="1251">
        <f t="shared" si="28"/>
        <v>0.77</v>
      </c>
      <c r="AS57" s="1251">
        <f t="shared" si="28"/>
        <v>0.77</v>
      </c>
      <c r="AT57" s="1251">
        <f t="shared" si="28"/>
        <v>0.77</v>
      </c>
      <c r="AU57" s="1251">
        <f t="shared" si="28"/>
        <v>0.77</v>
      </c>
      <c r="AV57" s="1191"/>
      <c r="AW57" s="187"/>
      <c r="AX57" s="187"/>
      <c r="AY57" s="187"/>
      <c r="AZ57" s="214"/>
      <c r="BA57" s="214"/>
      <c r="BB57" s="214"/>
      <c r="BC57" s="214"/>
      <c r="BD57" s="214"/>
      <c r="BE57" s="214"/>
      <c r="BF57" s="214"/>
    </row>
    <row r="58" spans="1:58" s="215" customFormat="1" ht="15.75" hidden="1" customHeight="1" outlineLevel="1">
      <c r="A58" s="214"/>
      <c r="C58" s="1211" t="s">
        <v>914</v>
      </c>
      <c r="D58" s="242"/>
      <c r="E58" s="249"/>
      <c r="F58" s="249"/>
      <c r="G58" s="186"/>
      <c r="H58" s="186"/>
      <c r="I58" s="187"/>
      <c r="J58" s="187"/>
      <c r="K58" s="187"/>
      <c r="L58" s="187"/>
      <c r="M58" s="1191"/>
      <c r="N58" s="1191"/>
      <c r="O58" s="1191"/>
      <c r="P58" s="1191"/>
      <c r="Q58" s="1191"/>
      <c r="R58" s="337">
        <v>0.2</v>
      </c>
      <c r="S58" s="337"/>
      <c r="T58" s="337">
        <v>0.2</v>
      </c>
      <c r="U58" s="337">
        <f t="shared" si="4"/>
        <v>0.2</v>
      </c>
      <c r="V58" s="337">
        <f>R58</f>
        <v>0.2</v>
      </c>
      <c r="W58" s="337">
        <f t="shared" ref="W58:AU58" si="29">V58</f>
        <v>0.2</v>
      </c>
      <c r="X58" s="337">
        <f t="shared" si="29"/>
        <v>0.2</v>
      </c>
      <c r="Y58" s="337">
        <f t="shared" si="29"/>
        <v>0.2</v>
      </c>
      <c r="Z58" s="337">
        <f t="shared" si="29"/>
        <v>0.2</v>
      </c>
      <c r="AA58" s="337">
        <f t="shared" si="29"/>
        <v>0.2</v>
      </c>
      <c r="AB58" s="337">
        <f t="shared" si="29"/>
        <v>0.2</v>
      </c>
      <c r="AC58" s="337">
        <f t="shared" si="29"/>
        <v>0.2</v>
      </c>
      <c r="AD58" s="337">
        <f t="shared" si="29"/>
        <v>0.2</v>
      </c>
      <c r="AE58" s="337">
        <f t="shared" si="29"/>
        <v>0.2</v>
      </c>
      <c r="AF58" s="337">
        <f t="shared" si="29"/>
        <v>0.2</v>
      </c>
      <c r="AG58" s="337">
        <f t="shared" si="29"/>
        <v>0.2</v>
      </c>
      <c r="AH58" s="337">
        <f t="shared" si="29"/>
        <v>0.2</v>
      </c>
      <c r="AI58" s="337">
        <f t="shared" si="29"/>
        <v>0.2</v>
      </c>
      <c r="AJ58" s="337">
        <f t="shared" si="29"/>
        <v>0.2</v>
      </c>
      <c r="AK58" s="337">
        <f t="shared" si="29"/>
        <v>0.2</v>
      </c>
      <c r="AL58" s="337">
        <f t="shared" si="29"/>
        <v>0.2</v>
      </c>
      <c r="AM58" s="337">
        <f t="shared" si="29"/>
        <v>0.2</v>
      </c>
      <c r="AN58" s="337">
        <f t="shared" si="29"/>
        <v>0.2</v>
      </c>
      <c r="AO58" s="337">
        <f t="shared" si="29"/>
        <v>0.2</v>
      </c>
      <c r="AP58" s="337">
        <f t="shared" si="29"/>
        <v>0.2</v>
      </c>
      <c r="AQ58" s="337">
        <f t="shared" si="29"/>
        <v>0.2</v>
      </c>
      <c r="AR58" s="337">
        <f t="shared" si="29"/>
        <v>0.2</v>
      </c>
      <c r="AS58" s="337">
        <f t="shared" si="29"/>
        <v>0.2</v>
      </c>
      <c r="AT58" s="337">
        <f t="shared" si="29"/>
        <v>0.2</v>
      </c>
      <c r="AU58" s="337">
        <f t="shared" si="29"/>
        <v>0.2</v>
      </c>
      <c r="AV58" s="1191"/>
      <c r="AW58" s="187"/>
      <c r="AX58" s="187"/>
      <c r="AY58" s="187"/>
      <c r="AZ58" s="214"/>
      <c r="BA58" s="214"/>
      <c r="BB58" s="214"/>
      <c r="BC58" s="214"/>
      <c r="BD58" s="214"/>
      <c r="BE58" s="214"/>
      <c r="BF58" s="214"/>
    </row>
    <row r="59" spans="1:58" s="215" customFormat="1" ht="15.75" hidden="1" customHeight="1" outlineLevel="1">
      <c r="A59" s="214"/>
      <c r="C59" s="1211" t="s">
        <v>915</v>
      </c>
      <c r="D59" s="242"/>
      <c r="E59" s="249"/>
      <c r="F59" s="249"/>
      <c r="G59" s="186"/>
      <c r="H59" s="186"/>
      <c r="I59" s="187"/>
      <c r="J59" s="187"/>
      <c r="K59" s="187"/>
      <c r="L59" s="187"/>
      <c r="M59" s="1191"/>
      <c r="N59" s="1191"/>
      <c r="O59" s="1191"/>
      <c r="P59" s="1191"/>
      <c r="Q59" s="1191"/>
      <c r="R59" s="337">
        <v>0.11</v>
      </c>
      <c r="S59" s="337"/>
      <c r="T59" s="337">
        <v>0.11</v>
      </c>
      <c r="U59" s="337">
        <f t="shared" si="4"/>
        <v>0.11</v>
      </c>
      <c r="V59" s="337">
        <f>R59</f>
        <v>0.11</v>
      </c>
      <c r="W59" s="337">
        <f t="shared" si="26"/>
        <v>0.11</v>
      </c>
      <c r="X59" s="337">
        <f t="shared" si="26"/>
        <v>0.11</v>
      </c>
      <c r="Y59" s="337">
        <f t="shared" si="26"/>
        <v>0.11</v>
      </c>
      <c r="Z59" s="337">
        <f t="shared" si="26"/>
        <v>0.11</v>
      </c>
      <c r="AA59" s="337">
        <f t="shared" si="26"/>
        <v>0.11</v>
      </c>
      <c r="AB59" s="337">
        <f t="shared" si="26"/>
        <v>0.11</v>
      </c>
      <c r="AC59" s="337">
        <f t="shared" si="26"/>
        <v>0.11</v>
      </c>
      <c r="AD59" s="337">
        <f t="shared" si="26"/>
        <v>0.11</v>
      </c>
      <c r="AE59" s="337">
        <f t="shared" si="26"/>
        <v>0.11</v>
      </c>
      <c r="AF59" s="337">
        <f t="shared" si="26"/>
        <v>0.11</v>
      </c>
      <c r="AG59" s="337">
        <f t="shared" si="26"/>
        <v>0.11</v>
      </c>
      <c r="AH59" s="337">
        <f t="shared" si="26"/>
        <v>0.11</v>
      </c>
      <c r="AI59" s="337">
        <f t="shared" si="26"/>
        <v>0.11</v>
      </c>
      <c r="AJ59" s="337">
        <f t="shared" si="26"/>
        <v>0.11</v>
      </c>
      <c r="AK59" s="337">
        <f t="shared" si="26"/>
        <v>0.11</v>
      </c>
      <c r="AL59" s="337">
        <f t="shared" si="26"/>
        <v>0.11</v>
      </c>
      <c r="AM59" s="337">
        <f t="shared" si="26"/>
        <v>0.11</v>
      </c>
      <c r="AN59" s="337">
        <f t="shared" si="26"/>
        <v>0.11</v>
      </c>
      <c r="AO59" s="337">
        <f t="shared" si="26"/>
        <v>0.11</v>
      </c>
      <c r="AP59" s="337">
        <f t="shared" si="26"/>
        <v>0.11</v>
      </c>
      <c r="AQ59" s="337">
        <f t="shared" si="26"/>
        <v>0.11</v>
      </c>
      <c r="AR59" s="337">
        <f t="shared" si="26"/>
        <v>0.11</v>
      </c>
      <c r="AS59" s="337">
        <f t="shared" si="26"/>
        <v>0.11</v>
      </c>
      <c r="AT59" s="337">
        <f t="shared" si="26"/>
        <v>0.11</v>
      </c>
      <c r="AU59" s="337">
        <f t="shared" si="26"/>
        <v>0.11</v>
      </c>
      <c r="AV59" s="1191"/>
      <c r="AW59" s="187"/>
      <c r="AX59" s="187"/>
      <c r="AY59" s="187"/>
      <c r="AZ59" s="214"/>
      <c r="BA59" s="214"/>
      <c r="BB59" s="214"/>
      <c r="BC59" s="214"/>
      <c r="BD59" s="214"/>
      <c r="BE59" s="214"/>
      <c r="BF59" s="214"/>
    </row>
    <row r="60" spans="1:58" s="215" customFormat="1" ht="15.75" hidden="1" customHeight="1" outlineLevel="1">
      <c r="A60" s="214"/>
      <c r="C60" s="1211" t="s">
        <v>916</v>
      </c>
      <c r="D60" s="242"/>
      <c r="E60" s="249"/>
      <c r="F60" s="249"/>
      <c r="G60" s="186"/>
      <c r="H60" s="186"/>
      <c r="I60" s="187"/>
      <c r="J60" s="187"/>
      <c r="K60" s="187"/>
      <c r="L60" s="187"/>
      <c r="M60" s="1191"/>
      <c r="N60" s="1191"/>
      <c r="O60" s="1191"/>
      <c r="P60" s="1191"/>
      <c r="Q60" s="1191"/>
      <c r="R60" s="337">
        <v>0.46</v>
      </c>
      <c r="S60" s="337"/>
      <c r="T60" s="337">
        <v>0.46</v>
      </c>
      <c r="U60" s="337">
        <f t="shared" si="4"/>
        <v>0.46</v>
      </c>
      <c r="V60" s="337">
        <f>R60</f>
        <v>0.46</v>
      </c>
      <c r="W60" s="337">
        <f t="shared" si="26"/>
        <v>0.46</v>
      </c>
      <c r="X60" s="337">
        <f t="shared" si="26"/>
        <v>0.46</v>
      </c>
      <c r="Y60" s="337">
        <f t="shared" si="26"/>
        <v>0.46</v>
      </c>
      <c r="Z60" s="337">
        <f t="shared" si="26"/>
        <v>0.46</v>
      </c>
      <c r="AA60" s="337">
        <f t="shared" si="26"/>
        <v>0.46</v>
      </c>
      <c r="AB60" s="337">
        <f t="shared" si="26"/>
        <v>0.46</v>
      </c>
      <c r="AC60" s="337">
        <f t="shared" si="26"/>
        <v>0.46</v>
      </c>
      <c r="AD60" s="337">
        <f t="shared" si="26"/>
        <v>0.46</v>
      </c>
      <c r="AE60" s="337">
        <f t="shared" si="26"/>
        <v>0.46</v>
      </c>
      <c r="AF60" s="337">
        <f t="shared" si="26"/>
        <v>0.46</v>
      </c>
      <c r="AG60" s="337">
        <f t="shared" si="26"/>
        <v>0.46</v>
      </c>
      <c r="AH60" s="337">
        <f t="shared" si="26"/>
        <v>0.46</v>
      </c>
      <c r="AI60" s="337">
        <f t="shared" si="26"/>
        <v>0.46</v>
      </c>
      <c r="AJ60" s="337">
        <f t="shared" si="26"/>
        <v>0.46</v>
      </c>
      <c r="AK60" s="337">
        <f t="shared" si="26"/>
        <v>0.46</v>
      </c>
      <c r="AL60" s="337">
        <f t="shared" si="26"/>
        <v>0.46</v>
      </c>
      <c r="AM60" s="337">
        <f t="shared" si="26"/>
        <v>0.46</v>
      </c>
      <c r="AN60" s="337">
        <f t="shared" si="26"/>
        <v>0.46</v>
      </c>
      <c r="AO60" s="337">
        <f t="shared" si="26"/>
        <v>0.46</v>
      </c>
      <c r="AP60" s="337">
        <f t="shared" si="26"/>
        <v>0.46</v>
      </c>
      <c r="AQ60" s="337">
        <f t="shared" si="26"/>
        <v>0.46</v>
      </c>
      <c r="AR60" s="337">
        <f t="shared" si="26"/>
        <v>0.46</v>
      </c>
      <c r="AS60" s="337">
        <f t="shared" si="26"/>
        <v>0.46</v>
      </c>
      <c r="AT60" s="337">
        <f t="shared" si="26"/>
        <v>0.46</v>
      </c>
      <c r="AU60" s="337">
        <f t="shared" si="26"/>
        <v>0.46</v>
      </c>
      <c r="AV60" s="1191"/>
      <c r="AW60" s="187"/>
      <c r="AX60" s="187"/>
      <c r="AY60" s="187"/>
      <c r="AZ60" s="214"/>
      <c r="BA60" s="214"/>
      <c r="BB60" s="214"/>
      <c r="BC60" s="214"/>
      <c r="BD60" s="214"/>
      <c r="BE60" s="214"/>
      <c r="BF60" s="214"/>
    </row>
    <row r="61" spans="1:58" s="215" customFormat="1" ht="15.75" hidden="1" customHeight="1" outlineLevel="1">
      <c r="A61" s="214"/>
      <c r="C61" s="1211"/>
      <c r="D61" s="242"/>
      <c r="E61" s="249"/>
      <c r="F61" s="249"/>
      <c r="G61" s="186"/>
      <c r="H61" s="186"/>
      <c r="I61" s="187"/>
      <c r="J61" s="187"/>
      <c r="K61" s="187"/>
      <c r="L61" s="187"/>
      <c r="M61" s="1191"/>
      <c r="N61" s="1191"/>
      <c r="O61" s="1191"/>
      <c r="P61" s="1191"/>
      <c r="Q61" s="1191"/>
      <c r="R61" s="873"/>
      <c r="S61" s="873"/>
      <c r="T61" s="873"/>
      <c r="U61" s="873">
        <f t="shared" si="4"/>
        <v>0</v>
      </c>
      <c r="V61" s="873"/>
      <c r="W61" s="873"/>
      <c r="X61" s="873"/>
      <c r="Y61" s="873"/>
      <c r="Z61" s="873"/>
      <c r="AA61" s="873"/>
      <c r="AB61" s="873"/>
      <c r="AC61" s="873"/>
      <c r="AD61" s="873"/>
      <c r="AE61" s="873"/>
      <c r="AF61" s="873"/>
      <c r="AG61" s="873"/>
      <c r="AH61" s="873"/>
      <c r="AI61" s="873"/>
      <c r="AJ61" s="873"/>
      <c r="AK61" s="873"/>
      <c r="AL61" s="873"/>
      <c r="AM61" s="873"/>
      <c r="AN61" s="873"/>
      <c r="AO61" s="873"/>
      <c r="AP61" s="873"/>
      <c r="AQ61" s="873"/>
      <c r="AR61" s="873"/>
      <c r="AS61" s="873"/>
      <c r="AT61" s="873"/>
      <c r="AU61" s="873"/>
      <c r="AV61" s="1191"/>
      <c r="AW61" s="187"/>
      <c r="AX61" s="187"/>
      <c r="AY61" s="187"/>
      <c r="AZ61" s="214"/>
      <c r="BA61" s="214"/>
      <c r="BB61" s="214"/>
      <c r="BC61" s="214"/>
      <c r="BD61" s="214"/>
      <c r="BE61" s="214"/>
      <c r="BF61" s="214"/>
    </row>
    <row r="62" spans="1:58" s="215" customFormat="1" ht="15.75" hidden="1" customHeight="1" outlineLevel="1">
      <c r="A62" s="214"/>
      <c r="C62" s="1208" t="s">
        <v>917</v>
      </c>
      <c r="D62" s="242"/>
      <c r="E62" s="249"/>
      <c r="F62" s="249"/>
      <c r="G62" s="186"/>
      <c r="H62" s="186"/>
      <c r="I62" s="187"/>
      <c r="J62" s="187"/>
      <c r="K62" s="187"/>
      <c r="L62" s="187"/>
      <c r="M62" s="1191"/>
      <c r="N62" s="1191"/>
      <c r="O62" s="1191"/>
      <c r="P62" s="1191"/>
      <c r="Q62" s="1191"/>
      <c r="R62" s="1210"/>
      <c r="S62" s="1210"/>
      <c r="T62" s="1210"/>
      <c r="U62" s="1210">
        <f t="shared" si="4"/>
        <v>0</v>
      </c>
      <c r="V62" s="1210"/>
      <c r="W62" s="1210"/>
      <c r="X62" s="1210"/>
      <c r="Y62" s="1210"/>
      <c r="Z62" s="1210"/>
      <c r="AA62" s="1210"/>
      <c r="AB62" s="1210"/>
      <c r="AC62" s="1210"/>
      <c r="AD62" s="1210"/>
      <c r="AE62" s="1210"/>
      <c r="AF62" s="1210"/>
      <c r="AG62" s="1210"/>
      <c r="AH62" s="1210"/>
      <c r="AI62" s="1210"/>
      <c r="AJ62" s="1210"/>
      <c r="AK62" s="1210"/>
      <c r="AL62" s="1210"/>
      <c r="AM62" s="1210"/>
      <c r="AN62" s="1210"/>
      <c r="AO62" s="1210"/>
      <c r="AP62" s="1210"/>
      <c r="AQ62" s="1210"/>
      <c r="AR62" s="1210"/>
      <c r="AS62" s="1210"/>
      <c r="AT62" s="1210"/>
      <c r="AU62" s="1210"/>
      <c r="AV62" s="1191"/>
      <c r="AW62" s="187"/>
      <c r="AX62" s="187"/>
      <c r="AY62" s="187"/>
      <c r="AZ62" s="214"/>
      <c r="BA62" s="214"/>
      <c r="BB62" s="214"/>
      <c r="BC62" s="214"/>
      <c r="BD62" s="214"/>
      <c r="BE62" s="214"/>
      <c r="BF62" s="214"/>
    </row>
    <row r="63" spans="1:58" s="215" customFormat="1" ht="15.75" hidden="1" customHeight="1" outlineLevel="1">
      <c r="A63" s="214"/>
      <c r="C63" s="1252" t="s">
        <v>259</v>
      </c>
      <c r="D63" s="242"/>
      <c r="E63" s="249"/>
      <c r="F63" s="249"/>
      <c r="G63" s="186"/>
      <c r="H63" s="186"/>
      <c r="I63" s="187"/>
      <c r="J63" s="187"/>
      <c r="K63" s="187"/>
      <c r="L63" s="187"/>
      <c r="M63" s="1191"/>
      <c r="N63" s="1191"/>
      <c r="O63" s="1191"/>
      <c r="P63" s="1191"/>
      <c r="Q63" s="1191"/>
      <c r="R63" s="1215"/>
      <c r="S63" s="1215"/>
      <c r="T63" s="1215"/>
      <c r="U63" s="1215">
        <f t="shared" si="4"/>
        <v>0</v>
      </c>
      <c r="V63" s="873"/>
      <c r="W63" s="873"/>
      <c r="X63" s="873"/>
      <c r="Y63" s="873"/>
      <c r="Z63" s="873"/>
      <c r="AA63" s="873"/>
      <c r="AB63" s="873"/>
      <c r="AC63" s="873"/>
      <c r="AD63" s="873"/>
      <c r="AE63" s="873"/>
      <c r="AF63" s="873"/>
      <c r="AG63" s="873"/>
      <c r="AH63" s="873"/>
      <c r="AI63" s="873"/>
      <c r="AJ63" s="873"/>
      <c r="AK63" s="873"/>
      <c r="AL63" s="873"/>
      <c r="AM63" s="873"/>
      <c r="AN63" s="873"/>
      <c r="AO63" s="873"/>
      <c r="AP63" s="873"/>
      <c r="AQ63" s="873"/>
      <c r="AR63" s="873"/>
      <c r="AS63" s="873"/>
      <c r="AT63" s="873"/>
      <c r="AU63" s="873"/>
      <c r="AV63" s="1191"/>
      <c r="AW63" s="187"/>
      <c r="AX63" s="187"/>
      <c r="AY63" s="187"/>
      <c r="AZ63" s="214"/>
      <c r="BA63" s="214"/>
      <c r="BB63" s="214"/>
      <c r="BC63" s="214"/>
      <c r="BD63" s="214"/>
      <c r="BE63" s="214"/>
      <c r="BF63" s="214"/>
    </row>
    <row r="64" spans="1:58" s="215" customFormat="1" ht="15.75" hidden="1" customHeight="1" outlineLevel="1">
      <c r="A64" s="214"/>
      <c r="C64" s="1211" t="s">
        <v>1890</v>
      </c>
      <c r="D64" s="242"/>
      <c r="E64" s="249"/>
      <c r="F64" s="249"/>
      <c r="G64" s="186"/>
      <c r="H64" s="186"/>
      <c r="I64" s="187"/>
      <c r="J64" s="187"/>
      <c r="K64" s="187"/>
      <c r="L64" s="187"/>
      <c r="M64" s="1191"/>
      <c r="N64" s="1191"/>
      <c r="O64" s="1191"/>
      <c r="P64" s="1191"/>
      <c r="Q64" s="1191"/>
      <c r="R64" s="337">
        <v>1.4999999999999999E-2</v>
      </c>
      <c r="S64" s="337"/>
      <c r="T64" s="337">
        <v>1.4999999999999999E-2</v>
      </c>
      <c r="U64" s="337">
        <f t="shared" si="4"/>
        <v>1.4999999999999999E-2</v>
      </c>
      <c r="V64" s="337">
        <f>R64</f>
        <v>1.4999999999999999E-2</v>
      </c>
      <c r="W64" s="337">
        <f t="shared" ref="W64:AU64" si="30">V64</f>
        <v>1.4999999999999999E-2</v>
      </c>
      <c r="X64" s="337">
        <f t="shared" si="30"/>
        <v>1.4999999999999999E-2</v>
      </c>
      <c r="Y64" s="337">
        <f t="shared" si="30"/>
        <v>1.4999999999999999E-2</v>
      </c>
      <c r="Z64" s="337">
        <f t="shared" si="30"/>
        <v>1.4999999999999999E-2</v>
      </c>
      <c r="AA64" s="337">
        <f t="shared" si="30"/>
        <v>1.4999999999999999E-2</v>
      </c>
      <c r="AB64" s="337">
        <f t="shared" si="30"/>
        <v>1.4999999999999999E-2</v>
      </c>
      <c r="AC64" s="337">
        <f t="shared" si="30"/>
        <v>1.4999999999999999E-2</v>
      </c>
      <c r="AD64" s="337">
        <f t="shared" si="30"/>
        <v>1.4999999999999999E-2</v>
      </c>
      <c r="AE64" s="337">
        <f t="shared" si="30"/>
        <v>1.4999999999999999E-2</v>
      </c>
      <c r="AF64" s="337">
        <f t="shared" si="30"/>
        <v>1.4999999999999999E-2</v>
      </c>
      <c r="AG64" s="337">
        <f t="shared" si="30"/>
        <v>1.4999999999999999E-2</v>
      </c>
      <c r="AH64" s="337">
        <f t="shared" si="30"/>
        <v>1.4999999999999999E-2</v>
      </c>
      <c r="AI64" s="337">
        <f t="shared" si="30"/>
        <v>1.4999999999999999E-2</v>
      </c>
      <c r="AJ64" s="337">
        <f t="shared" si="30"/>
        <v>1.4999999999999999E-2</v>
      </c>
      <c r="AK64" s="337">
        <f t="shared" si="30"/>
        <v>1.4999999999999999E-2</v>
      </c>
      <c r="AL64" s="337">
        <f t="shared" si="30"/>
        <v>1.4999999999999999E-2</v>
      </c>
      <c r="AM64" s="337">
        <f t="shared" si="30"/>
        <v>1.4999999999999999E-2</v>
      </c>
      <c r="AN64" s="337">
        <f t="shared" si="30"/>
        <v>1.4999999999999999E-2</v>
      </c>
      <c r="AO64" s="337">
        <f t="shared" si="30"/>
        <v>1.4999999999999999E-2</v>
      </c>
      <c r="AP64" s="337">
        <f t="shared" si="30"/>
        <v>1.4999999999999999E-2</v>
      </c>
      <c r="AQ64" s="337">
        <f t="shared" si="30"/>
        <v>1.4999999999999999E-2</v>
      </c>
      <c r="AR64" s="337">
        <f t="shared" si="30"/>
        <v>1.4999999999999999E-2</v>
      </c>
      <c r="AS64" s="337">
        <f t="shared" si="30"/>
        <v>1.4999999999999999E-2</v>
      </c>
      <c r="AT64" s="337">
        <f t="shared" si="30"/>
        <v>1.4999999999999999E-2</v>
      </c>
      <c r="AU64" s="337">
        <f t="shared" si="30"/>
        <v>1.4999999999999999E-2</v>
      </c>
      <c r="AV64" s="1191"/>
      <c r="AW64" s="187"/>
      <c r="AX64" s="187"/>
      <c r="AY64" s="187"/>
      <c r="AZ64" s="214"/>
      <c r="BA64" s="214"/>
      <c r="BB64" s="214"/>
      <c r="BC64" s="214"/>
      <c r="BD64" s="214"/>
      <c r="BE64" s="214"/>
      <c r="BF64" s="214"/>
    </row>
    <row r="65" spans="1:58" s="215" customFormat="1" ht="15.75" hidden="1" customHeight="1" outlineLevel="1">
      <c r="A65" s="214"/>
      <c r="C65" s="1252" t="s">
        <v>918</v>
      </c>
      <c r="D65" s="242"/>
      <c r="E65" s="249"/>
      <c r="F65" s="249"/>
      <c r="G65" s="186"/>
      <c r="H65" s="186"/>
      <c r="I65" s="187"/>
      <c r="J65" s="187"/>
      <c r="K65" s="187"/>
      <c r="L65" s="187"/>
      <c r="M65" s="1191"/>
      <c r="N65" s="1191"/>
      <c r="O65" s="1191"/>
      <c r="P65" s="1191"/>
      <c r="Q65" s="1191"/>
      <c r="R65" s="337"/>
      <c r="S65" s="337"/>
      <c r="T65" s="337"/>
      <c r="U65" s="337">
        <f t="shared" si="4"/>
        <v>0</v>
      </c>
      <c r="V65" s="337"/>
      <c r="W65" s="337"/>
      <c r="X65" s="337"/>
      <c r="Y65" s="337"/>
      <c r="Z65" s="337"/>
      <c r="AA65" s="337"/>
      <c r="AB65" s="337"/>
      <c r="AC65" s="337"/>
      <c r="AD65" s="337"/>
      <c r="AE65" s="337"/>
      <c r="AF65" s="337"/>
      <c r="AG65" s="337"/>
      <c r="AH65" s="337"/>
      <c r="AI65" s="337"/>
      <c r="AJ65" s="337"/>
      <c r="AK65" s="337"/>
      <c r="AL65" s="337"/>
      <c r="AM65" s="337"/>
      <c r="AN65" s="337"/>
      <c r="AO65" s="337"/>
      <c r="AP65" s="337"/>
      <c r="AQ65" s="337"/>
      <c r="AR65" s="337"/>
      <c r="AS65" s="337"/>
      <c r="AT65" s="337"/>
      <c r="AU65" s="337"/>
      <c r="AV65" s="1191"/>
      <c r="AW65" s="187"/>
      <c r="AX65" s="187"/>
      <c r="AY65" s="187"/>
      <c r="AZ65" s="214"/>
      <c r="BA65" s="214"/>
      <c r="BB65" s="214"/>
      <c r="BC65" s="214"/>
      <c r="BD65" s="214"/>
      <c r="BE65" s="214"/>
      <c r="BF65" s="214"/>
    </row>
    <row r="66" spans="1:58" s="215" customFormat="1" ht="15.75" hidden="1" customHeight="1" outlineLevel="1">
      <c r="A66" s="214"/>
      <c r="C66" s="594" t="s">
        <v>919</v>
      </c>
      <c r="D66" s="242"/>
      <c r="E66" s="249"/>
      <c r="F66" s="249"/>
      <c r="G66" s="186"/>
      <c r="H66" s="186"/>
      <c r="I66" s="187"/>
      <c r="J66" s="187"/>
      <c r="K66" s="187"/>
      <c r="L66" s="187"/>
      <c r="M66" s="1191"/>
      <c r="N66" s="1191"/>
      <c r="O66" s="1191"/>
      <c r="P66" s="1191"/>
      <c r="Q66" s="1191"/>
      <c r="R66" s="337"/>
      <c r="S66" s="337"/>
      <c r="T66" s="337"/>
      <c r="U66" s="337">
        <f t="shared" si="4"/>
        <v>0</v>
      </c>
      <c r="V66" s="337"/>
      <c r="W66" s="337"/>
      <c r="X66" s="337"/>
      <c r="Y66" s="337"/>
      <c r="Z66" s="337"/>
      <c r="AA66" s="337"/>
      <c r="AB66" s="337"/>
      <c r="AC66" s="337"/>
      <c r="AD66" s="337"/>
      <c r="AE66" s="337"/>
      <c r="AF66" s="337"/>
      <c r="AG66" s="337"/>
      <c r="AH66" s="337"/>
      <c r="AI66" s="337"/>
      <c r="AJ66" s="337"/>
      <c r="AK66" s="337"/>
      <c r="AL66" s="337"/>
      <c r="AM66" s="337"/>
      <c r="AN66" s="337"/>
      <c r="AO66" s="337"/>
      <c r="AP66" s="337"/>
      <c r="AQ66" s="337"/>
      <c r="AR66" s="337"/>
      <c r="AS66" s="337"/>
      <c r="AT66" s="337"/>
      <c r="AU66" s="337"/>
      <c r="AV66" s="1191"/>
      <c r="AW66" s="187"/>
      <c r="AX66" s="187"/>
      <c r="AY66" s="187"/>
      <c r="AZ66" s="214"/>
      <c r="BA66" s="214"/>
      <c r="BB66" s="214"/>
      <c r="BC66" s="214"/>
      <c r="BD66" s="214"/>
      <c r="BE66" s="214"/>
      <c r="BF66" s="214"/>
    </row>
    <row r="67" spans="1:58" s="215" customFormat="1" ht="15.75" hidden="1" customHeight="1" outlineLevel="1">
      <c r="A67" s="214"/>
      <c r="C67" s="1253" t="s">
        <v>1889</v>
      </c>
      <c r="D67" s="242"/>
      <c r="E67" s="249"/>
      <c r="F67" s="249"/>
      <c r="G67" s="186"/>
      <c r="H67" s="186"/>
      <c r="I67" s="187"/>
      <c r="J67" s="187"/>
      <c r="K67" s="187"/>
      <c r="L67" s="187"/>
      <c r="M67" s="1191"/>
      <c r="N67" s="1191"/>
      <c r="O67" s="1191"/>
      <c r="P67" s="1191"/>
      <c r="Q67" s="1191"/>
      <c r="R67" s="337">
        <v>0.16</v>
      </c>
      <c r="S67" s="337"/>
      <c r="T67" s="337">
        <v>0.16</v>
      </c>
      <c r="U67" s="337">
        <f t="shared" si="4"/>
        <v>0.16</v>
      </c>
      <c r="V67" s="337">
        <f>R67</f>
        <v>0.16</v>
      </c>
      <c r="W67" s="337">
        <f t="shared" ref="W67:AK67" si="31">V67</f>
        <v>0.16</v>
      </c>
      <c r="X67" s="337">
        <f t="shared" si="31"/>
        <v>0.16</v>
      </c>
      <c r="Y67" s="337">
        <f t="shared" si="31"/>
        <v>0.16</v>
      </c>
      <c r="Z67" s="337">
        <f t="shared" si="31"/>
        <v>0.16</v>
      </c>
      <c r="AA67" s="337">
        <f t="shared" si="31"/>
        <v>0.16</v>
      </c>
      <c r="AB67" s="337">
        <f t="shared" si="31"/>
        <v>0.16</v>
      </c>
      <c r="AC67" s="337">
        <f t="shared" si="31"/>
        <v>0.16</v>
      </c>
      <c r="AD67" s="337">
        <f t="shared" si="31"/>
        <v>0.16</v>
      </c>
      <c r="AE67" s="337">
        <f t="shared" si="31"/>
        <v>0.16</v>
      </c>
      <c r="AF67" s="337">
        <f t="shared" si="31"/>
        <v>0.16</v>
      </c>
      <c r="AG67" s="337">
        <f t="shared" si="31"/>
        <v>0.16</v>
      </c>
      <c r="AH67" s="337">
        <f t="shared" si="31"/>
        <v>0.16</v>
      </c>
      <c r="AI67" s="337">
        <f t="shared" si="31"/>
        <v>0.16</v>
      </c>
      <c r="AJ67" s="337">
        <f t="shared" si="31"/>
        <v>0.16</v>
      </c>
      <c r="AK67" s="337">
        <f t="shared" si="31"/>
        <v>0.16</v>
      </c>
      <c r="AL67" s="337">
        <f t="shared" ref="W67:AU78" si="32">AK67</f>
        <v>0.16</v>
      </c>
      <c r="AM67" s="337">
        <f t="shared" si="32"/>
        <v>0.16</v>
      </c>
      <c r="AN67" s="337">
        <f t="shared" si="32"/>
        <v>0.16</v>
      </c>
      <c r="AO67" s="337">
        <f t="shared" si="32"/>
        <v>0.16</v>
      </c>
      <c r="AP67" s="337">
        <f t="shared" si="32"/>
        <v>0.16</v>
      </c>
      <c r="AQ67" s="337">
        <f t="shared" si="32"/>
        <v>0.16</v>
      </c>
      <c r="AR67" s="337">
        <f t="shared" si="32"/>
        <v>0.16</v>
      </c>
      <c r="AS67" s="337">
        <f t="shared" si="32"/>
        <v>0.16</v>
      </c>
      <c r="AT67" s="337">
        <f t="shared" si="32"/>
        <v>0.16</v>
      </c>
      <c r="AU67" s="337">
        <f t="shared" si="32"/>
        <v>0.16</v>
      </c>
      <c r="AV67" s="1191"/>
      <c r="AW67" s="187"/>
      <c r="AX67" s="187"/>
      <c r="AY67" s="187"/>
      <c r="AZ67" s="214"/>
      <c r="BA67" s="214"/>
      <c r="BB67" s="214"/>
      <c r="BC67" s="214"/>
      <c r="BD67" s="214"/>
      <c r="BE67" s="214"/>
      <c r="BF67" s="214"/>
    </row>
    <row r="68" spans="1:58" s="215" customFormat="1" ht="15.75" hidden="1" customHeight="1" outlineLevel="1">
      <c r="A68" s="214"/>
      <c r="C68" s="594" t="s">
        <v>1056</v>
      </c>
      <c r="D68" s="242"/>
      <c r="E68" s="249"/>
      <c r="F68" s="249"/>
      <c r="G68" s="186"/>
      <c r="H68" s="186"/>
      <c r="I68" s="187"/>
      <c r="J68" s="187"/>
      <c r="K68" s="187"/>
      <c r="L68" s="187"/>
      <c r="M68" s="1191"/>
      <c r="N68" s="1191"/>
      <c r="O68" s="1191"/>
      <c r="P68" s="1191"/>
      <c r="Q68" s="1191"/>
      <c r="R68" s="337"/>
      <c r="S68" s="337"/>
      <c r="T68" s="337"/>
      <c r="U68" s="337">
        <f t="shared" si="4"/>
        <v>0</v>
      </c>
      <c r="V68" s="337"/>
      <c r="W68" s="337"/>
      <c r="X68" s="337"/>
      <c r="Y68" s="337"/>
      <c r="Z68" s="337"/>
      <c r="AA68" s="337"/>
      <c r="AB68" s="337"/>
      <c r="AC68" s="337"/>
      <c r="AD68" s="337"/>
      <c r="AE68" s="337"/>
      <c r="AF68" s="337"/>
      <c r="AG68" s="337"/>
      <c r="AH68" s="337"/>
      <c r="AI68" s="337"/>
      <c r="AJ68" s="337"/>
      <c r="AK68" s="337"/>
      <c r="AL68" s="337"/>
      <c r="AM68" s="337"/>
      <c r="AN68" s="337"/>
      <c r="AO68" s="337"/>
      <c r="AP68" s="337"/>
      <c r="AQ68" s="337"/>
      <c r="AR68" s="337"/>
      <c r="AS68" s="337"/>
      <c r="AT68" s="337"/>
      <c r="AU68" s="337"/>
      <c r="AV68" s="1191"/>
      <c r="AW68" s="187"/>
      <c r="AX68" s="187"/>
      <c r="AY68" s="187"/>
      <c r="AZ68" s="214"/>
      <c r="BA68" s="214"/>
      <c r="BB68" s="214"/>
      <c r="BC68" s="214"/>
      <c r="BD68" s="214"/>
      <c r="BE68" s="214"/>
      <c r="BF68" s="214"/>
    </row>
    <row r="69" spans="1:58" s="215" customFormat="1" ht="15.75" hidden="1" customHeight="1" outlineLevel="1">
      <c r="A69" s="214"/>
      <c r="C69" s="1253" t="s">
        <v>1889</v>
      </c>
      <c r="D69" s="242"/>
      <c r="E69" s="249"/>
      <c r="F69" s="249"/>
      <c r="G69" s="186"/>
      <c r="H69" s="186"/>
      <c r="I69" s="187"/>
      <c r="J69" s="187"/>
      <c r="K69" s="187"/>
      <c r="L69" s="187"/>
      <c r="M69" s="1191"/>
      <c r="N69" s="1191"/>
      <c r="O69" s="1191"/>
      <c r="P69" s="1191"/>
      <c r="Q69" s="1191"/>
      <c r="R69" s="1267">
        <v>0.04</v>
      </c>
      <c r="S69" s="1267"/>
      <c r="T69" s="1267">
        <v>0.04</v>
      </c>
      <c r="U69" s="1267">
        <f t="shared" si="4"/>
        <v>0.04</v>
      </c>
      <c r="V69" s="337">
        <f>R69</f>
        <v>0.04</v>
      </c>
      <c r="W69" s="337">
        <f t="shared" si="32"/>
        <v>0.04</v>
      </c>
      <c r="X69" s="337">
        <f t="shared" si="32"/>
        <v>0.04</v>
      </c>
      <c r="Y69" s="337">
        <f t="shared" si="32"/>
        <v>0.04</v>
      </c>
      <c r="Z69" s="337">
        <f t="shared" si="32"/>
        <v>0.04</v>
      </c>
      <c r="AA69" s="337">
        <f t="shared" si="32"/>
        <v>0.04</v>
      </c>
      <c r="AB69" s="337">
        <f t="shared" si="32"/>
        <v>0.04</v>
      </c>
      <c r="AC69" s="337">
        <f t="shared" si="32"/>
        <v>0.04</v>
      </c>
      <c r="AD69" s="337">
        <f t="shared" si="32"/>
        <v>0.04</v>
      </c>
      <c r="AE69" s="337">
        <f t="shared" si="32"/>
        <v>0.04</v>
      </c>
      <c r="AF69" s="337">
        <f t="shared" si="32"/>
        <v>0.04</v>
      </c>
      <c r="AG69" s="337">
        <f t="shared" si="32"/>
        <v>0.04</v>
      </c>
      <c r="AH69" s="337">
        <f t="shared" si="32"/>
        <v>0.04</v>
      </c>
      <c r="AI69" s="337">
        <f t="shared" si="32"/>
        <v>0.04</v>
      </c>
      <c r="AJ69" s="337">
        <f t="shared" si="32"/>
        <v>0.04</v>
      </c>
      <c r="AK69" s="337">
        <f t="shared" si="32"/>
        <v>0.04</v>
      </c>
      <c r="AL69" s="337">
        <f t="shared" si="32"/>
        <v>0.04</v>
      </c>
      <c r="AM69" s="337">
        <f t="shared" si="32"/>
        <v>0.04</v>
      </c>
      <c r="AN69" s="337">
        <f t="shared" si="32"/>
        <v>0.04</v>
      </c>
      <c r="AO69" s="337">
        <f t="shared" si="32"/>
        <v>0.04</v>
      </c>
      <c r="AP69" s="337">
        <f t="shared" si="32"/>
        <v>0.04</v>
      </c>
      <c r="AQ69" s="337">
        <f t="shared" si="32"/>
        <v>0.04</v>
      </c>
      <c r="AR69" s="337">
        <f t="shared" si="32"/>
        <v>0.04</v>
      </c>
      <c r="AS69" s="337">
        <f t="shared" si="32"/>
        <v>0.04</v>
      </c>
      <c r="AT69" s="337">
        <f t="shared" si="32"/>
        <v>0.04</v>
      </c>
      <c r="AU69" s="337">
        <f t="shared" si="32"/>
        <v>0.04</v>
      </c>
      <c r="AV69" s="1191"/>
      <c r="AW69" s="187"/>
      <c r="AX69" s="187"/>
      <c r="AY69" s="187"/>
      <c r="AZ69" s="214"/>
      <c r="BA69" s="214"/>
      <c r="BB69" s="214"/>
      <c r="BC69" s="214"/>
      <c r="BD69" s="214"/>
      <c r="BE69" s="214"/>
      <c r="BF69" s="214"/>
    </row>
    <row r="70" spans="1:58" s="215" customFormat="1" ht="15.75" hidden="1" customHeight="1" outlineLevel="1">
      <c r="A70" s="214"/>
      <c r="C70" s="1253" t="s">
        <v>1891</v>
      </c>
      <c r="D70" s="242"/>
      <c r="E70" s="249"/>
      <c r="F70" s="249"/>
      <c r="G70" s="186"/>
      <c r="H70" s="186"/>
      <c r="I70" s="187"/>
      <c r="J70" s="187"/>
      <c r="K70" s="187"/>
      <c r="L70" s="187"/>
      <c r="M70" s="1191"/>
      <c r="N70" s="1191"/>
      <c r="O70" s="1191"/>
      <c r="P70" s="1191"/>
      <c r="Q70" s="1191"/>
      <c r="R70" s="337">
        <v>4.24</v>
      </c>
      <c r="S70" s="337"/>
      <c r="T70" s="337">
        <v>4.24</v>
      </c>
      <c r="U70" s="337">
        <f t="shared" si="4"/>
        <v>4.24</v>
      </c>
      <c r="V70" s="337">
        <f>R70</f>
        <v>4.24</v>
      </c>
      <c r="W70" s="337">
        <f t="shared" si="32"/>
        <v>4.24</v>
      </c>
      <c r="X70" s="337">
        <f t="shared" si="32"/>
        <v>4.24</v>
      </c>
      <c r="Y70" s="337">
        <f t="shared" si="32"/>
        <v>4.24</v>
      </c>
      <c r="Z70" s="337">
        <f t="shared" si="32"/>
        <v>4.24</v>
      </c>
      <c r="AA70" s="337">
        <f t="shared" si="32"/>
        <v>4.24</v>
      </c>
      <c r="AB70" s="337">
        <f t="shared" si="32"/>
        <v>4.24</v>
      </c>
      <c r="AC70" s="337">
        <f t="shared" si="32"/>
        <v>4.24</v>
      </c>
      <c r="AD70" s="337">
        <f t="shared" si="32"/>
        <v>4.24</v>
      </c>
      <c r="AE70" s="337">
        <f t="shared" si="32"/>
        <v>4.24</v>
      </c>
      <c r="AF70" s="337">
        <f t="shared" si="32"/>
        <v>4.24</v>
      </c>
      <c r="AG70" s="337">
        <f t="shared" si="32"/>
        <v>4.24</v>
      </c>
      <c r="AH70" s="337">
        <f t="shared" si="32"/>
        <v>4.24</v>
      </c>
      <c r="AI70" s="337">
        <f t="shared" si="32"/>
        <v>4.24</v>
      </c>
      <c r="AJ70" s="337">
        <f t="shared" si="32"/>
        <v>4.24</v>
      </c>
      <c r="AK70" s="337">
        <f t="shared" si="32"/>
        <v>4.24</v>
      </c>
      <c r="AL70" s="337">
        <f t="shared" si="32"/>
        <v>4.24</v>
      </c>
      <c r="AM70" s="337">
        <f t="shared" si="32"/>
        <v>4.24</v>
      </c>
      <c r="AN70" s="337">
        <f t="shared" si="32"/>
        <v>4.24</v>
      </c>
      <c r="AO70" s="337">
        <f t="shared" si="32"/>
        <v>4.24</v>
      </c>
      <c r="AP70" s="337">
        <f t="shared" si="32"/>
        <v>4.24</v>
      </c>
      <c r="AQ70" s="337">
        <f t="shared" si="32"/>
        <v>4.24</v>
      </c>
      <c r="AR70" s="337">
        <f t="shared" si="32"/>
        <v>4.24</v>
      </c>
      <c r="AS70" s="337">
        <f t="shared" si="32"/>
        <v>4.24</v>
      </c>
      <c r="AT70" s="337">
        <f t="shared" si="32"/>
        <v>4.24</v>
      </c>
      <c r="AU70" s="337">
        <f t="shared" si="32"/>
        <v>4.24</v>
      </c>
      <c r="AV70" s="1191"/>
      <c r="AW70" s="187"/>
      <c r="AX70" s="187"/>
      <c r="AY70" s="187"/>
      <c r="AZ70" s="214"/>
      <c r="BA70" s="214"/>
      <c r="BB70" s="214"/>
      <c r="BC70" s="214"/>
      <c r="BD70" s="214"/>
      <c r="BE70" s="214"/>
      <c r="BF70" s="214"/>
    </row>
    <row r="71" spans="1:58" s="215" customFormat="1" ht="15.75" hidden="1" customHeight="1" outlineLevel="1">
      <c r="A71" s="214"/>
      <c r="C71" s="1252" t="s">
        <v>920</v>
      </c>
      <c r="D71" s="242"/>
      <c r="E71" s="249"/>
      <c r="F71" s="249"/>
      <c r="G71" s="186"/>
      <c r="H71" s="186"/>
      <c r="I71" s="187"/>
      <c r="J71" s="187"/>
      <c r="K71" s="187"/>
      <c r="L71" s="187"/>
      <c r="M71" s="1191"/>
      <c r="N71" s="1191"/>
      <c r="O71" s="1191"/>
      <c r="P71" s="1191"/>
      <c r="Q71" s="1191"/>
      <c r="R71" s="337"/>
      <c r="S71" s="337"/>
      <c r="T71" s="337"/>
      <c r="U71" s="337">
        <f t="shared" si="4"/>
        <v>0</v>
      </c>
      <c r="V71" s="337"/>
      <c r="W71" s="337"/>
      <c r="X71" s="337"/>
      <c r="Y71" s="337"/>
      <c r="Z71" s="337"/>
      <c r="AA71" s="337"/>
      <c r="AB71" s="337"/>
      <c r="AC71" s="337"/>
      <c r="AD71" s="337"/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337"/>
      <c r="AQ71" s="337"/>
      <c r="AR71" s="337"/>
      <c r="AS71" s="337"/>
      <c r="AT71" s="337"/>
      <c r="AU71" s="337"/>
      <c r="AV71" s="1191"/>
      <c r="AW71" s="187"/>
      <c r="AX71" s="187"/>
      <c r="AY71" s="187"/>
      <c r="AZ71" s="214"/>
      <c r="BA71" s="214"/>
      <c r="BB71" s="214"/>
      <c r="BC71" s="214"/>
      <c r="BD71" s="214"/>
      <c r="BE71" s="214"/>
      <c r="BF71" s="214"/>
    </row>
    <row r="72" spans="1:58" s="215" customFormat="1" ht="15.75" hidden="1" customHeight="1" outlineLevel="1">
      <c r="A72" s="214"/>
      <c r="C72" s="1253" t="s">
        <v>1892</v>
      </c>
      <c r="D72" s="242"/>
      <c r="E72" s="249"/>
      <c r="F72" s="249"/>
      <c r="G72" s="186"/>
      <c r="H72" s="186"/>
      <c r="I72" s="187"/>
      <c r="J72" s="187"/>
      <c r="K72" s="187"/>
      <c r="L72" s="187"/>
      <c r="M72" s="1191"/>
      <c r="N72" s="1191"/>
      <c r="O72" s="1191"/>
      <c r="P72" s="1191"/>
      <c r="Q72" s="1191"/>
      <c r="R72" s="337">
        <v>2.79</v>
      </c>
      <c r="S72" s="337"/>
      <c r="T72" s="337">
        <v>2.79</v>
      </c>
      <c r="U72" s="337">
        <f t="shared" si="4"/>
        <v>2.79</v>
      </c>
      <c r="V72" s="337">
        <f>R72</f>
        <v>2.79</v>
      </c>
      <c r="W72" s="337">
        <f t="shared" si="32"/>
        <v>2.79</v>
      </c>
      <c r="X72" s="337">
        <f t="shared" si="32"/>
        <v>2.79</v>
      </c>
      <c r="Y72" s="337">
        <f t="shared" si="32"/>
        <v>2.79</v>
      </c>
      <c r="Z72" s="337">
        <f t="shared" si="32"/>
        <v>2.79</v>
      </c>
      <c r="AA72" s="337">
        <f t="shared" si="32"/>
        <v>2.79</v>
      </c>
      <c r="AB72" s="337">
        <f t="shared" si="32"/>
        <v>2.79</v>
      </c>
      <c r="AC72" s="337">
        <f t="shared" si="32"/>
        <v>2.79</v>
      </c>
      <c r="AD72" s="337">
        <f t="shared" si="32"/>
        <v>2.79</v>
      </c>
      <c r="AE72" s="337">
        <f t="shared" si="32"/>
        <v>2.79</v>
      </c>
      <c r="AF72" s="337">
        <f t="shared" si="32"/>
        <v>2.79</v>
      </c>
      <c r="AG72" s="337">
        <f t="shared" si="32"/>
        <v>2.79</v>
      </c>
      <c r="AH72" s="337">
        <f t="shared" si="32"/>
        <v>2.79</v>
      </c>
      <c r="AI72" s="337">
        <f t="shared" si="32"/>
        <v>2.79</v>
      </c>
      <c r="AJ72" s="337">
        <f t="shared" si="32"/>
        <v>2.79</v>
      </c>
      <c r="AK72" s="337">
        <f t="shared" si="32"/>
        <v>2.79</v>
      </c>
      <c r="AL72" s="337">
        <f t="shared" si="32"/>
        <v>2.79</v>
      </c>
      <c r="AM72" s="337">
        <f t="shared" si="32"/>
        <v>2.79</v>
      </c>
      <c r="AN72" s="337">
        <f t="shared" si="32"/>
        <v>2.79</v>
      </c>
      <c r="AO72" s="337">
        <f t="shared" si="32"/>
        <v>2.79</v>
      </c>
      <c r="AP72" s="337">
        <f t="shared" si="32"/>
        <v>2.79</v>
      </c>
      <c r="AQ72" s="337">
        <f t="shared" si="32"/>
        <v>2.79</v>
      </c>
      <c r="AR72" s="337">
        <f t="shared" si="32"/>
        <v>2.79</v>
      </c>
      <c r="AS72" s="337">
        <f t="shared" si="32"/>
        <v>2.79</v>
      </c>
      <c r="AT72" s="337">
        <f t="shared" si="32"/>
        <v>2.79</v>
      </c>
      <c r="AU72" s="337">
        <f t="shared" si="32"/>
        <v>2.79</v>
      </c>
      <c r="AV72" s="1191"/>
      <c r="AW72" s="187"/>
      <c r="AX72" s="187"/>
      <c r="AY72" s="187"/>
      <c r="AZ72" s="214"/>
      <c r="BA72" s="214"/>
      <c r="BB72" s="214"/>
      <c r="BC72" s="214"/>
      <c r="BD72" s="214"/>
      <c r="BE72" s="214"/>
      <c r="BF72" s="214"/>
    </row>
    <row r="73" spans="1:58" s="215" customFormat="1" ht="15.75" hidden="1" customHeight="1" outlineLevel="1">
      <c r="A73" s="214"/>
      <c r="C73" s="1252" t="s">
        <v>921</v>
      </c>
      <c r="D73" s="242"/>
      <c r="E73" s="249"/>
      <c r="F73" s="249"/>
      <c r="G73" s="186"/>
      <c r="H73" s="186"/>
      <c r="I73" s="187"/>
      <c r="J73" s="187"/>
      <c r="K73" s="187"/>
      <c r="L73" s="187"/>
      <c r="M73" s="1191"/>
      <c r="N73" s="1191"/>
      <c r="O73" s="1191"/>
      <c r="P73" s="1191"/>
      <c r="Q73" s="1191"/>
      <c r="R73" s="337"/>
      <c r="S73" s="337"/>
      <c r="T73" s="337"/>
      <c r="U73" s="337">
        <f t="shared" si="4"/>
        <v>0</v>
      </c>
      <c r="V73" s="337"/>
      <c r="W73" s="337"/>
      <c r="X73" s="337"/>
      <c r="Y73" s="337"/>
      <c r="Z73" s="337"/>
      <c r="AA73" s="337"/>
      <c r="AB73" s="337"/>
      <c r="AC73" s="337"/>
      <c r="AD73" s="337"/>
      <c r="AE73" s="337"/>
      <c r="AF73" s="337"/>
      <c r="AG73" s="337"/>
      <c r="AH73" s="337"/>
      <c r="AI73" s="337"/>
      <c r="AJ73" s="337"/>
      <c r="AK73" s="337"/>
      <c r="AL73" s="337"/>
      <c r="AM73" s="337"/>
      <c r="AN73" s="337"/>
      <c r="AO73" s="337"/>
      <c r="AP73" s="337"/>
      <c r="AQ73" s="337"/>
      <c r="AR73" s="337"/>
      <c r="AS73" s="337"/>
      <c r="AT73" s="337"/>
      <c r="AU73" s="337"/>
      <c r="AV73" s="1191"/>
      <c r="AW73" s="187"/>
      <c r="AX73" s="187"/>
      <c r="AY73" s="187"/>
      <c r="AZ73" s="214"/>
      <c r="BA73" s="214"/>
      <c r="BB73" s="214"/>
      <c r="BC73" s="214"/>
      <c r="BD73" s="214"/>
      <c r="BE73" s="214"/>
      <c r="BF73" s="214"/>
    </row>
    <row r="74" spans="1:58" s="215" customFormat="1" ht="15.75" hidden="1" customHeight="1" outlineLevel="1">
      <c r="A74" s="214"/>
      <c r="C74" s="1253" t="s">
        <v>1893</v>
      </c>
      <c r="D74" s="242"/>
      <c r="E74" s="249"/>
      <c r="F74" s="249"/>
      <c r="G74" s="186"/>
      <c r="H74" s="186"/>
      <c r="I74" s="187"/>
      <c r="J74" s="187"/>
      <c r="K74" s="187"/>
      <c r="L74" s="187"/>
      <c r="M74" s="1191"/>
      <c r="N74" s="1191"/>
      <c r="O74" s="1191"/>
      <c r="P74" s="1191"/>
      <c r="Q74" s="1191"/>
      <c r="R74" s="337">
        <v>128.93</v>
      </c>
      <c r="S74" s="337"/>
      <c r="T74" s="337">
        <v>128.93</v>
      </c>
      <c r="U74" s="337">
        <f t="shared" si="4"/>
        <v>128.93</v>
      </c>
      <c r="V74" s="337">
        <f>R74</f>
        <v>128.93</v>
      </c>
      <c r="W74" s="337">
        <f t="shared" si="32"/>
        <v>128.93</v>
      </c>
      <c r="X74" s="337">
        <f t="shared" si="32"/>
        <v>128.93</v>
      </c>
      <c r="Y74" s="337">
        <f t="shared" si="32"/>
        <v>128.93</v>
      </c>
      <c r="Z74" s="337">
        <f t="shared" si="32"/>
        <v>128.93</v>
      </c>
      <c r="AA74" s="337">
        <f t="shared" si="32"/>
        <v>128.93</v>
      </c>
      <c r="AB74" s="337">
        <f t="shared" si="32"/>
        <v>128.93</v>
      </c>
      <c r="AC74" s="337">
        <f t="shared" si="32"/>
        <v>128.93</v>
      </c>
      <c r="AD74" s="337">
        <f t="shared" si="32"/>
        <v>128.93</v>
      </c>
      <c r="AE74" s="337">
        <f t="shared" si="32"/>
        <v>128.93</v>
      </c>
      <c r="AF74" s="337">
        <f t="shared" si="32"/>
        <v>128.93</v>
      </c>
      <c r="AG74" s="337">
        <f t="shared" si="32"/>
        <v>128.93</v>
      </c>
      <c r="AH74" s="337">
        <f t="shared" si="32"/>
        <v>128.93</v>
      </c>
      <c r="AI74" s="337">
        <f t="shared" si="32"/>
        <v>128.93</v>
      </c>
      <c r="AJ74" s="337">
        <f t="shared" si="32"/>
        <v>128.93</v>
      </c>
      <c r="AK74" s="337">
        <f t="shared" si="32"/>
        <v>128.93</v>
      </c>
      <c r="AL74" s="337">
        <f t="shared" si="32"/>
        <v>128.93</v>
      </c>
      <c r="AM74" s="337">
        <f t="shared" si="32"/>
        <v>128.93</v>
      </c>
      <c r="AN74" s="337">
        <f t="shared" si="32"/>
        <v>128.93</v>
      </c>
      <c r="AO74" s="337">
        <f t="shared" si="32"/>
        <v>128.93</v>
      </c>
      <c r="AP74" s="337">
        <f t="shared" si="32"/>
        <v>128.93</v>
      </c>
      <c r="AQ74" s="337">
        <f t="shared" si="32"/>
        <v>128.93</v>
      </c>
      <c r="AR74" s="337">
        <f t="shared" si="32"/>
        <v>128.93</v>
      </c>
      <c r="AS74" s="337">
        <f t="shared" si="32"/>
        <v>128.93</v>
      </c>
      <c r="AT74" s="337">
        <f t="shared" si="32"/>
        <v>128.93</v>
      </c>
      <c r="AU74" s="337">
        <f t="shared" si="32"/>
        <v>128.93</v>
      </c>
      <c r="AV74" s="1191"/>
      <c r="AW74" s="187"/>
      <c r="AX74" s="187"/>
      <c r="AY74" s="187"/>
      <c r="AZ74" s="214"/>
      <c r="BA74" s="214"/>
      <c r="BB74" s="214"/>
      <c r="BC74" s="214"/>
      <c r="BD74" s="214"/>
      <c r="BE74" s="214"/>
      <c r="BF74" s="214"/>
    </row>
    <row r="75" spans="1:58" s="215" customFormat="1" ht="15.75" hidden="1" customHeight="1" outlineLevel="1">
      <c r="A75" s="214"/>
      <c r="C75" s="306" t="s">
        <v>1922</v>
      </c>
      <c r="H75" s="172"/>
      <c r="I75" s="172"/>
      <c r="J75" s="172"/>
      <c r="K75" s="172"/>
      <c r="L75" s="172"/>
      <c r="M75" s="222"/>
      <c r="P75" s="214"/>
      <c r="Q75" s="214"/>
      <c r="R75" s="337"/>
      <c r="S75" s="337"/>
      <c r="T75" s="337"/>
      <c r="U75" s="337">
        <f t="shared" si="4"/>
        <v>0</v>
      </c>
      <c r="V75" s="337"/>
      <c r="W75" s="337"/>
      <c r="X75" s="337"/>
      <c r="Y75" s="337"/>
      <c r="Z75" s="337"/>
      <c r="AA75" s="337"/>
      <c r="AB75" s="337"/>
      <c r="AC75" s="337"/>
      <c r="AD75" s="337"/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337"/>
      <c r="AQ75" s="337"/>
      <c r="AR75" s="337"/>
      <c r="AS75" s="337"/>
      <c r="AT75" s="337"/>
      <c r="AU75" s="337"/>
      <c r="AV75" s="1191"/>
      <c r="AW75" s="187"/>
      <c r="AX75" s="187"/>
      <c r="AY75" s="187"/>
      <c r="AZ75" s="214"/>
      <c r="BA75" s="214"/>
      <c r="BB75" s="214"/>
      <c r="BC75" s="214"/>
      <c r="BD75" s="214"/>
      <c r="BE75" s="214"/>
      <c r="BF75" s="214"/>
    </row>
    <row r="76" spans="1:58" s="215" customFormat="1" ht="15.75" hidden="1" customHeight="1" outlineLevel="1">
      <c r="A76" s="214"/>
      <c r="C76" s="1211" t="s">
        <v>1923</v>
      </c>
      <c r="H76" s="172"/>
      <c r="I76" s="172"/>
      <c r="J76" s="172"/>
      <c r="K76" s="172"/>
      <c r="L76" s="172"/>
      <c r="M76" s="222"/>
      <c r="P76" s="214"/>
      <c r="Q76" s="214"/>
      <c r="R76" s="337">
        <v>65</v>
      </c>
      <c r="S76" s="337"/>
      <c r="T76" s="337">
        <v>65</v>
      </c>
      <c r="U76" s="337">
        <f>T76</f>
        <v>65</v>
      </c>
      <c r="V76" s="337">
        <f>R76</f>
        <v>65</v>
      </c>
      <c r="W76" s="337">
        <f t="shared" si="32"/>
        <v>65</v>
      </c>
      <c r="X76" s="337">
        <f t="shared" si="32"/>
        <v>65</v>
      </c>
      <c r="Y76" s="337">
        <f t="shared" si="32"/>
        <v>65</v>
      </c>
      <c r="Z76" s="337">
        <f t="shared" si="32"/>
        <v>65</v>
      </c>
      <c r="AA76" s="337">
        <f t="shared" si="32"/>
        <v>65</v>
      </c>
      <c r="AB76" s="337">
        <f t="shared" si="32"/>
        <v>65</v>
      </c>
      <c r="AC76" s="337">
        <f t="shared" si="32"/>
        <v>65</v>
      </c>
      <c r="AD76" s="337">
        <f t="shared" si="32"/>
        <v>65</v>
      </c>
      <c r="AE76" s="337">
        <f t="shared" si="32"/>
        <v>65</v>
      </c>
      <c r="AF76" s="337">
        <f t="shared" si="32"/>
        <v>65</v>
      </c>
      <c r="AG76" s="337">
        <f t="shared" si="32"/>
        <v>65</v>
      </c>
      <c r="AH76" s="337">
        <f t="shared" si="32"/>
        <v>65</v>
      </c>
      <c r="AI76" s="337">
        <f t="shared" si="32"/>
        <v>65</v>
      </c>
      <c r="AJ76" s="337">
        <f t="shared" si="32"/>
        <v>65</v>
      </c>
      <c r="AK76" s="337">
        <f t="shared" si="32"/>
        <v>65</v>
      </c>
      <c r="AL76" s="337">
        <f t="shared" si="32"/>
        <v>65</v>
      </c>
      <c r="AM76" s="337">
        <f t="shared" si="32"/>
        <v>65</v>
      </c>
      <c r="AN76" s="337">
        <f t="shared" si="32"/>
        <v>65</v>
      </c>
      <c r="AO76" s="337">
        <f t="shared" si="32"/>
        <v>65</v>
      </c>
      <c r="AP76" s="337">
        <f t="shared" si="32"/>
        <v>65</v>
      </c>
      <c r="AQ76" s="337">
        <f t="shared" si="32"/>
        <v>65</v>
      </c>
      <c r="AR76" s="337">
        <f t="shared" si="32"/>
        <v>65</v>
      </c>
      <c r="AS76" s="337">
        <f t="shared" si="32"/>
        <v>65</v>
      </c>
      <c r="AT76" s="337">
        <f t="shared" si="32"/>
        <v>65</v>
      </c>
      <c r="AU76" s="337">
        <f t="shared" si="32"/>
        <v>65</v>
      </c>
      <c r="AV76" s="1191"/>
      <c r="AW76" s="187"/>
      <c r="AX76" s="187"/>
      <c r="AY76" s="187"/>
      <c r="AZ76" s="214"/>
      <c r="BA76" s="214"/>
      <c r="BB76" s="214"/>
      <c r="BC76" s="214"/>
      <c r="BD76" s="214"/>
      <c r="BE76" s="214"/>
      <c r="BF76" s="214"/>
    </row>
    <row r="77" spans="1:58" s="215" customFormat="1" ht="15.75" hidden="1" customHeight="1" outlineLevel="1">
      <c r="A77" s="214"/>
      <c r="C77" s="1211" t="s">
        <v>1926</v>
      </c>
      <c r="H77" s="172"/>
      <c r="I77" s="172"/>
      <c r="J77" s="172"/>
      <c r="K77" s="172"/>
      <c r="L77" s="172"/>
      <c r="M77" s="222"/>
      <c r="P77" s="214"/>
      <c r="Q77" s="214"/>
      <c r="R77" s="337">
        <v>21</v>
      </c>
      <c r="S77" s="337"/>
      <c r="T77" s="337">
        <v>21</v>
      </c>
      <c r="U77" s="337">
        <f>T77</f>
        <v>21</v>
      </c>
      <c r="V77" s="337">
        <f>R77</f>
        <v>21</v>
      </c>
      <c r="W77" s="337">
        <f t="shared" si="32"/>
        <v>21</v>
      </c>
      <c r="X77" s="337">
        <f t="shared" si="32"/>
        <v>21</v>
      </c>
      <c r="Y77" s="337">
        <f t="shared" si="32"/>
        <v>21</v>
      </c>
      <c r="Z77" s="337">
        <f t="shared" si="32"/>
        <v>21</v>
      </c>
      <c r="AA77" s="337">
        <f t="shared" si="32"/>
        <v>21</v>
      </c>
      <c r="AB77" s="337">
        <f t="shared" si="32"/>
        <v>21</v>
      </c>
      <c r="AC77" s="337">
        <f t="shared" si="32"/>
        <v>21</v>
      </c>
      <c r="AD77" s="337">
        <f t="shared" si="32"/>
        <v>21</v>
      </c>
      <c r="AE77" s="337">
        <f t="shared" si="32"/>
        <v>21</v>
      </c>
      <c r="AF77" s="337">
        <f t="shared" si="32"/>
        <v>21</v>
      </c>
      <c r="AG77" s="337">
        <f t="shared" si="32"/>
        <v>21</v>
      </c>
      <c r="AH77" s="337">
        <f t="shared" si="32"/>
        <v>21</v>
      </c>
      <c r="AI77" s="337">
        <f t="shared" si="32"/>
        <v>21</v>
      </c>
      <c r="AJ77" s="337">
        <f t="shared" si="32"/>
        <v>21</v>
      </c>
      <c r="AK77" s="337">
        <f t="shared" si="32"/>
        <v>21</v>
      </c>
      <c r="AL77" s="337">
        <f t="shared" si="32"/>
        <v>21</v>
      </c>
      <c r="AM77" s="337">
        <f t="shared" si="32"/>
        <v>21</v>
      </c>
      <c r="AN77" s="337">
        <f t="shared" si="32"/>
        <v>21</v>
      </c>
      <c r="AO77" s="337">
        <f t="shared" si="32"/>
        <v>21</v>
      </c>
      <c r="AP77" s="337">
        <f t="shared" si="32"/>
        <v>21</v>
      </c>
      <c r="AQ77" s="337">
        <f t="shared" si="32"/>
        <v>21</v>
      </c>
      <c r="AR77" s="337">
        <f t="shared" si="32"/>
        <v>21</v>
      </c>
      <c r="AS77" s="337">
        <f t="shared" si="32"/>
        <v>21</v>
      </c>
      <c r="AT77" s="337">
        <f t="shared" si="32"/>
        <v>21</v>
      </c>
      <c r="AU77" s="337">
        <f t="shared" si="32"/>
        <v>21</v>
      </c>
      <c r="AV77" s="1191"/>
      <c r="AW77" s="187"/>
      <c r="AX77" s="187"/>
      <c r="AY77" s="187"/>
      <c r="AZ77" s="214"/>
      <c r="BA77" s="214"/>
      <c r="BB77" s="214"/>
      <c r="BC77" s="214"/>
      <c r="BD77" s="214"/>
      <c r="BE77" s="214"/>
      <c r="BF77" s="214"/>
    </row>
    <row r="78" spans="1:58" s="215" customFormat="1" ht="15.75" hidden="1" customHeight="1" outlineLevel="1">
      <c r="A78" s="214"/>
      <c r="C78" s="1211" t="s">
        <v>1927</v>
      </c>
      <c r="H78" s="172"/>
      <c r="I78" s="172"/>
      <c r="J78" s="172"/>
      <c r="K78" s="172"/>
      <c r="L78" s="172"/>
      <c r="M78" s="222"/>
      <c r="P78" s="214"/>
      <c r="Q78" s="214"/>
      <c r="R78" s="337">
        <v>18</v>
      </c>
      <c r="S78" s="337"/>
      <c r="T78" s="337">
        <v>18</v>
      </c>
      <c r="U78" s="337">
        <f>T78</f>
        <v>18</v>
      </c>
      <c r="V78" s="337">
        <f>R78</f>
        <v>18</v>
      </c>
      <c r="W78" s="337">
        <f t="shared" si="32"/>
        <v>18</v>
      </c>
      <c r="X78" s="337">
        <f t="shared" si="32"/>
        <v>18</v>
      </c>
      <c r="Y78" s="337">
        <f t="shared" si="32"/>
        <v>18</v>
      </c>
      <c r="Z78" s="337">
        <f t="shared" si="32"/>
        <v>18</v>
      </c>
      <c r="AA78" s="337">
        <f t="shared" si="32"/>
        <v>18</v>
      </c>
      <c r="AB78" s="337">
        <f t="shared" si="32"/>
        <v>18</v>
      </c>
      <c r="AC78" s="337">
        <f t="shared" si="32"/>
        <v>18</v>
      </c>
      <c r="AD78" s="337">
        <f t="shared" si="32"/>
        <v>18</v>
      </c>
      <c r="AE78" s="337">
        <f t="shared" si="32"/>
        <v>18</v>
      </c>
      <c r="AF78" s="337">
        <f t="shared" si="32"/>
        <v>18</v>
      </c>
      <c r="AG78" s="337">
        <f t="shared" si="32"/>
        <v>18</v>
      </c>
      <c r="AH78" s="337">
        <f t="shared" si="32"/>
        <v>18</v>
      </c>
      <c r="AI78" s="337">
        <f t="shared" si="32"/>
        <v>18</v>
      </c>
      <c r="AJ78" s="337">
        <f t="shared" si="32"/>
        <v>18</v>
      </c>
      <c r="AK78" s="337">
        <f t="shared" si="32"/>
        <v>18</v>
      </c>
      <c r="AL78" s="337">
        <f t="shared" si="32"/>
        <v>18</v>
      </c>
      <c r="AM78" s="337">
        <f t="shared" si="32"/>
        <v>18</v>
      </c>
      <c r="AN78" s="337">
        <f t="shared" si="32"/>
        <v>18</v>
      </c>
      <c r="AO78" s="337">
        <f t="shared" si="32"/>
        <v>18</v>
      </c>
      <c r="AP78" s="337">
        <f t="shared" si="32"/>
        <v>18</v>
      </c>
      <c r="AQ78" s="337">
        <f t="shared" si="32"/>
        <v>18</v>
      </c>
      <c r="AR78" s="337">
        <f t="shared" si="32"/>
        <v>18</v>
      </c>
      <c r="AS78" s="337">
        <f t="shared" si="32"/>
        <v>18</v>
      </c>
      <c r="AT78" s="337">
        <f t="shared" si="32"/>
        <v>18</v>
      </c>
      <c r="AU78" s="337">
        <f t="shared" si="32"/>
        <v>18</v>
      </c>
      <c r="AV78" s="1191"/>
      <c r="AW78" s="187"/>
      <c r="AX78" s="187"/>
      <c r="AY78" s="187"/>
      <c r="AZ78" s="214"/>
      <c r="BA78" s="214"/>
      <c r="BB78" s="214"/>
      <c r="BC78" s="214"/>
      <c r="BD78" s="214"/>
      <c r="BE78" s="214"/>
      <c r="BF78" s="214"/>
    </row>
    <row r="79" spans="1:58" s="214" customFormat="1" ht="15.75" hidden="1" customHeight="1" outlineLevel="1">
      <c r="B79" s="172"/>
      <c r="C79" s="593"/>
      <c r="L79" s="215"/>
      <c r="M79" s="215"/>
    </row>
    <row r="80" spans="1:58" s="168" customFormat="1" ht="15.75" customHeight="1" collapsed="1">
      <c r="A80" s="169"/>
      <c r="B80" s="215"/>
      <c r="C80" s="186"/>
      <c r="D80" s="242"/>
      <c r="E80" s="249"/>
      <c r="F80" s="249"/>
      <c r="G80" s="186"/>
      <c r="H80" s="186"/>
      <c r="I80" s="187"/>
      <c r="J80" s="187"/>
      <c r="K80" s="187"/>
      <c r="L80" s="187"/>
      <c r="M80" s="857"/>
      <c r="N80" s="857"/>
      <c r="O80" s="857"/>
      <c r="P80" s="857"/>
      <c r="Q80" s="857"/>
      <c r="R80" s="857"/>
      <c r="S80" s="857"/>
      <c r="T80" s="857"/>
      <c r="U80" s="857"/>
      <c r="V80" s="857"/>
      <c r="W80" s="857"/>
      <c r="X80" s="857"/>
      <c r="Y80" s="857"/>
      <c r="Z80" s="857"/>
      <c r="AA80" s="857"/>
      <c r="AB80" s="857"/>
      <c r="AC80" s="857"/>
      <c r="AD80" s="857"/>
      <c r="AE80" s="857"/>
      <c r="AF80" s="857"/>
      <c r="AG80" s="857"/>
      <c r="AH80" s="857"/>
      <c r="AI80" s="857"/>
      <c r="AJ80" s="857"/>
      <c r="AK80" s="857"/>
      <c r="AL80" s="857"/>
      <c r="AM80" s="857"/>
      <c r="AN80" s="857"/>
      <c r="AO80" s="857"/>
      <c r="AP80" s="857"/>
      <c r="AQ80" s="857"/>
      <c r="AR80" s="857"/>
      <c r="AS80" s="857"/>
      <c r="AT80" s="857"/>
      <c r="AU80" s="857"/>
      <c r="AV80" s="857"/>
      <c r="AW80" s="187"/>
      <c r="AX80" s="187"/>
      <c r="AY80" s="187"/>
      <c r="AZ80" s="179"/>
      <c r="BA80" s="179"/>
      <c r="BB80" s="179"/>
      <c r="BC80" s="179"/>
      <c r="BD80" s="179"/>
      <c r="BE80" s="179"/>
      <c r="BF80" s="179"/>
    </row>
    <row r="81" spans="1:58" s="168" customFormat="1" ht="27">
      <c r="A81" s="169"/>
      <c r="B81" s="215"/>
      <c r="C81" s="297" t="s">
        <v>923</v>
      </c>
      <c r="D81" s="169"/>
      <c r="E81" s="169"/>
      <c r="F81" s="169"/>
      <c r="G81" s="169"/>
      <c r="H81" s="169"/>
      <c r="I81" s="169"/>
      <c r="J81" s="169"/>
      <c r="K81" s="169"/>
      <c r="L81" s="169"/>
      <c r="M81" s="185"/>
      <c r="N81" s="577"/>
      <c r="O81" s="577"/>
      <c r="P81" s="577"/>
      <c r="Q81" s="577"/>
      <c r="R81" s="577"/>
      <c r="S81" s="577"/>
      <c r="T81" s="577"/>
      <c r="U81" s="577"/>
      <c r="V81" s="577"/>
      <c r="W81" s="577"/>
      <c r="X81" s="577"/>
      <c r="Y81" s="577"/>
      <c r="Z81" s="577"/>
      <c r="AA81" s="577"/>
      <c r="AB81" s="577"/>
      <c r="AC81" s="577"/>
      <c r="AD81" s="577"/>
      <c r="AE81" s="577"/>
      <c r="AF81" s="577"/>
      <c r="AG81" s="577"/>
      <c r="AH81" s="577"/>
      <c r="AI81" s="577"/>
      <c r="AJ81" s="577"/>
      <c r="AK81" s="577"/>
      <c r="AL81" s="577"/>
      <c r="AM81" s="577"/>
      <c r="AN81" s="577"/>
      <c r="AO81" s="577"/>
      <c r="AP81" s="577"/>
      <c r="AQ81" s="577"/>
      <c r="AR81" s="577"/>
      <c r="AS81" s="577"/>
      <c r="AT81" s="577"/>
      <c r="AU81" s="577"/>
      <c r="AV81" s="577"/>
      <c r="AW81" s="577"/>
      <c r="AX81" s="577"/>
      <c r="AY81" s="577"/>
      <c r="AZ81" s="179"/>
      <c r="BA81" s="179"/>
      <c r="BB81" s="179"/>
      <c r="BC81" s="179"/>
      <c r="BD81" s="179"/>
      <c r="BE81" s="179"/>
      <c r="BF81" s="179"/>
    </row>
    <row r="82" spans="1:58" s="168" customFormat="1" ht="15.75" customHeight="1">
      <c r="A82" s="169"/>
      <c r="B82" s="215"/>
      <c r="C82" s="299"/>
      <c r="D82" s="170"/>
      <c r="E82" s="170"/>
      <c r="F82" s="170"/>
      <c r="G82" s="170"/>
      <c r="H82" s="170"/>
      <c r="I82" s="170"/>
      <c r="J82" s="170"/>
      <c r="K82" s="170"/>
      <c r="L82" s="170"/>
      <c r="M82" s="170"/>
      <c r="N82" s="170"/>
      <c r="O82" s="170"/>
      <c r="P82" s="170"/>
      <c r="Q82" s="170"/>
      <c r="R82" s="170"/>
      <c r="S82" s="170"/>
      <c r="T82" s="170"/>
      <c r="U82" s="170"/>
      <c r="V82" s="170"/>
      <c r="W82" s="170"/>
      <c r="X82" s="170"/>
      <c r="Y82" s="170"/>
      <c r="Z82" s="170"/>
      <c r="AA82" s="170"/>
      <c r="AB82" s="170"/>
      <c r="AC82" s="170"/>
      <c r="AD82" s="170"/>
      <c r="AE82" s="170"/>
      <c r="AF82" s="170"/>
      <c r="AG82" s="170"/>
      <c r="AH82" s="170"/>
      <c r="AI82" s="170"/>
      <c r="AJ82" s="170"/>
      <c r="AK82" s="170"/>
      <c r="AL82" s="170"/>
      <c r="AM82" s="170"/>
      <c r="AN82" s="170"/>
      <c r="AO82" s="170"/>
      <c r="AP82" s="170"/>
      <c r="AQ82" s="170"/>
      <c r="AR82" s="170"/>
      <c r="AS82" s="170"/>
      <c r="AT82" s="170"/>
      <c r="AU82" s="170"/>
      <c r="AV82" s="170"/>
      <c r="AW82" s="170"/>
      <c r="AX82" s="170"/>
      <c r="AY82" s="170"/>
      <c r="AZ82" s="179"/>
      <c r="BA82" s="179"/>
      <c r="BB82" s="179"/>
      <c r="BC82" s="179"/>
      <c r="BD82" s="179"/>
      <c r="BE82" s="179"/>
      <c r="BF82" s="179"/>
    </row>
    <row r="83" spans="1:58" s="168" customFormat="1" ht="15.75" hidden="1" customHeight="1" outlineLevel="1">
      <c r="A83" s="169"/>
      <c r="B83" s="215"/>
      <c r="C83" s="295"/>
      <c r="D83" s="169"/>
      <c r="E83" s="169"/>
      <c r="F83" s="169"/>
      <c r="G83" s="169"/>
      <c r="H83" s="171"/>
      <c r="I83" s="171"/>
      <c r="J83" s="171"/>
      <c r="K83" s="171"/>
      <c r="L83" s="171"/>
      <c r="M83" s="171"/>
      <c r="N83" s="591"/>
      <c r="O83" s="171"/>
      <c r="P83" s="171"/>
      <c r="Q83" s="171"/>
      <c r="R83" s="171"/>
      <c r="S83" s="171"/>
      <c r="T83" s="171"/>
      <c r="U83" s="171"/>
      <c r="V83" s="171"/>
      <c r="W83" s="171"/>
      <c r="X83" s="171"/>
      <c r="Y83" s="171"/>
      <c r="Z83" s="171"/>
      <c r="AA83" s="171"/>
      <c r="AB83" s="171"/>
      <c r="AC83" s="171"/>
      <c r="AD83" s="171"/>
      <c r="AE83" s="171"/>
      <c r="AF83" s="171"/>
      <c r="AG83" s="171"/>
      <c r="AH83" s="171"/>
      <c r="AI83" s="171"/>
      <c r="AJ83" s="171"/>
      <c r="AK83" s="171"/>
      <c r="AL83" s="171"/>
      <c r="AM83" s="171"/>
      <c r="AN83" s="171"/>
      <c r="AO83" s="171"/>
      <c r="AP83" s="171"/>
      <c r="AQ83" s="171"/>
      <c r="AR83" s="171"/>
      <c r="AS83" s="171"/>
      <c r="AT83" s="171"/>
      <c r="AU83" s="171"/>
      <c r="AV83" s="171"/>
      <c r="AW83" s="171"/>
      <c r="AX83" s="171"/>
      <c r="AY83" s="171"/>
      <c r="AZ83" s="179"/>
      <c r="BA83" s="179"/>
      <c r="BB83" s="179"/>
      <c r="BC83" s="179"/>
      <c r="BD83" s="179"/>
      <c r="BE83" s="179"/>
      <c r="BF83" s="179"/>
    </row>
    <row r="84" spans="1:58" s="168" customFormat="1" ht="15.75" hidden="1" customHeight="1" outlineLevel="1">
      <c r="A84" s="169"/>
      <c r="B84" s="215"/>
      <c r="C84" s="302" t="s">
        <v>923</v>
      </c>
      <c r="D84" s="303"/>
      <c r="E84" s="303"/>
      <c r="F84" s="303"/>
      <c r="G84" s="303"/>
      <c r="H84" s="172"/>
      <c r="I84" s="172"/>
      <c r="J84" s="172"/>
      <c r="K84" s="172"/>
      <c r="L84" s="173"/>
      <c r="M84" s="173"/>
      <c r="N84" s="173"/>
      <c r="O84" s="173"/>
      <c r="P84" s="173"/>
      <c r="Q84" s="173"/>
      <c r="R84" s="173"/>
      <c r="S84" s="173"/>
      <c r="T84" s="173"/>
      <c r="U84" s="173"/>
      <c r="V84" s="173"/>
      <c r="W84" s="173"/>
      <c r="X84" s="173"/>
      <c r="Y84" s="173"/>
      <c r="Z84" s="173"/>
      <c r="AA84" s="173"/>
      <c r="AB84" s="173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9"/>
      <c r="BA84" s="179"/>
      <c r="BB84" s="179"/>
      <c r="BC84" s="179"/>
      <c r="BD84" s="179"/>
      <c r="BE84" s="179"/>
      <c r="BF84" s="179"/>
    </row>
    <row r="85" spans="1:58" s="168" customFormat="1" ht="15.75" hidden="1" customHeight="1" outlineLevel="1">
      <c r="A85" s="169"/>
      <c r="B85" s="215"/>
      <c r="C85" s="603"/>
      <c r="D85" s="233"/>
      <c r="E85" s="233"/>
      <c r="F85" s="233"/>
      <c r="G85" s="603"/>
      <c r="H85" s="603"/>
      <c r="I85" s="174"/>
      <c r="J85" s="174"/>
      <c r="K85" s="174"/>
      <c r="L85" s="174"/>
      <c r="M85" s="1300"/>
      <c r="N85" s="1300"/>
      <c r="O85" s="175">
        <v>-3</v>
      </c>
      <c r="P85" s="175">
        <f>O85+1</f>
        <v>-2</v>
      </c>
      <c r="Q85" s="175">
        <f>P85+1</f>
        <v>-1</v>
      </c>
      <c r="R85" s="175">
        <f>Q85+2</f>
        <v>1</v>
      </c>
      <c r="S85" s="175">
        <f>$S$8</f>
        <v>0</v>
      </c>
      <c r="T85" s="175">
        <f>$T$8</f>
        <v>0</v>
      </c>
      <c r="U85" s="175" t="str">
        <f>$U$7</f>
        <v>Revised</v>
      </c>
      <c r="V85" s="175">
        <f>R85+1</f>
        <v>2</v>
      </c>
      <c r="W85" s="175">
        <f>V85+1</f>
        <v>3</v>
      </c>
      <c r="X85" s="175">
        <f t="shared" ref="X85:AU86" si="33">W85+1</f>
        <v>4</v>
      </c>
      <c r="Y85" s="175">
        <f t="shared" si="33"/>
        <v>5</v>
      </c>
      <c r="Z85" s="175">
        <f t="shared" si="33"/>
        <v>6</v>
      </c>
      <c r="AA85" s="175">
        <f t="shared" si="33"/>
        <v>7</v>
      </c>
      <c r="AB85" s="175">
        <f t="shared" si="33"/>
        <v>8</v>
      </c>
      <c r="AC85" s="175">
        <f t="shared" si="33"/>
        <v>9</v>
      </c>
      <c r="AD85" s="175">
        <f t="shared" si="33"/>
        <v>10</v>
      </c>
      <c r="AE85" s="175">
        <f t="shared" si="33"/>
        <v>11</v>
      </c>
      <c r="AF85" s="175">
        <f t="shared" si="33"/>
        <v>12</v>
      </c>
      <c r="AG85" s="175">
        <f t="shared" si="33"/>
        <v>13</v>
      </c>
      <c r="AH85" s="175">
        <f t="shared" si="33"/>
        <v>14</v>
      </c>
      <c r="AI85" s="175">
        <f t="shared" si="33"/>
        <v>15</v>
      </c>
      <c r="AJ85" s="175">
        <f t="shared" si="33"/>
        <v>16</v>
      </c>
      <c r="AK85" s="175">
        <f t="shared" si="33"/>
        <v>17</v>
      </c>
      <c r="AL85" s="175">
        <f t="shared" si="33"/>
        <v>18</v>
      </c>
      <c r="AM85" s="175">
        <f t="shared" si="33"/>
        <v>19</v>
      </c>
      <c r="AN85" s="175">
        <f t="shared" si="33"/>
        <v>20</v>
      </c>
      <c r="AO85" s="175">
        <f t="shared" si="33"/>
        <v>21</v>
      </c>
      <c r="AP85" s="175">
        <f t="shared" si="33"/>
        <v>22</v>
      </c>
      <c r="AQ85" s="175">
        <f t="shared" si="33"/>
        <v>23</v>
      </c>
      <c r="AR85" s="175">
        <f t="shared" si="33"/>
        <v>24</v>
      </c>
      <c r="AS85" s="175">
        <f t="shared" si="33"/>
        <v>25</v>
      </c>
      <c r="AT85" s="175">
        <f t="shared" si="33"/>
        <v>26</v>
      </c>
      <c r="AU85" s="175">
        <f t="shared" si="33"/>
        <v>27</v>
      </c>
      <c r="AV85" s="175"/>
      <c r="AW85" s="175"/>
      <c r="AX85" s="175"/>
      <c r="AY85" s="175"/>
      <c r="AZ85" s="179"/>
      <c r="BA85" s="179"/>
      <c r="BB85" s="179"/>
      <c r="BC85" s="179"/>
      <c r="BD85" s="179"/>
      <c r="BE85" s="179"/>
      <c r="BF85" s="179"/>
    </row>
    <row r="86" spans="1:58" s="168" customFormat="1" ht="15.75" hidden="1" customHeight="1" outlineLevel="1">
      <c r="A86" s="169"/>
      <c r="B86" s="215"/>
      <c r="C86" s="604"/>
      <c r="D86" s="234"/>
      <c r="E86" s="234"/>
      <c r="F86" s="234"/>
      <c r="G86" s="604"/>
      <c r="H86" s="604"/>
      <c r="I86" s="176"/>
      <c r="J86" s="176"/>
      <c r="K86" s="176"/>
      <c r="L86" s="176"/>
      <c r="M86" s="758"/>
      <c r="N86" s="758"/>
      <c r="O86" s="758"/>
      <c r="P86" s="758"/>
      <c r="Q86" s="758">
        <f>Q8</f>
        <v>0</v>
      </c>
      <c r="R86" s="758">
        <f>Q86+1</f>
        <v>1</v>
      </c>
      <c r="S86" s="758"/>
      <c r="T86" s="758"/>
      <c r="U86" s="758">
        <f>$U$8</f>
        <v>0</v>
      </c>
      <c r="V86" s="758">
        <f>R86+1</f>
        <v>2</v>
      </c>
      <c r="W86" s="758">
        <f>V86+1</f>
        <v>3</v>
      </c>
      <c r="X86" s="758">
        <f t="shared" si="33"/>
        <v>4</v>
      </c>
      <c r="Y86" s="758">
        <f t="shared" si="33"/>
        <v>5</v>
      </c>
      <c r="Z86" s="758">
        <f t="shared" si="33"/>
        <v>6</v>
      </c>
      <c r="AA86" s="758">
        <f t="shared" si="33"/>
        <v>7</v>
      </c>
      <c r="AB86" s="758">
        <f t="shared" si="33"/>
        <v>8</v>
      </c>
      <c r="AC86" s="758">
        <f t="shared" si="33"/>
        <v>9</v>
      </c>
      <c r="AD86" s="758">
        <f t="shared" si="33"/>
        <v>10</v>
      </c>
      <c r="AE86" s="758">
        <f t="shared" si="33"/>
        <v>11</v>
      </c>
      <c r="AF86" s="758">
        <f t="shared" si="33"/>
        <v>12</v>
      </c>
      <c r="AG86" s="758">
        <f t="shared" si="33"/>
        <v>13</v>
      </c>
      <c r="AH86" s="758">
        <f t="shared" si="33"/>
        <v>14</v>
      </c>
      <c r="AI86" s="758">
        <f t="shared" si="33"/>
        <v>15</v>
      </c>
      <c r="AJ86" s="758">
        <f t="shared" si="33"/>
        <v>16</v>
      </c>
      <c r="AK86" s="758">
        <f t="shared" si="33"/>
        <v>17</v>
      </c>
      <c r="AL86" s="758">
        <f t="shared" si="33"/>
        <v>18</v>
      </c>
      <c r="AM86" s="758">
        <f t="shared" si="33"/>
        <v>19</v>
      </c>
      <c r="AN86" s="758">
        <f t="shared" si="33"/>
        <v>20</v>
      </c>
      <c r="AO86" s="758">
        <f t="shared" si="33"/>
        <v>21</v>
      </c>
      <c r="AP86" s="758">
        <f t="shared" si="33"/>
        <v>22</v>
      </c>
      <c r="AQ86" s="758">
        <f t="shared" si="33"/>
        <v>23</v>
      </c>
      <c r="AR86" s="758">
        <f t="shared" si="33"/>
        <v>24</v>
      </c>
      <c r="AS86" s="758">
        <f t="shared" si="33"/>
        <v>25</v>
      </c>
      <c r="AT86" s="758">
        <f t="shared" si="33"/>
        <v>26</v>
      </c>
      <c r="AU86" s="758">
        <f t="shared" si="33"/>
        <v>27</v>
      </c>
      <c r="AV86" s="758"/>
      <c r="AW86" s="758"/>
      <c r="AX86" s="758"/>
      <c r="AY86" s="758"/>
      <c r="AZ86" s="179"/>
      <c r="BA86" s="179"/>
      <c r="BB86" s="179"/>
      <c r="BC86" s="179"/>
      <c r="BD86" s="179"/>
      <c r="BE86" s="179"/>
      <c r="BF86" s="179"/>
    </row>
    <row r="87" spans="1:58" s="168" customFormat="1" ht="15.75" hidden="1" customHeight="1" outlineLevel="1">
      <c r="A87" s="169"/>
      <c r="B87" s="215"/>
      <c r="C87" s="177"/>
      <c r="D87" s="260"/>
      <c r="E87" s="235"/>
      <c r="F87" s="235"/>
      <c r="G87" s="177"/>
      <c r="H87" s="177"/>
      <c r="I87" s="178"/>
      <c r="J87" s="178"/>
      <c r="K87" s="178"/>
      <c r="L87" s="178"/>
      <c r="M87" s="178" t="s">
        <v>499</v>
      </c>
      <c r="N87" s="178" t="s">
        <v>499</v>
      </c>
      <c r="O87" s="178" t="s">
        <v>499</v>
      </c>
      <c r="P87" s="178" t="str">
        <f t="shared" ref="P87:U87" si="34">O87</f>
        <v>($)</v>
      </c>
      <c r="Q87" s="178" t="str">
        <f t="shared" si="34"/>
        <v>($)</v>
      </c>
      <c r="R87" s="178" t="str">
        <f t="shared" si="34"/>
        <v>($)</v>
      </c>
      <c r="S87" s="178" t="str">
        <f t="shared" si="34"/>
        <v>($)</v>
      </c>
      <c r="T87" s="178" t="str">
        <f t="shared" si="34"/>
        <v>($)</v>
      </c>
      <c r="U87" s="178" t="str">
        <f t="shared" si="34"/>
        <v>($)</v>
      </c>
      <c r="V87" s="178" t="str">
        <f>R87</f>
        <v>($)</v>
      </c>
      <c r="W87" s="178" t="str">
        <f>V87</f>
        <v>($)</v>
      </c>
      <c r="X87" s="178" t="str">
        <f t="shared" ref="X87:AU87" si="35">W87</f>
        <v>($)</v>
      </c>
      <c r="Y87" s="178" t="str">
        <f t="shared" si="35"/>
        <v>($)</v>
      </c>
      <c r="Z87" s="178" t="str">
        <f t="shared" si="35"/>
        <v>($)</v>
      </c>
      <c r="AA87" s="178" t="str">
        <f t="shared" si="35"/>
        <v>($)</v>
      </c>
      <c r="AB87" s="178" t="str">
        <f t="shared" si="35"/>
        <v>($)</v>
      </c>
      <c r="AC87" s="178" t="str">
        <f t="shared" si="35"/>
        <v>($)</v>
      </c>
      <c r="AD87" s="178" t="str">
        <f t="shared" si="35"/>
        <v>($)</v>
      </c>
      <c r="AE87" s="178" t="str">
        <f t="shared" si="35"/>
        <v>($)</v>
      </c>
      <c r="AF87" s="178" t="str">
        <f t="shared" si="35"/>
        <v>($)</v>
      </c>
      <c r="AG87" s="178" t="str">
        <f t="shared" si="35"/>
        <v>($)</v>
      </c>
      <c r="AH87" s="178" t="str">
        <f t="shared" si="35"/>
        <v>($)</v>
      </c>
      <c r="AI87" s="178" t="str">
        <f t="shared" si="35"/>
        <v>($)</v>
      </c>
      <c r="AJ87" s="178" t="str">
        <f t="shared" si="35"/>
        <v>($)</v>
      </c>
      <c r="AK87" s="178" t="str">
        <f t="shared" si="35"/>
        <v>($)</v>
      </c>
      <c r="AL87" s="178" t="str">
        <f t="shared" si="35"/>
        <v>($)</v>
      </c>
      <c r="AM87" s="178" t="str">
        <f t="shared" si="35"/>
        <v>($)</v>
      </c>
      <c r="AN87" s="178" t="str">
        <f t="shared" si="35"/>
        <v>($)</v>
      </c>
      <c r="AO87" s="178" t="str">
        <f t="shared" si="35"/>
        <v>($)</v>
      </c>
      <c r="AP87" s="178" t="str">
        <f t="shared" si="35"/>
        <v>($)</v>
      </c>
      <c r="AQ87" s="178" t="str">
        <f t="shared" si="35"/>
        <v>($)</v>
      </c>
      <c r="AR87" s="178" t="str">
        <f t="shared" si="35"/>
        <v>($)</v>
      </c>
      <c r="AS87" s="178" t="str">
        <f t="shared" si="35"/>
        <v>($)</v>
      </c>
      <c r="AT87" s="178" t="str">
        <f t="shared" si="35"/>
        <v>($)</v>
      </c>
      <c r="AU87" s="178" t="str">
        <f t="shared" si="35"/>
        <v>($)</v>
      </c>
      <c r="AV87" s="178"/>
      <c r="AW87" s="178"/>
      <c r="AX87" s="178"/>
      <c r="AY87" s="178"/>
      <c r="AZ87" s="179"/>
      <c r="BA87" s="179"/>
      <c r="BB87" s="179"/>
      <c r="BC87" s="179"/>
      <c r="BD87" s="179"/>
      <c r="BE87" s="179"/>
      <c r="BF87" s="179"/>
    </row>
    <row r="88" spans="1:58" s="215" customFormat="1" ht="15.75" hidden="1" customHeight="1" outlineLevel="1">
      <c r="A88" s="214"/>
      <c r="C88" s="581"/>
      <c r="D88" s="242"/>
      <c r="E88" s="249"/>
      <c r="F88" s="249"/>
      <c r="G88" s="186"/>
      <c r="H88" s="186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79"/>
      <c r="BA88" s="179"/>
      <c r="BB88" s="179"/>
      <c r="BC88" s="179"/>
      <c r="BD88" s="179"/>
      <c r="BE88" s="179"/>
      <c r="BF88" s="179"/>
    </row>
    <row r="89" spans="1:58" s="215" customFormat="1" ht="15.75" hidden="1" customHeight="1" outlineLevel="1">
      <c r="A89" s="214"/>
      <c r="C89" s="580" t="s">
        <v>1602</v>
      </c>
      <c r="D89" s="242"/>
      <c r="E89" s="249"/>
      <c r="F89" s="249"/>
      <c r="G89" s="186"/>
      <c r="H89" s="186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79"/>
      <c r="BA89" s="179"/>
      <c r="BB89" s="179"/>
      <c r="BC89" s="179"/>
      <c r="BD89" s="179"/>
      <c r="BE89" s="179"/>
      <c r="BF89" s="179"/>
    </row>
    <row r="90" spans="1:58" s="215" customFormat="1" ht="15.75" hidden="1" customHeight="1" outlineLevel="1">
      <c r="A90" s="214"/>
      <c r="C90" s="581" t="s">
        <v>1603</v>
      </c>
      <c r="D90" s="242"/>
      <c r="E90" s="249"/>
      <c r="F90" s="249"/>
      <c r="G90" s="186"/>
      <c r="H90" s="186"/>
      <c r="I90" s="187"/>
      <c r="J90" s="187"/>
      <c r="K90" s="187"/>
      <c r="L90" s="187"/>
      <c r="M90" s="187"/>
      <c r="N90" s="187"/>
      <c r="O90" s="187"/>
      <c r="P90" s="187"/>
      <c r="Q90" s="1001"/>
      <c r="R90" s="1001"/>
      <c r="S90" s="1001"/>
      <c r="T90" s="1001"/>
      <c r="U90" s="1001"/>
      <c r="V90" s="1001"/>
      <c r="W90" s="1001"/>
      <c r="X90" s="1001"/>
      <c r="Y90" s="1001"/>
      <c r="Z90" s="1001"/>
      <c r="AA90" s="1001"/>
      <c r="AB90" s="1001"/>
      <c r="AC90" s="1001"/>
      <c r="AD90" s="1001"/>
      <c r="AE90" s="1001"/>
      <c r="AF90" s="1001"/>
      <c r="AG90" s="1001"/>
      <c r="AH90" s="1001"/>
      <c r="AI90" s="1001"/>
      <c r="AJ90" s="1001"/>
      <c r="AK90" s="1001"/>
      <c r="AL90" s="1001"/>
      <c r="AM90" s="1001"/>
      <c r="AN90" s="1001"/>
      <c r="AO90" s="1001"/>
      <c r="AP90" s="1001"/>
      <c r="AQ90" s="1001"/>
      <c r="AR90" s="1001"/>
      <c r="AS90" s="1001"/>
      <c r="AT90" s="1001"/>
      <c r="AU90" s="1001"/>
      <c r="AV90" s="187"/>
      <c r="AW90" s="187"/>
      <c r="AX90" s="187"/>
      <c r="AY90" s="187"/>
      <c r="AZ90" s="179"/>
      <c r="BA90" s="179"/>
      <c r="BB90" s="179"/>
      <c r="BC90" s="179"/>
      <c r="BD90" s="179"/>
      <c r="BE90" s="179"/>
      <c r="BF90" s="179"/>
    </row>
    <row r="91" spans="1:58" s="215" customFormat="1" ht="15.75" hidden="1" customHeight="1" outlineLevel="1">
      <c r="A91" s="214"/>
      <c r="C91" s="581" t="s">
        <v>1604</v>
      </c>
      <c r="D91" s="242"/>
      <c r="E91" s="249"/>
      <c r="F91" s="249"/>
      <c r="G91" s="186"/>
      <c r="H91" s="186"/>
      <c r="I91" s="187"/>
      <c r="J91" s="187"/>
      <c r="K91" s="187"/>
      <c r="L91" s="187"/>
      <c r="M91" s="187"/>
      <c r="N91" s="187"/>
      <c r="O91" s="187"/>
      <c r="P91" s="187"/>
      <c r="Q91" s="1001"/>
      <c r="R91" s="1001"/>
      <c r="S91" s="1001"/>
      <c r="T91" s="1001"/>
      <c r="U91" s="1001"/>
      <c r="V91" s="1001"/>
      <c r="W91" s="1001"/>
      <c r="X91" s="1001"/>
      <c r="Y91" s="1001"/>
      <c r="Z91" s="1001"/>
      <c r="AA91" s="1001"/>
      <c r="AB91" s="1001"/>
      <c r="AC91" s="1001"/>
      <c r="AD91" s="1001"/>
      <c r="AE91" s="1001"/>
      <c r="AF91" s="1001"/>
      <c r="AG91" s="1001"/>
      <c r="AH91" s="1001"/>
      <c r="AI91" s="1001"/>
      <c r="AJ91" s="1001"/>
      <c r="AK91" s="1001"/>
      <c r="AL91" s="1001"/>
      <c r="AM91" s="1001"/>
      <c r="AN91" s="1001"/>
      <c r="AO91" s="1001"/>
      <c r="AP91" s="1001"/>
      <c r="AQ91" s="1001"/>
      <c r="AR91" s="1001"/>
      <c r="AS91" s="1001"/>
      <c r="AT91" s="1001"/>
      <c r="AU91" s="1001"/>
      <c r="AV91" s="187"/>
      <c r="AW91" s="187"/>
      <c r="AX91" s="187"/>
      <c r="AY91" s="187"/>
      <c r="AZ91" s="179"/>
      <c r="BA91" s="179"/>
      <c r="BB91" s="179"/>
      <c r="BC91" s="179"/>
      <c r="BD91" s="179"/>
      <c r="BE91" s="179"/>
      <c r="BF91" s="179"/>
    </row>
    <row r="92" spans="1:58" s="215" customFormat="1" ht="15.75" hidden="1" customHeight="1" outlineLevel="1">
      <c r="A92" s="214"/>
      <c r="C92" s="581"/>
      <c r="D92" s="242"/>
      <c r="E92" s="249"/>
      <c r="F92" s="249"/>
      <c r="G92" s="186"/>
      <c r="H92" s="186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79"/>
      <c r="BA92" s="179"/>
      <c r="BB92" s="179"/>
      <c r="BC92" s="179"/>
      <c r="BD92" s="179"/>
      <c r="BE92" s="179"/>
      <c r="BF92" s="179"/>
    </row>
    <row r="93" spans="1:58" s="215" customFormat="1" ht="15.75" hidden="1" customHeight="1" outlineLevel="1">
      <c r="A93" s="214"/>
      <c r="C93" s="580" t="s">
        <v>1605</v>
      </c>
      <c r="D93" s="242"/>
      <c r="E93" s="249"/>
      <c r="F93" s="249"/>
      <c r="G93" s="186"/>
      <c r="H93" s="186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79"/>
      <c r="BA93" s="179"/>
      <c r="BB93" s="179"/>
      <c r="BC93" s="179"/>
      <c r="BD93" s="179"/>
      <c r="BE93" s="179"/>
      <c r="BF93" s="179"/>
    </row>
    <row r="94" spans="1:58" s="215" customFormat="1" ht="15.75" hidden="1" customHeight="1" outlineLevel="1">
      <c r="A94" s="214"/>
      <c r="C94" s="581" t="s">
        <v>1603</v>
      </c>
      <c r="D94" s="242"/>
      <c r="E94" s="249"/>
      <c r="F94" s="249"/>
      <c r="G94" s="186"/>
      <c r="H94" s="186"/>
      <c r="I94" s="187"/>
      <c r="J94" s="187"/>
      <c r="K94" s="187"/>
      <c r="L94" s="187"/>
      <c r="M94" s="187"/>
      <c r="N94" s="187"/>
      <c r="O94" s="187"/>
      <c r="P94" s="187"/>
      <c r="Q94" s="1001"/>
      <c r="R94" s="1001"/>
      <c r="S94" s="1001"/>
      <c r="T94" s="1001"/>
      <c r="U94" s="1001"/>
      <c r="V94" s="1001"/>
      <c r="W94" s="1001"/>
      <c r="X94" s="1001"/>
      <c r="Y94" s="1001"/>
      <c r="Z94" s="1001"/>
      <c r="AA94" s="1001"/>
      <c r="AB94" s="1001"/>
      <c r="AC94" s="1001"/>
      <c r="AD94" s="1001"/>
      <c r="AE94" s="1001"/>
      <c r="AF94" s="1001"/>
      <c r="AG94" s="1001"/>
      <c r="AH94" s="1001"/>
      <c r="AI94" s="1001"/>
      <c r="AJ94" s="1001"/>
      <c r="AK94" s="1001"/>
      <c r="AL94" s="1001"/>
      <c r="AM94" s="1001"/>
      <c r="AN94" s="1001"/>
      <c r="AO94" s="1001"/>
      <c r="AP94" s="1001"/>
      <c r="AQ94" s="1001"/>
      <c r="AR94" s="1001"/>
      <c r="AS94" s="1001"/>
      <c r="AT94" s="1001"/>
      <c r="AU94" s="1001"/>
      <c r="AV94" s="187"/>
      <c r="AW94" s="187"/>
      <c r="AX94" s="187"/>
      <c r="AY94" s="187"/>
      <c r="AZ94" s="179"/>
      <c r="BA94" s="179"/>
      <c r="BB94" s="179"/>
      <c r="BC94" s="179"/>
      <c r="BD94" s="179"/>
      <c r="BE94" s="179"/>
      <c r="BF94" s="179"/>
    </row>
    <row r="95" spans="1:58" s="215" customFormat="1" ht="15.75" hidden="1" customHeight="1" outlineLevel="1">
      <c r="A95" s="214"/>
      <c r="C95" s="581" t="s">
        <v>1604</v>
      </c>
      <c r="D95" s="242"/>
      <c r="E95" s="249"/>
      <c r="F95" s="249"/>
      <c r="G95" s="186"/>
      <c r="H95" s="186"/>
      <c r="I95" s="187"/>
      <c r="J95" s="187"/>
      <c r="K95" s="187"/>
      <c r="L95" s="187"/>
      <c r="M95" s="187"/>
      <c r="N95" s="187"/>
      <c r="O95" s="187"/>
      <c r="P95" s="187"/>
      <c r="Q95" s="1001"/>
      <c r="R95" s="1001"/>
      <c r="S95" s="1001"/>
      <c r="T95" s="1001"/>
      <c r="U95" s="1001"/>
      <c r="V95" s="1001"/>
      <c r="W95" s="1001"/>
      <c r="X95" s="1001"/>
      <c r="Y95" s="1001"/>
      <c r="Z95" s="1001"/>
      <c r="AA95" s="1001"/>
      <c r="AB95" s="1001"/>
      <c r="AC95" s="1001"/>
      <c r="AD95" s="1001"/>
      <c r="AE95" s="1001"/>
      <c r="AF95" s="1001"/>
      <c r="AG95" s="1001"/>
      <c r="AH95" s="1001"/>
      <c r="AI95" s="1001"/>
      <c r="AJ95" s="1001"/>
      <c r="AK95" s="1001"/>
      <c r="AL95" s="1001"/>
      <c r="AM95" s="1001"/>
      <c r="AN95" s="1001"/>
      <c r="AO95" s="1001"/>
      <c r="AP95" s="1001"/>
      <c r="AQ95" s="1001"/>
      <c r="AR95" s="1001"/>
      <c r="AS95" s="1001"/>
      <c r="AT95" s="1001"/>
      <c r="AU95" s="1001"/>
      <c r="AV95" s="187"/>
      <c r="AW95" s="187"/>
      <c r="AX95" s="187"/>
      <c r="AY95" s="187"/>
      <c r="AZ95" s="179"/>
      <c r="BA95" s="179"/>
      <c r="BB95" s="179"/>
      <c r="BC95" s="179"/>
      <c r="BD95" s="179"/>
      <c r="BE95" s="179"/>
      <c r="BF95" s="179"/>
    </row>
    <row r="96" spans="1:58" s="215" customFormat="1" ht="15.75" hidden="1" customHeight="1" outlineLevel="1">
      <c r="A96" s="214"/>
      <c r="C96" s="582"/>
      <c r="D96" s="242"/>
      <c r="E96" s="249"/>
      <c r="F96" s="249"/>
      <c r="G96" s="186"/>
      <c r="H96" s="186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79"/>
      <c r="BA96" s="179"/>
      <c r="BB96" s="179"/>
      <c r="BC96" s="179"/>
      <c r="BD96" s="179"/>
      <c r="BE96" s="179"/>
      <c r="BF96" s="179"/>
    </row>
    <row r="97" spans="1:58" s="215" customFormat="1" ht="15.75" hidden="1" customHeight="1" outlineLevel="1">
      <c r="A97" s="214"/>
      <c r="C97" s="580" t="s">
        <v>1606</v>
      </c>
      <c r="D97" s="242"/>
      <c r="E97" s="249"/>
      <c r="F97" s="249"/>
      <c r="G97" s="186"/>
      <c r="H97" s="186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  <c r="AG97" s="187"/>
      <c r="AH97" s="187"/>
      <c r="AI97" s="187"/>
      <c r="AJ97" s="187"/>
      <c r="AK97" s="187"/>
      <c r="AL97" s="187"/>
      <c r="AM97" s="187"/>
      <c r="AN97" s="187"/>
      <c r="AO97" s="187"/>
      <c r="AP97" s="187"/>
      <c r="AQ97" s="187"/>
      <c r="AR97" s="187"/>
      <c r="AS97" s="187"/>
      <c r="AT97" s="187"/>
      <c r="AU97" s="187"/>
      <c r="AV97" s="187"/>
      <c r="AW97" s="187"/>
      <c r="AX97" s="187"/>
      <c r="AY97" s="187"/>
      <c r="AZ97" s="179"/>
      <c r="BA97" s="179"/>
      <c r="BB97" s="179"/>
      <c r="BC97" s="179"/>
      <c r="BD97" s="179"/>
      <c r="BE97" s="179"/>
      <c r="BF97" s="179"/>
    </row>
    <row r="98" spans="1:58" s="215" customFormat="1" ht="15.75" hidden="1" customHeight="1" outlineLevel="1">
      <c r="A98" s="214"/>
      <c r="C98" s="581" t="s">
        <v>1603</v>
      </c>
      <c r="D98" s="242"/>
      <c r="E98" s="249"/>
      <c r="F98" s="249"/>
      <c r="G98" s="186"/>
      <c r="H98" s="186"/>
      <c r="I98" s="187"/>
      <c r="J98" s="187"/>
      <c r="K98" s="187"/>
      <c r="L98" s="187"/>
      <c r="M98" s="187"/>
      <c r="N98" s="187"/>
      <c r="O98" s="187"/>
      <c r="P98" s="187"/>
      <c r="Q98" s="1001"/>
      <c r="R98" s="1001"/>
      <c r="S98" s="1001"/>
      <c r="T98" s="1001"/>
      <c r="U98" s="1001"/>
      <c r="V98" s="1001"/>
      <c r="W98" s="1001"/>
      <c r="X98" s="1001"/>
      <c r="Y98" s="1001"/>
      <c r="Z98" s="1001"/>
      <c r="AA98" s="1001"/>
      <c r="AB98" s="1001"/>
      <c r="AC98" s="1001"/>
      <c r="AD98" s="1001"/>
      <c r="AE98" s="1001"/>
      <c r="AF98" s="1001"/>
      <c r="AG98" s="1001"/>
      <c r="AH98" s="1001"/>
      <c r="AI98" s="1001"/>
      <c r="AJ98" s="1001"/>
      <c r="AK98" s="1001"/>
      <c r="AL98" s="1001"/>
      <c r="AM98" s="1001"/>
      <c r="AN98" s="1001"/>
      <c r="AO98" s="1001"/>
      <c r="AP98" s="1001"/>
      <c r="AQ98" s="1001"/>
      <c r="AR98" s="1001"/>
      <c r="AS98" s="1001"/>
      <c r="AT98" s="1001"/>
      <c r="AU98" s="1001"/>
      <c r="AV98" s="187"/>
      <c r="AW98" s="187"/>
      <c r="AX98" s="187"/>
      <c r="AY98" s="187"/>
      <c r="AZ98" s="179"/>
      <c r="BA98" s="179"/>
      <c r="BB98" s="179"/>
      <c r="BC98" s="179"/>
      <c r="BD98" s="179"/>
      <c r="BE98" s="179"/>
      <c r="BF98" s="179"/>
    </row>
    <row r="99" spans="1:58" s="215" customFormat="1" ht="15.75" hidden="1" customHeight="1" outlineLevel="1">
      <c r="A99" s="214"/>
      <c r="C99" s="581" t="s">
        <v>1604</v>
      </c>
      <c r="D99" s="242"/>
      <c r="E99" s="249"/>
      <c r="F99" s="249"/>
      <c r="G99" s="186"/>
      <c r="H99" s="186"/>
      <c r="I99" s="187"/>
      <c r="J99" s="187"/>
      <c r="K99" s="187"/>
      <c r="L99" s="187"/>
      <c r="M99" s="187"/>
      <c r="N99" s="187"/>
      <c r="O99" s="187"/>
      <c r="P99" s="187"/>
      <c r="Q99" s="1001"/>
      <c r="R99" s="1001"/>
      <c r="S99" s="1001"/>
      <c r="T99" s="1001"/>
      <c r="U99" s="1001"/>
      <c r="V99" s="1001"/>
      <c r="W99" s="1001"/>
      <c r="X99" s="1001"/>
      <c r="Y99" s="1001"/>
      <c r="Z99" s="1001"/>
      <c r="AA99" s="1001"/>
      <c r="AB99" s="1001"/>
      <c r="AC99" s="1001"/>
      <c r="AD99" s="1001"/>
      <c r="AE99" s="1001"/>
      <c r="AF99" s="1001"/>
      <c r="AG99" s="1001"/>
      <c r="AH99" s="1001"/>
      <c r="AI99" s="1001"/>
      <c r="AJ99" s="1001"/>
      <c r="AK99" s="1001"/>
      <c r="AL99" s="1001"/>
      <c r="AM99" s="1001"/>
      <c r="AN99" s="1001"/>
      <c r="AO99" s="1001"/>
      <c r="AP99" s="1001"/>
      <c r="AQ99" s="1001"/>
      <c r="AR99" s="1001"/>
      <c r="AS99" s="1001"/>
      <c r="AT99" s="1001"/>
      <c r="AU99" s="1001"/>
      <c r="AV99" s="187"/>
      <c r="AW99" s="187"/>
      <c r="AX99" s="187"/>
      <c r="AY99" s="187"/>
      <c r="AZ99" s="179"/>
      <c r="BA99" s="179"/>
      <c r="BB99" s="179"/>
      <c r="BC99" s="179"/>
      <c r="BD99" s="179"/>
      <c r="BE99" s="179"/>
      <c r="BF99" s="179"/>
    </row>
    <row r="100" spans="1:58" s="215" customFormat="1" ht="15.75" hidden="1" customHeight="1" outlineLevel="1">
      <c r="A100" s="214"/>
      <c r="C100" s="581"/>
      <c r="D100" s="242"/>
      <c r="E100" s="249"/>
      <c r="F100" s="249"/>
      <c r="G100" s="186"/>
      <c r="H100" s="186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7"/>
      <c r="AM100" s="187"/>
      <c r="AN100" s="187"/>
      <c r="AO100" s="187"/>
      <c r="AP100" s="187"/>
      <c r="AQ100" s="187"/>
      <c r="AR100" s="187"/>
      <c r="AS100" s="187"/>
      <c r="AT100" s="187"/>
      <c r="AU100" s="187"/>
      <c r="AV100" s="187"/>
      <c r="AW100" s="187"/>
      <c r="AX100" s="187"/>
      <c r="AY100" s="187"/>
      <c r="AZ100" s="179"/>
      <c r="BA100" s="179"/>
      <c r="BB100" s="179"/>
      <c r="BC100" s="179"/>
      <c r="BD100" s="179"/>
      <c r="BE100" s="179"/>
      <c r="BF100" s="179"/>
    </row>
    <row r="101" spans="1:58" s="215" customFormat="1" ht="15.75" hidden="1" customHeight="1" outlineLevel="1">
      <c r="A101" s="214"/>
      <c r="C101" s="580" t="s">
        <v>1607</v>
      </c>
      <c r="D101" s="242"/>
      <c r="E101" s="249"/>
      <c r="F101" s="249"/>
      <c r="G101" s="186"/>
      <c r="H101" s="186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  <c r="AP101" s="187"/>
      <c r="AQ101" s="187"/>
      <c r="AR101" s="187"/>
      <c r="AS101" s="187"/>
      <c r="AT101" s="187"/>
      <c r="AU101" s="187"/>
      <c r="AV101" s="187"/>
      <c r="AW101" s="187"/>
      <c r="AX101" s="187"/>
      <c r="AY101" s="187"/>
      <c r="AZ101" s="179"/>
      <c r="BA101" s="179"/>
      <c r="BB101" s="179"/>
      <c r="BC101" s="179"/>
      <c r="BD101" s="179"/>
      <c r="BE101" s="179"/>
      <c r="BF101" s="179"/>
    </row>
    <row r="102" spans="1:58" s="215" customFormat="1" ht="15.75" hidden="1" customHeight="1" outlineLevel="1">
      <c r="A102" s="214"/>
      <c r="C102" s="581" t="s">
        <v>1608</v>
      </c>
      <c r="D102" s="242"/>
      <c r="E102" s="249"/>
      <c r="F102" s="249"/>
      <c r="G102" s="186"/>
      <c r="H102" s="186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79"/>
      <c r="BA102" s="179"/>
      <c r="BB102" s="179"/>
      <c r="BC102" s="179"/>
      <c r="BD102" s="179"/>
      <c r="BE102" s="179"/>
      <c r="BF102" s="179"/>
    </row>
    <row r="103" spans="1:58" s="215" customFormat="1" ht="15.75" hidden="1" customHeight="1" outlineLevel="1">
      <c r="A103" s="214"/>
      <c r="C103" s="581" t="s">
        <v>1609</v>
      </c>
      <c r="D103" s="242"/>
      <c r="E103" s="249"/>
      <c r="F103" s="249"/>
      <c r="G103" s="186"/>
      <c r="H103" s="186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/>
      <c r="AK103" s="187"/>
      <c r="AL103" s="187"/>
      <c r="AM103" s="187"/>
      <c r="AN103" s="187"/>
      <c r="AO103" s="187"/>
      <c r="AP103" s="187"/>
      <c r="AQ103" s="187"/>
      <c r="AR103" s="187"/>
      <c r="AS103" s="187"/>
      <c r="AT103" s="187"/>
      <c r="AU103" s="187"/>
      <c r="AV103" s="187"/>
      <c r="AW103" s="187"/>
      <c r="AX103" s="187"/>
      <c r="AY103" s="187"/>
      <c r="AZ103" s="179"/>
      <c r="BA103" s="179"/>
      <c r="BB103" s="179"/>
      <c r="BC103" s="179"/>
      <c r="BD103" s="179"/>
      <c r="BE103" s="179"/>
      <c r="BF103" s="179"/>
    </row>
    <row r="104" spans="1:58" s="215" customFormat="1" ht="15.75" hidden="1" customHeight="1" outlineLevel="1">
      <c r="A104" s="214"/>
      <c r="C104" s="581" t="s">
        <v>1610</v>
      </c>
      <c r="D104" s="242"/>
      <c r="E104" s="249"/>
      <c r="F104" s="249"/>
      <c r="G104" s="186"/>
      <c r="H104" s="186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7"/>
      <c r="AM104" s="187"/>
      <c r="AN104" s="187"/>
      <c r="AO104" s="187"/>
      <c r="AP104" s="187"/>
      <c r="AQ104" s="187"/>
      <c r="AR104" s="187"/>
      <c r="AS104" s="187"/>
      <c r="AT104" s="187"/>
      <c r="AU104" s="187"/>
      <c r="AV104" s="187"/>
      <c r="AW104" s="187"/>
      <c r="AX104" s="187"/>
      <c r="AY104" s="187"/>
      <c r="AZ104" s="179"/>
      <c r="BA104" s="179"/>
      <c r="BB104" s="179"/>
      <c r="BC104" s="179"/>
      <c r="BD104" s="179"/>
      <c r="BE104" s="179"/>
      <c r="BF104" s="179"/>
    </row>
    <row r="105" spans="1:58" s="215" customFormat="1" ht="15.75" hidden="1" customHeight="1" outlineLevel="1" thickBot="1">
      <c r="A105" s="214"/>
      <c r="C105" s="581" t="s">
        <v>1611</v>
      </c>
      <c r="D105" s="242"/>
      <c r="E105" s="249"/>
      <c r="F105" s="249"/>
      <c r="G105" s="186"/>
      <c r="H105" s="186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7"/>
      <c r="AG105" s="187"/>
      <c r="AH105" s="187"/>
      <c r="AI105" s="187"/>
      <c r="AJ105" s="187"/>
      <c r="AK105" s="187"/>
      <c r="AL105" s="187"/>
      <c r="AM105" s="187"/>
      <c r="AN105" s="187"/>
      <c r="AO105" s="187"/>
      <c r="AP105" s="187"/>
      <c r="AQ105" s="187"/>
      <c r="AR105" s="187"/>
      <c r="AS105" s="187"/>
      <c r="AT105" s="187"/>
      <c r="AU105" s="187"/>
      <c r="AV105" s="187"/>
      <c r="AW105" s="187"/>
      <c r="AX105" s="187"/>
      <c r="AY105" s="187"/>
      <c r="AZ105" s="179"/>
      <c r="BA105" s="179"/>
      <c r="BB105" s="179"/>
      <c r="BC105" s="179"/>
      <c r="BD105" s="179"/>
      <c r="BE105" s="179"/>
      <c r="BF105" s="179"/>
    </row>
    <row r="106" spans="1:58" s="215" customFormat="1" ht="15.75" hidden="1" customHeight="1" outlineLevel="1" thickBot="1">
      <c r="A106" s="214"/>
      <c r="C106" s="581" t="s">
        <v>1612</v>
      </c>
      <c r="D106" s="1192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1192"/>
      <c r="R106" s="1192"/>
      <c r="S106" s="1192"/>
      <c r="T106" s="1192"/>
      <c r="U106" s="1192"/>
      <c r="V106" s="1192"/>
      <c r="W106" s="1192"/>
      <c r="X106" s="1192"/>
      <c r="Y106" s="1192"/>
      <c r="Z106" s="1192"/>
      <c r="AA106" s="1192"/>
      <c r="AB106" s="1192"/>
      <c r="AC106" s="1192"/>
      <c r="AD106" s="1192"/>
      <c r="AE106" s="1192"/>
      <c r="AF106" s="1192"/>
      <c r="AG106" s="1192"/>
      <c r="AH106" s="1192"/>
      <c r="AI106" s="1192"/>
      <c r="AJ106" s="1192"/>
      <c r="AK106" s="1192"/>
      <c r="AL106" s="1192"/>
      <c r="AM106" s="1192"/>
      <c r="AN106" s="1192"/>
      <c r="AO106" s="1192"/>
      <c r="AP106" s="1192"/>
      <c r="AQ106" s="1192"/>
      <c r="AR106" s="1192"/>
      <c r="AS106" s="1192"/>
      <c r="AT106" s="1192"/>
      <c r="AU106" s="1193"/>
      <c r="AV106" s="187"/>
      <c r="AW106" s="187"/>
      <c r="AX106" s="187"/>
      <c r="AY106" s="187"/>
      <c r="AZ106" s="179"/>
      <c r="BA106" s="179"/>
      <c r="BB106" s="179"/>
      <c r="BC106" s="179"/>
      <c r="BD106" s="179"/>
      <c r="BE106" s="179"/>
      <c r="BF106" s="179"/>
    </row>
    <row r="107" spans="1:58" s="215" customFormat="1" ht="15.75" hidden="1" customHeight="1" outlineLevel="1" thickBot="1">
      <c r="A107" s="214"/>
      <c r="C107" s="583"/>
      <c r="D107" s="1193"/>
      <c r="E107" s="583"/>
      <c r="F107" s="583"/>
      <c r="G107" s="583"/>
      <c r="H107" s="583"/>
      <c r="I107" s="583"/>
      <c r="J107" s="583"/>
      <c r="K107" s="583"/>
      <c r="L107" s="583"/>
      <c r="M107" s="583"/>
      <c r="N107" s="583"/>
      <c r="O107" s="583"/>
      <c r="P107" s="583"/>
      <c r="Q107" s="1193"/>
      <c r="R107" s="1193"/>
      <c r="S107" s="1193"/>
      <c r="T107" s="1193"/>
      <c r="U107" s="1193"/>
      <c r="V107" s="1193"/>
      <c r="W107" s="1193"/>
      <c r="X107" s="1193"/>
      <c r="Y107" s="1193"/>
      <c r="Z107" s="1193"/>
      <c r="AA107" s="1193"/>
      <c r="AB107" s="1193"/>
      <c r="AC107" s="1193"/>
      <c r="AD107" s="1193"/>
      <c r="AE107" s="1193"/>
      <c r="AF107" s="1193"/>
      <c r="AG107" s="1193"/>
      <c r="AH107" s="1193"/>
      <c r="AI107" s="1193"/>
      <c r="AJ107" s="1193"/>
      <c r="AK107" s="1193"/>
      <c r="AL107" s="1193"/>
      <c r="AM107" s="1193"/>
      <c r="AN107" s="1193"/>
      <c r="AO107" s="1193"/>
      <c r="AP107" s="1193"/>
      <c r="AQ107" s="1193"/>
      <c r="AR107" s="1193"/>
      <c r="AS107" s="1193"/>
      <c r="AT107" s="1193"/>
      <c r="AU107" s="1193"/>
      <c r="AV107" s="187"/>
      <c r="AW107" s="187"/>
      <c r="AX107" s="187"/>
      <c r="AY107" s="187"/>
      <c r="AZ107" s="179"/>
      <c r="BA107" s="179"/>
      <c r="BB107" s="179"/>
      <c r="BC107" s="179"/>
      <c r="BD107" s="179"/>
      <c r="BE107" s="179"/>
      <c r="BF107" s="179"/>
    </row>
    <row r="108" spans="1:58" s="215" customFormat="1" ht="15.75" hidden="1" customHeight="1" outlineLevel="1">
      <c r="A108" s="214"/>
      <c r="C108" s="580" t="s">
        <v>1613</v>
      </c>
      <c r="D108" s="242"/>
      <c r="E108" s="249"/>
      <c r="F108" s="249"/>
      <c r="G108" s="186"/>
      <c r="H108" s="186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7"/>
      <c r="AG108" s="187"/>
      <c r="AH108" s="187"/>
      <c r="AI108" s="187"/>
      <c r="AJ108" s="187"/>
      <c r="AK108" s="187"/>
      <c r="AL108" s="187"/>
      <c r="AM108" s="187"/>
      <c r="AN108" s="187"/>
      <c r="AO108" s="187"/>
      <c r="AP108" s="187"/>
      <c r="AQ108" s="187"/>
      <c r="AR108" s="187"/>
      <c r="AS108" s="187"/>
      <c r="AT108" s="187"/>
      <c r="AU108" s="187"/>
      <c r="AV108" s="1193"/>
      <c r="AW108" s="187"/>
      <c r="AX108" s="187"/>
      <c r="AY108" s="187"/>
      <c r="AZ108" s="179"/>
      <c r="BA108" s="179"/>
      <c r="BB108" s="179"/>
      <c r="BC108" s="179"/>
      <c r="BD108" s="179"/>
      <c r="BE108" s="179"/>
      <c r="BF108" s="179"/>
    </row>
    <row r="109" spans="1:58" s="215" customFormat="1" ht="15.75" hidden="1" customHeight="1" outlineLevel="1">
      <c r="A109" s="214"/>
      <c r="C109" s="581" t="s">
        <v>1603</v>
      </c>
      <c r="D109" s="242"/>
      <c r="E109" s="249"/>
      <c r="F109" s="249"/>
      <c r="G109" s="186"/>
      <c r="H109" s="186"/>
      <c r="I109" s="187"/>
      <c r="J109" s="187"/>
      <c r="K109" s="187"/>
      <c r="L109" s="187"/>
      <c r="M109" s="187"/>
      <c r="N109" s="187"/>
      <c r="O109" s="187"/>
      <c r="P109" s="187"/>
      <c r="Q109" s="1001"/>
      <c r="R109" s="1001"/>
      <c r="S109" s="1001"/>
      <c r="T109" s="1001"/>
      <c r="U109" s="1001"/>
      <c r="V109" s="1001"/>
      <c r="W109" s="1001"/>
      <c r="X109" s="1001"/>
      <c r="Y109" s="1001"/>
      <c r="Z109" s="1001"/>
      <c r="AA109" s="1001"/>
      <c r="AB109" s="1001"/>
      <c r="AC109" s="1001"/>
      <c r="AD109" s="1001"/>
      <c r="AE109" s="1001"/>
      <c r="AF109" s="1001"/>
      <c r="AG109" s="1001"/>
      <c r="AH109" s="1001"/>
      <c r="AI109" s="1001"/>
      <c r="AJ109" s="1001"/>
      <c r="AK109" s="1001"/>
      <c r="AL109" s="1001"/>
      <c r="AM109" s="1001"/>
      <c r="AN109" s="1001"/>
      <c r="AO109" s="1001"/>
      <c r="AP109" s="1001"/>
      <c r="AQ109" s="1001"/>
      <c r="AR109" s="1001"/>
      <c r="AS109" s="1001"/>
      <c r="AT109" s="1001"/>
      <c r="AU109" s="1001"/>
      <c r="AV109" s="187"/>
      <c r="AW109" s="187"/>
      <c r="AX109" s="187"/>
      <c r="AY109" s="187"/>
      <c r="AZ109" s="179"/>
      <c r="BA109" s="179"/>
      <c r="BB109" s="179"/>
      <c r="BC109" s="179"/>
      <c r="BD109" s="179"/>
      <c r="BE109" s="179"/>
      <c r="BF109" s="179"/>
    </row>
    <row r="110" spans="1:58" s="215" customFormat="1" ht="15.75" hidden="1" customHeight="1" outlineLevel="1">
      <c r="A110" s="214"/>
      <c r="C110" s="581" t="s">
        <v>1604</v>
      </c>
      <c r="D110" s="242"/>
      <c r="E110" s="249"/>
      <c r="F110" s="249"/>
      <c r="G110" s="186"/>
      <c r="H110" s="186"/>
      <c r="I110" s="187"/>
      <c r="J110" s="187"/>
      <c r="K110" s="187"/>
      <c r="L110" s="187"/>
      <c r="M110" s="187"/>
      <c r="N110" s="187"/>
      <c r="O110" s="187"/>
      <c r="P110" s="187"/>
      <c r="Q110" s="1001"/>
      <c r="R110" s="1001"/>
      <c r="S110" s="1001"/>
      <c r="T110" s="1001"/>
      <c r="U110" s="1001"/>
      <c r="V110" s="1001"/>
      <c r="W110" s="1001"/>
      <c r="X110" s="1001"/>
      <c r="Y110" s="1001"/>
      <c r="Z110" s="1001"/>
      <c r="AA110" s="1001"/>
      <c r="AB110" s="1001"/>
      <c r="AC110" s="1001"/>
      <c r="AD110" s="1001"/>
      <c r="AE110" s="1001"/>
      <c r="AF110" s="1001"/>
      <c r="AG110" s="1001"/>
      <c r="AH110" s="1001"/>
      <c r="AI110" s="1001"/>
      <c r="AJ110" s="1001"/>
      <c r="AK110" s="1001"/>
      <c r="AL110" s="1001"/>
      <c r="AM110" s="1001"/>
      <c r="AN110" s="1001"/>
      <c r="AO110" s="1001"/>
      <c r="AP110" s="1001"/>
      <c r="AQ110" s="1001"/>
      <c r="AR110" s="1001"/>
      <c r="AS110" s="1001"/>
      <c r="AT110" s="1001"/>
      <c r="AU110" s="1001"/>
      <c r="AV110" s="187"/>
      <c r="AW110" s="187"/>
      <c r="AX110" s="187"/>
      <c r="AY110" s="187"/>
      <c r="AZ110" s="179"/>
      <c r="BA110" s="179"/>
      <c r="BB110" s="179"/>
      <c r="BC110" s="179"/>
      <c r="BD110" s="179"/>
      <c r="BE110" s="179"/>
      <c r="BF110" s="179"/>
    </row>
    <row r="111" spans="1:58" s="215" customFormat="1" ht="15.75" hidden="1" customHeight="1" outlineLevel="1">
      <c r="A111" s="214"/>
      <c r="C111" s="585"/>
      <c r="D111" s="242"/>
      <c r="E111" s="249"/>
      <c r="F111" s="249"/>
      <c r="G111" s="186"/>
      <c r="H111" s="186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7"/>
      <c r="AG111" s="187"/>
      <c r="AH111" s="187"/>
      <c r="AI111" s="187"/>
      <c r="AJ111" s="187"/>
      <c r="AK111" s="187"/>
      <c r="AL111" s="187"/>
      <c r="AM111" s="187"/>
      <c r="AN111" s="187"/>
      <c r="AO111" s="187"/>
      <c r="AP111" s="187"/>
      <c r="AQ111" s="187"/>
      <c r="AR111" s="187"/>
      <c r="AS111" s="187"/>
      <c r="AT111" s="187"/>
      <c r="AU111" s="187"/>
      <c r="AV111" s="187"/>
      <c r="AW111" s="187"/>
      <c r="AX111" s="187"/>
      <c r="AY111" s="187"/>
      <c r="AZ111" s="179"/>
      <c r="BA111" s="179"/>
      <c r="BB111" s="179"/>
      <c r="BC111" s="179"/>
      <c r="BD111" s="179"/>
      <c r="BE111" s="179"/>
      <c r="BF111" s="179"/>
    </row>
    <row r="112" spans="1:58" s="215" customFormat="1" ht="15.75" hidden="1" customHeight="1" outlineLevel="1">
      <c r="A112" s="214"/>
      <c r="C112" s="580" t="s">
        <v>1614</v>
      </c>
      <c r="D112" s="242"/>
      <c r="E112" s="249"/>
      <c r="F112" s="249"/>
      <c r="G112" s="186"/>
      <c r="H112" s="186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7"/>
      <c r="AG112" s="187"/>
      <c r="AH112" s="187"/>
      <c r="AI112" s="187"/>
      <c r="AJ112" s="187"/>
      <c r="AK112" s="187"/>
      <c r="AL112" s="187"/>
      <c r="AM112" s="187"/>
      <c r="AN112" s="187"/>
      <c r="AO112" s="187"/>
      <c r="AP112" s="187"/>
      <c r="AQ112" s="187"/>
      <c r="AR112" s="187"/>
      <c r="AS112" s="187"/>
      <c r="AT112" s="187"/>
      <c r="AU112" s="187"/>
      <c r="AV112" s="187"/>
      <c r="AW112" s="187"/>
      <c r="AX112" s="187"/>
      <c r="AY112" s="187"/>
      <c r="AZ112" s="179"/>
      <c r="BA112" s="179"/>
      <c r="BB112" s="179"/>
      <c r="BC112" s="179"/>
      <c r="BD112" s="179"/>
      <c r="BE112" s="179"/>
      <c r="BF112" s="179"/>
    </row>
    <row r="113" spans="1:58" s="215" customFormat="1" ht="15.75" hidden="1" customHeight="1" outlineLevel="1">
      <c r="A113" s="214"/>
      <c r="C113" s="581" t="s">
        <v>1603</v>
      </c>
      <c r="D113" s="242"/>
      <c r="E113" s="249"/>
      <c r="F113" s="249"/>
      <c r="G113" s="186"/>
      <c r="H113" s="186"/>
      <c r="I113" s="187"/>
      <c r="J113" s="187"/>
      <c r="K113" s="187"/>
      <c r="L113" s="187"/>
      <c r="M113" s="187"/>
      <c r="N113" s="187"/>
      <c r="O113" s="187"/>
      <c r="P113" s="187"/>
      <c r="Q113" s="1001"/>
      <c r="R113" s="1001"/>
      <c r="S113" s="1001"/>
      <c r="T113" s="1001"/>
      <c r="U113" s="1001"/>
      <c r="V113" s="1001"/>
      <c r="W113" s="1001"/>
      <c r="X113" s="1001"/>
      <c r="Y113" s="1001"/>
      <c r="Z113" s="1001"/>
      <c r="AA113" s="1001"/>
      <c r="AB113" s="1001"/>
      <c r="AC113" s="1001"/>
      <c r="AD113" s="1001"/>
      <c r="AE113" s="1001"/>
      <c r="AF113" s="1001"/>
      <c r="AG113" s="1001"/>
      <c r="AH113" s="1001"/>
      <c r="AI113" s="1001"/>
      <c r="AJ113" s="1001"/>
      <c r="AK113" s="1001"/>
      <c r="AL113" s="1001"/>
      <c r="AM113" s="1001"/>
      <c r="AN113" s="1001"/>
      <c r="AO113" s="1001"/>
      <c r="AP113" s="1001"/>
      <c r="AQ113" s="1001"/>
      <c r="AR113" s="1001"/>
      <c r="AS113" s="1001"/>
      <c r="AT113" s="1001"/>
      <c r="AU113" s="1001"/>
      <c r="AV113" s="187"/>
      <c r="AW113" s="187"/>
      <c r="AX113" s="187"/>
      <c r="AY113" s="187"/>
      <c r="AZ113" s="179"/>
      <c r="BA113" s="179"/>
      <c r="BB113" s="179"/>
      <c r="BC113" s="179"/>
      <c r="BD113" s="179"/>
      <c r="BE113" s="179"/>
      <c r="BF113" s="179"/>
    </row>
    <row r="114" spans="1:58" s="215" customFormat="1" ht="15.75" hidden="1" customHeight="1" outlineLevel="1">
      <c r="A114" s="214"/>
      <c r="C114" s="581" t="s">
        <v>1604</v>
      </c>
      <c r="D114" s="242"/>
      <c r="E114" s="249"/>
      <c r="F114" s="249"/>
      <c r="G114" s="186"/>
      <c r="H114" s="186"/>
      <c r="I114" s="187"/>
      <c r="J114" s="187"/>
      <c r="K114" s="187"/>
      <c r="L114" s="187"/>
      <c r="M114" s="187"/>
      <c r="N114" s="187"/>
      <c r="O114" s="187"/>
      <c r="P114" s="187"/>
      <c r="Q114" s="1001"/>
      <c r="R114" s="1001"/>
      <c r="S114" s="1001"/>
      <c r="T114" s="1001"/>
      <c r="U114" s="1001"/>
      <c r="V114" s="1001"/>
      <c r="W114" s="1001"/>
      <c r="X114" s="1001"/>
      <c r="Y114" s="1001"/>
      <c r="Z114" s="1001"/>
      <c r="AA114" s="1001"/>
      <c r="AB114" s="1001"/>
      <c r="AC114" s="1001"/>
      <c r="AD114" s="1001"/>
      <c r="AE114" s="1001"/>
      <c r="AF114" s="1001"/>
      <c r="AG114" s="1001"/>
      <c r="AH114" s="1001"/>
      <c r="AI114" s="1001"/>
      <c r="AJ114" s="1001"/>
      <c r="AK114" s="1001"/>
      <c r="AL114" s="1001"/>
      <c r="AM114" s="1001"/>
      <c r="AN114" s="1001"/>
      <c r="AO114" s="1001"/>
      <c r="AP114" s="1001"/>
      <c r="AQ114" s="1001"/>
      <c r="AR114" s="1001"/>
      <c r="AS114" s="1001"/>
      <c r="AT114" s="1001"/>
      <c r="AU114" s="1001"/>
      <c r="AV114" s="187"/>
      <c r="AW114" s="187"/>
      <c r="AX114" s="187"/>
      <c r="AY114" s="187"/>
      <c r="AZ114" s="179"/>
      <c r="BA114" s="179"/>
      <c r="BB114" s="179"/>
      <c r="BC114" s="179"/>
      <c r="BD114" s="179"/>
      <c r="BE114" s="179"/>
      <c r="BF114" s="179"/>
    </row>
    <row r="115" spans="1:58" s="215" customFormat="1" ht="15.75" hidden="1" customHeight="1" outlineLevel="1">
      <c r="A115" s="214"/>
      <c r="C115" s="581"/>
      <c r="D115" s="242"/>
      <c r="E115" s="249"/>
      <c r="F115" s="249"/>
      <c r="G115" s="186"/>
      <c r="H115" s="186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I115" s="187"/>
      <c r="AJ115" s="187"/>
      <c r="AK115" s="187"/>
      <c r="AL115" s="187"/>
      <c r="AM115" s="187"/>
      <c r="AN115" s="187"/>
      <c r="AO115" s="187"/>
      <c r="AP115" s="187"/>
      <c r="AQ115" s="187"/>
      <c r="AR115" s="187"/>
      <c r="AS115" s="187"/>
      <c r="AT115" s="187"/>
      <c r="AU115" s="187"/>
      <c r="AV115" s="187"/>
      <c r="AW115" s="187"/>
      <c r="AX115" s="187"/>
      <c r="AY115" s="187"/>
      <c r="AZ115" s="179"/>
      <c r="BA115" s="179"/>
      <c r="BB115" s="179"/>
      <c r="BC115" s="179"/>
      <c r="BD115" s="179"/>
      <c r="BE115" s="179"/>
      <c r="BF115" s="179"/>
    </row>
    <row r="116" spans="1:58" s="215" customFormat="1" ht="15.75" hidden="1" customHeight="1" outlineLevel="1">
      <c r="A116" s="214"/>
      <c r="C116" s="580" t="s">
        <v>1615</v>
      </c>
      <c r="D116" s="242"/>
      <c r="E116" s="249"/>
      <c r="F116" s="249"/>
      <c r="G116" s="186"/>
      <c r="H116" s="186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7"/>
      <c r="AO116" s="187"/>
      <c r="AP116" s="187"/>
      <c r="AQ116" s="187"/>
      <c r="AR116" s="187"/>
      <c r="AS116" s="187"/>
      <c r="AT116" s="187"/>
      <c r="AU116" s="187"/>
      <c r="AV116" s="187"/>
      <c r="AW116" s="187"/>
      <c r="AX116" s="187"/>
      <c r="AY116" s="187"/>
      <c r="AZ116" s="179"/>
      <c r="BA116" s="179"/>
      <c r="BB116" s="179"/>
      <c r="BC116" s="179"/>
      <c r="BD116" s="179"/>
      <c r="BE116" s="179"/>
      <c r="BF116" s="179"/>
    </row>
    <row r="117" spans="1:58" s="215" customFormat="1" ht="15.75" hidden="1" customHeight="1" outlineLevel="1">
      <c r="A117" s="214"/>
      <c r="C117" s="581" t="s">
        <v>1603</v>
      </c>
      <c r="D117" s="242"/>
      <c r="E117" s="249"/>
      <c r="F117" s="249"/>
      <c r="G117" s="186"/>
      <c r="H117" s="186"/>
      <c r="I117" s="187"/>
      <c r="J117" s="187"/>
      <c r="K117" s="187"/>
      <c r="L117" s="187"/>
      <c r="M117" s="187"/>
      <c r="N117" s="187"/>
      <c r="O117" s="187"/>
      <c r="P117" s="187"/>
      <c r="Q117" s="1001"/>
      <c r="R117" s="1001"/>
      <c r="S117" s="1001"/>
      <c r="T117" s="1001"/>
      <c r="U117" s="1001"/>
      <c r="V117" s="1001"/>
      <c r="W117" s="1001"/>
      <c r="X117" s="1001"/>
      <c r="Y117" s="1001"/>
      <c r="Z117" s="1001"/>
      <c r="AA117" s="1001"/>
      <c r="AB117" s="1001"/>
      <c r="AC117" s="1001"/>
      <c r="AD117" s="1001"/>
      <c r="AE117" s="1001"/>
      <c r="AF117" s="1001"/>
      <c r="AG117" s="1001"/>
      <c r="AH117" s="1001"/>
      <c r="AI117" s="1001"/>
      <c r="AJ117" s="1001"/>
      <c r="AK117" s="1001"/>
      <c r="AL117" s="1001"/>
      <c r="AM117" s="1001"/>
      <c r="AN117" s="1001"/>
      <c r="AO117" s="1001"/>
      <c r="AP117" s="1001"/>
      <c r="AQ117" s="1001"/>
      <c r="AR117" s="1001"/>
      <c r="AS117" s="1001"/>
      <c r="AT117" s="1001"/>
      <c r="AU117" s="1001"/>
      <c r="AV117" s="187"/>
      <c r="AW117" s="187"/>
      <c r="AX117" s="187"/>
      <c r="AY117" s="187"/>
      <c r="AZ117" s="179"/>
      <c r="BA117" s="179"/>
      <c r="BB117" s="179"/>
      <c r="BC117" s="179"/>
      <c r="BD117" s="179"/>
      <c r="BE117" s="179"/>
      <c r="BF117" s="179"/>
    </row>
    <row r="118" spans="1:58" s="215" customFormat="1" ht="15.75" hidden="1" customHeight="1" outlineLevel="1">
      <c r="A118" s="214"/>
      <c r="C118" s="581" t="s">
        <v>1604</v>
      </c>
      <c r="D118" s="242"/>
      <c r="E118" s="249"/>
      <c r="F118" s="249"/>
      <c r="G118" s="186"/>
      <c r="H118" s="186"/>
      <c r="I118" s="187"/>
      <c r="J118" s="187"/>
      <c r="K118" s="187"/>
      <c r="L118" s="187"/>
      <c r="M118" s="187"/>
      <c r="N118" s="187"/>
      <c r="O118" s="187"/>
      <c r="P118" s="187"/>
      <c r="Q118" s="1001"/>
      <c r="R118" s="1001"/>
      <c r="S118" s="1001"/>
      <c r="T118" s="1001"/>
      <c r="U118" s="1001"/>
      <c r="V118" s="1001"/>
      <c r="W118" s="1001"/>
      <c r="X118" s="1001"/>
      <c r="Y118" s="1001"/>
      <c r="Z118" s="1001"/>
      <c r="AA118" s="1001"/>
      <c r="AB118" s="1001"/>
      <c r="AC118" s="1001"/>
      <c r="AD118" s="1001"/>
      <c r="AE118" s="1001"/>
      <c r="AF118" s="1001"/>
      <c r="AG118" s="1001"/>
      <c r="AH118" s="1001"/>
      <c r="AI118" s="1001"/>
      <c r="AJ118" s="1001"/>
      <c r="AK118" s="1001"/>
      <c r="AL118" s="1001"/>
      <c r="AM118" s="1001"/>
      <c r="AN118" s="1001"/>
      <c r="AO118" s="1001"/>
      <c r="AP118" s="1001"/>
      <c r="AQ118" s="1001"/>
      <c r="AR118" s="1001"/>
      <c r="AS118" s="1001"/>
      <c r="AT118" s="1001"/>
      <c r="AU118" s="1001"/>
      <c r="AV118" s="187"/>
      <c r="AW118" s="187"/>
      <c r="AX118" s="187"/>
      <c r="AY118" s="187"/>
      <c r="AZ118" s="179"/>
      <c r="BA118" s="179"/>
      <c r="BB118" s="179"/>
      <c r="BC118" s="179"/>
      <c r="BD118" s="179"/>
      <c r="BE118" s="179"/>
      <c r="BF118" s="179"/>
    </row>
    <row r="119" spans="1:58" s="215" customFormat="1" ht="15.75" hidden="1" customHeight="1" outlineLevel="1">
      <c r="A119" s="214"/>
      <c r="C119" s="585"/>
      <c r="D119" s="242"/>
      <c r="E119" s="249"/>
      <c r="F119" s="249"/>
      <c r="G119" s="186"/>
      <c r="H119" s="186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7"/>
      <c r="AG119" s="187"/>
      <c r="AH119" s="187"/>
      <c r="AI119" s="187"/>
      <c r="AJ119" s="187"/>
      <c r="AK119" s="187"/>
      <c r="AL119" s="187"/>
      <c r="AM119" s="187"/>
      <c r="AN119" s="187"/>
      <c r="AO119" s="187"/>
      <c r="AP119" s="187"/>
      <c r="AQ119" s="187"/>
      <c r="AR119" s="187"/>
      <c r="AS119" s="187"/>
      <c r="AT119" s="187"/>
      <c r="AU119" s="187"/>
      <c r="AV119" s="187"/>
      <c r="AW119" s="187"/>
      <c r="AX119" s="187"/>
      <c r="AY119" s="187"/>
      <c r="AZ119" s="179"/>
      <c r="BA119" s="179"/>
      <c r="BB119" s="179"/>
      <c r="BC119" s="179"/>
      <c r="BD119" s="179"/>
      <c r="BE119" s="179"/>
      <c r="BF119" s="179"/>
    </row>
    <row r="120" spans="1:58" s="215" customFormat="1" ht="15.75" hidden="1" customHeight="1" outlineLevel="1">
      <c r="A120" s="214"/>
      <c r="C120" s="580" t="s">
        <v>1616</v>
      </c>
      <c r="D120" s="242"/>
      <c r="E120" s="249"/>
      <c r="F120" s="249"/>
      <c r="G120" s="186"/>
      <c r="H120" s="186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7"/>
      <c r="AM120" s="187"/>
      <c r="AN120" s="187"/>
      <c r="AO120" s="187"/>
      <c r="AP120" s="187"/>
      <c r="AQ120" s="187"/>
      <c r="AR120" s="187"/>
      <c r="AS120" s="187"/>
      <c r="AT120" s="187"/>
      <c r="AU120" s="187"/>
      <c r="AV120" s="187"/>
      <c r="AW120" s="187"/>
      <c r="AX120" s="187"/>
      <c r="AY120" s="187"/>
      <c r="AZ120" s="179"/>
      <c r="BA120" s="179"/>
      <c r="BB120" s="179"/>
      <c r="BC120" s="179"/>
      <c r="BD120" s="179"/>
      <c r="BE120" s="179"/>
      <c r="BF120" s="179"/>
    </row>
    <row r="121" spans="1:58" s="215" customFormat="1" ht="15.75" hidden="1" customHeight="1" outlineLevel="1">
      <c r="A121" s="214"/>
      <c r="C121" s="581" t="s">
        <v>1603</v>
      </c>
      <c r="D121" s="242"/>
      <c r="E121" s="249"/>
      <c r="F121" s="249"/>
      <c r="G121" s="186"/>
      <c r="H121" s="186"/>
      <c r="I121" s="187"/>
      <c r="J121" s="187"/>
      <c r="K121" s="187"/>
      <c r="L121" s="187"/>
      <c r="M121" s="187"/>
      <c r="N121" s="187"/>
      <c r="O121" s="187"/>
      <c r="P121" s="187"/>
      <c r="Q121" s="1001"/>
      <c r="R121" s="1001"/>
      <c r="S121" s="1001"/>
      <c r="T121" s="1001"/>
      <c r="U121" s="1001"/>
      <c r="V121" s="1001"/>
      <c r="W121" s="1001"/>
      <c r="X121" s="1001"/>
      <c r="Y121" s="1001"/>
      <c r="Z121" s="1001"/>
      <c r="AA121" s="1001"/>
      <c r="AB121" s="1001"/>
      <c r="AC121" s="1001"/>
      <c r="AD121" s="1001"/>
      <c r="AE121" s="1001"/>
      <c r="AF121" s="1001"/>
      <c r="AG121" s="1001"/>
      <c r="AH121" s="1001"/>
      <c r="AI121" s="1001"/>
      <c r="AJ121" s="1001"/>
      <c r="AK121" s="1001"/>
      <c r="AL121" s="1001"/>
      <c r="AM121" s="1001"/>
      <c r="AN121" s="1001"/>
      <c r="AO121" s="1001"/>
      <c r="AP121" s="1001"/>
      <c r="AQ121" s="1001"/>
      <c r="AR121" s="1001"/>
      <c r="AS121" s="1001"/>
      <c r="AT121" s="1001"/>
      <c r="AU121" s="1001"/>
      <c r="AV121" s="187"/>
      <c r="AW121" s="187"/>
      <c r="AX121" s="187"/>
      <c r="AY121" s="187"/>
      <c r="AZ121" s="179"/>
      <c r="BA121" s="179"/>
      <c r="BB121" s="179"/>
      <c r="BC121" s="179"/>
      <c r="BD121" s="179"/>
      <c r="BE121" s="179"/>
      <c r="BF121" s="179"/>
    </row>
    <row r="122" spans="1:58" s="215" customFormat="1" ht="15.75" hidden="1" customHeight="1" outlineLevel="1" thickBot="1">
      <c r="A122" s="214"/>
      <c r="C122" s="586" t="s">
        <v>1604</v>
      </c>
      <c r="D122" s="1194"/>
      <c r="E122" s="1194"/>
      <c r="F122" s="1194"/>
      <c r="G122" s="1194"/>
      <c r="H122" s="1194"/>
      <c r="I122" s="1194"/>
      <c r="J122" s="1194"/>
      <c r="K122" s="1194"/>
      <c r="L122" s="1194"/>
      <c r="M122" s="1194"/>
      <c r="N122" s="1194"/>
      <c r="O122" s="1194"/>
      <c r="P122" s="1194"/>
      <c r="Q122" s="1194"/>
      <c r="R122" s="1194"/>
      <c r="S122" s="1194"/>
      <c r="T122" s="1194"/>
      <c r="U122" s="1194"/>
      <c r="V122" s="1194"/>
      <c r="W122" s="1194"/>
      <c r="X122" s="1194"/>
      <c r="Y122" s="1194"/>
      <c r="Z122" s="1194"/>
      <c r="AA122" s="1194"/>
      <c r="AB122" s="1194"/>
      <c r="AC122" s="1194"/>
      <c r="AD122" s="1194"/>
      <c r="AE122" s="1194"/>
      <c r="AF122" s="1194"/>
      <c r="AG122" s="1194"/>
      <c r="AH122" s="1194"/>
      <c r="AI122" s="1194"/>
      <c r="AJ122" s="1194"/>
      <c r="AK122" s="1194"/>
      <c r="AL122" s="1194"/>
      <c r="AM122" s="1194"/>
      <c r="AN122" s="1194"/>
      <c r="AO122" s="1194"/>
      <c r="AP122" s="1194"/>
      <c r="AQ122" s="1194"/>
      <c r="AR122" s="1194"/>
      <c r="AS122" s="1194"/>
      <c r="AT122" s="1194"/>
      <c r="AU122" s="1194"/>
      <c r="AV122" s="187"/>
      <c r="AW122" s="187"/>
      <c r="AX122" s="187"/>
      <c r="AY122" s="187"/>
      <c r="AZ122" s="179"/>
      <c r="BA122" s="179"/>
      <c r="BB122" s="179"/>
      <c r="BC122" s="179"/>
      <c r="BD122" s="179"/>
      <c r="BE122" s="179"/>
      <c r="BF122" s="179"/>
    </row>
    <row r="123" spans="1:58" s="215" customFormat="1" ht="15.75" hidden="1" customHeight="1" outlineLevel="1">
      <c r="A123" s="214"/>
      <c r="C123" s="186"/>
      <c r="D123" s="186"/>
      <c r="E123" s="186"/>
      <c r="F123" s="186"/>
      <c r="G123" s="186"/>
      <c r="H123" s="186"/>
      <c r="I123" s="186"/>
      <c r="J123" s="186"/>
      <c r="K123" s="186"/>
      <c r="L123" s="186"/>
      <c r="M123" s="186"/>
      <c r="N123" s="186"/>
      <c r="O123" s="186"/>
      <c r="P123" s="186"/>
      <c r="Q123" s="186"/>
      <c r="R123" s="186"/>
      <c r="S123" s="186"/>
      <c r="T123" s="186"/>
      <c r="U123" s="186"/>
      <c r="V123" s="186"/>
      <c r="W123" s="186"/>
      <c r="X123" s="186"/>
      <c r="Y123" s="186"/>
      <c r="Z123" s="186"/>
      <c r="AA123" s="186"/>
      <c r="AB123" s="186"/>
      <c r="AC123" s="186"/>
      <c r="AD123" s="186"/>
      <c r="AE123" s="186"/>
      <c r="AF123" s="186"/>
      <c r="AG123" s="186"/>
      <c r="AH123" s="186"/>
      <c r="AI123" s="186"/>
      <c r="AJ123" s="186"/>
      <c r="AK123" s="186"/>
      <c r="AL123" s="186"/>
      <c r="AM123" s="186"/>
      <c r="AN123" s="186"/>
      <c r="AO123" s="186"/>
      <c r="AP123" s="186"/>
      <c r="AQ123" s="186"/>
      <c r="AR123" s="186"/>
      <c r="AS123" s="186"/>
      <c r="AT123" s="186"/>
      <c r="AU123" s="186"/>
      <c r="AV123" s="187"/>
      <c r="AW123" s="187"/>
      <c r="AX123" s="187"/>
      <c r="AY123" s="187"/>
      <c r="AZ123" s="179"/>
      <c r="BA123" s="179"/>
      <c r="BB123" s="179"/>
      <c r="BC123" s="179"/>
      <c r="BD123" s="179"/>
      <c r="BE123" s="179"/>
      <c r="BF123" s="179"/>
    </row>
    <row r="124" spans="1:58" s="215" customFormat="1" ht="15.75" hidden="1" customHeight="1" outlineLevel="1">
      <c r="A124" s="214"/>
      <c r="C124" s="580" t="s">
        <v>1622</v>
      </c>
      <c r="D124" s="242"/>
      <c r="E124" s="249"/>
      <c r="F124" s="249"/>
      <c r="G124" s="186"/>
      <c r="H124" s="186"/>
      <c r="I124" s="187"/>
      <c r="J124" s="187"/>
      <c r="K124" s="187"/>
      <c r="L124" s="187"/>
      <c r="M124" s="187"/>
      <c r="N124" s="187"/>
      <c r="O124" s="187"/>
      <c r="P124" s="187"/>
      <c r="Q124" s="187"/>
      <c r="R124" s="1191"/>
      <c r="S124" s="1191"/>
      <c r="T124" s="1191"/>
      <c r="U124" s="1191"/>
      <c r="V124" s="1191"/>
      <c r="W124" s="1191"/>
      <c r="X124" s="1191"/>
      <c r="Y124" s="1191"/>
      <c r="Z124" s="1191"/>
      <c r="AA124" s="1191"/>
      <c r="AB124" s="1191"/>
      <c r="AC124" s="1191"/>
      <c r="AD124" s="1191"/>
      <c r="AE124" s="1191"/>
      <c r="AF124" s="1191"/>
      <c r="AG124" s="1191"/>
      <c r="AH124" s="1191"/>
      <c r="AI124" s="1191"/>
      <c r="AJ124" s="1191"/>
      <c r="AK124" s="1191"/>
      <c r="AL124" s="1191"/>
      <c r="AM124" s="1191"/>
      <c r="AN124" s="1191"/>
      <c r="AO124" s="1191"/>
      <c r="AP124" s="1191"/>
      <c r="AQ124" s="1191"/>
      <c r="AR124" s="1191"/>
      <c r="AS124" s="1191"/>
      <c r="AT124" s="1191"/>
      <c r="AU124" s="1191"/>
      <c r="AV124" s="187"/>
      <c r="AW124" s="187"/>
      <c r="AX124" s="187"/>
      <c r="AY124" s="187"/>
      <c r="AZ124" s="179"/>
      <c r="BA124" s="179"/>
      <c r="BB124" s="179"/>
      <c r="BC124" s="179"/>
      <c r="BD124" s="179"/>
      <c r="BE124" s="179"/>
      <c r="BF124" s="179"/>
    </row>
    <row r="125" spans="1:58" s="215" customFormat="1" ht="15.75" hidden="1" customHeight="1" outlineLevel="1">
      <c r="A125" s="214"/>
      <c r="C125" s="581" t="s">
        <v>1618</v>
      </c>
      <c r="D125" s="242"/>
      <c r="E125" s="249"/>
      <c r="F125" s="249"/>
      <c r="G125" s="186"/>
      <c r="H125" s="186"/>
      <c r="I125" s="187"/>
      <c r="J125" s="187"/>
      <c r="K125" s="187"/>
      <c r="L125" s="187"/>
      <c r="M125" s="187"/>
      <c r="N125" s="187"/>
      <c r="O125" s="187"/>
      <c r="P125" s="187"/>
      <c r="Q125" s="1001"/>
      <c r="R125" s="1001">
        <v>45</v>
      </c>
      <c r="S125" s="1001"/>
      <c r="T125" s="1001">
        <v>45</v>
      </c>
      <c r="U125" s="1001">
        <f>T125</f>
        <v>45</v>
      </c>
      <c r="V125" s="1001">
        <f>(60*4+63*2+85*6)/12</f>
        <v>73</v>
      </c>
      <c r="W125" s="1001">
        <v>85</v>
      </c>
      <c r="X125" s="1001">
        <f>W125</f>
        <v>85</v>
      </c>
      <c r="Y125" s="1001">
        <f t="shared" ref="Y125:AU125" si="36">X125</f>
        <v>85</v>
      </c>
      <c r="Z125" s="1001">
        <f t="shared" si="36"/>
        <v>85</v>
      </c>
      <c r="AA125" s="1001">
        <f t="shared" si="36"/>
        <v>85</v>
      </c>
      <c r="AB125" s="1001">
        <f t="shared" si="36"/>
        <v>85</v>
      </c>
      <c r="AC125" s="1001">
        <f t="shared" si="36"/>
        <v>85</v>
      </c>
      <c r="AD125" s="1001">
        <f t="shared" si="36"/>
        <v>85</v>
      </c>
      <c r="AE125" s="1001">
        <f t="shared" si="36"/>
        <v>85</v>
      </c>
      <c r="AF125" s="1001">
        <f t="shared" si="36"/>
        <v>85</v>
      </c>
      <c r="AG125" s="1001">
        <f t="shared" si="36"/>
        <v>85</v>
      </c>
      <c r="AH125" s="1001">
        <f t="shared" si="36"/>
        <v>85</v>
      </c>
      <c r="AI125" s="1001">
        <f t="shared" si="36"/>
        <v>85</v>
      </c>
      <c r="AJ125" s="1001">
        <f t="shared" si="36"/>
        <v>85</v>
      </c>
      <c r="AK125" s="1001">
        <f t="shared" si="36"/>
        <v>85</v>
      </c>
      <c r="AL125" s="1001">
        <f t="shared" si="36"/>
        <v>85</v>
      </c>
      <c r="AM125" s="1001">
        <f t="shared" si="36"/>
        <v>85</v>
      </c>
      <c r="AN125" s="1001">
        <f t="shared" si="36"/>
        <v>85</v>
      </c>
      <c r="AO125" s="1001">
        <f t="shared" si="36"/>
        <v>85</v>
      </c>
      <c r="AP125" s="1001">
        <f t="shared" si="36"/>
        <v>85</v>
      </c>
      <c r="AQ125" s="1001">
        <f t="shared" si="36"/>
        <v>85</v>
      </c>
      <c r="AR125" s="1001">
        <f t="shared" si="36"/>
        <v>85</v>
      </c>
      <c r="AS125" s="1001">
        <f t="shared" si="36"/>
        <v>85</v>
      </c>
      <c r="AT125" s="1001">
        <f t="shared" si="36"/>
        <v>85</v>
      </c>
      <c r="AU125" s="1001">
        <f t="shared" si="36"/>
        <v>85</v>
      </c>
      <c r="AV125" s="187"/>
      <c r="AW125" s="187"/>
      <c r="AX125" s="187"/>
      <c r="AY125" s="187"/>
      <c r="AZ125" s="179"/>
      <c r="BA125" s="179"/>
      <c r="BB125" s="179"/>
      <c r="BC125" s="179"/>
      <c r="BD125" s="179"/>
      <c r="BE125" s="179"/>
      <c r="BF125" s="179"/>
    </row>
    <row r="126" spans="1:58" s="215" customFormat="1" ht="15.75" hidden="1" customHeight="1" outlineLevel="1">
      <c r="A126" s="214"/>
      <c r="C126" s="581" t="s">
        <v>1623</v>
      </c>
      <c r="D126" s="242"/>
      <c r="E126" s="249"/>
      <c r="F126" s="249"/>
      <c r="G126" s="186"/>
      <c r="H126" s="186"/>
      <c r="I126" s="187"/>
      <c r="J126" s="187"/>
      <c r="K126" s="187"/>
      <c r="L126" s="187"/>
      <c r="M126" s="187"/>
      <c r="N126" s="187"/>
      <c r="O126" s="187"/>
      <c r="P126" s="187"/>
      <c r="Q126" s="187"/>
      <c r="R126" s="1191"/>
      <c r="S126" s="1191"/>
      <c r="T126" s="1191"/>
      <c r="U126" s="1191"/>
      <c r="V126" s="1191"/>
      <c r="W126" s="1191"/>
      <c r="X126" s="1191"/>
      <c r="Y126" s="1191"/>
      <c r="Z126" s="1191"/>
      <c r="AA126" s="1191"/>
      <c r="AB126" s="1191"/>
      <c r="AC126" s="1191"/>
      <c r="AD126" s="1191"/>
      <c r="AE126" s="1191"/>
      <c r="AF126" s="1191"/>
      <c r="AG126" s="1191"/>
      <c r="AH126" s="1191"/>
      <c r="AI126" s="1191"/>
      <c r="AJ126" s="1191"/>
      <c r="AK126" s="1191"/>
      <c r="AL126" s="1191"/>
      <c r="AM126" s="1191"/>
      <c r="AN126" s="1191"/>
      <c r="AO126" s="1191"/>
      <c r="AP126" s="1191"/>
      <c r="AQ126" s="1191"/>
      <c r="AR126" s="1191"/>
      <c r="AS126" s="1191"/>
      <c r="AT126" s="1191"/>
      <c r="AU126" s="1191"/>
      <c r="AV126" s="187"/>
      <c r="AW126" s="187"/>
      <c r="AX126" s="187"/>
      <c r="AY126" s="187"/>
      <c r="AZ126" s="179"/>
      <c r="BA126" s="179"/>
      <c r="BB126" s="179"/>
      <c r="BC126" s="179"/>
      <c r="BD126" s="179"/>
      <c r="BE126" s="179"/>
      <c r="BF126" s="179"/>
    </row>
    <row r="127" spans="1:58" s="215" customFormat="1" ht="15.75" hidden="1" customHeight="1" outlineLevel="1">
      <c r="A127" s="214"/>
      <c r="C127" s="580" t="s">
        <v>1621</v>
      </c>
      <c r="D127" s="242"/>
      <c r="E127" s="249"/>
      <c r="F127" s="249"/>
      <c r="G127" s="186"/>
      <c r="H127" s="186"/>
      <c r="I127" s="187"/>
      <c r="J127" s="187"/>
      <c r="K127" s="187"/>
      <c r="L127" s="187"/>
      <c r="M127" s="187"/>
      <c r="N127" s="187"/>
      <c r="O127" s="187"/>
      <c r="P127" s="187"/>
      <c r="Q127" s="187"/>
      <c r="R127" s="1191"/>
      <c r="S127" s="1191"/>
      <c r="T127" s="1191"/>
      <c r="U127" s="1191"/>
      <c r="V127" s="1191"/>
      <c r="W127" s="1191"/>
      <c r="X127" s="1191"/>
      <c r="Y127" s="1191"/>
      <c r="Z127" s="1191"/>
      <c r="AA127" s="1191"/>
      <c r="AB127" s="1191"/>
      <c r="AC127" s="1191"/>
      <c r="AD127" s="1191"/>
      <c r="AE127" s="1191"/>
      <c r="AF127" s="1191"/>
      <c r="AG127" s="1191"/>
      <c r="AH127" s="1191"/>
      <c r="AI127" s="1191"/>
      <c r="AJ127" s="1191"/>
      <c r="AK127" s="1191"/>
      <c r="AL127" s="1191"/>
      <c r="AM127" s="1191"/>
      <c r="AN127" s="1191"/>
      <c r="AO127" s="1191"/>
      <c r="AP127" s="1191"/>
      <c r="AQ127" s="1191"/>
      <c r="AR127" s="1191"/>
      <c r="AS127" s="1191"/>
      <c r="AT127" s="1191"/>
      <c r="AU127" s="1191"/>
      <c r="AV127" s="187"/>
      <c r="AW127" s="187"/>
      <c r="AX127" s="187"/>
      <c r="AY127" s="187"/>
      <c r="AZ127" s="179"/>
      <c r="BA127" s="179"/>
      <c r="BB127" s="179"/>
      <c r="BC127" s="179"/>
      <c r="BD127" s="179"/>
      <c r="BE127" s="179"/>
      <c r="BF127" s="179"/>
    </row>
    <row r="128" spans="1:58" s="215" customFormat="1" ht="15.75" hidden="1" customHeight="1" outlineLevel="1">
      <c r="A128" s="214"/>
      <c r="C128" s="581" t="s">
        <v>1618</v>
      </c>
      <c r="D128" s="242"/>
      <c r="E128" s="249"/>
      <c r="F128" s="249"/>
      <c r="G128" s="186"/>
      <c r="H128" s="186"/>
      <c r="I128" s="187"/>
      <c r="J128" s="187"/>
      <c r="K128" s="187"/>
      <c r="L128" s="187"/>
      <c r="M128" s="187"/>
      <c r="N128" s="187"/>
      <c r="O128" s="187"/>
      <c r="P128" s="187"/>
      <c r="Q128" s="1001"/>
      <c r="R128" s="1001">
        <f>(3*30.5-R90*(R109+R117)-R91*(R110+R118))*R130*24</f>
        <v>2020.3200000000002</v>
      </c>
      <c r="S128" s="1001"/>
      <c r="T128" s="1001">
        <f>(3*30.5-T90*(T109+T117)-T91*(T110+T118))*T130*24</f>
        <v>2020.3200000000002</v>
      </c>
      <c r="U128" s="1001">
        <f>T128</f>
        <v>2020.3200000000002</v>
      </c>
      <c r="V128" s="1001">
        <f>(365-V90*(V109+V117)-V91*(V110+V118))*V130*24</f>
        <v>8059.2000000000007</v>
      </c>
      <c r="W128" s="1001">
        <f t="shared" ref="W128:AU128" si="37">(365-W90*(W109+W117)-W91*(W110+W118))*W130*24</f>
        <v>8059.2000000000007</v>
      </c>
      <c r="X128" s="1001">
        <f t="shared" si="37"/>
        <v>8059.2000000000007</v>
      </c>
      <c r="Y128" s="1001">
        <f t="shared" si="37"/>
        <v>8059.2000000000007</v>
      </c>
      <c r="Z128" s="1001">
        <f t="shared" si="37"/>
        <v>8059.2000000000007</v>
      </c>
      <c r="AA128" s="1001">
        <f t="shared" si="37"/>
        <v>8059.2000000000007</v>
      </c>
      <c r="AB128" s="1001">
        <f t="shared" si="37"/>
        <v>8059.2000000000007</v>
      </c>
      <c r="AC128" s="1001">
        <f t="shared" si="37"/>
        <v>8059.2000000000007</v>
      </c>
      <c r="AD128" s="1001">
        <f t="shared" si="37"/>
        <v>8059.2000000000007</v>
      </c>
      <c r="AE128" s="1001">
        <f t="shared" si="37"/>
        <v>8059.2000000000007</v>
      </c>
      <c r="AF128" s="1001">
        <f t="shared" si="37"/>
        <v>8059.2000000000007</v>
      </c>
      <c r="AG128" s="1001">
        <f t="shared" si="37"/>
        <v>8059.2000000000007</v>
      </c>
      <c r="AH128" s="1001">
        <f t="shared" si="37"/>
        <v>8059.2000000000007</v>
      </c>
      <c r="AI128" s="1001">
        <f t="shared" si="37"/>
        <v>8059.2000000000007</v>
      </c>
      <c r="AJ128" s="1001">
        <f t="shared" si="37"/>
        <v>8059.2000000000007</v>
      </c>
      <c r="AK128" s="1001">
        <f t="shared" si="37"/>
        <v>8059.2000000000007</v>
      </c>
      <c r="AL128" s="1001">
        <f t="shared" si="37"/>
        <v>8059.2000000000007</v>
      </c>
      <c r="AM128" s="1001">
        <f t="shared" si="37"/>
        <v>8059.2000000000007</v>
      </c>
      <c r="AN128" s="1001">
        <f t="shared" si="37"/>
        <v>8059.2000000000007</v>
      </c>
      <c r="AO128" s="1001">
        <f t="shared" si="37"/>
        <v>8059.2000000000007</v>
      </c>
      <c r="AP128" s="1001">
        <f t="shared" si="37"/>
        <v>8059.2000000000007</v>
      </c>
      <c r="AQ128" s="1001">
        <f t="shared" si="37"/>
        <v>8059.2000000000007</v>
      </c>
      <c r="AR128" s="1001">
        <f t="shared" si="37"/>
        <v>8059.2000000000007</v>
      </c>
      <c r="AS128" s="1001">
        <f t="shared" si="37"/>
        <v>8059.2000000000007</v>
      </c>
      <c r="AT128" s="1001">
        <f t="shared" si="37"/>
        <v>8059.2000000000007</v>
      </c>
      <c r="AU128" s="1001">
        <f t="shared" si="37"/>
        <v>8059.2000000000007</v>
      </c>
      <c r="AV128" s="187"/>
      <c r="AW128" s="187"/>
      <c r="AX128" s="187"/>
      <c r="AY128" s="187"/>
      <c r="AZ128" s="179"/>
      <c r="BA128" s="179"/>
      <c r="BB128" s="179"/>
      <c r="BC128" s="179"/>
      <c r="BD128" s="179"/>
      <c r="BE128" s="179"/>
      <c r="BF128" s="179"/>
    </row>
    <row r="129" spans="1:58" s="215" customFormat="1" ht="15.75" hidden="1" customHeight="1" outlineLevel="1">
      <c r="A129" s="214"/>
      <c r="C129" s="580" t="s">
        <v>1617</v>
      </c>
      <c r="D129" s="242"/>
      <c r="E129" s="249"/>
      <c r="F129" s="249"/>
      <c r="G129" s="186"/>
      <c r="H129" s="186"/>
      <c r="I129" s="187"/>
      <c r="J129" s="187"/>
      <c r="K129" s="187"/>
      <c r="L129" s="187"/>
      <c r="M129" s="187"/>
      <c r="N129" s="187"/>
      <c r="O129" s="187"/>
      <c r="P129" s="187"/>
      <c r="Q129" s="187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  <c r="AI129" s="1191"/>
      <c r="AJ129" s="1191"/>
      <c r="AK129" s="1191"/>
      <c r="AL129" s="1191"/>
      <c r="AM129" s="1191"/>
      <c r="AN129" s="1191"/>
      <c r="AO129" s="1191"/>
      <c r="AP129" s="1191"/>
      <c r="AQ129" s="1191"/>
      <c r="AR129" s="1191"/>
      <c r="AS129" s="1191"/>
      <c r="AT129" s="1191"/>
      <c r="AU129" s="1191"/>
      <c r="AV129" s="187"/>
      <c r="AW129" s="187"/>
      <c r="AX129" s="187"/>
      <c r="AY129" s="187"/>
      <c r="AZ129" s="179"/>
      <c r="BA129" s="179"/>
      <c r="BB129" s="179"/>
      <c r="BC129" s="179"/>
      <c r="BD129" s="179"/>
      <c r="BE129" s="179"/>
      <c r="BF129" s="179"/>
    </row>
    <row r="130" spans="1:58" s="215" customFormat="1" ht="15.75" hidden="1" customHeight="1" outlineLevel="1">
      <c r="A130" s="214"/>
      <c r="C130" s="581" t="s">
        <v>1618</v>
      </c>
      <c r="D130" s="1270"/>
      <c r="E130" s="335"/>
      <c r="F130" s="335"/>
      <c r="G130" s="1271"/>
      <c r="H130" s="1271"/>
      <c r="I130" s="1272"/>
      <c r="J130" s="1272"/>
      <c r="K130" s="1272"/>
      <c r="L130" s="1272"/>
      <c r="M130" s="1272"/>
      <c r="N130" s="1272"/>
      <c r="O130" s="1272"/>
      <c r="P130" s="1272"/>
      <c r="Q130" s="1273"/>
      <c r="R130" s="1273">
        <v>0.92</v>
      </c>
      <c r="S130" s="1273"/>
      <c r="T130" s="1273">
        <v>0.92</v>
      </c>
      <c r="U130" s="1273">
        <f>T130</f>
        <v>0.92</v>
      </c>
      <c r="V130" s="1273">
        <v>0.92</v>
      </c>
      <c r="W130" s="1273">
        <v>0.92</v>
      </c>
      <c r="X130" s="1273">
        <v>0.92</v>
      </c>
      <c r="Y130" s="1273">
        <v>0.92</v>
      </c>
      <c r="Z130" s="1273">
        <v>0.92</v>
      </c>
      <c r="AA130" s="1273">
        <v>0.92</v>
      </c>
      <c r="AB130" s="1273">
        <v>0.92</v>
      </c>
      <c r="AC130" s="1273">
        <v>0.92</v>
      </c>
      <c r="AD130" s="1273">
        <v>0.92</v>
      </c>
      <c r="AE130" s="1273">
        <v>0.92</v>
      </c>
      <c r="AF130" s="1273">
        <v>0.92</v>
      </c>
      <c r="AG130" s="1273">
        <v>0.92</v>
      </c>
      <c r="AH130" s="1273">
        <v>0.92</v>
      </c>
      <c r="AI130" s="1273">
        <v>0.92</v>
      </c>
      <c r="AJ130" s="1273">
        <v>0.92</v>
      </c>
      <c r="AK130" s="1273">
        <v>0.92</v>
      </c>
      <c r="AL130" s="1273">
        <v>0.92</v>
      </c>
      <c r="AM130" s="1273">
        <v>0.92</v>
      </c>
      <c r="AN130" s="1273">
        <v>0.92</v>
      </c>
      <c r="AO130" s="1273">
        <v>0.92</v>
      </c>
      <c r="AP130" s="1273">
        <v>0.92</v>
      </c>
      <c r="AQ130" s="1273">
        <v>0.92</v>
      </c>
      <c r="AR130" s="1273">
        <v>0.92</v>
      </c>
      <c r="AS130" s="1273">
        <v>0.92</v>
      </c>
      <c r="AT130" s="1273">
        <v>0.92</v>
      </c>
      <c r="AU130" s="1273">
        <v>0.92</v>
      </c>
      <c r="AV130" s="187"/>
      <c r="AW130" s="187"/>
      <c r="AX130" s="187"/>
      <c r="AY130" s="187"/>
      <c r="AZ130" s="179"/>
      <c r="BA130" s="179"/>
      <c r="BB130" s="179"/>
      <c r="BC130" s="179"/>
      <c r="BD130" s="179"/>
      <c r="BE130" s="179"/>
      <c r="BF130" s="179"/>
    </row>
    <row r="131" spans="1:58" s="215" customFormat="1" ht="15.75" hidden="1" customHeight="1" outlineLevel="1">
      <c r="A131" s="214"/>
      <c r="C131" s="580" t="s">
        <v>1625</v>
      </c>
      <c r="D131" s="242"/>
      <c r="E131" s="249"/>
      <c r="F131" s="249"/>
      <c r="G131" s="186"/>
      <c r="H131" s="186"/>
      <c r="I131" s="187"/>
      <c r="J131" s="187"/>
      <c r="K131" s="187"/>
      <c r="L131" s="187"/>
      <c r="M131" s="187"/>
      <c r="N131" s="187"/>
      <c r="O131" s="187"/>
      <c r="P131" s="187"/>
      <c r="Q131" s="187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  <c r="AI131" s="1191"/>
      <c r="AJ131" s="1191"/>
      <c r="AK131" s="1191"/>
      <c r="AL131" s="1191"/>
      <c r="AM131" s="1191"/>
      <c r="AN131" s="1191"/>
      <c r="AO131" s="1191"/>
      <c r="AP131" s="1191"/>
      <c r="AQ131" s="1191"/>
      <c r="AR131" s="1191"/>
      <c r="AS131" s="1191"/>
      <c r="AT131" s="1191"/>
      <c r="AU131" s="1191"/>
      <c r="AV131" s="187"/>
      <c r="AW131" s="187"/>
      <c r="AX131" s="187"/>
      <c r="AY131" s="187"/>
      <c r="AZ131" s="179"/>
      <c r="BA131" s="179"/>
      <c r="BB131" s="179"/>
      <c r="BC131" s="179"/>
      <c r="BD131" s="179"/>
      <c r="BE131" s="179"/>
      <c r="BF131" s="179"/>
    </row>
    <row r="132" spans="1:58" s="215" customFormat="1" ht="15.75" hidden="1" customHeight="1" outlineLevel="1">
      <c r="A132" s="214"/>
      <c r="C132" s="581" t="s">
        <v>1626</v>
      </c>
      <c r="D132" s="242"/>
      <c r="E132" s="249"/>
      <c r="F132" s="249"/>
      <c r="G132" s="186"/>
      <c r="H132" s="186"/>
      <c r="I132" s="187"/>
      <c r="J132" s="187"/>
      <c r="K132" s="187"/>
      <c r="L132" s="187"/>
      <c r="M132" s="187"/>
      <c r="N132" s="187"/>
      <c r="O132" s="187"/>
      <c r="P132" s="187"/>
      <c r="Q132" s="187"/>
      <c r="R132" s="1191">
        <f>R125*R128</f>
        <v>90914.400000000009</v>
      </c>
      <c r="S132" s="1191"/>
      <c r="T132" s="1191">
        <f>T125*T128</f>
        <v>90914.400000000009</v>
      </c>
      <c r="U132" s="1191">
        <f>T132</f>
        <v>90914.400000000009</v>
      </c>
      <c r="V132" s="1191">
        <f t="shared" ref="V132:AU132" si="38">V125*V128</f>
        <v>588321.60000000009</v>
      </c>
      <c r="W132" s="1191">
        <f t="shared" si="38"/>
        <v>685032.00000000012</v>
      </c>
      <c r="X132" s="1191">
        <f t="shared" si="38"/>
        <v>685032.00000000012</v>
      </c>
      <c r="Y132" s="1191">
        <f t="shared" si="38"/>
        <v>685032.00000000012</v>
      </c>
      <c r="Z132" s="1191">
        <f t="shared" si="38"/>
        <v>685032.00000000012</v>
      </c>
      <c r="AA132" s="1191">
        <f t="shared" si="38"/>
        <v>685032.00000000012</v>
      </c>
      <c r="AB132" s="1191">
        <f t="shared" si="38"/>
        <v>685032.00000000012</v>
      </c>
      <c r="AC132" s="1191">
        <f t="shared" si="38"/>
        <v>685032.00000000012</v>
      </c>
      <c r="AD132" s="1191">
        <f t="shared" si="38"/>
        <v>685032.00000000012</v>
      </c>
      <c r="AE132" s="1191">
        <f t="shared" si="38"/>
        <v>685032.00000000012</v>
      </c>
      <c r="AF132" s="1191">
        <f t="shared" si="38"/>
        <v>685032.00000000012</v>
      </c>
      <c r="AG132" s="1191">
        <f t="shared" si="38"/>
        <v>685032.00000000012</v>
      </c>
      <c r="AH132" s="1191">
        <f t="shared" si="38"/>
        <v>685032.00000000012</v>
      </c>
      <c r="AI132" s="1191">
        <f t="shared" si="38"/>
        <v>685032.00000000012</v>
      </c>
      <c r="AJ132" s="1191">
        <f t="shared" si="38"/>
        <v>685032.00000000012</v>
      </c>
      <c r="AK132" s="1191">
        <f t="shared" si="38"/>
        <v>685032.00000000012</v>
      </c>
      <c r="AL132" s="1191">
        <f t="shared" si="38"/>
        <v>685032.00000000012</v>
      </c>
      <c r="AM132" s="1191">
        <f t="shared" si="38"/>
        <v>685032.00000000012</v>
      </c>
      <c r="AN132" s="1191">
        <f t="shared" si="38"/>
        <v>685032.00000000012</v>
      </c>
      <c r="AO132" s="1191">
        <f t="shared" si="38"/>
        <v>685032.00000000012</v>
      </c>
      <c r="AP132" s="1191">
        <f t="shared" si="38"/>
        <v>685032.00000000012</v>
      </c>
      <c r="AQ132" s="1191">
        <f t="shared" si="38"/>
        <v>685032.00000000012</v>
      </c>
      <c r="AR132" s="1191">
        <f t="shared" si="38"/>
        <v>685032.00000000012</v>
      </c>
      <c r="AS132" s="1191">
        <f t="shared" si="38"/>
        <v>685032.00000000012</v>
      </c>
      <c r="AT132" s="1191">
        <f t="shared" si="38"/>
        <v>685032.00000000012</v>
      </c>
      <c r="AU132" s="1191">
        <f t="shared" si="38"/>
        <v>685032.00000000012</v>
      </c>
      <c r="AV132" s="187"/>
      <c r="AW132" s="187"/>
      <c r="AX132" s="187"/>
      <c r="AY132" s="187"/>
      <c r="AZ132" s="179"/>
      <c r="BA132" s="179"/>
      <c r="BB132" s="179"/>
      <c r="BC132" s="179"/>
      <c r="BD132" s="179"/>
      <c r="BE132" s="179"/>
      <c r="BF132" s="179"/>
    </row>
    <row r="133" spans="1:58" s="215" customFormat="1" ht="15.75" hidden="1" customHeight="1" outlineLevel="1">
      <c r="A133" s="214"/>
      <c r="C133" s="581" t="s">
        <v>1627</v>
      </c>
      <c r="D133" s="242"/>
      <c r="E133" s="249"/>
      <c r="F133" s="249"/>
      <c r="G133" s="186"/>
      <c r="H133" s="186"/>
      <c r="I133" s="187"/>
      <c r="J133" s="187"/>
      <c r="K133" s="187"/>
      <c r="L133" s="187"/>
      <c r="M133" s="187"/>
      <c r="N133" s="187"/>
      <c r="O133" s="187"/>
      <c r="P133" s="187"/>
      <c r="Q133" s="187"/>
      <c r="R133" s="1191"/>
      <c r="S133" s="1191"/>
      <c r="T133" s="1191"/>
      <c r="U133" s="1191"/>
      <c r="V133" s="1191"/>
      <c r="W133" s="1191"/>
      <c r="X133" s="1191"/>
      <c r="Y133" s="1191"/>
      <c r="Z133" s="1191"/>
      <c r="AA133" s="1191"/>
      <c r="AB133" s="1191"/>
      <c r="AC133" s="1191"/>
      <c r="AD133" s="1191"/>
      <c r="AE133" s="1191"/>
      <c r="AF133" s="1191"/>
      <c r="AG133" s="1191"/>
      <c r="AH133" s="1191"/>
      <c r="AI133" s="1191"/>
      <c r="AJ133" s="1191"/>
      <c r="AK133" s="1191"/>
      <c r="AL133" s="1191"/>
      <c r="AM133" s="1191"/>
      <c r="AN133" s="1191"/>
      <c r="AO133" s="1191"/>
      <c r="AP133" s="1191"/>
      <c r="AQ133" s="1191"/>
      <c r="AR133" s="1191"/>
      <c r="AS133" s="1191"/>
      <c r="AT133" s="1191"/>
      <c r="AU133" s="1191"/>
      <c r="AV133" s="187"/>
      <c r="AW133" s="187"/>
      <c r="AX133" s="187"/>
      <c r="AY133" s="187"/>
      <c r="AZ133" s="179"/>
      <c r="BA133" s="179"/>
      <c r="BB133" s="179"/>
      <c r="BC133" s="179"/>
      <c r="BD133" s="179"/>
      <c r="BE133" s="179"/>
      <c r="BF133" s="179"/>
    </row>
    <row r="134" spans="1:58" s="215" customFormat="1" ht="15.75" hidden="1" customHeight="1" outlineLevel="1">
      <c r="A134" s="214"/>
      <c r="C134" s="581" t="s">
        <v>1894</v>
      </c>
      <c r="D134" s="242"/>
      <c r="E134" s="249"/>
      <c r="F134" s="249"/>
      <c r="G134" s="186"/>
      <c r="H134" s="186"/>
      <c r="I134" s="187"/>
      <c r="J134" s="187"/>
      <c r="K134" s="187"/>
      <c r="L134" s="187"/>
      <c r="M134" s="187"/>
      <c r="N134" s="187"/>
      <c r="O134" s="187"/>
      <c r="P134" s="187"/>
      <c r="Q134" s="187"/>
      <c r="R134" s="1191">
        <f>R171/0.35/47*1*8</f>
        <v>1496.9886119794937</v>
      </c>
      <c r="S134" s="1191"/>
      <c r="T134" s="1191">
        <f>T171/0.35/47*1*8</f>
        <v>1496.9886119794937</v>
      </c>
      <c r="U134" s="1191">
        <f t="shared" ref="U134:U139" si="39">T134</f>
        <v>1496.9886119794937</v>
      </c>
      <c r="V134" s="1191">
        <f t="shared" ref="V134:AU134" si="40">V171/0.35/47*1*8</f>
        <v>10439.660303458459</v>
      </c>
      <c r="W134" s="1191">
        <f t="shared" si="40"/>
        <v>12155.768846492723</v>
      </c>
      <c r="X134" s="1191">
        <f t="shared" si="40"/>
        <v>12155.768846492723</v>
      </c>
      <c r="Y134" s="1191">
        <f t="shared" si="40"/>
        <v>12155.768846492723</v>
      </c>
      <c r="Z134" s="1191">
        <f t="shared" si="40"/>
        <v>12155.768846492723</v>
      </c>
      <c r="AA134" s="1191">
        <f t="shared" si="40"/>
        <v>12155.768846492723</v>
      </c>
      <c r="AB134" s="1191">
        <f t="shared" si="40"/>
        <v>12155.768846492723</v>
      </c>
      <c r="AC134" s="1191">
        <f t="shared" si="40"/>
        <v>12155.768846492723</v>
      </c>
      <c r="AD134" s="1191">
        <f t="shared" si="40"/>
        <v>12155.768846492723</v>
      </c>
      <c r="AE134" s="1191">
        <f t="shared" si="40"/>
        <v>12155.768846492723</v>
      </c>
      <c r="AF134" s="1191">
        <f t="shared" si="40"/>
        <v>12155.768846492723</v>
      </c>
      <c r="AG134" s="1191">
        <f t="shared" si="40"/>
        <v>12155.768846492723</v>
      </c>
      <c r="AH134" s="1191">
        <f t="shared" si="40"/>
        <v>12155.768846492723</v>
      </c>
      <c r="AI134" s="1191">
        <f t="shared" si="40"/>
        <v>12155.768846492723</v>
      </c>
      <c r="AJ134" s="1191">
        <f t="shared" si="40"/>
        <v>12155.768846492723</v>
      </c>
      <c r="AK134" s="1191">
        <f t="shared" si="40"/>
        <v>12155.768846492723</v>
      </c>
      <c r="AL134" s="1191">
        <f t="shared" si="40"/>
        <v>12155.768846492723</v>
      </c>
      <c r="AM134" s="1191">
        <f t="shared" si="40"/>
        <v>12155.768846492723</v>
      </c>
      <c r="AN134" s="1191">
        <f t="shared" si="40"/>
        <v>12155.768846492723</v>
      </c>
      <c r="AO134" s="1191">
        <f t="shared" si="40"/>
        <v>12155.768846492723</v>
      </c>
      <c r="AP134" s="1191">
        <f t="shared" si="40"/>
        <v>12155.768846492723</v>
      </c>
      <c r="AQ134" s="1191">
        <f t="shared" si="40"/>
        <v>12155.768846492723</v>
      </c>
      <c r="AR134" s="1191">
        <f t="shared" si="40"/>
        <v>12155.768846492723</v>
      </c>
      <c r="AS134" s="1191">
        <f t="shared" si="40"/>
        <v>12155.768846492723</v>
      </c>
      <c r="AT134" s="1191">
        <f t="shared" si="40"/>
        <v>12155.768846492723</v>
      </c>
      <c r="AU134" s="1191">
        <f t="shared" si="40"/>
        <v>12155.768846492723</v>
      </c>
      <c r="AV134" s="187"/>
      <c r="AW134" s="187"/>
      <c r="AX134" s="187"/>
      <c r="AY134" s="187"/>
      <c r="AZ134" s="179"/>
      <c r="BA134" s="179"/>
      <c r="BB134" s="179"/>
      <c r="BC134" s="179"/>
      <c r="BD134" s="179"/>
      <c r="BE134" s="179"/>
      <c r="BF134" s="179"/>
    </row>
    <row r="135" spans="1:58" s="215" customFormat="1" ht="15.75" hidden="1" customHeight="1" outlineLevel="1">
      <c r="A135" s="214"/>
      <c r="C135" s="581" t="s">
        <v>1632</v>
      </c>
      <c r="D135" s="242"/>
      <c r="E135" s="249"/>
      <c r="F135" s="249"/>
      <c r="G135" s="186"/>
      <c r="H135" s="186"/>
      <c r="I135" s="187"/>
      <c r="J135" s="187"/>
      <c r="K135" s="187"/>
      <c r="L135" s="187"/>
      <c r="M135" s="187"/>
      <c r="N135" s="187"/>
      <c r="O135" s="187"/>
      <c r="P135" s="187"/>
      <c r="Q135" s="187"/>
      <c r="R135" s="1191">
        <f>10*24*30.5*3*0.92</f>
        <v>20203.2</v>
      </c>
      <c r="S135" s="1191"/>
      <c r="T135" s="1191">
        <f>10*24*30.5*3*0.92</f>
        <v>20203.2</v>
      </c>
      <c r="U135" s="1191">
        <f t="shared" si="39"/>
        <v>20203.2</v>
      </c>
      <c r="V135" s="1191">
        <f t="shared" ref="V135:AU135" si="41">10*24*30.5*5*0.92</f>
        <v>33672</v>
      </c>
      <c r="W135" s="1191">
        <f t="shared" si="41"/>
        <v>33672</v>
      </c>
      <c r="X135" s="1191">
        <f t="shared" si="41"/>
        <v>33672</v>
      </c>
      <c r="Y135" s="1191">
        <f t="shared" si="41"/>
        <v>33672</v>
      </c>
      <c r="Z135" s="1191">
        <f t="shared" si="41"/>
        <v>33672</v>
      </c>
      <c r="AA135" s="1191">
        <f t="shared" si="41"/>
        <v>33672</v>
      </c>
      <c r="AB135" s="1191">
        <f t="shared" si="41"/>
        <v>33672</v>
      </c>
      <c r="AC135" s="1191">
        <f t="shared" si="41"/>
        <v>33672</v>
      </c>
      <c r="AD135" s="1191">
        <f t="shared" si="41"/>
        <v>33672</v>
      </c>
      <c r="AE135" s="1191">
        <f t="shared" si="41"/>
        <v>33672</v>
      </c>
      <c r="AF135" s="1191">
        <f t="shared" si="41"/>
        <v>33672</v>
      </c>
      <c r="AG135" s="1191">
        <f t="shared" si="41"/>
        <v>33672</v>
      </c>
      <c r="AH135" s="1191">
        <f t="shared" si="41"/>
        <v>33672</v>
      </c>
      <c r="AI135" s="1191">
        <f t="shared" si="41"/>
        <v>33672</v>
      </c>
      <c r="AJ135" s="1191">
        <f t="shared" si="41"/>
        <v>33672</v>
      </c>
      <c r="AK135" s="1191">
        <f t="shared" si="41"/>
        <v>33672</v>
      </c>
      <c r="AL135" s="1191">
        <f t="shared" si="41"/>
        <v>33672</v>
      </c>
      <c r="AM135" s="1191">
        <f t="shared" si="41"/>
        <v>33672</v>
      </c>
      <c r="AN135" s="1191">
        <f t="shared" si="41"/>
        <v>33672</v>
      </c>
      <c r="AO135" s="1191">
        <f t="shared" si="41"/>
        <v>33672</v>
      </c>
      <c r="AP135" s="1191">
        <f t="shared" si="41"/>
        <v>33672</v>
      </c>
      <c r="AQ135" s="1191">
        <f t="shared" si="41"/>
        <v>33672</v>
      </c>
      <c r="AR135" s="1191">
        <f t="shared" si="41"/>
        <v>33672</v>
      </c>
      <c r="AS135" s="1191">
        <f t="shared" si="41"/>
        <v>33672</v>
      </c>
      <c r="AT135" s="1191">
        <f t="shared" si="41"/>
        <v>33672</v>
      </c>
      <c r="AU135" s="1191">
        <f t="shared" si="41"/>
        <v>33672</v>
      </c>
      <c r="AV135" s="187"/>
      <c r="AW135" s="187"/>
      <c r="AX135" s="187"/>
      <c r="AY135" s="187"/>
      <c r="AZ135" s="179"/>
      <c r="BA135" s="179"/>
      <c r="BB135" s="179"/>
      <c r="BC135" s="179"/>
      <c r="BD135" s="179"/>
      <c r="BE135" s="179"/>
      <c r="BF135" s="179"/>
    </row>
    <row r="136" spans="1:58" s="215" customFormat="1" ht="15.75" hidden="1" customHeight="1" outlineLevel="1">
      <c r="A136" s="214"/>
      <c r="C136" s="581" t="s">
        <v>1633</v>
      </c>
      <c r="D136" s="242"/>
      <c r="E136" s="249"/>
      <c r="F136" s="249"/>
      <c r="G136" s="186"/>
      <c r="H136" s="186"/>
      <c r="I136" s="187"/>
      <c r="J136" s="187"/>
      <c r="K136" s="187"/>
      <c r="L136" s="187"/>
      <c r="M136" s="187"/>
      <c r="N136" s="187"/>
      <c r="O136" s="187"/>
      <c r="P136" s="187"/>
      <c r="Q136" s="187"/>
      <c r="R136" s="1191">
        <f>SUM(R132:R135)</f>
        <v>112614.5886119795</v>
      </c>
      <c r="S136" s="1191"/>
      <c r="T136" s="1191">
        <f>SUM(T132:T135)</f>
        <v>112614.5886119795</v>
      </c>
      <c r="U136" s="1191">
        <f t="shared" si="39"/>
        <v>112614.5886119795</v>
      </c>
      <c r="V136" s="1191">
        <f t="shared" ref="V136:AU136" si="42">SUM(V132:V135)</f>
        <v>632433.26030345855</v>
      </c>
      <c r="W136" s="1191">
        <f t="shared" si="42"/>
        <v>730859.76884649287</v>
      </c>
      <c r="X136" s="1191">
        <f t="shared" si="42"/>
        <v>730859.76884649287</v>
      </c>
      <c r="Y136" s="1191">
        <f t="shared" si="42"/>
        <v>730859.76884649287</v>
      </c>
      <c r="Z136" s="1191">
        <f t="shared" si="42"/>
        <v>730859.76884649287</v>
      </c>
      <c r="AA136" s="1191">
        <f t="shared" si="42"/>
        <v>730859.76884649287</v>
      </c>
      <c r="AB136" s="1191">
        <f t="shared" si="42"/>
        <v>730859.76884649287</v>
      </c>
      <c r="AC136" s="1191">
        <f t="shared" si="42"/>
        <v>730859.76884649287</v>
      </c>
      <c r="AD136" s="1191">
        <f t="shared" si="42"/>
        <v>730859.76884649287</v>
      </c>
      <c r="AE136" s="1191">
        <f t="shared" si="42"/>
        <v>730859.76884649287</v>
      </c>
      <c r="AF136" s="1191">
        <f t="shared" si="42"/>
        <v>730859.76884649287</v>
      </c>
      <c r="AG136" s="1191">
        <f t="shared" si="42"/>
        <v>730859.76884649287</v>
      </c>
      <c r="AH136" s="1191">
        <f t="shared" si="42"/>
        <v>730859.76884649287</v>
      </c>
      <c r="AI136" s="1191">
        <f t="shared" si="42"/>
        <v>730859.76884649287</v>
      </c>
      <c r="AJ136" s="1191">
        <f t="shared" si="42"/>
        <v>730859.76884649287</v>
      </c>
      <c r="AK136" s="1191">
        <f t="shared" si="42"/>
        <v>730859.76884649287</v>
      </c>
      <c r="AL136" s="1191">
        <f t="shared" si="42"/>
        <v>730859.76884649287</v>
      </c>
      <c r="AM136" s="1191">
        <f t="shared" si="42"/>
        <v>730859.76884649287</v>
      </c>
      <c r="AN136" s="1191">
        <f t="shared" si="42"/>
        <v>730859.76884649287</v>
      </c>
      <c r="AO136" s="1191">
        <f t="shared" si="42"/>
        <v>730859.76884649287</v>
      </c>
      <c r="AP136" s="1191">
        <f t="shared" si="42"/>
        <v>730859.76884649287</v>
      </c>
      <c r="AQ136" s="1191">
        <f t="shared" si="42"/>
        <v>730859.76884649287</v>
      </c>
      <c r="AR136" s="1191">
        <f t="shared" si="42"/>
        <v>730859.76884649287</v>
      </c>
      <c r="AS136" s="1191">
        <f t="shared" si="42"/>
        <v>730859.76884649287</v>
      </c>
      <c r="AT136" s="1191">
        <f t="shared" si="42"/>
        <v>730859.76884649287</v>
      </c>
      <c r="AU136" s="1191">
        <f t="shared" si="42"/>
        <v>730859.76884649287</v>
      </c>
      <c r="AV136" s="187"/>
      <c r="AW136" s="187"/>
      <c r="AX136" s="187"/>
      <c r="AY136" s="187"/>
      <c r="AZ136" s="179"/>
      <c r="BA136" s="179"/>
      <c r="BB136" s="179"/>
      <c r="BC136" s="179"/>
      <c r="BD136" s="179"/>
      <c r="BE136" s="179"/>
      <c r="BF136" s="179"/>
    </row>
    <row r="137" spans="1:58" s="215" customFormat="1" ht="15.75" hidden="1" customHeight="1" outlineLevel="1" thickBot="1">
      <c r="A137" s="214"/>
      <c r="C137" s="586"/>
      <c r="D137" s="1194"/>
      <c r="E137" s="1194"/>
      <c r="F137" s="1194"/>
      <c r="G137" s="1194"/>
      <c r="H137" s="1194"/>
      <c r="I137" s="1194"/>
      <c r="J137" s="1194"/>
      <c r="K137" s="1194"/>
      <c r="L137" s="1194"/>
      <c r="M137" s="1194"/>
      <c r="N137" s="1194"/>
      <c r="O137" s="1194"/>
      <c r="P137" s="1194"/>
      <c r="Q137" s="1194"/>
      <c r="R137" s="1194"/>
      <c r="S137" s="1194"/>
      <c r="T137" s="1194"/>
      <c r="U137" s="1194">
        <f t="shared" si="39"/>
        <v>0</v>
      </c>
      <c r="V137" s="1194"/>
      <c r="W137" s="1194"/>
      <c r="X137" s="1194"/>
      <c r="Y137" s="1194"/>
      <c r="Z137" s="1194"/>
      <c r="AA137" s="1194"/>
      <c r="AB137" s="1194"/>
      <c r="AC137" s="1194"/>
      <c r="AD137" s="1194"/>
      <c r="AE137" s="1194"/>
      <c r="AF137" s="1194"/>
      <c r="AG137" s="1194"/>
      <c r="AH137" s="1194"/>
      <c r="AI137" s="1194"/>
      <c r="AJ137" s="1194"/>
      <c r="AK137" s="1194"/>
      <c r="AL137" s="1194"/>
      <c r="AM137" s="1194"/>
      <c r="AN137" s="1194"/>
      <c r="AO137" s="1194"/>
      <c r="AP137" s="1194"/>
      <c r="AQ137" s="1194"/>
      <c r="AR137" s="1194"/>
      <c r="AS137" s="1194"/>
      <c r="AT137" s="1194"/>
      <c r="AU137" s="1194"/>
      <c r="AV137" s="187"/>
      <c r="AW137" s="187"/>
      <c r="AX137" s="187"/>
      <c r="AY137" s="187"/>
      <c r="AZ137" s="179"/>
      <c r="BA137" s="179"/>
      <c r="BB137" s="179"/>
      <c r="BC137" s="179"/>
      <c r="BD137" s="179"/>
      <c r="BE137" s="179"/>
      <c r="BF137" s="179"/>
    </row>
    <row r="138" spans="1:58" s="215" customFormat="1" ht="15.75" hidden="1" customHeight="1" outlineLevel="1">
      <c r="A138" s="214"/>
      <c r="C138" s="181" t="s">
        <v>1636</v>
      </c>
      <c r="D138" s="242"/>
      <c r="E138" s="249"/>
      <c r="F138" s="249"/>
      <c r="G138" s="186"/>
      <c r="H138" s="186"/>
      <c r="I138" s="187"/>
      <c r="J138" s="187"/>
      <c r="K138" s="187"/>
      <c r="L138" s="187"/>
      <c r="M138" s="187"/>
      <c r="N138" s="187"/>
      <c r="O138" s="187"/>
      <c r="P138" s="187"/>
      <c r="Q138" s="187"/>
      <c r="R138" s="1191"/>
      <c r="S138" s="1191"/>
      <c r="T138" s="1191"/>
      <c r="U138" s="1191">
        <f t="shared" si="39"/>
        <v>0</v>
      </c>
      <c r="V138" s="1191"/>
      <c r="W138" s="1191"/>
      <c r="X138" s="1191"/>
      <c r="Y138" s="1191"/>
      <c r="Z138" s="1191"/>
      <c r="AA138" s="1191"/>
      <c r="AB138" s="1191"/>
      <c r="AC138" s="1191"/>
      <c r="AD138" s="1191"/>
      <c r="AE138" s="1191"/>
      <c r="AF138" s="1191"/>
      <c r="AG138" s="1191"/>
      <c r="AH138" s="1191"/>
      <c r="AI138" s="1191"/>
      <c r="AJ138" s="1191"/>
      <c r="AK138" s="1191"/>
      <c r="AL138" s="1191"/>
      <c r="AM138" s="1191"/>
      <c r="AN138" s="1191"/>
      <c r="AO138" s="1191"/>
      <c r="AP138" s="1191"/>
      <c r="AQ138" s="1191"/>
      <c r="AR138" s="1191"/>
      <c r="AS138" s="1191"/>
      <c r="AT138" s="1191"/>
      <c r="AU138" s="1191"/>
      <c r="AV138" s="187"/>
      <c r="AW138" s="187"/>
      <c r="AX138" s="187"/>
      <c r="AY138" s="187"/>
      <c r="AZ138" s="179"/>
      <c r="BA138" s="179"/>
      <c r="BB138" s="179"/>
      <c r="BC138" s="179"/>
      <c r="BD138" s="179"/>
      <c r="BE138" s="179"/>
      <c r="BF138" s="179"/>
    </row>
    <row r="139" spans="1:58" s="215" customFormat="1" ht="15.75" hidden="1" customHeight="1" outlineLevel="1">
      <c r="A139" s="214"/>
      <c r="C139" s="184" t="s">
        <v>1637</v>
      </c>
      <c r="D139" s="242"/>
      <c r="E139" s="249"/>
      <c r="F139" s="249"/>
      <c r="G139" s="186"/>
      <c r="H139" s="186"/>
      <c r="I139" s="187"/>
      <c r="J139" s="187"/>
      <c r="K139" s="187"/>
      <c r="L139" s="187"/>
      <c r="M139" s="187"/>
      <c r="N139" s="187"/>
      <c r="O139" s="187"/>
      <c r="P139" s="187"/>
      <c r="Q139" s="187"/>
      <c r="R139" s="1268">
        <f>IF(R125=0,0,IF(R125&lt;70,555,515))</f>
        <v>555</v>
      </c>
      <c r="S139" s="1268"/>
      <c r="T139" s="1268">
        <f>IF(T125=0,0,IF(T125&lt;70,555,515))</f>
        <v>555</v>
      </c>
      <c r="U139" s="1268">
        <f t="shared" si="39"/>
        <v>555</v>
      </c>
      <c r="V139" s="1268">
        <f t="shared" ref="V139:AU139" si="43">IF(V125=0,0,IF(V125&lt;70,555,515))</f>
        <v>515</v>
      </c>
      <c r="W139" s="1268">
        <f t="shared" si="43"/>
        <v>515</v>
      </c>
      <c r="X139" s="1268">
        <f t="shared" si="43"/>
        <v>515</v>
      </c>
      <c r="Y139" s="1268">
        <f t="shared" si="43"/>
        <v>515</v>
      </c>
      <c r="Z139" s="1268">
        <f t="shared" si="43"/>
        <v>515</v>
      </c>
      <c r="AA139" s="1268">
        <f t="shared" si="43"/>
        <v>515</v>
      </c>
      <c r="AB139" s="1268">
        <f t="shared" si="43"/>
        <v>515</v>
      </c>
      <c r="AC139" s="1268">
        <f t="shared" si="43"/>
        <v>515</v>
      </c>
      <c r="AD139" s="1268">
        <f t="shared" si="43"/>
        <v>515</v>
      </c>
      <c r="AE139" s="1268">
        <f t="shared" si="43"/>
        <v>515</v>
      </c>
      <c r="AF139" s="1268">
        <f t="shared" si="43"/>
        <v>515</v>
      </c>
      <c r="AG139" s="1268">
        <f t="shared" si="43"/>
        <v>515</v>
      </c>
      <c r="AH139" s="1268">
        <f t="shared" si="43"/>
        <v>515</v>
      </c>
      <c r="AI139" s="1268">
        <f t="shared" si="43"/>
        <v>515</v>
      </c>
      <c r="AJ139" s="1268">
        <f t="shared" si="43"/>
        <v>515</v>
      </c>
      <c r="AK139" s="1268">
        <f t="shared" si="43"/>
        <v>515</v>
      </c>
      <c r="AL139" s="1268">
        <f t="shared" si="43"/>
        <v>515</v>
      </c>
      <c r="AM139" s="1268">
        <f t="shared" si="43"/>
        <v>515</v>
      </c>
      <c r="AN139" s="1268">
        <f t="shared" si="43"/>
        <v>515</v>
      </c>
      <c r="AO139" s="1268">
        <f t="shared" si="43"/>
        <v>515</v>
      </c>
      <c r="AP139" s="1268">
        <f t="shared" si="43"/>
        <v>515</v>
      </c>
      <c r="AQ139" s="1268">
        <f t="shared" si="43"/>
        <v>515</v>
      </c>
      <c r="AR139" s="1268">
        <f t="shared" si="43"/>
        <v>515</v>
      </c>
      <c r="AS139" s="1268">
        <f t="shared" si="43"/>
        <v>515</v>
      </c>
      <c r="AT139" s="1268">
        <f t="shared" si="43"/>
        <v>515</v>
      </c>
      <c r="AU139" s="1268">
        <f t="shared" si="43"/>
        <v>515</v>
      </c>
      <c r="AV139" s="187"/>
      <c r="AW139" s="187"/>
      <c r="AX139" s="187"/>
      <c r="AY139" s="187"/>
      <c r="AZ139" s="179"/>
      <c r="BA139" s="179"/>
      <c r="BB139" s="179"/>
      <c r="BC139" s="179"/>
      <c r="BD139" s="179"/>
      <c r="BE139" s="179"/>
      <c r="BF139" s="179"/>
    </row>
    <row r="140" spans="1:58" s="215" customFormat="1" ht="15.75" hidden="1" customHeight="1" outlineLevel="1">
      <c r="A140" s="214"/>
      <c r="C140" s="184" t="s">
        <v>1638</v>
      </c>
      <c r="D140" s="242"/>
      <c r="E140" s="249"/>
      <c r="F140" s="249"/>
      <c r="G140" s="186"/>
      <c r="H140" s="186"/>
      <c r="I140" s="187"/>
      <c r="J140" s="187"/>
      <c r="K140" s="187"/>
      <c r="L140" s="187"/>
      <c r="M140" s="187"/>
      <c r="N140" s="187"/>
      <c r="O140" s="187"/>
      <c r="P140" s="187"/>
      <c r="Q140" s="187"/>
      <c r="R140" s="1191"/>
      <c r="S140" s="1191"/>
      <c r="T140" s="1191"/>
      <c r="U140" s="1191">
        <f t="shared" ref="U140:U203" si="44">T140</f>
        <v>0</v>
      </c>
      <c r="V140" s="1191"/>
      <c r="W140" s="1191"/>
      <c r="X140" s="1191"/>
      <c r="Y140" s="1191"/>
      <c r="Z140" s="1191"/>
      <c r="AA140" s="1191"/>
      <c r="AB140" s="1191"/>
      <c r="AC140" s="1191"/>
      <c r="AD140" s="1191"/>
      <c r="AE140" s="1191"/>
      <c r="AF140" s="1191"/>
      <c r="AG140" s="1191"/>
      <c r="AH140" s="1191"/>
      <c r="AI140" s="1191"/>
      <c r="AJ140" s="1191"/>
      <c r="AK140" s="1191"/>
      <c r="AL140" s="1191"/>
      <c r="AM140" s="1191"/>
      <c r="AN140" s="1191"/>
      <c r="AO140" s="1191"/>
      <c r="AP140" s="1191"/>
      <c r="AQ140" s="1191"/>
      <c r="AR140" s="1191"/>
      <c r="AS140" s="1191"/>
      <c r="AT140" s="1191"/>
      <c r="AU140" s="1191"/>
      <c r="AV140" s="187"/>
      <c r="AW140" s="187"/>
      <c r="AX140" s="187"/>
      <c r="AY140" s="187"/>
      <c r="AZ140" s="179"/>
      <c r="BA140" s="179"/>
      <c r="BB140" s="179"/>
      <c r="BC140" s="179"/>
      <c r="BD140" s="179"/>
      <c r="BE140" s="179"/>
      <c r="BF140" s="179"/>
    </row>
    <row r="141" spans="1:58" s="215" customFormat="1" ht="15.75" hidden="1" customHeight="1" outlineLevel="1">
      <c r="A141" s="214"/>
      <c r="C141" s="184"/>
      <c r="D141" s="242"/>
      <c r="E141" s="249"/>
      <c r="F141" s="249"/>
      <c r="G141" s="186"/>
      <c r="H141" s="186"/>
      <c r="I141" s="187"/>
      <c r="J141" s="187"/>
      <c r="K141" s="187"/>
      <c r="L141" s="187"/>
      <c r="M141" s="187"/>
      <c r="N141" s="187"/>
      <c r="O141" s="187"/>
      <c r="P141" s="187"/>
      <c r="Q141" s="187"/>
      <c r="R141" s="1191"/>
      <c r="S141" s="1191"/>
      <c r="T141" s="1191"/>
      <c r="U141" s="1191">
        <f t="shared" si="44"/>
        <v>0</v>
      </c>
      <c r="V141" s="1191"/>
      <c r="W141" s="1191"/>
      <c r="X141" s="1191"/>
      <c r="Y141" s="1191"/>
      <c r="Z141" s="1191"/>
      <c r="AA141" s="1191"/>
      <c r="AB141" s="1191"/>
      <c r="AC141" s="1191"/>
      <c r="AD141" s="1191"/>
      <c r="AE141" s="1191"/>
      <c r="AF141" s="1191"/>
      <c r="AG141" s="1191"/>
      <c r="AH141" s="1191"/>
      <c r="AI141" s="1191"/>
      <c r="AJ141" s="1191"/>
      <c r="AK141" s="1191"/>
      <c r="AL141" s="1191"/>
      <c r="AM141" s="1191"/>
      <c r="AN141" s="1191"/>
      <c r="AO141" s="1191"/>
      <c r="AP141" s="1191"/>
      <c r="AQ141" s="1191"/>
      <c r="AR141" s="1191"/>
      <c r="AS141" s="1191"/>
      <c r="AT141" s="1191"/>
      <c r="AU141" s="1191"/>
      <c r="AV141" s="187"/>
      <c r="AW141" s="187"/>
      <c r="AX141" s="187"/>
      <c r="AY141" s="187"/>
      <c r="AZ141" s="179"/>
      <c r="BA141" s="179"/>
      <c r="BB141" s="179"/>
      <c r="BC141" s="179"/>
      <c r="BD141" s="179"/>
      <c r="BE141" s="179"/>
      <c r="BF141" s="179"/>
    </row>
    <row r="142" spans="1:58" s="215" customFormat="1" ht="15.75" hidden="1" customHeight="1" outlineLevel="1">
      <c r="A142" s="214"/>
      <c r="C142" s="184" t="s">
        <v>1639</v>
      </c>
      <c r="D142" s="242"/>
      <c r="E142" s="249"/>
      <c r="F142" s="249"/>
      <c r="G142" s="186"/>
      <c r="H142" s="186"/>
      <c r="I142" s="187"/>
      <c r="J142" s="187"/>
      <c r="K142" s="187"/>
      <c r="L142" s="187"/>
      <c r="M142" s="187"/>
      <c r="N142" s="187"/>
      <c r="O142" s="187"/>
      <c r="P142" s="187"/>
      <c r="Q142" s="187"/>
      <c r="R142" s="335">
        <v>0.91</v>
      </c>
      <c r="S142" s="335"/>
      <c r="T142" s="335">
        <v>0.91</v>
      </c>
      <c r="U142" s="335">
        <f t="shared" si="44"/>
        <v>0.91</v>
      </c>
      <c r="V142" s="335">
        <v>0.91</v>
      </c>
      <c r="W142" s="335">
        <v>0.91</v>
      </c>
      <c r="X142" s="335">
        <v>0.91</v>
      </c>
      <c r="Y142" s="335">
        <v>0.91</v>
      </c>
      <c r="Z142" s="335">
        <v>0.91</v>
      </c>
      <c r="AA142" s="335">
        <v>0.91</v>
      </c>
      <c r="AB142" s="335">
        <v>0.91</v>
      </c>
      <c r="AC142" s="335">
        <v>0.91</v>
      </c>
      <c r="AD142" s="335">
        <v>0.91</v>
      </c>
      <c r="AE142" s="335">
        <v>0.91</v>
      </c>
      <c r="AF142" s="335">
        <v>0.91</v>
      </c>
      <c r="AG142" s="335">
        <v>0.91</v>
      </c>
      <c r="AH142" s="335">
        <v>0.91</v>
      </c>
      <c r="AI142" s="335">
        <v>0.91</v>
      </c>
      <c r="AJ142" s="335">
        <v>0.91</v>
      </c>
      <c r="AK142" s="335">
        <v>0.91</v>
      </c>
      <c r="AL142" s="335">
        <v>0.91</v>
      </c>
      <c r="AM142" s="335">
        <v>0.91</v>
      </c>
      <c r="AN142" s="335">
        <v>0.91</v>
      </c>
      <c r="AO142" s="335">
        <v>0.91</v>
      </c>
      <c r="AP142" s="335">
        <v>0.91</v>
      </c>
      <c r="AQ142" s="335">
        <v>0.91</v>
      </c>
      <c r="AR142" s="335">
        <v>0.91</v>
      </c>
      <c r="AS142" s="335">
        <v>0.91</v>
      </c>
      <c r="AT142" s="335">
        <v>0.91</v>
      </c>
      <c r="AU142" s="335">
        <v>0.91</v>
      </c>
      <c r="AV142" s="187"/>
      <c r="AW142" s="187"/>
      <c r="AX142" s="187"/>
      <c r="AY142" s="187"/>
      <c r="AZ142" s="179"/>
      <c r="BA142" s="179"/>
      <c r="BB142" s="179"/>
      <c r="BC142" s="179"/>
      <c r="BD142" s="179"/>
      <c r="BE142" s="179"/>
      <c r="BF142" s="179"/>
    </row>
    <row r="143" spans="1:58" s="215" customFormat="1" ht="15.75" hidden="1" customHeight="1" outlineLevel="1">
      <c r="A143" s="214"/>
      <c r="C143" s="184" t="s">
        <v>1641</v>
      </c>
      <c r="D143" s="242"/>
      <c r="E143" s="249"/>
      <c r="F143" s="249"/>
      <c r="G143" s="186"/>
      <c r="H143" s="186"/>
      <c r="I143" s="187"/>
      <c r="J143" s="187"/>
      <c r="K143" s="187"/>
      <c r="L143" s="187"/>
      <c r="M143" s="187"/>
      <c r="N143" s="187"/>
      <c r="O143" s="187"/>
      <c r="P143" s="187"/>
      <c r="Q143" s="187"/>
      <c r="R143" s="335">
        <v>0.15</v>
      </c>
      <c r="S143" s="335"/>
      <c r="T143" s="335">
        <v>0.15</v>
      </c>
      <c r="U143" s="335">
        <f t="shared" si="44"/>
        <v>0.15</v>
      </c>
      <c r="V143" s="335">
        <v>0.15</v>
      </c>
      <c r="W143" s="335">
        <v>0.15</v>
      </c>
      <c r="X143" s="335">
        <v>0.15</v>
      </c>
      <c r="Y143" s="335">
        <v>0.15</v>
      </c>
      <c r="Z143" s="335">
        <v>0.15</v>
      </c>
      <c r="AA143" s="335">
        <v>0.15</v>
      </c>
      <c r="AB143" s="335">
        <v>0.15</v>
      </c>
      <c r="AC143" s="335">
        <v>0.15</v>
      </c>
      <c r="AD143" s="335">
        <v>0.15</v>
      </c>
      <c r="AE143" s="335">
        <v>0.15</v>
      </c>
      <c r="AF143" s="335">
        <v>0.15</v>
      </c>
      <c r="AG143" s="335">
        <v>0.15</v>
      </c>
      <c r="AH143" s="335">
        <v>0.15</v>
      </c>
      <c r="AI143" s="335">
        <v>0.15</v>
      </c>
      <c r="AJ143" s="335">
        <v>0.15</v>
      </c>
      <c r="AK143" s="335">
        <v>0.15</v>
      </c>
      <c r="AL143" s="335">
        <v>0.15</v>
      </c>
      <c r="AM143" s="335">
        <v>0.15</v>
      </c>
      <c r="AN143" s="335">
        <v>0.15</v>
      </c>
      <c r="AO143" s="335">
        <v>0.15</v>
      </c>
      <c r="AP143" s="335">
        <v>0.15</v>
      </c>
      <c r="AQ143" s="335">
        <v>0.15</v>
      </c>
      <c r="AR143" s="335">
        <v>0.15</v>
      </c>
      <c r="AS143" s="335">
        <v>0.15</v>
      </c>
      <c r="AT143" s="335">
        <v>0.15</v>
      </c>
      <c r="AU143" s="335">
        <v>0.15</v>
      </c>
      <c r="AV143" s="187"/>
      <c r="AW143" s="187"/>
      <c r="AX143" s="187"/>
      <c r="AY143" s="187"/>
      <c r="AZ143" s="179"/>
      <c r="BA143" s="179"/>
      <c r="BB143" s="179"/>
      <c r="BC143" s="179"/>
      <c r="BD143" s="179"/>
      <c r="BE143" s="179"/>
      <c r="BF143" s="179"/>
    </row>
    <row r="144" spans="1:58" s="215" customFormat="1" ht="15.75" hidden="1" customHeight="1" outlineLevel="1">
      <c r="A144" s="214"/>
      <c r="C144" s="184"/>
      <c r="D144" s="242"/>
      <c r="E144" s="249"/>
      <c r="F144" s="249"/>
      <c r="G144" s="186"/>
      <c r="H144" s="186"/>
      <c r="I144" s="187"/>
      <c r="J144" s="187"/>
      <c r="K144" s="187"/>
      <c r="L144" s="187"/>
      <c r="M144" s="187"/>
      <c r="N144" s="187"/>
      <c r="O144" s="187"/>
      <c r="P144" s="187"/>
      <c r="Q144" s="187"/>
      <c r="R144" s="1191"/>
      <c r="S144" s="1191"/>
      <c r="T144" s="1191"/>
      <c r="U144" s="1191">
        <f t="shared" si="44"/>
        <v>0</v>
      </c>
      <c r="V144" s="1191"/>
      <c r="W144" s="1191"/>
      <c r="X144" s="1191"/>
      <c r="Y144" s="1191"/>
      <c r="Z144" s="1191"/>
      <c r="AA144" s="1191"/>
      <c r="AB144" s="1191"/>
      <c r="AC144" s="1191"/>
      <c r="AD144" s="1191"/>
      <c r="AE144" s="1191"/>
      <c r="AF144" s="1191"/>
      <c r="AG144" s="1191"/>
      <c r="AH144" s="1191"/>
      <c r="AI144" s="1191"/>
      <c r="AJ144" s="1191"/>
      <c r="AK144" s="1191"/>
      <c r="AL144" s="1191"/>
      <c r="AM144" s="1191"/>
      <c r="AN144" s="1191"/>
      <c r="AO144" s="1191"/>
      <c r="AP144" s="1191"/>
      <c r="AQ144" s="1191"/>
      <c r="AR144" s="1191"/>
      <c r="AS144" s="1191"/>
      <c r="AT144" s="1191"/>
      <c r="AU144" s="1191"/>
      <c r="AV144" s="187"/>
      <c r="AW144" s="187"/>
      <c r="AX144" s="187"/>
      <c r="AY144" s="187"/>
      <c r="AZ144" s="179"/>
      <c r="BA144" s="179"/>
      <c r="BB144" s="179"/>
      <c r="BC144" s="179"/>
      <c r="BD144" s="179"/>
      <c r="BE144" s="179"/>
      <c r="BF144" s="179"/>
    </row>
    <row r="145" spans="1:58" s="215" customFormat="1" ht="15.75" hidden="1" customHeight="1" outlineLevel="1">
      <c r="A145" s="214"/>
      <c r="C145" s="304" t="s">
        <v>924</v>
      </c>
      <c r="D145" s="172"/>
      <c r="E145" s="172"/>
      <c r="F145" s="172"/>
      <c r="G145" s="214"/>
      <c r="H145" s="214"/>
      <c r="I145" s="172"/>
      <c r="J145" s="172"/>
      <c r="K145" s="172"/>
      <c r="L145" s="172"/>
      <c r="N145" s="214"/>
      <c r="O145" s="214"/>
      <c r="P145" s="214"/>
      <c r="Q145" s="214"/>
      <c r="U145" s="215">
        <f t="shared" si="44"/>
        <v>0</v>
      </c>
      <c r="AV145" s="214"/>
      <c r="AW145" s="214"/>
      <c r="AX145" s="214"/>
      <c r="AY145" s="214"/>
      <c r="AZ145" s="214"/>
      <c r="BA145" s="214"/>
      <c r="BB145" s="214"/>
      <c r="BC145" s="214"/>
      <c r="BD145" s="214"/>
      <c r="BE145" s="214"/>
      <c r="BF145" s="214"/>
    </row>
    <row r="146" spans="1:58" s="215" customFormat="1" ht="15.75" hidden="1" customHeight="1" outlineLevel="1">
      <c r="A146" s="214"/>
      <c r="C146" s="216"/>
      <c r="D146" s="216"/>
      <c r="E146" s="216"/>
      <c r="F146" s="216"/>
      <c r="G146" s="214"/>
      <c r="H146" s="214"/>
      <c r="I146" s="395"/>
      <c r="J146" s="395"/>
      <c r="K146" s="395"/>
      <c r="L146" s="395"/>
      <c r="M146" s="272"/>
      <c r="N146" s="395"/>
      <c r="O146" s="395"/>
      <c r="P146" s="395"/>
      <c r="Q146" s="395"/>
      <c r="R146" s="272"/>
      <c r="S146" s="272"/>
      <c r="T146" s="272"/>
      <c r="U146" s="272">
        <f t="shared" si="44"/>
        <v>0</v>
      </c>
      <c r="V146" s="272"/>
      <c r="W146" s="272"/>
      <c r="X146" s="272"/>
      <c r="Y146" s="272"/>
      <c r="Z146" s="272"/>
      <c r="AA146" s="272"/>
      <c r="AB146" s="272"/>
      <c r="AC146" s="272"/>
      <c r="AD146" s="272"/>
      <c r="AE146" s="272"/>
      <c r="AF146" s="272"/>
      <c r="AG146" s="272"/>
      <c r="AH146" s="272"/>
      <c r="AI146" s="272"/>
      <c r="AJ146" s="272"/>
      <c r="AK146" s="272"/>
      <c r="AL146" s="272"/>
      <c r="AM146" s="272"/>
      <c r="AN146" s="272"/>
      <c r="AO146" s="272"/>
      <c r="AP146" s="272"/>
      <c r="AQ146" s="272"/>
      <c r="AR146" s="272"/>
      <c r="AS146" s="272"/>
      <c r="AT146" s="272"/>
      <c r="AU146" s="272"/>
      <c r="AV146" s="395"/>
      <c r="AW146" s="395"/>
      <c r="AX146" s="395"/>
      <c r="AY146" s="395"/>
      <c r="AZ146" s="214"/>
      <c r="BA146" s="214"/>
      <c r="BB146" s="214"/>
      <c r="BC146" s="214"/>
      <c r="BD146" s="214"/>
      <c r="BE146" s="214"/>
      <c r="BF146" s="214"/>
    </row>
    <row r="147" spans="1:58" s="215" customFormat="1" ht="15.75" hidden="1" customHeight="1" outlineLevel="1">
      <c r="A147" s="214"/>
      <c r="C147" s="216" t="s">
        <v>1886</v>
      </c>
      <c r="D147" s="216"/>
      <c r="E147" s="216"/>
      <c r="F147" s="216"/>
      <c r="G147" s="214"/>
      <c r="H147" s="214"/>
      <c r="I147" s="218"/>
      <c r="J147" s="218"/>
      <c r="K147" s="216"/>
      <c r="L147" s="216"/>
      <c r="M147" s="222"/>
      <c r="N147" s="216"/>
      <c r="O147" s="216"/>
      <c r="P147" s="216"/>
      <c r="Q147" s="216"/>
      <c r="R147" s="222">
        <f>R168*(1+R150)</f>
        <v>397082.40884711483</v>
      </c>
      <c r="S147" s="222"/>
      <c r="T147" s="222">
        <f>T168*(1+T150)</f>
        <v>397082.40884711483</v>
      </c>
      <c r="U147" s="222">
        <f t="shared" si="44"/>
        <v>397082.40884711483</v>
      </c>
      <c r="V147" s="222">
        <f t="shared" ref="V147:AU147" si="45">V168*(1+V150)</f>
        <v>2769162.990065332</v>
      </c>
      <c r="W147" s="222">
        <f t="shared" si="45"/>
        <v>3224367.8651445648</v>
      </c>
      <c r="X147" s="222">
        <f t="shared" si="45"/>
        <v>3224367.8651445648</v>
      </c>
      <c r="Y147" s="222">
        <f t="shared" si="45"/>
        <v>3224367.8651445648</v>
      </c>
      <c r="Z147" s="222">
        <f t="shared" si="45"/>
        <v>3224367.8651445648</v>
      </c>
      <c r="AA147" s="222">
        <f t="shared" si="45"/>
        <v>3224367.8651445648</v>
      </c>
      <c r="AB147" s="222">
        <f t="shared" si="45"/>
        <v>3224367.8651445648</v>
      </c>
      <c r="AC147" s="222">
        <f t="shared" si="45"/>
        <v>3224367.8651445648</v>
      </c>
      <c r="AD147" s="222">
        <f t="shared" si="45"/>
        <v>3224367.8651445648</v>
      </c>
      <c r="AE147" s="222">
        <f t="shared" si="45"/>
        <v>3224367.8651445648</v>
      </c>
      <c r="AF147" s="222">
        <f t="shared" si="45"/>
        <v>3224367.8651445648</v>
      </c>
      <c r="AG147" s="222">
        <f t="shared" si="45"/>
        <v>3224367.8651445648</v>
      </c>
      <c r="AH147" s="222">
        <f t="shared" si="45"/>
        <v>3224367.8651445648</v>
      </c>
      <c r="AI147" s="222">
        <f t="shared" si="45"/>
        <v>3224367.8651445648</v>
      </c>
      <c r="AJ147" s="222">
        <f t="shared" si="45"/>
        <v>3224367.8651445648</v>
      </c>
      <c r="AK147" s="222">
        <f t="shared" si="45"/>
        <v>3224367.8651445648</v>
      </c>
      <c r="AL147" s="222">
        <f t="shared" si="45"/>
        <v>3224367.8651445648</v>
      </c>
      <c r="AM147" s="222">
        <f t="shared" si="45"/>
        <v>3224367.8651445648</v>
      </c>
      <c r="AN147" s="222">
        <f t="shared" si="45"/>
        <v>3224367.8651445648</v>
      </c>
      <c r="AO147" s="222">
        <f t="shared" si="45"/>
        <v>3224367.8651445648</v>
      </c>
      <c r="AP147" s="222">
        <f t="shared" si="45"/>
        <v>3224367.8651445648</v>
      </c>
      <c r="AQ147" s="222">
        <f t="shared" si="45"/>
        <v>3224367.8651445648</v>
      </c>
      <c r="AR147" s="222">
        <f t="shared" si="45"/>
        <v>3224367.8651445648</v>
      </c>
      <c r="AS147" s="222">
        <f t="shared" si="45"/>
        <v>3224367.8651445648</v>
      </c>
      <c r="AT147" s="222">
        <f t="shared" si="45"/>
        <v>3224367.8651445648</v>
      </c>
      <c r="AU147" s="222">
        <f t="shared" si="45"/>
        <v>3224367.8651445648</v>
      </c>
      <c r="AV147" s="216"/>
      <c r="AW147" s="216"/>
      <c r="AX147" s="216"/>
      <c r="AY147" s="216"/>
      <c r="AZ147" s="214"/>
      <c r="BA147" s="214"/>
      <c r="BB147" s="214"/>
      <c r="BC147" s="214"/>
      <c r="BD147" s="214"/>
      <c r="BE147" s="214"/>
      <c r="BF147" s="214"/>
    </row>
    <row r="148" spans="1:58" s="215" customFormat="1" ht="15.75" hidden="1" customHeight="1" outlineLevel="1">
      <c r="A148" s="214"/>
      <c r="C148" s="216"/>
      <c r="D148" s="216"/>
      <c r="E148" s="216"/>
      <c r="F148" s="216"/>
      <c r="G148" s="214"/>
      <c r="H148" s="214"/>
      <c r="I148" s="218"/>
      <c r="J148" s="218"/>
      <c r="K148" s="216"/>
      <c r="L148" s="216"/>
      <c r="M148" s="222"/>
      <c r="N148" s="216"/>
      <c r="O148" s="216"/>
      <c r="P148" s="216"/>
      <c r="Q148" s="216"/>
      <c r="R148" s="222"/>
      <c r="S148" s="222"/>
      <c r="T148" s="222"/>
      <c r="U148" s="222">
        <f t="shared" si="44"/>
        <v>0</v>
      </c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222"/>
      <c r="AI148" s="222"/>
      <c r="AJ148" s="222"/>
      <c r="AK148" s="222"/>
      <c r="AL148" s="222"/>
      <c r="AM148" s="222"/>
      <c r="AN148" s="222"/>
      <c r="AO148" s="222"/>
      <c r="AP148" s="222"/>
      <c r="AQ148" s="222"/>
      <c r="AR148" s="222"/>
      <c r="AS148" s="222"/>
      <c r="AT148" s="222"/>
      <c r="AU148" s="222"/>
      <c r="AV148" s="216"/>
      <c r="AW148" s="216"/>
      <c r="AX148" s="216"/>
      <c r="AY148" s="216"/>
      <c r="AZ148" s="214"/>
      <c r="BA148" s="214"/>
      <c r="BB148" s="214"/>
      <c r="BC148" s="214"/>
      <c r="BD148" s="214"/>
      <c r="BE148" s="214"/>
      <c r="BF148" s="214"/>
    </row>
    <row r="149" spans="1:58" s="215" customFormat="1" ht="15.75" hidden="1" customHeight="1" outlineLevel="1">
      <c r="A149" s="214"/>
      <c r="C149" s="216" t="s">
        <v>1885</v>
      </c>
      <c r="D149" s="216"/>
      <c r="E149" s="216"/>
      <c r="F149" s="216"/>
      <c r="G149" s="214"/>
      <c r="H149" s="214"/>
      <c r="I149" s="218"/>
      <c r="J149" s="218"/>
      <c r="K149" s="216"/>
      <c r="L149" s="216"/>
      <c r="M149" s="222"/>
      <c r="N149" s="216"/>
      <c r="O149" s="216"/>
      <c r="P149" s="216"/>
      <c r="Q149" s="216"/>
      <c r="R149" s="619">
        <v>0.3</v>
      </c>
      <c r="S149" s="619"/>
      <c r="T149" s="619">
        <v>0.3</v>
      </c>
      <c r="U149" s="619">
        <f t="shared" si="44"/>
        <v>0.3</v>
      </c>
      <c r="V149" s="619">
        <v>0.3</v>
      </c>
      <c r="W149" s="619">
        <v>0.3</v>
      </c>
      <c r="X149" s="619">
        <v>0.3</v>
      </c>
      <c r="Y149" s="619">
        <v>0.3</v>
      </c>
      <c r="Z149" s="619">
        <v>0.3</v>
      </c>
      <c r="AA149" s="619">
        <v>0.3</v>
      </c>
      <c r="AB149" s="619">
        <v>0.3</v>
      </c>
      <c r="AC149" s="619">
        <v>0.3</v>
      </c>
      <c r="AD149" s="619">
        <v>0.3</v>
      </c>
      <c r="AE149" s="619">
        <v>0.3</v>
      </c>
      <c r="AF149" s="619">
        <v>0.3</v>
      </c>
      <c r="AG149" s="619">
        <v>0.3</v>
      </c>
      <c r="AH149" s="619">
        <v>0.3</v>
      </c>
      <c r="AI149" s="619">
        <v>0.3</v>
      </c>
      <c r="AJ149" s="619">
        <v>0.3</v>
      </c>
      <c r="AK149" s="619">
        <v>0.3</v>
      </c>
      <c r="AL149" s="619">
        <v>0.3</v>
      </c>
      <c r="AM149" s="619">
        <v>0.3</v>
      </c>
      <c r="AN149" s="619">
        <v>0.3</v>
      </c>
      <c r="AO149" s="619">
        <v>0.3</v>
      </c>
      <c r="AP149" s="619">
        <v>0.3</v>
      </c>
      <c r="AQ149" s="619">
        <v>0.3</v>
      </c>
      <c r="AR149" s="619">
        <v>0.3</v>
      </c>
      <c r="AS149" s="619">
        <v>0.3</v>
      </c>
      <c r="AT149" s="619">
        <v>0.3</v>
      </c>
      <c r="AU149" s="619">
        <v>0.3</v>
      </c>
      <c r="AV149" s="216"/>
      <c r="AW149" s="216"/>
      <c r="AX149" s="216"/>
      <c r="AY149" s="216"/>
      <c r="AZ149" s="214"/>
      <c r="BA149" s="214"/>
      <c r="BB149" s="214"/>
      <c r="BC149" s="214"/>
      <c r="BD149" s="214"/>
      <c r="BE149" s="214"/>
      <c r="BF149" s="214"/>
    </row>
    <row r="150" spans="1:58" s="215" customFormat="1" ht="15.75" hidden="1" customHeight="1" outlineLevel="1">
      <c r="A150" s="214"/>
      <c r="C150" s="216" t="s">
        <v>1884</v>
      </c>
      <c r="D150" s="216"/>
      <c r="E150" s="216"/>
      <c r="F150" s="216"/>
      <c r="G150" s="214"/>
      <c r="H150" s="214"/>
      <c r="I150" s="218"/>
      <c r="J150" s="218"/>
      <c r="K150" s="216"/>
      <c r="L150" s="216"/>
      <c r="M150" s="222"/>
      <c r="N150" s="216"/>
      <c r="O150" s="216"/>
      <c r="P150" s="216"/>
      <c r="Q150" s="216"/>
      <c r="R150" s="619">
        <v>0.5</v>
      </c>
      <c r="S150" s="619"/>
      <c r="T150" s="619">
        <v>0.5</v>
      </c>
      <c r="U150" s="619">
        <f t="shared" si="44"/>
        <v>0.5</v>
      </c>
      <c r="V150" s="619">
        <v>0.5</v>
      </c>
      <c r="W150" s="619">
        <v>0.5</v>
      </c>
      <c r="X150" s="619">
        <v>0.5</v>
      </c>
      <c r="Y150" s="619">
        <v>0.5</v>
      </c>
      <c r="Z150" s="619">
        <f>Y150</f>
        <v>0.5</v>
      </c>
      <c r="AA150" s="619">
        <v>0.5</v>
      </c>
      <c r="AB150" s="619">
        <v>0.5</v>
      </c>
      <c r="AC150" s="619">
        <v>0.5</v>
      </c>
      <c r="AD150" s="619">
        <v>0.5</v>
      </c>
      <c r="AE150" s="619">
        <v>0.5</v>
      </c>
      <c r="AF150" s="619">
        <v>0.5</v>
      </c>
      <c r="AG150" s="619">
        <v>0.5</v>
      </c>
      <c r="AH150" s="619">
        <v>0.5</v>
      </c>
      <c r="AI150" s="619">
        <v>0.5</v>
      </c>
      <c r="AJ150" s="619">
        <v>0.5</v>
      </c>
      <c r="AK150" s="619">
        <v>0.5</v>
      </c>
      <c r="AL150" s="619">
        <v>0.5</v>
      </c>
      <c r="AM150" s="619">
        <v>0.5</v>
      </c>
      <c r="AN150" s="619">
        <v>0.5</v>
      </c>
      <c r="AO150" s="619">
        <v>0.5</v>
      </c>
      <c r="AP150" s="619">
        <v>0.5</v>
      </c>
      <c r="AQ150" s="619">
        <v>0.5</v>
      </c>
      <c r="AR150" s="619">
        <v>0.5</v>
      </c>
      <c r="AS150" s="619">
        <v>0.5</v>
      </c>
      <c r="AT150" s="619">
        <v>0.5</v>
      </c>
      <c r="AU150" s="619">
        <v>0.5</v>
      </c>
      <c r="AV150" s="216"/>
      <c r="AW150" s="216"/>
      <c r="AX150" s="216"/>
      <c r="AY150" s="216"/>
      <c r="AZ150" s="214"/>
      <c r="BA150" s="214"/>
      <c r="BB150" s="214"/>
      <c r="BC150" s="214"/>
      <c r="BD150" s="214"/>
      <c r="BE150" s="214"/>
      <c r="BF150" s="214"/>
    </row>
    <row r="151" spans="1:58" s="215" customFormat="1" ht="15.75" hidden="1" customHeight="1" outlineLevel="1">
      <c r="A151" s="214"/>
      <c r="C151" s="595" t="s">
        <v>925</v>
      </c>
      <c r="D151" s="216"/>
      <c r="E151" s="216"/>
      <c r="F151" s="216"/>
      <c r="G151" s="214"/>
      <c r="H151" s="214"/>
      <c r="I151" s="620"/>
      <c r="J151" s="620"/>
      <c r="K151" s="620"/>
      <c r="L151" s="620"/>
      <c r="N151" s="214"/>
      <c r="O151" s="214"/>
      <c r="P151" s="214"/>
      <c r="Q151" s="214"/>
      <c r="R151" s="1195">
        <v>1</v>
      </c>
      <c r="S151" s="1195"/>
      <c r="T151" s="1195">
        <v>1</v>
      </c>
      <c r="U151" s="1195">
        <f t="shared" si="44"/>
        <v>1</v>
      </c>
      <c r="V151" s="1195">
        <v>1</v>
      </c>
      <c r="W151" s="1195">
        <v>1</v>
      </c>
      <c r="X151" s="1195">
        <v>1</v>
      </c>
      <c r="Y151" s="1195">
        <v>1</v>
      </c>
      <c r="Z151" s="1195">
        <v>1</v>
      </c>
      <c r="AA151" s="1195">
        <v>1</v>
      </c>
      <c r="AB151" s="1195">
        <v>1</v>
      </c>
      <c r="AC151" s="1195">
        <v>1</v>
      </c>
      <c r="AD151" s="1195">
        <v>1</v>
      </c>
      <c r="AE151" s="1195">
        <v>1</v>
      </c>
      <c r="AF151" s="1195">
        <v>1</v>
      </c>
      <c r="AG151" s="1195">
        <v>1</v>
      </c>
      <c r="AH151" s="1195">
        <v>1</v>
      </c>
      <c r="AI151" s="1195">
        <v>1</v>
      </c>
      <c r="AJ151" s="1195">
        <v>1</v>
      </c>
      <c r="AK151" s="1195">
        <v>1</v>
      </c>
      <c r="AL151" s="1195">
        <v>1</v>
      </c>
      <c r="AM151" s="1195">
        <v>1</v>
      </c>
      <c r="AN151" s="1195">
        <v>1</v>
      </c>
      <c r="AO151" s="1195">
        <v>1</v>
      </c>
      <c r="AP151" s="1195">
        <v>1</v>
      </c>
      <c r="AQ151" s="1195">
        <v>1</v>
      </c>
      <c r="AR151" s="1195">
        <v>1</v>
      </c>
      <c r="AS151" s="1195">
        <v>1</v>
      </c>
      <c r="AT151" s="1195">
        <v>1</v>
      </c>
      <c r="AU151" s="1195">
        <v>1</v>
      </c>
      <c r="AV151" s="218"/>
      <c r="AW151" s="218"/>
      <c r="AX151" s="218"/>
      <c r="AY151" s="218"/>
      <c r="AZ151" s="214"/>
      <c r="BA151" s="214"/>
      <c r="BB151" s="214"/>
      <c r="BC151" s="214"/>
      <c r="BD151" s="214"/>
      <c r="BE151" s="214"/>
      <c r="BF151" s="214"/>
    </row>
    <row r="152" spans="1:58" s="215" customFormat="1" ht="15.75" hidden="1" customHeight="1" outlineLevel="1">
      <c r="A152" s="214"/>
      <c r="C152" s="595"/>
      <c r="D152" s="216"/>
      <c r="E152" s="216"/>
      <c r="F152" s="216"/>
      <c r="G152" s="214"/>
      <c r="H152" s="214"/>
      <c r="I152" s="620"/>
      <c r="J152" s="620"/>
      <c r="K152" s="620"/>
      <c r="L152" s="620"/>
      <c r="N152" s="214"/>
      <c r="O152" s="214"/>
      <c r="P152" s="214"/>
      <c r="Q152" s="214"/>
      <c r="R152" s="1195"/>
      <c r="S152" s="1195"/>
      <c r="T152" s="1195"/>
      <c r="U152" s="1195"/>
      <c r="V152" s="1195"/>
      <c r="W152" s="1195"/>
      <c r="X152" s="1195"/>
      <c r="Y152" s="1195"/>
      <c r="Z152" s="1195"/>
      <c r="AA152" s="1195"/>
      <c r="AB152" s="1195"/>
      <c r="AC152" s="1195"/>
      <c r="AD152" s="1195"/>
      <c r="AE152" s="1195"/>
      <c r="AF152" s="1195"/>
      <c r="AG152" s="1195"/>
      <c r="AH152" s="1195"/>
      <c r="AI152" s="1195"/>
      <c r="AJ152" s="1195"/>
      <c r="AK152" s="1195"/>
      <c r="AL152" s="1195"/>
      <c r="AM152" s="1195"/>
      <c r="AN152" s="1195"/>
      <c r="AO152" s="1195"/>
      <c r="AP152" s="1195"/>
      <c r="AQ152" s="1195"/>
      <c r="AR152" s="1195"/>
      <c r="AS152" s="1195"/>
      <c r="AT152" s="1195"/>
      <c r="AU152" s="1195"/>
      <c r="AV152" s="218"/>
      <c r="AW152" s="218"/>
      <c r="AX152" s="218"/>
      <c r="AY152" s="218"/>
      <c r="AZ152" s="214"/>
      <c r="BA152" s="214"/>
      <c r="BB152" s="214"/>
      <c r="BC152" s="214"/>
      <c r="BD152" s="214"/>
      <c r="BE152" s="214"/>
      <c r="BF152" s="214"/>
    </row>
    <row r="153" spans="1:58" s="215" customFormat="1" ht="15.75" hidden="1" customHeight="1" outlineLevel="1">
      <c r="A153" s="214"/>
      <c r="C153" s="304" t="s">
        <v>926</v>
      </c>
      <c r="D153" s="216"/>
      <c r="E153" s="216"/>
      <c r="F153" s="216"/>
      <c r="G153" s="214"/>
      <c r="H153" s="214"/>
      <c r="I153" s="620"/>
      <c r="J153" s="620"/>
      <c r="K153" s="620"/>
      <c r="L153" s="620"/>
      <c r="N153" s="214"/>
      <c r="O153" s="214"/>
      <c r="P153" s="214"/>
      <c r="Q153" s="214"/>
      <c r="R153" s="1195"/>
      <c r="S153" s="1195"/>
      <c r="T153" s="1195"/>
      <c r="U153" s="1195"/>
      <c r="V153" s="1195"/>
      <c r="W153" s="1195"/>
      <c r="X153" s="1195"/>
      <c r="Y153" s="1195"/>
      <c r="Z153" s="1195"/>
      <c r="AA153" s="1195"/>
      <c r="AB153" s="1195"/>
      <c r="AC153" s="1195"/>
      <c r="AD153" s="1195"/>
      <c r="AE153" s="1195"/>
      <c r="AF153" s="1195"/>
      <c r="AG153" s="1195"/>
      <c r="AH153" s="1195"/>
      <c r="AI153" s="1195"/>
      <c r="AJ153" s="1195"/>
      <c r="AK153" s="1195"/>
      <c r="AL153" s="1195"/>
      <c r="AM153" s="1195"/>
      <c r="AN153" s="1195"/>
      <c r="AO153" s="1195"/>
      <c r="AP153" s="1195"/>
      <c r="AQ153" s="1195"/>
      <c r="AR153" s="1195"/>
      <c r="AS153" s="1195"/>
      <c r="AT153" s="1195"/>
      <c r="AU153" s="1195"/>
      <c r="AV153" s="218"/>
      <c r="AW153" s="218"/>
      <c r="AX153" s="218"/>
      <c r="AY153" s="218"/>
      <c r="AZ153" s="214"/>
      <c r="BA153" s="214"/>
      <c r="BB153" s="214"/>
      <c r="BC153" s="214"/>
      <c r="BD153" s="214"/>
      <c r="BE153" s="214"/>
      <c r="BF153" s="214"/>
    </row>
    <row r="154" spans="1:58" s="215" customFormat="1" ht="15.75" hidden="1" customHeight="1" outlineLevel="1">
      <c r="A154" s="214"/>
      <c r="C154" s="595" t="s">
        <v>927</v>
      </c>
      <c r="D154" s="216"/>
      <c r="E154" s="216"/>
      <c r="F154" s="216"/>
      <c r="G154" s="214"/>
      <c r="H154" s="214"/>
      <c r="I154" s="620"/>
      <c r="J154" s="620"/>
      <c r="K154" s="620"/>
      <c r="L154" s="620"/>
      <c r="N154" s="214"/>
      <c r="O154" s="214"/>
      <c r="P154" s="214"/>
      <c r="Q154" s="214"/>
      <c r="R154" s="1196">
        <f>R125*R128*1000/R139</f>
        <v>163809.72972972976</v>
      </c>
      <c r="S154" s="1196"/>
      <c r="T154" s="1196">
        <f>T125*T128*1000/T139</f>
        <v>163809.72972972976</v>
      </c>
      <c r="U154" s="1196">
        <f t="shared" si="44"/>
        <v>163809.72972972976</v>
      </c>
      <c r="V154" s="1196">
        <f t="shared" ref="V154:AU154" si="46">V125*V128*1000/V139</f>
        <v>1142372.0388349516</v>
      </c>
      <c r="W154" s="1196">
        <f t="shared" si="46"/>
        <v>1330159.2233009711</v>
      </c>
      <c r="X154" s="1196">
        <f t="shared" si="46"/>
        <v>1330159.2233009711</v>
      </c>
      <c r="Y154" s="1196">
        <f t="shared" si="46"/>
        <v>1330159.2233009711</v>
      </c>
      <c r="Z154" s="1196">
        <f t="shared" si="46"/>
        <v>1330159.2233009711</v>
      </c>
      <c r="AA154" s="1196">
        <f t="shared" si="46"/>
        <v>1330159.2233009711</v>
      </c>
      <c r="AB154" s="1196">
        <f t="shared" si="46"/>
        <v>1330159.2233009711</v>
      </c>
      <c r="AC154" s="1196">
        <f t="shared" si="46"/>
        <v>1330159.2233009711</v>
      </c>
      <c r="AD154" s="1196">
        <f t="shared" si="46"/>
        <v>1330159.2233009711</v>
      </c>
      <c r="AE154" s="1196">
        <f t="shared" si="46"/>
        <v>1330159.2233009711</v>
      </c>
      <c r="AF154" s="1196">
        <f t="shared" si="46"/>
        <v>1330159.2233009711</v>
      </c>
      <c r="AG154" s="1196">
        <f t="shared" si="46"/>
        <v>1330159.2233009711</v>
      </c>
      <c r="AH154" s="1196">
        <f t="shared" si="46"/>
        <v>1330159.2233009711</v>
      </c>
      <c r="AI154" s="1196">
        <f t="shared" si="46"/>
        <v>1330159.2233009711</v>
      </c>
      <c r="AJ154" s="1196">
        <f t="shared" si="46"/>
        <v>1330159.2233009711</v>
      </c>
      <c r="AK154" s="1196">
        <f t="shared" si="46"/>
        <v>1330159.2233009711</v>
      </c>
      <c r="AL154" s="1196">
        <f t="shared" si="46"/>
        <v>1330159.2233009711</v>
      </c>
      <c r="AM154" s="1196">
        <f t="shared" si="46"/>
        <v>1330159.2233009711</v>
      </c>
      <c r="AN154" s="1196">
        <f t="shared" si="46"/>
        <v>1330159.2233009711</v>
      </c>
      <c r="AO154" s="1196">
        <f t="shared" si="46"/>
        <v>1330159.2233009711</v>
      </c>
      <c r="AP154" s="1196">
        <f t="shared" si="46"/>
        <v>1330159.2233009711</v>
      </c>
      <c r="AQ154" s="1196">
        <f t="shared" si="46"/>
        <v>1330159.2233009711</v>
      </c>
      <c r="AR154" s="1196">
        <f t="shared" si="46"/>
        <v>1330159.2233009711</v>
      </c>
      <c r="AS154" s="1196">
        <f t="shared" si="46"/>
        <v>1330159.2233009711</v>
      </c>
      <c r="AT154" s="1196">
        <f t="shared" si="46"/>
        <v>1330159.2233009711</v>
      </c>
      <c r="AU154" s="1196">
        <f t="shared" si="46"/>
        <v>1330159.2233009711</v>
      </c>
      <c r="AV154" s="218"/>
      <c r="AW154" s="218"/>
      <c r="AX154" s="218"/>
      <c r="AY154" s="218"/>
      <c r="AZ154" s="214"/>
      <c r="BA154" s="214"/>
      <c r="BB154" s="214"/>
      <c r="BC154" s="214"/>
      <c r="BD154" s="214"/>
      <c r="BE154" s="214"/>
      <c r="BF154" s="214"/>
    </row>
    <row r="155" spans="1:58" s="215" customFormat="1" ht="15.75" hidden="1" customHeight="1" outlineLevel="1">
      <c r="A155" s="214"/>
      <c r="C155" s="595" t="s">
        <v>928</v>
      </c>
      <c r="D155" s="216"/>
      <c r="E155" s="216"/>
      <c r="F155" s="216"/>
      <c r="G155" s="214"/>
      <c r="H155" s="214"/>
      <c r="I155" s="620"/>
      <c r="J155" s="620"/>
      <c r="K155" s="620"/>
      <c r="L155" s="620"/>
      <c r="N155" s="214"/>
      <c r="O155" s="214"/>
      <c r="P155" s="214"/>
      <c r="Q155" s="214"/>
      <c r="R155" s="1196">
        <f>R125*R128*1000/R139*R151</f>
        <v>163809.72972972976</v>
      </c>
      <c r="S155" s="1196"/>
      <c r="T155" s="1196">
        <f>T125*T128*1000/T139*T151</f>
        <v>163809.72972972976</v>
      </c>
      <c r="U155" s="1196">
        <f t="shared" si="44"/>
        <v>163809.72972972976</v>
      </c>
      <c r="V155" s="1196">
        <f t="shared" ref="V155:AU155" si="47">V125*V128*1000/V139*V151</f>
        <v>1142372.0388349516</v>
      </c>
      <c r="W155" s="1196">
        <f t="shared" si="47"/>
        <v>1330159.2233009711</v>
      </c>
      <c r="X155" s="1196">
        <f t="shared" si="47"/>
        <v>1330159.2233009711</v>
      </c>
      <c r="Y155" s="1196">
        <f t="shared" si="47"/>
        <v>1330159.2233009711</v>
      </c>
      <c r="Z155" s="1196">
        <f t="shared" si="47"/>
        <v>1330159.2233009711</v>
      </c>
      <c r="AA155" s="1196">
        <f t="shared" si="47"/>
        <v>1330159.2233009711</v>
      </c>
      <c r="AB155" s="1196">
        <f t="shared" si="47"/>
        <v>1330159.2233009711</v>
      </c>
      <c r="AC155" s="1196">
        <f t="shared" si="47"/>
        <v>1330159.2233009711</v>
      </c>
      <c r="AD155" s="1196">
        <f t="shared" si="47"/>
        <v>1330159.2233009711</v>
      </c>
      <c r="AE155" s="1196">
        <f t="shared" si="47"/>
        <v>1330159.2233009711</v>
      </c>
      <c r="AF155" s="1196">
        <f t="shared" si="47"/>
        <v>1330159.2233009711</v>
      </c>
      <c r="AG155" s="1196">
        <f t="shared" si="47"/>
        <v>1330159.2233009711</v>
      </c>
      <c r="AH155" s="1196">
        <f t="shared" si="47"/>
        <v>1330159.2233009711</v>
      </c>
      <c r="AI155" s="1196">
        <f t="shared" si="47"/>
        <v>1330159.2233009711</v>
      </c>
      <c r="AJ155" s="1196">
        <f t="shared" si="47"/>
        <v>1330159.2233009711</v>
      </c>
      <c r="AK155" s="1196">
        <f t="shared" si="47"/>
        <v>1330159.2233009711</v>
      </c>
      <c r="AL155" s="1196">
        <f t="shared" si="47"/>
        <v>1330159.2233009711</v>
      </c>
      <c r="AM155" s="1196">
        <f t="shared" si="47"/>
        <v>1330159.2233009711</v>
      </c>
      <c r="AN155" s="1196">
        <f t="shared" si="47"/>
        <v>1330159.2233009711</v>
      </c>
      <c r="AO155" s="1196">
        <f t="shared" si="47"/>
        <v>1330159.2233009711</v>
      </c>
      <c r="AP155" s="1196">
        <f t="shared" si="47"/>
        <v>1330159.2233009711</v>
      </c>
      <c r="AQ155" s="1196">
        <f t="shared" si="47"/>
        <v>1330159.2233009711</v>
      </c>
      <c r="AR155" s="1196">
        <f t="shared" si="47"/>
        <v>1330159.2233009711</v>
      </c>
      <c r="AS155" s="1196">
        <f t="shared" si="47"/>
        <v>1330159.2233009711</v>
      </c>
      <c r="AT155" s="1196">
        <f t="shared" si="47"/>
        <v>1330159.2233009711</v>
      </c>
      <c r="AU155" s="1196">
        <f t="shared" si="47"/>
        <v>1330159.2233009711</v>
      </c>
      <c r="AV155" s="218"/>
      <c r="AW155" s="218"/>
      <c r="AX155" s="218"/>
      <c r="AY155" s="218"/>
      <c r="AZ155" s="214"/>
      <c r="BA155" s="214"/>
      <c r="BB155" s="214"/>
      <c r="BC155" s="214"/>
      <c r="BD155" s="214"/>
      <c r="BE155" s="214"/>
      <c r="BF155" s="214"/>
    </row>
    <row r="156" spans="1:58" s="215" customFormat="1" ht="15.75" hidden="1" customHeight="1" outlineLevel="1">
      <c r="A156" s="214"/>
      <c r="C156" s="595"/>
      <c r="D156" s="216"/>
      <c r="E156" s="216"/>
      <c r="F156" s="216"/>
      <c r="G156" s="214"/>
      <c r="H156" s="214"/>
      <c r="I156" s="620"/>
      <c r="J156" s="620"/>
      <c r="K156" s="620"/>
      <c r="L156" s="620"/>
      <c r="N156" s="214"/>
      <c r="O156" s="214"/>
      <c r="P156" s="214"/>
      <c r="Q156" s="214"/>
      <c r="R156" s="1195"/>
      <c r="S156" s="1195"/>
      <c r="T156" s="1195"/>
      <c r="U156" s="1195"/>
      <c r="V156" s="1195"/>
      <c r="W156" s="1195"/>
      <c r="X156" s="1195"/>
      <c r="Y156" s="1195"/>
      <c r="Z156" s="1195"/>
      <c r="AA156" s="1195"/>
      <c r="AB156" s="1195"/>
      <c r="AC156" s="1195"/>
      <c r="AD156" s="1195"/>
      <c r="AE156" s="1195"/>
      <c r="AF156" s="1195"/>
      <c r="AG156" s="1195"/>
      <c r="AH156" s="1195"/>
      <c r="AI156" s="1195"/>
      <c r="AJ156" s="1195"/>
      <c r="AK156" s="1195"/>
      <c r="AL156" s="1195"/>
      <c r="AM156" s="1195"/>
      <c r="AN156" s="1195"/>
      <c r="AO156" s="1195"/>
      <c r="AP156" s="1195"/>
      <c r="AQ156" s="1195"/>
      <c r="AR156" s="1195"/>
      <c r="AS156" s="1195"/>
      <c r="AT156" s="1195"/>
      <c r="AU156" s="1195"/>
      <c r="AV156" s="218"/>
      <c r="AW156" s="218"/>
      <c r="AX156" s="218"/>
      <c r="AY156" s="218"/>
      <c r="AZ156" s="214"/>
      <c r="BA156" s="214"/>
      <c r="BB156" s="214"/>
      <c r="BC156" s="214"/>
      <c r="BD156" s="214"/>
      <c r="BE156" s="214"/>
      <c r="BF156" s="214"/>
    </row>
    <row r="157" spans="1:58" s="215" customFormat="1" ht="15.75" hidden="1" customHeight="1" outlineLevel="1">
      <c r="A157" s="214"/>
      <c r="C157" s="304" t="s">
        <v>929</v>
      </c>
      <c r="D157" s="216"/>
      <c r="E157" s="216"/>
      <c r="F157" s="216"/>
      <c r="G157" s="214"/>
      <c r="H157" s="214"/>
      <c r="I157" s="620"/>
      <c r="J157" s="620"/>
      <c r="K157" s="620"/>
      <c r="L157" s="620"/>
      <c r="N157" s="214"/>
      <c r="O157" s="214"/>
      <c r="P157" s="214"/>
      <c r="Q157" s="214"/>
      <c r="AV157" s="214"/>
      <c r="AW157" s="214"/>
      <c r="AX157" s="214"/>
      <c r="AY157" s="214"/>
      <c r="AZ157" s="214"/>
      <c r="BA157" s="214"/>
      <c r="BB157" s="214"/>
      <c r="BC157" s="214"/>
      <c r="BD157" s="214"/>
      <c r="BE157" s="214"/>
      <c r="BF157" s="214"/>
    </row>
    <row r="158" spans="1:58" s="215" customFormat="1" ht="15.75" hidden="1" customHeight="1" outlineLevel="1">
      <c r="A158" s="214"/>
      <c r="C158" s="216" t="s">
        <v>930</v>
      </c>
      <c r="D158" s="216"/>
      <c r="E158" s="216"/>
      <c r="F158" s="216"/>
      <c r="G158" s="214"/>
      <c r="H158" s="214"/>
      <c r="I158" s="218"/>
      <c r="J158" s="218"/>
      <c r="K158" s="218"/>
      <c r="L158" s="218"/>
      <c r="M158" s="619"/>
      <c r="N158" s="218"/>
      <c r="O158" s="218"/>
      <c r="P158" s="218"/>
      <c r="Q158" s="218"/>
      <c r="R158" s="619">
        <f>1/R161/R160</f>
        <v>58.479532163742697</v>
      </c>
      <c r="S158" s="619"/>
      <c r="T158" s="619">
        <f>1/T161/T160</f>
        <v>58.479532163742697</v>
      </c>
      <c r="U158" s="619">
        <f t="shared" si="44"/>
        <v>58.479532163742697</v>
      </c>
      <c r="V158" s="619">
        <f t="shared" ref="V158:AU158" si="48">1/V161/V160</f>
        <v>58.479532163742697</v>
      </c>
      <c r="W158" s="619">
        <f t="shared" si="48"/>
        <v>58.479532163742697</v>
      </c>
      <c r="X158" s="619">
        <f t="shared" si="48"/>
        <v>58.479532163742697</v>
      </c>
      <c r="Y158" s="619">
        <f t="shared" si="48"/>
        <v>58.479532163742697</v>
      </c>
      <c r="Z158" s="619">
        <f t="shared" si="48"/>
        <v>58.479532163742697</v>
      </c>
      <c r="AA158" s="619">
        <f t="shared" si="48"/>
        <v>58.479532163742697</v>
      </c>
      <c r="AB158" s="619">
        <f t="shared" si="48"/>
        <v>58.479532163742697</v>
      </c>
      <c r="AC158" s="619">
        <f t="shared" si="48"/>
        <v>58.479532163742697</v>
      </c>
      <c r="AD158" s="619">
        <f t="shared" si="48"/>
        <v>58.479532163742697</v>
      </c>
      <c r="AE158" s="619">
        <f t="shared" si="48"/>
        <v>58.479532163742697</v>
      </c>
      <c r="AF158" s="619">
        <f t="shared" si="48"/>
        <v>58.479532163742697</v>
      </c>
      <c r="AG158" s="619">
        <f t="shared" si="48"/>
        <v>58.479532163742697</v>
      </c>
      <c r="AH158" s="619">
        <f t="shared" si="48"/>
        <v>58.479532163742697</v>
      </c>
      <c r="AI158" s="619">
        <f t="shared" si="48"/>
        <v>58.479532163742697</v>
      </c>
      <c r="AJ158" s="619">
        <f t="shared" si="48"/>
        <v>58.479532163742697</v>
      </c>
      <c r="AK158" s="619">
        <f t="shared" si="48"/>
        <v>58.479532163742697</v>
      </c>
      <c r="AL158" s="619">
        <f t="shared" si="48"/>
        <v>58.479532163742697</v>
      </c>
      <c r="AM158" s="619">
        <f t="shared" si="48"/>
        <v>58.479532163742697</v>
      </c>
      <c r="AN158" s="619">
        <f t="shared" si="48"/>
        <v>58.479532163742697</v>
      </c>
      <c r="AO158" s="619">
        <f t="shared" si="48"/>
        <v>58.479532163742697</v>
      </c>
      <c r="AP158" s="619">
        <f t="shared" si="48"/>
        <v>58.479532163742697</v>
      </c>
      <c r="AQ158" s="619">
        <f t="shared" si="48"/>
        <v>58.479532163742697</v>
      </c>
      <c r="AR158" s="619">
        <f t="shared" si="48"/>
        <v>58.479532163742697</v>
      </c>
      <c r="AS158" s="619">
        <f t="shared" si="48"/>
        <v>58.479532163742697</v>
      </c>
      <c r="AT158" s="619">
        <f t="shared" si="48"/>
        <v>58.479532163742697</v>
      </c>
      <c r="AU158" s="619">
        <f t="shared" si="48"/>
        <v>58.479532163742697</v>
      </c>
      <c r="AV158" s="218"/>
      <c r="AW158" s="218"/>
      <c r="AX158" s="218"/>
      <c r="AY158" s="218"/>
      <c r="AZ158" s="214"/>
      <c r="BA158" s="214"/>
      <c r="BB158" s="214"/>
      <c r="BC158" s="214"/>
      <c r="BD158" s="214"/>
      <c r="BE158" s="214"/>
      <c r="BF158" s="214"/>
    </row>
    <row r="159" spans="1:58" s="215" customFormat="1" ht="15.75" hidden="1" customHeight="1" outlineLevel="1">
      <c r="A159" s="214"/>
      <c r="C159" s="216" t="s">
        <v>931</v>
      </c>
      <c r="D159" s="216"/>
      <c r="E159" s="216"/>
      <c r="F159" s="216"/>
      <c r="G159" s="214"/>
      <c r="H159" s="214"/>
      <c r="I159" s="218"/>
      <c r="J159" s="218"/>
      <c r="K159" s="218"/>
      <c r="L159" s="218"/>
      <c r="M159" s="619"/>
      <c r="N159" s="218"/>
      <c r="O159" s="218"/>
      <c r="P159" s="218"/>
      <c r="Q159" s="218"/>
      <c r="R159" s="619">
        <f>R158/(1-R164)</f>
        <v>85.999312005503967</v>
      </c>
      <c r="S159" s="619"/>
      <c r="T159" s="619">
        <f>T158/(1-T164)</f>
        <v>85.999312005503967</v>
      </c>
      <c r="U159" s="619">
        <f t="shared" si="44"/>
        <v>85.999312005503967</v>
      </c>
      <c r="V159" s="619">
        <f t="shared" ref="V159:AU159" si="49">V158/(1-V164)</f>
        <v>85.999312005503967</v>
      </c>
      <c r="W159" s="619">
        <f t="shared" si="49"/>
        <v>85.999312005503967</v>
      </c>
      <c r="X159" s="619">
        <f t="shared" si="49"/>
        <v>85.999312005503967</v>
      </c>
      <c r="Y159" s="619">
        <f t="shared" si="49"/>
        <v>85.999312005503967</v>
      </c>
      <c r="Z159" s="619">
        <f t="shared" si="49"/>
        <v>85.999312005503967</v>
      </c>
      <c r="AA159" s="619">
        <f t="shared" si="49"/>
        <v>85.999312005503967</v>
      </c>
      <c r="AB159" s="619">
        <f t="shared" si="49"/>
        <v>85.999312005503967</v>
      </c>
      <c r="AC159" s="619">
        <f t="shared" si="49"/>
        <v>85.999312005503967</v>
      </c>
      <c r="AD159" s="619">
        <f t="shared" si="49"/>
        <v>85.999312005503967</v>
      </c>
      <c r="AE159" s="619">
        <f t="shared" si="49"/>
        <v>85.999312005503967</v>
      </c>
      <c r="AF159" s="619">
        <f t="shared" si="49"/>
        <v>85.999312005503967</v>
      </c>
      <c r="AG159" s="619">
        <f t="shared" si="49"/>
        <v>85.999312005503967</v>
      </c>
      <c r="AH159" s="619">
        <f t="shared" si="49"/>
        <v>85.999312005503967</v>
      </c>
      <c r="AI159" s="619">
        <f t="shared" si="49"/>
        <v>85.999312005503967</v>
      </c>
      <c r="AJ159" s="619">
        <f t="shared" si="49"/>
        <v>85.999312005503967</v>
      </c>
      <c r="AK159" s="619">
        <f t="shared" si="49"/>
        <v>85.999312005503967</v>
      </c>
      <c r="AL159" s="619">
        <f t="shared" si="49"/>
        <v>85.999312005503967</v>
      </c>
      <c r="AM159" s="619">
        <f t="shared" si="49"/>
        <v>85.999312005503967</v>
      </c>
      <c r="AN159" s="619">
        <f t="shared" si="49"/>
        <v>85.999312005503967</v>
      </c>
      <c r="AO159" s="619">
        <f t="shared" si="49"/>
        <v>85.999312005503967</v>
      </c>
      <c r="AP159" s="619">
        <f t="shared" si="49"/>
        <v>85.999312005503967</v>
      </c>
      <c r="AQ159" s="619">
        <f t="shared" si="49"/>
        <v>85.999312005503967</v>
      </c>
      <c r="AR159" s="619">
        <f t="shared" si="49"/>
        <v>85.999312005503967</v>
      </c>
      <c r="AS159" s="619">
        <f t="shared" si="49"/>
        <v>85.999312005503967</v>
      </c>
      <c r="AT159" s="619">
        <f t="shared" si="49"/>
        <v>85.999312005503967</v>
      </c>
      <c r="AU159" s="619">
        <f t="shared" si="49"/>
        <v>85.999312005503967</v>
      </c>
      <c r="AV159" s="218"/>
      <c r="AW159" s="218"/>
      <c r="AX159" s="218"/>
      <c r="AY159" s="218"/>
      <c r="AZ159" s="214"/>
      <c r="BA159" s="214"/>
      <c r="BB159" s="214"/>
      <c r="BC159" s="214"/>
      <c r="BD159" s="214"/>
      <c r="BE159" s="214"/>
      <c r="BF159" s="214"/>
    </row>
    <row r="160" spans="1:58" s="215" customFormat="1" ht="15.75" hidden="1" customHeight="1" outlineLevel="1">
      <c r="A160" s="214"/>
      <c r="C160" s="594" t="s">
        <v>932</v>
      </c>
      <c r="D160" s="216"/>
      <c r="E160" s="216"/>
      <c r="F160" s="216"/>
      <c r="G160" s="214"/>
      <c r="H160" s="214"/>
      <c r="I160" s="1197"/>
      <c r="J160" s="1197"/>
      <c r="K160" s="1197"/>
      <c r="L160" s="1301"/>
      <c r="M160" s="1301"/>
      <c r="N160" s="1197"/>
      <c r="O160" s="1197"/>
      <c r="P160" s="1197"/>
      <c r="Q160" s="1197"/>
      <c r="R160" s="718">
        <v>1.9E-2</v>
      </c>
      <c r="S160" s="718"/>
      <c r="T160" s="718">
        <v>1.9E-2</v>
      </c>
      <c r="U160" s="718">
        <f t="shared" si="44"/>
        <v>1.9E-2</v>
      </c>
      <c r="V160" s="718">
        <v>1.9E-2</v>
      </c>
      <c r="W160" s="718">
        <v>1.9E-2</v>
      </c>
      <c r="X160" s="718">
        <v>1.9E-2</v>
      </c>
      <c r="Y160" s="718">
        <v>1.9E-2</v>
      </c>
      <c r="Z160" s="718">
        <v>1.9E-2</v>
      </c>
      <c r="AA160" s="718">
        <v>1.9E-2</v>
      </c>
      <c r="AB160" s="718">
        <v>1.9E-2</v>
      </c>
      <c r="AC160" s="718">
        <v>1.9E-2</v>
      </c>
      <c r="AD160" s="718">
        <v>1.9E-2</v>
      </c>
      <c r="AE160" s="718">
        <v>1.9E-2</v>
      </c>
      <c r="AF160" s="718">
        <v>1.9E-2</v>
      </c>
      <c r="AG160" s="718">
        <v>1.9E-2</v>
      </c>
      <c r="AH160" s="718">
        <v>1.9E-2</v>
      </c>
      <c r="AI160" s="718">
        <v>1.9E-2</v>
      </c>
      <c r="AJ160" s="718">
        <v>1.9E-2</v>
      </c>
      <c r="AK160" s="718">
        <v>1.9E-2</v>
      </c>
      <c r="AL160" s="718">
        <v>1.9E-2</v>
      </c>
      <c r="AM160" s="718">
        <v>1.9E-2</v>
      </c>
      <c r="AN160" s="718">
        <v>1.9E-2</v>
      </c>
      <c r="AO160" s="718">
        <v>1.9E-2</v>
      </c>
      <c r="AP160" s="718">
        <v>1.9E-2</v>
      </c>
      <c r="AQ160" s="718">
        <v>1.9E-2</v>
      </c>
      <c r="AR160" s="718">
        <v>1.9E-2</v>
      </c>
      <c r="AS160" s="718">
        <v>1.9E-2</v>
      </c>
      <c r="AT160" s="718">
        <v>1.9E-2</v>
      </c>
      <c r="AU160" s="718">
        <v>1.9E-2</v>
      </c>
      <c r="AV160" s="1198"/>
      <c r="AW160" s="1198"/>
      <c r="AX160" s="1198"/>
      <c r="AY160" s="1198"/>
      <c r="AZ160" s="214"/>
      <c r="BA160" s="214"/>
      <c r="BB160" s="214"/>
      <c r="BC160" s="214"/>
      <c r="BD160" s="214"/>
      <c r="BE160" s="214"/>
      <c r="BF160" s="214"/>
    </row>
    <row r="161" spans="1:58" s="215" customFormat="1" ht="15.75" hidden="1" customHeight="1" outlineLevel="1">
      <c r="A161" s="214"/>
      <c r="C161" s="594" t="s">
        <v>933</v>
      </c>
      <c r="D161" s="216"/>
      <c r="E161" s="216"/>
      <c r="F161" s="216"/>
      <c r="G161" s="214"/>
      <c r="H161" s="214"/>
      <c r="I161" s="1197"/>
      <c r="J161" s="1197"/>
      <c r="K161" s="1197"/>
      <c r="L161" s="1301"/>
      <c r="M161" s="1301"/>
      <c r="N161" s="1197"/>
      <c r="O161" s="1197"/>
      <c r="P161" s="1197"/>
      <c r="Q161" s="1197"/>
      <c r="R161" s="718">
        <v>0.9</v>
      </c>
      <c r="S161" s="718"/>
      <c r="T161" s="718">
        <v>0.9</v>
      </c>
      <c r="U161" s="718">
        <f t="shared" si="44"/>
        <v>0.9</v>
      </c>
      <c r="V161" s="718">
        <v>0.9</v>
      </c>
      <c r="W161" s="718">
        <v>0.9</v>
      </c>
      <c r="X161" s="718">
        <v>0.9</v>
      </c>
      <c r="Y161" s="718">
        <v>0.9</v>
      </c>
      <c r="Z161" s="718">
        <v>0.9</v>
      </c>
      <c r="AA161" s="718">
        <v>0.9</v>
      </c>
      <c r="AB161" s="718">
        <v>0.9</v>
      </c>
      <c r="AC161" s="718">
        <v>0.9</v>
      </c>
      <c r="AD161" s="718">
        <v>0.9</v>
      </c>
      <c r="AE161" s="718">
        <v>0.9</v>
      </c>
      <c r="AF161" s="718">
        <v>0.9</v>
      </c>
      <c r="AG161" s="718">
        <v>0.9</v>
      </c>
      <c r="AH161" s="718">
        <v>0.9</v>
      </c>
      <c r="AI161" s="718">
        <v>0.9</v>
      </c>
      <c r="AJ161" s="718">
        <v>0.9</v>
      </c>
      <c r="AK161" s="718">
        <v>0.9</v>
      </c>
      <c r="AL161" s="718">
        <v>0.9</v>
      </c>
      <c r="AM161" s="718">
        <v>0.9</v>
      </c>
      <c r="AN161" s="718">
        <v>0.9</v>
      </c>
      <c r="AO161" s="718">
        <v>0.9</v>
      </c>
      <c r="AP161" s="718">
        <v>0.9</v>
      </c>
      <c r="AQ161" s="718">
        <v>0.9</v>
      </c>
      <c r="AR161" s="718">
        <v>0.9</v>
      </c>
      <c r="AS161" s="718">
        <v>0.9</v>
      </c>
      <c r="AT161" s="718">
        <v>0.9</v>
      </c>
      <c r="AU161" s="718">
        <v>0.9</v>
      </c>
      <c r="AV161" s="1198"/>
      <c r="AW161" s="1198"/>
      <c r="AX161" s="1198"/>
      <c r="AY161" s="1198"/>
      <c r="AZ161" s="214"/>
      <c r="BA161" s="214"/>
      <c r="BB161" s="214"/>
      <c r="BC161" s="214"/>
      <c r="BD161" s="214"/>
      <c r="BE161" s="214"/>
      <c r="BF161" s="214"/>
    </row>
    <row r="162" spans="1:58" s="215" customFormat="1" ht="15.75" hidden="1" customHeight="1" outlineLevel="1">
      <c r="A162" s="214"/>
      <c r="C162" s="594" t="s">
        <v>934</v>
      </c>
      <c r="D162" s="216"/>
      <c r="E162" s="216"/>
      <c r="F162" s="216"/>
      <c r="G162" s="214"/>
      <c r="H162" s="214"/>
      <c r="I162" s="1197"/>
      <c r="J162" s="1197"/>
      <c r="K162" s="1197"/>
      <c r="L162" s="1301"/>
      <c r="M162" s="1301"/>
      <c r="N162" s="1197"/>
      <c r="O162" s="1197"/>
      <c r="P162" s="1197"/>
      <c r="Q162" s="1197"/>
      <c r="R162" s="718">
        <v>0.12769486699636201</v>
      </c>
      <c r="S162" s="718"/>
      <c r="T162" s="718">
        <v>0.12769486699636201</v>
      </c>
      <c r="U162" s="718">
        <f t="shared" si="44"/>
        <v>0.12769486699636201</v>
      </c>
      <c r="V162" s="718">
        <v>0.12769486699636201</v>
      </c>
      <c r="W162" s="718">
        <v>0.12769486699636201</v>
      </c>
      <c r="X162" s="718">
        <v>0.12769486699636201</v>
      </c>
      <c r="Y162" s="718">
        <v>0.12769486699636201</v>
      </c>
      <c r="Z162" s="718">
        <v>0.12769486699636201</v>
      </c>
      <c r="AA162" s="718">
        <v>0.12769486699636201</v>
      </c>
      <c r="AB162" s="718">
        <v>0.12769486699636201</v>
      </c>
      <c r="AC162" s="718">
        <v>0.12769486699636201</v>
      </c>
      <c r="AD162" s="718">
        <v>0.12769486699636201</v>
      </c>
      <c r="AE162" s="718">
        <v>0.12769486699636201</v>
      </c>
      <c r="AF162" s="718">
        <v>0.12769486699636201</v>
      </c>
      <c r="AG162" s="718">
        <v>0.12769486699636201</v>
      </c>
      <c r="AH162" s="718">
        <v>0.12769486699636201</v>
      </c>
      <c r="AI162" s="718">
        <v>0.12769486699636201</v>
      </c>
      <c r="AJ162" s="718">
        <v>0.12769486699636201</v>
      </c>
      <c r="AK162" s="718">
        <v>0.12769486699636201</v>
      </c>
      <c r="AL162" s="718">
        <v>0.12769486699636201</v>
      </c>
      <c r="AM162" s="718">
        <v>0.12769486699636201</v>
      </c>
      <c r="AN162" s="718">
        <v>0.12769486699636201</v>
      </c>
      <c r="AO162" s="718">
        <v>0.12769486699636201</v>
      </c>
      <c r="AP162" s="718">
        <v>0.12769486699636201</v>
      </c>
      <c r="AQ162" s="718">
        <v>0.12769486699636201</v>
      </c>
      <c r="AR162" s="718">
        <v>0.12769486699636201</v>
      </c>
      <c r="AS162" s="718">
        <v>0.12769486699636201</v>
      </c>
      <c r="AT162" s="718">
        <v>0.12769486699636201</v>
      </c>
      <c r="AU162" s="718">
        <v>0.12769486699636201</v>
      </c>
      <c r="AV162" s="1198"/>
      <c r="AW162" s="1198"/>
      <c r="AX162" s="1198"/>
      <c r="AY162" s="1198"/>
      <c r="AZ162" s="214"/>
      <c r="BA162" s="214"/>
      <c r="BB162" s="214"/>
      <c r="BC162" s="214"/>
      <c r="BD162" s="214"/>
      <c r="BE162" s="214"/>
      <c r="BF162" s="214"/>
    </row>
    <row r="163" spans="1:58" s="215" customFormat="1" ht="15.75" hidden="1" customHeight="1" outlineLevel="1">
      <c r="A163" s="214"/>
      <c r="C163" s="594" t="s">
        <v>935</v>
      </c>
      <c r="D163" s="216"/>
      <c r="E163" s="216"/>
      <c r="F163" s="216"/>
      <c r="G163" s="214"/>
      <c r="H163" s="214"/>
      <c r="I163" s="1197"/>
      <c r="J163" s="1197"/>
      <c r="K163" s="1197"/>
      <c r="L163" s="1301"/>
      <c r="M163" s="1301"/>
      <c r="N163" s="1197"/>
      <c r="O163" s="1197"/>
      <c r="P163" s="1197"/>
      <c r="Q163" s="1197"/>
      <c r="R163" s="718"/>
      <c r="S163" s="718"/>
      <c r="T163" s="718"/>
      <c r="U163" s="718"/>
      <c r="V163" s="718"/>
      <c r="W163" s="718"/>
      <c r="X163" s="718"/>
      <c r="Y163" s="718"/>
      <c r="Z163" s="718"/>
      <c r="AA163" s="718"/>
      <c r="AB163" s="718"/>
      <c r="AC163" s="718"/>
      <c r="AD163" s="718"/>
      <c r="AE163" s="718"/>
      <c r="AF163" s="718"/>
      <c r="AG163" s="718"/>
      <c r="AH163" s="718"/>
      <c r="AI163" s="718"/>
      <c r="AJ163" s="718"/>
      <c r="AK163" s="718"/>
      <c r="AL163" s="718"/>
      <c r="AM163" s="718"/>
      <c r="AN163" s="718"/>
      <c r="AO163" s="718"/>
      <c r="AP163" s="718"/>
      <c r="AQ163" s="718"/>
      <c r="AR163" s="718"/>
      <c r="AS163" s="718"/>
      <c r="AT163" s="718"/>
      <c r="AU163" s="718"/>
      <c r="AV163" s="1198"/>
      <c r="AW163" s="1198"/>
      <c r="AX163" s="1198"/>
      <c r="AY163" s="1198"/>
      <c r="AZ163" s="214"/>
      <c r="BA163" s="214"/>
      <c r="BB163" s="214"/>
      <c r="BC163" s="214"/>
      <c r="BD163" s="214"/>
      <c r="BE163" s="214"/>
      <c r="BF163" s="214"/>
    </row>
    <row r="164" spans="1:58" s="215" customFormat="1" ht="15.75" hidden="1" customHeight="1" outlineLevel="1">
      <c r="A164" s="214"/>
      <c r="C164" s="331" t="s">
        <v>936</v>
      </c>
      <c r="D164" s="216"/>
      <c r="E164" s="216"/>
      <c r="F164" s="216"/>
      <c r="G164" s="214"/>
      <c r="H164" s="214"/>
      <c r="I164" s="620"/>
      <c r="J164" s="620"/>
      <c r="K164" s="1198"/>
      <c r="L164" s="1198"/>
      <c r="M164" s="718"/>
      <c r="N164" s="1198"/>
      <c r="O164" s="1198"/>
      <c r="P164" s="1198"/>
      <c r="Q164" s="1198"/>
      <c r="R164" s="718">
        <v>0.32</v>
      </c>
      <c r="S164" s="718"/>
      <c r="T164" s="718">
        <v>0.32</v>
      </c>
      <c r="U164" s="718">
        <f t="shared" si="44"/>
        <v>0.32</v>
      </c>
      <c r="V164" s="718">
        <v>0.32</v>
      </c>
      <c r="W164" s="718">
        <v>0.32</v>
      </c>
      <c r="X164" s="718">
        <v>0.32</v>
      </c>
      <c r="Y164" s="718">
        <v>0.32</v>
      </c>
      <c r="Z164" s="718">
        <v>0.32</v>
      </c>
      <c r="AA164" s="718">
        <v>0.32</v>
      </c>
      <c r="AB164" s="718">
        <v>0.32</v>
      </c>
      <c r="AC164" s="718">
        <v>0.32</v>
      </c>
      <c r="AD164" s="718">
        <v>0.32</v>
      </c>
      <c r="AE164" s="718">
        <v>0.32</v>
      </c>
      <c r="AF164" s="718">
        <v>0.32</v>
      </c>
      <c r="AG164" s="718">
        <v>0.32</v>
      </c>
      <c r="AH164" s="718">
        <v>0.32</v>
      </c>
      <c r="AI164" s="718">
        <v>0.32</v>
      </c>
      <c r="AJ164" s="718">
        <v>0.32</v>
      </c>
      <c r="AK164" s="718">
        <v>0.32</v>
      </c>
      <c r="AL164" s="718">
        <v>0.32</v>
      </c>
      <c r="AM164" s="718">
        <v>0.32</v>
      </c>
      <c r="AN164" s="718">
        <v>0.32</v>
      </c>
      <c r="AO164" s="718">
        <v>0.32</v>
      </c>
      <c r="AP164" s="718">
        <v>0.32</v>
      </c>
      <c r="AQ164" s="718">
        <v>0.32</v>
      </c>
      <c r="AR164" s="718">
        <v>0.32</v>
      </c>
      <c r="AS164" s="718">
        <v>0.32</v>
      </c>
      <c r="AT164" s="718">
        <v>0.32</v>
      </c>
      <c r="AU164" s="718">
        <v>0.32</v>
      </c>
      <c r="AV164" s="1198"/>
      <c r="AW164" s="1198"/>
      <c r="AX164" s="1198"/>
      <c r="AY164" s="1198"/>
      <c r="AZ164" s="214"/>
      <c r="BA164" s="214"/>
      <c r="BB164" s="214"/>
      <c r="BC164" s="214"/>
      <c r="BD164" s="214"/>
      <c r="BE164" s="214"/>
      <c r="BF164" s="214"/>
    </row>
    <row r="165" spans="1:58" s="215" customFormat="1" ht="15.75" hidden="1" customHeight="1" outlineLevel="1">
      <c r="A165" s="214"/>
      <c r="C165" s="331"/>
      <c r="D165" s="216"/>
      <c r="E165" s="216"/>
      <c r="F165" s="216"/>
      <c r="G165" s="214"/>
      <c r="H165" s="214"/>
      <c r="I165" s="620"/>
      <c r="J165" s="620"/>
      <c r="K165" s="1198"/>
      <c r="L165" s="1198"/>
      <c r="M165" s="718"/>
      <c r="N165" s="1198"/>
      <c r="O165" s="1198"/>
      <c r="P165" s="1198"/>
      <c r="Q165" s="1198"/>
      <c r="R165" s="718"/>
      <c r="S165" s="718"/>
      <c r="T165" s="718"/>
      <c r="U165" s="718"/>
      <c r="V165" s="718"/>
      <c r="W165" s="718"/>
      <c r="X165" s="718"/>
      <c r="Y165" s="718"/>
      <c r="Z165" s="718"/>
      <c r="AA165" s="718"/>
      <c r="AB165" s="718"/>
      <c r="AC165" s="718"/>
      <c r="AD165" s="718"/>
      <c r="AE165" s="718"/>
      <c r="AF165" s="718"/>
      <c r="AG165" s="718"/>
      <c r="AH165" s="718"/>
      <c r="AI165" s="718"/>
      <c r="AJ165" s="718"/>
      <c r="AK165" s="718"/>
      <c r="AL165" s="718"/>
      <c r="AM165" s="718"/>
      <c r="AN165" s="718"/>
      <c r="AO165" s="718"/>
      <c r="AP165" s="718"/>
      <c r="AQ165" s="718"/>
      <c r="AR165" s="718"/>
      <c r="AS165" s="718"/>
      <c r="AT165" s="718"/>
      <c r="AU165" s="718"/>
      <c r="AV165" s="1198"/>
      <c r="AW165" s="1198"/>
      <c r="AX165" s="1198"/>
      <c r="AY165" s="1198"/>
      <c r="AZ165" s="214"/>
      <c r="BA165" s="214"/>
      <c r="BB165" s="214"/>
      <c r="BC165" s="214"/>
      <c r="BD165" s="214"/>
      <c r="BE165" s="214"/>
      <c r="BF165" s="214"/>
    </row>
    <row r="166" spans="1:58" s="215" customFormat="1" ht="15.75" hidden="1" customHeight="1" outlineLevel="1">
      <c r="A166" s="214"/>
      <c r="C166" s="306" t="s">
        <v>937</v>
      </c>
      <c r="D166" s="214"/>
      <c r="E166" s="214"/>
      <c r="F166" s="216"/>
      <c r="G166" s="216"/>
      <c r="H166" s="214"/>
      <c r="I166" s="620"/>
      <c r="J166" s="620"/>
      <c r="K166" s="1199"/>
      <c r="L166" s="1199"/>
      <c r="M166" s="1200"/>
      <c r="N166" s="1199"/>
      <c r="O166" s="1199"/>
      <c r="P166" s="1199"/>
      <c r="Q166" s="1199"/>
      <c r="R166" s="1200"/>
      <c r="S166" s="1200"/>
      <c r="T166" s="1200"/>
      <c r="U166" s="1200"/>
      <c r="V166" s="1200"/>
      <c r="W166" s="1200"/>
      <c r="X166" s="1200"/>
      <c r="Y166" s="1200"/>
      <c r="Z166" s="1200"/>
      <c r="AA166" s="1200"/>
      <c r="AB166" s="1200"/>
      <c r="AC166" s="1200"/>
      <c r="AD166" s="1200"/>
      <c r="AE166" s="1200"/>
      <c r="AF166" s="1200"/>
      <c r="AG166" s="1200"/>
      <c r="AH166" s="1200"/>
      <c r="AI166" s="1200"/>
      <c r="AJ166" s="1200"/>
      <c r="AK166" s="1200"/>
      <c r="AL166" s="1200"/>
      <c r="AM166" s="1200"/>
      <c r="AN166" s="1200"/>
      <c r="AO166" s="1200"/>
      <c r="AP166" s="1200"/>
      <c r="AQ166" s="1200"/>
      <c r="AR166" s="1200"/>
      <c r="AS166" s="1200"/>
      <c r="AT166" s="1200"/>
      <c r="AU166" s="1200"/>
      <c r="AV166" s="1199"/>
      <c r="AW166" s="1199"/>
      <c r="AX166" s="1199"/>
      <c r="AY166" s="1199"/>
      <c r="AZ166" s="214"/>
      <c r="BA166" s="214"/>
      <c r="BB166" s="214"/>
      <c r="BC166" s="214"/>
      <c r="BD166" s="214"/>
      <c r="BE166" s="214"/>
      <c r="BF166" s="214"/>
    </row>
    <row r="167" spans="1:58" s="215" customFormat="1" ht="15.75" hidden="1" customHeight="1" outlineLevel="1">
      <c r="A167" s="214"/>
      <c r="C167" s="594" t="s">
        <v>938</v>
      </c>
      <c r="D167" s="216"/>
      <c r="E167" s="216"/>
      <c r="F167" s="216"/>
      <c r="G167" s="216"/>
      <c r="H167" s="214"/>
      <c r="I167" s="1217"/>
      <c r="J167" s="1217"/>
      <c r="K167" s="216"/>
      <c r="L167" s="216"/>
      <c r="M167" s="222"/>
      <c r="N167" s="216"/>
      <c r="O167" s="216"/>
      <c r="P167" s="216"/>
      <c r="Q167" s="216"/>
      <c r="R167" s="222">
        <f>R155/R142</f>
        <v>180010.69201069203</v>
      </c>
      <c r="S167" s="222"/>
      <c r="T167" s="222">
        <f>T155/T142</f>
        <v>180010.69201069203</v>
      </c>
      <c r="U167" s="222">
        <f t="shared" si="44"/>
        <v>180010.69201069203</v>
      </c>
      <c r="V167" s="222">
        <f t="shared" ref="V167:AU167" si="50">V155/V142</f>
        <v>1255353.8888296171</v>
      </c>
      <c r="W167" s="222">
        <f t="shared" si="50"/>
        <v>1461713.4321988693</v>
      </c>
      <c r="X167" s="222">
        <f t="shared" si="50"/>
        <v>1461713.4321988693</v>
      </c>
      <c r="Y167" s="222">
        <f t="shared" si="50"/>
        <v>1461713.4321988693</v>
      </c>
      <c r="Z167" s="222">
        <f t="shared" si="50"/>
        <v>1461713.4321988693</v>
      </c>
      <c r="AA167" s="222">
        <f t="shared" si="50"/>
        <v>1461713.4321988693</v>
      </c>
      <c r="AB167" s="222">
        <f t="shared" si="50"/>
        <v>1461713.4321988693</v>
      </c>
      <c r="AC167" s="222">
        <f t="shared" si="50"/>
        <v>1461713.4321988693</v>
      </c>
      <c r="AD167" s="222">
        <f t="shared" si="50"/>
        <v>1461713.4321988693</v>
      </c>
      <c r="AE167" s="222">
        <f t="shared" si="50"/>
        <v>1461713.4321988693</v>
      </c>
      <c r="AF167" s="222">
        <f t="shared" si="50"/>
        <v>1461713.4321988693</v>
      </c>
      <c r="AG167" s="222">
        <f t="shared" si="50"/>
        <v>1461713.4321988693</v>
      </c>
      <c r="AH167" s="222">
        <f t="shared" si="50"/>
        <v>1461713.4321988693</v>
      </c>
      <c r="AI167" s="222">
        <f t="shared" si="50"/>
        <v>1461713.4321988693</v>
      </c>
      <c r="AJ167" s="222">
        <f t="shared" si="50"/>
        <v>1461713.4321988693</v>
      </c>
      <c r="AK167" s="222">
        <f t="shared" si="50"/>
        <v>1461713.4321988693</v>
      </c>
      <c r="AL167" s="222">
        <f t="shared" si="50"/>
        <v>1461713.4321988693</v>
      </c>
      <c r="AM167" s="222">
        <f t="shared" si="50"/>
        <v>1461713.4321988693</v>
      </c>
      <c r="AN167" s="222">
        <f t="shared" si="50"/>
        <v>1461713.4321988693</v>
      </c>
      <c r="AO167" s="222">
        <f t="shared" si="50"/>
        <v>1461713.4321988693</v>
      </c>
      <c r="AP167" s="222">
        <f t="shared" si="50"/>
        <v>1461713.4321988693</v>
      </c>
      <c r="AQ167" s="222">
        <f t="shared" si="50"/>
        <v>1461713.4321988693</v>
      </c>
      <c r="AR167" s="222">
        <f t="shared" si="50"/>
        <v>1461713.4321988693</v>
      </c>
      <c r="AS167" s="222">
        <f t="shared" si="50"/>
        <v>1461713.4321988693</v>
      </c>
      <c r="AT167" s="222">
        <f t="shared" si="50"/>
        <v>1461713.4321988693</v>
      </c>
      <c r="AU167" s="222">
        <f t="shared" si="50"/>
        <v>1461713.4321988693</v>
      </c>
      <c r="AV167" s="216"/>
      <c r="AW167" s="216"/>
      <c r="AX167" s="216"/>
      <c r="AY167" s="216"/>
      <c r="AZ167" s="214"/>
      <c r="BA167" s="214"/>
      <c r="BB167" s="214"/>
      <c r="BC167" s="214"/>
      <c r="BD167" s="214"/>
      <c r="BE167" s="214"/>
      <c r="BF167" s="214"/>
    </row>
    <row r="168" spans="1:58" s="215" customFormat="1" ht="15.75" hidden="1" customHeight="1" outlineLevel="1">
      <c r="A168" s="214"/>
      <c r="C168" s="594" t="s">
        <v>939</v>
      </c>
      <c r="D168" s="216"/>
      <c r="E168" s="216"/>
      <c r="F168" s="216"/>
      <c r="G168" s="216"/>
      <c r="H168" s="214"/>
      <c r="I168" s="1217"/>
      <c r="J168" s="1217"/>
      <c r="K168" s="216"/>
      <c r="L168" s="216"/>
      <c r="M168" s="222"/>
      <c r="N168" s="216"/>
      <c r="O168" s="216"/>
      <c r="P168" s="216"/>
      <c r="Q168" s="216"/>
      <c r="R168" s="222">
        <f>R167/(1-R164)</f>
        <v>264721.60589807655</v>
      </c>
      <c r="S168" s="222"/>
      <c r="T168" s="222">
        <f>T167/(1-T164)</f>
        <v>264721.60589807655</v>
      </c>
      <c r="U168" s="222">
        <f t="shared" si="44"/>
        <v>264721.60589807655</v>
      </c>
      <c r="V168" s="222">
        <f t="shared" ref="V168:AU168" si="51">V167/(1-V164)</f>
        <v>1846108.6600435546</v>
      </c>
      <c r="W168" s="222">
        <f t="shared" si="51"/>
        <v>2149578.5767630432</v>
      </c>
      <c r="X168" s="222">
        <f t="shared" si="51"/>
        <v>2149578.5767630432</v>
      </c>
      <c r="Y168" s="222">
        <f t="shared" si="51"/>
        <v>2149578.5767630432</v>
      </c>
      <c r="Z168" s="222">
        <f t="shared" si="51"/>
        <v>2149578.5767630432</v>
      </c>
      <c r="AA168" s="222">
        <f t="shared" si="51"/>
        <v>2149578.5767630432</v>
      </c>
      <c r="AB168" s="222">
        <f t="shared" si="51"/>
        <v>2149578.5767630432</v>
      </c>
      <c r="AC168" s="222">
        <f t="shared" si="51"/>
        <v>2149578.5767630432</v>
      </c>
      <c r="AD168" s="222">
        <f t="shared" si="51"/>
        <v>2149578.5767630432</v>
      </c>
      <c r="AE168" s="222">
        <f t="shared" si="51"/>
        <v>2149578.5767630432</v>
      </c>
      <c r="AF168" s="222">
        <f t="shared" si="51"/>
        <v>2149578.5767630432</v>
      </c>
      <c r="AG168" s="222">
        <f t="shared" si="51"/>
        <v>2149578.5767630432</v>
      </c>
      <c r="AH168" s="222">
        <f t="shared" si="51"/>
        <v>2149578.5767630432</v>
      </c>
      <c r="AI168" s="222">
        <f t="shared" si="51"/>
        <v>2149578.5767630432</v>
      </c>
      <c r="AJ168" s="222">
        <f t="shared" si="51"/>
        <v>2149578.5767630432</v>
      </c>
      <c r="AK168" s="222">
        <f t="shared" si="51"/>
        <v>2149578.5767630432</v>
      </c>
      <c r="AL168" s="222">
        <f t="shared" si="51"/>
        <v>2149578.5767630432</v>
      </c>
      <c r="AM168" s="222">
        <f t="shared" si="51"/>
        <v>2149578.5767630432</v>
      </c>
      <c r="AN168" s="222">
        <f t="shared" si="51"/>
        <v>2149578.5767630432</v>
      </c>
      <c r="AO168" s="222">
        <f t="shared" si="51"/>
        <v>2149578.5767630432</v>
      </c>
      <c r="AP168" s="222">
        <f t="shared" si="51"/>
        <v>2149578.5767630432</v>
      </c>
      <c r="AQ168" s="222">
        <f t="shared" si="51"/>
        <v>2149578.5767630432</v>
      </c>
      <c r="AR168" s="222">
        <f t="shared" si="51"/>
        <v>2149578.5767630432</v>
      </c>
      <c r="AS168" s="222">
        <f t="shared" si="51"/>
        <v>2149578.5767630432</v>
      </c>
      <c r="AT168" s="222">
        <f t="shared" si="51"/>
        <v>2149578.5767630432</v>
      </c>
      <c r="AU168" s="222">
        <f t="shared" si="51"/>
        <v>2149578.5767630432</v>
      </c>
      <c r="AV168" s="216"/>
      <c r="AW168" s="216"/>
      <c r="AX168" s="216"/>
      <c r="AY168" s="216"/>
      <c r="AZ168" s="214"/>
      <c r="BA168" s="214"/>
      <c r="BB168" s="214"/>
      <c r="BC168" s="214"/>
      <c r="BD168" s="214"/>
      <c r="BE168" s="214"/>
      <c r="BF168" s="214"/>
    </row>
    <row r="169" spans="1:58" s="215" customFormat="1" ht="15.75" hidden="1" customHeight="1" outlineLevel="1">
      <c r="A169" s="214"/>
      <c r="C169" s="594" t="s">
        <v>1883</v>
      </c>
      <c r="D169" s="216"/>
      <c r="E169" s="216"/>
      <c r="F169" s="216"/>
      <c r="G169" s="216"/>
      <c r="H169" s="214"/>
      <c r="I169" s="1217"/>
      <c r="J169" s="1217"/>
      <c r="K169" s="216"/>
      <c r="L169" s="216"/>
      <c r="M169" s="222"/>
      <c r="N169" s="216"/>
      <c r="O169" s="216"/>
      <c r="P169" s="216"/>
      <c r="Q169" s="216"/>
      <c r="R169" s="222">
        <f>R167*(1+R143)</f>
        <v>207012.29581229581</v>
      </c>
      <c r="S169" s="222"/>
      <c r="T169" s="222">
        <f>T167*(1+T143)</f>
        <v>207012.29581229581</v>
      </c>
      <c r="U169" s="222">
        <f t="shared" si="44"/>
        <v>207012.29581229581</v>
      </c>
      <c r="V169" s="222">
        <f t="shared" ref="V169:AU169" si="52">V167*(1+V143)</f>
        <v>1443656.9721540594</v>
      </c>
      <c r="W169" s="222">
        <f t="shared" si="52"/>
        <v>1680970.4470286996</v>
      </c>
      <c r="X169" s="222">
        <f t="shared" si="52"/>
        <v>1680970.4470286996</v>
      </c>
      <c r="Y169" s="222">
        <f t="shared" si="52"/>
        <v>1680970.4470286996</v>
      </c>
      <c r="Z169" s="222">
        <f t="shared" si="52"/>
        <v>1680970.4470286996</v>
      </c>
      <c r="AA169" s="222">
        <f t="shared" si="52"/>
        <v>1680970.4470286996</v>
      </c>
      <c r="AB169" s="222">
        <f t="shared" si="52"/>
        <v>1680970.4470286996</v>
      </c>
      <c r="AC169" s="222">
        <f t="shared" si="52"/>
        <v>1680970.4470286996</v>
      </c>
      <c r="AD169" s="222">
        <f t="shared" si="52"/>
        <v>1680970.4470286996</v>
      </c>
      <c r="AE169" s="222">
        <f t="shared" si="52"/>
        <v>1680970.4470286996</v>
      </c>
      <c r="AF169" s="222">
        <f t="shared" si="52"/>
        <v>1680970.4470286996</v>
      </c>
      <c r="AG169" s="222">
        <f t="shared" si="52"/>
        <v>1680970.4470286996</v>
      </c>
      <c r="AH169" s="222">
        <f t="shared" si="52"/>
        <v>1680970.4470286996</v>
      </c>
      <c r="AI169" s="222">
        <f t="shared" si="52"/>
        <v>1680970.4470286996</v>
      </c>
      <c r="AJ169" s="222">
        <f t="shared" si="52"/>
        <v>1680970.4470286996</v>
      </c>
      <c r="AK169" s="222">
        <f t="shared" si="52"/>
        <v>1680970.4470286996</v>
      </c>
      <c r="AL169" s="222">
        <f t="shared" si="52"/>
        <v>1680970.4470286996</v>
      </c>
      <c r="AM169" s="222">
        <f t="shared" si="52"/>
        <v>1680970.4470286996</v>
      </c>
      <c r="AN169" s="222">
        <f t="shared" si="52"/>
        <v>1680970.4470286996</v>
      </c>
      <c r="AO169" s="222">
        <f t="shared" si="52"/>
        <v>1680970.4470286996</v>
      </c>
      <c r="AP169" s="222">
        <f t="shared" si="52"/>
        <v>1680970.4470286996</v>
      </c>
      <c r="AQ169" s="222">
        <f t="shared" si="52"/>
        <v>1680970.4470286996</v>
      </c>
      <c r="AR169" s="222">
        <f t="shared" si="52"/>
        <v>1680970.4470286996</v>
      </c>
      <c r="AS169" s="222">
        <f t="shared" si="52"/>
        <v>1680970.4470286996</v>
      </c>
      <c r="AT169" s="222">
        <f t="shared" si="52"/>
        <v>1680970.4470286996</v>
      </c>
      <c r="AU169" s="222">
        <f t="shared" si="52"/>
        <v>1680970.4470286996</v>
      </c>
      <c r="AV169" s="216"/>
      <c r="AW169" s="216"/>
      <c r="AX169" s="216"/>
      <c r="AY169" s="216"/>
      <c r="AZ169" s="214"/>
      <c r="BA169" s="214"/>
      <c r="BB169" s="214"/>
      <c r="BC169" s="214"/>
      <c r="BD169" s="214"/>
      <c r="BE169" s="214"/>
      <c r="BF169" s="214"/>
    </row>
    <row r="170" spans="1:58" s="215" customFormat="1" ht="15.75" hidden="1" customHeight="1" outlineLevel="1">
      <c r="A170" s="214"/>
      <c r="C170" s="594"/>
      <c r="D170" s="216"/>
      <c r="E170" s="216"/>
      <c r="F170" s="216"/>
      <c r="G170" s="216"/>
      <c r="H170" s="214"/>
      <c r="I170" s="1217"/>
      <c r="J170" s="1217"/>
      <c r="K170" s="216"/>
      <c r="L170" s="216"/>
      <c r="M170" s="222"/>
      <c r="N170" s="216"/>
      <c r="O170" s="216"/>
      <c r="P170" s="216"/>
      <c r="Q170" s="216"/>
      <c r="R170" s="222"/>
      <c r="S170" s="222"/>
      <c r="T170" s="222"/>
      <c r="U170" s="222"/>
      <c r="V170" s="222"/>
      <c r="W170" s="222"/>
      <c r="X170" s="222"/>
      <c r="Y170" s="222"/>
      <c r="Z170" s="222"/>
      <c r="AA170" s="222"/>
      <c r="AB170" s="222"/>
      <c r="AC170" s="222"/>
      <c r="AD170" s="222"/>
      <c r="AE170" s="222"/>
      <c r="AF170" s="222"/>
      <c r="AG170" s="222"/>
      <c r="AH170" s="222"/>
      <c r="AI170" s="222"/>
      <c r="AJ170" s="222"/>
      <c r="AK170" s="222"/>
      <c r="AL170" s="222"/>
      <c r="AM170" s="222"/>
      <c r="AN170" s="222"/>
      <c r="AO170" s="222"/>
      <c r="AP170" s="222"/>
      <c r="AQ170" s="222"/>
      <c r="AR170" s="222"/>
      <c r="AS170" s="222"/>
      <c r="AT170" s="222"/>
      <c r="AU170" s="222"/>
      <c r="AV170" s="216"/>
      <c r="AW170" s="216"/>
      <c r="AX170" s="216"/>
      <c r="AY170" s="216"/>
      <c r="AZ170" s="214"/>
      <c r="BA170" s="214"/>
      <c r="BB170" s="214"/>
      <c r="BC170" s="214"/>
      <c r="BD170" s="214"/>
      <c r="BE170" s="214"/>
      <c r="BF170" s="214"/>
    </row>
    <row r="171" spans="1:58" s="194" customFormat="1" ht="15.75" hidden="1" customHeight="1" outlineLevel="1">
      <c r="A171" s="225"/>
      <c r="C171" s="599" t="s">
        <v>1881</v>
      </c>
      <c r="D171" s="207"/>
      <c r="E171" s="207"/>
      <c r="F171" s="207"/>
      <c r="G171" s="207"/>
      <c r="H171" s="225"/>
      <c r="I171" s="1218"/>
      <c r="J171" s="1218"/>
      <c r="K171" s="207"/>
      <c r="L171" s="207"/>
      <c r="M171" s="632"/>
      <c r="N171" s="207"/>
      <c r="O171" s="207"/>
      <c r="P171" s="207"/>
      <c r="Q171" s="207"/>
      <c r="R171" s="632">
        <f>R167*R161*R160</f>
        <v>3078.1828333828339</v>
      </c>
      <c r="S171" s="632"/>
      <c r="T171" s="1589">
        <f>T167*T161*T160</f>
        <v>3078.1828333828339</v>
      </c>
      <c r="U171" s="632">
        <f t="shared" si="44"/>
        <v>3078.1828333828339</v>
      </c>
      <c r="V171" s="632">
        <f t="shared" ref="V171:AU171" si="53">V167*V161*V160</f>
        <v>21466.551498986453</v>
      </c>
      <c r="W171" s="632">
        <f t="shared" si="53"/>
        <v>24995.299690600663</v>
      </c>
      <c r="X171" s="632">
        <f t="shared" si="53"/>
        <v>24995.299690600663</v>
      </c>
      <c r="Y171" s="632">
        <f t="shared" si="53"/>
        <v>24995.299690600663</v>
      </c>
      <c r="Z171" s="632">
        <f t="shared" si="53"/>
        <v>24995.299690600663</v>
      </c>
      <c r="AA171" s="632">
        <f t="shared" si="53"/>
        <v>24995.299690600663</v>
      </c>
      <c r="AB171" s="632">
        <f t="shared" si="53"/>
        <v>24995.299690600663</v>
      </c>
      <c r="AC171" s="632">
        <f t="shared" si="53"/>
        <v>24995.299690600663</v>
      </c>
      <c r="AD171" s="632">
        <f t="shared" si="53"/>
        <v>24995.299690600663</v>
      </c>
      <c r="AE171" s="632">
        <f t="shared" si="53"/>
        <v>24995.299690600663</v>
      </c>
      <c r="AF171" s="632">
        <f t="shared" si="53"/>
        <v>24995.299690600663</v>
      </c>
      <c r="AG171" s="632">
        <f t="shared" si="53"/>
        <v>24995.299690600663</v>
      </c>
      <c r="AH171" s="632">
        <f t="shared" si="53"/>
        <v>24995.299690600663</v>
      </c>
      <c r="AI171" s="632">
        <f t="shared" si="53"/>
        <v>24995.299690600663</v>
      </c>
      <c r="AJ171" s="632">
        <f t="shared" si="53"/>
        <v>24995.299690600663</v>
      </c>
      <c r="AK171" s="632">
        <f t="shared" si="53"/>
        <v>24995.299690600663</v>
      </c>
      <c r="AL171" s="632">
        <f t="shared" si="53"/>
        <v>24995.299690600663</v>
      </c>
      <c r="AM171" s="632">
        <f t="shared" si="53"/>
        <v>24995.299690600663</v>
      </c>
      <c r="AN171" s="632">
        <f t="shared" si="53"/>
        <v>24995.299690600663</v>
      </c>
      <c r="AO171" s="632">
        <f t="shared" si="53"/>
        <v>24995.299690600663</v>
      </c>
      <c r="AP171" s="632">
        <f t="shared" si="53"/>
        <v>24995.299690600663</v>
      </c>
      <c r="AQ171" s="632">
        <f t="shared" si="53"/>
        <v>24995.299690600663</v>
      </c>
      <c r="AR171" s="632">
        <f t="shared" si="53"/>
        <v>24995.299690600663</v>
      </c>
      <c r="AS171" s="632">
        <f t="shared" si="53"/>
        <v>24995.299690600663</v>
      </c>
      <c r="AT171" s="632">
        <f t="shared" si="53"/>
        <v>24995.299690600663</v>
      </c>
      <c r="AU171" s="632">
        <f t="shared" si="53"/>
        <v>24995.299690600663</v>
      </c>
      <c r="AV171" s="207"/>
      <c r="AW171" s="207"/>
      <c r="AX171" s="207"/>
      <c r="AY171" s="207"/>
      <c r="AZ171" s="225"/>
      <c r="BA171" s="225"/>
      <c r="BB171" s="225"/>
      <c r="BC171" s="225"/>
      <c r="BD171" s="225"/>
      <c r="BE171" s="225"/>
      <c r="BF171" s="225"/>
    </row>
    <row r="172" spans="1:58" s="194" customFormat="1" ht="15.75" hidden="1" customHeight="1" outlineLevel="1">
      <c r="A172" s="225"/>
      <c r="C172" s="599" t="s">
        <v>1882</v>
      </c>
      <c r="D172" s="207"/>
      <c r="E172" s="207"/>
      <c r="F172" s="207"/>
      <c r="G172" s="225"/>
      <c r="H172" s="225"/>
      <c r="I172" s="1219"/>
      <c r="J172" s="1219"/>
      <c r="K172" s="1201"/>
      <c r="L172" s="1201"/>
      <c r="M172" s="1302"/>
      <c r="N172" s="1201"/>
      <c r="O172" s="1201"/>
      <c r="P172" s="1201"/>
      <c r="Q172" s="1201"/>
      <c r="R172" s="632">
        <f>R171/R14</f>
        <v>8794.8080953795252</v>
      </c>
      <c r="S172" s="632"/>
      <c r="T172" s="632">
        <f>T171/T14</f>
        <v>8794.8080953795252</v>
      </c>
      <c r="U172" s="632">
        <f t="shared" si="44"/>
        <v>8794.8080953795252</v>
      </c>
      <c r="V172" s="632">
        <f t="shared" ref="V172:AU172" si="54">V171/V14</f>
        <v>61333.004282818445</v>
      </c>
      <c r="W172" s="632">
        <f t="shared" si="54"/>
        <v>71415.141973144753</v>
      </c>
      <c r="X172" s="632">
        <f t="shared" si="54"/>
        <v>71415.141973144753</v>
      </c>
      <c r="Y172" s="632">
        <f t="shared" si="54"/>
        <v>71415.141973144753</v>
      </c>
      <c r="Z172" s="632">
        <f t="shared" si="54"/>
        <v>71415.141973144753</v>
      </c>
      <c r="AA172" s="632">
        <f t="shared" si="54"/>
        <v>71415.141973144753</v>
      </c>
      <c r="AB172" s="632">
        <f t="shared" si="54"/>
        <v>71415.141973144753</v>
      </c>
      <c r="AC172" s="632">
        <f t="shared" si="54"/>
        <v>71415.141973144753</v>
      </c>
      <c r="AD172" s="632">
        <f t="shared" si="54"/>
        <v>71415.141973144753</v>
      </c>
      <c r="AE172" s="632">
        <f t="shared" si="54"/>
        <v>71415.141973144753</v>
      </c>
      <c r="AF172" s="632">
        <f t="shared" si="54"/>
        <v>71415.141973144753</v>
      </c>
      <c r="AG172" s="632">
        <f t="shared" si="54"/>
        <v>71415.141973144753</v>
      </c>
      <c r="AH172" s="632">
        <f t="shared" si="54"/>
        <v>71415.141973144753</v>
      </c>
      <c r="AI172" s="632">
        <f t="shared" si="54"/>
        <v>71415.141973144753</v>
      </c>
      <c r="AJ172" s="632">
        <f t="shared" si="54"/>
        <v>71415.141973144753</v>
      </c>
      <c r="AK172" s="632">
        <f t="shared" si="54"/>
        <v>71415.141973144753</v>
      </c>
      <c r="AL172" s="632">
        <f t="shared" si="54"/>
        <v>71415.141973144753</v>
      </c>
      <c r="AM172" s="632">
        <f t="shared" si="54"/>
        <v>71415.141973144753</v>
      </c>
      <c r="AN172" s="632">
        <f t="shared" si="54"/>
        <v>71415.141973144753</v>
      </c>
      <c r="AO172" s="632">
        <f t="shared" si="54"/>
        <v>71415.141973144753</v>
      </c>
      <c r="AP172" s="632">
        <f t="shared" si="54"/>
        <v>71415.141973144753</v>
      </c>
      <c r="AQ172" s="632">
        <f t="shared" si="54"/>
        <v>71415.141973144753</v>
      </c>
      <c r="AR172" s="632">
        <f t="shared" si="54"/>
        <v>71415.141973144753</v>
      </c>
      <c r="AS172" s="632">
        <f t="shared" si="54"/>
        <v>71415.141973144753</v>
      </c>
      <c r="AT172" s="632">
        <f t="shared" si="54"/>
        <v>71415.141973144753</v>
      </c>
      <c r="AU172" s="632">
        <f t="shared" si="54"/>
        <v>71415.141973144753</v>
      </c>
      <c r="AV172" s="1201"/>
      <c r="AW172" s="1201"/>
      <c r="AX172" s="1201"/>
      <c r="AY172" s="1201"/>
      <c r="AZ172" s="225"/>
      <c r="BA172" s="225"/>
      <c r="BB172" s="225"/>
      <c r="BC172" s="225"/>
      <c r="BD172" s="225"/>
      <c r="BE172" s="225"/>
      <c r="BF172" s="225"/>
    </row>
    <row r="173" spans="1:58" s="215" customFormat="1" ht="15.75" hidden="1" customHeight="1" outlineLevel="1">
      <c r="A173" s="214"/>
      <c r="C173" s="593"/>
      <c r="D173" s="216"/>
      <c r="E173" s="216"/>
      <c r="F173" s="216"/>
      <c r="G173" s="214"/>
      <c r="H173" s="214"/>
      <c r="I173" s="620"/>
      <c r="J173" s="620"/>
      <c r="K173" s="1198"/>
      <c r="L173" s="1198"/>
      <c r="M173" s="718"/>
      <c r="N173" s="1198"/>
      <c r="O173" s="1198"/>
      <c r="P173" s="1198"/>
      <c r="Q173" s="1198"/>
      <c r="R173" s="1202"/>
      <c r="S173" s="1202"/>
      <c r="T173" s="1202"/>
      <c r="U173" s="1202"/>
      <c r="V173" s="1202"/>
      <c r="W173" s="1202"/>
      <c r="X173" s="1202"/>
      <c r="Y173" s="1202"/>
      <c r="Z173" s="1202"/>
      <c r="AA173" s="1202"/>
      <c r="AB173" s="1202"/>
      <c r="AC173" s="1202"/>
      <c r="AD173" s="1202"/>
      <c r="AE173" s="1202"/>
      <c r="AF173" s="1202"/>
      <c r="AG173" s="1202"/>
      <c r="AH173" s="1202"/>
      <c r="AI173" s="1202"/>
      <c r="AJ173" s="1202"/>
      <c r="AK173" s="1202"/>
      <c r="AL173" s="1202"/>
      <c r="AM173" s="1202"/>
      <c r="AN173" s="1202"/>
      <c r="AO173" s="1202"/>
      <c r="AP173" s="1202"/>
      <c r="AQ173" s="1202"/>
      <c r="AR173" s="1202"/>
      <c r="AS173" s="1202"/>
      <c r="AT173" s="1202"/>
      <c r="AU173" s="1202"/>
      <c r="AV173" s="1198"/>
      <c r="AW173" s="1198"/>
      <c r="AX173" s="1198"/>
      <c r="AY173" s="1198"/>
      <c r="AZ173" s="214"/>
      <c r="BA173" s="214"/>
      <c r="BB173" s="214"/>
      <c r="BC173" s="214"/>
      <c r="BD173" s="214"/>
      <c r="BE173" s="214"/>
      <c r="BF173" s="214"/>
    </row>
    <row r="174" spans="1:58" s="215" customFormat="1" ht="15.75" hidden="1" customHeight="1" outlineLevel="1">
      <c r="A174" s="214"/>
      <c r="C174" s="304" t="s">
        <v>1938</v>
      </c>
      <c r="D174" s="216"/>
      <c r="E174" s="216"/>
      <c r="F174" s="216"/>
      <c r="G174" s="214"/>
      <c r="H174" s="214"/>
      <c r="I174" s="620"/>
      <c r="J174" s="620"/>
      <c r="K174" s="1198"/>
      <c r="L174" s="1198"/>
      <c r="M174" s="718"/>
      <c r="N174" s="1198"/>
      <c r="O174" s="1198"/>
      <c r="P174" s="1198"/>
      <c r="Q174" s="1198"/>
      <c r="R174" s="222">
        <f>R176*(1+R150)</f>
        <v>270000</v>
      </c>
      <c r="S174" s="222"/>
      <c r="T174" s="222">
        <f>T176*(1+T150)</f>
        <v>270000</v>
      </c>
      <c r="U174" s="222">
        <f t="shared" si="44"/>
        <v>270000</v>
      </c>
      <c r="V174" s="222">
        <f t="shared" ref="V174:AU174" si="55">V176*(1+V150)</f>
        <v>270000</v>
      </c>
      <c r="W174" s="222">
        <f t="shared" si="55"/>
        <v>270000</v>
      </c>
      <c r="X174" s="222">
        <f t="shared" si="55"/>
        <v>270000</v>
      </c>
      <c r="Y174" s="222">
        <f t="shared" si="55"/>
        <v>270000</v>
      </c>
      <c r="Z174" s="222">
        <f t="shared" si="55"/>
        <v>270000</v>
      </c>
      <c r="AA174" s="222">
        <f t="shared" si="55"/>
        <v>270000</v>
      </c>
      <c r="AB174" s="222">
        <f t="shared" si="55"/>
        <v>270000</v>
      </c>
      <c r="AC174" s="222">
        <f t="shared" si="55"/>
        <v>270000</v>
      </c>
      <c r="AD174" s="222">
        <f t="shared" si="55"/>
        <v>270000</v>
      </c>
      <c r="AE174" s="222">
        <f t="shared" si="55"/>
        <v>270000</v>
      </c>
      <c r="AF174" s="222">
        <f t="shared" si="55"/>
        <v>270000</v>
      </c>
      <c r="AG174" s="222">
        <f t="shared" si="55"/>
        <v>270000</v>
      </c>
      <c r="AH174" s="222">
        <f t="shared" si="55"/>
        <v>270000</v>
      </c>
      <c r="AI174" s="222">
        <f t="shared" si="55"/>
        <v>270000</v>
      </c>
      <c r="AJ174" s="222">
        <f t="shared" si="55"/>
        <v>270000</v>
      </c>
      <c r="AK174" s="222">
        <f t="shared" si="55"/>
        <v>270000</v>
      </c>
      <c r="AL174" s="222">
        <f t="shared" si="55"/>
        <v>270000</v>
      </c>
      <c r="AM174" s="222">
        <f t="shared" si="55"/>
        <v>270000</v>
      </c>
      <c r="AN174" s="222">
        <f t="shared" si="55"/>
        <v>270000</v>
      </c>
      <c r="AO174" s="222">
        <f t="shared" si="55"/>
        <v>270000</v>
      </c>
      <c r="AP174" s="222">
        <f t="shared" si="55"/>
        <v>270000</v>
      </c>
      <c r="AQ174" s="222">
        <f t="shared" si="55"/>
        <v>270000</v>
      </c>
      <c r="AR174" s="222">
        <f t="shared" si="55"/>
        <v>270000</v>
      </c>
      <c r="AS174" s="222">
        <f t="shared" si="55"/>
        <v>270000</v>
      </c>
      <c r="AT174" s="222">
        <f t="shared" si="55"/>
        <v>270000</v>
      </c>
      <c r="AU174" s="222">
        <f t="shared" si="55"/>
        <v>270000</v>
      </c>
      <c r="AV174" s="1198"/>
      <c r="AW174" s="1198"/>
      <c r="AX174" s="1198"/>
      <c r="AY174" s="1198"/>
      <c r="AZ174" s="214"/>
      <c r="BA174" s="214"/>
      <c r="BB174" s="214"/>
      <c r="BC174" s="214"/>
      <c r="BD174" s="214"/>
      <c r="BE174" s="214"/>
      <c r="BF174" s="214"/>
    </row>
    <row r="175" spans="1:58" s="215" customFormat="1" ht="15.75" hidden="1" customHeight="1" outlineLevel="1">
      <c r="A175" s="214"/>
      <c r="C175" s="304" t="s">
        <v>1939</v>
      </c>
      <c r="D175" s="216"/>
      <c r="E175" s="216"/>
      <c r="F175" s="216"/>
      <c r="G175" s="214"/>
      <c r="H175" s="214"/>
      <c r="I175" s="620"/>
      <c r="J175" s="620"/>
      <c r="K175" s="1198"/>
      <c r="L175" s="1198"/>
      <c r="M175" s="718"/>
      <c r="N175" s="1198"/>
      <c r="O175" s="1198"/>
      <c r="P175" s="1198"/>
      <c r="Q175" s="1198"/>
      <c r="R175" s="222">
        <f>R177*(1+R149)</f>
        <v>468000</v>
      </c>
      <c r="S175" s="222"/>
      <c r="T175" s="222">
        <f>T177*(1+T149)</f>
        <v>468000</v>
      </c>
      <c r="U175" s="222">
        <f t="shared" si="44"/>
        <v>468000</v>
      </c>
      <c r="V175" s="222">
        <f t="shared" ref="V175:AU175" si="56">V177*(1+V149)</f>
        <v>468000</v>
      </c>
      <c r="W175" s="222">
        <f t="shared" si="56"/>
        <v>468000</v>
      </c>
      <c r="X175" s="222">
        <f t="shared" si="56"/>
        <v>468000</v>
      </c>
      <c r="Y175" s="222">
        <f t="shared" si="56"/>
        <v>468000</v>
      </c>
      <c r="Z175" s="222">
        <f t="shared" si="56"/>
        <v>468000</v>
      </c>
      <c r="AA175" s="222">
        <f t="shared" si="56"/>
        <v>468000</v>
      </c>
      <c r="AB175" s="222">
        <f t="shared" si="56"/>
        <v>468000</v>
      </c>
      <c r="AC175" s="222">
        <f t="shared" si="56"/>
        <v>468000</v>
      </c>
      <c r="AD175" s="222">
        <f t="shared" si="56"/>
        <v>468000</v>
      </c>
      <c r="AE175" s="222">
        <f t="shared" si="56"/>
        <v>468000</v>
      </c>
      <c r="AF175" s="222">
        <f t="shared" si="56"/>
        <v>468000</v>
      </c>
      <c r="AG175" s="222">
        <f t="shared" si="56"/>
        <v>468000</v>
      </c>
      <c r="AH175" s="222">
        <f t="shared" si="56"/>
        <v>468000</v>
      </c>
      <c r="AI175" s="222">
        <f t="shared" si="56"/>
        <v>468000</v>
      </c>
      <c r="AJ175" s="222">
        <f t="shared" si="56"/>
        <v>468000</v>
      </c>
      <c r="AK175" s="222">
        <f t="shared" si="56"/>
        <v>468000</v>
      </c>
      <c r="AL175" s="222">
        <f t="shared" si="56"/>
        <v>468000</v>
      </c>
      <c r="AM175" s="222">
        <f t="shared" si="56"/>
        <v>468000</v>
      </c>
      <c r="AN175" s="222">
        <f t="shared" si="56"/>
        <v>468000</v>
      </c>
      <c r="AO175" s="222">
        <f t="shared" si="56"/>
        <v>468000</v>
      </c>
      <c r="AP175" s="222">
        <f t="shared" si="56"/>
        <v>468000</v>
      </c>
      <c r="AQ175" s="222">
        <f t="shared" si="56"/>
        <v>468000</v>
      </c>
      <c r="AR175" s="222">
        <f t="shared" si="56"/>
        <v>468000</v>
      </c>
      <c r="AS175" s="222">
        <f t="shared" si="56"/>
        <v>468000</v>
      </c>
      <c r="AT175" s="222">
        <f t="shared" si="56"/>
        <v>468000</v>
      </c>
      <c r="AU175" s="222">
        <f t="shared" si="56"/>
        <v>468000</v>
      </c>
      <c r="AV175" s="1198"/>
      <c r="AW175" s="1198"/>
      <c r="AX175" s="1198"/>
      <c r="AY175" s="1198"/>
      <c r="AZ175" s="214"/>
      <c r="BA175" s="214"/>
      <c r="BB175" s="214"/>
      <c r="BC175" s="214"/>
      <c r="BD175" s="214"/>
      <c r="BE175" s="214"/>
      <c r="BF175" s="214"/>
    </row>
    <row r="176" spans="1:58" s="215" customFormat="1" ht="15.75" customHeight="1" collapsed="1">
      <c r="A176" s="214"/>
      <c r="C176" s="304" t="s">
        <v>1936</v>
      </c>
      <c r="D176" s="214"/>
      <c r="E176" s="214"/>
      <c r="F176" s="214"/>
      <c r="G176" s="214"/>
      <c r="H176" s="214"/>
      <c r="I176" s="214"/>
      <c r="J176" s="214"/>
      <c r="K176" s="214"/>
      <c r="N176" s="214"/>
      <c r="O176" s="214"/>
      <c r="P176" s="214"/>
      <c r="Q176" s="214"/>
      <c r="R176" s="222">
        <f>45000*4</f>
        <v>180000</v>
      </c>
      <c r="S176" s="222"/>
      <c r="T176" s="222">
        <f>45000*4</f>
        <v>180000</v>
      </c>
      <c r="U176" s="222">
        <f t="shared" si="44"/>
        <v>180000</v>
      </c>
      <c r="V176" s="222">
        <f t="shared" ref="V176:AU176" si="57">45000*4</f>
        <v>180000</v>
      </c>
      <c r="W176" s="222">
        <f t="shared" si="57"/>
        <v>180000</v>
      </c>
      <c r="X176" s="222">
        <f t="shared" si="57"/>
        <v>180000</v>
      </c>
      <c r="Y176" s="222">
        <f t="shared" si="57"/>
        <v>180000</v>
      </c>
      <c r="Z176" s="222">
        <f t="shared" si="57"/>
        <v>180000</v>
      </c>
      <c r="AA176" s="222">
        <f t="shared" si="57"/>
        <v>180000</v>
      </c>
      <c r="AB176" s="222">
        <f t="shared" si="57"/>
        <v>180000</v>
      </c>
      <c r="AC176" s="222">
        <f t="shared" si="57"/>
        <v>180000</v>
      </c>
      <c r="AD176" s="222">
        <f t="shared" si="57"/>
        <v>180000</v>
      </c>
      <c r="AE176" s="222">
        <f t="shared" si="57"/>
        <v>180000</v>
      </c>
      <c r="AF176" s="222">
        <f t="shared" si="57"/>
        <v>180000</v>
      </c>
      <c r="AG176" s="222">
        <f t="shared" si="57"/>
        <v>180000</v>
      </c>
      <c r="AH176" s="222">
        <f t="shared" si="57"/>
        <v>180000</v>
      </c>
      <c r="AI176" s="222">
        <f t="shared" si="57"/>
        <v>180000</v>
      </c>
      <c r="AJ176" s="222">
        <f t="shared" si="57"/>
        <v>180000</v>
      </c>
      <c r="AK176" s="222">
        <f t="shared" si="57"/>
        <v>180000</v>
      </c>
      <c r="AL176" s="222">
        <f t="shared" si="57"/>
        <v>180000</v>
      </c>
      <c r="AM176" s="222">
        <f t="shared" si="57"/>
        <v>180000</v>
      </c>
      <c r="AN176" s="222">
        <f t="shared" si="57"/>
        <v>180000</v>
      </c>
      <c r="AO176" s="222">
        <f t="shared" si="57"/>
        <v>180000</v>
      </c>
      <c r="AP176" s="222">
        <f t="shared" si="57"/>
        <v>180000</v>
      </c>
      <c r="AQ176" s="222">
        <f t="shared" si="57"/>
        <v>180000</v>
      </c>
      <c r="AR176" s="222">
        <f t="shared" si="57"/>
        <v>180000</v>
      </c>
      <c r="AS176" s="222">
        <f t="shared" si="57"/>
        <v>180000</v>
      </c>
      <c r="AT176" s="222">
        <f t="shared" si="57"/>
        <v>180000</v>
      </c>
      <c r="AU176" s="222">
        <f t="shared" si="57"/>
        <v>180000</v>
      </c>
      <c r="AV176" s="214"/>
      <c r="AW176" s="214"/>
      <c r="AX176" s="214"/>
      <c r="AY176" s="214"/>
      <c r="AZ176" s="214"/>
      <c r="BA176" s="214"/>
      <c r="BB176" s="214"/>
      <c r="BC176" s="214"/>
      <c r="BD176" s="214"/>
      <c r="BE176" s="214"/>
      <c r="BF176" s="214"/>
    </row>
    <row r="177" spans="1:58" s="215" customFormat="1" ht="15.75" customHeight="1">
      <c r="A177" s="214"/>
      <c r="C177" s="304" t="s">
        <v>1937</v>
      </c>
      <c r="D177" s="214"/>
      <c r="E177" s="214"/>
      <c r="F177" s="214"/>
      <c r="G177" s="214"/>
      <c r="H177" s="214"/>
      <c r="I177" s="214"/>
      <c r="J177" s="214"/>
      <c r="K177" s="214"/>
      <c r="N177" s="214"/>
      <c r="O177" s="214"/>
      <c r="P177" s="214"/>
      <c r="Q177" s="214"/>
      <c r="R177" s="222">
        <f>45000*8</f>
        <v>360000</v>
      </c>
      <c r="S177" s="222"/>
      <c r="T177" s="222">
        <f>45000*8</f>
        <v>360000</v>
      </c>
      <c r="U177" s="222">
        <f t="shared" si="44"/>
        <v>360000</v>
      </c>
      <c r="V177" s="222">
        <f t="shared" ref="V177:AU177" si="58">45000*8</f>
        <v>360000</v>
      </c>
      <c r="W177" s="222">
        <f t="shared" si="58"/>
        <v>360000</v>
      </c>
      <c r="X177" s="222">
        <f t="shared" si="58"/>
        <v>360000</v>
      </c>
      <c r="Y177" s="222">
        <f t="shared" si="58"/>
        <v>360000</v>
      </c>
      <c r="Z177" s="222">
        <f t="shared" si="58"/>
        <v>360000</v>
      </c>
      <c r="AA177" s="222">
        <f t="shared" si="58"/>
        <v>360000</v>
      </c>
      <c r="AB177" s="222">
        <f t="shared" si="58"/>
        <v>360000</v>
      </c>
      <c r="AC177" s="222">
        <f t="shared" si="58"/>
        <v>360000</v>
      </c>
      <c r="AD177" s="222">
        <f t="shared" si="58"/>
        <v>360000</v>
      </c>
      <c r="AE177" s="222">
        <f t="shared" si="58"/>
        <v>360000</v>
      </c>
      <c r="AF177" s="222">
        <f t="shared" si="58"/>
        <v>360000</v>
      </c>
      <c r="AG177" s="222">
        <f t="shared" si="58"/>
        <v>360000</v>
      </c>
      <c r="AH177" s="222">
        <f t="shared" si="58"/>
        <v>360000</v>
      </c>
      <c r="AI177" s="222">
        <f t="shared" si="58"/>
        <v>360000</v>
      </c>
      <c r="AJ177" s="222">
        <f t="shared" si="58"/>
        <v>360000</v>
      </c>
      <c r="AK177" s="222">
        <f t="shared" si="58"/>
        <v>360000</v>
      </c>
      <c r="AL177" s="222">
        <f t="shared" si="58"/>
        <v>360000</v>
      </c>
      <c r="AM177" s="222">
        <f t="shared" si="58"/>
        <v>360000</v>
      </c>
      <c r="AN177" s="222">
        <f t="shared" si="58"/>
        <v>360000</v>
      </c>
      <c r="AO177" s="222">
        <f t="shared" si="58"/>
        <v>360000</v>
      </c>
      <c r="AP177" s="222">
        <f t="shared" si="58"/>
        <v>360000</v>
      </c>
      <c r="AQ177" s="222">
        <f t="shared" si="58"/>
        <v>360000</v>
      </c>
      <c r="AR177" s="222">
        <f t="shared" si="58"/>
        <v>360000</v>
      </c>
      <c r="AS177" s="222">
        <f t="shared" si="58"/>
        <v>360000</v>
      </c>
      <c r="AT177" s="222">
        <f t="shared" si="58"/>
        <v>360000</v>
      </c>
      <c r="AU177" s="222">
        <f t="shared" si="58"/>
        <v>360000</v>
      </c>
      <c r="AV177" s="214"/>
      <c r="AW177" s="214"/>
      <c r="AX177" s="214"/>
      <c r="AY177" s="214"/>
      <c r="AZ177" s="214"/>
      <c r="BA177" s="214"/>
      <c r="BB177" s="214"/>
      <c r="BC177" s="214"/>
      <c r="BD177" s="214"/>
      <c r="BE177" s="214"/>
      <c r="BF177" s="214"/>
    </row>
    <row r="178" spans="1:58" s="194" customFormat="1" ht="15.75" customHeight="1">
      <c r="A178" s="225"/>
      <c r="C178" s="1220" t="s">
        <v>1915</v>
      </c>
      <c r="D178" s="225"/>
      <c r="E178" s="225"/>
      <c r="F178" s="225"/>
      <c r="G178" s="225"/>
      <c r="H178" s="225"/>
      <c r="I178" s="225"/>
      <c r="J178" s="225"/>
      <c r="K178" s="225"/>
      <c r="N178" s="225"/>
      <c r="O178" s="225"/>
      <c r="P178" s="225"/>
      <c r="Q178" s="225"/>
      <c r="R178" s="632">
        <f>R176+R177</f>
        <v>540000</v>
      </c>
      <c r="S178" s="632"/>
      <c r="T178" s="632">
        <f>T176+T177</f>
        <v>540000</v>
      </c>
      <c r="U178" s="632">
        <f t="shared" si="44"/>
        <v>540000</v>
      </c>
      <c r="V178" s="632">
        <f t="shared" ref="V178:AU178" si="59">V176+V177</f>
        <v>540000</v>
      </c>
      <c r="W178" s="632">
        <f t="shared" si="59"/>
        <v>540000</v>
      </c>
      <c r="X178" s="632">
        <f t="shared" si="59"/>
        <v>540000</v>
      </c>
      <c r="Y178" s="632">
        <f t="shared" si="59"/>
        <v>540000</v>
      </c>
      <c r="Z178" s="632">
        <f t="shared" si="59"/>
        <v>540000</v>
      </c>
      <c r="AA178" s="632">
        <f t="shared" si="59"/>
        <v>540000</v>
      </c>
      <c r="AB178" s="632">
        <f t="shared" si="59"/>
        <v>540000</v>
      </c>
      <c r="AC178" s="632">
        <f t="shared" si="59"/>
        <v>540000</v>
      </c>
      <c r="AD178" s="632">
        <f t="shared" si="59"/>
        <v>540000</v>
      </c>
      <c r="AE178" s="632">
        <f t="shared" si="59"/>
        <v>540000</v>
      </c>
      <c r="AF178" s="632">
        <f t="shared" si="59"/>
        <v>540000</v>
      </c>
      <c r="AG178" s="632">
        <f t="shared" si="59"/>
        <v>540000</v>
      </c>
      <c r="AH178" s="632">
        <f t="shared" si="59"/>
        <v>540000</v>
      </c>
      <c r="AI178" s="632">
        <f t="shared" si="59"/>
        <v>540000</v>
      </c>
      <c r="AJ178" s="632">
        <f t="shared" si="59"/>
        <v>540000</v>
      </c>
      <c r="AK178" s="632">
        <f t="shared" si="59"/>
        <v>540000</v>
      </c>
      <c r="AL178" s="632">
        <f t="shared" si="59"/>
        <v>540000</v>
      </c>
      <c r="AM178" s="632">
        <f t="shared" si="59"/>
        <v>540000</v>
      </c>
      <c r="AN178" s="632">
        <f t="shared" si="59"/>
        <v>540000</v>
      </c>
      <c r="AO178" s="632">
        <f t="shared" si="59"/>
        <v>540000</v>
      </c>
      <c r="AP178" s="632">
        <f t="shared" si="59"/>
        <v>540000</v>
      </c>
      <c r="AQ178" s="632">
        <f t="shared" si="59"/>
        <v>540000</v>
      </c>
      <c r="AR178" s="632">
        <f t="shared" si="59"/>
        <v>540000</v>
      </c>
      <c r="AS178" s="632">
        <f t="shared" si="59"/>
        <v>540000</v>
      </c>
      <c r="AT178" s="632">
        <f t="shared" si="59"/>
        <v>540000</v>
      </c>
      <c r="AU178" s="632">
        <f t="shared" si="59"/>
        <v>540000</v>
      </c>
      <c r="AV178" s="225"/>
      <c r="AW178" s="225"/>
      <c r="AX178" s="225"/>
      <c r="AY178" s="225"/>
      <c r="AZ178" s="225"/>
      <c r="BA178" s="225"/>
      <c r="BB178" s="225"/>
      <c r="BC178" s="225"/>
      <c r="BD178" s="225"/>
      <c r="BE178" s="225"/>
      <c r="BF178" s="225"/>
    </row>
    <row r="179" spans="1:58" s="215" customFormat="1" ht="15.75" customHeight="1">
      <c r="A179" s="214"/>
      <c r="C179" s="590"/>
      <c r="D179" s="185"/>
      <c r="E179" s="185"/>
      <c r="F179" s="185"/>
      <c r="G179" s="185"/>
      <c r="H179" s="205"/>
      <c r="I179" s="205"/>
      <c r="J179" s="205"/>
      <c r="K179" s="205"/>
      <c r="L179" s="205"/>
      <c r="M179" s="185"/>
      <c r="O179" s="214"/>
      <c r="P179" s="214"/>
      <c r="Q179" s="214"/>
      <c r="R179" s="214"/>
      <c r="S179" s="214"/>
      <c r="T179" s="214"/>
      <c r="U179" s="214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  <c r="AN179" s="214"/>
      <c r="AO179" s="214"/>
      <c r="AP179" s="214"/>
      <c r="AQ179" s="214"/>
      <c r="AR179" s="214"/>
      <c r="AS179" s="214"/>
      <c r="AT179" s="214"/>
      <c r="AU179" s="214"/>
      <c r="AV179" s="214"/>
      <c r="AW179" s="214"/>
      <c r="AX179" s="214"/>
      <c r="AY179" s="214"/>
      <c r="AZ179" s="179"/>
      <c r="BA179" s="179"/>
      <c r="BB179" s="179"/>
      <c r="BC179" s="179"/>
      <c r="BD179" s="179"/>
      <c r="BE179" s="179"/>
      <c r="BF179" s="179"/>
    </row>
    <row r="180" spans="1:58" ht="27" customHeight="1">
      <c r="B180" s="219"/>
      <c r="C180" s="297" t="s">
        <v>940</v>
      </c>
      <c r="H180" s="211"/>
      <c r="I180" s="211"/>
      <c r="J180" s="211"/>
      <c r="K180" s="211"/>
      <c r="L180" s="211"/>
      <c r="M180" s="323"/>
      <c r="N180" s="211"/>
      <c r="O180" s="211"/>
      <c r="P180" s="211"/>
      <c r="Q180" s="211"/>
      <c r="R180" s="211"/>
      <c r="S180" s="211"/>
      <c r="T180" s="211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1"/>
      <c r="AI180" s="211"/>
      <c r="AJ180" s="211"/>
      <c r="AK180" s="211"/>
      <c r="AL180" s="211"/>
      <c r="AM180" s="211"/>
      <c r="AN180" s="211"/>
      <c r="AO180" s="211"/>
      <c r="AP180" s="211"/>
      <c r="AQ180" s="211"/>
      <c r="AR180" s="211"/>
      <c r="AS180" s="211"/>
      <c r="AT180" s="211"/>
      <c r="AU180" s="211"/>
      <c r="AV180" s="211"/>
      <c r="AW180" s="211"/>
      <c r="AX180" s="211"/>
      <c r="AY180" s="211"/>
    </row>
    <row r="181" spans="1:58" ht="3" customHeight="1">
      <c r="B181" s="219"/>
      <c r="C181" s="299"/>
      <c r="D181" s="170"/>
      <c r="E181" s="170"/>
      <c r="F181" s="170"/>
      <c r="G181" s="170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  <c r="AW181" s="212"/>
      <c r="AX181" s="212"/>
      <c r="AY181" s="212"/>
    </row>
    <row r="182" spans="1:58" ht="15.75" customHeight="1">
      <c r="B182" s="219"/>
      <c r="H182" s="211"/>
      <c r="I182" s="211"/>
      <c r="J182" s="211"/>
      <c r="K182" s="211"/>
      <c r="L182" s="211"/>
      <c r="M182" s="323"/>
      <c r="N182" s="211"/>
      <c r="O182" s="211"/>
      <c r="P182" s="211"/>
      <c r="Q182" s="211"/>
      <c r="R182" s="211"/>
      <c r="S182" s="211"/>
      <c r="T182" s="211"/>
      <c r="U182" s="211"/>
      <c r="V182" s="211"/>
      <c r="W182" s="211"/>
      <c r="X182" s="211"/>
      <c r="Y182" s="211"/>
      <c r="Z182" s="211"/>
      <c r="AA182" s="211"/>
      <c r="AB182" s="211"/>
      <c r="AC182" s="211"/>
      <c r="AD182" s="211"/>
      <c r="AE182" s="211"/>
      <c r="AF182" s="211"/>
      <c r="AG182" s="211"/>
      <c r="AH182" s="211"/>
      <c r="AI182" s="211"/>
      <c r="AJ182" s="211"/>
      <c r="AK182" s="211"/>
      <c r="AL182" s="211"/>
      <c r="AM182" s="211"/>
      <c r="AN182" s="211"/>
      <c r="AO182" s="211"/>
      <c r="AP182" s="211"/>
      <c r="AQ182" s="211"/>
      <c r="AR182" s="211"/>
      <c r="AS182" s="211"/>
      <c r="AT182" s="211"/>
      <c r="AU182" s="211"/>
      <c r="AV182" s="211"/>
      <c r="AW182" s="211"/>
      <c r="AX182" s="211"/>
      <c r="AY182" s="211"/>
    </row>
    <row r="183" spans="1:58" ht="15.75" customHeight="1" outlineLevel="1">
      <c r="B183" s="219"/>
      <c r="C183" s="302"/>
      <c r="D183" s="303"/>
      <c r="E183" s="303"/>
      <c r="F183" s="303"/>
      <c r="G183" s="303"/>
      <c r="H183" s="172"/>
      <c r="I183" s="172"/>
      <c r="J183" s="172"/>
      <c r="K183" s="172"/>
      <c r="L183" s="173"/>
      <c r="M183" s="173"/>
      <c r="N183" s="173"/>
      <c r="O183" s="173"/>
      <c r="P183" s="173"/>
      <c r="Q183" s="173"/>
      <c r="R183" s="173"/>
      <c r="S183" s="173"/>
      <c r="T183" s="173"/>
      <c r="U183" s="173"/>
      <c r="V183" s="173"/>
      <c r="W183" s="173"/>
      <c r="X183" s="173"/>
      <c r="Y183" s="173"/>
      <c r="Z183" s="173"/>
      <c r="AA183" s="173"/>
      <c r="AB183" s="173"/>
      <c r="AC183" s="173"/>
      <c r="AD183" s="173"/>
      <c r="AE183" s="173"/>
      <c r="AF183" s="173"/>
      <c r="AG183" s="173"/>
      <c r="AH183" s="173"/>
      <c r="AI183" s="173"/>
      <c r="AJ183" s="173"/>
      <c r="AK183" s="173"/>
      <c r="AL183" s="173"/>
      <c r="AM183" s="173"/>
      <c r="AN183" s="173"/>
      <c r="AO183" s="173"/>
      <c r="AP183" s="173"/>
      <c r="AQ183" s="173"/>
      <c r="AR183" s="173"/>
      <c r="AS183" s="173"/>
      <c r="AT183" s="173"/>
      <c r="AU183" s="173"/>
      <c r="AV183" s="173"/>
      <c r="AW183" s="173"/>
      <c r="AX183" s="173"/>
      <c r="AY183" s="173"/>
    </row>
    <row r="184" spans="1:58" ht="15.75" customHeight="1" outlineLevel="1">
      <c r="B184" s="219"/>
      <c r="C184" s="603"/>
      <c r="D184" s="233"/>
      <c r="E184" s="233"/>
      <c r="F184" s="233"/>
      <c r="G184" s="603"/>
      <c r="H184" s="603"/>
      <c r="I184" s="174"/>
      <c r="J184" s="174"/>
      <c r="K184" s="174"/>
      <c r="L184" s="174"/>
      <c r="M184" s="1300"/>
      <c r="N184" s="1300"/>
      <c r="O184" s="175">
        <v>-3</v>
      </c>
      <c r="P184" s="175">
        <f>O184+1</f>
        <v>-2</v>
      </c>
      <c r="Q184" s="175">
        <f>P184+1</f>
        <v>-1</v>
      </c>
      <c r="R184" s="175">
        <f>Q184+2</f>
        <v>1</v>
      </c>
      <c r="S184" s="175">
        <f>$S$8</f>
        <v>0</v>
      </c>
      <c r="T184" s="175">
        <f>$T$8</f>
        <v>0</v>
      </c>
      <c r="U184" s="175" t="str">
        <f>$U$7</f>
        <v>Revised</v>
      </c>
      <c r="V184" s="175">
        <f>R184+1</f>
        <v>2</v>
      </c>
      <c r="W184" s="175">
        <f>V184+1</f>
        <v>3</v>
      </c>
      <c r="X184" s="175">
        <f t="shared" ref="X184:AU185" si="60">W184+1</f>
        <v>4</v>
      </c>
      <c r="Y184" s="175">
        <f t="shared" si="60"/>
        <v>5</v>
      </c>
      <c r="Z184" s="175">
        <f t="shared" si="60"/>
        <v>6</v>
      </c>
      <c r="AA184" s="175">
        <f t="shared" si="60"/>
        <v>7</v>
      </c>
      <c r="AB184" s="175">
        <f t="shared" si="60"/>
        <v>8</v>
      </c>
      <c r="AC184" s="175">
        <f t="shared" si="60"/>
        <v>9</v>
      </c>
      <c r="AD184" s="175">
        <f t="shared" si="60"/>
        <v>10</v>
      </c>
      <c r="AE184" s="175">
        <f t="shared" si="60"/>
        <v>11</v>
      </c>
      <c r="AF184" s="175">
        <f t="shared" si="60"/>
        <v>12</v>
      </c>
      <c r="AG184" s="175">
        <f t="shared" si="60"/>
        <v>13</v>
      </c>
      <c r="AH184" s="175">
        <f t="shared" si="60"/>
        <v>14</v>
      </c>
      <c r="AI184" s="175">
        <f t="shared" si="60"/>
        <v>15</v>
      </c>
      <c r="AJ184" s="175">
        <f t="shared" si="60"/>
        <v>16</v>
      </c>
      <c r="AK184" s="175">
        <f t="shared" si="60"/>
        <v>17</v>
      </c>
      <c r="AL184" s="175">
        <f t="shared" si="60"/>
        <v>18</v>
      </c>
      <c r="AM184" s="175">
        <f t="shared" si="60"/>
        <v>19</v>
      </c>
      <c r="AN184" s="175">
        <f t="shared" si="60"/>
        <v>20</v>
      </c>
      <c r="AO184" s="175">
        <f t="shared" si="60"/>
        <v>21</v>
      </c>
      <c r="AP184" s="175">
        <f t="shared" si="60"/>
        <v>22</v>
      </c>
      <c r="AQ184" s="175">
        <f t="shared" si="60"/>
        <v>23</v>
      </c>
      <c r="AR184" s="175">
        <f t="shared" si="60"/>
        <v>24</v>
      </c>
      <c r="AS184" s="175">
        <f t="shared" si="60"/>
        <v>25</v>
      </c>
      <c r="AT184" s="175">
        <f t="shared" si="60"/>
        <v>26</v>
      </c>
      <c r="AU184" s="175">
        <f t="shared" si="60"/>
        <v>27</v>
      </c>
      <c r="AV184" s="175"/>
      <c r="AW184" s="175"/>
      <c r="AX184" s="175"/>
      <c r="AY184" s="175"/>
      <c r="AZ184" s="179"/>
      <c r="BA184" s="179"/>
      <c r="BB184" s="179"/>
      <c r="BC184" s="179"/>
      <c r="BD184" s="179"/>
      <c r="BE184" s="179"/>
      <c r="BF184" s="179"/>
    </row>
    <row r="185" spans="1:58" ht="15.75" customHeight="1" outlineLevel="1">
      <c r="B185" s="219"/>
      <c r="C185" s="604"/>
      <c r="D185" s="234"/>
      <c r="E185" s="234"/>
      <c r="F185" s="234"/>
      <c r="G185" s="604"/>
      <c r="H185" s="604"/>
      <c r="I185" s="176"/>
      <c r="J185" s="176"/>
      <c r="K185" s="176"/>
      <c r="L185" s="176"/>
      <c r="M185" s="758"/>
      <c r="N185" s="758"/>
      <c r="O185" s="758"/>
      <c r="P185" s="758"/>
      <c r="Q185" s="758">
        <f>Q8</f>
        <v>0</v>
      </c>
      <c r="R185" s="758">
        <f>Q185+1</f>
        <v>1</v>
      </c>
      <c r="S185" s="758"/>
      <c r="T185" s="758"/>
      <c r="U185" s="758">
        <f>$U$8</f>
        <v>0</v>
      </c>
      <c r="V185" s="758">
        <f>R185+1</f>
        <v>2</v>
      </c>
      <c r="W185" s="758">
        <f>V185+1</f>
        <v>3</v>
      </c>
      <c r="X185" s="758">
        <f t="shared" si="60"/>
        <v>4</v>
      </c>
      <c r="Y185" s="758">
        <f t="shared" si="60"/>
        <v>5</v>
      </c>
      <c r="Z185" s="758">
        <f t="shared" si="60"/>
        <v>6</v>
      </c>
      <c r="AA185" s="758">
        <f t="shared" si="60"/>
        <v>7</v>
      </c>
      <c r="AB185" s="758">
        <f t="shared" si="60"/>
        <v>8</v>
      </c>
      <c r="AC185" s="758">
        <f t="shared" si="60"/>
        <v>9</v>
      </c>
      <c r="AD185" s="758">
        <f t="shared" si="60"/>
        <v>10</v>
      </c>
      <c r="AE185" s="758">
        <f t="shared" si="60"/>
        <v>11</v>
      </c>
      <c r="AF185" s="758">
        <f t="shared" si="60"/>
        <v>12</v>
      </c>
      <c r="AG185" s="758">
        <f t="shared" si="60"/>
        <v>13</v>
      </c>
      <c r="AH185" s="758">
        <f t="shared" si="60"/>
        <v>14</v>
      </c>
      <c r="AI185" s="758">
        <f t="shared" si="60"/>
        <v>15</v>
      </c>
      <c r="AJ185" s="758">
        <f t="shared" si="60"/>
        <v>16</v>
      </c>
      <c r="AK185" s="758">
        <f t="shared" si="60"/>
        <v>17</v>
      </c>
      <c r="AL185" s="758">
        <f t="shared" si="60"/>
        <v>18</v>
      </c>
      <c r="AM185" s="758">
        <f t="shared" si="60"/>
        <v>19</v>
      </c>
      <c r="AN185" s="758">
        <f t="shared" si="60"/>
        <v>20</v>
      </c>
      <c r="AO185" s="758">
        <f t="shared" si="60"/>
        <v>21</v>
      </c>
      <c r="AP185" s="758">
        <f t="shared" si="60"/>
        <v>22</v>
      </c>
      <c r="AQ185" s="758">
        <f t="shared" si="60"/>
        <v>23</v>
      </c>
      <c r="AR185" s="758">
        <f t="shared" si="60"/>
        <v>24</v>
      </c>
      <c r="AS185" s="758">
        <f t="shared" si="60"/>
        <v>25</v>
      </c>
      <c r="AT185" s="758">
        <f t="shared" si="60"/>
        <v>26</v>
      </c>
      <c r="AU185" s="758">
        <f t="shared" si="60"/>
        <v>27</v>
      </c>
      <c r="AV185" s="758"/>
      <c r="AW185" s="758"/>
      <c r="AX185" s="758"/>
      <c r="AY185" s="758"/>
      <c r="AZ185" s="179"/>
      <c r="BA185" s="179"/>
      <c r="BB185" s="179"/>
      <c r="BC185" s="179"/>
      <c r="BD185" s="179"/>
      <c r="BE185" s="179"/>
      <c r="BF185" s="179"/>
    </row>
    <row r="186" spans="1:58" ht="15.75" customHeight="1" outlineLevel="1">
      <c r="B186" s="219"/>
      <c r="C186" s="177"/>
      <c r="D186" s="260"/>
      <c r="E186" s="235"/>
      <c r="F186" s="235"/>
      <c r="G186" s="177"/>
      <c r="H186" s="177"/>
      <c r="I186" s="213"/>
      <c r="J186" s="213"/>
      <c r="K186" s="213"/>
      <c r="L186" s="213"/>
      <c r="M186" s="178" t="s">
        <v>499</v>
      </c>
      <c r="N186" s="178" t="s">
        <v>499</v>
      </c>
      <c r="O186" s="178" t="s">
        <v>499</v>
      </c>
      <c r="P186" s="178" t="str">
        <f t="shared" ref="P186:U186" si="61">O186</f>
        <v>($)</v>
      </c>
      <c r="Q186" s="178" t="str">
        <f t="shared" si="61"/>
        <v>($)</v>
      </c>
      <c r="R186" s="178" t="str">
        <f t="shared" si="61"/>
        <v>($)</v>
      </c>
      <c r="S186" s="178" t="str">
        <f t="shared" si="61"/>
        <v>($)</v>
      </c>
      <c r="T186" s="178" t="str">
        <f t="shared" si="61"/>
        <v>($)</v>
      </c>
      <c r="U186" s="178" t="str">
        <f t="shared" si="61"/>
        <v>($)</v>
      </c>
      <c r="V186" s="178" t="str">
        <f>R186</f>
        <v>($)</v>
      </c>
      <c r="W186" s="178" t="str">
        <f>V186</f>
        <v>($)</v>
      </c>
      <c r="X186" s="178" t="str">
        <f t="shared" ref="X186:AU186" si="62">W186</f>
        <v>($)</v>
      </c>
      <c r="Y186" s="178" t="str">
        <f t="shared" si="62"/>
        <v>($)</v>
      </c>
      <c r="Z186" s="178" t="str">
        <f t="shared" si="62"/>
        <v>($)</v>
      </c>
      <c r="AA186" s="178" t="str">
        <f t="shared" si="62"/>
        <v>($)</v>
      </c>
      <c r="AB186" s="178" t="str">
        <f t="shared" si="62"/>
        <v>($)</v>
      </c>
      <c r="AC186" s="178" t="str">
        <f t="shared" si="62"/>
        <v>($)</v>
      </c>
      <c r="AD186" s="178" t="str">
        <f t="shared" si="62"/>
        <v>($)</v>
      </c>
      <c r="AE186" s="178" t="str">
        <f t="shared" si="62"/>
        <v>($)</v>
      </c>
      <c r="AF186" s="178" t="str">
        <f t="shared" si="62"/>
        <v>($)</v>
      </c>
      <c r="AG186" s="178" t="str">
        <f t="shared" si="62"/>
        <v>($)</v>
      </c>
      <c r="AH186" s="178" t="str">
        <f t="shared" si="62"/>
        <v>($)</v>
      </c>
      <c r="AI186" s="178" t="str">
        <f t="shared" si="62"/>
        <v>($)</v>
      </c>
      <c r="AJ186" s="178" t="str">
        <f t="shared" si="62"/>
        <v>($)</v>
      </c>
      <c r="AK186" s="178" t="str">
        <f t="shared" si="62"/>
        <v>($)</v>
      </c>
      <c r="AL186" s="178" t="str">
        <f t="shared" si="62"/>
        <v>($)</v>
      </c>
      <c r="AM186" s="178" t="str">
        <f t="shared" si="62"/>
        <v>($)</v>
      </c>
      <c r="AN186" s="178" t="str">
        <f t="shared" si="62"/>
        <v>($)</v>
      </c>
      <c r="AO186" s="178" t="str">
        <f t="shared" si="62"/>
        <v>($)</v>
      </c>
      <c r="AP186" s="178" t="str">
        <f t="shared" si="62"/>
        <v>($)</v>
      </c>
      <c r="AQ186" s="178" t="str">
        <f t="shared" si="62"/>
        <v>($)</v>
      </c>
      <c r="AR186" s="178" t="str">
        <f t="shared" si="62"/>
        <v>($)</v>
      </c>
      <c r="AS186" s="178" t="str">
        <f t="shared" si="62"/>
        <v>($)</v>
      </c>
      <c r="AT186" s="178" t="str">
        <f t="shared" si="62"/>
        <v>($)</v>
      </c>
      <c r="AU186" s="178" t="str">
        <f t="shared" si="62"/>
        <v>($)</v>
      </c>
      <c r="AV186" s="178"/>
      <c r="AW186" s="178"/>
      <c r="AX186" s="178"/>
      <c r="AY186" s="178"/>
      <c r="AZ186" s="179"/>
      <c r="BA186" s="179"/>
      <c r="BB186" s="179"/>
      <c r="BC186" s="179"/>
      <c r="BD186" s="179"/>
      <c r="BE186" s="179"/>
      <c r="BF186" s="179"/>
    </row>
    <row r="187" spans="1:58" s="214" customFormat="1" ht="15.75" customHeight="1" outlineLevel="1">
      <c r="C187" s="599"/>
      <c r="D187" s="179"/>
      <c r="E187" s="179"/>
      <c r="F187" s="179"/>
      <c r="G187" s="179"/>
      <c r="K187" s="179"/>
      <c r="L187" s="179"/>
      <c r="M187" s="185"/>
      <c r="U187" s="214">
        <f t="shared" si="44"/>
        <v>0</v>
      </c>
      <c r="AZ187" s="179"/>
      <c r="BA187" s="179"/>
      <c r="BB187" s="179"/>
      <c r="BC187" s="179"/>
      <c r="BD187" s="179"/>
      <c r="BE187" s="179"/>
      <c r="BF187" s="179"/>
    </row>
    <row r="188" spans="1:58" s="225" customFormat="1" ht="15.75" customHeight="1" outlineLevel="1">
      <c r="C188" s="225" t="s">
        <v>1901</v>
      </c>
      <c r="M188" s="194"/>
      <c r="R188" s="876">
        <f>SUM(R189:R191)</f>
        <v>976822.72576390253</v>
      </c>
      <c r="S188" s="876"/>
      <c r="T188" s="876">
        <f>SUM(T189:T191)</f>
        <v>976822.72576390253</v>
      </c>
      <c r="U188" s="876">
        <f t="shared" si="44"/>
        <v>976822.72576390253</v>
      </c>
      <c r="V188" s="876">
        <f t="shared" ref="V188:AU188" si="63">SUM(V189:V191)</f>
        <v>6812140.9555607168</v>
      </c>
      <c r="W188" s="876">
        <f t="shared" si="63"/>
        <v>7931944.9482556293</v>
      </c>
      <c r="X188" s="876">
        <f t="shared" si="63"/>
        <v>7931944.9482556293</v>
      </c>
      <c r="Y188" s="876">
        <f t="shared" si="63"/>
        <v>7931944.9482556293</v>
      </c>
      <c r="Z188" s="876">
        <f t="shared" si="63"/>
        <v>7931944.9482556293</v>
      </c>
      <c r="AA188" s="876">
        <f t="shared" si="63"/>
        <v>7931944.9482556293</v>
      </c>
      <c r="AB188" s="876">
        <f t="shared" si="63"/>
        <v>7931944.9482556293</v>
      </c>
      <c r="AC188" s="876">
        <f t="shared" si="63"/>
        <v>7931944.9482556293</v>
      </c>
      <c r="AD188" s="876">
        <f t="shared" si="63"/>
        <v>7931944.9482556293</v>
      </c>
      <c r="AE188" s="876">
        <f t="shared" si="63"/>
        <v>7931944.9482556293</v>
      </c>
      <c r="AF188" s="876">
        <f t="shared" si="63"/>
        <v>7931944.9482556293</v>
      </c>
      <c r="AG188" s="876">
        <f t="shared" si="63"/>
        <v>7931944.9482556293</v>
      </c>
      <c r="AH188" s="876">
        <f t="shared" si="63"/>
        <v>7931944.9482556293</v>
      </c>
      <c r="AI188" s="876">
        <f t="shared" si="63"/>
        <v>7931944.9482556293</v>
      </c>
      <c r="AJ188" s="876">
        <f t="shared" si="63"/>
        <v>7931944.9482556293</v>
      </c>
      <c r="AK188" s="876">
        <f t="shared" si="63"/>
        <v>7931944.9482556293</v>
      </c>
      <c r="AL188" s="876">
        <f t="shared" si="63"/>
        <v>7931944.9482556293</v>
      </c>
      <c r="AM188" s="876">
        <f t="shared" si="63"/>
        <v>7931944.9482556293</v>
      </c>
      <c r="AN188" s="876">
        <f t="shared" si="63"/>
        <v>7931944.9482556293</v>
      </c>
      <c r="AO188" s="876">
        <f t="shared" si="63"/>
        <v>7931944.9482556293</v>
      </c>
      <c r="AP188" s="876">
        <f t="shared" si="63"/>
        <v>7931944.9482556293</v>
      </c>
      <c r="AQ188" s="876">
        <f t="shared" si="63"/>
        <v>7931944.9482556293</v>
      </c>
      <c r="AR188" s="876">
        <f t="shared" si="63"/>
        <v>7931944.9482556293</v>
      </c>
      <c r="AS188" s="876">
        <f t="shared" si="63"/>
        <v>7931944.9482556293</v>
      </c>
      <c r="AT188" s="876">
        <f t="shared" si="63"/>
        <v>7931944.9482556293</v>
      </c>
      <c r="AU188" s="876">
        <f t="shared" si="63"/>
        <v>7931944.9482556293</v>
      </c>
    </row>
    <row r="189" spans="1:58" s="214" customFormat="1" ht="15.75" customHeight="1" outlineLevel="1">
      <c r="C189" s="1213" t="s">
        <v>941</v>
      </c>
      <c r="D189" s="179"/>
      <c r="E189" s="179"/>
      <c r="F189" s="179"/>
      <c r="G189" s="179"/>
      <c r="K189" s="179"/>
      <c r="L189" s="179"/>
      <c r="M189" s="185"/>
      <c r="R189" s="1203">
        <f>R53*R$147</f>
        <v>218395.32486591316</v>
      </c>
      <c r="S189" s="1203"/>
      <c r="T189" s="1203">
        <f>T53*T$147</f>
        <v>218395.32486591316</v>
      </c>
      <c r="U189" s="1203">
        <f t="shared" si="44"/>
        <v>218395.32486591316</v>
      </c>
      <c r="V189" s="1203">
        <f t="shared" ref="V189:AU189" si="64">V53*V$147</f>
        <v>1523039.6445359327</v>
      </c>
      <c r="W189" s="1203">
        <f t="shared" si="64"/>
        <v>1773402.3258295108</v>
      </c>
      <c r="X189" s="1203">
        <f t="shared" si="64"/>
        <v>1773402.3258295108</v>
      </c>
      <c r="Y189" s="1203">
        <f t="shared" si="64"/>
        <v>1773402.3258295108</v>
      </c>
      <c r="Z189" s="1203">
        <f t="shared" si="64"/>
        <v>1773402.3258295108</v>
      </c>
      <c r="AA189" s="1203">
        <f t="shared" si="64"/>
        <v>1773402.3258295108</v>
      </c>
      <c r="AB189" s="1203">
        <f t="shared" si="64"/>
        <v>1773402.3258295108</v>
      </c>
      <c r="AC189" s="1203">
        <f t="shared" si="64"/>
        <v>1773402.3258295108</v>
      </c>
      <c r="AD189" s="1203">
        <f t="shared" si="64"/>
        <v>1773402.3258295108</v>
      </c>
      <c r="AE189" s="1203">
        <f t="shared" si="64"/>
        <v>1773402.3258295108</v>
      </c>
      <c r="AF189" s="1203">
        <f t="shared" si="64"/>
        <v>1773402.3258295108</v>
      </c>
      <c r="AG189" s="1203">
        <f t="shared" si="64"/>
        <v>1773402.3258295108</v>
      </c>
      <c r="AH189" s="1203">
        <f t="shared" si="64"/>
        <v>1773402.3258295108</v>
      </c>
      <c r="AI189" s="1203">
        <f t="shared" si="64"/>
        <v>1773402.3258295108</v>
      </c>
      <c r="AJ189" s="1203">
        <f t="shared" si="64"/>
        <v>1773402.3258295108</v>
      </c>
      <c r="AK189" s="1203">
        <f t="shared" si="64"/>
        <v>1773402.3258295108</v>
      </c>
      <c r="AL189" s="1203">
        <f t="shared" si="64"/>
        <v>1773402.3258295108</v>
      </c>
      <c r="AM189" s="1203">
        <f t="shared" si="64"/>
        <v>1773402.3258295108</v>
      </c>
      <c r="AN189" s="1203">
        <f t="shared" si="64"/>
        <v>1773402.3258295108</v>
      </c>
      <c r="AO189" s="1203">
        <f t="shared" si="64"/>
        <v>1773402.3258295108</v>
      </c>
      <c r="AP189" s="1203">
        <f t="shared" si="64"/>
        <v>1773402.3258295108</v>
      </c>
      <c r="AQ189" s="1203">
        <f t="shared" si="64"/>
        <v>1773402.3258295108</v>
      </c>
      <c r="AR189" s="1203">
        <f t="shared" si="64"/>
        <v>1773402.3258295108</v>
      </c>
      <c r="AS189" s="1203">
        <f t="shared" si="64"/>
        <v>1773402.3258295108</v>
      </c>
      <c r="AT189" s="1203">
        <f t="shared" si="64"/>
        <v>1773402.3258295108</v>
      </c>
      <c r="AU189" s="1203">
        <f t="shared" si="64"/>
        <v>1773402.3258295108</v>
      </c>
      <c r="AZ189" s="179"/>
      <c r="BA189" s="179"/>
      <c r="BB189" s="179"/>
      <c r="BC189" s="179"/>
      <c r="BD189" s="179"/>
      <c r="BE189" s="179"/>
      <c r="BF189" s="179"/>
    </row>
    <row r="190" spans="1:58" s="214" customFormat="1" ht="15.75" customHeight="1" outlineLevel="1">
      <c r="C190" s="1213" t="s">
        <v>942</v>
      </c>
      <c r="D190" s="179"/>
      <c r="E190" s="179"/>
      <c r="F190" s="179"/>
      <c r="G190" s="179"/>
      <c r="K190" s="179"/>
      <c r="L190" s="179"/>
      <c r="M190" s="185"/>
      <c r="R190" s="1203">
        <f>R54*R$147</f>
        <v>174716.25989273054</v>
      </c>
      <c r="S190" s="1203"/>
      <c r="T190" s="1203">
        <f>T54*T$147</f>
        <v>174716.25989273054</v>
      </c>
      <c r="U190" s="1203">
        <f t="shared" si="44"/>
        <v>174716.25989273054</v>
      </c>
      <c r="V190" s="1203">
        <f t="shared" ref="V190:AU190" si="65">V54*V$147</f>
        <v>1218431.7156287462</v>
      </c>
      <c r="W190" s="1203">
        <f t="shared" si="65"/>
        <v>1418721.8606636084</v>
      </c>
      <c r="X190" s="1203">
        <f t="shared" si="65"/>
        <v>1418721.8606636084</v>
      </c>
      <c r="Y190" s="1203">
        <f t="shared" si="65"/>
        <v>1418721.8606636084</v>
      </c>
      <c r="Z190" s="1203">
        <f t="shared" si="65"/>
        <v>1418721.8606636084</v>
      </c>
      <c r="AA190" s="1203">
        <f t="shared" si="65"/>
        <v>1418721.8606636084</v>
      </c>
      <c r="AB190" s="1203">
        <f t="shared" si="65"/>
        <v>1418721.8606636084</v>
      </c>
      <c r="AC190" s="1203">
        <f t="shared" si="65"/>
        <v>1418721.8606636084</v>
      </c>
      <c r="AD190" s="1203">
        <f t="shared" si="65"/>
        <v>1418721.8606636084</v>
      </c>
      <c r="AE190" s="1203">
        <f t="shared" si="65"/>
        <v>1418721.8606636084</v>
      </c>
      <c r="AF190" s="1203">
        <f t="shared" si="65"/>
        <v>1418721.8606636084</v>
      </c>
      <c r="AG190" s="1203">
        <f t="shared" si="65"/>
        <v>1418721.8606636084</v>
      </c>
      <c r="AH190" s="1203">
        <f t="shared" si="65"/>
        <v>1418721.8606636084</v>
      </c>
      <c r="AI190" s="1203">
        <f t="shared" si="65"/>
        <v>1418721.8606636084</v>
      </c>
      <c r="AJ190" s="1203">
        <f t="shared" si="65"/>
        <v>1418721.8606636084</v>
      </c>
      <c r="AK190" s="1203">
        <f t="shared" si="65"/>
        <v>1418721.8606636084</v>
      </c>
      <c r="AL190" s="1203">
        <f t="shared" si="65"/>
        <v>1418721.8606636084</v>
      </c>
      <c r="AM190" s="1203">
        <f t="shared" si="65"/>
        <v>1418721.8606636084</v>
      </c>
      <c r="AN190" s="1203">
        <f t="shared" si="65"/>
        <v>1418721.8606636084</v>
      </c>
      <c r="AO190" s="1203">
        <f t="shared" si="65"/>
        <v>1418721.8606636084</v>
      </c>
      <c r="AP190" s="1203">
        <f t="shared" si="65"/>
        <v>1418721.8606636084</v>
      </c>
      <c r="AQ190" s="1203">
        <f t="shared" si="65"/>
        <v>1418721.8606636084</v>
      </c>
      <c r="AR190" s="1203">
        <f t="shared" si="65"/>
        <v>1418721.8606636084</v>
      </c>
      <c r="AS190" s="1203">
        <f t="shared" si="65"/>
        <v>1418721.8606636084</v>
      </c>
      <c r="AT190" s="1203">
        <f t="shared" si="65"/>
        <v>1418721.8606636084</v>
      </c>
      <c r="AU190" s="1203">
        <f t="shared" si="65"/>
        <v>1418721.8606636084</v>
      </c>
      <c r="AZ190" s="179"/>
      <c r="BA190" s="179"/>
      <c r="BB190" s="179"/>
      <c r="BC190" s="179"/>
      <c r="BD190" s="179"/>
      <c r="BE190" s="179"/>
      <c r="BF190" s="179"/>
    </row>
    <row r="191" spans="1:58" s="214" customFormat="1" ht="15.75" customHeight="1" outlineLevel="1">
      <c r="C191" s="1213" t="s">
        <v>943</v>
      </c>
      <c r="D191" s="179"/>
      <c r="E191" s="179"/>
      <c r="F191" s="179"/>
      <c r="G191" s="179"/>
      <c r="K191" s="179"/>
      <c r="L191" s="179"/>
      <c r="M191" s="185"/>
      <c r="R191" s="1203">
        <f>R55*R$147</f>
        <v>583711.14100525877</v>
      </c>
      <c r="S191" s="1203"/>
      <c r="T191" s="1203">
        <f>T55*T$147</f>
        <v>583711.14100525877</v>
      </c>
      <c r="U191" s="1203">
        <f t="shared" si="44"/>
        <v>583711.14100525877</v>
      </c>
      <c r="V191" s="1203">
        <f t="shared" ref="V191:AU191" si="66">V55*V$147</f>
        <v>4070669.5953960381</v>
      </c>
      <c r="W191" s="1203">
        <f t="shared" si="66"/>
        <v>4739820.7617625101</v>
      </c>
      <c r="X191" s="1203">
        <f t="shared" si="66"/>
        <v>4739820.7617625101</v>
      </c>
      <c r="Y191" s="1203">
        <f t="shared" si="66"/>
        <v>4739820.7617625101</v>
      </c>
      <c r="Z191" s="1203">
        <f t="shared" si="66"/>
        <v>4739820.7617625101</v>
      </c>
      <c r="AA191" s="1203">
        <f t="shared" si="66"/>
        <v>4739820.7617625101</v>
      </c>
      <c r="AB191" s="1203">
        <f t="shared" si="66"/>
        <v>4739820.7617625101</v>
      </c>
      <c r="AC191" s="1203">
        <f t="shared" si="66"/>
        <v>4739820.7617625101</v>
      </c>
      <c r="AD191" s="1203">
        <f t="shared" si="66"/>
        <v>4739820.7617625101</v>
      </c>
      <c r="AE191" s="1203">
        <f t="shared" si="66"/>
        <v>4739820.7617625101</v>
      </c>
      <c r="AF191" s="1203">
        <f t="shared" si="66"/>
        <v>4739820.7617625101</v>
      </c>
      <c r="AG191" s="1203">
        <f t="shared" si="66"/>
        <v>4739820.7617625101</v>
      </c>
      <c r="AH191" s="1203">
        <f t="shared" si="66"/>
        <v>4739820.7617625101</v>
      </c>
      <c r="AI191" s="1203">
        <f t="shared" si="66"/>
        <v>4739820.7617625101</v>
      </c>
      <c r="AJ191" s="1203">
        <f t="shared" si="66"/>
        <v>4739820.7617625101</v>
      </c>
      <c r="AK191" s="1203">
        <f t="shared" si="66"/>
        <v>4739820.7617625101</v>
      </c>
      <c r="AL191" s="1203">
        <f t="shared" si="66"/>
        <v>4739820.7617625101</v>
      </c>
      <c r="AM191" s="1203">
        <f t="shared" si="66"/>
        <v>4739820.7617625101</v>
      </c>
      <c r="AN191" s="1203">
        <f t="shared" si="66"/>
        <v>4739820.7617625101</v>
      </c>
      <c r="AO191" s="1203">
        <f t="shared" si="66"/>
        <v>4739820.7617625101</v>
      </c>
      <c r="AP191" s="1203">
        <f t="shared" si="66"/>
        <v>4739820.7617625101</v>
      </c>
      <c r="AQ191" s="1203">
        <f t="shared" si="66"/>
        <v>4739820.7617625101</v>
      </c>
      <c r="AR191" s="1203">
        <f t="shared" si="66"/>
        <v>4739820.7617625101</v>
      </c>
      <c r="AS191" s="1203">
        <f t="shared" si="66"/>
        <v>4739820.7617625101</v>
      </c>
      <c r="AT191" s="1203">
        <f t="shared" si="66"/>
        <v>4739820.7617625101</v>
      </c>
      <c r="AU191" s="1203">
        <f t="shared" si="66"/>
        <v>4739820.7617625101</v>
      </c>
      <c r="AZ191" s="179"/>
      <c r="BA191" s="179"/>
      <c r="BB191" s="179"/>
      <c r="BC191" s="179"/>
      <c r="BD191" s="179"/>
      <c r="BE191" s="179"/>
      <c r="BF191" s="179"/>
    </row>
    <row r="192" spans="1:58" s="214" customFormat="1" ht="15.75" customHeight="1" outlineLevel="1">
      <c r="C192" s="1213"/>
      <c r="D192" s="179"/>
      <c r="E192" s="179"/>
      <c r="F192" s="179"/>
      <c r="G192" s="179"/>
      <c r="K192" s="179"/>
      <c r="L192" s="179"/>
      <c r="M192" s="185"/>
      <c r="R192" s="1203"/>
      <c r="S192" s="1203"/>
      <c r="T192" s="1203"/>
      <c r="U192" s="1203">
        <f t="shared" si="44"/>
        <v>0</v>
      </c>
      <c r="V192" s="1203"/>
      <c r="W192" s="1203"/>
      <c r="X192" s="1203"/>
      <c r="Y192" s="1203"/>
      <c r="Z192" s="1203"/>
      <c r="AA192" s="1203"/>
      <c r="AB192" s="1203"/>
      <c r="AC192" s="1203"/>
      <c r="AD192" s="1203"/>
      <c r="AE192" s="1203"/>
      <c r="AF192" s="1203"/>
      <c r="AG192" s="1203"/>
      <c r="AH192" s="1203"/>
      <c r="AI192" s="1203"/>
      <c r="AJ192" s="1203"/>
      <c r="AK192" s="1203"/>
      <c r="AL192" s="1203"/>
      <c r="AM192" s="1203"/>
      <c r="AN192" s="1203"/>
      <c r="AO192" s="1203"/>
      <c r="AP192" s="1203"/>
      <c r="AQ192" s="1203"/>
      <c r="AR192" s="1203"/>
      <c r="AS192" s="1203"/>
      <c r="AT192" s="1203"/>
      <c r="AU192" s="1203"/>
      <c r="AZ192" s="179"/>
      <c r="BA192" s="179"/>
      <c r="BB192" s="179"/>
      <c r="BC192" s="179"/>
      <c r="BD192" s="179"/>
      <c r="BE192" s="179"/>
      <c r="BF192" s="179"/>
    </row>
    <row r="193" spans="1:58" s="214" customFormat="1" ht="15.75" customHeight="1" outlineLevel="1">
      <c r="C193" s="1214" t="s">
        <v>944</v>
      </c>
      <c r="E193" s="179"/>
      <c r="F193" s="179"/>
      <c r="G193" s="179"/>
      <c r="K193" s="179"/>
      <c r="L193" s="179"/>
      <c r="M193" s="185"/>
      <c r="R193" s="876">
        <f>R194</f>
        <v>3970.8240884711481</v>
      </c>
      <c r="S193" s="876"/>
      <c r="T193" s="876">
        <f>T194</f>
        <v>3970.8240884711481</v>
      </c>
      <c r="U193" s="876">
        <f t="shared" si="44"/>
        <v>3970.8240884711481</v>
      </c>
      <c r="V193" s="876">
        <f t="shared" ref="V193:AU193" si="67">V194</f>
        <v>27691.629900653319</v>
      </c>
      <c r="W193" s="876">
        <f t="shared" si="67"/>
        <v>32243.678651445647</v>
      </c>
      <c r="X193" s="876">
        <f t="shared" si="67"/>
        <v>32243.678651445647</v>
      </c>
      <c r="Y193" s="876">
        <f t="shared" si="67"/>
        <v>32243.678651445647</v>
      </c>
      <c r="Z193" s="876">
        <f t="shared" si="67"/>
        <v>32243.678651445647</v>
      </c>
      <c r="AA193" s="876">
        <f t="shared" si="67"/>
        <v>32243.678651445647</v>
      </c>
      <c r="AB193" s="876">
        <f t="shared" si="67"/>
        <v>32243.678651445647</v>
      </c>
      <c r="AC193" s="876">
        <f t="shared" si="67"/>
        <v>32243.678651445647</v>
      </c>
      <c r="AD193" s="876">
        <f t="shared" si="67"/>
        <v>32243.678651445647</v>
      </c>
      <c r="AE193" s="876">
        <f t="shared" si="67"/>
        <v>32243.678651445647</v>
      </c>
      <c r="AF193" s="876">
        <f t="shared" si="67"/>
        <v>32243.678651445647</v>
      </c>
      <c r="AG193" s="876">
        <f t="shared" si="67"/>
        <v>32243.678651445647</v>
      </c>
      <c r="AH193" s="876">
        <f t="shared" si="67"/>
        <v>32243.678651445647</v>
      </c>
      <c r="AI193" s="876">
        <f t="shared" si="67"/>
        <v>32243.678651445647</v>
      </c>
      <c r="AJ193" s="876">
        <f t="shared" si="67"/>
        <v>32243.678651445647</v>
      </c>
      <c r="AK193" s="876">
        <f t="shared" si="67"/>
        <v>32243.678651445647</v>
      </c>
      <c r="AL193" s="876">
        <f t="shared" si="67"/>
        <v>32243.678651445647</v>
      </c>
      <c r="AM193" s="876">
        <f t="shared" si="67"/>
        <v>32243.678651445647</v>
      </c>
      <c r="AN193" s="876">
        <f t="shared" si="67"/>
        <v>32243.678651445647</v>
      </c>
      <c r="AO193" s="876">
        <f t="shared" si="67"/>
        <v>32243.678651445647</v>
      </c>
      <c r="AP193" s="876">
        <f t="shared" si="67"/>
        <v>32243.678651445647</v>
      </c>
      <c r="AQ193" s="876">
        <f t="shared" si="67"/>
        <v>32243.678651445647</v>
      </c>
      <c r="AR193" s="876">
        <f t="shared" si="67"/>
        <v>32243.678651445647</v>
      </c>
      <c r="AS193" s="876">
        <f t="shared" si="67"/>
        <v>32243.678651445647</v>
      </c>
      <c r="AT193" s="876">
        <f t="shared" si="67"/>
        <v>32243.678651445647</v>
      </c>
      <c r="AU193" s="876">
        <f t="shared" si="67"/>
        <v>32243.678651445647</v>
      </c>
      <c r="AZ193" s="179"/>
      <c r="BA193" s="179"/>
      <c r="BB193" s="179"/>
      <c r="BC193" s="179"/>
      <c r="BD193" s="179"/>
      <c r="BE193" s="179"/>
      <c r="BF193" s="179"/>
    </row>
    <row r="194" spans="1:58" s="214" customFormat="1" ht="15.75" customHeight="1" outlineLevel="1">
      <c r="C194" s="184" t="s">
        <v>950</v>
      </c>
      <c r="D194" s="181"/>
      <c r="E194" s="179"/>
      <c r="F194" s="179"/>
      <c r="G194" s="179"/>
      <c r="K194" s="179"/>
      <c r="L194" s="179"/>
      <c r="M194" s="185"/>
      <c r="R194" s="1203">
        <f>R64*R168</f>
        <v>3970.8240884711481</v>
      </c>
      <c r="S194" s="1203"/>
      <c r="T194" s="1203">
        <f>T64*T168</f>
        <v>3970.8240884711481</v>
      </c>
      <c r="U194" s="1203">
        <f t="shared" si="44"/>
        <v>3970.8240884711481</v>
      </c>
      <c r="V194" s="1203">
        <f t="shared" ref="V194:AU194" si="68">V64*V168</f>
        <v>27691.629900653319</v>
      </c>
      <c r="W194" s="1203">
        <f t="shared" si="68"/>
        <v>32243.678651445647</v>
      </c>
      <c r="X194" s="1203">
        <f t="shared" si="68"/>
        <v>32243.678651445647</v>
      </c>
      <c r="Y194" s="1203">
        <f t="shared" si="68"/>
        <v>32243.678651445647</v>
      </c>
      <c r="Z194" s="1203">
        <f t="shared" si="68"/>
        <v>32243.678651445647</v>
      </c>
      <c r="AA194" s="1203">
        <f t="shared" si="68"/>
        <v>32243.678651445647</v>
      </c>
      <c r="AB194" s="1203">
        <f t="shared" si="68"/>
        <v>32243.678651445647</v>
      </c>
      <c r="AC194" s="1203">
        <f t="shared" si="68"/>
        <v>32243.678651445647</v>
      </c>
      <c r="AD194" s="1203">
        <f t="shared" si="68"/>
        <v>32243.678651445647</v>
      </c>
      <c r="AE194" s="1203">
        <f t="shared" si="68"/>
        <v>32243.678651445647</v>
      </c>
      <c r="AF194" s="1203">
        <f t="shared" si="68"/>
        <v>32243.678651445647</v>
      </c>
      <c r="AG194" s="1203">
        <f t="shared" si="68"/>
        <v>32243.678651445647</v>
      </c>
      <c r="AH194" s="1203">
        <f t="shared" si="68"/>
        <v>32243.678651445647</v>
      </c>
      <c r="AI194" s="1203">
        <f t="shared" si="68"/>
        <v>32243.678651445647</v>
      </c>
      <c r="AJ194" s="1203">
        <f t="shared" si="68"/>
        <v>32243.678651445647</v>
      </c>
      <c r="AK194" s="1203">
        <f t="shared" si="68"/>
        <v>32243.678651445647</v>
      </c>
      <c r="AL194" s="1203">
        <f t="shared" si="68"/>
        <v>32243.678651445647</v>
      </c>
      <c r="AM194" s="1203">
        <f t="shared" si="68"/>
        <v>32243.678651445647</v>
      </c>
      <c r="AN194" s="1203">
        <f t="shared" si="68"/>
        <v>32243.678651445647</v>
      </c>
      <c r="AO194" s="1203">
        <f t="shared" si="68"/>
        <v>32243.678651445647</v>
      </c>
      <c r="AP194" s="1203">
        <f t="shared" si="68"/>
        <v>32243.678651445647</v>
      </c>
      <c r="AQ194" s="1203">
        <f t="shared" si="68"/>
        <v>32243.678651445647</v>
      </c>
      <c r="AR194" s="1203">
        <f t="shared" si="68"/>
        <v>32243.678651445647</v>
      </c>
      <c r="AS194" s="1203">
        <f t="shared" si="68"/>
        <v>32243.678651445647</v>
      </c>
      <c r="AT194" s="1203">
        <f t="shared" si="68"/>
        <v>32243.678651445647</v>
      </c>
      <c r="AU194" s="1203">
        <f t="shared" si="68"/>
        <v>32243.678651445647</v>
      </c>
      <c r="AZ194" s="179"/>
      <c r="BA194" s="179"/>
      <c r="BB194" s="179"/>
      <c r="BC194" s="179"/>
      <c r="BD194" s="179"/>
      <c r="BE194" s="179"/>
      <c r="BF194" s="179"/>
    </row>
    <row r="195" spans="1:58" s="225" customFormat="1" ht="15.75" customHeight="1" outlineLevel="1">
      <c r="C195" s="1214"/>
      <c r="D195" s="207"/>
      <c r="M195" s="194"/>
      <c r="U195" s="225">
        <f t="shared" si="44"/>
        <v>0</v>
      </c>
    </row>
    <row r="196" spans="1:58" s="214" customFormat="1" ht="15.75" customHeight="1" outlineLevel="1">
      <c r="C196" s="1214" t="s">
        <v>945</v>
      </c>
      <c r="D196" s="181"/>
      <c r="E196" s="179"/>
      <c r="F196" s="179"/>
      <c r="G196" s="179"/>
      <c r="K196" s="179"/>
      <c r="L196" s="179"/>
      <c r="M196" s="185"/>
      <c r="R196" s="876">
        <f>R198+R200+R201</f>
        <v>6205400.5792693794</v>
      </c>
      <c r="S196" s="876"/>
      <c r="T196" s="876">
        <f>T198+T200+T201</f>
        <v>6205400.5792693794</v>
      </c>
      <c r="U196" s="876">
        <f t="shared" si="44"/>
        <v>6205400.5792693794</v>
      </c>
      <c r="V196" s="876">
        <f t="shared" ref="V196:AU196" si="69">V198+V200+V201</f>
        <v>43275061.397290088</v>
      </c>
      <c r="W196" s="876">
        <f t="shared" si="69"/>
        <v>50388770.120132297</v>
      </c>
      <c r="X196" s="876">
        <f t="shared" si="69"/>
        <v>50388770.120132297</v>
      </c>
      <c r="Y196" s="876">
        <f t="shared" si="69"/>
        <v>50388770.120132297</v>
      </c>
      <c r="Z196" s="876">
        <f t="shared" si="69"/>
        <v>50388770.120132297</v>
      </c>
      <c r="AA196" s="876">
        <f t="shared" si="69"/>
        <v>50388770.120132297</v>
      </c>
      <c r="AB196" s="876">
        <f t="shared" si="69"/>
        <v>50388770.120132297</v>
      </c>
      <c r="AC196" s="876">
        <f t="shared" si="69"/>
        <v>50388770.120132297</v>
      </c>
      <c r="AD196" s="876">
        <f t="shared" si="69"/>
        <v>50388770.120132297</v>
      </c>
      <c r="AE196" s="876">
        <f t="shared" si="69"/>
        <v>50388770.120132297</v>
      </c>
      <c r="AF196" s="876">
        <f t="shared" si="69"/>
        <v>50388770.120132297</v>
      </c>
      <c r="AG196" s="876">
        <f t="shared" si="69"/>
        <v>50388770.120132297</v>
      </c>
      <c r="AH196" s="876">
        <f t="shared" si="69"/>
        <v>50388770.120132297</v>
      </c>
      <c r="AI196" s="876">
        <f t="shared" si="69"/>
        <v>50388770.120132297</v>
      </c>
      <c r="AJ196" s="876">
        <f t="shared" si="69"/>
        <v>50388770.120132297</v>
      </c>
      <c r="AK196" s="876">
        <f t="shared" si="69"/>
        <v>50388770.120132297</v>
      </c>
      <c r="AL196" s="876">
        <f t="shared" si="69"/>
        <v>50388770.120132297</v>
      </c>
      <c r="AM196" s="876">
        <f t="shared" si="69"/>
        <v>50388770.120132297</v>
      </c>
      <c r="AN196" s="876">
        <f t="shared" si="69"/>
        <v>50388770.120132297</v>
      </c>
      <c r="AO196" s="876">
        <f t="shared" si="69"/>
        <v>50388770.120132297</v>
      </c>
      <c r="AP196" s="876">
        <f t="shared" si="69"/>
        <v>50388770.120132297</v>
      </c>
      <c r="AQ196" s="876">
        <f t="shared" si="69"/>
        <v>50388770.120132297</v>
      </c>
      <c r="AR196" s="876">
        <f t="shared" si="69"/>
        <v>50388770.120132297</v>
      </c>
      <c r="AS196" s="876">
        <f t="shared" si="69"/>
        <v>50388770.120132297</v>
      </c>
      <c r="AT196" s="876">
        <f t="shared" si="69"/>
        <v>50388770.120132297</v>
      </c>
      <c r="AU196" s="876">
        <f t="shared" si="69"/>
        <v>50388770.120132297</v>
      </c>
      <c r="AZ196" s="179"/>
      <c r="BA196" s="179"/>
      <c r="BB196" s="179"/>
      <c r="BC196" s="179"/>
      <c r="BD196" s="179"/>
      <c r="BE196" s="179"/>
      <c r="BF196" s="179"/>
    </row>
    <row r="197" spans="1:58" s="214" customFormat="1" ht="15.75" customHeight="1" outlineLevel="1">
      <c r="C197" s="1216" t="s">
        <v>1905</v>
      </c>
      <c r="D197" s="181"/>
      <c r="E197" s="179"/>
      <c r="F197" s="179"/>
      <c r="G197" s="179"/>
      <c r="K197" s="179"/>
      <c r="L197" s="179"/>
      <c r="M197" s="185"/>
      <c r="R197" s="1203">
        <f>R67*R169</f>
        <v>33121.96732996733</v>
      </c>
      <c r="S197" s="1203"/>
      <c r="T197" s="1203">
        <f>T67*T169</f>
        <v>33121.96732996733</v>
      </c>
      <c r="U197" s="1203">
        <f t="shared" si="44"/>
        <v>33121.96732996733</v>
      </c>
      <c r="V197" s="1203">
        <f t="shared" ref="V197:AU197" si="70">V67*V169</f>
        <v>230985.11554464951</v>
      </c>
      <c r="W197" s="1203">
        <f t="shared" si="70"/>
        <v>268955.27152459195</v>
      </c>
      <c r="X197" s="1203">
        <f t="shared" si="70"/>
        <v>268955.27152459195</v>
      </c>
      <c r="Y197" s="1203">
        <f t="shared" si="70"/>
        <v>268955.27152459195</v>
      </c>
      <c r="Z197" s="1203">
        <f t="shared" si="70"/>
        <v>268955.27152459195</v>
      </c>
      <c r="AA197" s="1203">
        <f t="shared" si="70"/>
        <v>268955.27152459195</v>
      </c>
      <c r="AB197" s="1203">
        <f t="shared" si="70"/>
        <v>268955.27152459195</v>
      </c>
      <c r="AC197" s="1203">
        <f t="shared" si="70"/>
        <v>268955.27152459195</v>
      </c>
      <c r="AD197" s="1203">
        <f t="shared" si="70"/>
        <v>268955.27152459195</v>
      </c>
      <c r="AE197" s="1203">
        <f t="shared" si="70"/>
        <v>268955.27152459195</v>
      </c>
      <c r="AF197" s="1203">
        <f t="shared" si="70"/>
        <v>268955.27152459195</v>
      </c>
      <c r="AG197" s="1203">
        <f t="shared" si="70"/>
        <v>268955.27152459195</v>
      </c>
      <c r="AH197" s="1203">
        <f t="shared" si="70"/>
        <v>268955.27152459195</v>
      </c>
      <c r="AI197" s="1203">
        <f t="shared" si="70"/>
        <v>268955.27152459195</v>
      </c>
      <c r="AJ197" s="1203">
        <f t="shared" si="70"/>
        <v>268955.27152459195</v>
      </c>
      <c r="AK197" s="1203">
        <f t="shared" si="70"/>
        <v>268955.27152459195</v>
      </c>
      <c r="AL197" s="1203">
        <f t="shared" si="70"/>
        <v>268955.27152459195</v>
      </c>
      <c r="AM197" s="1203">
        <f t="shared" si="70"/>
        <v>268955.27152459195</v>
      </c>
      <c r="AN197" s="1203">
        <f t="shared" si="70"/>
        <v>268955.27152459195</v>
      </c>
      <c r="AO197" s="1203">
        <f t="shared" si="70"/>
        <v>268955.27152459195</v>
      </c>
      <c r="AP197" s="1203">
        <f t="shared" si="70"/>
        <v>268955.27152459195</v>
      </c>
      <c r="AQ197" s="1203">
        <f t="shared" si="70"/>
        <v>268955.27152459195</v>
      </c>
      <c r="AR197" s="1203">
        <f t="shared" si="70"/>
        <v>268955.27152459195</v>
      </c>
      <c r="AS197" s="1203">
        <f t="shared" si="70"/>
        <v>268955.27152459195</v>
      </c>
      <c r="AT197" s="1203">
        <f t="shared" si="70"/>
        <v>268955.27152459195</v>
      </c>
      <c r="AU197" s="1203">
        <f t="shared" si="70"/>
        <v>268955.27152459195</v>
      </c>
      <c r="AZ197" s="179"/>
      <c r="BA197" s="179"/>
      <c r="BB197" s="179"/>
      <c r="BC197" s="179"/>
      <c r="BD197" s="179"/>
      <c r="BE197" s="179"/>
      <c r="BF197" s="179"/>
    </row>
    <row r="198" spans="1:58" s="214" customFormat="1" ht="15.75" customHeight="1" outlineLevel="1">
      <c r="C198" s="184" t="s">
        <v>1906</v>
      </c>
      <c r="D198" s="181"/>
      <c r="E198" s="179"/>
      <c r="F198" s="179"/>
      <c r="G198" s="179"/>
      <c r="K198" s="179"/>
      <c r="L198" s="179"/>
      <c r="M198" s="185"/>
      <c r="R198" s="1203">
        <f>R197*Fenix!R41</f>
        <v>4637075.4261954259</v>
      </c>
      <c r="S198" s="1203"/>
      <c r="T198" s="1203">
        <f>T197*Fenix!T41</f>
        <v>4637075.4261954259</v>
      </c>
      <c r="U198" s="1203">
        <f t="shared" si="44"/>
        <v>4637075.4261954259</v>
      </c>
      <c r="V198" s="1203">
        <f>V197*Fenix!V41</f>
        <v>32337916.176250931</v>
      </c>
      <c r="W198" s="1203">
        <f>W197*Fenix!W41</f>
        <v>37653738.013442874</v>
      </c>
      <c r="X198" s="1203">
        <f>X197*Fenix!X41</f>
        <v>37653738.013442874</v>
      </c>
      <c r="Y198" s="1203">
        <f>Y197*Fenix!Y41</f>
        <v>37653738.013442874</v>
      </c>
      <c r="Z198" s="1203">
        <f>Z197*Fenix!Z41</f>
        <v>37653738.013442874</v>
      </c>
      <c r="AA198" s="1203">
        <f>AA197*Fenix!AA41</f>
        <v>37653738.013442874</v>
      </c>
      <c r="AB198" s="1203">
        <f>AB197*Fenix!AB41</f>
        <v>37653738.013442874</v>
      </c>
      <c r="AC198" s="1203">
        <f>AC197*Fenix!AC41</f>
        <v>37653738.013442874</v>
      </c>
      <c r="AD198" s="1203">
        <f>AD197*Fenix!AD41</f>
        <v>37653738.013442874</v>
      </c>
      <c r="AE198" s="1203">
        <f>AE197*Fenix!AE41</f>
        <v>37653738.013442874</v>
      </c>
      <c r="AF198" s="1203">
        <f>AF197*Fenix!AF41</f>
        <v>37653738.013442874</v>
      </c>
      <c r="AG198" s="1203">
        <f>AG197*Fenix!AG41</f>
        <v>37653738.013442874</v>
      </c>
      <c r="AH198" s="1203">
        <f>AH197*Fenix!AH41</f>
        <v>37653738.013442874</v>
      </c>
      <c r="AI198" s="1203">
        <f>AI197*Fenix!AI41</f>
        <v>37653738.013442874</v>
      </c>
      <c r="AJ198" s="1203">
        <f>AJ197*Fenix!AJ41</f>
        <v>37653738.013442874</v>
      </c>
      <c r="AK198" s="1203">
        <f>AK197*Fenix!AK41</f>
        <v>37653738.013442874</v>
      </c>
      <c r="AL198" s="1203">
        <f>AL197*Fenix!AL41</f>
        <v>37653738.013442874</v>
      </c>
      <c r="AM198" s="1203">
        <f>AM197*Fenix!AM41</f>
        <v>37653738.013442874</v>
      </c>
      <c r="AN198" s="1203">
        <f>AN197*Fenix!AN41</f>
        <v>37653738.013442874</v>
      </c>
      <c r="AO198" s="1203">
        <f>AO197*Fenix!AO41</f>
        <v>37653738.013442874</v>
      </c>
      <c r="AP198" s="1203">
        <f>AP197*Fenix!AP41</f>
        <v>37653738.013442874</v>
      </c>
      <c r="AQ198" s="1203">
        <f>AQ197*Fenix!AQ41</f>
        <v>37653738.013442874</v>
      </c>
      <c r="AR198" s="1203">
        <f>AR197*Fenix!AR41</f>
        <v>37653738.013442874</v>
      </c>
      <c r="AS198" s="1203">
        <f>AS197*Fenix!AS41</f>
        <v>37653738.013442874</v>
      </c>
      <c r="AT198" s="1203">
        <f>AT197*Fenix!AT41</f>
        <v>37653738.013442874</v>
      </c>
      <c r="AU198" s="1203">
        <f>AU197*Fenix!AU41</f>
        <v>37653738.013442874</v>
      </c>
      <c r="AZ198" s="179"/>
      <c r="BA198" s="179"/>
      <c r="BB198" s="179"/>
      <c r="BC198" s="179"/>
      <c r="BD198" s="179"/>
      <c r="BE198" s="179"/>
      <c r="BF198" s="179"/>
    </row>
    <row r="199" spans="1:58" s="214" customFormat="1" ht="15.75" customHeight="1" outlineLevel="1">
      <c r="C199" s="1216" t="s">
        <v>1907</v>
      </c>
      <c r="D199" s="181"/>
      <c r="E199" s="179"/>
      <c r="F199" s="179"/>
      <c r="G199" s="179"/>
      <c r="K199" s="179"/>
      <c r="L199" s="179"/>
      <c r="M199" s="185"/>
      <c r="R199" s="1203">
        <f>R69*R169</f>
        <v>8280.4918324918326</v>
      </c>
      <c r="S199" s="1203"/>
      <c r="T199" s="1203">
        <f>T69*T169</f>
        <v>8280.4918324918326</v>
      </c>
      <c r="U199" s="1203">
        <f t="shared" si="44"/>
        <v>8280.4918324918326</v>
      </c>
      <c r="V199" s="1203">
        <f t="shared" ref="V199:AU199" si="71">V69*V169</f>
        <v>57746.278886162378</v>
      </c>
      <c r="W199" s="1203">
        <f t="shared" si="71"/>
        <v>67238.817881147988</v>
      </c>
      <c r="X199" s="1203">
        <f t="shared" si="71"/>
        <v>67238.817881147988</v>
      </c>
      <c r="Y199" s="1203">
        <f t="shared" si="71"/>
        <v>67238.817881147988</v>
      </c>
      <c r="Z199" s="1203">
        <f t="shared" si="71"/>
        <v>67238.817881147988</v>
      </c>
      <c r="AA199" s="1203">
        <f t="shared" si="71"/>
        <v>67238.817881147988</v>
      </c>
      <c r="AB199" s="1203">
        <f t="shared" si="71"/>
        <v>67238.817881147988</v>
      </c>
      <c r="AC199" s="1203">
        <f t="shared" si="71"/>
        <v>67238.817881147988</v>
      </c>
      <c r="AD199" s="1203">
        <f t="shared" si="71"/>
        <v>67238.817881147988</v>
      </c>
      <c r="AE199" s="1203">
        <f t="shared" si="71"/>
        <v>67238.817881147988</v>
      </c>
      <c r="AF199" s="1203">
        <f t="shared" si="71"/>
        <v>67238.817881147988</v>
      </c>
      <c r="AG199" s="1203">
        <f t="shared" si="71"/>
        <v>67238.817881147988</v>
      </c>
      <c r="AH199" s="1203">
        <f t="shared" si="71"/>
        <v>67238.817881147988</v>
      </c>
      <c r="AI199" s="1203">
        <f t="shared" si="71"/>
        <v>67238.817881147988</v>
      </c>
      <c r="AJ199" s="1203">
        <f t="shared" si="71"/>
        <v>67238.817881147988</v>
      </c>
      <c r="AK199" s="1203">
        <f t="shared" si="71"/>
        <v>67238.817881147988</v>
      </c>
      <c r="AL199" s="1203">
        <f t="shared" si="71"/>
        <v>67238.817881147988</v>
      </c>
      <c r="AM199" s="1203">
        <f t="shared" si="71"/>
        <v>67238.817881147988</v>
      </c>
      <c r="AN199" s="1203">
        <f t="shared" si="71"/>
        <v>67238.817881147988</v>
      </c>
      <c r="AO199" s="1203">
        <f t="shared" si="71"/>
        <v>67238.817881147988</v>
      </c>
      <c r="AP199" s="1203">
        <f t="shared" si="71"/>
        <v>67238.817881147988</v>
      </c>
      <c r="AQ199" s="1203">
        <f t="shared" si="71"/>
        <v>67238.817881147988</v>
      </c>
      <c r="AR199" s="1203">
        <f t="shared" si="71"/>
        <v>67238.817881147988</v>
      </c>
      <c r="AS199" s="1203">
        <f t="shared" si="71"/>
        <v>67238.817881147988</v>
      </c>
      <c r="AT199" s="1203">
        <f t="shared" si="71"/>
        <v>67238.817881147988</v>
      </c>
      <c r="AU199" s="1203">
        <f t="shared" si="71"/>
        <v>67238.817881147988</v>
      </c>
      <c r="AZ199" s="179"/>
      <c r="BA199" s="179"/>
      <c r="BB199" s="179"/>
      <c r="BC199" s="179"/>
      <c r="BD199" s="179"/>
      <c r="BE199" s="179"/>
      <c r="BF199" s="179"/>
    </row>
    <row r="200" spans="1:58" s="214" customFormat="1" ht="15.75" customHeight="1" outlineLevel="1">
      <c r="C200" s="184" t="s">
        <v>1908</v>
      </c>
      <c r="D200" s="181"/>
      <c r="E200" s="179"/>
      <c r="F200" s="179"/>
      <c r="G200" s="179"/>
      <c r="K200" s="179"/>
      <c r="L200" s="179"/>
      <c r="M200" s="185"/>
      <c r="R200" s="1203">
        <f>R199*R42</f>
        <v>690593.01882981893</v>
      </c>
      <c r="S200" s="1203"/>
      <c r="T200" s="1203">
        <f>T199*T42</f>
        <v>690593.01882981893</v>
      </c>
      <c r="U200" s="1203">
        <f t="shared" si="44"/>
        <v>690593.01882981893</v>
      </c>
      <c r="V200" s="1203">
        <f t="shared" ref="V200:AU200" si="72">V199*V42</f>
        <v>4816039.6591059426</v>
      </c>
      <c r="W200" s="1203">
        <f t="shared" si="72"/>
        <v>5607717.4112877427</v>
      </c>
      <c r="X200" s="1203">
        <f t="shared" si="72"/>
        <v>5607717.4112877427</v>
      </c>
      <c r="Y200" s="1203">
        <f t="shared" si="72"/>
        <v>5607717.4112877427</v>
      </c>
      <c r="Z200" s="1203">
        <f t="shared" si="72"/>
        <v>5607717.4112877427</v>
      </c>
      <c r="AA200" s="1203">
        <f t="shared" si="72"/>
        <v>5607717.4112877427</v>
      </c>
      <c r="AB200" s="1203">
        <f t="shared" si="72"/>
        <v>5607717.4112877427</v>
      </c>
      <c r="AC200" s="1203">
        <f t="shared" si="72"/>
        <v>5607717.4112877427</v>
      </c>
      <c r="AD200" s="1203">
        <f t="shared" si="72"/>
        <v>5607717.4112877427</v>
      </c>
      <c r="AE200" s="1203">
        <f t="shared" si="72"/>
        <v>5607717.4112877427</v>
      </c>
      <c r="AF200" s="1203">
        <f t="shared" si="72"/>
        <v>5607717.4112877427</v>
      </c>
      <c r="AG200" s="1203">
        <f t="shared" si="72"/>
        <v>5607717.4112877427</v>
      </c>
      <c r="AH200" s="1203">
        <f t="shared" si="72"/>
        <v>5607717.4112877427</v>
      </c>
      <c r="AI200" s="1203">
        <f t="shared" si="72"/>
        <v>5607717.4112877427</v>
      </c>
      <c r="AJ200" s="1203">
        <f t="shared" si="72"/>
        <v>5607717.4112877427</v>
      </c>
      <c r="AK200" s="1203">
        <f t="shared" si="72"/>
        <v>5607717.4112877427</v>
      </c>
      <c r="AL200" s="1203">
        <f t="shared" si="72"/>
        <v>5607717.4112877427</v>
      </c>
      <c r="AM200" s="1203">
        <f t="shared" si="72"/>
        <v>5607717.4112877427</v>
      </c>
      <c r="AN200" s="1203">
        <f t="shared" si="72"/>
        <v>5607717.4112877427</v>
      </c>
      <c r="AO200" s="1203">
        <f t="shared" si="72"/>
        <v>5607717.4112877427</v>
      </c>
      <c r="AP200" s="1203">
        <f t="shared" si="72"/>
        <v>5607717.4112877427</v>
      </c>
      <c r="AQ200" s="1203">
        <f t="shared" si="72"/>
        <v>5607717.4112877427</v>
      </c>
      <c r="AR200" s="1203">
        <f t="shared" si="72"/>
        <v>5607717.4112877427</v>
      </c>
      <c r="AS200" s="1203">
        <f t="shared" si="72"/>
        <v>5607717.4112877427</v>
      </c>
      <c r="AT200" s="1203">
        <f t="shared" si="72"/>
        <v>5607717.4112877427</v>
      </c>
      <c r="AU200" s="1203">
        <f t="shared" si="72"/>
        <v>5607717.4112877427</v>
      </c>
      <c r="AZ200" s="179"/>
      <c r="BA200" s="179"/>
      <c r="BB200" s="179"/>
      <c r="BC200" s="179"/>
      <c r="BD200" s="179"/>
      <c r="BE200" s="179"/>
      <c r="BF200" s="179"/>
    </row>
    <row r="201" spans="1:58" s="214" customFormat="1" ht="15.75" customHeight="1" outlineLevel="1">
      <c r="C201" s="184" t="s">
        <v>950</v>
      </c>
      <c r="D201" s="181"/>
      <c r="E201" s="179"/>
      <c r="F201" s="179"/>
      <c r="G201" s="179"/>
      <c r="K201" s="179"/>
      <c r="L201" s="179"/>
      <c r="M201" s="185"/>
      <c r="R201" s="1203">
        <f>R70*R169</f>
        <v>877732.1342441343</v>
      </c>
      <c r="S201" s="1203"/>
      <c r="T201" s="1203">
        <f>T70*T169</f>
        <v>877732.1342441343</v>
      </c>
      <c r="U201" s="1203">
        <f t="shared" si="44"/>
        <v>877732.1342441343</v>
      </c>
      <c r="V201" s="1203">
        <f t="shared" ref="V201:AU201" si="73">V70*V169</f>
        <v>6121105.561933212</v>
      </c>
      <c r="W201" s="1203">
        <f t="shared" si="73"/>
        <v>7127314.6954016862</v>
      </c>
      <c r="X201" s="1203">
        <f t="shared" si="73"/>
        <v>7127314.6954016862</v>
      </c>
      <c r="Y201" s="1203">
        <f t="shared" si="73"/>
        <v>7127314.6954016862</v>
      </c>
      <c r="Z201" s="1203">
        <f t="shared" si="73"/>
        <v>7127314.6954016862</v>
      </c>
      <c r="AA201" s="1203">
        <f t="shared" si="73"/>
        <v>7127314.6954016862</v>
      </c>
      <c r="AB201" s="1203">
        <f t="shared" si="73"/>
        <v>7127314.6954016862</v>
      </c>
      <c r="AC201" s="1203">
        <f t="shared" si="73"/>
        <v>7127314.6954016862</v>
      </c>
      <c r="AD201" s="1203">
        <f t="shared" si="73"/>
        <v>7127314.6954016862</v>
      </c>
      <c r="AE201" s="1203">
        <f t="shared" si="73"/>
        <v>7127314.6954016862</v>
      </c>
      <c r="AF201" s="1203">
        <f t="shared" si="73"/>
        <v>7127314.6954016862</v>
      </c>
      <c r="AG201" s="1203">
        <f t="shared" si="73"/>
        <v>7127314.6954016862</v>
      </c>
      <c r="AH201" s="1203">
        <f t="shared" si="73"/>
        <v>7127314.6954016862</v>
      </c>
      <c r="AI201" s="1203">
        <f t="shared" si="73"/>
        <v>7127314.6954016862</v>
      </c>
      <c r="AJ201" s="1203">
        <f t="shared" si="73"/>
        <v>7127314.6954016862</v>
      </c>
      <c r="AK201" s="1203">
        <f t="shared" si="73"/>
        <v>7127314.6954016862</v>
      </c>
      <c r="AL201" s="1203">
        <f t="shared" si="73"/>
        <v>7127314.6954016862</v>
      </c>
      <c r="AM201" s="1203">
        <f t="shared" si="73"/>
        <v>7127314.6954016862</v>
      </c>
      <c r="AN201" s="1203">
        <f t="shared" si="73"/>
        <v>7127314.6954016862</v>
      </c>
      <c r="AO201" s="1203">
        <f t="shared" si="73"/>
        <v>7127314.6954016862</v>
      </c>
      <c r="AP201" s="1203">
        <f t="shared" si="73"/>
        <v>7127314.6954016862</v>
      </c>
      <c r="AQ201" s="1203">
        <f t="shared" si="73"/>
        <v>7127314.6954016862</v>
      </c>
      <c r="AR201" s="1203">
        <f t="shared" si="73"/>
        <v>7127314.6954016862</v>
      </c>
      <c r="AS201" s="1203">
        <f t="shared" si="73"/>
        <v>7127314.6954016862</v>
      </c>
      <c r="AT201" s="1203">
        <f t="shared" si="73"/>
        <v>7127314.6954016862</v>
      </c>
      <c r="AU201" s="1203">
        <f t="shared" si="73"/>
        <v>7127314.6954016862</v>
      </c>
      <c r="AZ201" s="179"/>
      <c r="BA201" s="179"/>
      <c r="BB201" s="179"/>
      <c r="BC201" s="179"/>
      <c r="BD201" s="179"/>
      <c r="BE201" s="179"/>
      <c r="BF201" s="179"/>
    </row>
    <row r="202" spans="1:58" s="225" customFormat="1" ht="15.75" customHeight="1" outlineLevel="1">
      <c r="A202" s="214"/>
      <c r="C202" s="1214"/>
      <c r="D202" s="207"/>
      <c r="M202" s="194"/>
      <c r="U202" s="225">
        <f t="shared" si="44"/>
        <v>0</v>
      </c>
    </row>
    <row r="203" spans="1:58" s="214" customFormat="1" ht="15.75" customHeight="1" outlineLevel="1">
      <c r="C203" s="1214" t="s">
        <v>946</v>
      </c>
      <c r="D203" s="181"/>
      <c r="E203" s="179"/>
      <c r="F203" s="179"/>
      <c r="G203" s="179"/>
      <c r="K203" s="179"/>
      <c r="L203" s="179"/>
      <c r="M203" s="185"/>
      <c r="R203" s="876">
        <f>R205+R206</f>
        <v>22003741.945945948</v>
      </c>
      <c r="S203" s="876"/>
      <c r="T203" s="876">
        <f>T205+T206</f>
        <v>22003741.945945948</v>
      </c>
      <c r="U203" s="876">
        <f t="shared" si="44"/>
        <v>22003741.945945948</v>
      </c>
      <c r="V203" s="876">
        <f t="shared" ref="V203:AU203" si="74">V205+V206</f>
        <v>59277799.332349524</v>
      </c>
      <c r="W203" s="876">
        <f t="shared" si="74"/>
        <v>69022095.113009721</v>
      </c>
      <c r="X203" s="876">
        <f t="shared" si="74"/>
        <v>69022095.113009721</v>
      </c>
      <c r="Y203" s="876">
        <f t="shared" si="74"/>
        <v>69022095.113009721</v>
      </c>
      <c r="Z203" s="876">
        <f t="shared" si="74"/>
        <v>69022095.113009721</v>
      </c>
      <c r="AA203" s="876">
        <f t="shared" si="74"/>
        <v>69022095.113009721</v>
      </c>
      <c r="AB203" s="876">
        <f t="shared" si="74"/>
        <v>69022095.113009721</v>
      </c>
      <c r="AC203" s="876">
        <f t="shared" si="74"/>
        <v>69022095.113009721</v>
      </c>
      <c r="AD203" s="876">
        <f t="shared" si="74"/>
        <v>69022095.113009721</v>
      </c>
      <c r="AE203" s="876">
        <f t="shared" si="74"/>
        <v>69022095.113009721</v>
      </c>
      <c r="AF203" s="876">
        <f t="shared" si="74"/>
        <v>69022095.113009721</v>
      </c>
      <c r="AG203" s="876">
        <f t="shared" si="74"/>
        <v>69022095.113009721</v>
      </c>
      <c r="AH203" s="876">
        <f t="shared" si="74"/>
        <v>69022095.113009721</v>
      </c>
      <c r="AI203" s="876">
        <f t="shared" si="74"/>
        <v>69022095.113009721</v>
      </c>
      <c r="AJ203" s="876">
        <f t="shared" si="74"/>
        <v>69022095.113009721</v>
      </c>
      <c r="AK203" s="876">
        <f t="shared" si="74"/>
        <v>69022095.113009721</v>
      </c>
      <c r="AL203" s="876">
        <f t="shared" si="74"/>
        <v>69022095.113009721</v>
      </c>
      <c r="AM203" s="876">
        <f t="shared" si="74"/>
        <v>69022095.113009721</v>
      </c>
      <c r="AN203" s="876">
        <f t="shared" si="74"/>
        <v>69022095.113009721</v>
      </c>
      <c r="AO203" s="876">
        <f t="shared" si="74"/>
        <v>69022095.113009721</v>
      </c>
      <c r="AP203" s="876">
        <f t="shared" si="74"/>
        <v>69022095.113009721</v>
      </c>
      <c r="AQ203" s="876">
        <f t="shared" si="74"/>
        <v>69022095.113009721</v>
      </c>
      <c r="AR203" s="876">
        <f t="shared" si="74"/>
        <v>69022095.113009721</v>
      </c>
      <c r="AS203" s="876">
        <f t="shared" si="74"/>
        <v>69022095.113009721</v>
      </c>
      <c r="AT203" s="876">
        <f t="shared" si="74"/>
        <v>69022095.113009721</v>
      </c>
      <c r="AU203" s="876">
        <f t="shared" si="74"/>
        <v>69022095.113009721</v>
      </c>
      <c r="AZ203" s="179"/>
      <c r="BA203" s="179"/>
      <c r="BB203" s="179"/>
      <c r="BC203" s="179"/>
      <c r="BD203" s="179"/>
      <c r="BE203" s="179"/>
      <c r="BF203" s="179"/>
    </row>
    <row r="204" spans="1:58" s="214" customFormat="1" ht="15.75" customHeight="1" outlineLevel="1">
      <c r="C204" s="1216" t="s">
        <v>1902</v>
      </c>
      <c r="D204" s="181"/>
      <c r="E204" s="179"/>
      <c r="F204" s="179"/>
      <c r="G204" s="179"/>
      <c r="K204" s="179"/>
      <c r="L204" s="179"/>
      <c r="M204" s="185"/>
      <c r="R204" s="1203">
        <f>R132</f>
        <v>90914.400000000009</v>
      </c>
      <c r="S204" s="1203"/>
      <c r="T204" s="1203">
        <f>T132</f>
        <v>90914.400000000009</v>
      </c>
      <c r="U204" s="1203">
        <f t="shared" ref="U204:U267" si="75">T204</f>
        <v>90914.400000000009</v>
      </c>
      <c r="V204" s="1203">
        <f t="shared" ref="V204:AU204" si="76">V132</f>
        <v>588321.60000000009</v>
      </c>
      <c r="W204" s="1203">
        <f t="shared" si="76"/>
        <v>685032.00000000012</v>
      </c>
      <c r="X204" s="1203">
        <f t="shared" si="76"/>
        <v>685032.00000000012</v>
      </c>
      <c r="Y204" s="1203">
        <f t="shared" si="76"/>
        <v>685032.00000000012</v>
      </c>
      <c r="Z204" s="1203">
        <f t="shared" si="76"/>
        <v>685032.00000000012</v>
      </c>
      <c r="AA204" s="1203">
        <f t="shared" si="76"/>
        <v>685032.00000000012</v>
      </c>
      <c r="AB204" s="1203">
        <f t="shared" si="76"/>
        <v>685032.00000000012</v>
      </c>
      <c r="AC204" s="1203">
        <f t="shared" si="76"/>
        <v>685032.00000000012</v>
      </c>
      <c r="AD204" s="1203">
        <f t="shared" si="76"/>
        <v>685032.00000000012</v>
      </c>
      <c r="AE204" s="1203">
        <f t="shared" si="76"/>
        <v>685032.00000000012</v>
      </c>
      <c r="AF204" s="1203">
        <f t="shared" si="76"/>
        <v>685032.00000000012</v>
      </c>
      <c r="AG204" s="1203">
        <f t="shared" si="76"/>
        <v>685032.00000000012</v>
      </c>
      <c r="AH204" s="1203">
        <f t="shared" si="76"/>
        <v>685032.00000000012</v>
      </c>
      <c r="AI204" s="1203">
        <f t="shared" si="76"/>
        <v>685032.00000000012</v>
      </c>
      <c r="AJ204" s="1203">
        <f t="shared" si="76"/>
        <v>685032.00000000012</v>
      </c>
      <c r="AK204" s="1203">
        <f t="shared" si="76"/>
        <v>685032.00000000012</v>
      </c>
      <c r="AL204" s="1203">
        <f t="shared" si="76"/>
        <v>685032.00000000012</v>
      </c>
      <c r="AM204" s="1203">
        <f t="shared" si="76"/>
        <v>685032.00000000012</v>
      </c>
      <c r="AN204" s="1203">
        <f t="shared" si="76"/>
        <v>685032.00000000012</v>
      </c>
      <c r="AO204" s="1203">
        <f t="shared" si="76"/>
        <v>685032.00000000012</v>
      </c>
      <c r="AP204" s="1203">
        <f t="shared" si="76"/>
        <v>685032.00000000012</v>
      </c>
      <c r="AQ204" s="1203">
        <f t="shared" si="76"/>
        <v>685032.00000000012</v>
      </c>
      <c r="AR204" s="1203">
        <f t="shared" si="76"/>
        <v>685032.00000000012</v>
      </c>
      <c r="AS204" s="1203">
        <f t="shared" si="76"/>
        <v>685032.00000000012</v>
      </c>
      <c r="AT204" s="1203">
        <f t="shared" si="76"/>
        <v>685032.00000000012</v>
      </c>
      <c r="AU204" s="1203">
        <f t="shared" si="76"/>
        <v>685032.00000000012</v>
      </c>
      <c r="AZ204" s="179"/>
      <c r="BA204" s="179"/>
      <c r="BB204" s="179"/>
      <c r="BC204" s="179"/>
      <c r="BD204" s="179"/>
      <c r="BE204" s="179"/>
      <c r="BF204" s="179"/>
    </row>
    <row r="205" spans="1:58" s="214" customFormat="1" ht="15.75" customHeight="1" outlineLevel="1">
      <c r="C205" s="184" t="s">
        <v>1903</v>
      </c>
      <c r="D205" s="181"/>
      <c r="E205" s="179"/>
      <c r="F205" s="179"/>
      <c r="G205" s="179"/>
      <c r="K205" s="179"/>
      <c r="L205" s="179"/>
      <c r="M205" s="185"/>
      <c r="R205" s="1203">
        <f>R204*Fenix!R40</f>
        <v>21546712.800000001</v>
      </c>
      <c r="S205" s="1203"/>
      <c r="T205" s="1203">
        <f>T204*Fenix!T40</f>
        <v>21546712.800000001</v>
      </c>
      <c r="U205" s="1203">
        <f t="shared" si="75"/>
        <v>21546712.800000001</v>
      </c>
      <c r="V205" s="1203">
        <f>V204*Fenix!V40</f>
        <v>56090581.344000012</v>
      </c>
      <c r="W205" s="1203">
        <f>W204*Fenix!W40</f>
        <v>65310950.88000001</v>
      </c>
      <c r="X205" s="1203">
        <f>X204*Fenix!X40</f>
        <v>65310950.88000001</v>
      </c>
      <c r="Y205" s="1203">
        <f>Y204*Fenix!Y40</f>
        <v>65310950.88000001</v>
      </c>
      <c r="Z205" s="1203">
        <f>Z204*Fenix!Z40</f>
        <v>65310950.88000001</v>
      </c>
      <c r="AA205" s="1203">
        <f>AA204*Fenix!AA40</f>
        <v>65310950.88000001</v>
      </c>
      <c r="AB205" s="1203">
        <f>AB204*Fenix!AB40</f>
        <v>65310950.88000001</v>
      </c>
      <c r="AC205" s="1203">
        <f>AC204*Fenix!AC40</f>
        <v>65310950.88000001</v>
      </c>
      <c r="AD205" s="1203">
        <f>AD204*Fenix!AD40</f>
        <v>65310950.88000001</v>
      </c>
      <c r="AE205" s="1203">
        <f>AE204*Fenix!AE40</f>
        <v>65310950.88000001</v>
      </c>
      <c r="AF205" s="1203">
        <f>AF204*Fenix!AF40</f>
        <v>65310950.88000001</v>
      </c>
      <c r="AG205" s="1203">
        <f>AG204*Fenix!AG40</f>
        <v>65310950.88000001</v>
      </c>
      <c r="AH205" s="1203">
        <f>AH204*Fenix!AH40</f>
        <v>65310950.88000001</v>
      </c>
      <c r="AI205" s="1203">
        <f>AI204*Fenix!AI40</f>
        <v>65310950.88000001</v>
      </c>
      <c r="AJ205" s="1203">
        <f>AJ204*Fenix!AJ40</f>
        <v>65310950.88000001</v>
      </c>
      <c r="AK205" s="1203">
        <f>AK204*Fenix!AK40</f>
        <v>65310950.88000001</v>
      </c>
      <c r="AL205" s="1203">
        <f>AL204*Fenix!AL40</f>
        <v>65310950.88000001</v>
      </c>
      <c r="AM205" s="1203">
        <f>AM204*Fenix!AM40</f>
        <v>65310950.88000001</v>
      </c>
      <c r="AN205" s="1203">
        <f>AN204*Fenix!AN40</f>
        <v>65310950.88000001</v>
      </c>
      <c r="AO205" s="1203">
        <f>AO204*Fenix!AO40</f>
        <v>65310950.88000001</v>
      </c>
      <c r="AP205" s="1203">
        <f>AP204*Fenix!AP40</f>
        <v>65310950.88000001</v>
      </c>
      <c r="AQ205" s="1203">
        <f>AQ204*Fenix!AQ40</f>
        <v>65310950.88000001</v>
      </c>
      <c r="AR205" s="1203">
        <f>AR204*Fenix!AR40</f>
        <v>65310950.88000001</v>
      </c>
      <c r="AS205" s="1203">
        <f>AS204*Fenix!AS40</f>
        <v>65310950.88000001</v>
      </c>
      <c r="AT205" s="1203">
        <f>AT204*Fenix!AT40</f>
        <v>65310950.88000001</v>
      </c>
      <c r="AU205" s="1203">
        <f>AU204*Fenix!AU40</f>
        <v>65310950.88000001</v>
      </c>
      <c r="AZ205" s="179"/>
      <c r="BA205" s="179"/>
      <c r="BB205" s="179"/>
      <c r="BC205" s="179"/>
      <c r="BD205" s="179"/>
      <c r="BE205" s="179"/>
      <c r="BF205" s="179"/>
    </row>
    <row r="206" spans="1:58" s="214" customFormat="1" ht="15.75" customHeight="1" outlineLevel="1">
      <c r="C206" s="184" t="s">
        <v>950</v>
      </c>
      <c r="D206" s="181"/>
      <c r="E206" s="179"/>
      <c r="F206" s="179"/>
      <c r="G206" s="179"/>
      <c r="K206" s="179"/>
      <c r="L206" s="179"/>
      <c r="M206" s="185"/>
      <c r="R206" s="1203">
        <f>R72*R155</f>
        <v>457029.14594594605</v>
      </c>
      <c r="S206" s="1203"/>
      <c r="T206" s="1203">
        <f>T72*T155</f>
        <v>457029.14594594605</v>
      </c>
      <c r="U206" s="1203">
        <f t="shared" si="75"/>
        <v>457029.14594594605</v>
      </c>
      <c r="V206" s="1203">
        <f t="shared" ref="V206:AU206" si="77">V72*V155</f>
        <v>3187217.988349515</v>
      </c>
      <c r="W206" s="1203">
        <f t="shared" si="77"/>
        <v>3711144.2330097095</v>
      </c>
      <c r="X206" s="1203">
        <f t="shared" si="77"/>
        <v>3711144.2330097095</v>
      </c>
      <c r="Y206" s="1203">
        <f t="shared" si="77"/>
        <v>3711144.2330097095</v>
      </c>
      <c r="Z206" s="1203">
        <f t="shared" si="77"/>
        <v>3711144.2330097095</v>
      </c>
      <c r="AA206" s="1203">
        <f t="shared" si="77"/>
        <v>3711144.2330097095</v>
      </c>
      <c r="AB206" s="1203">
        <f t="shared" si="77"/>
        <v>3711144.2330097095</v>
      </c>
      <c r="AC206" s="1203">
        <f t="shared" si="77"/>
        <v>3711144.2330097095</v>
      </c>
      <c r="AD206" s="1203">
        <f t="shared" si="77"/>
        <v>3711144.2330097095</v>
      </c>
      <c r="AE206" s="1203">
        <f t="shared" si="77"/>
        <v>3711144.2330097095</v>
      </c>
      <c r="AF206" s="1203">
        <f t="shared" si="77"/>
        <v>3711144.2330097095</v>
      </c>
      <c r="AG206" s="1203">
        <f t="shared" si="77"/>
        <v>3711144.2330097095</v>
      </c>
      <c r="AH206" s="1203">
        <f t="shared" si="77"/>
        <v>3711144.2330097095</v>
      </c>
      <c r="AI206" s="1203">
        <f t="shared" si="77"/>
        <v>3711144.2330097095</v>
      </c>
      <c r="AJ206" s="1203">
        <f t="shared" si="77"/>
        <v>3711144.2330097095</v>
      </c>
      <c r="AK206" s="1203">
        <f t="shared" si="77"/>
        <v>3711144.2330097095</v>
      </c>
      <c r="AL206" s="1203">
        <f t="shared" si="77"/>
        <v>3711144.2330097095</v>
      </c>
      <c r="AM206" s="1203">
        <f t="shared" si="77"/>
        <v>3711144.2330097095</v>
      </c>
      <c r="AN206" s="1203">
        <f t="shared" si="77"/>
        <v>3711144.2330097095</v>
      </c>
      <c r="AO206" s="1203">
        <f t="shared" si="77"/>
        <v>3711144.2330097095</v>
      </c>
      <c r="AP206" s="1203">
        <f t="shared" si="77"/>
        <v>3711144.2330097095</v>
      </c>
      <c r="AQ206" s="1203">
        <f t="shared" si="77"/>
        <v>3711144.2330097095</v>
      </c>
      <c r="AR206" s="1203">
        <f t="shared" si="77"/>
        <v>3711144.2330097095</v>
      </c>
      <c r="AS206" s="1203">
        <f t="shared" si="77"/>
        <v>3711144.2330097095</v>
      </c>
      <c r="AT206" s="1203">
        <f t="shared" si="77"/>
        <v>3711144.2330097095</v>
      </c>
      <c r="AU206" s="1203">
        <f t="shared" si="77"/>
        <v>3711144.2330097095</v>
      </c>
      <c r="AZ206" s="179"/>
      <c r="BA206" s="179"/>
      <c r="BB206" s="179"/>
      <c r="BC206" s="179"/>
      <c r="BD206" s="179"/>
      <c r="BE206" s="179"/>
      <c r="BF206" s="179"/>
    </row>
    <row r="207" spans="1:58" s="225" customFormat="1" ht="15.75" customHeight="1" outlineLevel="1">
      <c r="A207" s="214"/>
      <c r="C207" s="1214"/>
      <c r="D207" s="207"/>
      <c r="M207" s="194"/>
      <c r="U207" s="225">
        <f t="shared" si="75"/>
        <v>0</v>
      </c>
    </row>
    <row r="208" spans="1:58" s="225" customFormat="1" ht="15.75" customHeight="1" outlineLevel="1">
      <c r="A208" s="214"/>
      <c r="C208" s="1214"/>
      <c r="D208" s="207"/>
      <c r="M208" s="194"/>
      <c r="R208" s="876"/>
      <c r="S208" s="876"/>
      <c r="T208" s="876"/>
      <c r="U208" s="876">
        <f t="shared" si="75"/>
        <v>0</v>
      </c>
      <c r="V208" s="876"/>
      <c r="W208" s="876"/>
      <c r="X208" s="876"/>
      <c r="Y208" s="876"/>
      <c r="Z208" s="876"/>
      <c r="AA208" s="876"/>
      <c r="AB208" s="876"/>
      <c r="AC208" s="876"/>
      <c r="AD208" s="876"/>
      <c r="AE208" s="876"/>
      <c r="AF208" s="876"/>
      <c r="AG208" s="876"/>
      <c r="AH208" s="876"/>
      <c r="AI208" s="876"/>
      <c r="AJ208" s="876"/>
      <c r="AK208" s="876"/>
      <c r="AL208" s="876"/>
      <c r="AM208" s="876"/>
      <c r="AN208" s="876"/>
      <c r="AO208" s="876"/>
      <c r="AP208" s="876"/>
      <c r="AQ208" s="876"/>
      <c r="AR208" s="876"/>
      <c r="AS208" s="876"/>
      <c r="AT208" s="876"/>
      <c r="AU208" s="876"/>
    </row>
    <row r="209" spans="1:58" s="214" customFormat="1" ht="15.75" customHeight="1" outlineLevel="1">
      <c r="C209" s="1214" t="s">
        <v>947</v>
      </c>
      <c r="D209" s="181"/>
      <c r="E209" s="179"/>
      <c r="F209" s="179"/>
      <c r="G209" s="179"/>
      <c r="K209" s="179"/>
      <c r="L209" s="179"/>
      <c r="M209" s="185"/>
      <c r="R209" s="876">
        <f>R212+R211</f>
        <v>1488700.9087764223</v>
      </c>
      <c r="S209" s="876"/>
      <c r="T209" s="876">
        <f>T212+T211</f>
        <v>1488700.9087764223</v>
      </c>
      <c r="U209" s="876">
        <f t="shared" si="75"/>
        <v>1488700.9087764223</v>
      </c>
      <c r="V209" s="876">
        <f t="shared" ref="V209:AU209" si="78">V212+V211</f>
        <v>10381863.734103438</v>
      </c>
      <c r="W209" s="876">
        <f t="shared" si="78"/>
        <v>12088471.471216328</v>
      </c>
      <c r="X209" s="876">
        <f t="shared" si="78"/>
        <v>12088471.471216328</v>
      </c>
      <c r="Y209" s="876">
        <f t="shared" si="78"/>
        <v>12088471.471216328</v>
      </c>
      <c r="Z209" s="876">
        <f t="shared" si="78"/>
        <v>12088471.471216328</v>
      </c>
      <c r="AA209" s="876">
        <f t="shared" si="78"/>
        <v>12088471.471216328</v>
      </c>
      <c r="AB209" s="876">
        <f t="shared" si="78"/>
        <v>12088471.471216328</v>
      </c>
      <c r="AC209" s="876">
        <f t="shared" si="78"/>
        <v>12088471.471216328</v>
      </c>
      <c r="AD209" s="876">
        <f t="shared" si="78"/>
        <v>12088471.471216328</v>
      </c>
      <c r="AE209" s="876">
        <f t="shared" si="78"/>
        <v>12088471.471216328</v>
      </c>
      <c r="AF209" s="876">
        <f t="shared" si="78"/>
        <v>12088471.471216328</v>
      </c>
      <c r="AG209" s="876">
        <f t="shared" si="78"/>
        <v>12088471.471216328</v>
      </c>
      <c r="AH209" s="876">
        <f t="shared" si="78"/>
        <v>12088471.471216328</v>
      </c>
      <c r="AI209" s="876">
        <f t="shared" si="78"/>
        <v>12088471.471216328</v>
      </c>
      <c r="AJ209" s="876">
        <f t="shared" si="78"/>
        <v>12088471.471216328</v>
      </c>
      <c r="AK209" s="876">
        <f t="shared" si="78"/>
        <v>12088471.471216328</v>
      </c>
      <c r="AL209" s="876">
        <f t="shared" si="78"/>
        <v>12088471.471216328</v>
      </c>
      <c r="AM209" s="876">
        <f t="shared" si="78"/>
        <v>12088471.471216328</v>
      </c>
      <c r="AN209" s="876">
        <f t="shared" si="78"/>
        <v>12088471.471216328</v>
      </c>
      <c r="AO209" s="876">
        <f t="shared" si="78"/>
        <v>12088471.471216328</v>
      </c>
      <c r="AP209" s="876">
        <f t="shared" si="78"/>
        <v>12088471.471216328</v>
      </c>
      <c r="AQ209" s="876">
        <f t="shared" si="78"/>
        <v>12088471.471216328</v>
      </c>
      <c r="AR209" s="876">
        <f t="shared" si="78"/>
        <v>12088471.471216328</v>
      </c>
      <c r="AS209" s="876">
        <f t="shared" si="78"/>
        <v>12088471.471216328</v>
      </c>
      <c r="AT209" s="876">
        <f t="shared" si="78"/>
        <v>12088471.471216328</v>
      </c>
      <c r="AU209" s="876">
        <f t="shared" si="78"/>
        <v>12088471.471216328</v>
      </c>
      <c r="AZ209" s="179"/>
      <c r="BA209" s="179"/>
      <c r="BB209" s="179"/>
      <c r="BC209" s="179"/>
      <c r="BD209" s="179"/>
      <c r="BE209" s="179"/>
      <c r="BF209" s="179"/>
    </row>
    <row r="210" spans="1:58" s="214" customFormat="1" ht="15.75" customHeight="1" outlineLevel="1">
      <c r="C210" s="1216" t="s">
        <v>1902</v>
      </c>
      <c r="D210" s="181"/>
      <c r="E210" s="179"/>
      <c r="F210" s="179"/>
      <c r="G210" s="179"/>
      <c r="K210" s="179"/>
      <c r="L210" s="179"/>
      <c r="M210" s="185"/>
      <c r="R210" s="1203">
        <f>R134</f>
        <v>1496.9886119794937</v>
      </c>
      <c r="S210" s="1203"/>
      <c r="T210" s="1203">
        <f>T134</f>
        <v>1496.9886119794937</v>
      </c>
      <c r="U210" s="1203">
        <f t="shared" si="75"/>
        <v>1496.9886119794937</v>
      </c>
      <c r="V210" s="1203">
        <f t="shared" ref="V210:AU210" si="79">V134</f>
        <v>10439.660303458459</v>
      </c>
      <c r="W210" s="1203">
        <f t="shared" si="79"/>
        <v>12155.768846492723</v>
      </c>
      <c r="X210" s="1203">
        <f t="shared" si="79"/>
        <v>12155.768846492723</v>
      </c>
      <c r="Y210" s="1203">
        <f t="shared" si="79"/>
        <v>12155.768846492723</v>
      </c>
      <c r="Z210" s="1203">
        <f t="shared" si="79"/>
        <v>12155.768846492723</v>
      </c>
      <c r="AA210" s="1203">
        <f t="shared" si="79"/>
        <v>12155.768846492723</v>
      </c>
      <c r="AB210" s="1203">
        <f t="shared" si="79"/>
        <v>12155.768846492723</v>
      </c>
      <c r="AC210" s="1203">
        <f t="shared" si="79"/>
        <v>12155.768846492723</v>
      </c>
      <c r="AD210" s="1203">
        <f t="shared" si="79"/>
        <v>12155.768846492723</v>
      </c>
      <c r="AE210" s="1203">
        <f t="shared" si="79"/>
        <v>12155.768846492723</v>
      </c>
      <c r="AF210" s="1203">
        <f t="shared" si="79"/>
        <v>12155.768846492723</v>
      </c>
      <c r="AG210" s="1203">
        <f t="shared" si="79"/>
        <v>12155.768846492723</v>
      </c>
      <c r="AH210" s="1203">
        <f t="shared" si="79"/>
        <v>12155.768846492723</v>
      </c>
      <c r="AI210" s="1203">
        <f t="shared" si="79"/>
        <v>12155.768846492723</v>
      </c>
      <c r="AJ210" s="1203">
        <f t="shared" si="79"/>
        <v>12155.768846492723</v>
      </c>
      <c r="AK210" s="1203">
        <f t="shared" si="79"/>
        <v>12155.768846492723</v>
      </c>
      <c r="AL210" s="1203">
        <f t="shared" si="79"/>
        <v>12155.768846492723</v>
      </c>
      <c r="AM210" s="1203">
        <f t="shared" si="79"/>
        <v>12155.768846492723</v>
      </c>
      <c r="AN210" s="1203">
        <f t="shared" si="79"/>
        <v>12155.768846492723</v>
      </c>
      <c r="AO210" s="1203">
        <f t="shared" si="79"/>
        <v>12155.768846492723</v>
      </c>
      <c r="AP210" s="1203">
        <f t="shared" si="79"/>
        <v>12155.768846492723</v>
      </c>
      <c r="AQ210" s="1203">
        <f t="shared" si="79"/>
        <v>12155.768846492723</v>
      </c>
      <c r="AR210" s="1203">
        <f t="shared" si="79"/>
        <v>12155.768846492723</v>
      </c>
      <c r="AS210" s="1203">
        <f t="shared" si="79"/>
        <v>12155.768846492723</v>
      </c>
      <c r="AT210" s="1203">
        <f t="shared" si="79"/>
        <v>12155.768846492723</v>
      </c>
      <c r="AU210" s="1203">
        <f t="shared" si="79"/>
        <v>12155.768846492723</v>
      </c>
      <c r="AZ210" s="179"/>
      <c r="BA210" s="179"/>
      <c r="BB210" s="179"/>
      <c r="BC210" s="179"/>
      <c r="BD210" s="179"/>
      <c r="BE210" s="179"/>
      <c r="BF210" s="179"/>
    </row>
    <row r="211" spans="1:58" s="214" customFormat="1" ht="15.75" customHeight="1" outlineLevel="1">
      <c r="C211" s="184" t="s">
        <v>1903</v>
      </c>
      <c r="D211" s="181"/>
      <c r="E211" s="179"/>
      <c r="F211" s="179"/>
      <c r="G211" s="179"/>
      <c r="K211" s="179"/>
      <c r="L211" s="179"/>
      <c r="M211" s="185"/>
      <c r="R211" s="1203">
        <f>R210*Fenix!$R$40</f>
        <v>354786.30103914003</v>
      </c>
      <c r="S211" s="1203"/>
      <c r="T211" s="1203">
        <f>T210*Fenix!$R$40</f>
        <v>354786.30103914003</v>
      </c>
      <c r="U211" s="1203">
        <f t="shared" si="75"/>
        <v>354786.30103914003</v>
      </c>
      <c r="V211" s="1203">
        <f>V210*Fenix!$R$40</f>
        <v>2474199.4919196549</v>
      </c>
      <c r="W211" s="1203">
        <f>W210*Fenix!$R$40</f>
        <v>2880917.2166187754</v>
      </c>
      <c r="X211" s="1203">
        <f>X210*Fenix!$R$40</f>
        <v>2880917.2166187754</v>
      </c>
      <c r="Y211" s="1203">
        <f>Y210*Fenix!$R$40</f>
        <v>2880917.2166187754</v>
      </c>
      <c r="Z211" s="1203">
        <f>Z210*Fenix!$R$40</f>
        <v>2880917.2166187754</v>
      </c>
      <c r="AA211" s="1203">
        <f>AA210*Fenix!$R$40</f>
        <v>2880917.2166187754</v>
      </c>
      <c r="AB211" s="1203">
        <f>AB210*Fenix!$R$40</f>
        <v>2880917.2166187754</v>
      </c>
      <c r="AC211" s="1203">
        <f>AC210*Fenix!$R$40</f>
        <v>2880917.2166187754</v>
      </c>
      <c r="AD211" s="1203">
        <f>AD210*Fenix!$R$40</f>
        <v>2880917.2166187754</v>
      </c>
      <c r="AE211" s="1203">
        <f>AE210*Fenix!$R$40</f>
        <v>2880917.2166187754</v>
      </c>
      <c r="AF211" s="1203">
        <f>AF210*Fenix!$R$40</f>
        <v>2880917.2166187754</v>
      </c>
      <c r="AG211" s="1203">
        <f>AG210*Fenix!$R$40</f>
        <v>2880917.2166187754</v>
      </c>
      <c r="AH211" s="1203">
        <f>AH210*Fenix!$R$40</f>
        <v>2880917.2166187754</v>
      </c>
      <c r="AI211" s="1203">
        <f>AI210*Fenix!$R$40</f>
        <v>2880917.2166187754</v>
      </c>
      <c r="AJ211" s="1203">
        <f>AJ210*Fenix!$R$40</f>
        <v>2880917.2166187754</v>
      </c>
      <c r="AK211" s="1203">
        <f>AK210*Fenix!$R$40</f>
        <v>2880917.2166187754</v>
      </c>
      <c r="AL211" s="1203">
        <f>AL210*Fenix!$R$40</f>
        <v>2880917.2166187754</v>
      </c>
      <c r="AM211" s="1203">
        <f>AM210*Fenix!$R$40</f>
        <v>2880917.2166187754</v>
      </c>
      <c r="AN211" s="1203">
        <f>AN210*Fenix!$R$40</f>
        <v>2880917.2166187754</v>
      </c>
      <c r="AO211" s="1203">
        <f>AO210*Fenix!$R$40</f>
        <v>2880917.2166187754</v>
      </c>
      <c r="AP211" s="1203">
        <f>AP210*Fenix!$R$40</f>
        <v>2880917.2166187754</v>
      </c>
      <c r="AQ211" s="1203">
        <f>AQ210*Fenix!$R$40</f>
        <v>2880917.2166187754</v>
      </c>
      <c r="AR211" s="1203">
        <f>AR210*Fenix!$R$40</f>
        <v>2880917.2166187754</v>
      </c>
      <c r="AS211" s="1203">
        <f>AS210*Fenix!$R$40</f>
        <v>2880917.2166187754</v>
      </c>
      <c r="AT211" s="1203">
        <f>AT210*Fenix!$R$40</f>
        <v>2880917.2166187754</v>
      </c>
      <c r="AU211" s="1203">
        <f>AU210*Fenix!$R$40</f>
        <v>2880917.2166187754</v>
      </c>
      <c r="AZ211" s="179"/>
      <c r="BA211" s="179"/>
      <c r="BB211" s="179"/>
      <c r="BC211" s="179"/>
      <c r="BD211" s="179"/>
      <c r="BE211" s="179"/>
      <c r="BF211" s="179"/>
    </row>
    <row r="212" spans="1:58" s="214" customFormat="1" ht="15.75" customHeight="1" outlineLevel="1">
      <c r="C212" s="184" t="s">
        <v>950</v>
      </c>
      <c r="D212" s="181"/>
      <c r="E212" s="179"/>
      <c r="F212" s="179"/>
      <c r="G212" s="179"/>
      <c r="K212" s="179"/>
      <c r="L212" s="179"/>
      <c r="M212" s="185"/>
      <c r="R212" s="1203">
        <f>R172*R74</f>
        <v>1133914.6077372823</v>
      </c>
      <c r="S212" s="1203"/>
      <c r="T212" s="1203">
        <f>T172*T74</f>
        <v>1133914.6077372823</v>
      </c>
      <c r="U212" s="1203">
        <f t="shared" si="75"/>
        <v>1133914.6077372823</v>
      </c>
      <c r="V212" s="1203">
        <f t="shared" ref="V212:AU212" si="80">V172*V74</f>
        <v>7907664.2421837822</v>
      </c>
      <c r="W212" s="1203">
        <f t="shared" si="80"/>
        <v>9207554.254597554</v>
      </c>
      <c r="X212" s="1203">
        <f t="shared" si="80"/>
        <v>9207554.254597554</v>
      </c>
      <c r="Y212" s="1203">
        <f t="shared" si="80"/>
        <v>9207554.254597554</v>
      </c>
      <c r="Z212" s="1203">
        <f t="shared" si="80"/>
        <v>9207554.254597554</v>
      </c>
      <c r="AA212" s="1203">
        <f t="shared" si="80"/>
        <v>9207554.254597554</v>
      </c>
      <c r="AB212" s="1203">
        <f t="shared" si="80"/>
        <v>9207554.254597554</v>
      </c>
      <c r="AC212" s="1203">
        <f t="shared" si="80"/>
        <v>9207554.254597554</v>
      </c>
      <c r="AD212" s="1203">
        <f t="shared" si="80"/>
        <v>9207554.254597554</v>
      </c>
      <c r="AE212" s="1203">
        <f t="shared" si="80"/>
        <v>9207554.254597554</v>
      </c>
      <c r="AF212" s="1203">
        <f t="shared" si="80"/>
        <v>9207554.254597554</v>
      </c>
      <c r="AG212" s="1203">
        <f t="shared" si="80"/>
        <v>9207554.254597554</v>
      </c>
      <c r="AH212" s="1203">
        <f t="shared" si="80"/>
        <v>9207554.254597554</v>
      </c>
      <c r="AI212" s="1203">
        <f t="shared" si="80"/>
        <v>9207554.254597554</v>
      </c>
      <c r="AJ212" s="1203">
        <f t="shared" si="80"/>
        <v>9207554.254597554</v>
      </c>
      <c r="AK212" s="1203">
        <f t="shared" si="80"/>
        <v>9207554.254597554</v>
      </c>
      <c r="AL212" s="1203">
        <f t="shared" si="80"/>
        <v>9207554.254597554</v>
      </c>
      <c r="AM212" s="1203">
        <f t="shared" si="80"/>
        <v>9207554.254597554</v>
      </c>
      <c r="AN212" s="1203">
        <f t="shared" si="80"/>
        <v>9207554.254597554</v>
      </c>
      <c r="AO212" s="1203">
        <f t="shared" si="80"/>
        <v>9207554.254597554</v>
      </c>
      <c r="AP212" s="1203">
        <f t="shared" si="80"/>
        <v>9207554.254597554</v>
      </c>
      <c r="AQ212" s="1203">
        <f t="shared" si="80"/>
        <v>9207554.254597554</v>
      </c>
      <c r="AR212" s="1203">
        <f t="shared" si="80"/>
        <v>9207554.254597554</v>
      </c>
      <c r="AS212" s="1203">
        <f t="shared" si="80"/>
        <v>9207554.254597554</v>
      </c>
      <c r="AT212" s="1203">
        <f t="shared" si="80"/>
        <v>9207554.254597554</v>
      </c>
      <c r="AU212" s="1203">
        <f t="shared" si="80"/>
        <v>9207554.254597554</v>
      </c>
      <c r="AZ212" s="179"/>
      <c r="BA212" s="179"/>
      <c r="BB212" s="179"/>
      <c r="BC212" s="179"/>
      <c r="BD212" s="179"/>
      <c r="BE212" s="179"/>
      <c r="BF212" s="179"/>
    </row>
    <row r="213" spans="1:58" s="214" customFormat="1" ht="15.75" customHeight="1" outlineLevel="1">
      <c r="C213" s="1214"/>
      <c r="D213" s="181"/>
      <c r="E213" s="179"/>
      <c r="F213" s="179"/>
      <c r="G213" s="179"/>
      <c r="K213" s="179"/>
      <c r="L213" s="179"/>
      <c r="M213" s="185"/>
      <c r="R213" s="179"/>
      <c r="S213" s="179"/>
      <c r="T213" s="179"/>
      <c r="U213" s="179">
        <f t="shared" si="75"/>
        <v>0</v>
      </c>
      <c r="V213" s="179"/>
      <c r="W213" s="179"/>
      <c r="X213" s="179"/>
      <c r="Y213" s="179"/>
      <c r="Z213" s="179"/>
      <c r="AA213" s="179"/>
      <c r="AB213" s="179"/>
      <c r="AC213" s="179"/>
      <c r="AD213" s="179"/>
      <c r="AE213" s="179"/>
      <c r="AF213" s="179"/>
      <c r="AG213" s="179"/>
      <c r="AH213" s="179"/>
      <c r="AI213" s="179"/>
      <c r="AJ213" s="179"/>
      <c r="AK213" s="179"/>
      <c r="AL213" s="179"/>
      <c r="AM213" s="179"/>
      <c r="AN213" s="179"/>
      <c r="AO213" s="179"/>
      <c r="AP213" s="179"/>
      <c r="AQ213" s="179"/>
      <c r="AR213" s="179"/>
      <c r="AS213" s="179"/>
      <c r="AT213" s="179"/>
      <c r="AU213" s="179"/>
      <c r="AZ213" s="179"/>
      <c r="BA213" s="179"/>
      <c r="BB213" s="179"/>
      <c r="BC213" s="179"/>
      <c r="BD213" s="179"/>
      <c r="BE213" s="179"/>
      <c r="BF213" s="179"/>
    </row>
    <row r="214" spans="1:58" s="214" customFormat="1" ht="15.75" customHeight="1" outlineLevel="1">
      <c r="C214" s="1214" t="s">
        <v>1909</v>
      </c>
      <c r="D214" s="181"/>
      <c r="E214" s="179"/>
      <c r="F214" s="179"/>
      <c r="G214" s="179"/>
      <c r="K214" s="179"/>
      <c r="L214" s="179"/>
      <c r="M214" s="185"/>
      <c r="R214" s="876">
        <f>R216+R224+R218</f>
        <v>17745849.366666667</v>
      </c>
      <c r="S214" s="876"/>
      <c r="T214" s="876">
        <f>T216+T224+T218</f>
        <v>17745849.366666667</v>
      </c>
      <c r="U214" s="876">
        <f t="shared" si="75"/>
        <v>17745849.366666667</v>
      </c>
      <c r="V214" s="876">
        <f t="shared" ref="V214:AU214" si="81">V216+V224+V218</f>
        <v>20464756.48</v>
      </c>
      <c r="W214" s="876">
        <f t="shared" si="81"/>
        <v>20464756.48</v>
      </c>
      <c r="X214" s="876">
        <f t="shared" si="81"/>
        <v>20464756.48</v>
      </c>
      <c r="Y214" s="876">
        <f t="shared" si="81"/>
        <v>20464756.48</v>
      </c>
      <c r="Z214" s="876">
        <f t="shared" si="81"/>
        <v>20464756.48</v>
      </c>
      <c r="AA214" s="876">
        <f t="shared" si="81"/>
        <v>20464756.48</v>
      </c>
      <c r="AB214" s="876">
        <f t="shared" si="81"/>
        <v>20464756.48</v>
      </c>
      <c r="AC214" s="876">
        <f t="shared" si="81"/>
        <v>20464756.48</v>
      </c>
      <c r="AD214" s="876">
        <f t="shared" si="81"/>
        <v>20464756.48</v>
      </c>
      <c r="AE214" s="876">
        <f t="shared" si="81"/>
        <v>20464756.48</v>
      </c>
      <c r="AF214" s="876">
        <f t="shared" si="81"/>
        <v>20464756.48</v>
      </c>
      <c r="AG214" s="876">
        <f t="shared" si="81"/>
        <v>20464756.48</v>
      </c>
      <c r="AH214" s="876">
        <f t="shared" si="81"/>
        <v>20464756.48</v>
      </c>
      <c r="AI214" s="876">
        <f t="shared" si="81"/>
        <v>20464756.48</v>
      </c>
      <c r="AJ214" s="876">
        <f t="shared" si="81"/>
        <v>20464756.48</v>
      </c>
      <c r="AK214" s="876">
        <f t="shared" si="81"/>
        <v>20464756.48</v>
      </c>
      <c r="AL214" s="876">
        <f t="shared" si="81"/>
        <v>20464756.48</v>
      </c>
      <c r="AM214" s="876">
        <f t="shared" si="81"/>
        <v>20464756.48</v>
      </c>
      <c r="AN214" s="876">
        <f t="shared" si="81"/>
        <v>20464756.48</v>
      </c>
      <c r="AO214" s="876">
        <f t="shared" si="81"/>
        <v>20464756.48</v>
      </c>
      <c r="AP214" s="876">
        <f t="shared" si="81"/>
        <v>20464756.48</v>
      </c>
      <c r="AQ214" s="876">
        <f t="shared" si="81"/>
        <v>20464756.48</v>
      </c>
      <c r="AR214" s="876">
        <f t="shared" si="81"/>
        <v>20464756.48</v>
      </c>
      <c r="AS214" s="876">
        <f t="shared" si="81"/>
        <v>20464756.48</v>
      </c>
      <c r="AT214" s="876">
        <f t="shared" si="81"/>
        <v>20464756.48</v>
      </c>
      <c r="AU214" s="876">
        <f t="shared" si="81"/>
        <v>20464756.48</v>
      </c>
      <c r="AZ214" s="179"/>
      <c r="BA214" s="179"/>
      <c r="BB214" s="179"/>
      <c r="BC214" s="179"/>
      <c r="BD214" s="179"/>
      <c r="BE214" s="179"/>
      <c r="BF214" s="179"/>
    </row>
    <row r="215" spans="1:58" s="214" customFormat="1" ht="15.75" customHeight="1" outlineLevel="1">
      <c r="C215" s="1216" t="s">
        <v>1904</v>
      </c>
      <c r="D215" s="181"/>
      <c r="E215" s="179"/>
      <c r="F215" s="179"/>
      <c r="G215" s="179"/>
      <c r="K215" s="179"/>
      <c r="L215" s="179"/>
      <c r="M215" s="185"/>
      <c r="R215" s="1203">
        <f>R135</f>
        <v>20203.2</v>
      </c>
      <c r="S215" s="1203"/>
      <c r="T215" s="1203">
        <f>T135</f>
        <v>20203.2</v>
      </c>
      <c r="U215" s="1203">
        <f t="shared" si="75"/>
        <v>20203.2</v>
      </c>
      <c r="V215" s="1203">
        <f t="shared" ref="V215:AU215" si="82">V135</f>
        <v>33672</v>
      </c>
      <c r="W215" s="1203">
        <f t="shared" si="82"/>
        <v>33672</v>
      </c>
      <c r="X215" s="1203">
        <f t="shared" si="82"/>
        <v>33672</v>
      </c>
      <c r="Y215" s="1203">
        <f t="shared" si="82"/>
        <v>33672</v>
      </c>
      <c r="Z215" s="1203">
        <f t="shared" si="82"/>
        <v>33672</v>
      </c>
      <c r="AA215" s="1203">
        <f t="shared" si="82"/>
        <v>33672</v>
      </c>
      <c r="AB215" s="1203">
        <f t="shared" si="82"/>
        <v>33672</v>
      </c>
      <c r="AC215" s="1203">
        <f t="shared" si="82"/>
        <v>33672</v>
      </c>
      <c r="AD215" s="1203">
        <f t="shared" si="82"/>
        <v>33672</v>
      </c>
      <c r="AE215" s="1203">
        <f t="shared" si="82"/>
        <v>33672</v>
      </c>
      <c r="AF215" s="1203">
        <f t="shared" si="82"/>
        <v>33672</v>
      </c>
      <c r="AG215" s="1203">
        <f t="shared" si="82"/>
        <v>33672</v>
      </c>
      <c r="AH215" s="1203">
        <f t="shared" si="82"/>
        <v>33672</v>
      </c>
      <c r="AI215" s="1203">
        <f t="shared" si="82"/>
        <v>33672</v>
      </c>
      <c r="AJ215" s="1203">
        <f t="shared" si="82"/>
        <v>33672</v>
      </c>
      <c r="AK215" s="1203">
        <f t="shared" si="82"/>
        <v>33672</v>
      </c>
      <c r="AL215" s="1203">
        <f t="shared" si="82"/>
        <v>33672</v>
      </c>
      <c r="AM215" s="1203">
        <f t="shared" si="82"/>
        <v>33672</v>
      </c>
      <c r="AN215" s="1203">
        <f t="shared" si="82"/>
        <v>33672</v>
      </c>
      <c r="AO215" s="1203">
        <f t="shared" si="82"/>
        <v>33672</v>
      </c>
      <c r="AP215" s="1203">
        <f t="shared" si="82"/>
        <v>33672</v>
      </c>
      <c r="AQ215" s="1203">
        <f t="shared" si="82"/>
        <v>33672</v>
      </c>
      <c r="AR215" s="1203">
        <f t="shared" si="82"/>
        <v>33672</v>
      </c>
      <c r="AS215" s="1203">
        <f t="shared" si="82"/>
        <v>33672</v>
      </c>
      <c r="AT215" s="1203">
        <f t="shared" si="82"/>
        <v>33672</v>
      </c>
      <c r="AU215" s="1203">
        <f t="shared" si="82"/>
        <v>33672</v>
      </c>
      <c r="AZ215" s="179"/>
      <c r="BA215" s="179"/>
      <c r="BB215" s="179"/>
      <c r="BC215" s="179"/>
      <c r="BD215" s="179"/>
      <c r="BE215" s="179"/>
      <c r="BF215" s="179"/>
    </row>
    <row r="216" spans="1:58" s="225" customFormat="1" ht="15.75" customHeight="1" outlineLevel="1">
      <c r="A216" s="214"/>
      <c r="C216" s="1221" t="s">
        <v>922</v>
      </c>
      <c r="D216" s="207"/>
      <c r="M216" s="194"/>
      <c r="R216" s="876">
        <f>R215*Fenix!R40</f>
        <v>4788158.4000000004</v>
      </c>
      <c r="S216" s="876"/>
      <c r="T216" s="876">
        <f>T215*Fenix!T40</f>
        <v>4788158.4000000004</v>
      </c>
      <c r="U216" s="876">
        <f t="shared" si="75"/>
        <v>4788158.4000000004</v>
      </c>
      <c r="V216" s="876">
        <f>V215*Fenix!V40</f>
        <v>3210288.48</v>
      </c>
      <c r="W216" s="876">
        <f>W215*Fenix!W40</f>
        <v>3210288.48</v>
      </c>
      <c r="X216" s="876">
        <f>X215*Fenix!X40</f>
        <v>3210288.48</v>
      </c>
      <c r="Y216" s="876">
        <f>Y215*Fenix!Y40</f>
        <v>3210288.48</v>
      </c>
      <c r="Z216" s="876">
        <f>Z215*Fenix!Z40</f>
        <v>3210288.48</v>
      </c>
      <c r="AA216" s="876">
        <f>AA215*Fenix!AA40</f>
        <v>3210288.48</v>
      </c>
      <c r="AB216" s="876">
        <f>AB215*Fenix!AB40</f>
        <v>3210288.48</v>
      </c>
      <c r="AC216" s="876">
        <f>AC215*Fenix!AC40</f>
        <v>3210288.48</v>
      </c>
      <c r="AD216" s="876">
        <f>AD215*Fenix!AD40</f>
        <v>3210288.48</v>
      </c>
      <c r="AE216" s="876">
        <f>AE215*Fenix!AE40</f>
        <v>3210288.48</v>
      </c>
      <c r="AF216" s="876">
        <f>AF215*Fenix!AF40</f>
        <v>3210288.48</v>
      </c>
      <c r="AG216" s="876">
        <f>AG215*Fenix!AG40</f>
        <v>3210288.48</v>
      </c>
      <c r="AH216" s="876">
        <f>AH215*Fenix!AH40</f>
        <v>3210288.48</v>
      </c>
      <c r="AI216" s="876">
        <f>AI215*Fenix!AI40</f>
        <v>3210288.48</v>
      </c>
      <c r="AJ216" s="876">
        <f>AJ215*Fenix!AJ40</f>
        <v>3210288.48</v>
      </c>
      <c r="AK216" s="876">
        <f>AK215*Fenix!AK40</f>
        <v>3210288.48</v>
      </c>
      <c r="AL216" s="876">
        <f>AL215*Fenix!AL40</f>
        <v>3210288.48</v>
      </c>
      <c r="AM216" s="876">
        <f>AM215*Fenix!AM40</f>
        <v>3210288.48</v>
      </c>
      <c r="AN216" s="876">
        <f>AN215*Fenix!AN40</f>
        <v>3210288.48</v>
      </c>
      <c r="AO216" s="876">
        <f>AO215*Fenix!AO40</f>
        <v>3210288.48</v>
      </c>
      <c r="AP216" s="876">
        <f>AP215*Fenix!AP40</f>
        <v>3210288.48</v>
      </c>
      <c r="AQ216" s="876">
        <f>AQ215*Fenix!AQ40</f>
        <v>3210288.48</v>
      </c>
      <c r="AR216" s="876">
        <f>AR215*Fenix!AR40</f>
        <v>3210288.48</v>
      </c>
      <c r="AS216" s="876">
        <f>AS215*Fenix!AS40</f>
        <v>3210288.48</v>
      </c>
      <c r="AT216" s="876">
        <f>AT215*Fenix!AT40</f>
        <v>3210288.48</v>
      </c>
      <c r="AU216" s="876">
        <f>AU215*Fenix!AU40</f>
        <v>3210288.48</v>
      </c>
    </row>
    <row r="217" spans="1:58" s="214" customFormat="1" ht="15.75" customHeight="1" outlineLevel="1">
      <c r="C217" s="1222"/>
      <c r="D217" s="216"/>
      <c r="E217" s="216"/>
      <c r="F217" s="216"/>
      <c r="G217" s="216"/>
      <c r="J217" s="216"/>
      <c r="K217" s="216"/>
      <c r="L217" s="216"/>
      <c r="M217" s="222"/>
      <c r="N217" s="222"/>
      <c r="O217" s="216"/>
      <c r="P217" s="216"/>
      <c r="Q217" s="216"/>
      <c r="R217" s="181"/>
      <c r="S217" s="181"/>
      <c r="T217" s="181"/>
      <c r="U217" s="181">
        <f t="shared" si="75"/>
        <v>0</v>
      </c>
      <c r="V217" s="181"/>
      <c r="W217" s="181"/>
      <c r="X217" s="181"/>
      <c r="Y217" s="181"/>
      <c r="Z217" s="181"/>
      <c r="AA217" s="181"/>
      <c r="AB217" s="181"/>
      <c r="AC217" s="181"/>
      <c r="AD217" s="181"/>
      <c r="AE217" s="181"/>
      <c r="AF217" s="181"/>
      <c r="AG217" s="181"/>
      <c r="AH217" s="181"/>
      <c r="AI217" s="181"/>
      <c r="AJ217" s="181"/>
      <c r="AK217" s="181"/>
      <c r="AL217" s="181"/>
      <c r="AM217" s="181"/>
      <c r="AN217" s="181"/>
      <c r="AO217" s="181"/>
      <c r="AP217" s="181"/>
      <c r="AQ217" s="181"/>
      <c r="AR217" s="181"/>
      <c r="AS217" s="181"/>
      <c r="AT217" s="181"/>
      <c r="AU217" s="181"/>
      <c r="AV217" s="216"/>
      <c r="AW217" s="216"/>
      <c r="AX217" s="216"/>
      <c r="AY217" s="216"/>
    </row>
    <row r="218" spans="1:58" s="214" customFormat="1" ht="15.75" customHeight="1" outlineLevel="1">
      <c r="C218" s="1221" t="s">
        <v>1910</v>
      </c>
      <c r="D218" s="216"/>
      <c r="E218" s="216"/>
      <c r="F218" s="216"/>
      <c r="G218" s="216"/>
      <c r="J218" s="216"/>
      <c r="K218" s="216"/>
      <c r="L218" s="216"/>
      <c r="M218" s="222"/>
      <c r="N218" s="222"/>
      <c r="O218" s="216"/>
      <c r="P218" s="216"/>
      <c r="Q218" s="216"/>
      <c r="R218" s="207">
        <f>SUM(R219:R222)</f>
        <v>8392050</v>
      </c>
      <c r="S218" s="207"/>
      <c r="T218" s="207">
        <f>SUM(T219:T222)</f>
        <v>8392050</v>
      </c>
      <c r="U218" s="207">
        <f t="shared" si="75"/>
        <v>8392050</v>
      </c>
      <c r="V218" s="207">
        <f t="shared" ref="V218:AU218" si="83">SUM(V219:V222)</f>
        <v>10557170</v>
      </c>
      <c r="W218" s="207">
        <f t="shared" si="83"/>
        <v>10557170</v>
      </c>
      <c r="X218" s="207">
        <f t="shared" si="83"/>
        <v>10557170</v>
      </c>
      <c r="Y218" s="207">
        <f t="shared" si="83"/>
        <v>10557170</v>
      </c>
      <c r="Z218" s="207">
        <f t="shared" si="83"/>
        <v>10557170</v>
      </c>
      <c r="AA218" s="207">
        <f t="shared" si="83"/>
        <v>10557170</v>
      </c>
      <c r="AB218" s="207">
        <f t="shared" si="83"/>
        <v>10557170</v>
      </c>
      <c r="AC218" s="207">
        <f t="shared" si="83"/>
        <v>10557170</v>
      </c>
      <c r="AD218" s="207">
        <f t="shared" si="83"/>
        <v>10557170</v>
      </c>
      <c r="AE218" s="207">
        <f t="shared" si="83"/>
        <v>10557170</v>
      </c>
      <c r="AF218" s="207">
        <f t="shared" si="83"/>
        <v>10557170</v>
      </c>
      <c r="AG218" s="207">
        <f t="shared" si="83"/>
        <v>10557170</v>
      </c>
      <c r="AH218" s="207">
        <f t="shared" si="83"/>
        <v>10557170</v>
      </c>
      <c r="AI218" s="207">
        <f t="shared" si="83"/>
        <v>10557170</v>
      </c>
      <c r="AJ218" s="207">
        <f t="shared" si="83"/>
        <v>10557170</v>
      </c>
      <c r="AK218" s="207">
        <f t="shared" si="83"/>
        <v>10557170</v>
      </c>
      <c r="AL218" s="207">
        <f t="shared" si="83"/>
        <v>10557170</v>
      </c>
      <c r="AM218" s="207">
        <f t="shared" si="83"/>
        <v>10557170</v>
      </c>
      <c r="AN218" s="207">
        <f t="shared" si="83"/>
        <v>10557170</v>
      </c>
      <c r="AO218" s="207">
        <f t="shared" si="83"/>
        <v>10557170</v>
      </c>
      <c r="AP218" s="207">
        <f t="shared" si="83"/>
        <v>10557170</v>
      </c>
      <c r="AQ218" s="207">
        <f t="shared" si="83"/>
        <v>10557170</v>
      </c>
      <c r="AR218" s="207">
        <f t="shared" si="83"/>
        <v>10557170</v>
      </c>
      <c r="AS218" s="207">
        <f t="shared" si="83"/>
        <v>10557170</v>
      </c>
      <c r="AT218" s="207">
        <f t="shared" si="83"/>
        <v>10557170</v>
      </c>
      <c r="AU218" s="207">
        <f t="shared" si="83"/>
        <v>10557170</v>
      </c>
      <c r="AV218" s="216"/>
      <c r="AW218" s="216"/>
      <c r="AX218" s="216"/>
      <c r="AY218" s="216"/>
    </row>
    <row r="219" spans="1:58" s="179" customFormat="1" ht="15.75" customHeight="1" outlineLevel="1">
      <c r="C219" s="404" t="s">
        <v>952</v>
      </c>
      <c r="D219" s="181"/>
      <c r="E219" s="181"/>
      <c r="F219" s="181"/>
      <c r="G219" s="181"/>
      <c r="J219" s="181"/>
      <c r="K219" s="181"/>
      <c r="L219" s="181"/>
      <c r="M219" s="379"/>
      <c r="N219" s="379"/>
      <c r="O219" s="181"/>
      <c r="P219" s="181"/>
      <c r="Q219" s="181"/>
      <c r="R219" s="181">
        <f>1364800/5*3</f>
        <v>818880</v>
      </c>
      <c r="S219" s="181"/>
      <c r="T219" s="181">
        <f>1364800/5*3</f>
        <v>818880</v>
      </c>
      <c r="U219" s="181">
        <f t="shared" si="75"/>
        <v>818880</v>
      </c>
      <c r="V219" s="181">
        <v>1364800</v>
      </c>
      <c r="W219" s="181">
        <v>1364800</v>
      </c>
      <c r="X219" s="181">
        <v>1364800</v>
      </c>
      <c r="Y219" s="181">
        <v>1364800</v>
      </c>
      <c r="Z219" s="181">
        <v>1364800</v>
      </c>
      <c r="AA219" s="181">
        <v>1364800</v>
      </c>
      <c r="AB219" s="181">
        <v>1364800</v>
      </c>
      <c r="AC219" s="181">
        <v>1364800</v>
      </c>
      <c r="AD219" s="181">
        <v>1364800</v>
      </c>
      <c r="AE219" s="181">
        <v>1364800</v>
      </c>
      <c r="AF219" s="181">
        <v>1364800</v>
      </c>
      <c r="AG219" s="181">
        <v>1364800</v>
      </c>
      <c r="AH219" s="181">
        <v>1364800</v>
      </c>
      <c r="AI219" s="181">
        <v>1364800</v>
      </c>
      <c r="AJ219" s="181">
        <v>1364800</v>
      </c>
      <c r="AK219" s="181">
        <v>1364800</v>
      </c>
      <c r="AL219" s="181">
        <v>1364800</v>
      </c>
      <c r="AM219" s="181">
        <v>1364800</v>
      </c>
      <c r="AN219" s="181">
        <v>1364800</v>
      </c>
      <c r="AO219" s="181">
        <v>1364800</v>
      </c>
      <c r="AP219" s="181">
        <v>1364800</v>
      </c>
      <c r="AQ219" s="181">
        <v>1364800</v>
      </c>
      <c r="AR219" s="181">
        <v>1364800</v>
      </c>
      <c r="AS219" s="181">
        <v>1364800</v>
      </c>
      <c r="AT219" s="181">
        <v>1364800</v>
      </c>
      <c r="AU219" s="181">
        <v>1364800</v>
      </c>
      <c r="AV219" s="181"/>
      <c r="AW219" s="181"/>
      <c r="AX219" s="181"/>
      <c r="AY219" s="181"/>
    </row>
    <row r="220" spans="1:58" s="179" customFormat="1" ht="15.75" customHeight="1" outlineLevel="1">
      <c r="C220" s="404" t="s">
        <v>953</v>
      </c>
      <c r="D220" s="181"/>
      <c r="E220" s="181"/>
      <c r="F220" s="181"/>
      <c r="G220" s="181"/>
      <c r="J220" s="181"/>
      <c r="K220" s="181"/>
      <c r="L220" s="181"/>
      <c r="M220" s="379"/>
      <c r="N220" s="379"/>
      <c r="O220" s="181"/>
      <c r="P220" s="181"/>
      <c r="Q220" s="181"/>
      <c r="R220" s="181">
        <f>4048000/5*3</f>
        <v>2428800</v>
      </c>
      <c r="S220" s="181"/>
      <c r="T220" s="181">
        <f>4048000/5*3</f>
        <v>2428800</v>
      </c>
      <c r="U220" s="181">
        <f t="shared" si="75"/>
        <v>2428800</v>
      </c>
      <c r="V220" s="181">
        <v>4048000</v>
      </c>
      <c r="W220" s="181">
        <v>4048000</v>
      </c>
      <c r="X220" s="181">
        <v>4048000</v>
      </c>
      <c r="Y220" s="181">
        <v>4048000</v>
      </c>
      <c r="Z220" s="181">
        <v>4048000</v>
      </c>
      <c r="AA220" s="181">
        <v>4048000</v>
      </c>
      <c r="AB220" s="181">
        <v>4048000</v>
      </c>
      <c r="AC220" s="181">
        <v>4048000</v>
      </c>
      <c r="AD220" s="181">
        <v>4048000</v>
      </c>
      <c r="AE220" s="181">
        <v>4048000</v>
      </c>
      <c r="AF220" s="181">
        <v>4048000</v>
      </c>
      <c r="AG220" s="181">
        <v>4048000</v>
      </c>
      <c r="AH220" s="181">
        <v>4048000</v>
      </c>
      <c r="AI220" s="181">
        <v>4048000</v>
      </c>
      <c r="AJ220" s="181">
        <v>4048000</v>
      </c>
      <c r="AK220" s="181">
        <v>4048000</v>
      </c>
      <c r="AL220" s="181">
        <v>4048000</v>
      </c>
      <c r="AM220" s="181">
        <v>4048000</v>
      </c>
      <c r="AN220" s="181">
        <v>4048000</v>
      </c>
      <c r="AO220" s="181">
        <v>4048000</v>
      </c>
      <c r="AP220" s="181">
        <v>4048000</v>
      </c>
      <c r="AQ220" s="181">
        <v>4048000</v>
      </c>
      <c r="AR220" s="181">
        <v>4048000</v>
      </c>
      <c r="AS220" s="181">
        <v>4048000</v>
      </c>
      <c r="AT220" s="181">
        <v>4048000</v>
      </c>
      <c r="AU220" s="181">
        <v>4048000</v>
      </c>
      <c r="AV220" s="181"/>
      <c r="AW220" s="181"/>
      <c r="AX220" s="181"/>
      <c r="AY220" s="181"/>
    </row>
    <row r="221" spans="1:58" s="179" customFormat="1" ht="15.75" customHeight="1" outlineLevel="1">
      <c r="C221" s="404" t="s">
        <v>954</v>
      </c>
      <c r="D221" s="181"/>
      <c r="E221" s="181"/>
      <c r="F221" s="181"/>
      <c r="G221" s="181"/>
      <c r="J221" s="181"/>
      <c r="K221" s="181"/>
      <c r="L221" s="181"/>
      <c r="M221" s="379"/>
      <c r="N221" s="379"/>
      <c r="O221" s="181"/>
      <c r="P221" s="181"/>
      <c r="Q221" s="181"/>
      <c r="R221" s="181">
        <v>2877370</v>
      </c>
      <c r="S221" s="181"/>
      <c r="T221" s="181">
        <v>2877370</v>
      </c>
      <c r="U221" s="181">
        <f t="shared" si="75"/>
        <v>2877370</v>
      </c>
      <c r="V221" s="181">
        <v>2877370</v>
      </c>
      <c r="W221" s="181">
        <v>2877370</v>
      </c>
      <c r="X221" s="181">
        <v>2877370</v>
      </c>
      <c r="Y221" s="181">
        <v>2877370</v>
      </c>
      <c r="Z221" s="181">
        <v>2877370</v>
      </c>
      <c r="AA221" s="181">
        <v>2877370</v>
      </c>
      <c r="AB221" s="181">
        <v>2877370</v>
      </c>
      <c r="AC221" s="181">
        <v>2877370</v>
      </c>
      <c r="AD221" s="181">
        <v>2877370</v>
      </c>
      <c r="AE221" s="181">
        <v>2877370</v>
      </c>
      <c r="AF221" s="181">
        <v>2877370</v>
      </c>
      <c r="AG221" s="181">
        <v>2877370</v>
      </c>
      <c r="AH221" s="181">
        <v>2877370</v>
      </c>
      <c r="AI221" s="181">
        <v>2877370</v>
      </c>
      <c r="AJ221" s="181">
        <v>2877370</v>
      </c>
      <c r="AK221" s="181">
        <v>2877370</v>
      </c>
      <c r="AL221" s="181">
        <v>2877370</v>
      </c>
      <c r="AM221" s="181">
        <v>2877370</v>
      </c>
      <c r="AN221" s="181">
        <v>2877370</v>
      </c>
      <c r="AO221" s="181">
        <v>2877370</v>
      </c>
      <c r="AP221" s="181">
        <v>2877370</v>
      </c>
      <c r="AQ221" s="181">
        <v>2877370</v>
      </c>
      <c r="AR221" s="181">
        <v>2877370</v>
      </c>
      <c r="AS221" s="181">
        <v>2877370</v>
      </c>
      <c r="AT221" s="181">
        <v>2877370</v>
      </c>
      <c r="AU221" s="181">
        <v>2877370</v>
      </c>
      <c r="AV221" s="181"/>
      <c r="AW221" s="181"/>
      <c r="AX221" s="181"/>
      <c r="AY221" s="181"/>
    </row>
    <row r="222" spans="1:58" s="179" customFormat="1" ht="15.75" customHeight="1" outlineLevel="1">
      <c r="C222" s="404" t="s">
        <v>736</v>
      </c>
      <c r="D222" s="181"/>
      <c r="E222" s="181"/>
      <c r="F222" s="181"/>
      <c r="G222" s="181"/>
      <c r="J222" s="181"/>
      <c r="K222" s="181"/>
      <c r="L222" s="181"/>
      <c r="M222" s="379"/>
      <c r="N222" s="379"/>
      <c r="O222" s="181"/>
      <c r="P222" s="181"/>
      <c r="Q222" s="181"/>
      <c r="R222" s="181">
        <v>2267000</v>
      </c>
      <c r="S222" s="181"/>
      <c r="T222" s="181">
        <v>2267000</v>
      </c>
      <c r="U222" s="181">
        <f t="shared" si="75"/>
        <v>2267000</v>
      </c>
      <c r="V222" s="181">
        <v>2267000</v>
      </c>
      <c r="W222" s="181">
        <v>2267000</v>
      </c>
      <c r="X222" s="181">
        <v>2267000</v>
      </c>
      <c r="Y222" s="181">
        <v>2267000</v>
      </c>
      <c r="Z222" s="181">
        <v>2267000</v>
      </c>
      <c r="AA222" s="181">
        <v>2267000</v>
      </c>
      <c r="AB222" s="181">
        <v>2267000</v>
      </c>
      <c r="AC222" s="181">
        <v>2267000</v>
      </c>
      <c r="AD222" s="181">
        <v>2267000</v>
      </c>
      <c r="AE222" s="181">
        <v>2267000</v>
      </c>
      <c r="AF222" s="181">
        <v>2267000</v>
      </c>
      <c r="AG222" s="181">
        <v>2267000</v>
      </c>
      <c r="AH222" s="181">
        <v>2267000</v>
      </c>
      <c r="AI222" s="181">
        <v>2267000</v>
      </c>
      <c r="AJ222" s="181">
        <v>2267000</v>
      </c>
      <c r="AK222" s="181">
        <v>2267000</v>
      </c>
      <c r="AL222" s="181">
        <v>2267000</v>
      </c>
      <c r="AM222" s="181">
        <v>2267000</v>
      </c>
      <c r="AN222" s="181">
        <v>2267000</v>
      </c>
      <c r="AO222" s="181">
        <v>2267000</v>
      </c>
      <c r="AP222" s="181">
        <v>2267000</v>
      </c>
      <c r="AQ222" s="181">
        <v>2267000</v>
      </c>
      <c r="AR222" s="181">
        <v>2267000</v>
      </c>
      <c r="AS222" s="181">
        <v>2267000</v>
      </c>
      <c r="AT222" s="181">
        <v>2267000</v>
      </c>
      <c r="AU222" s="181">
        <v>2267000</v>
      </c>
      <c r="AV222" s="181"/>
      <c r="AW222" s="181"/>
      <c r="AX222" s="181"/>
      <c r="AY222" s="181"/>
    </row>
    <row r="223" spans="1:58" s="214" customFormat="1" ht="15.75" customHeight="1" outlineLevel="1">
      <c r="C223" s="594"/>
      <c r="D223" s="216"/>
      <c r="E223" s="216"/>
      <c r="F223" s="216"/>
      <c r="G223" s="216"/>
      <c r="J223" s="216"/>
      <c r="K223" s="216"/>
      <c r="L223" s="216"/>
      <c r="M223" s="222"/>
      <c r="N223" s="222"/>
      <c r="O223" s="216"/>
      <c r="P223" s="216"/>
      <c r="Q223" s="216"/>
      <c r="R223" s="181"/>
      <c r="S223" s="181"/>
      <c r="T223" s="181"/>
      <c r="U223" s="181">
        <f t="shared" si="75"/>
        <v>0</v>
      </c>
      <c r="V223" s="181"/>
      <c r="W223" s="181"/>
      <c r="X223" s="181"/>
      <c r="Y223" s="181"/>
      <c r="Z223" s="181"/>
      <c r="AA223" s="181"/>
      <c r="AB223" s="181"/>
      <c r="AC223" s="181"/>
      <c r="AD223" s="181"/>
      <c r="AE223" s="181"/>
      <c r="AF223" s="181"/>
      <c r="AG223" s="181"/>
      <c r="AH223" s="181"/>
      <c r="AI223" s="181"/>
      <c r="AJ223" s="181"/>
      <c r="AK223" s="181"/>
      <c r="AL223" s="181"/>
      <c r="AM223" s="181"/>
      <c r="AN223" s="181"/>
      <c r="AO223" s="181"/>
      <c r="AP223" s="181"/>
      <c r="AQ223" s="181"/>
      <c r="AR223" s="181"/>
      <c r="AS223" s="181"/>
      <c r="AT223" s="181"/>
      <c r="AU223" s="181"/>
      <c r="AV223" s="216"/>
      <c r="AW223" s="216"/>
      <c r="AX223" s="216"/>
      <c r="AY223" s="216"/>
    </row>
    <row r="224" spans="1:58" s="1208" customFormat="1" ht="15.75" customHeight="1" outlineLevel="1">
      <c r="C224" s="1221" t="s">
        <v>955</v>
      </c>
      <c r="D224" s="307"/>
      <c r="E224" s="307"/>
      <c r="F224" s="307"/>
      <c r="G224" s="307"/>
      <c r="J224" s="307"/>
      <c r="K224" s="307"/>
      <c r="M224" s="194"/>
      <c r="R224" s="207">
        <f>SUM(R225:R232)</f>
        <v>4565640.9666666668</v>
      </c>
      <c r="S224" s="207"/>
      <c r="T224" s="207">
        <f>SUM(T225:T232)</f>
        <v>4565640.9666666668</v>
      </c>
      <c r="U224" s="207">
        <f t="shared" si="75"/>
        <v>4565640.9666666668</v>
      </c>
      <c r="V224" s="207">
        <f t="shared" ref="V224:AU224" si="84">SUM(V225:V232)</f>
        <v>6697298</v>
      </c>
      <c r="W224" s="207">
        <f t="shared" si="84"/>
        <v>6697298</v>
      </c>
      <c r="X224" s="207">
        <f t="shared" si="84"/>
        <v>6697298</v>
      </c>
      <c r="Y224" s="207">
        <f t="shared" si="84"/>
        <v>6697298</v>
      </c>
      <c r="Z224" s="207">
        <f t="shared" si="84"/>
        <v>6697298</v>
      </c>
      <c r="AA224" s="207">
        <f t="shared" si="84"/>
        <v>6697298</v>
      </c>
      <c r="AB224" s="207">
        <f t="shared" si="84"/>
        <v>6697298</v>
      </c>
      <c r="AC224" s="207">
        <f t="shared" si="84"/>
        <v>6697298</v>
      </c>
      <c r="AD224" s="207">
        <f t="shared" si="84"/>
        <v>6697298</v>
      </c>
      <c r="AE224" s="207">
        <f t="shared" si="84"/>
        <v>6697298</v>
      </c>
      <c r="AF224" s="207">
        <f t="shared" si="84"/>
        <v>6697298</v>
      </c>
      <c r="AG224" s="207">
        <f t="shared" si="84"/>
        <v>6697298</v>
      </c>
      <c r="AH224" s="207">
        <f t="shared" si="84"/>
        <v>6697298</v>
      </c>
      <c r="AI224" s="207">
        <f t="shared" si="84"/>
        <v>6697298</v>
      </c>
      <c r="AJ224" s="207">
        <f t="shared" si="84"/>
        <v>6697298</v>
      </c>
      <c r="AK224" s="207">
        <f t="shared" si="84"/>
        <v>6697298</v>
      </c>
      <c r="AL224" s="207">
        <f t="shared" si="84"/>
        <v>6697298</v>
      </c>
      <c r="AM224" s="207">
        <f t="shared" si="84"/>
        <v>6697298</v>
      </c>
      <c r="AN224" s="207">
        <f t="shared" si="84"/>
        <v>6697298</v>
      </c>
      <c r="AO224" s="207">
        <f t="shared" si="84"/>
        <v>6697298</v>
      </c>
      <c r="AP224" s="207">
        <f t="shared" si="84"/>
        <v>6697298</v>
      </c>
      <c r="AQ224" s="207">
        <f t="shared" si="84"/>
        <v>6697298</v>
      </c>
      <c r="AR224" s="207">
        <f t="shared" si="84"/>
        <v>6697298</v>
      </c>
      <c r="AS224" s="207">
        <f t="shared" si="84"/>
        <v>6697298</v>
      </c>
      <c r="AT224" s="207">
        <f t="shared" si="84"/>
        <v>6697298</v>
      </c>
      <c r="AU224" s="207">
        <f t="shared" si="84"/>
        <v>6697298</v>
      </c>
      <c r="AV224" s="307"/>
      <c r="AW224" s="307"/>
      <c r="AX224" s="307"/>
      <c r="AY224" s="307"/>
      <c r="AZ224" s="225"/>
      <c r="BA224" s="225"/>
      <c r="BB224" s="225"/>
      <c r="BC224" s="225"/>
      <c r="BD224" s="225"/>
      <c r="BE224" s="225"/>
      <c r="BF224" s="225"/>
    </row>
    <row r="225" spans="3:58" s="214" customFormat="1" ht="15.75" customHeight="1" outlineLevel="1">
      <c r="C225" s="353" t="s">
        <v>1895</v>
      </c>
      <c r="D225" s="216"/>
      <c r="E225" s="216"/>
      <c r="F225" s="216"/>
      <c r="G225" s="216"/>
      <c r="J225" s="216"/>
      <c r="K225" s="216"/>
      <c r="M225" s="185"/>
      <c r="R225" s="181">
        <f>1070431*5/12</f>
        <v>446012.91666666669</v>
      </c>
      <c r="S225" s="181"/>
      <c r="T225" s="181">
        <f>1070431*5/12</f>
        <v>446012.91666666669</v>
      </c>
      <c r="U225" s="181">
        <f t="shared" si="75"/>
        <v>446012.91666666669</v>
      </c>
      <c r="V225" s="181">
        <f t="shared" ref="V225:AU225" si="85">1070431*5/12</f>
        <v>446012.91666666669</v>
      </c>
      <c r="W225" s="181">
        <f t="shared" si="85"/>
        <v>446012.91666666669</v>
      </c>
      <c r="X225" s="181">
        <f t="shared" si="85"/>
        <v>446012.91666666669</v>
      </c>
      <c r="Y225" s="181">
        <f t="shared" si="85"/>
        <v>446012.91666666669</v>
      </c>
      <c r="Z225" s="181">
        <f t="shared" si="85"/>
        <v>446012.91666666669</v>
      </c>
      <c r="AA225" s="181">
        <f t="shared" si="85"/>
        <v>446012.91666666669</v>
      </c>
      <c r="AB225" s="181">
        <f t="shared" si="85"/>
        <v>446012.91666666669</v>
      </c>
      <c r="AC225" s="181">
        <f t="shared" si="85"/>
        <v>446012.91666666669</v>
      </c>
      <c r="AD225" s="181">
        <f t="shared" si="85"/>
        <v>446012.91666666669</v>
      </c>
      <c r="AE225" s="181">
        <f t="shared" si="85"/>
        <v>446012.91666666669</v>
      </c>
      <c r="AF225" s="181">
        <f t="shared" si="85"/>
        <v>446012.91666666669</v>
      </c>
      <c r="AG225" s="181">
        <f t="shared" si="85"/>
        <v>446012.91666666669</v>
      </c>
      <c r="AH225" s="181">
        <f t="shared" si="85"/>
        <v>446012.91666666669</v>
      </c>
      <c r="AI225" s="181">
        <f t="shared" si="85"/>
        <v>446012.91666666669</v>
      </c>
      <c r="AJ225" s="181">
        <f t="shared" si="85"/>
        <v>446012.91666666669</v>
      </c>
      <c r="AK225" s="181">
        <f t="shared" si="85"/>
        <v>446012.91666666669</v>
      </c>
      <c r="AL225" s="181">
        <f t="shared" si="85"/>
        <v>446012.91666666669</v>
      </c>
      <c r="AM225" s="181">
        <f t="shared" si="85"/>
        <v>446012.91666666669</v>
      </c>
      <c r="AN225" s="181">
        <f t="shared" si="85"/>
        <v>446012.91666666669</v>
      </c>
      <c r="AO225" s="181">
        <f t="shared" si="85"/>
        <v>446012.91666666669</v>
      </c>
      <c r="AP225" s="181">
        <f t="shared" si="85"/>
        <v>446012.91666666669</v>
      </c>
      <c r="AQ225" s="181">
        <f t="shared" si="85"/>
        <v>446012.91666666669</v>
      </c>
      <c r="AR225" s="181">
        <f t="shared" si="85"/>
        <v>446012.91666666669</v>
      </c>
      <c r="AS225" s="181">
        <f t="shared" si="85"/>
        <v>446012.91666666669</v>
      </c>
      <c r="AT225" s="181">
        <f t="shared" si="85"/>
        <v>446012.91666666669</v>
      </c>
      <c r="AU225" s="181">
        <f t="shared" si="85"/>
        <v>446012.91666666669</v>
      </c>
      <c r="AV225" s="216"/>
      <c r="AW225" s="216"/>
      <c r="AX225" s="216"/>
      <c r="AY225" s="216"/>
      <c r="AZ225" s="179"/>
      <c r="BA225" s="179"/>
      <c r="BB225" s="179"/>
      <c r="BC225" s="179"/>
      <c r="BD225" s="179"/>
      <c r="BE225" s="179"/>
      <c r="BF225" s="179"/>
    </row>
    <row r="226" spans="3:58" s="214" customFormat="1" ht="15.75" customHeight="1" outlineLevel="1">
      <c r="C226" s="353" t="s">
        <v>956</v>
      </c>
      <c r="D226" s="216"/>
      <c r="E226" s="216"/>
      <c r="F226" s="216"/>
      <c r="G226" s="216"/>
      <c r="J226" s="216"/>
      <c r="K226" s="216"/>
      <c r="M226" s="185"/>
      <c r="R226" s="181">
        <f>5/12*195949</f>
        <v>81645.416666666672</v>
      </c>
      <c r="S226" s="181"/>
      <c r="T226" s="181">
        <f>5/12*195949</f>
        <v>81645.416666666672</v>
      </c>
      <c r="U226" s="181">
        <f t="shared" si="75"/>
        <v>81645.416666666672</v>
      </c>
      <c r="V226" s="181">
        <f t="shared" ref="V226:AU226" si="86">5/12*195949</f>
        <v>81645.416666666672</v>
      </c>
      <c r="W226" s="181">
        <f t="shared" si="86"/>
        <v>81645.416666666672</v>
      </c>
      <c r="X226" s="181">
        <f t="shared" si="86"/>
        <v>81645.416666666672</v>
      </c>
      <c r="Y226" s="181">
        <f t="shared" si="86"/>
        <v>81645.416666666672</v>
      </c>
      <c r="Z226" s="181">
        <f t="shared" si="86"/>
        <v>81645.416666666672</v>
      </c>
      <c r="AA226" s="181">
        <f t="shared" si="86"/>
        <v>81645.416666666672</v>
      </c>
      <c r="AB226" s="181">
        <f t="shared" si="86"/>
        <v>81645.416666666672</v>
      </c>
      <c r="AC226" s="181">
        <f t="shared" si="86"/>
        <v>81645.416666666672</v>
      </c>
      <c r="AD226" s="181">
        <f t="shared" si="86"/>
        <v>81645.416666666672</v>
      </c>
      <c r="AE226" s="181">
        <f t="shared" si="86"/>
        <v>81645.416666666672</v>
      </c>
      <c r="AF226" s="181">
        <f t="shared" si="86"/>
        <v>81645.416666666672</v>
      </c>
      <c r="AG226" s="181">
        <f t="shared" si="86"/>
        <v>81645.416666666672</v>
      </c>
      <c r="AH226" s="181">
        <f t="shared" si="86"/>
        <v>81645.416666666672</v>
      </c>
      <c r="AI226" s="181">
        <f t="shared" si="86"/>
        <v>81645.416666666672</v>
      </c>
      <c r="AJ226" s="181">
        <f t="shared" si="86"/>
        <v>81645.416666666672</v>
      </c>
      <c r="AK226" s="181">
        <f t="shared" si="86"/>
        <v>81645.416666666672</v>
      </c>
      <c r="AL226" s="181">
        <f t="shared" si="86"/>
        <v>81645.416666666672</v>
      </c>
      <c r="AM226" s="181">
        <f t="shared" si="86"/>
        <v>81645.416666666672</v>
      </c>
      <c r="AN226" s="181">
        <f t="shared" si="86"/>
        <v>81645.416666666672</v>
      </c>
      <c r="AO226" s="181">
        <f t="shared" si="86"/>
        <v>81645.416666666672</v>
      </c>
      <c r="AP226" s="181">
        <f t="shared" si="86"/>
        <v>81645.416666666672</v>
      </c>
      <c r="AQ226" s="181">
        <f t="shared" si="86"/>
        <v>81645.416666666672</v>
      </c>
      <c r="AR226" s="181">
        <f t="shared" si="86"/>
        <v>81645.416666666672</v>
      </c>
      <c r="AS226" s="181">
        <f t="shared" si="86"/>
        <v>81645.416666666672</v>
      </c>
      <c r="AT226" s="181">
        <f t="shared" si="86"/>
        <v>81645.416666666672</v>
      </c>
      <c r="AU226" s="181">
        <f t="shared" si="86"/>
        <v>81645.416666666672</v>
      </c>
      <c r="AV226" s="216"/>
      <c r="AW226" s="216"/>
      <c r="AX226" s="216"/>
      <c r="AY226" s="216"/>
      <c r="AZ226" s="179"/>
      <c r="BA226" s="179"/>
      <c r="BB226" s="179"/>
      <c r="BC226" s="179"/>
      <c r="BD226" s="179"/>
      <c r="BE226" s="179"/>
      <c r="BF226" s="179"/>
    </row>
    <row r="227" spans="3:58" s="214" customFormat="1" ht="15.75" customHeight="1" outlineLevel="1">
      <c r="C227" s="353" t="s">
        <v>957</v>
      </c>
      <c r="D227" s="216"/>
      <c r="E227" s="216"/>
      <c r="F227" s="216"/>
      <c r="G227" s="216"/>
      <c r="J227" s="216"/>
      <c r="K227" s="216"/>
      <c r="M227" s="185"/>
      <c r="R227" s="181">
        <f>5/12*830587</f>
        <v>346077.91666666669</v>
      </c>
      <c r="S227" s="181"/>
      <c r="T227" s="181">
        <f>5/12*830587</f>
        <v>346077.91666666669</v>
      </c>
      <c r="U227" s="181">
        <f t="shared" si="75"/>
        <v>346077.91666666669</v>
      </c>
      <c r="V227" s="181">
        <f t="shared" ref="V227:AU227" si="87">5/12*830587</f>
        <v>346077.91666666669</v>
      </c>
      <c r="W227" s="181">
        <f t="shared" si="87"/>
        <v>346077.91666666669</v>
      </c>
      <c r="X227" s="181">
        <f t="shared" si="87"/>
        <v>346077.91666666669</v>
      </c>
      <c r="Y227" s="181">
        <f t="shared" si="87"/>
        <v>346077.91666666669</v>
      </c>
      <c r="Z227" s="181">
        <f t="shared" si="87"/>
        <v>346077.91666666669</v>
      </c>
      <c r="AA227" s="181">
        <f t="shared" si="87"/>
        <v>346077.91666666669</v>
      </c>
      <c r="AB227" s="181">
        <f t="shared" si="87"/>
        <v>346077.91666666669</v>
      </c>
      <c r="AC227" s="181">
        <f t="shared" si="87"/>
        <v>346077.91666666669</v>
      </c>
      <c r="AD227" s="181">
        <f t="shared" si="87"/>
        <v>346077.91666666669</v>
      </c>
      <c r="AE227" s="181">
        <f t="shared" si="87"/>
        <v>346077.91666666669</v>
      </c>
      <c r="AF227" s="181">
        <f t="shared" si="87"/>
        <v>346077.91666666669</v>
      </c>
      <c r="AG227" s="181">
        <f t="shared" si="87"/>
        <v>346077.91666666669</v>
      </c>
      <c r="AH227" s="181">
        <f t="shared" si="87"/>
        <v>346077.91666666669</v>
      </c>
      <c r="AI227" s="181">
        <f t="shared" si="87"/>
        <v>346077.91666666669</v>
      </c>
      <c r="AJ227" s="181">
        <f t="shared" si="87"/>
        <v>346077.91666666669</v>
      </c>
      <c r="AK227" s="181">
        <f t="shared" si="87"/>
        <v>346077.91666666669</v>
      </c>
      <c r="AL227" s="181">
        <f t="shared" si="87"/>
        <v>346077.91666666669</v>
      </c>
      <c r="AM227" s="181">
        <f t="shared" si="87"/>
        <v>346077.91666666669</v>
      </c>
      <c r="AN227" s="181">
        <f t="shared" si="87"/>
        <v>346077.91666666669</v>
      </c>
      <c r="AO227" s="181">
        <f t="shared" si="87"/>
        <v>346077.91666666669</v>
      </c>
      <c r="AP227" s="181">
        <f t="shared" si="87"/>
        <v>346077.91666666669</v>
      </c>
      <c r="AQ227" s="181">
        <f t="shared" si="87"/>
        <v>346077.91666666669</v>
      </c>
      <c r="AR227" s="181">
        <f t="shared" si="87"/>
        <v>346077.91666666669</v>
      </c>
      <c r="AS227" s="181">
        <f t="shared" si="87"/>
        <v>346077.91666666669</v>
      </c>
      <c r="AT227" s="181">
        <f t="shared" si="87"/>
        <v>346077.91666666669</v>
      </c>
      <c r="AU227" s="181">
        <f t="shared" si="87"/>
        <v>346077.91666666669</v>
      </c>
      <c r="AV227" s="216"/>
      <c r="AW227" s="216"/>
      <c r="AX227" s="216"/>
      <c r="AY227" s="216"/>
      <c r="AZ227" s="179"/>
      <c r="BA227" s="179"/>
      <c r="BB227" s="179"/>
      <c r="BC227" s="179"/>
      <c r="BD227" s="179"/>
      <c r="BE227" s="179"/>
      <c r="BF227" s="179"/>
    </row>
    <row r="228" spans="3:58" s="214" customFormat="1" ht="15.75" customHeight="1" outlineLevel="1">
      <c r="C228" s="353" t="s">
        <v>1897</v>
      </c>
      <c r="D228" s="216"/>
      <c r="E228" s="216"/>
      <c r="F228" s="216"/>
      <c r="G228" s="216"/>
      <c r="J228" s="216"/>
      <c r="K228" s="216"/>
      <c r="M228" s="185"/>
      <c r="R228" s="181">
        <f>5/12*580306</f>
        <v>241794.16666666669</v>
      </c>
      <c r="S228" s="181"/>
      <c r="T228" s="181">
        <f>5/12*580306</f>
        <v>241794.16666666669</v>
      </c>
      <c r="U228" s="181">
        <f t="shared" si="75"/>
        <v>241794.16666666669</v>
      </c>
      <c r="V228" s="181">
        <f t="shared" ref="V228:AU228" si="88">5/12*580306</f>
        <v>241794.16666666669</v>
      </c>
      <c r="W228" s="181">
        <f t="shared" si="88"/>
        <v>241794.16666666669</v>
      </c>
      <c r="X228" s="181">
        <f t="shared" si="88"/>
        <v>241794.16666666669</v>
      </c>
      <c r="Y228" s="181">
        <f t="shared" si="88"/>
        <v>241794.16666666669</v>
      </c>
      <c r="Z228" s="181">
        <f t="shared" si="88"/>
        <v>241794.16666666669</v>
      </c>
      <c r="AA228" s="181">
        <f t="shared" si="88"/>
        <v>241794.16666666669</v>
      </c>
      <c r="AB228" s="181">
        <f t="shared" si="88"/>
        <v>241794.16666666669</v>
      </c>
      <c r="AC228" s="181">
        <f t="shared" si="88"/>
        <v>241794.16666666669</v>
      </c>
      <c r="AD228" s="181">
        <f t="shared" si="88"/>
        <v>241794.16666666669</v>
      </c>
      <c r="AE228" s="181">
        <f t="shared" si="88"/>
        <v>241794.16666666669</v>
      </c>
      <c r="AF228" s="181">
        <f t="shared" si="88"/>
        <v>241794.16666666669</v>
      </c>
      <c r="AG228" s="181">
        <f t="shared" si="88"/>
        <v>241794.16666666669</v>
      </c>
      <c r="AH228" s="181">
        <f t="shared" si="88"/>
        <v>241794.16666666669</v>
      </c>
      <c r="AI228" s="181">
        <f t="shared" si="88"/>
        <v>241794.16666666669</v>
      </c>
      <c r="AJ228" s="181">
        <f t="shared" si="88"/>
        <v>241794.16666666669</v>
      </c>
      <c r="AK228" s="181">
        <f t="shared" si="88"/>
        <v>241794.16666666669</v>
      </c>
      <c r="AL228" s="181">
        <f t="shared" si="88"/>
        <v>241794.16666666669</v>
      </c>
      <c r="AM228" s="181">
        <f t="shared" si="88"/>
        <v>241794.16666666669</v>
      </c>
      <c r="AN228" s="181">
        <f t="shared" si="88"/>
        <v>241794.16666666669</v>
      </c>
      <c r="AO228" s="181">
        <f t="shared" si="88"/>
        <v>241794.16666666669</v>
      </c>
      <c r="AP228" s="181">
        <f t="shared" si="88"/>
        <v>241794.16666666669</v>
      </c>
      <c r="AQ228" s="181">
        <f t="shared" si="88"/>
        <v>241794.16666666669</v>
      </c>
      <c r="AR228" s="181">
        <f t="shared" si="88"/>
        <v>241794.16666666669</v>
      </c>
      <c r="AS228" s="181">
        <f t="shared" si="88"/>
        <v>241794.16666666669</v>
      </c>
      <c r="AT228" s="181">
        <f t="shared" si="88"/>
        <v>241794.16666666669</v>
      </c>
      <c r="AU228" s="181">
        <f t="shared" si="88"/>
        <v>241794.16666666669</v>
      </c>
      <c r="AV228" s="216"/>
      <c r="AW228" s="216"/>
      <c r="AX228" s="216"/>
      <c r="AY228" s="216"/>
      <c r="AZ228" s="179"/>
      <c r="BA228" s="179"/>
      <c r="BB228" s="179"/>
      <c r="BC228" s="179"/>
      <c r="BD228" s="179"/>
      <c r="BE228" s="179"/>
      <c r="BF228" s="179"/>
    </row>
    <row r="229" spans="3:58" s="214" customFormat="1" ht="15.75" customHeight="1" outlineLevel="1">
      <c r="C229" s="353" t="s">
        <v>1898</v>
      </c>
      <c r="D229" s="216"/>
      <c r="E229" s="216"/>
      <c r="F229" s="216"/>
      <c r="G229" s="216"/>
      <c r="J229" s="216"/>
      <c r="K229" s="216"/>
      <c r="M229" s="185"/>
      <c r="R229" s="181">
        <f>(130760+77694)*5/12</f>
        <v>86855.833333333328</v>
      </c>
      <c r="S229" s="181"/>
      <c r="T229" s="181">
        <f>(130760+77694)*5/12</f>
        <v>86855.833333333328</v>
      </c>
      <c r="U229" s="181">
        <f t="shared" si="75"/>
        <v>86855.833333333328</v>
      </c>
      <c r="V229" s="181">
        <f t="shared" ref="V229:AU229" si="89">(130760+77694)*5/12</f>
        <v>86855.833333333328</v>
      </c>
      <c r="W229" s="181">
        <f t="shared" si="89"/>
        <v>86855.833333333328</v>
      </c>
      <c r="X229" s="181">
        <f t="shared" si="89"/>
        <v>86855.833333333328</v>
      </c>
      <c r="Y229" s="181">
        <f t="shared" si="89"/>
        <v>86855.833333333328</v>
      </c>
      <c r="Z229" s="181">
        <f t="shared" si="89"/>
        <v>86855.833333333328</v>
      </c>
      <c r="AA229" s="181">
        <f t="shared" si="89"/>
        <v>86855.833333333328</v>
      </c>
      <c r="AB229" s="181">
        <f t="shared" si="89"/>
        <v>86855.833333333328</v>
      </c>
      <c r="AC229" s="181">
        <f t="shared" si="89"/>
        <v>86855.833333333328</v>
      </c>
      <c r="AD229" s="181">
        <f t="shared" si="89"/>
        <v>86855.833333333328</v>
      </c>
      <c r="AE229" s="181">
        <f t="shared" si="89"/>
        <v>86855.833333333328</v>
      </c>
      <c r="AF229" s="181">
        <f t="shared" si="89"/>
        <v>86855.833333333328</v>
      </c>
      <c r="AG229" s="181">
        <f t="shared" si="89"/>
        <v>86855.833333333328</v>
      </c>
      <c r="AH229" s="181">
        <f t="shared" si="89"/>
        <v>86855.833333333328</v>
      </c>
      <c r="AI229" s="181">
        <f t="shared" si="89"/>
        <v>86855.833333333328</v>
      </c>
      <c r="AJ229" s="181">
        <f t="shared" si="89"/>
        <v>86855.833333333328</v>
      </c>
      <c r="AK229" s="181">
        <f t="shared" si="89"/>
        <v>86855.833333333328</v>
      </c>
      <c r="AL229" s="181">
        <f t="shared" si="89"/>
        <v>86855.833333333328</v>
      </c>
      <c r="AM229" s="181">
        <f t="shared" si="89"/>
        <v>86855.833333333328</v>
      </c>
      <c r="AN229" s="181">
        <f t="shared" si="89"/>
        <v>86855.833333333328</v>
      </c>
      <c r="AO229" s="181">
        <f t="shared" si="89"/>
        <v>86855.833333333328</v>
      </c>
      <c r="AP229" s="181">
        <f t="shared" si="89"/>
        <v>86855.833333333328</v>
      </c>
      <c r="AQ229" s="181">
        <f t="shared" si="89"/>
        <v>86855.833333333328</v>
      </c>
      <c r="AR229" s="181">
        <f t="shared" si="89"/>
        <v>86855.833333333328</v>
      </c>
      <c r="AS229" s="181">
        <f t="shared" si="89"/>
        <v>86855.833333333328</v>
      </c>
      <c r="AT229" s="181">
        <f t="shared" si="89"/>
        <v>86855.833333333328</v>
      </c>
      <c r="AU229" s="181">
        <f t="shared" si="89"/>
        <v>86855.833333333328</v>
      </c>
      <c r="AV229" s="216"/>
      <c r="AW229" s="216"/>
      <c r="AX229" s="216"/>
      <c r="AY229" s="216"/>
      <c r="AZ229" s="179"/>
      <c r="BA229" s="179"/>
      <c r="BB229" s="179"/>
      <c r="BC229" s="179"/>
      <c r="BD229" s="179"/>
      <c r="BE229" s="179"/>
      <c r="BF229" s="179"/>
    </row>
    <row r="230" spans="3:58" s="214" customFormat="1" ht="15.75" customHeight="1" outlineLevel="1">
      <c r="C230" s="353" t="s">
        <v>1900</v>
      </c>
      <c r="D230" s="216"/>
      <c r="E230" s="216"/>
      <c r="F230" s="216"/>
      <c r="G230" s="216"/>
      <c r="J230" s="216"/>
      <c r="K230" s="216"/>
      <c r="M230" s="185"/>
      <c r="R230" s="181">
        <f>5/12*124615</f>
        <v>51922.916666666672</v>
      </c>
      <c r="S230" s="181"/>
      <c r="T230" s="181">
        <f>5/12*124615</f>
        <v>51922.916666666672</v>
      </c>
      <c r="U230" s="181">
        <f t="shared" si="75"/>
        <v>51922.916666666672</v>
      </c>
      <c r="V230" s="181">
        <f t="shared" ref="V230:AU230" si="90">5/12*124615</f>
        <v>51922.916666666672</v>
      </c>
      <c r="W230" s="181">
        <f t="shared" si="90"/>
        <v>51922.916666666672</v>
      </c>
      <c r="X230" s="181">
        <f t="shared" si="90"/>
        <v>51922.916666666672</v>
      </c>
      <c r="Y230" s="181">
        <f t="shared" si="90"/>
        <v>51922.916666666672</v>
      </c>
      <c r="Z230" s="181">
        <f t="shared" si="90"/>
        <v>51922.916666666672</v>
      </c>
      <c r="AA230" s="181">
        <f t="shared" si="90"/>
        <v>51922.916666666672</v>
      </c>
      <c r="AB230" s="181">
        <f t="shared" si="90"/>
        <v>51922.916666666672</v>
      </c>
      <c r="AC230" s="181">
        <f t="shared" si="90"/>
        <v>51922.916666666672</v>
      </c>
      <c r="AD230" s="181">
        <f t="shared" si="90"/>
        <v>51922.916666666672</v>
      </c>
      <c r="AE230" s="181">
        <f t="shared" si="90"/>
        <v>51922.916666666672</v>
      </c>
      <c r="AF230" s="181">
        <f t="shared" si="90"/>
        <v>51922.916666666672</v>
      </c>
      <c r="AG230" s="181">
        <f t="shared" si="90"/>
        <v>51922.916666666672</v>
      </c>
      <c r="AH230" s="181">
        <f t="shared" si="90"/>
        <v>51922.916666666672</v>
      </c>
      <c r="AI230" s="181">
        <f t="shared" si="90"/>
        <v>51922.916666666672</v>
      </c>
      <c r="AJ230" s="181">
        <f t="shared" si="90"/>
        <v>51922.916666666672</v>
      </c>
      <c r="AK230" s="181">
        <f t="shared" si="90"/>
        <v>51922.916666666672</v>
      </c>
      <c r="AL230" s="181">
        <f t="shared" si="90"/>
        <v>51922.916666666672</v>
      </c>
      <c r="AM230" s="181">
        <f t="shared" si="90"/>
        <v>51922.916666666672</v>
      </c>
      <c r="AN230" s="181">
        <f t="shared" si="90"/>
        <v>51922.916666666672</v>
      </c>
      <c r="AO230" s="181">
        <f t="shared" si="90"/>
        <v>51922.916666666672</v>
      </c>
      <c r="AP230" s="181">
        <f t="shared" si="90"/>
        <v>51922.916666666672</v>
      </c>
      <c r="AQ230" s="181">
        <f t="shared" si="90"/>
        <v>51922.916666666672</v>
      </c>
      <c r="AR230" s="181">
        <f t="shared" si="90"/>
        <v>51922.916666666672</v>
      </c>
      <c r="AS230" s="181">
        <f t="shared" si="90"/>
        <v>51922.916666666672</v>
      </c>
      <c r="AT230" s="181">
        <f t="shared" si="90"/>
        <v>51922.916666666672</v>
      </c>
      <c r="AU230" s="181">
        <f t="shared" si="90"/>
        <v>51922.916666666672</v>
      </c>
      <c r="AV230" s="216"/>
      <c r="AW230" s="216"/>
      <c r="AX230" s="216"/>
      <c r="AY230" s="216"/>
      <c r="AZ230" s="179"/>
      <c r="BA230" s="179"/>
      <c r="BB230" s="179"/>
      <c r="BC230" s="179"/>
      <c r="BD230" s="179"/>
      <c r="BE230" s="179"/>
      <c r="BF230" s="179"/>
    </row>
    <row r="231" spans="3:58" s="214" customFormat="1" ht="15.75" customHeight="1" outlineLevel="1">
      <c r="C231" s="353" t="s">
        <v>1899</v>
      </c>
      <c r="D231" s="216"/>
      <c r="E231" s="216"/>
      <c r="F231" s="216"/>
      <c r="G231" s="216"/>
      <c r="J231" s="216"/>
      <c r="K231" s="216"/>
      <c r="M231" s="185"/>
      <c r="R231" s="181">
        <f>5/12*273231</f>
        <v>113846.25</v>
      </c>
      <c r="S231" s="181"/>
      <c r="T231" s="181">
        <f>5/12*273231</f>
        <v>113846.25</v>
      </c>
      <c r="U231" s="181">
        <f t="shared" si="75"/>
        <v>113846.25</v>
      </c>
      <c r="V231" s="181">
        <f t="shared" ref="V231:AU231" si="91">5/12*273231</f>
        <v>113846.25</v>
      </c>
      <c r="W231" s="181">
        <f t="shared" si="91"/>
        <v>113846.25</v>
      </c>
      <c r="X231" s="181">
        <f t="shared" si="91"/>
        <v>113846.25</v>
      </c>
      <c r="Y231" s="181">
        <f t="shared" si="91"/>
        <v>113846.25</v>
      </c>
      <c r="Z231" s="181">
        <f t="shared" si="91"/>
        <v>113846.25</v>
      </c>
      <c r="AA231" s="181">
        <f t="shared" si="91"/>
        <v>113846.25</v>
      </c>
      <c r="AB231" s="181">
        <f t="shared" si="91"/>
        <v>113846.25</v>
      </c>
      <c r="AC231" s="181">
        <f t="shared" si="91"/>
        <v>113846.25</v>
      </c>
      <c r="AD231" s="181">
        <f t="shared" si="91"/>
        <v>113846.25</v>
      </c>
      <c r="AE231" s="181">
        <f t="shared" si="91"/>
        <v>113846.25</v>
      </c>
      <c r="AF231" s="181">
        <f t="shared" si="91"/>
        <v>113846.25</v>
      </c>
      <c r="AG231" s="181">
        <f t="shared" si="91"/>
        <v>113846.25</v>
      </c>
      <c r="AH231" s="181">
        <f t="shared" si="91"/>
        <v>113846.25</v>
      </c>
      <c r="AI231" s="181">
        <f t="shared" si="91"/>
        <v>113846.25</v>
      </c>
      <c r="AJ231" s="181">
        <f t="shared" si="91"/>
        <v>113846.25</v>
      </c>
      <c r="AK231" s="181">
        <f t="shared" si="91"/>
        <v>113846.25</v>
      </c>
      <c r="AL231" s="181">
        <f t="shared" si="91"/>
        <v>113846.25</v>
      </c>
      <c r="AM231" s="181">
        <f t="shared" si="91"/>
        <v>113846.25</v>
      </c>
      <c r="AN231" s="181">
        <f t="shared" si="91"/>
        <v>113846.25</v>
      </c>
      <c r="AO231" s="181">
        <f t="shared" si="91"/>
        <v>113846.25</v>
      </c>
      <c r="AP231" s="181">
        <f t="shared" si="91"/>
        <v>113846.25</v>
      </c>
      <c r="AQ231" s="181">
        <f t="shared" si="91"/>
        <v>113846.25</v>
      </c>
      <c r="AR231" s="181">
        <f t="shared" si="91"/>
        <v>113846.25</v>
      </c>
      <c r="AS231" s="181">
        <f t="shared" si="91"/>
        <v>113846.25</v>
      </c>
      <c r="AT231" s="181">
        <f t="shared" si="91"/>
        <v>113846.25</v>
      </c>
      <c r="AU231" s="181">
        <f t="shared" si="91"/>
        <v>113846.25</v>
      </c>
      <c r="AV231" s="216"/>
      <c r="AW231" s="216"/>
      <c r="AX231" s="216"/>
      <c r="AY231" s="216"/>
      <c r="AZ231" s="179"/>
      <c r="BA231" s="179"/>
      <c r="BB231" s="179"/>
      <c r="BC231" s="179"/>
      <c r="BD231" s="179"/>
      <c r="BE231" s="179"/>
      <c r="BF231" s="179"/>
    </row>
    <row r="232" spans="3:58" s="214" customFormat="1" ht="15.75" customHeight="1" outlineLevel="1">
      <c r="C232" s="353" t="s">
        <v>1896</v>
      </c>
      <c r="D232" s="216"/>
      <c r="E232" s="216"/>
      <c r="F232" s="216"/>
      <c r="G232" s="216"/>
      <c r="J232" s="216"/>
      <c r="K232" s="216"/>
      <c r="M232" s="185"/>
      <c r="R232" s="181">
        <f>(6697298-SUM(R225:R231))/5*3</f>
        <v>3197485.55</v>
      </c>
      <c r="S232" s="181"/>
      <c r="T232" s="181">
        <f>(6697298-SUM(T225:T231))/5*3</f>
        <v>3197485.55</v>
      </c>
      <c r="U232" s="181">
        <f t="shared" si="75"/>
        <v>3197485.55</v>
      </c>
      <c r="V232" s="181">
        <f t="shared" ref="V232:AU232" si="92">6697298-SUM(V225:V231)</f>
        <v>5329142.583333333</v>
      </c>
      <c r="W232" s="181">
        <f t="shared" si="92"/>
        <v>5329142.583333333</v>
      </c>
      <c r="X232" s="181">
        <f t="shared" si="92"/>
        <v>5329142.583333333</v>
      </c>
      <c r="Y232" s="181">
        <f t="shared" si="92"/>
        <v>5329142.583333333</v>
      </c>
      <c r="Z232" s="181">
        <f t="shared" si="92"/>
        <v>5329142.583333333</v>
      </c>
      <c r="AA232" s="181">
        <f t="shared" si="92"/>
        <v>5329142.583333333</v>
      </c>
      <c r="AB232" s="181">
        <f t="shared" si="92"/>
        <v>5329142.583333333</v>
      </c>
      <c r="AC232" s="181">
        <f t="shared" si="92"/>
        <v>5329142.583333333</v>
      </c>
      <c r="AD232" s="181">
        <f t="shared" si="92"/>
        <v>5329142.583333333</v>
      </c>
      <c r="AE232" s="181">
        <f t="shared" si="92"/>
        <v>5329142.583333333</v>
      </c>
      <c r="AF232" s="181">
        <f t="shared" si="92"/>
        <v>5329142.583333333</v>
      </c>
      <c r="AG232" s="181">
        <f t="shared" si="92"/>
        <v>5329142.583333333</v>
      </c>
      <c r="AH232" s="181">
        <f t="shared" si="92"/>
        <v>5329142.583333333</v>
      </c>
      <c r="AI232" s="181">
        <f t="shared" si="92"/>
        <v>5329142.583333333</v>
      </c>
      <c r="AJ232" s="181">
        <f t="shared" si="92"/>
        <v>5329142.583333333</v>
      </c>
      <c r="AK232" s="181">
        <f t="shared" si="92"/>
        <v>5329142.583333333</v>
      </c>
      <c r="AL232" s="181">
        <f t="shared" si="92"/>
        <v>5329142.583333333</v>
      </c>
      <c r="AM232" s="181">
        <f t="shared" si="92"/>
        <v>5329142.583333333</v>
      </c>
      <c r="AN232" s="181">
        <f t="shared" si="92"/>
        <v>5329142.583333333</v>
      </c>
      <c r="AO232" s="181">
        <f t="shared" si="92"/>
        <v>5329142.583333333</v>
      </c>
      <c r="AP232" s="181">
        <f t="shared" si="92"/>
        <v>5329142.583333333</v>
      </c>
      <c r="AQ232" s="181">
        <f t="shared" si="92"/>
        <v>5329142.583333333</v>
      </c>
      <c r="AR232" s="181">
        <f t="shared" si="92"/>
        <v>5329142.583333333</v>
      </c>
      <c r="AS232" s="181">
        <f t="shared" si="92"/>
        <v>5329142.583333333</v>
      </c>
      <c r="AT232" s="181">
        <f t="shared" si="92"/>
        <v>5329142.583333333</v>
      </c>
      <c r="AU232" s="181">
        <f t="shared" si="92"/>
        <v>5329142.583333333</v>
      </c>
      <c r="AV232" s="216"/>
      <c r="AW232" s="216"/>
      <c r="AX232" s="216"/>
      <c r="AY232" s="216"/>
      <c r="AZ232" s="179"/>
      <c r="BA232" s="179"/>
      <c r="BB232" s="179"/>
      <c r="BC232" s="179"/>
      <c r="BD232" s="179"/>
      <c r="BE232" s="179"/>
      <c r="BF232" s="179"/>
    </row>
    <row r="233" spans="3:58" s="214" customFormat="1" ht="8.25" customHeight="1" outlineLevel="1">
      <c r="C233" s="353"/>
      <c r="D233" s="216"/>
      <c r="E233" s="216"/>
      <c r="F233" s="216"/>
      <c r="G233" s="216"/>
      <c r="J233" s="216"/>
      <c r="K233" s="216"/>
      <c r="M233" s="185"/>
      <c r="R233" s="181"/>
      <c r="S233" s="181"/>
      <c r="T233" s="181"/>
      <c r="U233" s="181">
        <f t="shared" si="75"/>
        <v>0</v>
      </c>
      <c r="V233" s="181"/>
      <c r="W233" s="181"/>
      <c r="X233" s="181"/>
      <c r="Y233" s="181"/>
      <c r="Z233" s="181"/>
      <c r="AA233" s="181"/>
      <c r="AB233" s="181"/>
      <c r="AC233" s="181"/>
      <c r="AD233" s="181"/>
      <c r="AE233" s="181"/>
      <c r="AF233" s="181"/>
      <c r="AG233" s="181"/>
      <c r="AH233" s="181"/>
      <c r="AI233" s="181"/>
      <c r="AJ233" s="181"/>
      <c r="AK233" s="181"/>
      <c r="AL233" s="181"/>
      <c r="AM233" s="181"/>
      <c r="AN233" s="181"/>
      <c r="AO233" s="181"/>
      <c r="AP233" s="181"/>
      <c r="AQ233" s="181"/>
      <c r="AR233" s="181"/>
      <c r="AS233" s="181"/>
      <c r="AT233" s="181"/>
      <c r="AU233" s="181"/>
      <c r="AV233" s="216"/>
      <c r="AW233" s="216"/>
      <c r="AX233" s="216"/>
      <c r="AY233" s="216"/>
      <c r="AZ233" s="179"/>
      <c r="BA233" s="179"/>
      <c r="BB233" s="179"/>
      <c r="BC233" s="179"/>
      <c r="BD233" s="179"/>
      <c r="BE233" s="179"/>
      <c r="BF233" s="179"/>
    </row>
    <row r="234" spans="3:58" s="214" customFormat="1" ht="15.75" customHeight="1" outlineLevel="1">
      <c r="C234" s="1214" t="s">
        <v>1925</v>
      </c>
      <c r="D234" s="216"/>
      <c r="E234" s="216"/>
      <c r="F234" s="216"/>
      <c r="G234" s="216"/>
      <c r="J234" s="216"/>
      <c r="K234" s="216"/>
      <c r="M234" s="185"/>
      <c r="R234" s="181"/>
      <c r="S234" s="181"/>
      <c r="T234" s="181"/>
      <c r="U234" s="181">
        <f t="shared" si="75"/>
        <v>0</v>
      </c>
      <c r="V234" s="181"/>
      <c r="W234" s="181"/>
      <c r="X234" s="181"/>
      <c r="Y234" s="181"/>
      <c r="Z234" s="181"/>
      <c r="AA234" s="181"/>
      <c r="AB234" s="181"/>
      <c r="AC234" s="181"/>
      <c r="AD234" s="181"/>
      <c r="AE234" s="181"/>
      <c r="AF234" s="181"/>
      <c r="AG234" s="181"/>
      <c r="AH234" s="181"/>
      <c r="AI234" s="181"/>
      <c r="AJ234" s="181"/>
      <c r="AK234" s="181"/>
      <c r="AL234" s="181"/>
      <c r="AM234" s="181"/>
      <c r="AN234" s="181"/>
      <c r="AO234" s="181"/>
      <c r="AP234" s="181"/>
      <c r="AQ234" s="181"/>
      <c r="AR234" s="181"/>
      <c r="AS234" s="181"/>
      <c r="AT234" s="181"/>
      <c r="AU234" s="181"/>
      <c r="AV234" s="216"/>
      <c r="AW234" s="216"/>
      <c r="AX234" s="216"/>
      <c r="AY234" s="216"/>
      <c r="AZ234" s="179"/>
      <c r="BA234" s="179"/>
      <c r="BB234" s="179"/>
      <c r="BC234" s="179"/>
      <c r="BD234" s="179"/>
      <c r="BE234" s="179"/>
      <c r="BF234" s="179"/>
    </row>
    <row r="235" spans="3:58" s="214" customFormat="1" ht="15.75" customHeight="1" outlineLevel="1">
      <c r="C235" s="353" t="s">
        <v>1923</v>
      </c>
      <c r="D235" s="216"/>
      <c r="E235" s="216"/>
      <c r="F235" s="216"/>
      <c r="G235" s="216"/>
      <c r="J235" s="216"/>
      <c r="K235" s="216"/>
      <c r="M235" s="185"/>
      <c r="R235" s="181">
        <f>R76*R172</f>
        <v>571662.52619966911</v>
      </c>
      <c r="S235" s="181"/>
      <c r="T235" s="181">
        <f>T76*T172</f>
        <v>571662.52619966911</v>
      </c>
      <c r="U235" s="181">
        <f t="shared" si="75"/>
        <v>571662.52619966911</v>
      </c>
      <c r="V235" s="181">
        <f t="shared" ref="V235:AU235" si="93">V76*V172</f>
        <v>3986645.2783831991</v>
      </c>
      <c r="W235" s="181">
        <f t="shared" si="93"/>
        <v>4641984.2282544086</v>
      </c>
      <c r="X235" s="181">
        <f t="shared" si="93"/>
        <v>4641984.2282544086</v>
      </c>
      <c r="Y235" s="181">
        <f t="shared" si="93"/>
        <v>4641984.2282544086</v>
      </c>
      <c r="Z235" s="181">
        <f t="shared" si="93"/>
        <v>4641984.2282544086</v>
      </c>
      <c r="AA235" s="181">
        <f t="shared" si="93"/>
        <v>4641984.2282544086</v>
      </c>
      <c r="AB235" s="181">
        <f t="shared" si="93"/>
        <v>4641984.2282544086</v>
      </c>
      <c r="AC235" s="181">
        <f t="shared" si="93"/>
        <v>4641984.2282544086</v>
      </c>
      <c r="AD235" s="181">
        <f t="shared" si="93"/>
        <v>4641984.2282544086</v>
      </c>
      <c r="AE235" s="181">
        <f t="shared" si="93"/>
        <v>4641984.2282544086</v>
      </c>
      <c r="AF235" s="181">
        <f t="shared" si="93"/>
        <v>4641984.2282544086</v>
      </c>
      <c r="AG235" s="181">
        <f t="shared" si="93"/>
        <v>4641984.2282544086</v>
      </c>
      <c r="AH235" s="181">
        <f t="shared" si="93"/>
        <v>4641984.2282544086</v>
      </c>
      <c r="AI235" s="181">
        <f t="shared" si="93"/>
        <v>4641984.2282544086</v>
      </c>
      <c r="AJ235" s="181">
        <f t="shared" si="93"/>
        <v>4641984.2282544086</v>
      </c>
      <c r="AK235" s="181">
        <f t="shared" si="93"/>
        <v>4641984.2282544086</v>
      </c>
      <c r="AL235" s="181">
        <f t="shared" si="93"/>
        <v>4641984.2282544086</v>
      </c>
      <c r="AM235" s="181">
        <f t="shared" si="93"/>
        <v>4641984.2282544086</v>
      </c>
      <c r="AN235" s="181">
        <f t="shared" si="93"/>
        <v>4641984.2282544086</v>
      </c>
      <c r="AO235" s="181">
        <f t="shared" si="93"/>
        <v>4641984.2282544086</v>
      </c>
      <c r="AP235" s="181">
        <f t="shared" si="93"/>
        <v>4641984.2282544086</v>
      </c>
      <c r="AQ235" s="181">
        <f t="shared" si="93"/>
        <v>4641984.2282544086</v>
      </c>
      <c r="AR235" s="181">
        <f t="shared" si="93"/>
        <v>4641984.2282544086</v>
      </c>
      <c r="AS235" s="181">
        <f t="shared" si="93"/>
        <v>4641984.2282544086</v>
      </c>
      <c r="AT235" s="181">
        <f t="shared" si="93"/>
        <v>4641984.2282544086</v>
      </c>
      <c r="AU235" s="181">
        <f t="shared" si="93"/>
        <v>4641984.2282544086</v>
      </c>
      <c r="AV235" s="216"/>
      <c r="AW235" s="216"/>
      <c r="AX235" s="216"/>
      <c r="AY235" s="216"/>
      <c r="AZ235" s="179"/>
      <c r="BA235" s="179"/>
      <c r="BB235" s="179"/>
      <c r="BC235" s="179"/>
      <c r="BD235" s="179"/>
      <c r="BE235" s="179"/>
      <c r="BF235" s="179"/>
    </row>
    <row r="236" spans="3:58" s="214" customFormat="1" ht="15.75" customHeight="1" outlineLevel="1">
      <c r="C236" s="353" t="s">
        <v>1924</v>
      </c>
      <c r="D236" s="216"/>
      <c r="E236" s="216"/>
      <c r="F236" s="216"/>
      <c r="G236" s="216"/>
      <c r="J236" s="216"/>
      <c r="K236" s="216"/>
      <c r="M236" s="185"/>
      <c r="R236" s="181">
        <f>R77*R176+R78*R177</f>
        <v>10260000</v>
      </c>
      <c r="S236" s="181"/>
      <c r="T236" s="181">
        <f>T77*T176+T78*T177</f>
        <v>10260000</v>
      </c>
      <c r="U236" s="181">
        <f t="shared" si="75"/>
        <v>10260000</v>
      </c>
      <c r="V236" s="181">
        <f t="shared" ref="V236:AU236" si="94">V77*V176+V78*V177</f>
        <v>10260000</v>
      </c>
      <c r="W236" s="181">
        <f t="shared" si="94"/>
        <v>10260000</v>
      </c>
      <c r="X236" s="181">
        <f t="shared" si="94"/>
        <v>10260000</v>
      </c>
      <c r="Y236" s="181">
        <f t="shared" si="94"/>
        <v>10260000</v>
      </c>
      <c r="Z236" s="181">
        <f t="shared" si="94"/>
        <v>10260000</v>
      </c>
      <c r="AA236" s="181">
        <f t="shared" si="94"/>
        <v>10260000</v>
      </c>
      <c r="AB236" s="181">
        <f t="shared" si="94"/>
        <v>10260000</v>
      </c>
      <c r="AC236" s="181">
        <f t="shared" si="94"/>
        <v>10260000</v>
      </c>
      <c r="AD236" s="181">
        <f t="shared" si="94"/>
        <v>10260000</v>
      </c>
      <c r="AE236" s="181">
        <f t="shared" si="94"/>
        <v>10260000</v>
      </c>
      <c r="AF236" s="181">
        <f t="shared" si="94"/>
        <v>10260000</v>
      </c>
      <c r="AG236" s="181">
        <f t="shared" si="94"/>
        <v>10260000</v>
      </c>
      <c r="AH236" s="181">
        <f t="shared" si="94"/>
        <v>10260000</v>
      </c>
      <c r="AI236" s="181">
        <f t="shared" si="94"/>
        <v>10260000</v>
      </c>
      <c r="AJ236" s="181">
        <f t="shared" si="94"/>
        <v>10260000</v>
      </c>
      <c r="AK236" s="181">
        <f t="shared" si="94"/>
        <v>10260000</v>
      </c>
      <c r="AL236" s="181">
        <f t="shared" si="94"/>
        <v>10260000</v>
      </c>
      <c r="AM236" s="181">
        <f t="shared" si="94"/>
        <v>10260000</v>
      </c>
      <c r="AN236" s="181">
        <f t="shared" si="94"/>
        <v>10260000</v>
      </c>
      <c r="AO236" s="181">
        <f t="shared" si="94"/>
        <v>10260000</v>
      </c>
      <c r="AP236" s="181">
        <f t="shared" si="94"/>
        <v>10260000</v>
      </c>
      <c r="AQ236" s="181">
        <f t="shared" si="94"/>
        <v>10260000</v>
      </c>
      <c r="AR236" s="181">
        <f t="shared" si="94"/>
        <v>10260000</v>
      </c>
      <c r="AS236" s="181">
        <f t="shared" si="94"/>
        <v>10260000</v>
      </c>
      <c r="AT236" s="181">
        <f t="shared" si="94"/>
        <v>10260000</v>
      </c>
      <c r="AU236" s="181">
        <f t="shared" si="94"/>
        <v>10260000</v>
      </c>
      <c r="AV236" s="216"/>
      <c r="AW236" s="216"/>
      <c r="AX236" s="216"/>
      <c r="AY236" s="216"/>
      <c r="AZ236" s="179"/>
      <c r="BA236" s="179"/>
      <c r="BB236" s="179"/>
      <c r="BC236" s="179"/>
      <c r="BD236" s="179"/>
      <c r="BE236" s="179"/>
      <c r="BF236" s="179"/>
    </row>
    <row r="237" spans="3:58" s="214" customFormat="1" ht="15.75" customHeight="1" outlineLevel="1">
      <c r="C237" s="353"/>
      <c r="D237" s="216"/>
      <c r="E237" s="216"/>
      <c r="F237" s="216"/>
      <c r="G237" s="216"/>
      <c r="J237" s="216"/>
      <c r="K237" s="216"/>
      <c r="M237" s="185"/>
      <c r="R237" s="181"/>
      <c r="S237" s="181"/>
      <c r="T237" s="181"/>
      <c r="U237" s="181">
        <f t="shared" si="75"/>
        <v>0</v>
      </c>
      <c r="V237" s="181"/>
      <c r="W237" s="181"/>
      <c r="X237" s="181"/>
      <c r="Y237" s="181"/>
      <c r="Z237" s="181"/>
      <c r="AA237" s="181"/>
      <c r="AB237" s="181"/>
      <c r="AC237" s="181"/>
      <c r="AD237" s="181"/>
      <c r="AE237" s="181"/>
      <c r="AF237" s="181"/>
      <c r="AG237" s="181"/>
      <c r="AH237" s="181"/>
      <c r="AI237" s="181"/>
      <c r="AJ237" s="181"/>
      <c r="AK237" s="181"/>
      <c r="AL237" s="181"/>
      <c r="AM237" s="181"/>
      <c r="AN237" s="181"/>
      <c r="AO237" s="181"/>
      <c r="AP237" s="181"/>
      <c r="AQ237" s="181"/>
      <c r="AR237" s="181"/>
      <c r="AS237" s="181"/>
      <c r="AT237" s="181"/>
      <c r="AU237" s="181"/>
      <c r="AV237" s="216"/>
      <c r="AW237" s="216"/>
      <c r="AX237" s="216"/>
      <c r="AY237" s="216"/>
      <c r="AZ237" s="179"/>
      <c r="BA237" s="179"/>
      <c r="BB237" s="179"/>
      <c r="BC237" s="179"/>
      <c r="BD237" s="179"/>
      <c r="BE237" s="179"/>
      <c r="BF237" s="179"/>
    </row>
    <row r="238" spans="3:58" s="179" customFormat="1" ht="15.75" customHeight="1" outlineLevel="1">
      <c r="C238" s="1223" t="s">
        <v>1914</v>
      </c>
      <c r="D238" s="181"/>
      <c r="E238" s="181"/>
      <c r="F238" s="181"/>
      <c r="G238" s="181"/>
      <c r="J238" s="181"/>
      <c r="K238" s="181"/>
      <c r="M238" s="185"/>
      <c r="R238" s="181">
        <f>R188+R193+R196+R203+R209+R214</f>
        <v>48424486.350510791</v>
      </c>
      <c r="S238" s="181"/>
      <c r="T238" s="181">
        <f>T188+T193+T196+T203+T209+T214</f>
        <v>48424486.350510791</v>
      </c>
      <c r="U238" s="181">
        <f t="shared" si="75"/>
        <v>48424486.350510791</v>
      </c>
      <c r="V238" s="181">
        <f t="shared" ref="V238:AU238" si="95">V188+V193+V196+V203+V209+V214</f>
        <v>140239313.52920443</v>
      </c>
      <c r="W238" s="181">
        <f t="shared" si="95"/>
        <v>159928281.81126541</v>
      </c>
      <c r="X238" s="181">
        <f t="shared" si="95"/>
        <v>159928281.81126541</v>
      </c>
      <c r="Y238" s="181">
        <f t="shared" si="95"/>
        <v>159928281.81126541</v>
      </c>
      <c r="Z238" s="181">
        <f t="shared" si="95"/>
        <v>159928281.81126541</v>
      </c>
      <c r="AA238" s="181">
        <f t="shared" si="95"/>
        <v>159928281.81126541</v>
      </c>
      <c r="AB238" s="181">
        <f t="shared" si="95"/>
        <v>159928281.81126541</v>
      </c>
      <c r="AC238" s="181">
        <f t="shared" si="95"/>
        <v>159928281.81126541</v>
      </c>
      <c r="AD238" s="181">
        <f t="shared" si="95"/>
        <v>159928281.81126541</v>
      </c>
      <c r="AE238" s="181">
        <f t="shared" si="95"/>
        <v>159928281.81126541</v>
      </c>
      <c r="AF238" s="181">
        <f t="shared" si="95"/>
        <v>159928281.81126541</v>
      </c>
      <c r="AG238" s="181">
        <f t="shared" si="95"/>
        <v>159928281.81126541</v>
      </c>
      <c r="AH238" s="181">
        <f t="shared" si="95"/>
        <v>159928281.81126541</v>
      </c>
      <c r="AI238" s="181">
        <f t="shared" si="95"/>
        <v>159928281.81126541</v>
      </c>
      <c r="AJ238" s="181">
        <f t="shared" si="95"/>
        <v>159928281.81126541</v>
      </c>
      <c r="AK238" s="181">
        <f t="shared" si="95"/>
        <v>159928281.81126541</v>
      </c>
      <c r="AL238" s="181">
        <f t="shared" si="95"/>
        <v>159928281.81126541</v>
      </c>
      <c r="AM238" s="181">
        <f t="shared" si="95"/>
        <v>159928281.81126541</v>
      </c>
      <c r="AN238" s="181">
        <f t="shared" si="95"/>
        <v>159928281.81126541</v>
      </c>
      <c r="AO238" s="181">
        <f t="shared" si="95"/>
        <v>159928281.81126541</v>
      </c>
      <c r="AP238" s="181">
        <f t="shared" si="95"/>
        <v>159928281.81126541</v>
      </c>
      <c r="AQ238" s="181">
        <f t="shared" si="95"/>
        <v>159928281.81126541</v>
      </c>
      <c r="AR238" s="181">
        <f t="shared" si="95"/>
        <v>159928281.81126541</v>
      </c>
      <c r="AS238" s="181">
        <f t="shared" si="95"/>
        <v>159928281.81126541</v>
      </c>
      <c r="AT238" s="181">
        <f t="shared" si="95"/>
        <v>159928281.81126541</v>
      </c>
      <c r="AU238" s="181">
        <f t="shared" si="95"/>
        <v>159928281.81126541</v>
      </c>
      <c r="AV238" s="181"/>
      <c r="AW238" s="181"/>
      <c r="AX238" s="181"/>
      <c r="AY238" s="181"/>
    </row>
    <row r="239" spans="3:58" s="179" customFormat="1" ht="15.75" customHeight="1" outlineLevel="1">
      <c r="C239" s="1223" t="s">
        <v>1928</v>
      </c>
      <c r="D239" s="181"/>
      <c r="E239" s="181"/>
      <c r="F239" s="181"/>
      <c r="G239" s="181"/>
      <c r="J239" s="181"/>
      <c r="K239" s="181"/>
      <c r="M239" s="185"/>
      <c r="R239" s="181">
        <f>R235</f>
        <v>571662.52619966911</v>
      </c>
      <c r="S239" s="181"/>
      <c r="T239" s="181">
        <f>T235</f>
        <v>571662.52619966911</v>
      </c>
      <c r="U239" s="181">
        <f t="shared" si="75"/>
        <v>571662.52619966911</v>
      </c>
      <c r="V239" s="181">
        <f t="shared" ref="V239:AU239" si="96">V235</f>
        <v>3986645.2783831991</v>
      </c>
      <c r="W239" s="181">
        <f t="shared" si="96"/>
        <v>4641984.2282544086</v>
      </c>
      <c r="X239" s="181">
        <f t="shared" si="96"/>
        <v>4641984.2282544086</v>
      </c>
      <c r="Y239" s="181">
        <f t="shared" si="96"/>
        <v>4641984.2282544086</v>
      </c>
      <c r="Z239" s="181">
        <f t="shared" si="96"/>
        <v>4641984.2282544086</v>
      </c>
      <c r="AA239" s="181">
        <f t="shared" si="96"/>
        <v>4641984.2282544086</v>
      </c>
      <c r="AB239" s="181">
        <f t="shared" si="96"/>
        <v>4641984.2282544086</v>
      </c>
      <c r="AC239" s="181">
        <f t="shared" si="96"/>
        <v>4641984.2282544086</v>
      </c>
      <c r="AD239" s="181">
        <f t="shared" si="96"/>
        <v>4641984.2282544086</v>
      </c>
      <c r="AE239" s="181">
        <f t="shared" si="96"/>
        <v>4641984.2282544086</v>
      </c>
      <c r="AF239" s="181">
        <f t="shared" si="96"/>
        <v>4641984.2282544086</v>
      </c>
      <c r="AG239" s="181">
        <f t="shared" si="96"/>
        <v>4641984.2282544086</v>
      </c>
      <c r="AH239" s="181">
        <f t="shared" si="96"/>
        <v>4641984.2282544086</v>
      </c>
      <c r="AI239" s="181">
        <f t="shared" si="96"/>
        <v>4641984.2282544086</v>
      </c>
      <c r="AJ239" s="181">
        <f t="shared" si="96"/>
        <v>4641984.2282544086</v>
      </c>
      <c r="AK239" s="181">
        <f t="shared" si="96"/>
        <v>4641984.2282544086</v>
      </c>
      <c r="AL239" s="181">
        <f t="shared" si="96"/>
        <v>4641984.2282544086</v>
      </c>
      <c r="AM239" s="181">
        <f t="shared" si="96"/>
        <v>4641984.2282544086</v>
      </c>
      <c r="AN239" s="181">
        <f t="shared" si="96"/>
        <v>4641984.2282544086</v>
      </c>
      <c r="AO239" s="181">
        <f t="shared" si="96"/>
        <v>4641984.2282544086</v>
      </c>
      <c r="AP239" s="181">
        <f t="shared" si="96"/>
        <v>4641984.2282544086</v>
      </c>
      <c r="AQ239" s="181">
        <f t="shared" si="96"/>
        <v>4641984.2282544086</v>
      </c>
      <c r="AR239" s="181">
        <f t="shared" si="96"/>
        <v>4641984.2282544086</v>
      </c>
      <c r="AS239" s="181">
        <f t="shared" si="96"/>
        <v>4641984.2282544086</v>
      </c>
      <c r="AT239" s="181">
        <f t="shared" si="96"/>
        <v>4641984.2282544086</v>
      </c>
      <c r="AU239" s="181">
        <f t="shared" si="96"/>
        <v>4641984.2282544086</v>
      </c>
      <c r="AV239" s="181"/>
      <c r="AW239" s="181"/>
      <c r="AX239" s="181"/>
      <c r="AY239" s="181"/>
    </row>
    <row r="240" spans="3:58" s="179" customFormat="1" ht="15.75" customHeight="1" outlineLevel="1">
      <c r="C240" s="1223" t="s">
        <v>1916</v>
      </c>
      <c r="D240" s="181"/>
      <c r="E240" s="181"/>
      <c r="F240" s="181"/>
      <c r="G240" s="181"/>
      <c r="J240" s="181"/>
      <c r="K240" s="181"/>
      <c r="M240" s="185"/>
      <c r="R240" s="181">
        <f>R174*R52+R175*R57</f>
        <v>1024560</v>
      </c>
      <c r="S240" s="181"/>
      <c r="T240" s="181">
        <f>T174*T52+T175*T57</f>
        <v>1024560</v>
      </c>
      <c r="U240" s="181">
        <f t="shared" si="75"/>
        <v>1024560</v>
      </c>
      <c r="V240" s="181">
        <f t="shared" ref="V240:AU240" si="97">V174*V52+V175*V57</f>
        <v>1024560</v>
      </c>
      <c r="W240" s="181">
        <f t="shared" si="97"/>
        <v>1024560</v>
      </c>
      <c r="X240" s="181">
        <f t="shared" si="97"/>
        <v>1024560</v>
      </c>
      <c r="Y240" s="181">
        <f t="shared" si="97"/>
        <v>1024560</v>
      </c>
      <c r="Z240" s="181">
        <f t="shared" si="97"/>
        <v>1024560</v>
      </c>
      <c r="AA240" s="181">
        <f t="shared" si="97"/>
        <v>1024560</v>
      </c>
      <c r="AB240" s="181">
        <f t="shared" si="97"/>
        <v>1024560</v>
      </c>
      <c r="AC240" s="181">
        <f t="shared" si="97"/>
        <v>1024560</v>
      </c>
      <c r="AD240" s="181">
        <f t="shared" si="97"/>
        <v>1024560</v>
      </c>
      <c r="AE240" s="181">
        <f t="shared" si="97"/>
        <v>1024560</v>
      </c>
      <c r="AF240" s="181">
        <f t="shared" si="97"/>
        <v>1024560</v>
      </c>
      <c r="AG240" s="181">
        <f t="shared" si="97"/>
        <v>1024560</v>
      </c>
      <c r="AH240" s="181">
        <f t="shared" si="97"/>
        <v>1024560</v>
      </c>
      <c r="AI240" s="181">
        <f t="shared" si="97"/>
        <v>1024560</v>
      </c>
      <c r="AJ240" s="181">
        <f t="shared" si="97"/>
        <v>1024560</v>
      </c>
      <c r="AK240" s="181">
        <f t="shared" si="97"/>
        <v>1024560</v>
      </c>
      <c r="AL240" s="181">
        <f t="shared" si="97"/>
        <v>1024560</v>
      </c>
      <c r="AM240" s="181">
        <f t="shared" si="97"/>
        <v>1024560</v>
      </c>
      <c r="AN240" s="181">
        <f t="shared" si="97"/>
        <v>1024560</v>
      </c>
      <c r="AO240" s="181">
        <f t="shared" si="97"/>
        <v>1024560</v>
      </c>
      <c r="AP240" s="181">
        <f t="shared" si="97"/>
        <v>1024560</v>
      </c>
      <c r="AQ240" s="181">
        <f t="shared" si="97"/>
        <v>1024560</v>
      </c>
      <c r="AR240" s="181">
        <f t="shared" si="97"/>
        <v>1024560</v>
      </c>
      <c r="AS240" s="181">
        <f t="shared" si="97"/>
        <v>1024560</v>
      </c>
      <c r="AT240" s="181">
        <f t="shared" si="97"/>
        <v>1024560</v>
      </c>
      <c r="AU240" s="181">
        <f t="shared" si="97"/>
        <v>1024560</v>
      </c>
      <c r="AV240" s="181"/>
      <c r="AW240" s="181"/>
      <c r="AX240" s="181"/>
      <c r="AY240" s="181"/>
    </row>
    <row r="241" spans="3:58" s="179" customFormat="1" ht="15.75" customHeight="1" outlineLevel="1">
      <c r="C241" s="1223" t="s">
        <v>1929</v>
      </c>
      <c r="D241" s="181"/>
      <c r="E241" s="181"/>
      <c r="F241" s="181"/>
      <c r="G241" s="181"/>
      <c r="J241" s="181"/>
      <c r="K241" s="181"/>
      <c r="M241" s="185"/>
      <c r="R241" s="181">
        <f>R236</f>
        <v>10260000</v>
      </c>
      <c r="S241" s="181"/>
      <c r="T241" s="181">
        <f>T236</f>
        <v>10260000</v>
      </c>
      <c r="U241" s="181">
        <f t="shared" si="75"/>
        <v>10260000</v>
      </c>
      <c r="V241" s="181">
        <f t="shared" ref="V241:AU241" si="98">V236</f>
        <v>10260000</v>
      </c>
      <c r="W241" s="181">
        <f t="shared" si="98"/>
        <v>10260000</v>
      </c>
      <c r="X241" s="181">
        <f t="shared" si="98"/>
        <v>10260000</v>
      </c>
      <c r="Y241" s="181">
        <f t="shared" si="98"/>
        <v>10260000</v>
      </c>
      <c r="Z241" s="181">
        <f t="shared" si="98"/>
        <v>10260000</v>
      </c>
      <c r="AA241" s="181">
        <f t="shared" si="98"/>
        <v>10260000</v>
      </c>
      <c r="AB241" s="181">
        <f t="shared" si="98"/>
        <v>10260000</v>
      </c>
      <c r="AC241" s="181">
        <f t="shared" si="98"/>
        <v>10260000</v>
      </c>
      <c r="AD241" s="181">
        <f t="shared" si="98"/>
        <v>10260000</v>
      </c>
      <c r="AE241" s="181">
        <f t="shared" si="98"/>
        <v>10260000</v>
      </c>
      <c r="AF241" s="181">
        <f t="shared" si="98"/>
        <v>10260000</v>
      </c>
      <c r="AG241" s="181">
        <f t="shared" si="98"/>
        <v>10260000</v>
      </c>
      <c r="AH241" s="181">
        <f t="shared" si="98"/>
        <v>10260000</v>
      </c>
      <c r="AI241" s="181">
        <f t="shared" si="98"/>
        <v>10260000</v>
      </c>
      <c r="AJ241" s="181">
        <f t="shared" si="98"/>
        <v>10260000</v>
      </c>
      <c r="AK241" s="181">
        <f t="shared" si="98"/>
        <v>10260000</v>
      </c>
      <c r="AL241" s="181">
        <f t="shared" si="98"/>
        <v>10260000</v>
      </c>
      <c r="AM241" s="181">
        <f t="shared" si="98"/>
        <v>10260000</v>
      </c>
      <c r="AN241" s="181">
        <f t="shared" si="98"/>
        <v>10260000</v>
      </c>
      <c r="AO241" s="181">
        <f t="shared" si="98"/>
        <v>10260000</v>
      </c>
      <c r="AP241" s="181">
        <f t="shared" si="98"/>
        <v>10260000</v>
      </c>
      <c r="AQ241" s="181">
        <f t="shared" si="98"/>
        <v>10260000</v>
      </c>
      <c r="AR241" s="181">
        <f t="shared" si="98"/>
        <v>10260000</v>
      </c>
      <c r="AS241" s="181">
        <f t="shared" si="98"/>
        <v>10260000</v>
      </c>
      <c r="AT241" s="181">
        <f t="shared" si="98"/>
        <v>10260000</v>
      </c>
      <c r="AU241" s="181">
        <f t="shared" si="98"/>
        <v>10260000</v>
      </c>
      <c r="AV241" s="181"/>
      <c r="AW241" s="181"/>
      <c r="AX241" s="181"/>
      <c r="AY241" s="181"/>
    </row>
    <row r="242" spans="3:58" s="225" customFormat="1" ht="15.75" customHeight="1" outlineLevel="1">
      <c r="C242" s="1224" t="s">
        <v>1930</v>
      </c>
      <c r="D242" s="207"/>
      <c r="E242" s="207"/>
      <c r="F242" s="207"/>
      <c r="G242" s="207"/>
      <c r="J242" s="207"/>
      <c r="K242" s="207"/>
      <c r="M242" s="194"/>
      <c r="R242" s="1204">
        <f>R240/R178</f>
        <v>1.8973333333333333</v>
      </c>
      <c r="S242" s="1204"/>
      <c r="T242" s="1204">
        <f>T240/T178</f>
        <v>1.8973333333333333</v>
      </c>
      <c r="U242" s="1204">
        <f t="shared" si="75"/>
        <v>1.8973333333333333</v>
      </c>
      <c r="V242" s="1204">
        <f t="shared" ref="V242:AU242" si="99">V240/V178</f>
        <v>1.8973333333333333</v>
      </c>
      <c r="W242" s="1204">
        <f t="shared" si="99"/>
        <v>1.8973333333333333</v>
      </c>
      <c r="X242" s="1204">
        <f t="shared" si="99"/>
        <v>1.8973333333333333</v>
      </c>
      <c r="Y242" s="1204">
        <f t="shared" si="99"/>
        <v>1.8973333333333333</v>
      </c>
      <c r="Z242" s="1204">
        <f t="shared" si="99"/>
        <v>1.8973333333333333</v>
      </c>
      <c r="AA242" s="1204">
        <f t="shared" si="99"/>
        <v>1.8973333333333333</v>
      </c>
      <c r="AB242" s="1204">
        <f t="shared" si="99"/>
        <v>1.8973333333333333</v>
      </c>
      <c r="AC242" s="1204">
        <f t="shared" si="99"/>
        <v>1.8973333333333333</v>
      </c>
      <c r="AD242" s="1204">
        <f t="shared" si="99"/>
        <v>1.8973333333333333</v>
      </c>
      <c r="AE242" s="1204">
        <f t="shared" si="99"/>
        <v>1.8973333333333333</v>
      </c>
      <c r="AF242" s="1204">
        <f t="shared" si="99"/>
        <v>1.8973333333333333</v>
      </c>
      <c r="AG242" s="1204">
        <f t="shared" si="99"/>
        <v>1.8973333333333333</v>
      </c>
      <c r="AH242" s="1204">
        <f t="shared" si="99"/>
        <v>1.8973333333333333</v>
      </c>
      <c r="AI242" s="1204">
        <f t="shared" si="99"/>
        <v>1.8973333333333333</v>
      </c>
      <c r="AJ242" s="1204">
        <f t="shared" si="99"/>
        <v>1.8973333333333333</v>
      </c>
      <c r="AK242" s="1204">
        <f t="shared" si="99"/>
        <v>1.8973333333333333</v>
      </c>
      <c r="AL242" s="1204">
        <f t="shared" si="99"/>
        <v>1.8973333333333333</v>
      </c>
      <c r="AM242" s="1204">
        <f t="shared" si="99"/>
        <v>1.8973333333333333</v>
      </c>
      <c r="AN242" s="1204">
        <f t="shared" si="99"/>
        <v>1.8973333333333333</v>
      </c>
      <c r="AO242" s="1204">
        <f t="shared" si="99"/>
        <v>1.8973333333333333</v>
      </c>
      <c r="AP242" s="1204">
        <f t="shared" si="99"/>
        <v>1.8973333333333333</v>
      </c>
      <c r="AQ242" s="1204">
        <f t="shared" si="99"/>
        <v>1.8973333333333333</v>
      </c>
      <c r="AR242" s="1204">
        <f t="shared" si="99"/>
        <v>1.8973333333333333</v>
      </c>
      <c r="AS242" s="1204">
        <f t="shared" si="99"/>
        <v>1.8973333333333333</v>
      </c>
      <c r="AT242" s="1204">
        <f t="shared" si="99"/>
        <v>1.8973333333333333</v>
      </c>
      <c r="AU242" s="1204">
        <f t="shared" si="99"/>
        <v>1.8973333333333333</v>
      </c>
      <c r="AV242" s="207"/>
      <c r="AW242" s="207"/>
      <c r="AX242" s="207"/>
      <c r="AY242" s="207"/>
    </row>
    <row r="243" spans="3:58" s="225" customFormat="1" ht="15.75" customHeight="1" outlineLevel="1" thickBot="1">
      <c r="C243" s="1224" t="s">
        <v>1932</v>
      </c>
      <c r="D243" s="207"/>
      <c r="E243" s="207"/>
      <c r="F243" s="207"/>
      <c r="G243" s="207"/>
      <c r="J243" s="207"/>
      <c r="K243" s="207"/>
      <c r="M243" s="194"/>
      <c r="R243" s="1204">
        <f>R236/R178</f>
        <v>19</v>
      </c>
      <c r="S243" s="1204"/>
      <c r="T243" s="1204">
        <f>T236/T178</f>
        <v>19</v>
      </c>
      <c r="U243" s="1204">
        <f t="shared" si="75"/>
        <v>19</v>
      </c>
      <c r="V243" s="1204">
        <f t="shared" ref="V243:AU243" si="100">V236/V178</f>
        <v>19</v>
      </c>
      <c r="W243" s="1204">
        <f t="shared" si="100"/>
        <v>19</v>
      </c>
      <c r="X243" s="1204">
        <f t="shared" si="100"/>
        <v>19</v>
      </c>
      <c r="Y243" s="1204">
        <f t="shared" si="100"/>
        <v>19</v>
      </c>
      <c r="Z243" s="1204">
        <f t="shared" si="100"/>
        <v>19</v>
      </c>
      <c r="AA243" s="1204">
        <f t="shared" si="100"/>
        <v>19</v>
      </c>
      <c r="AB243" s="1204">
        <f t="shared" si="100"/>
        <v>19</v>
      </c>
      <c r="AC243" s="1204">
        <f t="shared" si="100"/>
        <v>19</v>
      </c>
      <c r="AD243" s="1204">
        <f t="shared" si="100"/>
        <v>19</v>
      </c>
      <c r="AE243" s="1204">
        <f t="shared" si="100"/>
        <v>19</v>
      </c>
      <c r="AF243" s="1204">
        <f t="shared" si="100"/>
        <v>19</v>
      </c>
      <c r="AG243" s="1204">
        <f t="shared" si="100"/>
        <v>19</v>
      </c>
      <c r="AH243" s="1204">
        <f t="shared" si="100"/>
        <v>19</v>
      </c>
      <c r="AI243" s="1204">
        <f t="shared" si="100"/>
        <v>19</v>
      </c>
      <c r="AJ243" s="1204">
        <f t="shared" si="100"/>
        <v>19</v>
      </c>
      <c r="AK243" s="1204">
        <f t="shared" si="100"/>
        <v>19</v>
      </c>
      <c r="AL243" s="1204">
        <f t="shared" si="100"/>
        <v>19</v>
      </c>
      <c r="AM243" s="1204">
        <f t="shared" si="100"/>
        <v>19</v>
      </c>
      <c r="AN243" s="1204">
        <f t="shared" si="100"/>
        <v>19</v>
      </c>
      <c r="AO243" s="1204">
        <f t="shared" si="100"/>
        <v>19</v>
      </c>
      <c r="AP243" s="1204">
        <f t="shared" si="100"/>
        <v>19</v>
      </c>
      <c r="AQ243" s="1204">
        <f t="shared" si="100"/>
        <v>19</v>
      </c>
      <c r="AR243" s="1204">
        <f t="shared" si="100"/>
        <v>19</v>
      </c>
      <c r="AS243" s="1204">
        <f t="shared" si="100"/>
        <v>19</v>
      </c>
      <c r="AT243" s="1204">
        <f t="shared" si="100"/>
        <v>19</v>
      </c>
      <c r="AU243" s="1204">
        <f t="shared" si="100"/>
        <v>19</v>
      </c>
      <c r="AV243" s="207"/>
      <c r="AW243" s="207"/>
      <c r="AX243" s="207"/>
      <c r="AY243" s="207"/>
    </row>
    <row r="244" spans="3:58" s="225" customFormat="1" ht="15.75" customHeight="1" outlineLevel="1" thickBot="1">
      <c r="C244" s="1561" t="s">
        <v>1931</v>
      </c>
      <c r="D244" s="207"/>
      <c r="E244" s="207"/>
      <c r="F244" s="207"/>
      <c r="G244" s="207"/>
      <c r="J244" s="207"/>
      <c r="K244" s="207"/>
      <c r="M244" s="194"/>
      <c r="R244" s="1204">
        <f>R242+R243</f>
        <v>20.897333333333332</v>
      </c>
      <c r="S244" s="1204"/>
      <c r="T244" s="1204">
        <f>T242+T243</f>
        <v>20.897333333333332</v>
      </c>
      <c r="U244" s="1204">
        <f t="shared" si="75"/>
        <v>20.897333333333332</v>
      </c>
      <c r="V244" s="1204">
        <f t="shared" ref="V244:AU244" si="101">V242+V243</f>
        <v>20.897333333333332</v>
      </c>
      <c r="W244" s="1204">
        <f t="shared" si="101"/>
        <v>20.897333333333332</v>
      </c>
      <c r="X244" s="1204">
        <f t="shared" si="101"/>
        <v>20.897333333333332</v>
      </c>
      <c r="Y244" s="1204">
        <f t="shared" si="101"/>
        <v>20.897333333333332</v>
      </c>
      <c r="Z244" s="1204">
        <f t="shared" si="101"/>
        <v>20.897333333333332</v>
      </c>
      <c r="AA244" s="1204">
        <f t="shared" si="101"/>
        <v>20.897333333333332</v>
      </c>
      <c r="AB244" s="1204">
        <f t="shared" si="101"/>
        <v>20.897333333333332</v>
      </c>
      <c r="AC244" s="1204">
        <f t="shared" si="101"/>
        <v>20.897333333333332</v>
      </c>
      <c r="AD244" s="1204">
        <f t="shared" si="101"/>
        <v>20.897333333333332</v>
      </c>
      <c r="AE244" s="1204">
        <f t="shared" si="101"/>
        <v>20.897333333333332</v>
      </c>
      <c r="AF244" s="1204">
        <f t="shared" si="101"/>
        <v>20.897333333333332</v>
      </c>
      <c r="AG244" s="1204">
        <f t="shared" si="101"/>
        <v>20.897333333333332</v>
      </c>
      <c r="AH244" s="1204">
        <f t="shared" si="101"/>
        <v>20.897333333333332</v>
      </c>
      <c r="AI244" s="1204">
        <f t="shared" si="101"/>
        <v>20.897333333333332</v>
      </c>
      <c r="AJ244" s="1204">
        <f t="shared" si="101"/>
        <v>20.897333333333332</v>
      </c>
      <c r="AK244" s="1204">
        <f t="shared" si="101"/>
        <v>20.897333333333332</v>
      </c>
      <c r="AL244" s="1204">
        <f t="shared" si="101"/>
        <v>20.897333333333332</v>
      </c>
      <c r="AM244" s="1204">
        <f t="shared" si="101"/>
        <v>20.897333333333332</v>
      </c>
      <c r="AN244" s="1204">
        <f t="shared" si="101"/>
        <v>20.897333333333332</v>
      </c>
      <c r="AO244" s="1204">
        <f t="shared" si="101"/>
        <v>20.897333333333332</v>
      </c>
      <c r="AP244" s="1204">
        <f t="shared" si="101"/>
        <v>20.897333333333332</v>
      </c>
      <c r="AQ244" s="1204">
        <f t="shared" si="101"/>
        <v>20.897333333333332</v>
      </c>
      <c r="AR244" s="1204">
        <f t="shared" si="101"/>
        <v>20.897333333333332</v>
      </c>
      <c r="AS244" s="1204">
        <f t="shared" si="101"/>
        <v>20.897333333333332</v>
      </c>
      <c r="AT244" s="1204">
        <f t="shared" si="101"/>
        <v>20.897333333333332</v>
      </c>
      <c r="AU244" s="1204">
        <f t="shared" si="101"/>
        <v>20.897333333333332</v>
      </c>
      <c r="AV244" s="207"/>
      <c r="AW244" s="207"/>
      <c r="AX244" s="207"/>
      <c r="AY244" s="207"/>
    </row>
    <row r="245" spans="3:58" s="225" customFormat="1" ht="15.75" customHeight="1" outlineLevel="1" thickBot="1">
      <c r="C245" s="1224"/>
      <c r="D245" s="207"/>
      <c r="E245" s="207"/>
      <c r="F245" s="207"/>
      <c r="G245" s="207"/>
      <c r="J245" s="207"/>
      <c r="K245" s="207"/>
      <c r="M245" s="194"/>
      <c r="R245" s="1204"/>
      <c r="S245" s="1204"/>
      <c r="T245" s="1204"/>
      <c r="U245" s="1204">
        <f t="shared" si="75"/>
        <v>0</v>
      </c>
      <c r="V245" s="1204"/>
      <c r="W245" s="1204"/>
      <c r="X245" s="1204"/>
      <c r="Y245" s="1204"/>
      <c r="Z245" s="1204"/>
      <c r="AA245" s="1204"/>
      <c r="AB245" s="1204"/>
      <c r="AC245" s="1204"/>
      <c r="AD245" s="1204"/>
      <c r="AE245" s="1204"/>
      <c r="AF245" s="1204"/>
      <c r="AG245" s="1204"/>
      <c r="AH245" s="1204"/>
      <c r="AI245" s="1204"/>
      <c r="AJ245" s="1204"/>
      <c r="AK245" s="1204"/>
      <c r="AL245" s="1204"/>
      <c r="AM245" s="1204"/>
      <c r="AN245" s="1204"/>
      <c r="AO245" s="1204"/>
      <c r="AP245" s="1204"/>
      <c r="AQ245" s="1204"/>
      <c r="AR245" s="1204"/>
      <c r="AS245" s="1204"/>
      <c r="AT245" s="1204"/>
      <c r="AU245" s="1204"/>
      <c r="AV245" s="207"/>
      <c r="AW245" s="207"/>
      <c r="AX245" s="207"/>
      <c r="AY245" s="207"/>
    </row>
    <row r="246" spans="3:58" s="225" customFormat="1" ht="15.75" customHeight="1" outlineLevel="1" thickBot="1">
      <c r="C246" s="1561" t="s">
        <v>1933</v>
      </c>
      <c r="D246" s="207"/>
      <c r="E246" s="207"/>
      <c r="F246" s="207"/>
      <c r="G246" s="207"/>
      <c r="J246" s="207"/>
      <c r="K246" s="207"/>
      <c r="M246" s="194"/>
      <c r="R246" s="207"/>
      <c r="S246" s="207"/>
      <c r="T246" s="207"/>
      <c r="U246" s="207">
        <f t="shared" si="75"/>
        <v>0</v>
      </c>
      <c r="V246" s="207"/>
      <c r="W246" s="207"/>
      <c r="X246" s="207"/>
      <c r="Y246" s="207"/>
      <c r="Z246" s="207"/>
      <c r="AA246" s="207"/>
      <c r="AB246" s="207"/>
      <c r="AC246" s="207"/>
      <c r="AD246" s="207"/>
      <c r="AE246" s="207"/>
      <c r="AF246" s="207"/>
      <c r="AG246" s="207"/>
      <c r="AH246" s="207"/>
      <c r="AI246" s="207"/>
      <c r="AJ246" s="207"/>
      <c r="AK246" s="207"/>
      <c r="AL246" s="207"/>
      <c r="AM246" s="207"/>
      <c r="AN246" s="207"/>
      <c r="AO246" s="207"/>
      <c r="AP246" s="207"/>
      <c r="AQ246" s="207"/>
      <c r="AR246" s="207"/>
      <c r="AS246" s="207"/>
      <c r="AT246" s="207"/>
      <c r="AU246" s="207"/>
      <c r="AV246" s="207"/>
      <c r="AW246" s="207"/>
      <c r="AX246" s="207"/>
      <c r="AY246" s="207"/>
    </row>
    <row r="247" spans="3:58" s="225" customFormat="1" ht="15.75" customHeight="1" outlineLevel="1">
      <c r="C247" s="1224" t="s">
        <v>1912</v>
      </c>
      <c r="D247" s="207"/>
      <c r="E247" s="207"/>
      <c r="F247" s="207"/>
      <c r="G247" s="207"/>
      <c r="J247" s="207"/>
      <c r="K247" s="207"/>
      <c r="M247" s="194"/>
      <c r="R247" s="207">
        <f>(R188+R193+R196+R203+R209)/R171</f>
        <v>9966.476536460048</v>
      </c>
      <c r="S247" s="207"/>
      <c r="T247" s="207">
        <f>(T188+T193+T196+T203+T209)/T171</f>
        <v>9966.476536460048</v>
      </c>
      <c r="U247" s="207">
        <f t="shared" si="75"/>
        <v>9966.476536460048</v>
      </c>
      <c r="V247" s="207">
        <f t="shared" ref="V247:AU247" si="102">(V188+V193+V196+V203+V209)/V171</f>
        <v>5579.5900452319784</v>
      </c>
      <c r="W247" s="207">
        <f t="shared" si="102"/>
        <v>5579.5900452319793</v>
      </c>
      <c r="X247" s="207">
        <f t="shared" si="102"/>
        <v>5579.5900452319793</v>
      </c>
      <c r="Y247" s="207">
        <f t="shared" si="102"/>
        <v>5579.5900452319793</v>
      </c>
      <c r="Z247" s="207">
        <f t="shared" si="102"/>
        <v>5579.5900452319793</v>
      </c>
      <c r="AA247" s="207">
        <f t="shared" si="102"/>
        <v>5579.5900452319793</v>
      </c>
      <c r="AB247" s="207">
        <f t="shared" si="102"/>
        <v>5579.5900452319793</v>
      </c>
      <c r="AC247" s="207">
        <f t="shared" si="102"/>
        <v>5579.5900452319793</v>
      </c>
      <c r="AD247" s="207">
        <f t="shared" si="102"/>
        <v>5579.5900452319793</v>
      </c>
      <c r="AE247" s="207">
        <f t="shared" si="102"/>
        <v>5579.5900452319793</v>
      </c>
      <c r="AF247" s="207">
        <f t="shared" si="102"/>
        <v>5579.5900452319793</v>
      </c>
      <c r="AG247" s="207">
        <f t="shared" si="102"/>
        <v>5579.5900452319793</v>
      </c>
      <c r="AH247" s="207">
        <f t="shared" si="102"/>
        <v>5579.5900452319793</v>
      </c>
      <c r="AI247" s="207">
        <f t="shared" si="102"/>
        <v>5579.5900452319793</v>
      </c>
      <c r="AJ247" s="207">
        <f t="shared" si="102"/>
        <v>5579.5900452319793</v>
      </c>
      <c r="AK247" s="207">
        <f t="shared" si="102"/>
        <v>5579.5900452319793</v>
      </c>
      <c r="AL247" s="207">
        <f t="shared" si="102"/>
        <v>5579.5900452319793</v>
      </c>
      <c r="AM247" s="207">
        <f t="shared" si="102"/>
        <v>5579.5900452319793</v>
      </c>
      <c r="AN247" s="207">
        <f t="shared" si="102"/>
        <v>5579.5900452319793</v>
      </c>
      <c r="AO247" s="207">
        <f t="shared" si="102"/>
        <v>5579.5900452319793</v>
      </c>
      <c r="AP247" s="207">
        <f t="shared" si="102"/>
        <v>5579.5900452319793</v>
      </c>
      <c r="AQ247" s="207">
        <f t="shared" si="102"/>
        <v>5579.5900452319793</v>
      </c>
      <c r="AR247" s="207">
        <f t="shared" si="102"/>
        <v>5579.5900452319793</v>
      </c>
      <c r="AS247" s="207">
        <f t="shared" si="102"/>
        <v>5579.5900452319793</v>
      </c>
      <c r="AT247" s="207">
        <f t="shared" si="102"/>
        <v>5579.5900452319793</v>
      </c>
      <c r="AU247" s="207">
        <f t="shared" si="102"/>
        <v>5579.5900452319793</v>
      </c>
      <c r="AV247" s="207"/>
      <c r="AW247" s="207"/>
      <c r="AX247" s="207"/>
      <c r="AY247" s="207"/>
    </row>
    <row r="248" spans="3:58" s="214" customFormat="1" ht="15.75" customHeight="1" outlineLevel="1">
      <c r="C248" s="1216" t="s">
        <v>1901</v>
      </c>
      <c r="D248" s="216"/>
      <c r="E248" s="216"/>
      <c r="F248" s="216"/>
      <c r="G248" s="216"/>
      <c r="J248" s="216"/>
      <c r="K248" s="216"/>
      <c r="M248" s="185"/>
      <c r="R248" s="181">
        <f>R188/R171</f>
        <v>317.33746130030966</v>
      </c>
      <c r="S248" s="181"/>
      <c r="T248" s="181">
        <f>T188/T171</f>
        <v>317.33746130030966</v>
      </c>
      <c r="U248" s="181">
        <f t="shared" si="75"/>
        <v>317.33746130030966</v>
      </c>
      <c r="V248" s="181">
        <f t="shared" ref="V248:AU248" si="103">V188/V171</f>
        <v>317.3374613003096</v>
      </c>
      <c r="W248" s="181">
        <f t="shared" si="103"/>
        <v>317.33746130030966</v>
      </c>
      <c r="X248" s="181">
        <f t="shared" si="103"/>
        <v>317.33746130030966</v>
      </c>
      <c r="Y248" s="181">
        <f t="shared" si="103"/>
        <v>317.33746130030966</v>
      </c>
      <c r="Z248" s="181">
        <f t="shared" si="103"/>
        <v>317.33746130030966</v>
      </c>
      <c r="AA248" s="181">
        <f t="shared" si="103"/>
        <v>317.33746130030966</v>
      </c>
      <c r="AB248" s="181">
        <f t="shared" si="103"/>
        <v>317.33746130030966</v>
      </c>
      <c r="AC248" s="181">
        <f t="shared" si="103"/>
        <v>317.33746130030966</v>
      </c>
      <c r="AD248" s="181">
        <f t="shared" si="103"/>
        <v>317.33746130030966</v>
      </c>
      <c r="AE248" s="181">
        <f t="shared" si="103"/>
        <v>317.33746130030966</v>
      </c>
      <c r="AF248" s="181">
        <f t="shared" si="103"/>
        <v>317.33746130030966</v>
      </c>
      <c r="AG248" s="181">
        <f t="shared" si="103"/>
        <v>317.33746130030966</v>
      </c>
      <c r="AH248" s="181">
        <f t="shared" si="103"/>
        <v>317.33746130030966</v>
      </c>
      <c r="AI248" s="181">
        <f t="shared" si="103"/>
        <v>317.33746130030966</v>
      </c>
      <c r="AJ248" s="181">
        <f t="shared" si="103"/>
        <v>317.33746130030966</v>
      </c>
      <c r="AK248" s="181">
        <f t="shared" si="103"/>
        <v>317.33746130030966</v>
      </c>
      <c r="AL248" s="181">
        <f t="shared" si="103"/>
        <v>317.33746130030966</v>
      </c>
      <c r="AM248" s="181">
        <f t="shared" si="103"/>
        <v>317.33746130030966</v>
      </c>
      <c r="AN248" s="181">
        <f t="shared" si="103"/>
        <v>317.33746130030966</v>
      </c>
      <c r="AO248" s="181">
        <f t="shared" si="103"/>
        <v>317.33746130030966</v>
      </c>
      <c r="AP248" s="181">
        <f t="shared" si="103"/>
        <v>317.33746130030966</v>
      </c>
      <c r="AQ248" s="181">
        <f t="shared" si="103"/>
        <v>317.33746130030966</v>
      </c>
      <c r="AR248" s="181">
        <f t="shared" si="103"/>
        <v>317.33746130030966</v>
      </c>
      <c r="AS248" s="181">
        <f t="shared" si="103"/>
        <v>317.33746130030966</v>
      </c>
      <c r="AT248" s="181">
        <f t="shared" si="103"/>
        <v>317.33746130030966</v>
      </c>
      <c r="AU248" s="181">
        <f t="shared" si="103"/>
        <v>317.33746130030966</v>
      </c>
      <c r="AV248" s="216"/>
      <c r="AW248" s="216"/>
      <c r="AX248" s="216"/>
      <c r="AY248" s="216"/>
      <c r="AZ248" s="179"/>
      <c r="BA248" s="179"/>
      <c r="BB248" s="179"/>
      <c r="BC248" s="179"/>
      <c r="BD248" s="179"/>
      <c r="BE248" s="179"/>
      <c r="BF248" s="179"/>
    </row>
    <row r="249" spans="3:58" s="214" customFormat="1" ht="15.75" customHeight="1" outlineLevel="1">
      <c r="C249" s="1216" t="s">
        <v>944</v>
      </c>
      <c r="D249" s="216"/>
      <c r="E249" s="216"/>
      <c r="F249" s="216"/>
      <c r="G249" s="216"/>
      <c r="J249" s="216"/>
      <c r="K249" s="216"/>
      <c r="M249" s="185"/>
      <c r="R249" s="181">
        <f>R193/R171</f>
        <v>1.2899896800825594</v>
      </c>
      <c r="S249" s="181"/>
      <c r="T249" s="181">
        <f>T193/T171</f>
        <v>1.2899896800825594</v>
      </c>
      <c r="U249" s="181">
        <f t="shared" si="75"/>
        <v>1.2899896800825594</v>
      </c>
      <c r="V249" s="181">
        <f t="shared" ref="V249:AU249" si="104">V193/V171</f>
        <v>1.2899896800825594</v>
      </c>
      <c r="W249" s="181">
        <f t="shared" si="104"/>
        <v>1.2899896800825594</v>
      </c>
      <c r="X249" s="181">
        <f t="shared" si="104"/>
        <v>1.2899896800825594</v>
      </c>
      <c r="Y249" s="181">
        <f t="shared" si="104"/>
        <v>1.2899896800825594</v>
      </c>
      <c r="Z249" s="181">
        <f t="shared" si="104"/>
        <v>1.2899896800825594</v>
      </c>
      <c r="AA249" s="181">
        <f t="shared" si="104"/>
        <v>1.2899896800825594</v>
      </c>
      <c r="AB249" s="181">
        <f t="shared" si="104"/>
        <v>1.2899896800825594</v>
      </c>
      <c r="AC249" s="181">
        <f t="shared" si="104"/>
        <v>1.2899896800825594</v>
      </c>
      <c r="AD249" s="181">
        <f t="shared" si="104"/>
        <v>1.2899896800825594</v>
      </c>
      <c r="AE249" s="181">
        <f t="shared" si="104"/>
        <v>1.2899896800825594</v>
      </c>
      <c r="AF249" s="181">
        <f t="shared" si="104"/>
        <v>1.2899896800825594</v>
      </c>
      <c r="AG249" s="181">
        <f t="shared" si="104"/>
        <v>1.2899896800825594</v>
      </c>
      <c r="AH249" s="181">
        <f t="shared" si="104"/>
        <v>1.2899896800825594</v>
      </c>
      <c r="AI249" s="181">
        <f t="shared" si="104"/>
        <v>1.2899896800825594</v>
      </c>
      <c r="AJ249" s="181">
        <f t="shared" si="104"/>
        <v>1.2899896800825594</v>
      </c>
      <c r="AK249" s="181">
        <f t="shared" si="104"/>
        <v>1.2899896800825594</v>
      </c>
      <c r="AL249" s="181">
        <f t="shared" si="104"/>
        <v>1.2899896800825594</v>
      </c>
      <c r="AM249" s="181">
        <f t="shared" si="104"/>
        <v>1.2899896800825594</v>
      </c>
      <c r="AN249" s="181">
        <f t="shared" si="104"/>
        <v>1.2899896800825594</v>
      </c>
      <c r="AO249" s="181">
        <f t="shared" si="104"/>
        <v>1.2899896800825594</v>
      </c>
      <c r="AP249" s="181">
        <f t="shared" si="104"/>
        <v>1.2899896800825594</v>
      </c>
      <c r="AQ249" s="181">
        <f t="shared" si="104"/>
        <v>1.2899896800825594</v>
      </c>
      <c r="AR249" s="181">
        <f t="shared" si="104"/>
        <v>1.2899896800825594</v>
      </c>
      <c r="AS249" s="181">
        <f t="shared" si="104"/>
        <v>1.2899896800825594</v>
      </c>
      <c r="AT249" s="181">
        <f t="shared" si="104"/>
        <v>1.2899896800825594</v>
      </c>
      <c r="AU249" s="181">
        <f t="shared" si="104"/>
        <v>1.2899896800825594</v>
      </c>
      <c r="AV249" s="216"/>
      <c r="AW249" s="216"/>
      <c r="AX249" s="216"/>
      <c r="AY249" s="216"/>
      <c r="AZ249" s="179"/>
      <c r="BA249" s="179"/>
      <c r="BB249" s="179"/>
      <c r="BC249" s="179"/>
      <c r="BD249" s="179"/>
      <c r="BE249" s="179"/>
      <c r="BF249" s="179"/>
    </row>
    <row r="250" spans="3:58" s="214" customFormat="1" ht="15.75" customHeight="1" outlineLevel="1">
      <c r="C250" s="1216" t="s">
        <v>945</v>
      </c>
      <c r="D250" s="216"/>
      <c r="E250" s="216"/>
      <c r="F250" s="216"/>
      <c r="G250" s="216"/>
      <c r="J250" s="216"/>
      <c r="K250" s="216"/>
      <c r="M250" s="185"/>
      <c r="R250" s="181">
        <f>R196/R171</f>
        <v>2015.9298245614032</v>
      </c>
      <c r="S250" s="181"/>
      <c r="T250" s="181">
        <f>T196/T171</f>
        <v>2015.9298245614032</v>
      </c>
      <c r="U250" s="181">
        <f t="shared" si="75"/>
        <v>2015.9298245614032</v>
      </c>
      <c r="V250" s="181">
        <f t="shared" ref="V250:AU250" si="105">V196/V171</f>
        <v>2015.9298245614032</v>
      </c>
      <c r="W250" s="181">
        <f t="shared" si="105"/>
        <v>2015.9298245614034</v>
      </c>
      <c r="X250" s="181">
        <f t="shared" si="105"/>
        <v>2015.9298245614034</v>
      </c>
      <c r="Y250" s="181">
        <f t="shared" si="105"/>
        <v>2015.9298245614034</v>
      </c>
      <c r="Z250" s="181">
        <f t="shared" si="105"/>
        <v>2015.9298245614034</v>
      </c>
      <c r="AA250" s="181">
        <f t="shared" si="105"/>
        <v>2015.9298245614034</v>
      </c>
      <c r="AB250" s="181">
        <f t="shared" si="105"/>
        <v>2015.9298245614034</v>
      </c>
      <c r="AC250" s="181">
        <f t="shared" si="105"/>
        <v>2015.9298245614034</v>
      </c>
      <c r="AD250" s="181">
        <f t="shared" si="105"/>
        <v>2015.9298245614034</v>
      </c>
      <c r="AE250" s="181">
        <f t="shared" si="105"/>
        <v>2015.9298245614034</v>
      </c>
      <c r="AF250" s="181">
        <f t="shared" si="105"/>
        <v>2015.9298245614034</v>
      </c>
      <c r="AG250" s="181">
        <f t="shared" si="105"/>
        <v>2015.9298245614034</v>
      </c>
      <c r="AH250" s="181">
        <f t="shared" si="105"/>
        <v>2015.9298245614034</v>
      </c>
      <c r="AI250" s="181">
        <f t="shared" si="105"/>
        <v>2015.9298245614034</v>
      </c>
      <c r="AJ250" s="181">
        <f t="shared" si="105"/>
        <v>2015.9298245614034</v>
      </c>
      <c r="AK250" s="181">
        <f t="shared" si="105"/>
        <v>2015.9298245614034</v>
      </c>
      <c r="AL250" s="181">
        <f t="shared" si="105"/>
        <v>2015.9298245614034</v>
      </c>
      <c r="AM250" s="181">
        <f t="shared" si="105"/>
        <v>2015.9298245614034</v>
      </c>
      <c r="AN250" s="181">
        <f t="shared" si="105"/>
        <v>2015.9298245614034</v>
      </c>
      <c r="AO250" s="181">
        <f t="shared" si="105"/>
        <v>2015.9298245614034</v>
      </c>
      <c r="AP250" s="181">
        <f t="shared" si="105"/>
        <v>2015.9298245614034</v>
      </c>
      <c r="AQ250" s="181">
        <f t="shared" si="105"/>
        <v>2015.9298245614034</v>
      </c>
      <c r="AR250" s="181">
        <f t="shared" si="105"/>
        <v>2015.9298245614034</v>
      </c>
      <c r="AS250" s="181">
        <f t="shared" si="105"/>
        <v>2015.9298245614034</v>
      </c>
      <c r="AT250" s="181">
        <f t="shared" si="105"/>
        <v>2015.9298245614034</v>
      </c>
      <c r="AU250" s="181">
        <f t="shared" si="105"/>
        <v>2015.9298245614034</v>
      </c>
      <c r="AV250" s="216"/>
      <c r="AW250" s="216"/>
      <c r="AX250" s="216"/>
      <c r="AY250" s="216"/>
      <c r="AZ250" s="179"/>
      <c r="BA250" s="179"/>
      <c r="BB250" s="179"/>
      <c r="BC250" s="179"/>
      <c r="BD250" s="179"/>
      <c r="BE250" s="179"/>
      <c r="BF250" s="179"/>
    </row>
    <row r="251" spans="3:58" s="214" customFormat="1" ht="15.75" customHeight="1" outlineLevel="1">
      <c r="C251" s="1216" t="s">
        <v>946</v>
      </c>
      <c r="D251" s="216"/>
      <c r="E251" s="216"/>
      <c r="F251" s="216"/>
      <c r="G251" s="216"/>
      <c r="J251" s="216"/>
      <c r="K251" s="216"/>
      <c r="M251" s="185"/>
      <c r="R251" s="181">
        <f>(R203-R205)/R171</f>
        <v>148.47368421052684</v>
      </c>
      <c r="S251" s="181"/>
      <c r="T251" s="181">
        <f>(T203-T205)/T171</f>
        <v>148.47368421052684</v>
      </c>
      <c r="U251" s="181">
        <f t="shared" si="75"/>
        <v>148.47368421052684</v>
      </c>
      <c r="V251" s="181">
        <f t="shared" ref="V251:AU251" si="106">(V203-V205)/V171</f>
        <v>148.47368421052619</v>
      </c>
      <c r="W251" s="181">
        <f t="shared" si="106"/>
        <v>148.47368421052639</v>
      </c>
      <c r="X251" s="181">
        <f t="shared" si="106"/>
        <v>148.47368421052639</v>
      </c>
      <c r="Y251" s="181">
        <f t="shared" si="106"/>
        <v>148.47368421052639</v>
      </c>
      <c r="Z251" s="181">
        <f t="shared" si="106"/>
        <v>148.47368421052639</v>
      </c>
      <c r="AA251" s="181">
        <f t="shared" si="106"/>
        <v>148.47368421052639</v>
      </c>
      <c r="AB251" s="181">
        <f t="shared" si="106"/>
        <v>148.47368421052639</v>
      </c>
      <c r="AC251" s="181">
        <f t="shared" si="106"/>
        <v>148.47368421052639</v>
      </c>
      <c r="AD251" s="181">
        <f t="shared" si="106"/>
        <v>148.47368421052639</v>
      </c>
      <c r="AE251" s="181">
        <f t="shared" si="106"/>
        <v>148.47368421052639</v>
      </c>
      <c r="AF251" s="181">
        <f t="shared" si="106"/>
        <v>148.47368421052639</v>
      </c>
      <c r="AG251" s="181">
        <f t="shared" si="106"/>
        <v>148.47368421052639</v>
      </c>
      <c r="AH251" s="181">
        <f t="shared" si="106"/>
        <v>148.47368421052639</v>
      </c>
      <c r="AI251" s="181">
        <f t="shared" si="106"/>
        <v>148.47368421052639</v>
      </c>
      <c r="AJ251" s="181">
        <f t="shared" si="106"/>
        <v>148.47368421052639</v>
      </c>
      <c r="AK251" s="181">
        <f t="shared" si="106"/>
        <v>148.47368421052639</v>
      </c>
      <c r="AL251" s="181">
        <f t="shared" si="106"/>
        <v>148.47368421052639</v>
      </c>
      <c r="AM251" s="181">
        <f t="shared" si="106"/>
        <v>148.47368421052639</v>
      </c>
      <c r="AN251" s="181">
        <f t="shared" si="106"/>
        <v>148.47368421052639</v>
      </c>
      <c r="AO251" s="181">
        <f t="shared" si="106"/>
        <v>148.47368421052639</v>
      </c>
      <c r="AP251" s="181">
        <f t="shared" si="106"/>
        <v>148.47368421052639</v>
      </c>
      <c r="AQ251" s="181">
        <f t="shared" si="106"/>
        <v>148.47368421052639</v>
      </c>
      <c r="AR251" s="181">
        <f t="shared" si="106"/>
        <v>148.47368421052639</v>
      </c>
      <c r="AS251" s="181">
        <f t="shared" si="106"/>
        <v>148.47368421052639</v>
      </c>
      <c r="AT251" s="181">
        <f t="shared" si="106"/>
        <v>148.47368421052639</v>
      </c>
      <c r="AU251" s="181">
        <f t="shared" si="106"/>
        <v>148.47368421052639</v>
      </c>
      <c r="AV251" s="216"/>
      <c r="AW251" s="216"/>
      <c r="AX251" s="216"/>
      <c r="AY251" s="216"/>
      <c r="AZ251" s="179"/>
      <c r="BA251" s="179"/>
      <c r="BB251" s="179"/>
      <c r="BC251" s="179"/>
      <c r="BD251" s="179"/>
      <c r="BE251" s="179"/>
      <c r="BF251" s="179"/>
    </row>
    <row r="252" spans="3:58" s="214" customFormat="1" ht="15.75" customHeight="1" outlineLevel="1">
      <c r="C252" s="1216" t="s">
        <v>947</v>
      </c>
      <c r="D252" s="216"/>
      <c r="E252" s="216"/>
      <c r="F252" s="216"/>
      <c r="G252" s="216"/>
      <c r="J252" s="216"/>
      <c r="K252" s="216"/>
      <c r="M252" s="185"/>
      <c r="R252" s="181">
        <f>(R209-R211)/R171</f>
        <v>368.37142857142862</v>
      </c>
      <c r="S252" s="181"/>
      <c r="T252" s="181">
        <f>(T209-T211)/T171</f>
        <v>368.37142857142862</v>
      </c>
      <c r="U252" s="181">
        <f t="shared" si="75"/>
        <v>368.37142857142862</v>
      </c>
      <c r="V252" s="181">
        <f t="shared" ref="V252:AU252" si="107">(V209-V211)/V171</f>
        <v>368.37142857142862</v>
      </c>
      <c r="W252" s="181">
        <f t="shared" si="107"/>
        <v>368.37142857142857</v>
      </c>
      <c r="X252" s="181">
        <f t="shared" si="107"/>
        <v>368.37142857142857</v>
      </c>
      <c r="Y252" s="181">
        <f t="shared" si="107"/>
        <v>368.37142857142857</v>
      </c>
      <c r="Z252" s="181">
        <f t="shared" si="107"/>
        <v>368.37142857142857</v>
      </c>
      <c r="AA252" s="181">
        <f t="shared" si="107"/>
        <v>368.37142857142857</v>
      </c>
      <c r="AB252" s="181">
        <f t="shared" si="107"/>
        <v>368.37142857142857</v>
      </c>
      <c r="AC252" s="181">
        <f t="shared" si="107"/>
        <v>368.37142857142857</v>
      </c>
      <c r="AD252" s="181">
        <f t="shared" si="107"/>
        <v>368.37142857142857</v>
      </c>
      <c r="AE252" s="181">
        <f t="shared" si="107"/>
        <v>368.37142857142857</v>
      </c>
      <c r="AF252" s="181">
        <f t="shared" si="107"/>
        <v>368.37142857142857</v>
      </c>
      <c r="AG252" s="181">
        <f t="shared" si="107"/>
        <v>368.37142857142857</v>
      </c>
      <c r="AH252" s="181">
        <f t="shared" si="107"/>
        <v>368.37142857142857</v>
      </c>
      <c r="AI252" s="181">
        <f t="shared" si="107"/>
        <v>368.37142857142857</v>
      </c>
      <c r="AJ252" s="181">
        <f t="shared" si="107"/>
        <v>368.37142857142857</v>
      </c>
      <c r="AK252" s="181">
        <f t="shared" si="107"/>
        <v>368.37142857142857</v>
      </c>
      <c r="AL252" s="181">
        <f t="shared" si="107"/>
        <v>368.37142857142857</v>
      </c>
      <c r="AM252" s="181">
        <f t="shared" si="107"/>
        <v>368.37142857142857</v>
      </c>
      <c r="AN252" s="181">
        <f t="shared" si="107"/>
        <v>368.37142857142857</v>
      </c>
      <c r="AO252" s="181">
        <f t="shared" si="107"/>
        <v>368.37142857142857</v>
      </c>
      <c r="AP252" s="181">
        <f t="shared" si="107"/>
        <v>368.37142857142857</v>
      </c>
      <c r="AQ252" s="181">
        <f t="shared" si="107"/>
        <v>368.37142857142857</v>
      </c>
      <c r="AR252" s="181">
        <f t="shared" si="107"/>
        <v>368.37142857142857</v>
      </c>
      <c r="AS252" s="181">
        <f t="shared" si="107"/>
        <v>368.37142857142857</v>
      </c>
      <c r="AT252" s="181">
        <f t="shared" si="107"/>
        <v>368.37142857142857</v>
      </c>
      <c r="AU252" s="181">
        <f t="shared" si="107"/>
        <v>368.37142857142857</v>
      </c>
      <c r="AV252" s="216"/>
      <c r="AW252" s="216"/>
      <c r="AX252" s="216"/>
      <c r="AY252" s="216"/>
      <c r="AZ252" s="179"/>
      <c r="BA252" s="179"/>
      <c r="BB252" s="179"/>
      <c r="BC252" s="179"/>
      <c r="BD252" s="179"/>
      <c r="BE252" s="179"/>
      <c r="BF252" s="179"/>
    </row>
    <row r="253" spans="3:58" s="214" customFormat="1" ht="15.75" customHeight="1" outlineLevel="1">
      <c r="C253" s="1216" t="s">
        <v>922</v>
      </c>
      <c r="D253" s="216"/>
      <c r="E253" s="216"/>
      <c r="F253" s="216"/>
      <c r="G253" s="216"/>
      <c r="J253" s="216"/>
      <c r="K253" s="216"/>
      <c r="M253" s="185"/>
      <c r="R253" s="181">
        <f>(R211+R205)/R171</f>
        <v>7115.0741481362975</v>
      </c>
      <c r="S253" s="181"/>
      <c r="T253" s="181">
        <f>(T211+T205)/T171</f>
        <v>7115.0741481362975</v>
      </c>
      <c r="U253" s="181">
        <f t="shared" si="75"/>
        <v>7115.0741481362975</v>
      </c>
      <c r="V253" s="181">
        <f t="shared" ref="V253:AU253" si="108">(V211+V205)/V171</f>
        <v>2728.1876569082283</v>
      </c>
      <c r="W253" s="181">
        <f t="shared" si="108"/>
        <v>2728.1876569082283</v>
      </c>
      <c r="X253" s="181">
        <f t="shared" si="108"/>
        <v>2728.1876569082283</v>
      </c>
      <c r="Y253" s="181">
        <f t="shared" si="108"/>
        <v>2728.1876569082283</v>
      </c>
      <c r="Z253" s="181">
        <f t="shared" si="108"/>
        <v>2728.1876569082283</v>
      </c>
      <c r="AA253" s="181">
        <f t="shared" si="108"/>
        <v>2728.1876569082283</v>
      </c>
      <c r="AB253" s="181">
        <f t="shared" si="108"/>
        <v>2728.1876569082283</v>
      </c>
      <c r="AC253" s="181">
        <f t="shared" si="108"/>
        <v>2728.1876569082283</v>
      </c>
      <c r="AD253" s="181">
        <f t="shared" si="108"/>
        <v>2728.1876569082283</v>
      </c>
      <c r="AE253" s="181">
        <f t="shared" si="108"/>
        <v>2728.1876569082283</v>
      </c>
      <c r="AF253" s="181">
        <f t="shared" si="108"/>
        <v>2728.1876569082283</v>
      </c>
      <c r="AG253" s="181">
        <f t="shared" si="108"/>
        <v>2728.1876569082283</v>
      </c>
      <c r="AH253" s="181">
        <f t="shared" si="108"/>
        <v>2728.1876569082283</v>
      </c>
      <c r="AI253" s="181">
        <f t="shared" si="108"/>
        <v>2728.1876569082283</v>
      </c>
      <c r="AJ253" s="181">
        <f t="shared" si="108"/>
        <v>2728.1876569082283</v>
      </c>
      <c r="AK253" s="181">
        <f t="shared" si="108"/>
        <v>2728.1876569082283</v>
      </c>
      <c r="AL253" s="181">
        <f t="shared" si="108"/>
        <v>2728.1876569082283</v>
      </c>
      <c r="AM253" s="181">
        <f t="shared" si="108"/>
        <v>2728.1876569082283</v>
      </c>
      <c r="AN253" s="181">
        <f t="shared" si="108"/>
        <v>2728.1876569082283</v>
      </c>
      <c r="AO253" s="181">
        <f t="shared" si="108"/>
        <v>2728.1876569082283</v>
      </c>
      <c r="AP253" s="181">
        <f t="shared" si="108"/>
        <v>2728.1876569082283</v>
      </c>
      <c r="AQ253" s="181">
        <f t="shared" si="108"/>
        <v>2728.1876569082283</v>
      </c>
      <c r="AR253" s="181">
        <f t="shared" si="108"/>
        <v>2728.1876569082283</v>
      </c>
      <c r="AS253" s="181">
        <f t="shared" si="108"/>
        <v>2728.1876569082283</v>
      </c>
      <c r="AT253" s="181">
        <f t="shared" si="108"/>
        <v>2728.1876569082283</v>
      </c>
      <c r="AU253" s="181">
        <f t="shared" si="108"/>
        <v>2728.1876569082283</v>
      </c>
      <c r="AV253" s="216"/>
      <c r="AW253" s="216"/>
      <c r="AX253" s="216"/>
      <c r="AY253" s="216"/>
      <c r="AZ253" s="179"/>
      <c r="BA253" s="179"/>
      <c r="BB253" s="179"/>
      <c r="BC253" s="179"/>
      <c r="BD253" s="179"/>
      <c r="BE253" s="179"/>
      <c r="BF253" s="179"/>
    </row>
    <row r="254" spans="3:58" s="225" customFormat="1" ht="15.75" customHeight="1" outlineLevel="1">
      <c r="C254" s="328" t="s">
        <v>1911</v>
      </c>
      <c r="D254" s="207"/>
      <c r="E254" s="207"/>
      <c r="F254" s="207"/>
      <c r="G254" s="207"/>
      <c r="J254" s="207"/>
      <c r="K254" s="207"/>
      <c r="M254" s="194"/>
      <c r="R254" s="207">
        <f>R214/R171</f>
        <v>5765.0407162996526</v>
      </c>
      <c r="S254" s="207"/>
      <c r="T254" s="207">
        <f>T214/T171</f>
        <v>5765.0407162996526</v>
      </c>
      <c r="U254" s="207">
        <f t="shared" si="75"/>
        <v>5765.0407162996526</v>
      </c>
      <c r="V254" s="207">
        <f t="shared" ref="V254:AU254" si="109">V214/V171</f>
        <v>953.33227980126424</v>
      </c>
      <c r="W254" s="207">
        <f t="shared" si="109"/>
        <v>818.74419324108578</v>
      </c>
      <c r="X254" s="207">
        <f t="shared" si="109"/>
        <v>818.74419324108578</v>
      </c>
      <c r="Y254" s="207">
        <f t="shared" si="109"/>
        <v>818.74419324108578</v>
      </c>
      <c r="Z254" s="207">
        <f t="shared" si="109"/>
        <v>818.74419324108578</v>
      </c>
      <c r="AA254" s="207">
        <f t="shared" si="109"/>
        <v>818.74419324108578</v>
      </c>
      <c r="AB254" s="207">
        <f t="shared" si="109"/>
        <v>818.74419324108578</v>
      </c>
      <c r="AC254" s="207">
        <f t="shared" si="109"/>
        <v>818.74419324108578</v>
      </c>
      <c r="AD254" s="207">
        <f t="shared" si="109"/>
        <v>818.74419324108578</v>
      </c>
      <c r="AE254" s="207">
        <f t="shared" si="109"/>
        <v>818.74419324108578</v>
      </c>
      <c r="AF254" s="207">
        <f t="shared" si="109"/>
        <v>818.74419324108578</v>
      </c>
      <c r="AG254" s="207">
        <f t="shared" si="109"/>
        <v>818.74419324108578</v>
      </c>
      <c r="AH254" s="207">
        <f t="shared" si="109"/>
        <v>818.74419324108578</v>
      </c>
      <c r="AI254" s="207">
        <f t="shared" si="109"/>
        <v>818.74419324108578</v>
      </c>
      <c r="AJ254" s="207">
        <f t="shared" si="109"/>
        <v>818.74419324108578</v>
      </c>
      <c r="AK254" s="207">
        <f t="shared" si="109"/>
        <v>818.74419324108578</v>
      </c>
      <c r="AL254" s="207">
        <f t="shared" si="109"/>
        <v>818.74419324108578</v>
      </c>
      <c r="AM254" s="207">
        <f t="shared" si="109"/>
        <v>818.74419324108578</v>
      </c>
      <c r="AN254" s="207">
        <f t="shared" si="109"/>
        <v>818.74419324108578</v>
      </c>
      <c r="AO254" s="207">
        <f t="shared" si="109"/>
        <v>818.74419324108578</v>
      </c>
      <c r="AP254" s="207">
        <f t="shared" si="109"/>
        <v>818.74419324108578</v>
      </c>
      <c r="AQ254" s="207">
        <f t="shared" si="109"/>
        <v>818.74419324108578</v>
      </c>
      <c r="AR254" s="207">
        <f t="shared" si="109"/>
        <v>818.74419324108578</v>
      </c>
      <c r="AS254" s="207">
        <f t="shared" si="109"/>
        <v>818.74419324108578</v>
      </c>
      <c r="AT254" s="207">
        <f t="shared" si="109"/>
        <v>818.74419324108578</v>
      </c>
      <c r="AU254" s="207">
        <f t="shared" si="109"/>
        <v>818.74419324108578</v>
      </c>
      <c r="AV254" s="207"/>
      <c r="AW254" s="207"/>
      <c r="AX254" s="207"/>
      <c r="AY254" s="207"/>
    </row>
    <row r="255" spans="3:58" s="214" customFormat="1" ht="15.75" customHeight="1" outlineLevel="1">
      <c r="C255" s="1216" t="s">
        <v>922</v>
      </c>
      <c r="D255" s="216"/>
      <c r="E255" s="216"/>
      <c r="F255" s="216"/>
      <c r="G255" s="216"/>
      <c r="J255" s="216"/>
      <c r="K255" s="216"/>
      <c r="M255" s="185"/>
      <c r="R255" s="181">
        <f>R216/R171</f>
        <v>1555.5146198830407</v>
      </c>
      <c r="S255" s="181"/>
      <c r="T255" s="181">
        <f>T216/T171</f>
        <v>1555.5146198830407</v>
      </c>
      <c r="U255" s="181">
        <f t="shared" si="75"/>
        <v>1555.5146198830407</v>
      </c>
      <c r="V255" s="181">
        <f t="shared" ref="V255:AU255" si="110">V216/V171</f>
        <v>149.54840232030628</v>
      </c>
      <c r="W255" s="181">
        <f t="shared" si="110"/>
        <v>128.435686698616</v>
      </c>
      <c r="X255" s="181">
        <f t="shared" si="110"/>
        <v>128.435686698616</v>
      </c>
      <c r="Y255" s="181">
        <f t="shared" si="110"/>
        <v>128.435686698616</v>
      </c>
      <c r="Z255" s="181">
        <f t="shared" si="110"/>
        <v>128.435686698616</v>
      </c>
      <c r="AA255" s="181">
        <f t="shared" si="110"/>
        <v>128.435686698616</v>
      </c>
      <c r="AB255" s="181">
        <f t="shared" si="110"/>
        <v>128.435686698616</v>
      </c>
      <c r="AC255" s="181">
        <f t="shared" si="110"/>
        <v>128.435686698616</v>
      </c>
      <c r="AD255" s="181">
        <f t="shared" si="110"/>
        <v>128.435686698616</v>
      </c>
      <c r="AE255" s="181">
        <f t="shared" si="110"/>
        <v>128.435686698616</v>
      </c>
      <c r="AF255" s="181">
        <f t="shared" si="110"/>
        <v>128.435686698616</v>
      </c>
      <c r="AG255" s="181">
        <f t="shared" si="110"/>
        <v>128.435686698616</v>
      </c>
      <c r="AH255" s="181">
        <f t="shared" si="110"/>
        <v>128.435686698616</v>
      </c>
      <c r="AI255" s="181">
        <f t="shared" si="110"/>
        <v>128.435686698616</v>
      </c>
      <c r="AJ255" s="181">
        <f t="shared" si="110"/>
        <v>128.435686698616</v>
      </c>
      <c r="AK255" s="181">
        <f t="shared" si="110"/>
        <v>128.435686698616</v>
      </c>
      <c r="AL255" s="181">
        <f t="shared" si="110"/>
        <v>128.435686698616</v>
      </c>
      <c r="AM255" s="181">
        <f t="shared" si="110"/>
        <v>128.435686698616</v>
      </c>
      <c r="AN255" s="181">
        <f t="shared" si="110"/>
        <v>128.435686698616</v>
      </c>
      <c r="AO255" s="181">
        <f t="shared" si="110"/>
        <v>128.435686698616</v>
      </c>
      <c r="AP255" s="181">
        <f t="shared" si="110"/>
        <v>128.435686698616</v>
      </c>
      <c r="AQ255" s="181">
        <f t="shared" si="110"/>
        <v>128.435686698616</v>
      </c>
      <c r="AR255" s="181">
        <f t="shared" si="110"/>
        <v>128.435686698616</v>
      </c>
      <c r="AS255" s="181">
        <f t="shared" si="110"/>
        <v>128.435686698616</v>
      </c>
      <c r="AT255" s="181">
        <f t="shared" si="110"/>
        <v>128.435686698616</v>
      </c>
      <c r="AU255" s="181">
        <f t="shared" si="110"/>
        <v>128.435686698616</v>
      </c>
      <c r="AV255" s="216"/>
      <c r="AW255" s="216"/>
      <c r="AX255" s="216"/>
      <c r="AY255" s="216"/>
      <c r="AZ255" s="179"/>
      <c r="BA255" s="179"/>
      <c r="BB255" s="179"/>
      <c r="BC255" s="179"/>
      <c r="BD255" s="179"/>
      <c r="BE255" s="179"/>
      <c r="BF255" s="179"/>
    </row>
    <row r="256" spans="3:58" s="214" customFormat="1" ht="15.75" customHeight="1" outlineLevel="1">
      <c r="C256" s="1216" t="s">
        <v>1910</v>
      </c>
      <c r="D256" s="216"/>
      <c r="E256" s="216"/>
      <c r="F256" s="216"/>
      <c r="G256" s="216"/>
      <c r="J256" s="216"/>
      <c r="K256" s="216"/>
      <c r="M256" s="185"/>
      <c r="R256" s="181">
        <f>R218/R171</f>
        <v>2726.3000459194232</v>
      </c>
      <c r="S256" s="181"/>
      <c r="T256" s="181">
        <f>T218/T171</f>
        <v>2726.3000459194232</v>
      </c>
      <c r="U256" s="181">
        <f t="shared" si="75"/>
        <v>2726.3000459194232</v>
      </c>
      <c r="V256" s="181">
        <f t="shared" ref="V256:AU256" si="111">V218/V171</f>
        <v>491.79627200477256</v>
      </c>
      <c r="W256" s="181">
        <f t="shared" si="111"/>
        <v>422.36621007468705</v>
      </c>
      <c r="X256" s="181">
        <f t="shared" si="111"/>
        <v>422.36621007468705</v>
      </c>
      <c r="Y256" s="181">
        <f t="shared" si="111"/>
        <v>422.36621007468705</v>
      </c>
      <c r="Z256" s="181">
        <f t="shared" si="111"/>
        <v>422.36621007468705</v>
      </c>
      <c r="AA256" s="181">
        <f t="shared" si="111"/>
        <v>422.36621007468705</v>
      </c>
      <c r="AB256" s="181">
        <f t="shared" si="111"/>
        <v>422.36621007468705</v>
      </c>
      <c r="AC256" s="181">
        <f t="shared" si="111"/>
        <v>422.36621007468705</v>
      </c>
      <c r="AD256" s="181">
        <f t="shared" si="111"/>
        <v>422.36621007468705</v>
      </c>
      <c r="AE256" s="181">
        <f t="shared" si="111"/>
        <v>422.36621007468705</v>
      </c>
      <c r="AF256" s="181">
        <f t="shared" si="111"/>
        <v>422.36621007468705</v>
      </c>
      <c r="AG256" s="181">
        <f t="shared" si="111"/>
        <v>422.36621007468705</v>
      </c>
      <c r="AH256" s="181">
        <f t="shared" si="111"/>
        <v>422.36621007468705</v>
      </c>
      <c r="AI256" s="181">
        <f t="shared" si="111"/>
        <v>422.36621007468705</v>
      </c>
      <c r="AJ256" s="181">
        <f t="shared" si="111"/>
        <v>422.36621007468705</v>
      </c>
      <c r="AK256" s="181">
        <f t="shared" si="111"/>
        <v>422.36621007468705</v>
      </c>
      <c r="AL256" s="181">
        <f t="shared" si="111"/>
        <v>422.36621007468705</v>
      </c>
      <c r="AM256" s="181">
        <f t="shared" si="111"/>
        <v>422.36621007468705</v>
      </c>
      <c r="AN256" s="181">
        <f t="shared" si="111"/>
        <v>422.36621007468705</v>
      </c>
      <c r="AO256" s="181">
        <f t="shared" si="111"/>
        <v>422.36621007468705</v>
      </c>
      <c r="AP256" s="181">
        <f t="shared" si="111"/>
        <v>422.36621007468705</v>
      </c>
      <c r="AQ256" s="181">
        <f t="shared" si="111"/>
        <v>422.36621007468705</v>
      </c>
      <c r="AR256" s="181">
        <f t="shared" si="111"/>
        <v>422.36621007468705</v>
      </c>
      <c r="AS256" s="181">
        <f t="shared" si="111"/>
        <v>422.36621007468705</v>
      </c>
      <c r="AT256" s="181">
        <f t="shared" si="111"/>
        <v>422.36621007468705</v>
      </c>
      <c r="AU256" s="181">
        <f t="shared" si="111"/>
        <v>422.36621007468705</v>
      </c>
      <c r="AV256" s="216"/>
      <c r="AW256" s="216"/>
      <c r="AX256" s="216"/>
      <c r="AY256" s="216"/>
      <c r="AZ256" s="179"/>
      <c r="BA256" s="179"/>
      <c r="BB256" s="179"/>
      <c r="BC256" s="179"/>
      <c r="BD256" s="179"/>
      <c r="BE256" s="179"/>
      <c r="BF256" s="179"/>
    </row>
    <row r="257" spans="2:58" s="214" customFormat="1" ht="15.75" customHeight="1" outlineLevel="1">
      <c r="C257" s="1216" t="s">
        <v>955</v>
      </c>
      <c r="D257" s="216"/>
      <c r="E257" s="216"/>
      <c r="F257" s="216"/>
      <c r="G257" s="216"/>
      <c r="J257" s="216"/>
      <c r="K257" s="216"/>
      <c r="M257" s="185"/>
      <c r="R257" s="181">
        <f>R224/R171</f>
        <v>1483.2260504971887</v>
      </c>
      <c r="S257" s="181"/>
      <c r="T257" s="181">
        <f>T224/T171</f>
        <v>1483.2260504971887</v>
      </c>
      <c r="U257" s="181">
        <f t="shared" si="75"/>
        <v>1483.2260504971887</v>
      </c>
      <c r="V257" s="181">
        <f t="shared" ref="V257:AU257" si="112">V224/V171</f>
        <v>311.98760547618531</v>
      </c>
      <c r="W257" s="181">
        <f t="shared" si="112"/>
        <v>267.94229646778268</v>
      </c>
      <c r="X257" s="181">
        <f t="shared" si="112"/>
        <v>267.94229646778268</v>
      </c>
      <c r="Y257" s="181">
        <f t="shared" si="112"/>
        <v>267.94229646778268</v>
      </c>
      <c r="Z257" s="181">
        <f t="shared" si="112"/>
        <v>267.94229646778268</v>
      </c>
      <c r="AA257" s="181">
        <f t="shared" si="112"/>
        <v>267.94229646778268</v>
      </c>
      <c r="AB257" s="181">
        <f t="shared" si="112"/>
        <v>267.94229646778268</v>
      </c>
      <c r="AC257" s="181">
        <f t="shared" si="112"/>
        <v>267.94229646778268</v>
      </c>
      <c r="AD257" s="181">
        <f t="shared" si="112"/>
        <v>267.94229646778268</v>
      </c>
      <c r="AE257" s="181">
        <f t="shared" si="112"/>
        <v>267.94229646778268</v>
      </c>
      <c r="AF257" s="181">
        <f t="shared" si="112"/>
        <v>267.94229646778268</v>
      </c>
      <c r="AG257" s="181">
        <f t="shared" si="112"/>
        <v>267.94229646778268</v>
      </c>
      <c r="AH257" s="181">
        <f t="shared" si="112"/>
        <v>267.94229646778268</v>
      </c>
      <c r="AI257" s="181">
        <f t="shared" si="112"/>
        <v>267.94229646778268</v>
      </c>
      <c r="AJ257" s="181">
        <f t="shared" si="112"/>
        <v>267.94229646778268</v>
      </c>
      <c r="AK257" s="181">
        <f t="shared" si="112"/>
        <v>267.94229646778268</v>
      </c>
      <c r="AL257" s="181">
        <f t="shared" si="112"/>
        <v>267.94229646778268</v>
      </c>
      <c r="AM257" s="181">
        <f t="shared" si="112"/>
        <v>267.94229646778268</v>
      </c>
      <c r="AN257" s="181">
        <f t="shared" si="112"/>
        <v>267.94229646778268</v>
      </c>
      <c r="AO257" s="181">
        <f t="shared" si="112"/>
        <v>267.94229646778268</v>
      </c>
      <c r="AP257" s="181">
        <f t="shared" si="112"/>
        <v>267.94229646778268</v>
      </c>
      <c r="AQ257" s="181">
        <f t="shared" si="112"/>
        <v>267.94229646778268</v>
      </c>
      <c r="AR257" s="181">
        <f t="shared" si="112"/>
        <v>267.94229646778268</v>
      </c>
      <c r="AS257" s="181">
        <f t="shared" si="112"/>
        <v>267.94229646778268</v>
      </c>
      <c r="AT257" s="181">
        <f t="shared" si="112"/>
        <v>267.94229646778268</v>
      </c>
      <c r="AU257" s="181">
        <f t="shared" si="112"/>
        <v>267.94229646778268</v>
      </c>
      <c r="AV257" s="216"/>
      <c r="AW257" s="216"/>
      <c r="AX257" s="216"/>
      <c r="AY257" s="216"/>
      <c r="AZ257" s="179"/>
      <c r="BA257" s="179"/>
      <c r="BB257" s="179"/>
      <c r="BC257" s="179"/>
      <c r="BD257" s="179"/>
      <c r="BE257" s="179"/>
      <c r="BF257" s="179"/>
    </row>
    <row r="258" spans="2:58" s="214" customFormat="1" ht="15.75" customHeight="1" outlineLevel="1">
      <c r="C258" s="1224" t="s">
        <v>1913</v>
      </c>
      <c r="D258" s="216"/>
      <c r="E258" s="216"/>
      <c r="F258" s="216"/>
      <c r="G258" s="216"/>
      <c r="J258" s="216"/>
      <c r="K258" s="216"/>
      <c r="M258" s="185"/>
      <c r="R258" s="207">
        <f>R247+R254</f>
        <v>15731.517252759701</v>
      </c>
      <c r="S258" s="207"/>
      <c r="T258" s="207">
        <f>T247+T254</f>
        <v>15731.517252759701</v>
      </c>
      <c r="U258" s="207">
        <f t="shared" si="75"/>
        <v>15731.517252759701</v>
      </c>
      <c r="V258" s="207">
        <f t="shared" ref="V258:AU258" si="113">V247+V254</f>
        <v>6532.9223250332425</v>
      </c>
      <c r="W258" s="207">
        <f t="shared" si="113"/>
        <v>6398.3342384730649</v>
      </c>
      <c r="X258" s="207">
        <f t="shared" si="113"/>
        <v>6398.3342384730649</v>
      </c>
      <c r="Y258" s="207">
        <f t="shared" si="113"/>
        <v>6398.3342384730649</v>
      </c>
      <c r="Z258" s="207">
        <f t="shared" si="113"/>
        <v>6398.3342384730649</v>
      </c>
      <c r="AA258" s="207">
        <f t="shared" si="113"/>
        <v>6398.3342384730649</v>
      </c>
      <c r="AB258" s="207">
        <f t="shared" si="113"/>
        <v>6398.3342384730649</v>
      </c>
      <c r="AC258" s="207">
        <f t="shared" si="113"/>
        <v>6398.3342384730649</v>
      </c>
      <c r="AD258" s="207">
        <f t="shared" si="113"/>
        <v>6398.3342384730649</v>
      </c>
      <c r="AE258" s="207">
        <f t="shared" si="113"/>
        <v>6398.3342384730649</v>
      </c>
      <c r="AF258" s="207">
        <f t="shared" si="113"/>
        <v>6398.3342384730649</v>
      </c>
      <c r="AG258" s="207">
        <f t="shared" si="113"/>
        <v>6398.3342384730649</v>
      </c>
      <c r="AH258" s="207">
        <f t="shared" si="113"/>
        <v>6398.3342384730649</v>
      </c>
      <c r="AI258" s="207">
        <f t="shared" si="113"/>
        <v>6398.3342384730649</v>
      </c>
      <c r="AJ258" s="207">
        <f t="shared" si="113"/>
        <v>6398.3342384730649</v>
      </c>
      <c r="AK258" s="207">
        <f t="shared" si="113"/>
        <v>6398.3342384730649</v>
      </c>
      <c r="AL258" s="207">
        <f t="shared" si="113"/>
        <v>6398.3342384730649</v>
      </c>
      <c r="AM258" s="207">
        <f t="shared" si="113"/>
        <v>6398.3342384730649</v>
      </c>
      <c r="AN258" s="207">
        <f t="shared" si="113"/>
        <v>6398.3342384730649</v>
      </c>
      <c r="AO258" s="207">
        <f t="shared" si="113"/>
        <v>6398.3342384730649</v>
      </c>
      <c r="AP258" s="207">
        <f t="shared" si="113"/>
        <v>6398.3342384730649</v>
      </c>
      <c r="AQ258" s="207">
        <f t="shared" si="113"/>
        <v>6398.3342384730649</v>
      </c>
      <c r="AR258" s="207">
        <f t="shared" si="113"/>
        <v>6398.3342384730649</v>
      </c>
      <c r="AS258" s="207">
        <f t="shared" si="113"/>
        <v>6398.3342384730649</v>
      </c>
      <c r="AT258" s="207">
        <f t="shared" si="113"/>
        <v>6398.3342384730649</v>
      </c>
      <c r="AU258" s="207">
        <f t="shared" si="113"/>
        <v>6398.3342384730649</v>
      </c>
      <c r="AV258" s="216"/>
      <c r="AW258" s="216"/>
      <c r="AX258" s="216"/>
      <c r="AY258" s="216"/>
      <c r="AZ258" s="179"/>
      <c r="BA258" s="179"/>
      <c r="BB258" s="179"/>
      <c r="BC258" s="179"/>
      <c r="BD258" s="179"/>
      <c r="BE258" s="179"/>
      <c r="BF258" s="179"/>
    </row>
    <row r="259" spans="2:58" s="214" customFormat="1" ht="15.75" customHeight="1" outlineLevel="1">
      <c r="C259" s="1216" t="s">
        <v>1934</v>
      </c>
      <c r="D259" s="216"/>
      <c r="E259" s="216"/>
      <c r="F259" s="216"/>
      <c r="G259" s="216"/>
      <c r="J259" s="216"/>
      <c r="K259" s="216"/>
      <c r="M259" s="185"/>
      <c r="R259" s="181">
        <f>R235/R171</f>
        <v>185.71428571428569</v>
      </c>
      <c r="S259" s="181"/>
      <c r="T259" s="181">
        <f>T235/T171</f>
        <v>185.71428571428569</v>
      </c>
      <c r="U259" s="181">
        <f t="shared" si="75"/>
        <v>185.71428571428569</v>
      </c>
      <c r="V259" s="181">
        <f t="shared" ref="V259:AU259" si="114">V235/V171</f>
        <v>185.71428571428575</v>
      </c>
      <c r="W259" s="181">
        <f t="shared" si="114"/>
        <v>185.71428571428569</v>
      </c>
      <c r="X259" s="181">
        <f t="shared" si="114"/>
        <v>185.71428571428569</v>
      </c>
      <c r="Y259" s="181">
        <f t="shared" si="114"/>
        <v>185.71428571428569</v>
      </c>
      <c r="Z259" s="181">
        <f t="shared" si="114"/>
        <v>185.71428571428569</v>
      </c>
      <c r="AA259" s="181">
        <f t="shared" si="114"/>
        <v>185.71428571428569</v>
      </c>
      <c r="AB259" s="181">
        <f t="shared" si="114"/>
        <v>185.71428571428569</v>
      </c>
      <c r="AC259" s="181">
        <f t="shared" si="114"/>
        <v>185.71428571428569</v>
      </c>
      <c r="AD259" s="181">
        <f t="shared" si="114"/>
        <v>185.71428571428569</v>
      </c>
      <c r="AE259" s="181">
        <f t="shared" si="114"/>
        <v>185.71428571428569</v>
      </c>
      <c r="AF259" s="181">
        <f t="shared" si="114"/>
        <v>185.71428571428569</v>
      </c>
      <c r="AG259" s="181">
        <f t="shared" si="114"/>
        <v>185.71428571428569</v>
      </c>
      <c r="AH259" s="181">
        <f t="shared" si="114"/>
        <v>185.71428571428569</v>
      </c>
      <c r="AI259" s="181">
        <f t="shared" si="114"/>
        <v>185.71428571428569</v>
      </c>
      <c r="AJ259" s="181">
        <f t="shared" si="114"/>
        <v>185.71428571428569</v>
      </c>
      <c r="AK259" s="181">
        <f t="shared" si="114"/>
        <v>185.71428571428569</v>
      </c>
      <c r="AL259" s="181">
        <f t="shared" si="114"/>
        <v>185.71428571428569</v>
      </c>
      <c r="AM259" s="181">
        <f t="shared" si="114"/>
        <v>185.71428571428569</v>
      </c>
      <c r="AN259" s="181">
        <f t="shared" si="114"/>
        <v>185.71428571428569</v>
      </c>
      <c r="AO259" s="181">
        <f t="shared" si="114"/>
        <v>185.71428571428569</v>
      </c>
      <c r="AP259" s="181">
        <f t="shared" si="114"/>
        <v>185.71428571428569</v>
      </c>
      <c r="AQ259" s="181">
        <f t="shared" si="114"/>
        <v>185.71428571428569</v>
      </c>
      <c r="AR259" s="181">
        <f t="shared" si="114"/>
        <v>185.71428571428569</v>
      </c>
      <c r="AS259" s="181">
        <f t="shared" si="114"/>
        <v>185.71428571428569</v>
      </c>
      <c r="AT259" s="181">
        <f t="shared" si="114"/>
        <v>185.71428571428569</v>
      </c>
      <c r="AU259" s="181">
        <f t="shared" si="114"/>
        <v>185.71428571428569</v>
      </c>
      <c r="AV259" s="216"/>
      <c r="AW259" s="216"/>
      <c r="AX259" s="216"/>
      <c r="AY259" s="216"/>
      <c r="AZ259" s="179"/>
      <c r="BA259" s="179"/>
      <c r="BB259" s="179"/>
      <c r="BC259" s="179"/>
      <c r="BD259" s="179"/>
      <c r="BE259" s="179"/>
      <c r="BF259" s="179"/>
    </row>
    <row r="260" spans="2:58" s="214" customFormat="1" ht="15.75" customHeight="1" outlineLevel="1">
      <c r="C260" s="1224" t="s">
        <v>1978</v>
      </c>
      <c r="D260" s="216"/>
      <c r="E260" s="216"/>
      <c r="F260" s="216"/>
      <c r="G260" s="216"/>
      <c r="J260" s="216"/>
      <c r="K260" s="216"/>
      <c r="M260" s="185"/>
      <c r="R260" s="207">
        <f t="shared" ref="R260:AU260" si="115">R258+R259</f>
        <v>15917.231538473987</v>
      </c>
      <c r="S260" s="207"/>
      <c r="T260" s="207">
        <f>T258+T259</f>
        <v>15917.231538473987</v>
      </c>
      <c r="U260" s="207">
        <f t="shared" si="75"/>
        <v>15917.231538473987</v>
      </c>
      <c r="V260" s="207">
        <f t="shared" si="115"/>
        <v>6718.6366107475278</v>
      </c>
      <c r="W260" s="207">
        <f t="shared" si="115"/>
        <v>6584.0485241873503</v>
      </c>
      <c r="X260" s="207">
        <f t="shared" si="115"/>
        <v>6584.0485241873503</v>
      </c>
      <c r="Y260" s="207">
        <f t="shared" si="115"/>
        <v>6584.0485241873503</v>
      </c>
      <c r="Z260" s="207">
        <f t="shared" si="115"/>
        <v>6584.0485241873503</v>
      </c>
      <c r="AA260" s="207">
        <f t="shared" si="115"/>
        <v>6584.0485241873503</v>
      </c>
      <c r="AB260" s="207">
        <f t="shared" si="115"/>
        <v>6584.0485241873503</v>
      </c>
      <c r="AC260" s="207">
        <f t="shared" si="115"/>
        <v>6584.0485241873503</v>
      </c>
      <c r="AD260" s="207">
        <f t="shared" si="115"/>
        <v>6584.0485241873503</v>
      </c>
      <c r="AE260" s="207">
        <f t="shared" si="115"/>
        <v>6584.0485241873503</v>
      </c>
      <c r="AF260" s="207">
        <f t="shared" si="115"/>
        <v>6584.0485241873503</v>
      </c>
      <c r="AG260" s="207">
        <f t="shared" si="115"/>
        <v>6584.0485241873503</v>
      </c>
      <c r="AH260" s="207">
        <f t="shared" si="115"/>
        <v>6584.0485241873503</v>
      </c>
      <c r="AI260" s="207">
        <f t="shared" si="115"/>
        <v>6584.0485241873503</v>
      </c>
      <c r="AJ260" s="207">
        <f t="shared" si="115"/>
        <v>6584.0485241873503</v>
      </c>
      <c r="AK260" s="207">
        <f t="shared" si="115"/>
        <v>6584.0485241873503</v>
      </c>
      <c r="AL260" s="207">
        <f t="shared" si="115"/>
        <v>6584.0485241873503</v>
      </c>
      <c r="AM260" s="207">
        <f t="shared" si="115"/>
        <v>6584.0485241873503</v>
      </c>
      <c r="AN260" s="207">
        <f t="shared" si="115"/>
        <v>6584.0485241873503</v>
      </c>
      <c r="AO260" s="207">
        <f t="shared" si="115"/>
        <v>6584.0485241873503</v>
      </c>
      <c r="AP260" s="207">
        <f t="shared" si="115"/>
        <v>6584.0485241873503</v>
      </c>
      <c r="AQ260" s="207">
        <f t="shared" si="115"/>
        <v>6584.0485241873503</v>
      </c>
      <c r="AR260" s="207">
        <f t="shared" si="115"/>
        <v>6584.0485241873503</v>
      </c>
      <c r="AS260" s="207">
        <f t="shared" si="115"/>
        <v>6584.0485241873503</v>
      </c>
      <c r="AT260" s="207">
        <f t="shared" si="115"/>
        <v>6584.0485241873503</v>
      </c>
      <c r="AU260" s="207">
        <f t="shared" si="115"/>
        <v>6584.0485241873503</v>
      </c>
      <c r="AV260" s="216"/>
      <c r="AW260" s="216"/>
      <c r="AX260" s="216"/>
      <c r="AY260" s="216"/>
      <c r="AZ260" s="179"/>
      <c r="BA260" s="179"/>
      <c r="BB260" s="179"/>
      <c r="BC260" s="179"/>
      <c r="BD260" s="179"/>
      <c r="BE260" s="179"/>
      <c r="BF260" s="179"/>
    </row>
    <row r="261" spans="2:58" s="214" customFormat="1" ht="15.75" customHeight="1" outlineLevel="1" thickBot="1">
      <c r="C261" s="1216" t="s">
        <v>1977</v>
      </c>
      <c r="D261" s="216"/>
      <c r="E261" s="216"/>
      <c r="F261" s="216"/>
      <c r="G261" s="216"/>
      <c r="J261" s="216"/>
      <c r="K261" s="216"/>
      <c r="M261" s="185"/>
      <c r="R261" s="181">
        <f>-(R422+R423)/R171</f>
        <v>1612.4449231290091</v>
      </c>
      <c r="S261" s="181"/>
      <c r="T261" s="181">
        <f>-(T422+T423)/T171</f>
        <v>1813.2234012829654</v>
      </c>
      <c r="U261" s="181">
        <f t="shared" si="75"/>
        <v>1813.2234012829654</v>
      </c>
      <c r="V261" s="181">
        <f t="shared" ref="V261:AU261" si="116">-(V422+V423)/V171</f>
        <v>2033.3915520274384</v>
      </c>
      <c r="W261" s="181">
        <f t="shared" si="116"/>
        <v>3015.365360707458</v>
      </c>
      <c r="X261" s="181">
        <f t="shared" si="116"/>
        <v>3015.365360707458</v>
      </c>
      <c r="Y261" s="181">
        <f t="shared" si="116"/>
        <v>3015.365360707458</v>
      </c>
      <c r="Z261" s="181">
        <f t="shared" si="116"/>
        <v>3015.365360707458</v>
      </c>
      <c r="AA261" s="181">
        <f t="shared" si="116"/>
        <v>3015.365360707458</v>
      </c>
      <c r="AB261" s="181">
        <f t="shared" si="116"/>
        <v>3044.2408479074584</v>
      </c>
      <c r="AC261" s="181">
        <f t="shared" si="116"/>
        <v>3044.2408479074584</v>
      </c>
      <c r="AD261" s="181">
        <f t="shared" si="116"/>
        <v>3044.2408479074584</v>
      </c>
      <c r="AE261" s="181">
        <f t="shared" si="116"/>
        <v>3044.2408479074584</v>
      </c>
      <c r="AF261" s="181">
        <f t="shared" si="116"/>
        <v>3044.2408479074584</v>
      </c>
      <c r="AG261" s="181">
        <f t="shared" si="116"/>
        <v>3044.2408479074584</v>
      </c>
      <c r="AH261" s="181">
        <f t="shared" si="116"/>
        <v>3044.2408479074584</v>
      </c>
      <c r="AI261" s="181">
        <f t="shared" si="116"/>
        <v>3044.2408479074584</v>
      </c>
      <c r="AJ261" s="181">
        <f t="shared" si="116"/>
        <v>3044.2408479074584</v>
      </c>
      <c r="AK261" s="181">
        <f t="shared" si="116"/>
        <v>3044.2408479074584</v>
      </c>
      <c r="AL261" s="181">
        <f t="shared" si="116"/>
        <v>3044.2408479074584</v>
      </c>
      <c r="AM261" s="181">
        <f t="shared" si="116"/>
        <v>3044.2408479074584</v>
      </c>
      <c r="AN261" s="181">
        <f t="shared" si="116"/>
        <v>3044.2408479074584</v>
      </c>
      <c r="AO261" s="181">
        <f t="shared" si="116"/>
        <v>3044.2408479074584</v>
      </c>
      <c r="AP261" s="181">
        <f t="shared" si="116"/>
        <v>3044.2408479074584</v>
      </c>
      <c r="AQ261" s="181">
        <f t="shared" si="116"/>
        <v>3044.2408479074584</v>
      </c>
      <c r="AR261" s="181">
        <f t="shared" si="116"/>
        <v>3044.2408479074584</v>
      </c>
      <c r="AS261" s="181">
        <f t="shared" si="116"/>
        <v>3044.2408479074584</v>
      </c>
      <c r="AT261" s="181">
        <f t="shared" si="116"/>
        <v>3044.2408479074584</v>
      </c>
      <c r="AU261" s="181">
        <f t="shared" si="116"/>
        <v>3044.2408479074584</v>
      </c>
      <c r="AV261" s="216"/>
      <c r="AW261" s="216"/>
      <c r="AX261" s="216"/>
      <c r="AY261" s="216"/>
      <c r="AZ261" s="179"/>
      <c r="BA261" s="179"/>
      <c r="BB261" s="179"/>
      <c r="BC261" s="179"/>
      <c r="BD261" s="179"/>
      <c r="BE261" s="179"/>
      <c r="BF261" s="179"/>
    </row>
    <row r="262" spans="2:58" s="214" customFormat="1" ht="15.75" customHeight="1" outlineLevel="1" thickBot="1">
      <c r="C262" s="1561" t="s">
        <v>1935</v>
      </c>
      <c r="D262" s="216"/>
      <c r="E262" s="216"/>
      <c r="F262" s="216"/>
      <c r="G262" s="216"/>
      <c r="J262" s="216"/>
      <c r="K262" s="216"/>
      <c r="M262" s="185"/>
      <c r="R262" s="207">
        <f>R261+R260</f>
        <v>17529.676461602998</v>
      </c>
      <c r="S262" s="207"/>
      <c r="T262" s="207">
        <f>T261+T260</f>
        <v>17730.454939756954</v>
      </c>
      <c r="U262" s="207">
        <f t="shared" si="75"/>
        <v>17730.454939756954</v>
      </c>
      <c r="V262" s="207">
        <f t="shared" ref="V262:AU262" si="117">V261+V260</f>
        <v>8752.0281627749664</v>
      </c>
      <c r="W262" s="207">
        <f t="shared" si="117"/>
        <v>9599.4138848948078</v>
      </c>
      <c r="X262" s="207">
        <f t="shared" si="117"/>
        <v>9599.4138848948078</v>
      </c>
      <c r="Y262" s="207">
        <f t="shared" si="117"/>
        <v>9599.4138848948078</v>
      </c>
      <c r="Z262" s="207">
        <f t="shared" si="117"/>
        <v>9599.4138848948078</v>
      </c>
      <c r="AA262" s="207">
        <f t="shared" si="117"/>
        <v>9599.4138848948078</v>
      </c>
      <c r="AB262" s="207">
        <f t="shared" si="117"/>
        <v>9628.2893720948086</v>
      </c>
      <c r="AC262" s="207">
        <f t="shared" si="117"/>
        <v>9628.2893720948086</v>
      </c>
      <c r="AD262" s="207">
        <f t="shared" si="117"/>
        <v>9628.2893720948086</v>
      </c>
      <c r="AE262" s="207">
        <f t="shared" si="117"/>
        <v>9628.2893720948086</v>
      </c>
      <c r="AF262" s="207">
        <f t="shared" si="117"/>
        <v>9628.2893720948086</v>
      </c>
      <c r="AG262" s="207">
        <f t="shared" si="117"/>
        <v>9628.2893720948086</v>
      </c>
      <c r="AH262" s="207">
        <f t="shared" si="117"/>
        <v>9628.2893720948086</v>
      </c>
      <c r="AI262" s="207">
        <f t="shared" si="117"/>
        <v>9628.2893720948086</v>
      </c>
      <c r="AJ262" s="207">
        <f t="shared" si="117"/>
        <v>9628.2893720948086</v>
      </c>
      <c r="AK262" s="207">
        <f t="shared" si="117"/>
        <v>9628.2893720948086</v>
      </c>
      <c r="AL262" s="207">
        <f t="shared" si="117"/>
        <v>9628.2893720948086</v>
      </c>
      <c r="AM262" s="207">
        <f t="shared" si="117"/>
        <v>9628.2893720948086</v>
      </c>
      <c r="AN262" s="207">
        <f t="shared" si="117"/>
        <v>9628.2893720948086</v>
      </c>
      <c r="AO262" s="207">
        <f t="shared" si="117"/>
        <v>9628.2893720948086</v>
      </c>
      <c r="AP262" s="207">
        <f t="shared" si="117"/>
        <v>9628.2893720948086</v>
      </c>
      <c r="AQ262" s="207">
        <f t="shared" si="117"/>
        <v>9628.2893720948086</v>
      </c>
      <c r="AR262" s="207">
        <f t="shared" si="117"/>
        <v>9628.2893720948086</v>
      </c>
      <c r="AS262" s="207">
        <f t="shared" si="117"/>
        <v>9628.2893720948086</v>
      </c>
      <c r="AT262" s="207">
        <f t="shared" si="117"/>
        <v>9628.2893720948086</v>
      </c>
      <c r="AU262" s="207">
        <f t="shared" si="117"/>
        <v>9628.2893720948086</v>
      </c>
      <c r="AV262" s="216"/>
      <c r="AW262" s="216"/>
      <c r="AX262" s="216"/>
      <c r="AY262" s="216"/>
      <c r="AZ262" s="179"/>
      <c r="BA262" s="179"/>
      <c r="BB262" s="179"/>
      <c r="BC262" s="179"/>
      <c r="BD262" s="179"/>
      <c r="BE262" s="179"/>
      <c r="BF262" s="179"/>
    </row>
    <row r="263" spans="2:58" s="214" customFormat="1" ht="15.75" customHeight="1" outlineLevel="1">
      <c r="C263" s="593"/>
      <c r="D263" s="216"/>
      <c r="E263" s="216"/>
      <c r="F263" s="216"/>
      <c r="G263" s="216"/>
      <c r="J263" s="218"/>
      <c r="K263" s="216"/>
      <c r="L263" s="216"/>
      <c r="M263" s="222"/>
      <c r="N263" s="216"/>
      <c r="O263" s="216"/>
      <c r="P263" s="216"/>
      <c r="Q263" s="216"/>
      <c r="R263" s="179"/>
      <c r="S263" s="179"/>
      <c r="T263" s="179"/>
      <c r="U263" s="179">
        <f t="shared" si="75"/>
        <v>0</v>
      </c>
      <c r="V263" s="179"/>
      <c r="W263" s="179"/>
      <c r="X263" s="179"/>
      <c r="Y263" s="179"/>
      <c r="Z263" s="179"/>
      <c r="AA263" s="179"/>
      <c r="AB263" s="179"/>
      <c r="AC263" s="179"/>
      <c r="AD263" s="179"/>
      <c r="AE263" s="179"/>
      <c r="AF263" s="179"/>
      <c r="AG263" s="179"/>
      <c r="AH263" s="179"/>
      <c r="AI263" s="179"/>
      <c r="AJ263" s="179"/>
      <c r="AK263" s="179"/>
      <c r="AL263" s="179"/>
      <c r="AM263" s="179"/>
      <c r="AN263" s="179"/>
      <c r="AO263" s="179"/>
      <c r="AP263" s="179"/>
      <c r="AQ263" s="179"/>
      <c r="AR263" s="179"/>
      <c r="AS263" s="179"/>
      <c r="AT263" s="179"/>
      <c r="AU263" s="179"/>
      <c r="AV263" s="216"/>
      <c r="AW263" s="216"/>
      <c r="AX263" s="216"/>
      <c r="AY263" s="216"/>
    </row>
    <row r="264" spans="2:58" s="214" customFormat="1" ht="15.75" customHeight="1" outlineLevel="1">
      <c r="C264" s="1225" t="s">
        <v>948</v>
      </c>
      <c r="D264" s="216"/>
      <c r="E264" s="216"/>
      <c r="F264" s="216"/>
      <c r="G264" s="216"/>
      <c r="J264" s="218"/>
      <c r="K264" s="216"/>
      <c r="L264" s="216"/>
      <c r="M264" s="222"/>
      <c r="N264" s="216"/>
      <c r="O264" s="216"/>
      <c r="P264" s="216"/>
      <c r="Q264" s="216"/>
      <c r="R264" s="179"/>
      <c r="S264" s="179"/>
      <c r="T264" s="179"/>
      <c r="U264" s="179">
        <f t="shared" si="75"/>
        <v>0</v>
      </c>
      <c r="V264" s="179"/>
      <c r="W264" s="179"/>
      <c r="X264" s="179"/>
      <c r="Y264" s="179"/>
      <c r="Z264" s="179"/>
      <c r="AA264" s="179"/>
      <c r="AB264" s="179"/>
      <c r="AC264" s="179"/>
      <c r="AD264" s="179"/>
      <c r="AE264" s="179"/>
      <c r="AF264" s="179"/>
      <c r="AG264" s="179"/>
      <c r="AH264" s="179"/>
      <c r="AI264" s="179"/>
      <c r="AJ264" s="179"/>
      <c r="AK264" s="179"/>
      <c r="AL264" s="179"/>
      <c r="AM264" s="179"/>
      <c r="AN264" s="179"/>
      <c r="AO264" s="179"/>
      <c r="AP264" s="179"/>
      <c r="AQ264" s="179"/>
      <c r="AR264" s="179"/>
      <c r="AS264" s="179"/>
      <c r="AT264" s="179"/>
      <c r="AU264" s="179"/>
      <c r="AV264" s="216"/>
      <c r="AW264" s="216"/>
      <c r="AX264" s="216"/>
      <c r="AY264" s="216"/>
    </row>
    <row r="265" spans="2:58" s="214" customFormat="1" ht="15.75" customHeight="1" outlineLevel="1">
      <c r="C265" s="331" t="s">
        <v>949</v>
      </c>
      <c r="D265" s="216"/>
      <c r="E265" s="216"/>
      <c r="F265" s="216"/>
      <c r="G265" s="216"/>
      <c r="J265" s="218"/>
      <c r="K265" s="216"/>
      <c r="L265" s="216"/>
      <c r="M265" s="222"/>
      <c r="N265" s="216"/>
      <c r="O265" s="216"/>
      <c r="P265" s="216"/>
      <c r="Q265" s="216"/>
      <c r="R265" s="179">
        <v>12</v>
      </c>
      <c r="S265" s="179"/>
      <c r="T265" s="179">
        <v>12</v>
      </c>
      <c r="U265" s="179">
        <f t="shared" si="75"/>
        <v>12</v>
      </c>
      <c r="V265" s="179">
        <v>12</v>
      </c>
      <c r="W265" s="179">
        <v>12</v>
      </c>
      <c r="X265" s="179">
        <v>12</v>
      </c>
      <c r="Y265" s="179">
        <v>12</v>
      </c>
      <c r="Z265" s="179">
        <v>12</v>
      </c>
      <c r="AA265" s="179">
        <v>12</v>
      </c>
      <c r="AB265" s="179">
        <v>12</v>
      </c>
      <c r="AC265" s="179">
        <v>12</v>
      </c>
      <c r="AD265" s="179">
        <v>12</v>
      </c>
      <c r="AE265" s="179">
        <v>12</v>
      </c>
      <c r="AF265" s="179">
        <v>12</v>
      </c>
      <c r="AG265" s="179">
        <v>12</v>
      </c>
      <c r="AH265" s="179">
        <v>12</v>
      </c>
      <c r="AI265" s="179">
        <v>12</v>
      </c>
      <c r="AJ265" s="179">
        <v>12</v>
      </c>
      <c r="AK265" s="179">
        <v>12</v>
      </c>
      <c r="AL265" s="179">
        <v>12</v>
      </c>
      <c r="AM265" s="179">
        <v>12</v>
      </c>
      <c r="AN265" s="179">
        <v>12</v>
      </c>
      <c r="AO265" s="179">
        <v>12</v>
      </c>
      <c r="AP265" s="179">
        <v>12</v>
      </c>
      <c r="AQ265" s="179">
        <v>12</v>
      </c>
      <c r="AR265" s="179">
        <v>12</v>
      </c>
      <c r="AS265" s="179">
        <v>12</v>
      </c>
      <c r="AT265" s="179">
        <v>12</v>
      </c>
      <c r="AU265" s="179">
        <v>12</v>
      </c>
      <c r="AV265" s="216"/>
      <c r="AW265" s="216"/>
      <c r="AX265" s="216"/>
      <c r="AY265" s="216"/>
    </row>
    <row r="266" spans="2:58" s="214" customFormat="1" ht="15.75" customHeight="1" outlineLevel="1">
      <c r="C266" s="331" t="s">
        <v>950</v>
      </c>
      <c r="D266" s="216"/>
      <c r="E266" s="216"/>
      <c r="F266" s="216"/>
      <c r="G266" s="216"/>
      <c r="J266" s="218"/>
      <c r="K266" s="216"/>
      <c r="L266" s="216"/>
      <c r="M266" s="222"/>
      <c r="N266" s="216"/>
      <c r="O266" s="216"/>
      <c r="P266" s="216"/>
      <c r="Q266" s="216"/>
      <c r="R266" s="1203">
        <f>(R238-R218+R239+R240+R241)</f>
        <v>51888658.87671046</v>
      </c>
      <c r="S266" s="1203"/>
      <c r="T266" s="1203">
        <f>(T238-T218+T239+T240+T241)</f>
        <v>51888658.87671046</v>
      </c>
      <c r="U266" s="1203">
        <f t="shared" si="75"/>
        <v>51888658.87671046</v>
      </c>
      <c r="V266" s="1203">
        <f t="shared" ref="V266:AU266" si="118">(V238-V218+V239+V240+V241)</f>
        <v>144953348.80758762</v>
      </c>
      <c r="W266" s="1203">
        <f t="shared" si="118"/>
        <v>165297656.03951982</v>
      </c>
      <c r="X266" s="1203">
        <f t="shared" si="118"/>
        <v>165297656.03951982</v>
      </c>
      <c r="Y266" s="1203">
        <f t="shared" si="118"/>
        <v>165297656.03951982</v>
      </c>
      <c r="Z266" s="1203">
        <f t="shared" si="118"/>
        <v>165297656.03951982</v>
      </c>
      <c r="AA266" s="1203">
        <f t="shared" si="118"/>
        <v>165297656.03951982</v>
      </c>
      <c r="AB266" s="1203">
        <f t="shared" si="118"/>
        <v>165297656.03951982</v>
      </c>
      <c r="AC266" s="1203">
        <f t="shared" si="118"/>
        <v>165297656.03951982</v>
      </c>
      <c r="AD266" s="1203">
        <f t="shared" si="118"/>
        <v>165297656.03951982</v>
      </c>
      <c r="AE266" s="1203">
        <f t="shared" si="118"/>
        <v>165297656.03951982</v>
      </c>
      <c r="AF266" s="1203">
        <f t="shared" si="118"/>
        <v>165297656.03951982</v>
      </c>
      <c r="AG266" s="1203">
        <f t="shared" si="118"/>
        <v>165297656.03951982</v>
      </c>
      <c r="AH266" s="1203">
        <f t="shared" si="118"/>
        <v>165297656.03951982</v>
      </c>
      <c r="AI266" s="1203">
        <f t="shared" si="118"/>
        <v>165297656.03951982</v>
      </c>
      <c r="AJ266" s="1203">
        <f t="shared" si="118"/>
        <v>165297656.03951982</v>
      </c>
      <c r="AK266" s="1203">
        <f t="shared" si="118"/>
        <v>165297656.03951982</v>
      </c>
      <c r="AL266" s="1203">
        <f t="shared" si="118"/>
        <v>165297656.03951982</v>
      </c>
      <c r="AM266" s="1203">
        <f t="shared" si="118"/>
        <v>165297656.03951982</v>
      </c>
      <c r="AN266" s="1203">
        <f t="shared" si="118"/>
        <v>165297656.03951982</v>
      </c>
      <c r="AO266" s="1203">
        <f t="shared" si="118"/>
        <v>165297656.03951982</v>
      </c>
      <c r="AP266" s="1203">
        <f t="shared" si="118"/>
        <v>165297656.03951982</v>
      </c>
      <c r="AQ266" s="1203">
        <f t="shared" si="118"/>
        <v>165297656.03951982</v>
      </c>
      <c r="AR266" s="1203">
        <f t="shared" si="118"/>
        <v>165297656.03951982</v>
      </c>
      <c r="AS266" s="1203">
        <f t="shared" si="118"/>
        <v>165297656.03951982</v>
      </c>
      <c r="AT266" s="1203">
        <f t="shared" si="118"/>
        <v>165297656.03951982</v>
      </c>
      <c r="AU266" s="1203">
        <f t="shared" si="118"/>
        <v>165297656.03951982</v>
      </c>
      <c r="AV266" s="216"/>
      <c r="AW266" s="216"/>
      <c r="AX266" s="216"/>
      <c r="AY266" s="216"/>
    </row>
    <row r="267" spans="2:58" s="214" customFormat="1" ht="15.75" customHeight="1" outlineLevel="1">
      <c r="C267" s="314" t="s">
        <v>1952</v>
      </c>
      <c r="D267" s="216"/>
      <c r="E267" s="216"/>
      <c r="F267" s="216"/>
      <c r="G267" s="216"/>
      <c r="J267" s="216"/>
      <c r="K267" s="216"/>
      <c r="L267" s="216"/>
      <c r="M267" s="222"/>
      <c r="N267" s="222"/>
      <c r="O267" s="216"/>
      <c r="P267" s="216"/>
      <c r="Q267" s="216"/>
      <c r="R267" s="181">
        <f>-R265*R266/100</f>
        <v>-6226639.0652052546</v>
      </c>
      <c r="S267" s="181"/>
      <c r="T267" s="181">
        <f>-T265*T266/100</f>
        <v>-6226639.0652052546</v>
      </c>
      <c r="U267" s="181">
        <f t="shared" si="75"/>
        <v>-6226639.0652052546</v>
      </c>
      <c r="V267" s="181">
        <f>-V265*V266/100</f>
        <v>-17394401.856910516</v>
      </c>
      <c r="W267" s="181">
        <f t="shared" ref="W267:AU267" si="119">-W265*W266/100</f>
        <v>-19835718.724742379</v>
      </c>
      <c r="X267" s="181">
        <f t="shared" si="119"/>
        <v>-19835718.724742379</v>
      </c>
      <c r="Y267" s="181">
        <f t="shared" si="119"/>
        <v>-19835718.724742379</v>
      </c>
      <c r="Z267" s="181">
        <f t="shared" si="119"/>
        <v>-19835718.724742379</v>
      </c>
      <c r="AA267" s="181">
        <f t="shared" si="119"/>
        <v>-19835718.724742379</v>
      </c>
      <c r="AB267" s="181">
        <f t="shared" si="119"/>
        <v>-19835718.724742379</v>
      </c>
      <c r="AC267" s="181">
        <f t="shared" si="119"/>
        <v>-19835718.724742379</v>
      </c>
      <c r="AD267" s="181">
        <f t="shared" si="119"/>
        <v>-19835718.724742379</v>
      </c>
      <c r="AE267" s="181">
        <f t="shared" si="119"/>
        <v>-19835718.724742379</v>
      </c>
      <c r="AF267" s="181">
        <f t="shared" si="119"/>
        <v>-19835718.724742379</v>
      </c>
      <c r="AG267" s="181">
        <f t="shared" si="119"/>
        <v>-19835718.724742379</v>
      </c>
      <c r="AH267" s="181">
        <f t="shared" si="119"/>
        <v>-19835718.724742379</v>
      </c>
      <c r="AI267" s="181">
        <f t="shared" si="119"/>
        <v>-19835718.724742379</v>
      </c>
      <c r="AJ267" s="181">
        <f t="shared" si="119"/>
        <v>-19835718.724742379</v>
      </c>
      <c r="AK267" s="181">
        <f t="shared" si="119"/>
        <v>-19835718.724742379</v>
      </c>
      <c r="AL267" s="181">
        <f t="shared" si="119"/>
        <v>-19835718.724742379</v>
      </c>
      <c r="AM267" s="181">
        <f t="shared" si="119"/>
        <v>-19835718.724742379</v>
      </c>
      <c r="AN267" s="181">
        <f t="shared" si="119"/>
        <v>-19835718.724742379</v>
      </c>
      <c r="AO267" s="181">
        <f t="shared" si="119"/>
        <v>-19835718.724742379</v>
      </c>
      <c r="AP267" s="181">
        <f t="shared" si="119"/>
        <v>-19835718.724742379</v>
      </c>
      <c r="AQ267" s="181">
        <f t="shared" si="119"/>
        <v>-19835718.724742379</v>
      </c>
      <c r="AR267" s="181">
        <f t="shared" si="119"/>
        <v>-19835718.724742379</v>
      </c>
      <c r="AS267" s="181">
        <f t="shared" si="119"/>
        <v>-19835718.724742379</v>
      </c>
      <c r="AT267" s="181">
        <f t="shared" si="119"/>
        <v>-19835718.724742379</v>
      </c>
      <c r="AU267" s="181">
        <f t="shared" si="119"/>
        <v>-19835718.724742379</v>
      </c>
      <c r="AV267" s="220"/>
      <c r="AW267" s="220"/>
      <c r="AX267" s="220"/>
      <c r="AY267" s="220"/>
    </row>
    <row r="268" spans="2:58" s="214" customFormat="1" ht="15.75" customHeight="1" outlineLevel="1">
      <c r="C268" s="314" t="s">
        <v>951</v>
      </c>
      <c r="D268" s="216"/>
      <c r="E268" s="216"/>
      <c r="F268" s="216"/>
      <c r="G268" s="216"/>
      <c r="J268" s="216"/>
      <c r="K268" s="216"/>
      <c r="L268" s="216"/>
      <c r="M268" s="222"/>
      <c r="N268" s="222"/>
      <c r="O268" s="216"/>
      <c r="P268" s="216"/>
      <c r="Q268" s="216"/>
      <c r="R268" s="181">
        <f>-R265*R266/100*10/12</f>
        <v>-5188865.887671045</v>
      </c>
      <c r="S268" s="181"/>
      <c r="T268" s="181">
        <f>-T265*T266/100*10/12</f>
        <v>-5188865.887671045</v>
      </c>
      <c r="U268" s="181">
        <f t="shared" ref="U268:U331" si="120">T268</f>
        <v>-5188865.887671045</v>
      </c>
      <c r="V268" s="181">
        <f t="shared" ref="V268:AA268" si="121">-V265*V266/100</f>
        <v>-17394401.856910516</v>
      </c>
      <c r="W268" s="181">
        <f t="shared" si="121"/>
        <v>-19835718.724742379</v>
      </c>
      <c r="X268" s="181">
        <f t="shared" si="121"/>
        <v>-19835718.724742379</v>
      </c>
      <c r="Y268" s="181">
        <f t="shared" si="121"/>
        <v>-19835718.724742379</v>
      </c>
      <c r="Z268" s="181">
        <f t="shared" si="121"/>
        <v>-19835718.724742379</v>
      </c>
      <c r="AA268" s="181">
        <f t="shared" si="121"/>
        <v>-19835718.724742379</v>
      </c>
      <c r="AB268" s="181">
        <f t="shared" ref="AB268:AT268" si="122">-AB265*AB266/100*10/12</f>
        <v>-16529765.603951983</v>
      </c>
      <c r="AC268" s="181">
        <f t="shared" si="122"/>
        <v>-16529765.603951983</v>
      </c>
      <c r="AD268" s="181">
        <f t="shared" si="122"/>
        <v>-16529765.603951983</v>
      </c>
      <c r="AE268" s="181">
        <f t="shared" si="122"/>
        <v>-16529765.603951983</v>
      </c>
      <c r="AF268" s="181">
        <f t="shared" si="122"/>
        <v>-16529765.603951983</v>
      </c>
      <c r="AG268" s="181">
        <f t="shared" si="122"/>
        <v>-16529765.603951983</v>
      </c>
      <c r="AH268" s="181">
        <f t="shared" si="122"/>
        <v>-16529765.603951983</v>
      </c>
      <c r="AI268" s="181">
        <f t="shared" si="122"/>
        <v>-16529765.603951983</v>
      </c>
      <c r="AJ268" s="181">
        <f t="shared" si="122"/>
        <v>-16529765.603951983</v>
      </c>
      <c r="AK268" s="181">
        <f t="shared" si="122"/>
        <v>-16529765.603951983</v>
      </c>
      <c r="AL268" s="181">
        <f t="shared" si="122"/>
        <v>-16529765.603951983</v>
      </c>
      <c r="AM268" s="181">
        <f t="shared" si="122"/>
        <v>-16529765.603951983</v>
      </c>
      <c r="AN268" s="181">
        <f t="shared" si="122"/>
        <v>-16529765.603951983</v>
      </c>
      <c r="AO268" s="181">
        <f t="shared" si="122"/>
        <v>-16529765.603951983</v>
      </c>
      <c r="AP268" s="181">
        <f t="shared" si="122"/>
        <v>-16529765.603951983</v>
      </c>
      <c r="AQ268" s="181">
        <f t="shared" si="122"/>
        <v>-16529765.603951983</v>
      </c>
      <c r="AR268" s="181">
        <f t="shared" si="122"/>
        <v>-16529765.603951983</v>
      </c>
      <c r="AS268" s="181">
        <f t="shared" si="122"/>
        <v>-16529765.603951983</v>
      </c>
      <c r="AT268" s="181">
        <f t="shared" si="122"/>
        <v>-16529765.603951983</v>
      </c>
      <c r="AU268" s="181">
        <f>-AU265*AU266/100</f>
        <v>-19835718.724742379</v>
      </c>
      <c r="AV268" s="220"/>
      <c r="AW268" s="220"/>
      <c r="AX268" s="220"/>
      <c r="AY268" s="220"/>
    </row>
    <row r="269" spans="2:58" s="214" customFormat="1" ht="15.75" customHeight="1" outlineLevel="1">
      <c r="C269" s="314" t="s">
        <v>735</v>
      </c>
      <c r="D269" s="216"/>
      <c r="E269" s="216"/>
      <c r="F269" s="216"/>
      <c r="G269" s="216"/>
      <c r="J269" s="216"/>
      <c r="K269" s="220"/>
      <c r="L269" s="337"/>
      <c r="M269" s="638"/>
      <c r="N269" s="408"/>
      <c r="O269" s="408"/>
      <c r="P269" s="408"/>
      <c r="Q269" s="408"/>
      <c r="R269" s="640">
        <v>0</v>
      </c>
      <c r="S269" s="640"/>
      <c r="T269" s="640">
        <v>0</v>
      </c>
      <c r="U269" s="640">
        <f t="shared" si="120"/>
        <v>0</v>
      </c>
      <c r="V269" s="640">
        <v>0</v>
      </c>
      <c r="W269" s="640">
        <v>0</v>
      </c>
      <c r="X269" s="640">
        <v>0</v>
      </c>
      <c r="Y269" s="640">
        <v>0</v>
      </c>
      <c r="Z269" s="640">
        <v>0</v>
      </c>
      <c r="AA269" s="640">
        <v>0</v>
      </c>
      <c r="AB269" s="640">
        <v>0</v>
      </c>
      <c r="AC269" s="640">
        <v>0</v>
      </c>
      <c r="AD269" s="640">
        <v>0</v>
      </c>
      <c r="AE269" s="640">
        <v>0</v>
      </c>
      <c r="AF269" s="640">
        <v>0</v>
      </c>
      <c r="AG269" s="640">
        <v>0</v>
      </c>
      <c r="AH269" s="640">
        <v>0</v>
      </c>
      <c r="AI269" s="640">
        <v>0</v>
      </c>
      <c r="AJ269" s="640">
        <v>0</v>
      </c>
      <c r="AK269" s="640">
        <v>0</v>
      </c>
      <c r="AL269" s="640">
        <v>0</v>
      </c>
      <c r="AM269" s="640">
        <v>0</v>
      </c>
      <c r="AN269" s="640">
        <v>0</v>
      </c>
      <c r="AO269" s="640">
        <v>0</v>
      </c>
      <c r="AP269" s="640">
        <v>0</v>
      </c>
      <c r="AQ269" s="640">
        <v>0</v>
      </c>
      <c r="AR269" s="640">
        <v>0</v>
      </c>
      <c r="AS269" s="640">
        <v>0</v>
      </c>
      <c r="AT269" s="640">
        <v>0</v>
      </c>
      <c r="AU269" s="640">
        <v>0</v>
      </c>
    </row>
    <row r="270" spans="2:58" s="225" customFormat="1" ht="15.75" customHeight="1">
      <c r="C270" s="328"/>
      <c r="L270" s="194"/>
      <c r="M270" s="194"/>
      <c r="R270" s="876"/>
      <c r="S270" s="876"/>
      <c r="T270" s="876"/>
      <c r="U270" s="876">
        <f t="shared" si="120"/>
        <v>0</v>
      </c>
      <c r="V270" s="876"/>
      <c r="W270" s="876"/>
      <c r="X270" s="876"/>
      <c r="Y270" s="876"/>
      <c r="Z270" s="876"/>
      <c r="AA270" s="876"/>
      <c r="AB270" s="876"/>
      <c r="AC270" s="876"/>
      <c r="AD270" s="876"/>
      <c r="AE270" s="876"/>
      <c r="AF270" s="876"/>
      <c r="AG270" s="876"/>
      <c r="AH270" s="876"/>
      <c r="AI270" s="876"/>
      <c r="AJ270" s="876"/>
      <c r="AK270" s="876"/>
      <c r="AL270" s="876"/>
      <c r="AM270" s="876"/>
      <c r="AN270" s="876"/>
      <c r="AO270" s="876"/>
      <c r="AP270" s="876"/>
      <c r="AQ270" s="876"/>
      <c r="AR270" s="876"/>
      <c r="AS270" s="876"/>
      <c r="AT270" s="876"/>
      <c r="AU270" s="876"/>
      <c r="AV270" s="861"/>
      <c r="AW270" s="861"/>
      <c r="AX270" s="861"/>
      <c r="AY270" s="861"/>
    </row>
    <row r="271" spans="2:58" s="225" customFormat="1" ht="15.75" customHeight="1">
      <c r="C271" s="328"/>
      <c r="L271" s="194"/>
      <c r="M271" s="194"/>
      <c r="R271" s="876"/>
      <c r="S271" s="876"/>
      <c r="T271" s="876"/>
      <c r="U271" s="876">
        <f t="shared" si="120"/>
        <v>0</v>
      </c>
      <c r="V271" s="876"/>
      <c r="W271" s="876"/>
      <c r="X271" s="876"/>
      <c r="Y271" s="876"/>
      <c r="Z271" s="876"/>
      <c r="AA271" s="876"/>
      <c r="AB271" s="876"/>
      <c r="AC271" s="876"/>
      <c r="AD271" s="876"/>
      <c r="AE271" s="876"/>
      <c r="AF271" s="876"/>
      <c r="AG271" s="876"/>
      <c r="AH271" s="876"/>
      <c r="AI271" s="876"/>
      <c r="AJ271" s="876"/>
      <c r="AK271" s="876"/>
      <c r="AL271" s="876"/>
      <c r="AM271" s="876"/>
      <c r="AN271" s="876"/>
      <c r="AO271" s="876"/>
      <c r="AP271" s="876"/>
      <c r="AQ271" s="876"/>
      <c r="AR271" s="876"/>
      <c r="AS271" s="876"/>
      <c r="AT271" s="876"/>
      <c r="AU271" s="876"/>
      <c r="AV271" s="861"/>
      <c r="AW271" s="861"/>
      <c r="AX271" s="861"/>
      <c r="AY271" s="861"/>
    </row>
    <row r="272" spans="2:58" ht="27" customHeight="1">
      <c r="B272" s="219"/>
      <c r="C272" s="297" t="s">
        <v>958</v>
      </c>
      <c r="H272" s="211"/>
      <c r="I272" s="211"/>
      <c r="J272" s="211"/>
      <c r="K272" s="211"/>
      <c r="L272" s="211"/>
      <c r="M272" s="323"/>
      <c r="N272" s="211"/>
      <c r="O272" s="211"/>
      <c r="P272" s="211"/>
      <c r="Q272" s="211"/>
      <c r="R272" s="211"/>
      <c r="S272" s="211"/>
      <c r="T272" s="211"/>
      <c r="U272" s="211">
        <f t="shared" si="120"/>
        <v>0</v>
      </c>
      <c r="V272" s="211"/>
      <c r="W272" s="211"/>
      <c r="X272" s="211"/>
      <c r="Y272" s="211"/>
      <c r="Z272" s="211"/>
      <c r="AA272" s="211"/>
      <c r="AB272" s="211"/>
      <c r="AC272" s="211"/>
      <c r="AD272" s="211"/>
      <c r="AE272" s="211"/>
      <c r="AF272" s="211"/>
      <c r="AG272" s="211"/>
      <c r="AH272" s="211"/>
      <c r="AI272" s="211"/>
      <c r="AJ272" s="211"/>
      <c r="AK272" s="211"/>
      <c r="AL272" s="211"/>
      <c r="AM272" s="211"/>
      <c r="AN272" s="211"/>
      <c r="AO272" s="211"/>
      <c r="AP272" s="211"/>
      <c r="AQ272" s="211"/>
      <c r="AR272" s="211"/>
      <c r="AS272" s="211"/>
      <c r="AT272" s="211"/>
      <c r="AU272" s="211"/>
      <c r="AV272" s="211"/>
      <c r="AW272" s="211"/>
      <c r="AX272" s="211"/>
      <c r="AY272" s="211"/>
    </row>
    <row r="273" spans="2:58" ht="3" customHeight="1">
      <c r="B273" s="219"/>
      <c r="C273" s="299"/>
      <c r="D273" s="170"/>
      <c r="E273" s="170"/>
      <c r="F273" s="170"/>
      <c r="G273" s="170"/>
      <c r="H273" s="212"/>
      <c r="I273" s="212"/>
      <c r="J273" s="212"/>
      <c r="K273" s="212"/>
      <c r="L273" s="212"/>
      <c r="M273" s="212"/>
      <c r="N273" s="212"/>
      <c r="O273" s="212"/>
      <c r="P273" s="212"/>
      <c r="Q273" s="212"/>
      <c r="R273" s="212"/>
      <c r="S273" s="212"/>
      <c r="T273" s="212"/>
      <c r="U273" s="212">
        <f t="shared" si="120"/>
        <v>0</v>
      </c>
      <c r="V273" s="212"/>
      <c r="W273" s="212"/>
      <c r="X273" s="212"/>
      <c r="Y273" s="212"/>
      <c r="Z273" s="212"/>
      <c r="AA273" s="212"/>
      <c r="AB273" s="212"/>
      <c r="AC273" s="212"/>
      <c r="AD273" s="212"/>
      <c r="AE273" s="212"/>
      <c r="AF273" s="212"/>
      <c r="AG273" s="212"/>
      <c r="AH273" s="212"/>
      <c r="AI273" s="212"/>
      <c r="AJ273" s="212"/>
      <c r="AK273" s="212"/>
      <c r="AL273" s="212"/>
      <c r="AM273" s="212"/>
      <c r="AN273" s="212"/>
      <c r="AO273" s="212"/>
      <c r="AP273" s="212"/>
      <c r="AQ273" s="212"/>
      <c r="AR273" s="212"/>
      <c r="AS273" s="212"/>
      <c r="AT273" s="212"/>
      <c r="AU273" s="212"/>
      <c r="AV273" s="212"/>
      <c r="AW273" s="212"/>
      <c r="AX273" s="212"/>
      <c r="AY273" s="212"/>
    </row>
    <row r="274" spans="2:58" ht="15.75" customHeight="1" outlineLevel="1">
      <c r="B274" s="219"/>
      <c r="H274" s="211"/>
      <c r="I274" s="211"/>
      <c r="J274" s="211"/>
      <c r="K274" s="211"/>
      <c r="L274" s="211"/>
      <c r="M274" s="323"/>
      <c r="N274" s="211"/>
      <c r="O274" s="211"/>
      <c r="P274" s="211"/>
      <c r="Q274" s="211"/>
      <c r="R274" s="211"/>
      <c r="S274" s="211"/>
      <c r="T274" s="211"/>
      <c r="U274" s="211">
        <f t="shared" si="120"/>
        <v>0</v>
      </c>
      <c r="V274" s="211"/>
      <c r="W274" s="211"/>
      <c r="X274" s="211"/>
      <c r="Y274" s="211"/>
      <c r="Z274" s="211"/>
      <c r="AA274" s="211"/>
      <c r="AB274" s="211"/>
      <c r="AC274" s="211"/>
      <c r="AD274" s="211"/>
      <c r="AE274" s="211"/>
      <c r="AF274" s="211"/>
      <c r="AG274" s="211"/>
      <c r="AH274" s="211"/>
      <c r="AI274" s="211"/>
      <c r="AJ274" s="211"/>
      <c r="AK274" s="211"/>
      <c r="AL274" s="211"/>
      <c r="AM274" s="211"/>
      <c r="AN274" s="211"/>
      <c r="AO274" s="211"/>
      <c r="AP274" s="211"/>
      <c r="AQ274" s="211"/>
      <c r="AR274" s="211"/>
      <c r="AS274" s="211"/>
      <c r="AT274" s="211"/>
      <c r="AU274" s="211"/>
      <c r="AV274" s="211"/>
      <c r="AW274" s="211"/>
      <c r="AX274" s="211"/>
      <c r="AY274" s="211"/>
    </row>
    <row r="275" spans="2:58" ht="15.75" customHeight="1" outlineLevel="1">
      <c r="B275" s="219"/>
      <c r="C275" s="302"/>
      <c r="D275" s="303"/>
      <c r="E275" s="303"/>
      <c r="F275" s="303"/>
      <c r="G275" s="303"/>
      <c r="H275" s="172"/>
      <c r="I275" s="172"/>
      <c r="J275" s="172"/>
      <c r="K275" s="172"/>
      <c r="L275" s="173"/>
      <c r="M275" s="173"/>
      <c r="N275" s="173"/>
      <c r="O275" s="173"/>
      <c r="P275" s="173"/>
      <c r="Q275" s="173"/>
      <c r="R275" s="173"/>
      <c r="S275" s="173"/>
      <c r="T275" s="173"/>
      <c r="U275" s="173">
        <f t="shared" si="120"/>
        <v>0</v>
      </c>
      <c r="V275" s="173"/>
      <c r="W275" s="173"/>
      <c r="X275" s="173"/>
      <c r="Y275" s="173"/>
      <c r="Z275" s="173"/>
      <c r="AA275" s="173"/>
      <c r="AB275" s="173"/>
      <c r="AC275" s="173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</row>
    <row r="276" spans="2:58" ht="15.75" customHeight="1" outlineLevel="1">
      <c r="B276" s="219"/>
      <c r="C276" s="603"/>
      <c r="D276" s="233"/>
      <c r="E276" s="233"/>
      <c r="F276" s="233"/>
      <c r="G276" s="603"/>
      <c r="H276" s="603"/>
      <c r="I276" s="174"/>
      <c r="J276" s="174"/>
      <c r="K276" s="174"/>
      <c r="L276" s="174"/>
      <c r="M276" s="1300"/>
      <c r="N276" s="1300"/>
      <c r="O276" s="175">
        <v>-3</v>
      </c>
      <c r="P276" s="175">
        <f>O276+1</f>
        <v>-2</v>
      </c>
      <c r="Q276" s="175">
        <f>P276+1</f>
        <v>-1</v>
      </c>
      <c r="R276" s="175">
        <f>Q276+2</f>
        <v>1</v>
      </c>
      <c r="S276" s="175">
        <f>$S$8</f>
        <v>0</v>
      </c>
      <c r="T276" s="175">
        <f>$T$8</f>
        <v>0</v>
      </c>
      <c r="U276" s="175" t="str">
        <f>$U$7</f>
        <v>Revised</v>
      </c>
      <c r="V276" s="175">
        <f>R276+1</f>
        <v>2</v>
      </c>
      <c r="W276" s="175">
        <f t="shared" ref="W276:AU277" si="123">V276+1</f>
        <v>3</v>
      </c>
      <c r="X276" s="175">
        <f t="shared" si="123"/>
        <v>4</v>
      </c>
      <c r="Y276" s="175">
        <f t="shared" si="123"/>
        <v>5</v>
      </c>
      <c r="Z276" s="175">
        <f t="shared" si="123"/>
        <v>6</v>
      </c>
      <c r="AA276" s="175">
        <f t="shared" si="123"/>
        <v>7</v>
      </c>
      <c r="AB276" s="175">
        <f t="shared" si="123"/>
        <v>8</v>
      </c>
      <c r="AC276" s="175">
        <f t="shared" si="123"/>
        <v>9</v>
      </c>
      <c r="AD276" s="175">
        <f t="shared" si="123"/>
        <v>10</v>
      </c>
      <c r="AE276" s="175">
        <f t="shared" si="123"/>
        <v>11</v>
      </c>
      <c r="AF276" s="175">
        <f t="shared" si="123"/>
        <v>12</v>
      </c>
      <c r="AG276" s="175">
        <f t="shared" si="123"/>
        <v>13</v>
      </c>
      <c r="AH276" s="175">
        <f t="shared" si="123"/>
        <v>14</v>
      </c>
      <c r="AI276" s="175">
        <f t="shared" si="123"/>
        <v>15</v>
      </c>
      <c r="AJ276" s="175">
        <f t="shared" si="123"/>
        <v>16</v>
      </c>
      <c r="AK276" s="175">
        <f t="shared" si="123"/>
        <v>17</v>
      </c>
      <c r="AL276" s="175">
        <f t="shared" si="123"/>
        <v>18</v>
      </c>
      <c r="AM276" s="175">
        <f t="shared" si="123"/>
        <v>19</v>
      </c>
      <c r="AN276" s="175">
        <f t="shared" si="123"/>
        <v>20</v>
      </c>
      <c r="AO276" s="175">
        <f t="shared" si="123"/>
        <v>21</v>
      </c>
      <c r="AP276" s="175">
        <f t="shared" si="123"/>
        <v>22</v>
      </c>
      <c r="AQ276" s="175">
        <f t="shared" si="123"/>
        <v>23</v>
      </c>
      <c r="AR276" s="175">
        <f t="shared" si="123"/>
        <v>24</v>
      </c>
      <c r="AS276" s="175">
        <f t="shared" si="123"/>
        <v>25</v>
      </c>
      <c r="AT276" s="175">
        <f t="shared" si="123"/>
        <v>26</v>
      </c>
      <c r="AU276" s="175">
        <f t="shared" si="123"/>
        <v>27</v>
      </c>
      <c r="AV276" s="175"/>
      <c r="AW276" s="175"/>
      <c r="AX276" s="175"/>
      <c r="AY276" s="175"/>
      <c r="AZ276" s="179"/>
      <c r="BA276" s="179"/>
      <c r="BB276" s="179"/>
      <c r="BC276" s="179"/>
      <c r="BD276" s="179"/>
      <c r="BE276" s="179"/>
      <c r="BF276" s="179"/>
    </row>
    <row r="277" spans="2:58" ht="15.75" customHeight="1" outlineLevel="1">
      <c r="B277" s="219"/>
      <c r="C277" s="604"/>
      <c r="D277" s="234"/>
      <c r="E277" s="234"/>
      <c r="F277" s="234"/>
      <c r="G277" s="604"/>
      <c r="H277" s="604"/>
      <c r="I277" s="176"/>
      <c r="J277" s="176"/>
      <c r="K277" s="176"/>
      <c r="L277" s="176"/>
      <c r="M277" s="758"/>
      <c r="N277" s="758"/>
      <c r="O277" s="758">
        <f>O8</f>
        <v>0</v>
      </c>
      <c r="P277" s="758">
        <f>P8</f>
        <v>0</v>
      </c>
      <c r="Q277" s="758">
        <f>Q8</f>
        <v>0</v>
      </c>
      <c r="R277" s="758">
        <f>Q277+1</f>
        <v>1</v>
      </c>
      <c r="S277" s="758"/>
      <c r="T277" s="758"/>
      <c r="U277" s="758">
        <f>$U$8</f>
        <v>0</v>
      </c>
      <c r="V277" s="758">
        <f>R277+1</f>
        <v>2</v>
      </c>
      <c r="W277" s="758">
        <f t="shared" si="123"/>
        <v>3</v>
      </c>
      <c r="X277" s="758">
        <f t="shared" si="123"/>
        <v>4</v>
      </c>
      <c r="Y277" s="758">
        <f t="shared" si="123"/>
        <v>5</v>
      </c>
      <c r="Z277" s="758">
        <f t="shared" si="123"/>
        <v>6</v>
      </c>
      <c r="AA277" s="758">
        <f t="shared" si="123"/>
        <v>7</v>
      </c>
      <c r="AB277" s="758">
        <f t="shared" si="123"/>
        <v>8</v>
      </c>
      <c r="AC277" s="758">
        <f t="shared" si="123"/>
        <v>9</v>
      </c>
      <c r="AD277" s="758">
        <f t="shared" si="123"/>
        <v>10</v>
      </c>
      <c r="AE277" s="758">
        <f t="shared" si="123"/>
        <v>11</v>
      </c>
      <c r="AF277" s="758">
        <f t="shared" si="123"/>
        <v>12</v>
      </c>
      <c r="AG277" s="758">
        <f t="shared" si="123"/>
        <v>13</v>
      </c>
      <c r="AH277" s="758">
        <f t="shared" si="123"/>
        <v>14</v>
      </c>
      <c r="AI277" s="758">
        <f t="shared" si="123"/>
        <v>15</v>
      </c>
      <c r="AJ277" s="758">
        <f t="shared" si="123"/>
        <v>16</v>
      </c>
      <c r="AK277" s="758">
        <f t="shared" si="123"/>
        <v>17</v>
      </c>
      <c r="AL277" s="758">
        <f t="shared" si="123"/>
        <v>18</v>
      </c>
      <c r="AM277" s="758">
        <f t="shared" si="123"/>
        <v>19</v>
      </c>
      <c r="AN277" s="758">
        <f t="shared" si="123"/>
        <v>20</v>
      </c>
      <c r="AO277" s="758">
        <f t="shared" si="123"/>
        <v>21</v>
      </c>
      <c r="AP277" s="758">
        <f t="shared" si="123"/>
        <v>22</v>
      </c>
      <c r="AQ277" s="758">
        <f t="shared" si="123"/>
        <v>23</v>
      </c>
      <c r="AR277" s="758">
        <f t="shared" si="123"/>
        <v>24</v>
      </c>
      <c r="AS277" s="758">
        <f t="shared" si="123"/>
        <v>25</v>
      </c>
      <c r="AT277" s="758">
        <f t="shared" si="123"/>
        <v>26</v>
      </c>
      <c r="AU277" s="758">
        <f t="shared" si="123"/>
        <v>27</v>
      </c>
      <c r="AV277" s="758"/>
      <c r="AW277" s="758"/>
      <c r="AX277" s="758"/>
      <c r="AY277" s="758"/>
      <c r="AZ277" s="179"/>
      <c r="BA277" s="179"/>
      <c r="BB277" s="179"/>
      <c r="BC277" s="179"/>
      <c r="BD277" s="179"/>
      <c r="BE277" s="179"/>
      <c r="BF277" s="179"/>
    </row>
    <row r="278" spans="2:58" ht="15.75" customHeight="1" outlineLevel="1">
      <c r="B278" s="219"/>
      <c r="C278" s="177"/>
      <c r="D278" s="260"/>
      <c r="E278" s="235"/>
      <c r="F278" s="235"/>
      <c r="G278" s="177"/>
      <c r="H278" s="177"/>
      <c r="I278" s="213"/>
      <c r="J278" s="213"/>
      <c r="K278" s="213"/>
      <c r="L278" s="213"/>
      <c r="M278" s="178" t="s">
        <v>499</v>
      </c>
      <c r="N278" s="178" t="s">
        <v>499</v>
      </c>
      <c r="O278" s="178" t="s">
        <v>499</v>
      </c>
      <c r="P278" s="178" t="str">
        <f t="shared" ref="P278:AU278" si="124">O278</f>
        <v>($)</v>
      </c>
      <c r="Q278" s="178" t="str">
        <f t="shared" si="124"/>
        <v>($)</v>
      </c>
      <c r="R278" s="178" t="str">
        <f t="shared" si="124"/>
        <v>($)</v>
      </c>
      <c r="S278" s="178" t="str">
        <f>R278</f>
        <v>($)</v>
      </c>
      <c r="T278" s="178" t="str">
        <f>S278</f>
        <v>($)</v>
      </c>
      <c r="U278" s="178" t="str">
        <f>T278</f>
        <v>($)</v>
      </c>
      <c r="V278" s="178" t="str">
        <f>R278</f>
        <v>($)</v>
      </c>
      <c r="W278" s="178" t="str">
        <f t="shared" si="124"/>
        <v>($)</v>
      </c>
      <c r="X278" s="178" t="str">
        <f t="shared" si="124"/>
        <v>($)</v>
      </c>
      <c r="Y278" s="178" t="str">
        <f t="shared" si="124"/>
        <v>($)</v>
      </c>
      <c r="Z278" s="178" t="str">
        <f t="shared" si="124"/>
        <v>($)</v>
      </c>
      <c r="AA278" s="178" t="str">
        <f t="shared" si="124"/>
        <v>($)</v>
      </c>
      <c r="AB278" s="178" t="str">
        <f t="shared" si="124"/>
        <v>($)</v>
      </c>
      <c r="AC278" s="178" t="str">
        <f t="shared" si="124"/>
        <v>($)</v>
      </c>
      <c r="AD278" s="178" t="str">
        <f t="shared" si="124"/>
        <v>($)</v>
      </c>
      <c r="AE278" s="178" t="str">
        <f t="shared" si="124"/>
        <v>($)</v>
      </c>
      <c r="AF278" s="178" t="str">
        <f t="shared" si="124"/>
        <v>($)</v>
      </c>
      <c r="AG278" s="178" t="str">
        <f t="shared" si="124"/>
        <v>($)</v>
      </c>
      <c r="AH278" s="178" t="str">
        <f t="shared" si="124"/>
        <v>($)</v>
      </c>
      <c r="AI278" s="178" t="str">
        <f t="shared" si="124"/>
        <v>($)</v>
      </c>
      <c r="AJ278" s="178" t="str">
        <f t="shared" si="124"/>
        <v>($)</v>
      </c>
      <c r="AK278" s="178" t="str">
        <f t="shared" si="124"/>
        <v>($)</v>
      </c>
      <c r="AL278" s="178" t="str">
        <f t="shared" si="124"/>
        <v>($)</v>
      </c>
      <c r="AM278" s="178" t="str">
        <f t="shared" si="124"/>
        <v>($)</v>
      </c>
      <c r="AN278" s="178" t="str">
        <f t="shared" si="124"/>
        <v>($)</v>
      </c>
      <c r="AO278" s="178" t="str">
        <f t="shared" si="124"/>
        <v>($)</v>
      </c>
      <c r="AP278" s="178" t="str">
        <f t="shared" si="124"/>
        <v>($)</v>
      </c>
      <c r="AQ278" s="178" t="str">
        <f t="shared" si="124"/>
        <v>($)</v>
      </c>
      <c r="AR278" s="178" t="str">
        <f t="shared" si="124"/>
        <v>($)</v>
      </c>
      <c r="AS278" s="178" t="str">
        <f t="shared" si="124"/>
        <v>($)</v>
      </c>
      <c r="AT278" s="178" t="str">
        <f t="shared" si="124"/>
        <v>($)</v>
      </c>
      <c r="AU278" s="178" t="str">
        <f t="shared" si="124"/>
        <v>($)</v>
      </c>
      <c r="AV278" s="178"/>
      <c r="AW278" s="178"/>
      <c r="AX278" s="178"/>
      <c r="AY278" s="178"/>
      <c r="AZ278" s="179"/>
      <c r="BA278" s="179"/>
      <c r="BB278" s="179"/>
      <c r="BC278" s="179"/>
      <c r="BD278" s="179"/>
      <c r="BE278" s="179"/>
      <c r="BF278" s="179"/>
    </row>
    <row r="279" spans="2:58" s="214" customFormat="1" ht="15.75" customHeight="1" outlineLevel="1">
      <c r="C279" s="186"/>
      <c r="D279" s="242"/>
      <c r="E279" s="249"/>
      <c r="F279" s="249"/>
      <c r="G279" s="186"/>
      <c r="H279" s="186"/>
      <c r="I279" s="327"/>
      <c r="J279" s="327"/>
      <c r="K279" s="327"/>
      <c r="L279" s="327"/>
      <c r="M279" s="327"/>
      <c r="N279" s="327"/>
      <c r="O279" s="187"/>
      <c r="P279" s="187"/>
      <c r="Q279" s="187"/>
      <c r="R279" s="187"/>
      <c r="S279" s="187"/>
      <c r="T279" s="187"/>
      <c r="U279" s="187">
        <f t="shared" si="120"/>
        <v>0</v>
      </c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7"/>
      <c r="AG279" s="187"/>
      <c r="AH279" s="187"/>
      <c r="AI279" s="187"/>
      <c r="AJ279" s="187"/>
      <c r="AK279" s="187"/>
      <c r="AL279" s="187"/>
      <c r="AM279" s="187"/>
      <c r="AN279" s="187"/>
      <c r="AO279" s="187"/>
      <c r="AP279" s="187"/>
      <c r="AQ279" s="187"/>
      <c r="AR279" s="187"/>
      <c r="AS279" s="187"/>
      <c r="AT279" s="187"/>
      <c r="AU279" s="187"/>
      <c r="AV279" s="187"/>
      <c r="AW279" s="187"/>
      <c r="AX279" s="187"/>
      <c r="AY279" s="187"/>
    </row>
    <row r="280" spans="2:58" s="214" customFormat="1" ht="15.75" customHeight="1" outlineLevel="1">
      <c r="C280" s="186" t="s">
        <v>959</v>
      </c>
      <c r="D280" s="242"/>
      <c r="E280" s="249"/>
      <c r="F280" s="249"/>
      <c r="G280" s="186"/>
      <c r="H280" s="186"/>
      <c r="I280" s="327"/>
      <c r="J280" s="327"/>
      <c r="K280" s="327"/>
      <c r="L280" s="327"/>
      <c r="M280" s="327"/>
      <c r="N280" s="327"/>
      <c r="O280" s="187"/>
      <c r="P280" s="187"/>
      <c r="Q280" s="187"/>
      <c r="R280" s="187"/>
      <c r="S280" s="187"/>
      <c r="T280" s="187"/>
      <c r="U280" s="187">
        <f t="shared" si="120"/>
        <v>0</v>
      </c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7"/>
      <c r="AG280" s="187"/>
      <c r="AH280" s="187"/>
      <c r="AI280" s="187"/>
      <c r="AJ280" s="187"/>
      <c r="AK280" s="187"/>
      <c r="AL280" s="187"/>
      <c r="AM280" s="187"/>
      <c r="AN280" s="187"/>
      <c r="AO280" s="187"/>
      <c r="AP280" s="187"/>
      <c r="AQ280" s="187"/>
      <c r="AR280" s="187"/>
      <c r="AS280" s="187"/>
      <c r="AT280" s="187"/>
      <c r="AU280" s="187"/>
      <c r="AV280" s="187"/>
      <c r="AW280" s="187"/>
      <c r="AX280" s="187"/>
      <c r="AY280" s="187"/>
    </row>
    <row r="281" spans="2:58" s="214" customFormat="1" ht="18.75" customHeight="1" outlineLevel="1">
      <c r="C281" s="1226" t="s">
        <v>1950</v>
      </c>
      <c r="D281" s="242"/>
      <c r="E281" s="249"/>
      <c r="F281" s="249"/>
      <c r="G281" s="186"/>
      <c r="H281" s="186"/>
      <c r="I281" s="327"/>
      <c r="J281" s="327"/>
      <c r="K281" s="327"/>
      <c r="L281" s="327"/>
      <c r="M281" s="327"/>
      <c r="N281" s="327"/>
      <c r="O281" s="187"/>
      <c r="P281" s="187"/>
      <c r="Q281" s="187"/>
      <c r="R281" s="294">
        <v>2.06E-2</v>
      </c>
      <c r="S281" s="294"/>
      <c r="T281" s="294">
        <v>2.06E-2</v>
      </c>
      <c r="U281" s="294">
        <f t="shared" si="120"/>
        <v>2.06E-2</v>
      </c>
      <c r="V281" s="294">
        <v>2.06E-2</v>
      </c>
      <c r="W281" s="294">
        <v>2.06E-2</v>
      </c>
      <c r="X281" s="294">
        <v>2.06E-2</v>
      </c>
      <c r="Y281" s="294">
        <v>2.06E-2</v>
      </c>
      <c r="Z281" s="294">
        <v>2.06E-2</v>
      </c>
      <c r="AA281" s="294">
        <v>2.06E-2</v>
      </c>
      <c r="AB281" s="294">
        <v>2.06E-2</v>
      </c>
      <c r="AC281" s="294">
        <v>2.06E-2</v>
      </c>
      <c r="AD281" s="294">
        <v>2.06E-2</v>
      </c>
      <c r="AE281" s="294">
        <v>2.06E-2</v>
      </c>
      <c r="AF281" s="294">
        <v>2.06E-2</v>
      </c>
      <c r="AG281" s="294">
        <v>2.06E-2</v>
      </c>
      <c r="AH281" s="294">
        <v>2.06E-2</v>
      </c>
      <c r="AI281" s="294">
        <v>2.06E-2</v>
      </c>
      <c r="AJ281" s="294">
        <v>2.06E-2</v>
      </c>
      <c r="AK281" s="294">
        <v>2.06E-2</v>
      </c>
      <c r="AL281" s="294">
        <v>2.06E-2</v>
      </c>
      <c r="AM281" s="294">
        <v>2.06E-2</v>
      </c>
      <c r="AN281" s="294">
        <v>2.06E-2</v>
      </c>
      <c r="AO281" s="294">
        <v>2.06E-2</v>
      </c>
      <c r="AP281" s="294">
        <v>2.06E-2</v>
      </c>
      <c r="AQ281" s="294">
        <v>2.06E-2</v>
      </c>
      <c r="AR281" s="294">
        <v>2.06E-2</v>
      </c>
      <c r="AS281" s="294">
        <v>2.06E-2</v>
      </c>
      <c r="AT281" s="294">
        <v>2.06E-2</v>
      </c>
      <c r="AU281" s="294">
        <v>2.06E-2</v>
      </c>
      <c r="AV281" s="187"/>
      <c r="AW281" s="187"/>
      <c r="AX281" s="187"/>
      <c r="AY281" s="187"/>
    </row>
    <row r="282" spans="2:58" s="214" customFormat="1" ht="15.75" customHeight="1" outlineLevel="1">
      <c r="C282" s="1222" t="s">
        <v>1940</v>
      </c>
      <c r="D282" s="242"/>
      <c r="E282" s="249"/>
      <c r="F282" s="249"/>
      <c r="G282" s="186"/>
      <c r="H282" s="186"/>
      <c r="I282" s="327"/>
      <c r="J282" s="327"/>
      <c r="K282" s="327"/>
      <c r="L282" s="327"/>
      <c r="M282" s="327"/>
      <c r="N282" s="327"/>
      <c r="O282" s="187"/>
      <c r="P282" s="187"/>
      <c r="Q282" s="187"/>
      <c r="R282" s="294">
        <v>1.1599999999999999E-2</v>
      </c>
      <c r="S282" s="294"/>
      <c r="T282" s="294">
        <v>1.1599999999999999E-2</v>
      </c>
      <c r="U282" s="294">
        <f t="shared" si="120"/>
        <v>1.1599999999999999E-2</v>
      </c>
      <c r="V282" s="294">
        <v>1.1599999999999999E-2</v>
      </c>
      <c r="W282" s="294">
        <v>1.1599999999999999E-2</v>
      </c>
      <c r="X282" s="294">
        <v>1.1599999999999999E-2</v>
      </c>
      <c r="Y282" s="294">
        <v>1.1599999999999999E-2</v>
      </c>
      <c r="Z282" s="294">
        <v>1.1599999999999999E-2</v>
      </c>
      <c r="AA282" s="294">
        <v>1.1599999999999999E-2</v>
      </c>
      <c r="AB282" s="294">
        <v>1.1599999999999999E-2</v>
      </c>
      <c r="AC282" s="294">
        <v>1.1599999999999999E-2</v>
      </c>
      <c r="AD282" s="294">
        <v>1.1599999999999999E-2</v>
      </c>
      <c r="AE282" s="294">
        <v>1.1599999999999999E-2</v>
      </c>
      <c r="AF282" s="294">
        <v>1.1599999999999999E-2</v>
      </c>
      <c r="AG282" s="294">
        <v>1.1599999999999999E-2</v>
      </c>
      <c r="AH282" s="294">
        <v>1.1599999999999999E-2</v>
      </c>
      <c r="AI282" s="294">
        <v>1.1599999999999999E-2</v>
      </c>
      <c r="AJ282" s="294">
        <v>1.1599999999999999E-2</v>
      </c>
      <c r="AK282" s="294">
        <v>1.1599999999999999E-2</v>
      </c>
      <c r="AL282" s="294">
        <v>1.1599999999999999E-2</v>
      </c>
      <c r="AM282" s="294">
        <v>1.1599999999999999E-2</v>
      </c>
      <c r="AN282" s="294">
        <v>1.1599999999999999E-2</v>
      </c>
      <c r="AO282" s="294">
        <v>1.1599999999999999E-2</v>
      </c>
      <c r="AP282" s="294">
        <v>1.1599999999999999E-2</v>
      </c>
      <c r="AQ282" s="294">
        <v>1.1599999999999999E-2</v>
      </c>
      <c r="AR282" s="294">
        <v>1.1599999999999999E-2</v>
      </c>
      <c r="AS282" s="294">
        <v>1.1599999999999999E-2</v>
      </c>
      <c r="AT282" s="294">
        <v>1.1599999999999999E-2</v>
      </c>
      <c r="AU282" s="294">
        <v>1.1599999999999999E-2</v>
      </c>
      <c r="AV282" s="187"/>
      <c r="AW282" s="187"/>
      <c r="AX282" s="187"/>
      <c r="AY282" s="187"/>
    </row>
    <row r="283" spans="2:58" s="214" customFormat="1" ht="15.75" customHeight="1" outlineLevel="1">
      <c r="C283" s="1222" t="s">
        <v>1941</v>
      </c>
      <c r="D283" s="242"/>
      <c r="E283" s="249"/>
      <c r="F283" s="249"/>
      <c r="G283" s="186"/>
      <c r="H283" s="186"/>
      <c r="I283" s="327"/>
      <c r="J283" s="327"/>
      <c r="K283" s="327"/>
      <c r="L283" s="327"/>
      <c r="M283" s="327"/>
      <c r="N283" s="327"/>
      <c r="O283" s="187"/>
      <c r="P283" s="187"/>
      <c r="Q283" s="187"/>
      <c r="R283" s="294">
        <v>6.4000000000000003E-3</v>
      </c>
      <c r="S283" s="294"/>
      <c r="T283" s="294">
        <v>6.4000000000000003E-3</v>
      </c>
      <c r="U283" s="294">
        <f t="shared" si="120"/>
        <v>6.4000000000000003E-3</v>
      </c>
      <c r="V283" s="294">
        <v>6.4000000000000003E-3</v>
      </c>
      <c r="W283" s="294">
        <v>6.4000000000000003E-3</v>
      </c>
      <c r="X283" s="294">
        <v>6.4000000000000003E-3</v>
      </c>
      <c r="Y283" s="294">
        <v>6.4000000000000003E-3</v>
      </c>
      <c r="Z283" s="294">
        <v>6.4000000000000003E-3</v>
      </c>
      <c r="AA283" s="294">
        <v>6.4000000000000003E-3</v>
      </c>
      <c r="AB283" s="294">
        <v>6.4000000000000003E-3</v>
      </c>
      <c r="AC283" s="294">
        <v>6.4000000000000003E-3</v>
      </c>
      <c r="AD283" s="294">
        <v>6.4000000000000003E-3</v>
      </c>
      <c r="AE283" s="294">
        <v>6.4000000000000003E-3</v>
      </c>
      <c r="AF283" s="294">
        <v>6.4000000000000003E-3</v>
      </c>
      <c r="AG283" s="294">
        <v>6.4000000000000003E-3</v>
      </c>
      <c r="AH283" s="294">
        <v>6.4000000000000003E-3</v>
      </c>
      <c r="AI283" s="294">
        <v>6.4000000000000003E-3</v>
      </c>
      <c r="AJ283" s="294">
        <v>6.4000000000000003E-3</v>
      </c>
      <c r="AK283" s="294">
        <v>6.4000000000000003E-3</v>
      </c>
      <c r="AL283" s="294">
        <v>6.4000000000000003E-3</v>
      </c>
      <c r="AM283" s="294">
        <v>6.4000000000000003E-3</v>
      </c>
      <c r="AN283" s="294">
        <v>6.4000000000000003E-3</v>
      </c>
      <c r="AO283" s="294">
        <v>6.4000000000000003E-3</v>
      </c>
      <c r="AP283" s="294">
        <v>6.4000000000000003E-3</v>
      </c>
      <c r="AQ283" s="294">
        <v>6.4000000000000003E-3</v>
      </c>
      <c r="AR283" s="294">
        <v>6.4000000000000003E-3</v>
      </c>
      <c r="AS283" s="294">
        <v>6.4000000000000003E-3</v>
      </c>
      <c r="AT283" s="294">
        <v>6.4000000000000003E-3</v>
      </c>
      <c r="AU283" s="294">
        <v>6.4000000000000003E-3</v>
      </c>
      <c r="AV283" s="187"/>
      <c r="AW283" s="187"/>
      <c r="AX283" s="187"/>
      <c r="AY283" s="187"/>
    </row>
    <row r="284" spans="2:58" s="214" customFormat="1" ht="15.75" customHeight="1" outlineLevel="1">
      <c r="C284" s="1222" t="s">
        <v>1942</v>
      </c>
      <c r="D284" s="242"/>
      <c r="E284" s="249"/>
      <c r="F284" s="249"/>
      <c r="G284" s="186"/>
      <c r="H284" s="186"/>
      <c r="I284" s="327"/>
      <c r="J284" s="327"/>
      <c r="K284" s="327"/>
      <c r="L284" s="327"/>
      <c r="M284" s="327"/>
      <c r="N284" s="327"/>
      <c r="O284" s="187"/>
      <c r="P284" s="187"/>
      <c r="Q284" s="187"/>
      <c r="R284" s="294">
        <v>1E-3</v>
      </c>
      <c r="S284" s="294"/>
      <c r="T284" s="294">
        <v>1E-3</v>
      </c>
      <c r="U284" s="294">
        <f t="shared" si="120"/>
        <v>1E-3</v>
      </c>
      <c r="V284" s="294">
        <v>1E-3</v>
      </c>
      <c r="W284" s="294">
        <v>1E-3</v>
      </c>
      <c r="X284" s="294">
        <v>1E-3</v>
      </c>
      <c r="Y284" s="294">
        <v>1E-3</v>
      </c>
      <c r="Z284" s="294">
        <v>1E-3</v>
      </c>
      <c r="AA284" s="294">
        <v>1E-3</v>
      </c>
      <c r="AB284" s="294">
        <v>1E-3</v>
      </c>
      <c r="AC284" s="294">
        <v>1E-3</v>
      </c>
      <c r="AD284" s="294">
        <v>1E-3</v>
      </c>
      <c r="AE284" s="294">
        <v>1E-3</v>
      </c>
      <c r="AF284" s="294">
        <v>1E-3</v>
      </c>
      <c r="AG284" s="294">
        <v>1E-3</v>
      </c>
      <c r="AH284" s="294">
        <v>1E-3</v>
      </c>
      <c r="AI284" s="294">
        <v>1E-3</v>
      </c>
      <c r="AJ284" s="294">
        <v>1E-3</v>
      </c>
      <c r="AK284" s="294">
        <v>1E-3</v>
      </c>
      <c r="AL284" s="294">
        <v>1E-3</v>
      </c>
      <c r="AM284" s="294">
        <v>1E-3</v>
      </c>
      <c r="AN284" s="294">
        <v>1E-3</v>
      </c>
      <c r="AO284" s="294">
        <v>1E-3</v>
      </c>
      <c r="AP284" s="294">
        <v>1E-3</v>
      </c>
      <c r="AQ284" s="294">
        <v>1E-3</v>
      </c>
      <c r="AR284" s="294">
        <v>1E-3</v>
      </c>
      <c r="AS284" s="294">
        <v>1E-3</v>
      </c>
      <c r="AT284" s="294">
        <v>1E-3</v>
      </c>
      <c r="AU284" s="294">
        <v>1E-3</v>
      </c>
      <c r="AV284" s="187"/>
      <c r="AW284" s="187"/>
      <c r="AX284" s="187"/>
      <c r="AY284" s="187"/>
    </row>
    <row r="285" spans="2:58" s="214" customFormat="1" ht="19.5" customHeight="1" outlineLevel="1">
      <c r="C285" s="1222" t="s">
        <v>1943</v>
      </c>
      <c r="D285" s="242"/>
      <c r="E285" s="249"/>
      <c r="F285" s="249"/>
      <c r="G285" s="186"/>
      <c r="H285" s="186"/>
      <c r="I285" s="327"/>
      <c r="J285" s="327"/>
      <c r="K285" s="327"/>
      <c r="L285" s="327"/>
      <c r="M285" s="327"/>
      <c r="N285" s="327"/>
      <c r="O285" s="187"/>
      <c r="P285" s="187"/>
      <c r="Q285" s="187"/>
      <c r="R285" s="294">
        <v>1.6000000000000001E-3</v>
      </c>
      <c r="S285" s="294"/>
      <c r="T285" s="294">
        <v>1.6000000000000001E-3</v>
      </c>
      <c r="U285" s="294">
        <f t="shared" si="120"/>
        <v>1.6000000000000001E-3</v>
      </c>
      <c r="V285" s="294">
        <v>1.6000000000000001E-3</v>
      </c>
      <c r="W285" s="294">
        <v>1.6000000000000001E-3</v>
      </c>
      <c r="X285" s="294">
        <v>1.6000000000000001E-3</v>
      </c>
      <c r="Y285" s="294">
        <v>1.6000000000000001E-3</v>
      </c>
      <c r="Z285" s="294">
        <v>1.6000000000000001E-3</v>
      </c>
      <c r="AA285" s="294">
        <v>1.6000000000000001E-3</v>
      </c>
      <c r="AB285" s="294">
        <v>1.6000000000000001E-3</v>
      </c>
      <c r="AC285" s="294">
        <v>1.6000000000000001E-3</v>
      </c>
      <c r="AD285" s="294">
        <v>1.6000000000000001E-3</v>
      </c>
      <c r="AE285" s="294">
        <v>1.6000000000000001E-3</v>
      </c>
      <c r="AF285" s="294">
        <v>1.6000000000000001E-3</v>
      </c>
      <c r="AG285" s="294">
        <v>1.6000000000000001E-3</v>
      </c>
      <c r="AH285" s="294">
        <v>1.6000000000000001E-3</v>
      </c>
      <c r="AI285" s="294">
        <v>1.6000000000000001E-3</v>
      </c>
      <c r="AJ285" s="294">
        <v>1.6000000000000001E-3</v>
      </c>
      <c r="AK285" s="294">
        <v>1.6000000000000001E-3</v>
      </c>
      <c r="AL285" s="294">
        <v>1.6000000000000001E-3</v>
      </c>
      <c r="AM285" s="294">
        <v>1.6000000000000001E-3</v>
      </c>
      <c r="AN285" s="294">
        <v>1.6000000000000001E-3</v>
      </c>
      <c r="AO285" s="294">
        <v>1.6000000000000001E-3</v>
      </c>
      <c r="AP285" s="294">
        <v>1.6000000000000001E-3</v>
      </c>
      <c r="AQ285" s="294">
        <v>1.6000000000000001E-3</v>
      </c>
      <c r="AR285" s="294">
        <v>1.6000000000000001E-3</v>
      </c>
      <c r="AS285" s="294">
        <v>1.6000000000000001E-3</v>
      </c>
      <c r="AT285" s="294">
        <v>1.6000000000000001E-3</v>
      </c>
      <c r="AU285" s="294">
        <v>1.6000000000000001E-3</v>
      </c>
      <c r="AV285" s="187"/>
      <c r="AW285" s="187"/>
      <c r="AX285" s="187"/>
      <c r="AY285" s="187"/>
    </row>
    <row r="286" spans="2:58" s="214" customFormat="1" ht="15.75" customHeight="1" outlineLevel="1">
      <c r="C286" s="1226" t="s">
        <v>960</v>
      </c>
      <c r="D286" s="242"/>
      <c r="E286" s="249"/>
      <c r="F286" s="249"/>
      <c r="G286" s="186"/>
      <c r="H286" s="186"/>
      <c r="I286" s="327"/>
      <c r="J286" s="327"/>
      <c r="K286" s="327"/>
      <c r="L286" s="327"/>
      <c r="M286" s="327"/>
      <c r="N286" s="327"/>
      <c r="O286" s="187"/>
      <c r="P286" s="187"/>
      <c r="Q286" s="187"/>
      <c r="R286" s="1191">
        <f>R11</f>
        <v>99958572.842530459</v>
      </c>
      <c r="S286" s="1191"/>
      <c r="T286" s="1191">
        <f>T11</f>
        <v>112577334.71458274</v>
      </c>
      <c r="U286" s="1191">
        <f t="shared" si="120"/>
        <v>112577334.71458274</v>
      </c>
      <c r="V286" s="1191">
        <f t="shared" ref="V286:AU286" si="125">V11</f>
        <v>576699759.83441806</v>
      </c>
      <c r="W286" s="1191">
        <f t="shared" si="125"/>
        <v>665765364.19076073</v>
      </c>
      <c r="X286" s="1191">
        <f t="shared" si="125"/>
        <v>665765364.19076073</v>
      </c>
      <c r="Y286" s="1191">
        <f t="shared" si="125"/>
        <v>665765364.19076073</v>
      </c>
      <c r="Z286" s="1191">
        <f t="shared" si="125"/>
        <v>665765364.19076073</v>
      </c>
      <c r="AA286" s="1191">
        <f t="shared" si="125"/>
        <v>665765364.19076073</v>
      </c>
      <c r="AB286" s="1191">
        <f t="shared" si="125"/>
        <v>672276639.76016223</v>
      </c>
      <c r="AC286" s="1191">
        <f t="shared" si="125"/>
        <v>672276639.76016223</v>
      </c>
      <c r="AD286" s="1191">
        <f t="shared" si="125"/>
        <v>672276639.76016223</v>
      </c>
      <c r="AE286" s="1191">
        <f t="shared" si="125"/>
        <v>672276639.76016223</v>
      </c>
      <c r="AF286" s="1191">
        <f t="shared" si="125"/>
        <v>672276639.76016223</v>
      </c>
      <c r="AG286" s="1191">
        <f t="shared" si="125"/>
        <v>672276639.76016223</v>
      </c>
      <c r="AH286" s="1191">
        <f t="shared" si="125"/>
        <v>672276639.76016223</v>
      </c>
      <c r="AI286" s="1191">
        <f t="shared" si="125"/>
        <v>672276639.76016223</v>
      </c>
      <c r="AJ286" s="1191">
        <f t="shared" si="125"/>
        <v>672276639.76016223</v>
      </c>
      <c r="AK286" s="1191">
        <f t="shared" si="125"/>
        <v>672276639.76016223</v>
      </c>
      <c r="AL286" s="1191">
        <f t="shared" si="125"/>
        <v>672276639.76016223</v>
      </c>
      <c r="AM286" s="1191">
        <f t="shared" si="125"/>
        <v>672276639.76016223</v>
      </c>
      <c r="AN286" s="1191">
        <f t="shared" si="125"/>
        <v>672276639.76016223</v>
      </c>
      <c r="AO286" s="1191">
        <f t="shared" si="125"/>
        <v>672276639.76016223</v>
      </c>
      <c r="AP286" s="1191">
        <f t="shared" si="125"/>
        <v>672276639.76016223</v>
      </c>
      <c r="AQ286" s="1191">
        <f t="shared" si="125"/>
        <v>672276639.76016223</v>
      </c>
      <c r="AR286" s="1191">
        <f t="shared" si="125"/>
        <v>672276639.76016223</v>
      </c>
      <c r="AS286" s="1191">
        <f t="shared" si="125"/>
        <v>672276639.76016223</v>
      </c>
      <c r="AT286" s="1191">
        <f t="shared" si="125"/>
        <v>672276639.76016223</v>
      </c>
      <c r="AU286" s="1191">
        <f t="shared" si="125"/>
        <v>672276639.76016223</v>
      </c>
      <c r="AV286" s="187"/>
      <c r="AW286" s="187"/>
      <c r="AX286" s="187"/>
      <c r="AY286" s="187"/>
    </row>
    <row r="287" spans="2:58" s="214" customFormat="1" ht="11.25" outlineLevel="1">
      <c r="C287" s="1226" t="s">
        <v>961</v>
      </c>
      <c r="D287" s="242"/>
      <c r="E287" s="249"/>
      <c r="F287" s="249"/>
      <c r="G287" s="186"/>
      <c r="H287" s="186"/>
      <c r="I287" s="327"/>
      <c r="J287" s="327"/>
      <c r="K287" s="327"/>
      <c r="L287" s="327"/>
      <c r="M287" s="327"/>
      <c r="N287" s="327"/>
      <c r="O287" s="187"/>
      <c r="P287" s="187"/>
      <c r="Q287" s="187"/>
      <c r="R287" s="1191">
        <f>R286</f>
        <v>99958572.842530459</v>
      </c>
      <c r="S287" s="1191"/>
      <c r="T287" s="1191">
        <f>T286</f>
        <v>112577334.71458274</v>
      </c>
      <c r="U287" s="1191">
        <f t="shared" si="120"/>
        <v>112577334.71458274</v>
      </c>
      <c r="V287" s="1191">
        <f t="shared" ref="V287:AU287" si="126">V286</f>
        <v>576699759.83441806</v>
      </c>
      <c r="W287" s="1191">
        <f t="shared" si="126"/>
        <v>665765364.19076073</v>
      </c>
      <c r="X287" s="1191">
        <f t="shared" si="126"/>
        <v>665765364.19076073</v>
      </c>
      <c r="Y287" s="1191">
        <f t="shared" si="126"/>
        <v>665765364.19076073</v>
      </c>
      <c r="Z287" s="1191">
        <f t="shared" si="126"/>
        <v>665765364.19076073</v>
      </c>
      <c r="AA287" s="1191">
        <f t="shared" si="126"/>
        <v>665765364.19076073</v>
      </c>
      <c r="AB287" s="1191">
        <f t="shared" si="126"/>
        <v>672276639.76016223</v>
      </c>
      <c r="AC287" s="1191">
        <f t="shared" si="126"/>
        <v>672276639.76016223</v>
      </c>
      <c r="AD287" s="1191">
        <f t="shared" si="126"/>
        <v>672276639.76016223</v>
      </c>
      <c r="AE287" s="1191">
        <f t="shared" si="126"/>
        <v>672276639.76016223</v>
      </c>
      <c r="AF287" s="1191">
        <f t="shared" si="126"/>
        <v>672276639.76016223</v>
      </c>
      <c r="AG287" s="1191">
        <f t="shared" si="126"/>
        <v>672276639.76016223</v>
      </c>
      <c r="AH287" s="1191">
        <f t="shared" si="126"/>
        <v>672276639.76016223</v>
      </c>
      <c r="AI287" s="1191">
        <f t="shared" si="126"/>
        <v>672276639.76016223</v>
      </c>
      <c r="AJ287" s="1191">
        <f t="shared" si="126"/>
        <v>672276639.76016223</v>
      </c>
      <c r="AK287" s="1191">
        <f t="shared" si="126"/>
        <v>672276639.76016223</v>
      </c>
      <c r="AL287" s="1191">
        <f t="shared" si="126"/>
        <v>672276639.76016223</v>
      </c>
      <c r="AM287" s="1191">
        <f t="shared" si="126"/>
        <v>672276639.76016223</v>
      </c>
      <c r="AN287" s="1191">
        <f t="shared" si="126"/>
        <v>672276639.76016223</v>
      </c>
      <c r="AO287" s="1191">
        <f t="shared" si="126"/>
        <v>672276639.76016223</v>
      </c>
      <c r="AP287" s="1191">
        <f t="shared" si="126"/>
        <v>672276639.76016223</v>
      </c>
      <c r="AQ287" s="1191">
        <f t="shared" si="126"/>
        <v>672276639.76016223</v>
      </c>
      <c r="AR287" s="1191">
        <f t="shared" si="126"/>
        <v>672276639.76016223</v>
      </c>
      <c r="AS287" s="1191">
        <f t="shared" si="126"/>
        <v>672276639.76016223</v>
      </c>
      <c r="AT287" s="1191">
        <f t="shared" si="126"/>
        <v>672276639.76016223</v>
      </c>
      <c r="AU287" s="1191">
        <f t="shared" si="126"/>
        <v>672276639.76016223</v>
      </c>
      <c r="AV287" s="187"/>
      <c r="AW287" s="187"/>
      <c r="AX287" s="187"/>
      <c r="AY287" s="187"/>
    </row>
    <row r="288" spans="2:58" s="214" customFormat="1" ht="15.75" customHeight="1" outlineLevel="1">
      <c r="C288" s="1230" t="s">
        <v>1949</v>
      </c>
      <c r="D288" s="242"/>
      <c r="E288" s="249"/>
      <c r="F288" s="249"/>
      <c r="G288" s="186"/>
      <c r="H288" s="186"/>
      <c r="I288" s="327"/>
      <c r="J288" s="327"/>
      <c r="K288" s="327"/>
      <c r="L288" s="327"/>
      <c r="M288" s="327"/>
      <c r="N288" s="327"/>
      <c r="O288" s="187"/>
      <c r="P288" s="187"/>
      <c r="Q288" s="187"/>
      <c r="R288" s="1191">
        <f>R356</f>
        <v>999585.72842530464</v>
      </c>
      <c r="S288" s="1191"/>
      <c r="T288" s="1191">
        <f>T356</f>
        <v>1125773.3471458275</v>
      </c>
      <c r="U288" s="1191">
        <f t="shared" si="120"/>
        <v>1125773.3471458275</v>
      </c>
      <c r="V288" s="1191">
        <f t="shared" ref="V288:AU288" si="127">V356</f>
        <v>5766997.5983441807</v>
      </c>
      <c r="W288" s="1191">
        <f t="shared" si="127"/>
        <v>6657653.6419076072</v>
      </c>
      <c r="X288" s="1191">
        <f t="shared" si="127"/>
        <v>6657653.6419076072</v>
      </c>
      <c r="Y288" s="1191">
        <f t="shared" si="127"/>
        <v>6657653.6419076072</v>
      </c>
      <c r="Z288" s="1191">
        <f t="shared" si="127"/>
        <v>6657653.6419076072</v>
      </c>
      <c r="AA288" s="1191">
        <f t="shared" si="127"/>
        <v>6657653.6419076072</v>
      </c>
      <c r="AB288" s="1191">
        <f t="shared" si="127"/>
        <v>6722766.3976016222</v>
      </c>
      <c r="AC288" s="1191">
        <f t="shared" si="127"/>
        <v>6722766.3976016222</v>
      </c>
      <c r="AD288" s="1191">
        <f t="shared" si="127"/>
        <v>6722766.3976016222</v>
      </c>
      <c r="AE288" s="1191">
        <f t="shared" si="127"/>
        <v>6722766.3976016222</v>
      </c>
      <c r="AF288" s="1191">
        <f t="shared" si="127"/>
        <v>6722766.3976016222</v>
      </c>
      <c r="AG288" s="1191">
        <f t="shared" si="127"/>
        <v>6722766.3976016222</v>
      </c>
      <c r="AH288" s="1191">
        <f t="shared" si="127"/>
        <v>6722766.3976016222</v>
      </c>
      <c r="AI288" s="1191">
        <f t="shared" si="127"/>
        <v>6722766.3976016222</v>
      </c>
      <c r="AJ288" s="1191">
        <f t="shared" si="127"/>
        <v>6722766.3976016222</v>
      </c>
      <c r="AK288" s="1191">
        <f t="shared" si="127"/>
        <v>6722766.3976016222</v>
      </c>
      <c r="AL288" s="1191">
        <f t="shared" si="127"/>
        <v>6722766.3976016222</v>
      </c>
      <c r="AM288" s="1191">
        <f t="shared" si="127"/>
        <v>6722766.3976016222</v>
      </c>
      <c r="AN288" s="1191">
        <f t="shared" si="127"/>
        <v>6722766.3976016222</v>
      </c>
      <c r="AO288" s="1191">
        <f t="shared" si="127"/>
        <v>6722766.3976016222</v>
      </c>
      <c r="AP288" s="1191">
        <f t="shared" si="127"/>
        <v>6722766.3976016222</v>
      </c>
      <c r="AQ288" s="1191">
        <f t="shared" si="127"/>
        <v>6722766.3976016222</v>
      </c>
      <c r="AR288" s="1191">
        <f t="shared" si="127"/>
        <v>6722766.3976016222</v>
      </c>
      <c r="AS288" s="1191">
        <f t="shared" si="127"/>
        <v>6722766.3976016222</v>
      </c>
      <c r="AT288" s="1191">
        <f t="shared" si="127"/>
        <v>6722766.3976016222</v>
      </c>
      <c r="AU288" s="1191">
        <f t="shared" si="127"/>
        <v>6722766.3976016222</v>
      </c>
      <c r="AV288" s="187"/>
      <c r="AW288" s="187"/>
      <c r="AX288" s="187"/>
      <c r="AY288" s="187"/>
    </row>
    <row r="289" spans="3:51" s="214" customFormat="1" ht="15.75" customHeight="1" outlineLevel="1">
      <c r="C289" s="1227" t="s">
        <v>1944</v>
      </c>
      <c r="D289" s="242"/>
      <c r="E289" s="249"/>
      <c r="F289" s="249"/>
      <c r="G289" s="186"/>
      <c r="H289" s="186"/>
      <c r="I289" s="327"/>
      <c r="J289" s="327"/>
      <c r="K289" s="327"/>
      <c r="L289" s="327"/>
      <c r="M289" s="327"/>
      <c r="N289" s="327"/>
      <c r="O289" s="187"/>
      <c r="P289" s="187"/>
      <c r="Q289" s="187"/>
      <c r="R289" s="873">
        <f>(R282+R283+R284+R285)*R286+R288</f>
        <v>3058732.3289814321</v>
      </c>
      <c r="S289" s="873"/>
      <c r="T289" s="873">
        <f>(T282+T283+T284+T285)*T286+T288</f>
        <v>3444866.4422662319</v>
      </c>
      <c r="U289" s="873">
        <f t="shared" si="120"/>
        <v>3444866.4422662319</v>
      </c>
      <c r="V289" s="873">
        <f t="shared" ref="V289:AU289" si="128">(V282+V283+V284+V285)*V286+V288</f>
        <v>17647012.650933191</v>
      </c>
      <c r="W289" s="873">
        <f t="shared" si="128"/>
        <v>20372420.14423728</v>
      </c>
      <c r="X289" s="873">
        <f t="shared" si="128"/>
        <v>20372420.14423728</v>
      </c>
      <c r="Y289" s="873">
        <f t="shared" si="128"/>
        <v>20372420.14423728</v>
      </c>
      <c r="Z289" s="873">
        <f t="shared" si="128"/>
        <v>20372420.14423728</v>
      </c>
      <c r="AA289" s="873">
        <f t="shared" si="128"/>
        <v>20372420.14423728</v>
      </c>
      <c r="AB289" s="873">
        <f t="shared" si="128"/>
        <v>20571665.176660966</v>
      </c>
      <c r="AC289" s="873">
        <f t="shared" si="128"/>
        <v>20571665.176660966</v>
      </c>
      <c r="AD289" s="873">
        <f t="shared" si="128"/>
        <v>20571665.176660966</v>
      </c>
      <c r="AE289" s="873">
        <f t="shared" si="128"/>
        <v>20571665.176660966</v>
      </c>
      <c r="AF289" s="873">
        <f t="shared" si="128"/>
        <v>20571665.176660966</v>
      </c>
      <c r="AG289" s="873">
        <f t="shared" si="128"/>
        <v>20571665.176660966</v>
      </c>
      <c r="AH289" s="873">
        <f t="shared" si="128"/>
        <v>20571665.176660966</v>
      </c>
      <c r="AI289" s="873">
        <f t="shared" si="128"/>
        <v>20571665.176660966</v>
      </c>
      <c r="AJ289" s="873">
        <f t="shared" si="128"/>
        <v>20571665.176660966</v>
      </c>
      <c r="AK289" s="873">
        <f t="shared" si="128"/>
        <v>20571665.176660966</v>
      </c>
      <c r="AL289" s="873">
        <f t="shared" si="128"/>
        <v>20571665.176660966</v>
      </c>
      <c r="AM289" s="873">
        <f t="shared" si="128"/>
        <v>20571665.176660966</v>
      </c>
      <c r="AN289" s="873">
        <f t="shared" si="128"/>
        <v>20571665.176660966</v>
      </c>
      <c r="AO289" s="873">
        <f t="shared" si="128"/>
        <v>20571665.176660966</v>
      </c>
      <c r="AP289" s="873">
        <f t="shared" si="128"/>
        <v>20571665.176660966</v>
      </c>
      <c r="AQ289" s="873">
        <f t="shared" si="128"/>
        <v>20571665.176660966</v>
      </c>
      <c r="AR289" s="873">
        <f t="shared" si="128"/>
        <v>20571665.176660966</v>
      </c>
      <c r="AS289" s="873">
        <f t="shared" si="128"/>
        <v>20571665.176660966</v>
      </c>
      <c r="AT289" s="873">
        <f t="shared" si="128"/>
        <v>20571665.176660966</v>
      </c>
      <c r="AU289" s="873">
        <f t="shared" si="128"/>
        <v>20571665.176660966</v>
      </c>
      <c r="AV289" s="187"/>
      <c r="AW289" s="187"/>
      <c r="AX289" s="187"/>
      <c r="AY289" s="187"/>
    </row>
    <row r="290" spans="3:51" s="214" customFormat="1" ht="15.75" customHeight="1" outlineLevel="1">
      <c r="C290" s="1227"/>
      <c r="D290" s="242"/>
      <c r="E290" s="249"/>
      <c r="F290" s="249"/>
      <c r="G290" s="186"/>
      <c r="H290" s="186"/>
      <c r="I290" s="327"/>
      <c r="J290" s="327"/>
      <c r="K290" s="327"/>
      <c r="L290" s="327"/>
      <c r="M290" s="327"/>
      <c r="N290" s="327"/>
      <c r="O290" s="187"/>
      <c r="P290" s="187"/>
      <c r="Q290" s="187"/>
      <c r="R290" s="294">
        <f>R289/R286</f>
        <v>3.0600000000000002E-2</v>
      </c>
      <c r="S290" s="294"/>
      <c r="T290" s="294">
        <f>T289/T286</f>
        <v>3.0599999999999999E-2</v>
      </c>
      <c r="U290" s="294">
        <f t="shared" si="120"/>
        <v>3.0599999999999999E-2</v>
      </c>
      <c r="V290" s="294">
        <f t="shared" ref="V290:AU290" si="129">V289/V286</f>
        <v>3.0599999999999999E-2</v>
      </c>
      <c r="W290" s="294">
        <f t="shared" si="129"/>
        <v>3.0600000000000002E-2</v>
      </c>
      <c r="X290" s="294">
        <f t="shared" si="129"/>
        <v>3.0600000000000002E-2</v>
      </c>
      <c r="Y290" s="294">
        <f t="shared" si="129"/>
        <v>3.0600000000000002E-2</v>
      </c>
      <c r="Z290" s="294">
        <f t="shared" si="129"/>
        <v>3.0600000000000002E-2</v>
      </c>
      <c r="AA290" s="294">
        <f t="shared" si="129"/>
        <v>3.0600000000000002E-2</v>
      </c>
      <c r="AB290" s="294">
        <f t="shared" si="129"/>
        <v>3.0600000000000002E-2</v>
      </c>
      <c r="AC290" s="294">
        <f t="shared" si="129"/>
        <v>3.0600000000000002E-2</v>
      </c>
      <c r="AD290" s="294">
        <f t="shared" si="129"/>
        <v>3.0600000000000002E-2</v>
      </c>
      <c r="AE290" s="294">
        <f t="shared" si="129"/>
        <v>3.0600000000000002E-2</v>
      </c>
      <c r="AF290" s="294">
        <f t="shared" si="129"/>
        <v>3.0600000000000002E-2</v>
      </c>
      <c r="AG290" s="294">
        <f t="shared" si="129"/>
        <v>3.0600000000000002E-2</v>
      </c>
      <c r="AH290" s="294">
        <f t="shared" si="129"/>
        <v>3.0600000000000002E-2</v>
      </c>
      <c r="AI290" s="294">
        <f t="shared" si="129"/>
        <v>3.0600000000000002E-2</v>
      </c>
      <c r="AJ290" s="294">
        <f t="shared" si="129"/>
        <v>3.0600000000000002E-2</v>
      </c>
      <c r="AK290" s="294">
        <f t="shared" si="129"/>
        <v>3.0600000000000002E-2</v>
      </c>
      <c r="AL290" s="294">
        <f t="shared" si="129"/>
        <v>3.0600000000000002E-2</v>
      </c>
      <c r="AM290" s="294">
        <f t="shared" si="129"/>
        <v>3.0600000000000002E-2</v>
      </c>
      <c r="AN290" s="294">
        <f t="shared" si="129"/>
        <v>3.0600000000000002E-2</v>
      </c>
      <c r="AO290" s="294">
        <f t="shared" si="129"/>
        <v>3.0600000000000002E-2</v>
      </c>
      <c r="AP290" s="294">
        <f t="shared" si="129"/>
        <v>3.0600000000000002E-2</v>
      </c>
      <c r="AQ290" s="294">
        <f t="shared" si="129"/>
        <v>3.0600000000000002E-2</v>
      </c>
      <c r="AR290" s="294">
        <f t="shared" si="129"/>
        <v>3.0600000000000002E-2</v>
      </c>
      <c r="AS290" s="294">
        <f t="shared" si="129"/>
        <v>3.0600000000000002E-2</v>
      </c>
      <c r="AT290" s="294">
        <f t="shared" si="129"/>
        <v>3.0600000000000002E-2</v>
      </c>
      <c r="AU290" s="294">
        <f t="shared" si="129"/>
        <v>3.0600000000000002E-2</v>
      </c>
      <c r="AV290" s="187"/>
      <c r="AW290" s="187"/>
      <c r="AX290" s="187"/>
      <c r="AY290" s="187"/>
    </row>
    <row r="291" spans="3:51" s="1208" customFormat="1" ht="15.75" customHeight="1" outlineLevel="1">
      <c r="C291" s="1222"/>
      <c r="L291" s="743"/>
      <c r="M291" s="743"/>
      <c r="R291" s="873"/>
      <c r="S291" s="873"/>
      <c r="T291" s="873"/>
      <c r="U291" s="873">
        <f t="shared" si="120"/>
        <v>0</v>
      </c>
      <c r="V291" s="873"/>
      <c r="W291" s="873"/>
      <c r="X291" s="873"/>
      <c r="Y291" s="873"/>
      <c r="Z291" s="873"/>
      <c r="AA291" s="873"/>
      <c r="AB291" s="873"/>
      <c r="AC291" s="873"/>
      <c r="AD291" s="873"/>
      <c r="AE291" s="873"/>
      <c r="AF291" s="873"/>
      <c r="AG291" s="873"/>
      <c r="AH291" s="873"/>
      <c r="AI291" s="873"/>
      <c r="AJ291" s="873"/>
      <c r="AK291" s="873"/>
      <c r="AL291" s="873"/>
      <c r="AM291" s="873"/>
      <c r="AN291" s="873"/>
      <c r="AO291" s="873"/>
      <c r="AP291" s="873"/>
      <c r="AQ291" s="873"/>
      <c r="AR291" s="873"/>
      <c r="AS291" s="873"/>
      <c r="AT291" s="873"/>
      <c r="AU291" s="873"/>
      <c r="AV291" s="1228"/>
      <c r="AW291" s="1228"/>
      <c r="AX291" s="1228"/>
      <c r="AY291" s="1228"/>
    </row>
    <row r="292" spans="3:51" s="1208" customFormat="1" ht="15.75" customHeight="1" outlineLevel="1">
      <c r="C292" s="1227" t="s">
        <v>962</v>
      </c>
      <c r="L292" s="743"/>
      <c r="M292" s="743"/>
      <c r="R292" s="1210">
        <f>SUM(R293:R295)</f>
        <v>1904667.9531695875</v>
      </c>
      <c r="S292" s="1210"/>
      <c r="T292" s="1210">
        <f>SUM(T293:T295)</f>
        <v>2136566.7046510256</v>
      </c>
      <c r="U292" s="1210">
        <f t="shared" si="120"/>
        <v>2136566.7046510256</v>
      </c>
      <c r="V292" s="1210">
        <f t="shared" ref="V292:AU292" si="130">SUM(V293:V295)</f>
        <v>26002891.818267804</v>
      </c>
      <c r="W292" s="1210">
        <f t="shared" si="130"/>
        <v>54997540.723301806</v>
      </c>
      <c r="X292" s="1210">
        <f t="shared" si="130"/>
        <v>54997540.723301806</v>
      </c>
      <c r="Y292" s="1210">
        <f t="shared" si="130"/>
        <v>54997540.723301806</v>
      </c>
      <c r="Z292" s="1210">
        <f t="shared" si="130"/>
        <v>54997540.723301806</v>
      </c>
      <c r="AA292" s="1210">
        <f t="shared" si="130"/>
        <v>54997540.723301806</v>
      </c>
      <c r="AB292" s="1210">
        <f t="shared" si="130"/>
        <v>55520047.147154227</v>
      </c>
      <c r="AC292" s="1210">
        <f t="shared" si="130"/>
        <v>55520047.147154227</v>
      </c>
      <c r="AD292" s="1210">
        <f t="shared" si="130"/>
        <v>55520047.147154227</v>
      </c>
      <c r="AE292" s="1210">
        <f t="shared" si="130"/>
        <v>55520047.147154227</v>
      </c>
      <c r="AF292" s="1210">
        <f t="shared" si="130"/>
        <v>55520047.147154227</v>
      </c>
      <c r="AG292" s="1210">
        <f t="shared" si="130"/>
        <v>55520047.147154227</v>
      </c>
      <c r="AH292" s="1210">
        <f t="shared" si="130"/>
        <v>55520047.147154227</v>
      </c>
      <c r="AI292" s="1210">
        <f t="shared" si="130"/>
        <v>55520047.147154227</v>
      </c>
      <c r="AJ292" s="1210">
        <f t="shared" si="130"/>
        <v>55520047.147154227</v>
      </c>
      <c r="AK292" s="1210">
        <f t="shared" si="130"/>
        <v>55520047.147154227</v>
      </c>
      <c r="AL292" s="1210">
        <f t="shared" si="130"/>
        <v>55520047.147154227</v>
      </c>
      <c r="AM292" s="1210">
        <f t="shared" si="130"/>
        <v>55520047.147154227</v>
      </c>
      <c r="AN292" s="1210">
        <f t="shared" si="130"/>
        <v>55520047.147154227</v>
      </c>
      <c r="AO292" s="1210">
        <f t="shared" si="130"/>
        <v>55520047.147154227</v>
      </c>
      <c r="AP292" s="1210">
        <f t="shared" si="130"/>
        <v>55520047.147154227</v>
      </c>
      <c r="AQ292" s="1210">
        <f t="shared" si="130"/>
        <v>55520047.147154227</v>
      </c>
      <c r="AR292" s="1210">
        <f t="shared" si="130"/>
        <v>55520047.147154227</v>
      </c>
      <c r="AS292" s="1210">
        <f t="shared" si="130"/>
        <v>55520047.147154227</v>
      </c>
      <c r="AT292" s="1210">
        <f t="shared" si="130"/>
        <v>55520047.147154227</v>
      </c>
      <c r="AU292" s="1210">
        <f t="shared" si="130"/>
        <v>55520047.147154227</v>
      </c>
      <c r="AV292" s="1228"/>
      <c r="AW292" s="1228"/>
      <c r="AX292" s="1228"/>
      <c r="AY292" s="1228"/>
    </row>
    <row r="293" spans="3:51" s="1208" customFormat="1" ht="15.75" customHeight="1" outlineLevel="1">
      <c r="C293" s="1222" t="s">
        <v>963</v>
      </c>
      <c r="L293" s="743"/>
      <c r="M293" s="743"/>
      <c r="R293" s="873">
        <f>R301</f>
        <v>1904667.9531695875</v>
      </c>
      <c r="S293" s="873"/>
      <c r="T293" s="873">
        <f>T301</f>
        <v>2136566.7046510256</v>
      </c>
      <c r="U293" s="873">
        <f t="shared" si="120"/>
        <v>2136566.7046510256</v>
      </c>
      <c r="V293" s="873">
        <f t="shared" ref="V293:AU293" si="131">V301</f>
        <v>14899933.395446496</v>
      </c>
      <c r="W293" s="873">
        <f t="shared" si="131"/>
        <v>17349237.515245922</v>
      </c>
      <c r="X293" s="873">
        <f t="shared" si="131"/>
        <v>17349237.515245922</v>
      </c>
      <c r="Y293" s="873">
        <f t="shared" si="131"/>
        <v>17349237.515245922</v>
      </c>
      <c r="Z293" s="873">
        <f t="shared" si="131"/>
        <v>17349237.515245922</v>
      </c>
      <c r="AA293" s="873">
        <f t="shared" si="131"/>
        <v>17349237.515245922</v>
      </c>
      <c r="AB293" s="873">
        <f t="shared" si="131"/>
        <v>17528297.593404461</v>
      </c>
      <c r="AC293" s="873">
        <f t="shared" si="131"/>
        <v>17528297.593404461</v>
      </c>
      <c r="AD293" s="873">
        <f t="shared" si="131"/>
        <v>17528297.593404461</v>
      </c>
      <c r="AE293" s="873">
        <f t="shared" si="131"/>
        <v>17528297.593404461</v>
      </c>
      <c r="AF293" s="873">
        <f t="shared" si="131"/>
        <v>17528297.593404461</v>
      </c>
      <c r="AG293" s="873">
        <f t="shared" si="131"/>
        <v>17528297.593404461</v>
      </c>
      <c r="AH293" s="873">
        <f t="shared" si="131"/>
        <v>17528297.593404461</v>
      </c>
      <c r="AI293" s="873">
        <f t="shared" si="131"/>
        <v>17528297.593404461</v>
      </c>
      <c r="AJ293" s="873">
        <f t="shared" si="131"/>
        <v>17528297.593404461</v>
      </c>
      <c r="AK293" s="873">
        <f t="shared" si="131"/>
        <v>17528297.593404461</v>
      </c>
      <c r="AL293" s="873">
        <f t="shared" si="131"/>
        <v>17528297.593404461</v>
      </c>
      <c r="AM293" s="873">
        <f t="shared" si="131"/>
        <v>17528297.593404461</v>
      </c>
      <c r="AN293" s="873">
        <f t="shared" si="131"/>
        <v>17528297.593404461</v>
      </c>
      <c r="AO293" s="873">
        <f t="shared" si="131"/>
        <v>17528297.593404461</v>
      </c>
      <c r="AP293" s="873">
        <f t="shared" si="131"/>
        <v>17528297.593404461</v>
      </c>
      <c r="AQ293" s="873">
        <f t="shared" si="131"/>
        <v>17528297.593404461</v>
      </c>
      <c r="AR293" s="873">
        <f t="shared" si="131"/>
        <v>17528297.593404461</v>
      </c>
      <c r="AS293" s="873">
        <f t="shared" si="131"/>
        <v>17528297.593404461</v>
      </c>
      <c r="AT293" s="873">
        <f t="shared" si="131"/>
        <v>17528297.593404461</v>
      </c>
      <c r="AU293" s="873">
        <f t="shared" si="131"/>
        <v>17528297.593404461</v>
      </c>
      <c r="AV293" s="1228"/>
      <c r="AW293" s="1228"/>
      <c r="AX293" s="1228"/>
      <c r="AY293" s="1228"/>
    </row>
    <row r="294" spans="3:51" s="1208" customFormat="1" ht="15.75" customHeight="1" outlineLevel="1">
      <c r="C294" s="1222" t="s">
        <v>964</v>
      </c>
      <c r="L294" s="743"/>
      <c r="M294" s="743"/>
      <c r="R294" s="873" t="b">
        <f>R306</f>
        <v>0</v>
      </c>
      <c r="S294" s="873"/>
      <c r="T294" s="873" t="b">
        <f>T306</f>
        <v>0</v>
      </c>
      <c r="U294" s="873" t="b">
        <f t="shared" si="120"/>
        <v>0</v>
      </c>
      <c r="V294" s="873">
        <f t="shared" ref="V294:AU294" si="132">V306</f>
        <v>4029008.0636861343</v>
      </c>
      <c r="W294" s="873">
        <f t="shared" si="132"/>
        <v>4691310.7590865949</v>
      </c>
      <c r="X294" s="873">
        <f t="shared" si="132"/>
        <v>4691310.7590865949</v>
      </c>
      <c r="Y294" s="873">
        <f t="shared" si="132"/>
        <v>4691310.7590865949</v>
      </c>
      <c r="Z294" s="873">
        <f t="shared" si="132"/>
        <v>4691310.7590865949</v>
      </c>
      <c r="AA294" s="873">
        <f t="shared" si="132"/>
        <v>4691310.7590865949</v>
      </c>
      <c r="AB294" s="873">
        <f t="shared" si="132"/>
        <v>4691310.7590865949</v>
      </c>
      <c r="AC294" s="873">
        <f t="shared" si="132"/>
        <v>4691310.7590865949</v>
      </c>
      <c r="AD294" s="873">
        <f t="shared" si="132"/>
        <v>4691310.7590865949</v>
      </c>
      <c r="AE294" s="873">
        <f t="shared" si="132"/>
        <v>4691310.7590865949</v>
      </c>
      <c r="AF294" s="873">
        <f t="shared" si="132"/>
        <v>4691310.7590865949</v>
      </c>
      <c r="AG294" s="873">
        <f t="shared" si="132"/>
        <v>4691310.7590865949</v>
      </c>
      <c r="AH294" s="873">
        <f t="shared" si="132"/>
        <v>4691310.7590865949</v>
      </c>
      <c r="AI294" s="873">
        <f t="shared" si="132"/>
        <v>4691310.7590865949</v>
      </c>
      <c r="AJ294" s="873">
        <f t="shared" si="132"/>
        <v>4691310.7590865949</v>
      </c>
      <c r="AK294" s="873">
        <f t="shared" si="132"/>
        <v>4691310.7590865949</v>
      </c>
      <c r="AL294" s="873">
        <f t="shared" si="132"/>
        <v>4691310.7590865949</v>
      </c>
      <c r="AM294" s="873">
        <f t="shared" si="132"/>
        <v>4691310.7590865949</v>
      </c>
      <c r="AN294" s="873">
        <f t="shared" si="132"/>
        <v>4691310.7590865949</v>
      </c>
      <c r="AO294" s="873">
        <f t="shared" si="132"/>
        <v>4691310.7590865949</v>
      </c>
      <c r="AP294" s="873">
        <f t="shared" si="132"/>
        <v>4691310.7590865949</v>
      </c>
      <c r="AQ294" s="873">
        <f t="shared" si="132"/>
        <v>4691310.7590865949</v>
      </c>
      <c r="AR294" s="873">
        <f t="shared" si="132"/>
        <v>4691310.7590865949</v>
      </c>
      <c r="AS294" s="873">
        <f t="shared" si="132"/>
        <v>4691310.7590865949</v>
      </c>
      <c r="AT294" s="873">
        <f t="shared" si="132"/>
        <v>4691310.7590865949</v>
      </c>
      <c r="AU294" s="873">
        <f t="shared" si="132"/>
        <v>4691310.7590865949</v>
      </c>
      <c r="AV294" s="1228"/>
      <c r="AW294" s="1228"/>
      <c r="AX294" s="1228"/>
      <c r="AY294" s="1228"/>
    </row>
    <row r="295" spans="3:51" s="1208" customFormat="1" ht="15.75" customHeight="1" outlineLevel="1">
      <c r="C295" s="1222" t="s">
        <v>965</v>
      </c>
      <c r="L295" s="743"/>
      <c r="M295" s="743"/>
      <c r="R295" s="873">
        <f>R311</f>
        <v>0</v>
      </c>
      <c r="S295" s="873"/>
      <c r="T295" s="873">
        <f>T311</f>
        <v>0</v>
      </c>
      <c r="U295" s="873">
        <f t="shared" si="120"/>
        <v>0</v>
      </c>
      <c r="V295" s="873">
        <f t="shared" ref="V295:AU295" si="133">V311</f>
        <v>7073950.3591351723</v>
      </c>
      <c r="W295" s="873">
        <f t="shared" si="133"/>
        <v>32956992.44896929</v>
      </c>
      <c r="X295" s="873">
        <f>X311</f>
        <v>32956992.44896929</v>
      </c>
      <c r="Y295" s="873">
        <f t="shared" si="133"/>
        <v>32956992.44896929</v>
      </c>
      <c r="Z295" s="873">
        <f t="shared" si="133"/>
        <v>32956992.44896929</v>
      </c>
      <c r="AA295" s="873">
        <f t="shared" si="133"/>
        <v>32956992.44896929</v>
      </c>
      <c r="AB295" s="873">
        <f t="shared" si="133"/>
        <v>33300438.794663172</v>
      </c>
      <c r="AC295" s="873">
        <f t="shared" si="133"/>
        <v>33300438.794663172</v>
      </c>
      <c r="AD295" s="873">
        <f t="shared" si="133"/>
        <v>33300438.794663172</v>
      </c>
      <c r="AE295" s="873">
        <f t="shared" si="133"/>
        <v>33300438.794663172</v>
      </c>
      <c r="AF295" s="873">
        <f t="shared" si="133"/>
        <v>33300438.794663172</v>
      </c>
      <c r="AG295" s="873">
        <f t="shared" si="133"/>
        <v>33300438.794663172</v>
      </c>
      <c r="AH295" s="873">
        <f t="shared" si="133"/>
        <v>33300438.794663172</v>
      </c>
      <c r="AI295" s="873">
        <f t="shared" si="133"/>
        <v>33300438.794663172</v>
      </c>
      <c r="AJ295" s="873">
        <f t="shared" si="133"/>
        <v>33300438.794663172</v>
      </c>
      <c r="AK295" s="873">
        <f t="shared" si="133"/>
        <v>33300438.794663172</v>
      </c>
      <c r="AL295" s="873">
        <f t="shared" si="133"/>
        <v>33300438.794663172</v>
      </c>
      <c r="AM295" s="873">
        <f t="shared" si="133"/>
        <v>33300438.794663172</v>
      </c>
      <c r="AN295" s="873">
        <f t="shared" si="133"/>
        <v>33300438.794663172</v>
      </c>
      <c r="AO295" s="873">
        <f t="shared" si="133"/>
        <v>33300438.794663172</v>
      </c>
      <c r="AP295" s="873">
        <f t="shared" si="133"/>
        <v>33300438.794663172</v>
      </c>
      <c r="AQ295" s="873">
        <f t="shared" si="133"/>
        <v>33300438.794663172</v>
      </c>
      <c r="AR295" s="873">
        <f t="shared" si="133"/>
        <v>33300438.794663172</v>
      </c>
      <c r="AS295" s="873">
        <f t="shared" si="133"/>
        <v>33300438.794663172</v>
      </c>
      <c r="AT295" s="873">
        <f t="shared" si="133"/>
        <v>33300438.794663172</v>
      </c>
      <c r="AU295" s="873">
        <f t="shared" si="133"/>
        <v>33300438.794663172</v>
      </c>
      <c r="AV295" s="1228"/>
      <c r="AW295" s="1228"/>
      <c r="AX295" s="1228"/>
      <c r="AY295" s="1228"/>
    </row>
    <row r="296" spans="3:51" s="1208" customFormat="1" ht="15.75" customHeight="1" outlineLevel="1">
      <c r="C296" s="1222"/>
      <c r="L296" s="743"/>
      <c r="M296" s="743"/>
      <c r="R296" s="1210"/>
      <c r="S296" s="1210"/>
      <c r="T296" s="1210"/>
      <c r="U296" s="1210">
        <f t="shared" si="120"/>
        <v>0</v>
      </c>
      <c r="V296" s="1210"/>
      <c r="W296" s="1210"/>
      <c r="X296" s="1210"/>
      <c r="Y296" s="1210"/>
      <c r="Z296" s="1210"/>
      <c r="AA296" s="1210"/>
      <c r="AB296" s="1210"/>
      <c r="AC296" s="1210"/>
      <c r="AD296" s="1210"/>
      <c r="AE296" s="1210"/>
      <c r="AF296" s="1210"/>
      <c r="AG296" s="1210"/>
      <c r="AH296" s="1210"/>
      <c r="AI296" s="1210"/>
      <c r="AJ296" s="1210"/>
      <c r="AK296" s="1210"/>
      <c r="AL296" s="1210"/>
      <c r="AM296" s="1210"/>
      <c r="AN296" s="1210"/>
      <c r="AO296" s="1210"/>
      <c r="AP296" s="1210"/>
      <c r="AQ296" s="1210"/>
      <c r="AR296" s="1210"/>
      <c r="AS296" s="1210"/>
      <c r="AT296" s="1210"/>
      <c r="AU296" s="1210"/>
      <c r="AV296" s="1228"/>
      <c r="AW296" s="1228"/>
      <c r="AX296" s="1228"/>
      <c r="AY296" s="1228"/>
    </row>
    <row r="297" spans="3:51" s="1208" customFormat="1" ht="15.75" customHeight="1" outlineLevel="1">
      <c r="C297" s="1227" t="s">
        <v>966</v>
      </c>
      <c r="L297" s="743"/>
      <c r="M297" s="743"/>
      <c r="R297" s="1210"/>
      <c r="S297" s="1210"/>
      <c r="T297" s="1210"/>
      <c r="U297" s="1210">
        <f t="shared" si="120"/>
        <v>0</v>
      </c>
      <c r="V297" s="1210"/>
      <c r="W297" s="1210"/>
      <c r="X297" s="1210"/>
      <c r="Y297" s="1210"/>
      <c r="Z297" s="1210"/>
      <c r="AA297" s="1210"/>
      <c r="AB297" s="1210"/>
      <c r="AC297" s="1210"/>
      <c r="AD297" s="1210"/>
      <c r="AE297" s="1210"/>
      <c r="AF297" s="1210"/>
      <c r="AG297" s="1210"/>
      <c r="AH297" s="1210"/>
      <c r="AI297" s="1210"/>
      <c r="AJ297" s="1210"/>
      <c r="AK297" s="1210"/>
      <c r="AL297" s="1210"/>
      <c r="AM297" s="1210"/>
      <c r="AN297" s="1210"/>
      <c r="AO297" s="1210"/>
      <c r="AP297" s="1210"/>
      <c r="AQ297" s="1210"/>
      <c r="AR297" s="1210"/>
      <c r="AS297" s="1210"/>
      <c r="AT297" s="1210"/>
      <c r="AU297" s="1210"/>
      <c r="AV297" s="1228"/>
      <c r="AW297" s="1228"/>
      <c r="AX297" s="1228"/>
      <c r="AY297" s="1228"/>
    </row>
    <row r="298" spans="3:51" s="1208" customFormat="1" ht="15.75" customHeight="1" outlineLevel="1">
      <c r="C298" s="1227" t="s">
        <v>1951</v>
      </c>
      <c r="L298" s="743"/>
      <c r="M298" s="743"/>
      <c r="R298" s="873">
        <v>1440000</v>
      </c>
      <c r="S298" s="873"/>
      <c r="T298" s="873">
        <v>1440000</v>
      </c>
      <c r="U298" s="873">
        <f t="shared" si="120"/>
        <v>1440000</v>
      </c>
      <c r="V298" s="873">
        <v>1440000</v>
      </c>
      <c r="W298" s="873">
        <v>1440000</v>
      </c>
      <c r="X298" s="873">
        <v>1440000</v>
      </c>
      <c r="Y298" s="873">
        <v>1440000</v>
      </c>
      <c r="Z298" s="873">
        <v>1440000</v>
      </c>
      <c r="AA298" s="873">
        <v>1440000</v>
      </c>
      <c r="AB298" s="873">
        <v>1440000</v>
      </c>
      <c r="AC298" s="873">
        <v>1440000</v>
      </c>
      <c r="AD298" s="873">
        <v>1440000</v>
      </c>
      <c r="AE298" s="873">
        <v>1440000</v>
      </c>
      <c r="AF298" s="873">
        <v>1440000</v>
      </c>
      <c r="AG298" s="873">
        <v>1440000</v>
      </c>
      <c r="AH298" s="873">
        <v>1440000</v>
      </c>
      <c r="AI298" s="873">
        <v>1440000</v>
      </c>
      <c r="AJ298" s="873">
        <v>1440000</v>
      </c>
      <c r="AK298" s="873">
        <v>1440000</v>
      </c>
      <c r="AL298" s="873">
        <v>1440000</v>
      </c>
      <c r="AM298" s="873">
        <v>1440000</v>
      </c>
      <c r="AN298" s="873">
        <v>1440000</v>
      </c>
      <c r="AO298" s="873">
        <v>1440000</v>
      </c>
      <c r="AP298" s="873">
        <v>1440000</v>
      </c>
      <c r="AQ298" s="873">
        <v>1440000</v>
      </c>
      <c r="AR298" s="873">
        <v>1440000</v>
      </c>
      <c r="AS298" s="873">
        <v>1440000</v>
      </c>
      <c r="AT298" s="873">
        <v>1440000</v>
      </c>
      <c r="AU298" s="873">
        <v>1440000</v>
      </c>
      <c r="AV298" s="1228"/>
      <c r="AW298" s="1228"/>
      <c r="AX298" s="1228"/>
      <c r="AY298" s="1228"/>
    </row>
    <row r="299" spans="3:51" s="1208" customFormat="1" ht="15.75" customHeight="1" outlineLevel="1">
      <c r="C299" s="1222" t="s">
        <v>963</v>
      </c>
      <c r="L299" s="743"/>
      <c r="M299" s="743"/>
      <c r="R299" s="1210"/>
      <c r="S299" s="1210"/>
      <c r="T299" s="1210"/>
      <c r="U299" s="1210">
        <f t="shared" si="120"/>
        <v>0</v>
      </c>
      <c r="V299" s="1210"/>
      <c r="W299" s="1210"/>
      <c r="X299" s="1210"/>
      <c r="Y299" s="1210"/>
      <c r="Z299" s="1210"/>
      <c r="AA299" s="1210"/>
      <c r="AB299" s="1210"/>
      <c r="AC299" s="1210"/>
      <c r="AD299" s="1210"/>
      <c r="AE299" s="1210"/>
      <c r="AF299" s="1210"/>
      <c r="AG299" s="1210"/>
      <c r="AH299" s="1210"/>
      <c r="AI299" s="1210"/>
      <c r="AJ299" s="1210"/>
      <c r="AK299" s="1210"/>
      <c r="AL299" s="1210"/>
      <c r="AM299" s="1210"/>
      <c r="AN299" s="1210"/>
      <c r="AO299" s="1210"/>
      <c r="AP299" s="1210"/>
      <c r="AQ299" s="1210"/>
      <c r="AR299" s="1210"/>
      <c r="AS299" s="1210"/>
      <c r="AT299" s="1210"/>
      <c r="AU299" s="1210"/>
      <c r="AV299" s="1228"/>
      <c r="AW299" s="1228"/>
      <c r="AX299" s="1228"/>
      <c r="AY299" s="1228"/>
    </row>
    <row r="300" spans="3:51" s="1208" customFormat="1" ht="15.75" customHeight="1" outlineLevel="1">
      <c r="C300" s="314" t="s">
        <v>967</v>
      </c>
      <c r="L300" s="743"/>
      <c r="M300" s="743"/>
      <c r="R300" s="1229">
        <v>2.75E-2</v>
      </c>
      <c r="S300" s="1229"/>
      <c r="T300" s="1229">
        <v>2.75E-2</v>
      </c>
      <c r="U300" s="1229">
        <f t="shared" si="120"/>
        <v>2.75E-2</v>
      </c>
      <c r="V300" s="1229">
        <v>2.75E-2</v>
      </c>
      <c r="W300" s="1229">
        <v>2.75E-2</v>
      </c>
      <c r="X300" s="1229">
        <v>2.75E-2</v>
      </c>
      <c r="Y300" s="1229">
        <v>2.75E-2</v>
      </c>
      <c r="Z300" s="1229">
        <v>2.75E-2</v>
      </c>
      <c r="AA300" s="1229">
        <v>2.75E-2</v>
      </c>
      <c r="AB300" s="1229">
        <v>2.75E-2</v>
      </c>
      <c r="AC300" s="1229">
        <v>2.75E-2</v>
      </c>
      <c r="AD300" s="1229">
        <v>2.75E-2</v>
      </c>
      <c r="AE300" s="1229">
        <v>2.75E-2</v>
      </c>
      <c r="AF300" s="1229">
        <v>2.75E-2</v>
      </c>
      <c r="AG300" s="1229">
        <v>2.75E-2</v>
      </c>
      <c r="AH300" s="1229">
        <v>2.75E-2</v>
      </c>
      <c r="AI300" s="1229">
        <v>2.75E-2</v>
      </c>
      <c r="AJ300" s="1229">
        <v>2.75E-2</v>
      </c>
      <c r="AK300" s="1229">
        <v>2.75E-2</v>
      </c>
      <c r="AL300" s="1229">
        <v>2.75E-2</v>
      </c>
      <c r="AM300" s="1229">
        <v>2.75E-2</v>
      </c>
      <c r="AN300" s="1229">
        <v>2.75E-2</v>
      </c>
      <c r="AO300" s="1229">
        <v>2.75E-2</v>
      </c>
      <c r="AP300" s="1229">
        <v>2.75E-2</v>
      </c>
      <c r="AQ300" s="1229">
        <v>2.75E-2</v>
      </c>
      <c r="AR300" s="1229">
        <v>2.75E-2</v>
      </c>
      <c r="AS300" s="1229">
        <v>2.75E-2</v>
      </c>
      <c r="AT300" s="1229">
        <v>2.75E-2</v>
      </c>
      <c r="AU300" s="1229">
        <v>2.75E-2</v>
      </c>
      <c r="AV300" s="1228"/>
      <c r="AW300" s="1228"/>
      <c r="AX300" s="1228"/>
      <c r="AY300" s="1228"/>
    </row>
    <row r="301" spans="3:51" s="1208" customFormat="1" ht="15.75" customHeight="1" outlineLevel="1">
      <c r="C301" s="728" t="s">
        <v>968</v>
      </c>
      <c r="L301" s="743"/>
      <c r="M301" s="743"/>
      <c r="R301" s="1210">
        <f>R300*R23</f>
        <v>1904667.9531695875</v>
      </c>
      <c r="S301" s="1210"/>
      <c r="T301" s="1210">
        <f>T300*T23</f>
        <v>2136566.7046510256</v>
      </c>
      <c r="U301" s="1210">
        <f t="shared" si="120"/>
        <v>2136566.7046510256</v>
      </c>
      <c r="V301" s="1210">
        <f t="shared" ref="V301:AU301" si="134">V300*V23</f>
        <v>14899933.395446496</v>
      </c>
      <c r="W301" s="1210">
        <f t="shared" si="134"/>
        <v>17349237.515245922</v>
      </c>
      <c r="X301" s="1210">
        <f t="shared" si="134"/>
        <v>17349237.515245922</v>
      </c>
      <c r="Y301" s="1210">
        <f t="shared" si="134"/>
        <v>17349237.515245922</v>
      </c>
      <c r="Z301" s="1210">
        <f t="shared" si="134"/>
        <v>17349237.515245922</v>
      </c>
      <c r="AA301" s="1210">
        <f t="shared" si="134"/>
        <v>17349237.515245922</v>
      </c>
      <c r="AB301" s="1210">
        <f t="shared" si="134"/>
        <v>17528297.593404461</v>
      </c>
      <c r="AC301" s="1210">
        <f t="shared" si="134"/>
        <v>17528297.593404461</v>
      </c>
      <c r="AD301" s="1210">
        <f t="shared" si="134"/>
        <v>17528297.593404461</v>
      </c>
      <c r="AE301" s="1210">
        <f t="shared" si="134"/>
        <v>17528297.593404461</v>
      </c>
      <c r="AF301" s="1210">
        <f t="shared" si="134"/>
        <v>17528297.593404461</v>
      </c>
      <c r="AG301" s="1210">
        <f t="shared" si="134"/>
        <v>17528297.593404461</v>
      </c>
      <c r="AH301" s="1210">
        <f t="shared" si="134"/>
        <v>17528297.593404461</v>
      </c>
      <c r="AI301" s="1210">
        <f t="shared" si="134"/>
        <v>17528297.593404461</v>
      </c>
      <c r="AJ301" s="1210">
        <f t="shared" si="134"/>
        <v>17528297.593404461</v>
      </c>
      <c r="AK301" s="1210">
        <f t="shared" si="134"/>
        <v>17528297.593404461</v>
      </c>
      <c r="AL301" s="1210">
        <f t="shared" si="134"/>
        <v>17528297.593404461</v>
      </c>
      <c r="AM301" s="1210">
        <f t="shared" si="134"/>
        <v>17528297.593404461</v>
      </c>
      <c r="AN301" s="1210">
        <f t="shared" si="134"/>
        <v>17528297.593404461</v>
      </c>
      <c r="AO301" s="1210">
        <f t="shared" si="134"/>
        <v>17528297.593404461</v>
      </c>
      <c r="AP301" s="1210">
        <f t="shared" si="134"/>
        <v>17528297.593404461</v>
      </c>
      <c r="AQ301" s="1210">
        <f t="shared" si="134"/>
        <v>17528297.593404461</v>
      </c>
      <c r="AR301" s="1210">
        <f t="shared" si="134"/>
        <v>17528297.593404461</v>
      </c>
      <c r="AS301" s="1210">
        <f t="shared" si="134"/>
        <v>17528297.593404461</v>
      </c>
      <c r="AT301" s="1210">
        <f t="shared" si="134"/>
        <v>17528297.593404461</v>
      </c>
      <c r="AU301" s="1210">
        <f t="shared" si="134"/>
        <v>17528297.593404461</v>
      </c>
      <c r="AV301" s="1228"/>
      <c r="AW301" s="1228"/>
      <c r="AX301" s="1228"/>
      <c r="AY301" s="1228"/>
    </row>
    <row r="302" spans="3:51" s="1208" customFormat="1" ht="15.75" customHeight="1" outlineLevel="1">
      <c r="C302" s="1222" t="s">
        <v>964</v>
      </c>
      <c r="L302" s="743"/>
      <c r="M302" s="743"/>
      <c r="R302" s="1210"/>
      <c r="S302" s="1210"/>
      <c r="T302" s="1210"/>
      <c r="U302" s="1210">
        <f t="shared" si="120"/>
        <v>0</v>
      </c>
      <c r="V302" s="1210"/>
      <c r="W302" s="1210"/>
      <c r="X302" s="1210"/>
      <c r="Y302" s="1210"/>
      <c r="Z302" s="1210"/>
      <c r="AA302" s="1210"/>
      <c r="AB302" s="1210"/>
      <c r="AC302" s="1210"/>
      <c r="AD302" s="1210"/>
      <c r="AE302" s="1210"/>
      <c r="AF302" s="1210"/>
      <c r="AG302" s="1210"/>
      <c r="AH302" s="1210"/>
      <c r="AI302" s="1210"/>
      <c r="AJ302" s="1210"/>
      <c r="AK302" s="1210"/>
      <c r="AL302" s="1210"/>
      <c r="AM302" s="1210"/>
      <c r="AN302" s="1210"/>
      <c r="AO302" s="1210"/>
      <c r="AP302" s="1210"/>
      <c r="AQ302" s="1210"/>
      <c r="AR302" s="1210"/>
      <c r="AS302" s="1210"/>
      <c r="AT302" s="1210"/>
      <c r="AU302" s="1210"/>
      <c r="AV302" s="1228"/>
      <c r="AW302" s="1228"/>
      <c r="AX302" s="1228"/>
      <c r="AY302" s="1228"/>
    </row>
    <row r="303" spans="3:51" s="1208" customFormat="1" ht="15.75" customHeight="1" outlineLevel="1">
      <c r="C303" s="314" t="s">
        <v>969</v>
      </c>
      <c r="L303" s="743"/>
      <c r="M303" s="743"/>
      <c r="R303" s="337">
        <f>R18/2204.63</f>
        <v>9.9789987435533387</v>
      </c>
      <c r="S303" s="337"/>
      <c r="T303" s="337">
        <f>T18/2204.63</f>
        <v>11.339771299492432</v>
      </c>
      <c r="U303" s="337">
        <f t="shared" si="120"/>
        <v>11.339771299492432</v>
      </c>
      <c r="V303" s="337">
        <f t="shared" ref="V303:AU303" si="135">V18/2204.63</f>
        <v>11.339771299492432</v>
      </c>
      <c r="W303" s="337">
        <f t="shared" si="135"/>
        <v>11.339771299492432</v>
      </c>
      <c r="X303" s="337">
        <f t="shared" si="135"/>
        <v>11.339771299492432</v>
      </c>
      <c r="Y303" s="337">
        <f t="shared" si="135"/>
        <v>11.339771299492432</v>
      </c>
      <c r="Z303" s="337">
        <f t="shared" si="135"/>
        <v>11.339771299492432</v>
      </c>
      <c r="AA303" s="337">
        <f t="shared" si="135"/>
        <v>11.339771299492432</v>
      </c>
      <c r="AB303" s="337">
        <f t="shared" si="135"/>
        <v>11.339771299492432</v>
      </c>
      <c r="AC303" s="337">
        <f t="shared" si="135"/>
        <v>11.339771299492432</v>
      </c>
      <c r="AD303" s="337">
        <f t="shared" si="135"/>
        <v>11.339771299492432</v>
      </c>
      <c r="AE303" s="337">
        <f t="shared" si="135"/>
        <v>11.339771299492432</v>
      </c>
      <c r="AF303" s="337">
        <f t="shared" si="135"/>
        <v>11.339771299492432</v>
      </c>
      <c r="AG303" s="337">
        <f t="shared" si="135"/>
        <v>11.339771299492432</v>
      </c>
      <c r="AH303" s="337">
        <f t="shared" si="135"/>
        <v>11.339771299492432</v>
      </c>
      <c r="AI303" s="337">
        <f t="shared" si="135"/>
        <v>11.339771299492432</v>
      </c>
      <c r="AJ303" s="337">
        <f t="shared" si="135"/>
        <v>11.339771299492432</v>
      </c>
      <c r="AK303" s="337">
        <f t="shared" si="135"/>
        <v>11.339771299492432</v>
      </c>
      <c r="AL303" s="337">
        <f t="shared" si="135"/>
        <v>11.339771299492432</v>
      </c>
      <c r="AM303" s="337">
        <f t="shared" si="135"/>
        <v>11.339771299492432</v>
      </c>
      <c r="AN303" s="337">
        <f t="shared" si="135"/>
        <v>11.339771299492432</v>
      </c>
      <c r="AO303" s="337">
        <f t="shared" si="135"/>
        <v>11.339771299492432</v>
      </c>
      <c r="AP303" s="337">
        <f t="shared" si="135"/>
        <v>11.339771299492432</v>
      </c>
      <c r="AQ303" s="337">
        <f t="shared" si="135"/>
        <v>11.339771299492432</v>
      </c>
      <c r="AR303" s="337">
        <f t="shared" si="135"/>
        <v>11.339771299492432</v>
      </c>
      <c r="AS303" s="337">
        <f t="shared" si="135"/>
        <v>11.339771299492432</v>
      </c>
      <c r="AT303" s="337">
        <f t="shared" si="135"/>
        <v>11.339771299492432</v>
      </c>
      <c r="AU303" s="337">
        <f t="shared" si="135"/>
        <v>11.339771299492432</v>
      </c>
      <c r="AV303" s="1228"/>
      <c r="AW303" s="1228"/>
      <c r="AX303" s="1228"/>
      <c r="AY303" s="1228"/>
    </row>
    <row r="304" spans="3:51" s="1208" customFormat="1" ht="15.75" customHeight="1" outlineLevel="1">
      <c r="C304" s="594" t="s">
        <v>970</v>
      </c>
      <c r="L304" s="743"/>
      <c r="M304" s="743"/>
      <c r="R304" s="873">
        <f>R167</f>
        <v>180010.69201069203</v>
      </c>
      <c r="S304" s="873"/>
      <c r="T304" s="873">
        <f>T167</f>
        <v>180010.69201069203</v>
      </c>
      <c r="U304" s="873">
        <f t="shared" si="120"/>
        <v>180010.69201069203</v>
      </c>
      <c r="V304" s="873">
        <f t="shared" ref="V304:AU304" si="136">V167</f>
        <v>1255353.8888296171</v>
      </c>
      <c r="W304" s="873">
        <f t="shared" si="136"/>
        <v>1461713.4321988693</v>
      </c>
      <c r="X304" s="873">
        <f t="shared" si="136"/>
        <v>1461713.4321988693</v>
      </c>
      <c r="Y304" s="873">
        <f t="shared" si="136"/>
        <v>1461713.4321988693</v>
      </c>
      <c r="Z304" s="873">
        <f t="shared" si="136"/>
        <v>1461713.4321988693</v>
      </c>
      <c r="AA304" s="873">
        <f t="shared" si="136"/>
        <v>1461713.4321988693</v>
      </c>
      <c r="AB304" s="873">
        <f t="shared" si="136"/>
        <v>1461713.4321988693</v>
      </c>
      <c r="AC304" s="873">
        <f t="shared" si="136"/>
        <v>1461713.4321988693</v>
      </c>
      <c r="AD304" s="873">
        <f t="shared" si="136"/>
        <v>1461713.4321988693</v>
      </c>
      <c r="AE304" s="873">
        <f t="shared" si="136"/>
        <v>1461713.4321988693</v>
      </c>
      <c r="AF304" s="873">
        <f t="shared" si="136"/>
        <v>1461713.4321988693</v>
      </c>
      <c r="AG304" s="873">
        <f t="shared" si="136"/>
        <v>1461713.4321988693</v>
      </c>
      <c r="AH304" s="873">
        <f t="shared" si="136"/>
        <v>1461713.4321988693</v>
      </c>
      <c r="AI304" s="873">
        <f t="shared" si="136"/>
        <v>1461713.4321988693</v>
      </c>
      <c r="AJ304" s="873">
        <f t="shared" si="136"/>
        <v>1461713.4321988693</v>
      </c>
      <c r="AK304" s="873">
        <f t="shared" si="136"/>
        <v>1461713.4321988693</v>
      </c>
      <c r="AL304" s="873">
        <f t="shared" si="136"/>
        <v>1461713.4321988693</v>
      </c>
      <c r="AM304" s="873">
        <f t="shared" si="136"/>
        <v>1461713.4321988693</v>
      </c>
      <c r="AN304" s="873">
        <f t="shared" si="136"/>
        <v>1461713.4321988693</v>
      </c>
      <c r="AO304" s="873">
        <f t="shared" si="136"/>
        <v>1461713.4321988693</v>
      </c>
      <c r="AP304" s="873">
        <f t="shared" si="136"/>
        <v>1461713.4321988693</v>
      </c>
      <c r="AQ304" s="873">
        <f t="shared" si="136"/>
        <v>1461713.4321988693</v>
      </c>
      <c r="AR304" s="873">
        <f t="shared" si="136"/>
        <v>1461713.4321988693</v>
      </c>
      <c r="AS304" s="873">
        <f t="shared" si="136"/>
        <v>1461713.4321988693</v>
      </c>
      <c r="AT304" s="873">
        <f t="shared" si="136"/>
        <v>1461713.4321988693</v>
      </c>
      <c r="AU304" s="873">
        <f t="shared" si="136"/>
        <v>1461713.4321988693</v>
      </c>
      <c r="AV304" s="1228"/>
      <c r="AW304" s="1228"/>
      <c r="AX304" s="1228"/>
      <c r="AY304" s="1228"/>
    </row>
    <row r="305" spans="3:51" s="214" customFormat="1" ht="15.75" customHeight="1" outlineLevel="1">
      <c r="C305" s="314" t="s">
        <v>971</v>
      </c>
      <c r="L305" s="215"/>
      <c r="M305" s="215"/>
      <c r="R305" s="873">
        <v>70</v>
      </c>
      <c r="S305" s="873"/>
      <c r="T305" s="873">
        <v>70</v>
      </c>
      <c r="U305" s="873">
        <f t="shared" si="120"/>
        <v>70</v>
      </c>
      <c r="V305" s="873">
        <v>70</v>
      </c>
      <c r="W305" s="873">
        <v>70</v>
      </c>
      <c r="X305" s="873">
        <v>70</v>
      </c>
      <c r="Y305" s="873">
        <v>70</v>
      </c>
      <c r="Z305" s="873">
        <v>70</v>
      </c>
      <c r="AA305" s="873">
        <v>70</v>
      </c>
      <c r="AB305" s="873">
        <v>70</v>
      </c>
      <c r="AC305" s="873">
        <v>70</v>
      </c>
      <c r="AD305" s="873">
        <v>70</v>
      </c>
      <c r="AE305" s="873">
        <v>70</v>
      </c>
      <c r="AF305" s="873">
        <v>70</v>
      </c>
      <c r="AG305" s="873">
        <v>70</v>
      </c>
      <c r="AH305" s="873">
        <v>70</v>
      </c>
      <c r="AI305" s="873">
        <v>70</v>
      </c>
      <c r="AJ305" s="873">
        <v>70</v>
      </c>
      <c r="AK305" s="873">
        <v>70</v>
      </c>
      <c r="AL305" s="873">
        <v>70</v>
      </c>
      <c r="AM305" s="873">
        <v>70</v>
      </c>
      <c r="AN305" s="873">
        <v>70</v>
      </c>
      <c r="AO305" s="873">
        <v>70</v>
      </c>
      <c r="AP305" s="873">
        <v>70</v>
      </c>
      <c r="AQ305" s="873">
        <v>70</v>
      </c>
      <c r="AR305" s="873">
        <v>70</v>
      </c>
      <c r="AS305" s="873">
        <v>70</v>
      </c>
      <c r="AT305" s="873">
        <v>70</v>
      </c>
      <c r="AU305" s="873">
        <v>70</v>
      </c>
      <c r="AV305" s="408"/>
      <c r="AW305" s="408"/>
      <c r="AX305" s="408"/>
      <c r="AY305" s="408"/>
    </row>
    <row r="306" spans="3:51" s="1208" customFormat="1" ht="15.75" customHeight="1" outlineLevel="1">
      <c r="C306" s="728" t="s">
        <v>972</v>
      </c>
      <c r="L306" s="743"/>
      <c r="M306" s="743"/>
      <c r="R306" s="1210" t="b">
        <f>IF(R304&gt;65%*R298,IF(R303&lt;2.5,0,IF(R303&gt;7,R304*(R305/100)*(3.5+(0.25*(R303-7))),R304*(R305/100)*(0.5*R303))))</f>
        <v>0</v>
      </c>
      <c r="S306" s="1210"/>
      <c r="T306" s="1210" t="b">
        <f>IF(T304&gt;65%*T298,IF(T303&lt;2.5,0,IF(T303&gt;7,T304*(T305/100)*(3.5+(0.25*(T303-7))),T304*(T305/100)*(0.5*T303))))</f>
        <v>0</v>
      </c>
      <c r="U306" s="1210" t="b">
        <f t="shared" si="120"/>
        <v>0</v>
      </c>
      <c r="V306" s="1210">
        <f t="shared" ref="V306:AU306" si="137">IF(V304&gt;65%*V298,IF(V303&lt;2.5,0,IF(V303&gt;7,V304*(V305/100)*(3.5+(0.25*(V303-7))),V304*(V305/100)*(0.5*V303))))</f>
        <v>4029008.0636861343</v>
      </c>
      <c r="W306" s="1210">
        <f t="shared" si="137"/>
        <v>4691310.7590865949</v>
      </c>
      <c r="X306" s="1210">
        <f t="shared" si="137"/>
        <v>4691310.7590865949</v>
      </c>
      <c r="Y306" s="1210">
        <f t="shared" si="137"/>
        <v>4691310.7590865949</v>
      </c>
      <c r="Z306" s="1210">
        <f t="shared" si="137"/>
        <v>4691310.7590865949</v>
      </c>
      <c r="AA306" s="1210">
        <f t="shared" si="137"/>
        <v>4691310.7590865949</v>
      </c>
      <c r="AB306" s="1210">
        <f t="shared" si="137"/>
        <v>4691310.7590865949</v>
      </c>
      <c r="AC306" s="1210">
        <f t="shared" si="137"/>
        <v>4691310.7590865949</v>
      </c>
      <c r="AD306" s="1210">
        <f t="shared" si="137"/>
        <v>4691310.7590865949</v>
      </c>
      <c r="AE306" s="1210">
        <f t="shared" si="137"/>
        <v>4691310.7590865949</v>
      </c>
      <c r="AF306" s="1210">
        <f t="shared" si="137"/>
        <v>4691310.7590865949</v>
      </c>
      <c r="AG306" s="1210">
        <f t="shared" si="137"/>
        <v>4691310.7590865949</v>
      </c>
      <c r="AH306" s="1210">
        <f t="shared" si="137"/>
        <v>4691310.7590865949</v>
      </c>
      <c r="AI306" s="1210">
        <f t="shared" si="137"/>
        <v>4691310.7590865949</v>
      </c>
      <c r="AJ306" s="1210">
        <f t="shared" si="137"/>
        <v>4691310.7590865949</v>
      </c>
      <c r="AK306" s="1210">
        <f t="shared" si="137"/>
        <v>4691310.7590865949</v>
      </c>
      <c r="AL306" s="1210">
        <f t="shared" si="137"/>
        <v>4691310.7590865949</v>
      </c>
      <c r="AM306" s="1210">
        <f t="shared" si="137"/>
        <v>4691310.7590865949</v>
      </c>
      <c r="AN306" s="1210">
        <f t="shared" si="137"/>
        <v>4691310.7590865949</v>
      </c>
      <c r="AO306" s="1210">
        <f t="shared" si="137"/>
        <v>4691310.7590865949</v>
      </c>
      <c r="AP306" s="1210">
        <f t="shared" si="137"/>
        <v>4691310.7590865949</v>
      </c>
      <c r="AQ306" s="1210">
        <f t="shared" si="137"/>
        <v>4691310.7590865949</v>
      </c>
      <c r="AR306" s="1210">
        <f t="shared" si="137"/>
        <v>4691310.7590865949</v>
      </c>
      <c r="AS306" s="1210">
        <f t="shared" si="137"/>
        <v>4691310.7590865949</v>
      </c>
      <c r="AT306" s="1210">
        <f t="shared" si="137"/>
        <v>4691310.7590865949</v>
      </c>
      <c r="AU306" s="1210">
        <f t="shared" si="137"/>
        <v>4691310.7590865949</v>
      </c>
      <c r="AV306" s="1228"/>
      <c r="AW306" s="1228"/>
      <c r="AX306" s="1228"/>
      <c r="AY306" s="1228"/>
    </row>
    <row r="307" spans="3:51" s="214" customFormat="1" ht="15.75" customHeight="1" outlineLevel="1">
      <c r="C307" s="1222" t="s">
        <v>1179</v>
      </c>
      <c r="L307" s="215"/>
      <c r="M307" s="215"/>
      <c r="R307" s="873"/>
      <c r="S307" s="873"/>
      <c r="T307" s="873"/>
      <c r="U307" s="873">
        <f t="shared" si="120"/>
        <v>0</v>
      </c>
      <c r="V307" s="873"/>
      <c r="W307" s="873"/>
      <c r="X307" s="873"/>
      <c r="Y307" s="873"/>
      <c r="Z307" s="873"/>
      <c r="AA307" s="873"/>
      <c r="AB307" s="873"/>
      <c r="AC307" s="873"/>
      <c r="AD307" s="873"/>
      <c r="AE307" s="873"/>
      <c r="AF307" s="873"/>
      <c r="AG307" s="873"/>
      <c r="AH307" s="873"/>
      <c r="AI307" s="873"/>
      <c r="AJ307" s="873"/>
      <c r="AK307" s="873"/>
      <c r="AL307" s="873"/>
      <c r="AM307" s="873"/>
      <c r="AN307" s="873"/>
      <c r="AO307" s="873"/>
      <c r="AP307" s="873"/>
      <c r="AQ307" s="873"/>
      <c r="AR307" s="873"/>
      <c r="AS307" s="873"/>
      <c r="AT307" s="873"/>
      <c r="AU307" s="873"/>
      <c r="AV307" s="408"/>
      <c r="AW307" s="408"/>
      <c r="AX307" s="408"/>
      <c r="AY307" s="408"/>
    </row>
    <row r="308" spans="3:51" s="214" customFormat="1" ht="15.75" customHeight="1" outlineLevel="1">
      <c r="C308" s="1222" t="s">
        <v>1945</v>
      </c>
      <c r="L308" s="215"/>
      <c r="M308" s="215"/>
      <c r="R308" s="873">
        <f>R23-R301-R289-R239</f>
        <v>63725590.034179777</v>
      </c>
      <c r="S308" s="873"/>
      <c r="T308" s="873">
        <f>T23-T301-T289-T239</f>
        <v>71540239.041465819</v>
      </c>
      <c r="U308" s="873">
        <f t="shared" si="120"/>
        <v>71540239.041465819</v>
      </c>
      <c r="V308" s="873">
        <f t="shared" ref="V308:AU308" si="138">V23-V301-V289-V239</f>
        <v>505282168.50965518</v>
      </c>
      <c r="W308" s="873">
        <f t="shared" si="138"/>
        <v>588517722.3030231</v>
      </c>
      <c r="X308" s="873">
        <f t="shared" si="138"/>
        <v>588517722.3030231</v>
      </c>
      <c r="Y308" s="873">
        <f t="shared" si="138"/>
        <v>588517722.3030231</v>
      </c>
      <c r="Z308" s="873">
        <f t="shared" si="138"/>
        <v>588517722.3030231</v>
      </c>
      <c r="AA308" s="873">
        <f t="shared" si="138"/>
        <v>588517722.3030231</v>
      </c>
      <c r="AB308" s="873">
        <f t="shared" si="138"/>
        <v>594650692.76184237</v>
      </c>
      <c r="AC308" s="873">
        <f t="shared" si="138"/>
        <v>594650692.76184237</v>
      </c>
      <c r="AD308" s="873">
        <f t="shared" si="138"/>
        <v>594650692.76184237</v>
      </c>
      <c r="AE308" s="873">
        <f t="shared" si="138"/>
        <v>594650692.76184237</v>
      </c>
      <c r="AF308" s="873">
        <f t="shared" si="138"/>
        <v>594650692.76184237</v>
      </c>
      <c r="AG308" s="873">
        <f t="shared" si="138"/>
        <v>594650692.76184237</v>
      </c>
      <c r="AH308" s="873">
        <f t="shared" si="138"/>
        <v>594650692.76184237</v>
      </c>
      <c r="AI308" s="873">
        <f t="shared" si="138"/>
        <v>594650692.76184237</v>
      </c>
      <c r="AJ308" s="873">
        <f t="shared" si="138"/>
        <v>594650692.76184237</v>
      </c>
      <c r="AK308" s="873">
        <f t="shared" si="138"/>
        <v>594650692.76184237</v>
      </c>
      <c r="AL308" s="873">
        <f t="shared" si="138"/>
        <v>594650692.76184237</v>
      </c>
      <c r="AM308" s="873">
        <f t="shared" si="138"/>
        <v>594650692.76184237</v>
      </c>
      <c r="AN308" s="873">
        <f t="shared" si="138"/>
        <v>594650692.76184237</v>
      </c>
      <c r="AO308" s="873">
        <f t="shared" si="138"/>
        <v>594650692.76184237</v>
      </c>
      <c r="AP308" s="873">
        <f t="shared" si="138"/>
        <v>594650692.76184237</v>
      </c>
      <c r="AQ308" s="873">
        <f t="shared" si="138"/>
        <v>594650692.76184237</v>
      </c>
      <c r="AR308" s="873">
        <f t="shared" si="138"/>
        <v>594650692.76184237</v>
      </c>
      <c r="AS308" s="873">
        <f t="shared" si="138"/>
        <v>594650692.76184237</v>
      </c>
      <c r="AT308" s="873">
        <f t="shared" si="138"/>
        <v>594650692.76184237</v>
      </c>
      <c r="AU308" s="873">
        <f t="shared" si="138"/>
        <v>594650692.76184237</v>
      </c>
      <c r="AV308" s="408"/>
      <c r="AW308" s="408"/>
      <c r="AX308" s="408"/>
      <c r="AY308" s="408"/>
    </row>
    <row r="309" spans="3:51" s="214" customFormat="1" ht="15.75" customHeight="1" outlineLevel="1">
      <c r="C309" s="314" t="s">
        <v>1946</v>
      </c>
      <c r="L309" s="215"/>
      <c r="M309" s="215"/>
      <c r="R309" s="873" t="b">
        <f>IF(R304&gt;65%*R298,R308*70%*2%)</f>
        <v>0</v>
      </c>
      <c r="S309" s="873"/>
      <c r="T309" s="873" t="b">
        <f>IF(T304&gt;65%*T298,T308*70%*2%)</f>
        <v>0</v>
      </c>
      <c r="U309" s="873" t="b">
        <f t="shared" si="120"/>
        <v>0</v>
      </c>
      <c r="V309" s="873">
        <f t="shared" ref="V309:AU309" si="139">IF(V304&gt;65%*V298,V308*70%*2%)</f>
        <v>7073950.3591351723</v>
      </c>
      <c r="W309" s="873">
        <f t="shared" si="139"/>
        <v>8239248.1122423233</v>
      </c>
      <c r="X309" s="873">
        <f t="shared" si="139"/>
        <v>8239248.1122423233</v>
      </c>
      <c r="Y309" s="873">
        <f t="shared" si="139"/>
        <v>8239248.1122423233</v>
      </c>
      <c r="Z309" s="873">
        <f t="shared" si="139"/>
        <v>8239248.1122423233</v>
      </c>
      <c r="AA309" s="873">
        <f t="shared" si="139"/>
        <v>8239248.1122423233</v>
      </c>
      <c r="AB309" s="873">
        <f t="shared" si="139"/>
        <v>8325109.6986657931</v>
      </c>
      <c r="AC309" s="873">
        <f t="shared" si="139"/>
        <v>8325109.6986657931</v>
      </c>
      <c r="AD309" s="873">
        <f t="shared" si="139"/>
        <v>8325109.6986657931</v>
      </c>
      <c r="AE309" s="873">
        <f t="shared" si="139"/>
        <v>8325109.6986657931</v>
      </c>
      <c r="AF309" s="873">
        <f t="shared" si="139"/>
        <v>8325109.6986657931</v>
      </c>
      <c r="AG309" s="873">
        <f t="shared" si="139"/>
        <v>8325109.6986657931</v>
      </c>
      <c r="AH309" s="873">
        <f t="shared" si="139"/>
        <v>8325109.6986657931</v>
      </c>
      <c r="AI309" s="873">
        <f t="shared" si="139"/>
        <v>8325109.6986657931</v>
      </c>
      <c r="AJ309" s="873">
        <f t="shared" si="139"/>
        <v>8325109.6986657931</v>
      </c>
      <c r="AK309" s="873">
        <f t="shared" si="139"/>
        <v>8325109.6986657931</v>
      </c>
      <c r="AL309" s="873">
        <f t="shared" si="139"/>
        <v>8325109.6986657931</v>
      </c>
      <c r="AM309" s="873">
        <f t="shared" si="139"/>
        <v>8325109.6986657931</v>
      </c>
      <c r="AN309" s="873">
        <f t="shared" si="139"/>
        <v>8325109.6986657931</v>
      </c>
      <c r="AO309" s="873">
        <f t="shared" si="139"/>
        <v>8325109.6986657931</v>
      </c>
      <c r="AP309" s="873">
        <f t="shared" si="139"/>
        <v>8325109.6986657931</v>
      </c>
      <c r="AQ309" s="873">
        <f t="shared" si="139"/>
        <v>8325109.6986657931</v>
      </c>
      <c r="AR309" s="873">
        <f t="shared" si="139"/>
        <v>8325109.6986657931</v>
      </c>
      <c r="AS309" s="873">
        <f t="shared" si="139"/>
        <v>8325109.6986657931</v>
      </c>
      <c r="AT309" s="873">
        <f t="shared" si="139"/>
        <v>8325109.6986657931</v>
      </c>
      <c r="AU309" s="873">
        <f t="shared" si="139"/>
        <v>8325109.6986657931</v>
      </c>
      <c r="AV309" s="408">
        <v>0</v>
      </c>
      <c r="AW309" s="408">
        <v>0</v>
      </c>
      <c r="AX309" s="408">
        <v>0</v>
      </c>
      <c r="AY309" s="408">
        <v>0</v>
      </c>
    </row>
    <row r="310" spans="3:51" s="214" customFormat="1" ht="15.75" customHeight="1" outlineLevel="1">
      <c r="C310" s="314" t="s">
        <v>1947</v>
      </c>
      <c r="L310" s="215"/>
      <c r="M310" s="215"/>
      <c r="R310" s="873" t="b">
        <f t="shared" ref="R310:AU310" si="140">IF(R304&gt;65%*R298,IF(R393&gt;0,R308*70%*6%,0))</f>
        <v>0</v>
      </c>
      <c r="S310" s="873"/>
      <c r="T310" s="873" t="b">
        <f>IF(T304&gt;65%*T298,IF(T393&gt;0,T308*70%*6%,0))</f>
        <v>0</v>
      </c>
      <c r="U310" s="873" t="b">
        <f t="shared" si="120"/>
        <v>0</v>
      </c>
      <c r="V310" s="873">
        <f t="shared" si="140"/>
        <v>0</v>
      </c>
      <c r="W310" s="873">
        <f t="shared" si="140"/>
        <v>24717744.336726967</v>
      </c>
      <c r="X310" s="873">
        <f t="shared" si="140"/>
        <v>24717744.336726967</v>
      </c>
      <c r="Y310" s="873">
        <f t="shared" si="140"/>
        <v>24717744.336726967</v>
      </c>
      <c r="Z310" s="873">
        <f t="shared" si="140"/>
        <v>24717744.336726967</v>
      </c>
      <c r="AA310" s="873">
        <f t="shared" si="140"/>
        <v>24717744.336726967</v>
      </c>
      <c r="AB310" s="873">
        <f t="shared" si="140"/>
        <v>24975329.095997378</v>
      </c>
      <c r="AC310" s="873">
        <f t="shared" si="140"/>
        <v>24975329.095997378</v>
      </c>
      <c r="AD310" s="873">
        <f t="shared" si="140"/>
        <v>24975329.095997378</v>
      </c>
      <c r="AE310" s="873">
        <f t="shared" si="140"/>
        <v>24975329.095997378</v>
      </c>
      <c r="AF310" s="873">
        <f t="shared" si="140"/>
        <v>24975329.095997378</v>
      </c>
      <c r="AG310" s="873">
        <f t="shared" si="140"/>
        <v>24975329.095997378</v>
      </c>
      <c r="AH310" s="873">
        <f t="shared" si="140"/>
        <v>24975329.095997378</v>
      </c>
      <c r="AI310" s="873">
        <f t="shared" si="140"/>
        <v>24975329.095997378</v>
      </c>
      <c r="AJ310" s="873">
        <f t="shared" si="140"/>
        <v>24975329.095997378</v>
      </c>
      <c r="AK310" s="873">
        <f t="shared" si="140"/>
        <v>24975329.095997378</v>
      </c>
      <c r="AL310" s="873">
        <f t="shared" si="140"/>
        <v>24975329.095997378</v>
      </c>
      <c r="AM310" s="873">
        <f t="shared" si="140"/>
        <v>24975329.095997378</v>
      </c>
      <c r="AN310" s="873">
        <f t="shared" si="140"/>
        <v>24975329.095997378</v>
      </c>
      <c r="AO310" s="873">
        <f t="shared" si="140"/>
        <v>24975329.095997378</v>
      </c>
      <c r="AP310" s="873">
        <f t="shared" si="140"/>
        <v>24975329.095997378</v>
      </c>
      <c r="AQ310" s="873">
        <f t="shared" si="140"/>
        <v>24975329.095997378</v>
      </c>
      <c r="AR310" s="873">
        <f t="shared" si="140"/>
        <v>24975329.095997378</v>
      </c>
      <c r="AS310" s="873">
        <f t="shared" si="140"/>
        <v>24975329.095997378</v>
      </c>
      <c r="AT310" s="873">
        <f t="shared" si="140"/>
        <v>24975329.095997378</v>
      </c>
      <c r="AU310" s="873">
        <f t="shared" si="140"/>
        <v>24975329.095997378</v>
      </c>
      <c r="AV310" s="408">
        <v>22402.093049406343</v>
      </c>
      <c r="AW310" s="408">
        <v>22927.75157055715</v>
      </c>
      <c r="AX310" s="408">
        <v>23163.705507007897</v>
      </c>
      <c r="AY310" s="408">
        <v>12562.535969758017</v>
      </c>
    </row>
    <row r="311" spans="3:51" s="1208" customFormat="1" ht="15.75" customHeight="1" outlineLevel="1">
      <c r="C311" s="728" t="s">
        <v>1948</v>
      </c>
      <c r="L311" s="743"/>
      <c r="M311" s="743"/>
      <c r="R311" s="1210">
        <f>R309+R310</f>
        <v>0</v>
      </c>
      <c r="S311" s="1210"/>
      <c r="T311" s="1210">
        <f>T309+T310</f>
        <v>0</v>
      </c>
      <c r="U311" s="1210">
        <f t="shared" si="120"/>
        <v>0</v>
      </c>
      <c r="V311" s="1210">
        <f t="shared" ref="V311:AU311" si="141">V309+V310</f>
        <v>7073950.3591351723</v>
      </c>
      <c r="W311" s="1210">
        <f t="shared" si="141"/>
        <v>32956992.44896929</v>
      </c>
      <c r="X311" s="1210">
        <f t="shared" si="141"/>
        <v>32956992.44896929</v>
      </c>
      <c r="Y311" s="1210">
        <f t="shared" si="141"/>
        <v>32956992.44896929</v>
      </c>
      <c r="Z311" s="1210">
        <f t="shared" si="141"/>
        <v>32956992.44896929</v>
      </c>
      <c r="AA311" s="1210">
        <f t="shared" si="141"/>
        <v>32956992.44896929</v>
      </c>
      <c r="AB311" s="1210">
        <f t="shared" si="141"/>
        <v>33300438.794663172</v>
      </c>
      <c r="AC311" s="1210">
        <f t="shared" si="141"/>
        <v>33300438.794663172</v>
      </c>
      <c r="AD311" s="1210">
        <f t="shared" si="141"/>
        <v>33300438.794663172</v>
      </c>
      <c r="AE311" s="1210">
        <f t="shared" si="141"/>
        <v>33300438.794663172</v>
      </c>
      <c r="AF311" s="1210">
        <f t="shared" si="141"/>
        <v>33300438.794663172</v>
      </c>
      <c r="AG311" s="1210">
        <f t="shared" si="141"/>
        <v>33300438.794663172</v>
      </c>
      <c r="AH311" s="1210">
        <f t="shared" si="141"/>
        <v>33300438.794663172</v>
      </c>
      <c r="AI311" s="1210">
        <f t="shared" si="141"/>
        <v>33300438.794663172</v>
      </c>
      <c r="AJ311" s="1210">
        <f t="shared" si="141"/>
        <v>33300438.794663172</v>
      </c>
      <c r="AK311" s="1210">
        <f t="shared" si="141"/>
        <v>33300438.794663172</v>
      </c>
      <c r="AL311" s="1210">
        <f t="shared" si="141"/>
        <v>33300438.794663172</v>
      </c>
      <c r="AM311" s="1210">
        <f t="shared" si="141"/>
        <v>33300438.794663172</v>
      </c>
      <c r="AN311" s="1210">
        <f t="shared" si="141"/>
        <v>33300438.794663172</v>
      </c>
      <c r="AO311" s="1210">
        <f t="shared" si="141"/>
        <v>33300438.794663172</v>
      </c>
      <c r="AP311" s="1210">
        <f t="shared" si="141"/>
        <v>33300438.794663172</v>
      </c>
      <c r="AQ311" s="1210">
        <f t="shared" si="141"/>
        <v>33300438.794663172</v>
      </c>
      <c r="AR311" s="1210">
        <f t="shared" si="141"/>
        <v>33300438.794663172</v>
      </c>
      <c r="AS311" s="1210">
        <f t="shared" si="141"/>
        <v>33300438.794663172</v>
      </c>
      <c r="AT311" s="1210">
        <f t="shared" si="141"/>
        <v>33300438.794663172</v>
      </c>
      <c r="AU311" s="1210">
        <f t="shared" si="141"/>
        <v>33300438.794663172</v>
      </c>
      <c r="AV311" s="1228"/>
      <c r="AW311" s="1228"/>
      <c r="AX311" s="1228"/>
      <c r="AY311" s="1228"/>
    </row>
    <row r="312" spans="3:51" s="214" customFormat="1" ht="15.75" customHeight="1" outlineLevel="1">
      <c r="C312" s="1222"/>
      <c r="L312" s="215"/>
      <c r="M312" s="215"/>
      <c r="R312" s="873"/>
      <c r="S312" s="873"/>
      <c r="T312" s="873"/>
      <c r="U312" s="873">
        <f t="shared" si="120"/>
        <v>0</v>
      </c>
      <c r="V312" s="873"/>
      <c r="W312" s="873"/>
      <c r="X312" s="873"/>
      <c r="Y312" s="873"/>
      <c r="Z312" s="873"/>
      <c r="AA312" s="873"/>
      <c r="AB312" s="873"/>
      <c r="AC312" s="873"/>
      <c r="AD312" s="873"/>
      <c r="AE312" s="873"/>
      <c r="AF312" s="873"/>
      <c r="AG312" s="873"/>
      <c r="AH312" s="873"/>
      <c r="AI312" s="873"/>
      <c r="AJ312" s="873"/>
      <c r="AK312" s="873"/>
      <c r="AL312" s="873"/>
      <c r="AM312" s="873"/>
      <c r="AN312" s="873"/>
      <c r="AO312" s="873"/>
      <c r="AP312" s="873"/>
      <c r="AQ312" s="873"/>
      <c r="AR312" s="873"/>
      <c r="AS312" s="873"/>
      <c r="AT312" s="873"/>
      <c r="AU312" s="873"/>
      <c r="AV312" s="408"/>
      <c r="AW312" s="408"/>
      <c r="AX312" s="408"/>
      <c r="AY312" s="408"/>
    </row>
    <row r="313" spans="3:51" s="1208" customFormat="1" ht="15.75" customHeight="1" outlineLevel="1">
      <c r="C313" s="1227" t="s">
        <v>976</v>
      </c>
      <c r="L313" s="743"/>
      <c r="M313" s="743"/>
      <c r="R313" s="1210"/>
      <c r="S313" s="1210"/>
      <c r="T313" s="1210"/>
      <c r="U313" s="1210">
        <f t="shared" si="120"/>
        <v>0</v>
      </c>
      <c r="V313" s="1210"/>
      <c r="W313" s="1210"/>
      <c r="X313" s="1210"/>
      <c r="Y313" s="1210"/>
      <c r="Z313" s="1210"/>
      <c r="AA313" s="1210"/>
      <c r="AB313" s="1210"/>
      <c r="AC313" s="1210"/>
      <c r="AD313" s="1210"/>
      <c r="AE313" s="1210"/>
      <c r="AF313" s="1210"/>
      <c r="AG313" s="1210"/>
      <c r="AH313" s="1210"/>
      <c r="AI313" s="1210"/>
      <c r="AJ313" s="1210"/>
      <c r="AK313" s="1210"/>
      <c r="AL313" s="1210"/>
      <c r="AM313" s="1210"/>
      <c r="AN313" s="1210"/>
      <c r="AO313" s="1210"/>
      <c r="AP313" s="1210"/>
      <c r="AQ313" s="1210"/>
      <c r="AR313" s="1210"/>
      <c r="AS313" s="1210"/>
      <c r="AT313" s="1210"/>
      <c r="AU313" s="1210"/>
      <c r="AV313" s="1228"/>
      <c r="AW313" s="1228"/>
      <c r="AX313" s="1228"/>
      <c r="AY313" s="1228"/>
    </row>
    <row r="314" spans="3:51" s="1208" customFormat="1" ht="15.75" customHeight="1" outlineLevel="1">
      <c r="C314" s="1222" t="s">
        <v>977</v>
      </c>
      <c r="L314" s="743"/>
      <c r="M314" s="743"/>
      <c r="O314" s="873">
        <v>1700000000</v>
      </c>
      <c r="R314" s="1210"/>
      <c r="S314" s="1210"/>
      <c r="T314" s="1210"/>
      <c r="U314" s="1210">
        <f t="shared" si="120"/>
        <v>0</v>
      </c>
      <c r="V314" s="1210"/>
      <c r="W314" s="1210"/>
      <c r="X314" s="1210"/>
      <c r="Y314" s="1210"/>
      <c r="Z314" s="1210"/>
      <c r="AA314" s="1210"/>
      <c r="AB314" s="1210"/>
      <c r="AC314" s="1210"/>
      <c r="AD314" s="1210"/>
      <c r="AE314" s="1210"/>
      <c r="AF314" s="1210"/>
      <c r="AG314" s="1210"/>
      <c r="AH314" s="1210"/>
      <c r="AI314" s="1210"/>
      <c r="AJ314" s="1210"/>
      <c r="AK314" s="1210"/>
      <c r="AL314" s="1210"/>
      <c r="AM314" s="1210"/>
      <c r="AN314" s="1210"/>
      <c r="AO314" s="1210"/>
      <c r="AP314" s="1210"/>
      <c r="AQ314" s="1210"/>
      <c r="AR314" s="1210"/>
      <c r="AS314" s="1210"/>
      <c r="AT314" s="1210"/>
      <c r="AU314" s="1210"/>
      <c r="AV314" s="1228"/>
      <c r="AW314" s="1228"/>
      <c r="AX314" s="1228"/>
      <c r="AY314" s="1228"/>
    </row>
    <row r="315" spans="3:51" s="1208" customFormat="1" ht="15.75" customHeight="1" outlineLevel="1">
      <c r="C315" s="1222" t="s">
        <v>978</v>
      </c>
      <c r="L315" s="743"/>
      <c r="M315" s="743"/>
      <c r="O315" s="873"/>
      <c r="R315" s="1191">
        <f>R286</f>
        <v>99958572.842530459</v>
      </c>
      <c r="S315" s="1191"/>
      <c r="T315" s="1191">
        <f>T286</f>
        <v>112577334.71458274</v>
      </c>
      <c r="U315" s="1191">
        <f t="shared" si="120"/>
        <v>112577334.71458274</v>
      </c>
      <c r="V315" s="1191">
        <f t="shared" ref="V315:AU315" si="142">V286</f>
        <v>576699759.83441806</v>
      </c>
      <c r="W315" s="1191">
        <f t="shared" si="142"/>
        <v>665765364.19076073</v>
      </c>
      <c r="X315" s="1191">
        <f t="shared" si="142"/>
        <v>665765364.19076073</v>
      </c>
      <c r="Y315" s="1191">
        <f t="shared" si="142"/>
        <v>665765364.19076073</v>
      </c>
      <c r="Z315" s="1191">
        <f t="shared" si="142"/>
        <v>665765364.19076073</v>
      </c>
      <c r="AA315" s="1191">
        <f t="shared" si="142"/>
        <v>665765364.19076073</v>
      </c>
      <c r="AB315" s="1191">
        <f t="shared" si="142"/>
        <v>672276639.76016223</v>
      </c>
      <c r="AC315" s="1191">
        <f t="shared" si="142"/>
        <v>672276639.76016223</v>
      </c>
      <c r="AD315" s="1191">
        <f t="shared" si="142"/>
        <v>672276639.76016223</v>
      </c>
      <c r="AE315" s="1191">
        <f t="shared" si="142"/>
        <v>672276639.76016223</v>
      </c>
      <c r="AF315" s="1191">
        <f t="shared" si="142"/>
        <v>672276639.76016223</v>
      </c>
      <c r="AG315" s="1191">
        <f t="shared" si="142"/>
        <v>672276639.76016223</v>
      </c>
      <c r="AH315" s="1191">
        <f t="shared" si="142"/>
        <v>672276639.76016223</v>
      </c>
      <c r="AI315" s="1191">
        <f t="shared" si="142"/>
        <v>672276639.76016223</v>
      </c>
      <c r="AJ315" s="1191">
        <f t="shared" si="142"/>
        <v>672276639.76016223</v>
      </c>
      <c r="AK315" s="1191">
        <f t="shared" si="142"/>
        <v>672276639.76016223</v>
      </c>
      <c r="AL315" s="1191">
        <f t="shared" si="142"/>
        <v>672276639.76016223</v>
      </c>
      <c r="AM315" s="1191">
        <f t="shared" si="142"/>
        <v>672276639.76016223</v>
      </c>
      <c r="AN315" s="1191">
        <f t="shared" si="142"/>
        <v>672276639.76016223</v>
      </c>
      <c r="AO315" s="1191">
        <f t="shared" si="142"/>
        <v>672276639.76016223</v>
      </c>
      <c r="AP315" s="1191">
        <f t="shared" si="142"/>
        <v>672276639.76016223</v>
      </c>
      <c r="AQ315" s="1191">
        <f t="shared" si="142"/>
        <v>672276639.76016223</v>
      </c>
      <c r="AR315" s="1191">
        <f t="shared" si="142"/>
        <v>672276639.76016223</v>
      </c>
      <c r="AS315" s="1191">
        <f t="shared" si="142"/>
        <v>672276639.76016223</v>
      </c>
      <c r="AT315" s="1191">
        <f t="shared" si="142"/>
        <v>672276639.76016223</v>
      </c>
      <c r="AU315" s="1191">
        <f t="shared" si="142"/>
        <v>672276639.76016223</v>
      </c>
      <c r="AV315" s="1228"/>
      <c r="AW315" s="1228"/>
      <c r="AX315" s="1228"/>
      <c r="AY315" s="1228"/>
    </row>
    <row r="316" spans="3:51" s="1208" customFormat="1" ht="15.75" customHeight="1" outlineLevel="1">
      <c r="C316" s="1222" t="s">
        <v>961</v>
      </c>
      <c r="L316" s="743"/>
      <c r="M316" s="743"/>
      <c r="O316" s="873"/>
      <c r="R316" s="1191">
        <f>R287</f>
        <v>99958572.842530459</v>
      </c>
      <c r="S316" s="1191"/>
      <c r="T316" s="1191">
        <f>T287</f>
        <v>112577334.71458274</v>
      </c>
      <c r="U316" s="1191">
        <f t="shared" si="120"/>
        <v>112577334.71458274</v>
      </c>
      <c r="V316" s="1191">
        <f t="shared" ref="V316:AU316" si="143">V287</f>
        <v>576699759.83441806</v>
      </c>
      <c r="W316" s="1191">
        <f t="shared" si="143"/>
        <v>665765364.19076073</v>
      </c>
      <c r="X316" s="1191">
        <f t="shared" si="143"/>
        <v>665765364.19076073</v>
      </c>
      <c r="Y316" s="1191">
        <f t="shared" si="143"/>
        <v>665765364.19076073</v>
      </c>
      <c r="Z316" s="1191">
        <f t="shared" si="143"/>
        <v>665765364.19076073</v>
      </c>
      <c r="AA316" s="1191">
        <f t="shared" si="143"/>
        <v>665765364.19076073</v>
      </c>
      <c r="AB316" s="1191">
        <f t="shared" si="143"/>
        <v>672276639.76016223</v>
      </c>
      <c r="AC316" s="1191">
        <f t="shared" si="143"/>
        <v>672276639.76016223</v>
      </c>
      <c r="AD316" s="1191">
        <f t="shared" si="143"/>
        <v>672276639.76016223</v>
      </c>
      <c r="AE316" s="1191">
        <f t="shared" si="143"/>
        <v>672276639.76016223</v>
      </c>
      <c r="AF316" s="1191">
        <f t="shared" si="143"/>
        <v>672276639.76016223</v>
      </c>
      <c r="AG316" s="1191">
        <f t="shared" si="143"/>
        <v>672276639.76016223</v>
      </c>
      <c r="AH316" s="1191">
        <f t="shared" si="143"/>
        <v>672276639.76016223</v>
      </c>
      <c r="AI316" s="1191">
        <f t="shared" si="143"/>
        <v>672276639.76016223</v>
      </c>
      <c r="AJ316" s="1191">
        <f t="shared" si="143"/>
        <v>672276639.76016223</v>
      </c>
      <c r="AK316" s="1191">
        <f t="shared" si="143"/>
        <v>672276639.76016223</v>
      </c>
      <c r="AL316" s="1191">
        <f t="shared" si="143"/>
        <v>672276639.76016223</v>
      </c>
      <c r="AM316" s="1191">
        <f t="shared" si="143"/>
        <v>672276639.76016223</v>
      </c>
      <c r="AN316" s="1191">
        <f t="shared" si="143"/>
        <v>672276639.76016223</v>
      </c>
      <c r="AO316" s="1191">
        <f t="shared" si="143"/>
        <v>672276639.76016223</v>
      </c>
      <c r="AP316" s="1191">
        <f t="shared" si="143"/>
        <v>672276639.76016223</v>
      </c>
      <c r="AQ316" s="1191">
        <f t="shared" si="143"/>
        <v>672276639.76016223</v>
      </c>
      <c r="AR316" s="1191">
        <f t="shared" si="143"/>
        <v>672276639.76016223</v>
      </c>
      <c r="AS316" s="1191">
        <f t="shared" si="143"/>
        <v>672276639.76016223</v>
      </c>
      <c r="AT316" s="1191">
        <f t="shared" si="143"/>
        <v>672276639.76016223</v>
      </c>
      <c r="AU316" s="1191">
        <f t="shared" si="143"/>
        <v>672276639.76016223</v>
      </c>
      <c r="AV316" s="1228"/>
      <c r="AW316" s="1228"/>
      <c r="AX316" s="1228"/>
      <c r="AY316" s="1228"/>
    </row>
    <row r="317" spans="3:51" s="1208" customFormat="1" ht="15.75" customHeight="1" outlineLevel="1">
      <c r="C317" s="1222" t="s">
        <v>979</v>
      </c>
      <c r="L317" s="743"/>
      <c r="M317" s="743"/>
      <c r="R317" s="873" t="b">
        <f>R316&gt;=$O$314</f>
        <v>0</v>
      </c>
      <c r="S317" s="873"/>
      <c r="T317" s="873" t="b">
        <f>T316&gt;=$O$314</f>
        <v>0</v>
      </c>
      <c r="U317" s="873" t="b">
        <f t="shared" si="120"/>
        <v>0</v>
      </c>
      <c r="V317" s="873" t="b">
        <f t="shared" ref="V317:AU317" si="144">V316&gt;=$O$314</f>
        <v>0</v>
      </c>
      <c r="W317" s="873" t="b">
        <f t="shared" si="144"/>
        <v>0</v>
      </c>
      <c r="X317" s="873" t="b">
        <f t="shared" si="144"/>
        <v>0</v>
      </c>
      <c r="Y317" s="873" t="b">
        <f t="shared" si="144"/>
        <v>0</v>
      </c>
      <c r="Z317" s="873" t="b">
        <f t="shared" si="144"/>
        <v>0</v>
      </c>
      <c r="AA317" s="873" t="b">
        <f t="shared" si="144"/>
        <v>0</v>
      </c>
      <c r="AB317" s="873" t="b">
        <f t="shared" si="144"/>
        <v>0</v>
      </c>
      <c r="AC317" s="873" t="b">
        <f t="shared" si="144"/>
        <v>0</v>
      </c>
      <c r="AD317" s="873" t="b">
        <f t="shared" si="144"/>
        <v>0</v>
      </c>
      <c r="AE317" s="873" t="b">
        <f t="shared" si="144"/>
        <v>0</v>
      </c>
      <c r="AF317" s="873" t="b">
        <f t="shared" si="144"/>
        <v>0</v>
      </c>
      <c r="AG317" s="873" t="b">
        <f t="shared" si="144"/>
        <v>0</v>
      </c>
      <c r="AH317" s="873" t="b">
        <f t="shared" si="144"/>
        <v>0</v>
      </c>
      <c r="AI317" s="873" t="b">
        <f t="shared" si="144"/>
        <v>0</v>
      </c>
      <c r="AJ317" s="873" t="b">
        <f t="shared" si="144"/>
        <v>0</v>
      </c>
      <c r="AK317" s="873" t="b">
        <f t="shared" si="144"/>
        <v>0</v>
      </c>
      <c r="AL317" s="873" t="b">
        <f t="shared" si="144"/>
        <v>0</v>
      </c>
      <c r="AM317" s="873" t="b">
        <f t="shared" si="144"/>
        <v>0</v>
      </c>
      <c r="AN317" s="873" t="b">
        <f t="shared" si="144"/>
        <v>0</v>
      </c>
      <c r="AO317" s="873" t="b">
        <f t="shared" si="144"/>
        <v>0</v>
      </c>
      <c r="AP317" s="873" t="b">
        <f t="shared" si="144"/>
        <v>0</v>
      </c>
      <c r="AQ317" s="873" t="b">
        <f t="shared" si="144"/>
        <v>0</v>
      </c>
      <c r="AR317" s="873" t="b">
        <f t="shared" si="144"/>
        <v>0</v>
      </c>
      <c r="AS317" s="873" t="b">
        <f t="shared" si="144"/>
        <v>0</v>
      </c>
      <c r="AT317" s="873" t="b">
        <f t="shared" si="144"/>
        <v>0</v>
      </c>
      <c r="AU317" s="873" t="b">
        <f t="shared" si="144"/>
        <v>0</v>
      </c>
      <c r="AV317" s="1228"/>
      <c r="AW317" s="1228"/>
      <c r="AX317" s="1228"/>
      <c r="AY317" s="1228"/>
    </row>
    <row r="318" spans="3:51" s="1208" customFormat="1" ht="15.75" customHeight="1" outlineLevel="1">
      <c r="C318" s="1222"/>
      <c r="L318" s="743"/>
      <c r="M318" s="743"/>
      <c r="R318" s="873"/>
      <c r="S318" s="873"/>
      <c r="T318" s="873"/>
      <c r="U318" s="873">
        <f t="shared" si="120"/>
        <v>0</v>
      </c>
      <c r="V318" s="873"/>
      <c r="W318" s="873"/>
      <c r="X318" s="873"/>
      <c r="Y318" s="873"/>
      <c r="Z318" s="873"/>
      <c r="AA318" s="873"/>
      <c r="AB318" s="873"/>
      <c r="AC318" s="873"/>
      <c r="AD318" s="873"/>
      <c r="AE318" s="873"/>
      <c r="AF318" s="873"/>
      <c r="AG318" s="873"/>
      <c r="AH318" s="873"/>
      <c r="AI318" s="873"/>
      <c r="AJ318" s="873"/>
      <c r="AK318" s="873"/>
      <c r="AL318" s="873"/>
      <c r="AM318" s="873"/>
      <c r="AN318" s="873"/>
      <c r="AO318" s="873"/>
      <c r="AP318" s="873"/>
      <c r="AQ318" s="873"/>
      <c r="AR318" s="873"/>
      <c r="AS318" s="873"/>
      <c r="AT318" s="873"/>
      <c r="AU318" s="873"/>
      <c r="AV318" s="1228"/>
      <c r="AW318" s="1228"/>
      <c r="AX318" s="1228"/>
      <c r="AY318" s="1228"/>
    </row>
    <row r="319" spans="3:51" s="1208" customFormat="1" ht="15.75" customHeight="1" outlineLevel="1">
      <c r="C319" s="1222" t="s">
        <v>980</v>
      </c>
      <c r="L319" s="743"/>
      <c r="M319" s="743"/>
      <c r="R319" s="337">
        <f>R18/2204.63</f>
        <v>9.9789987435533387</v>
      </c>
      <c r="S319" s="337"/>
      <c r="T319" s="337">
        <f>T18/2204.63</f>
        <v>11.339771299492432</v>
      </c>
      <c r="U319" s="337">
        <f t="shared" si="120"/>
        <v>11.339771299492432</v>
      </c>
      <c r="V319" s="337">
        <f t="shared" ref="V319:AU319" si="145">V18/2204.63</f>
        <v>11.339771299492432</v>
      </c>
      <c r="W319" s="337">
        <f t="shared" si="145"/>
        <v>11.339771299492432</v>
      </c>
      <c r="X319" s="337">
        <f t="shared" si="145"/>
        <v>11.339771299492432</v>
      </c>
      <c r="Y319" s="337">
        <f t="shared" si="145"/>
        <v>11.339771299492432</v>
      </c>
      <c r="Z319" s="337">
        <f t="shared" si="145"/>
        <v>11.339771299492432</v>
      </c>
      <c r="AA319" s="337">
        <f t="shared" si="145"/>
        <v>11.339771299492432</v>
      </c>
      <c r="AB319" s="337">
        <f t="shared" si="145"/>
        <v>11.339771299492432</v>
      </c>
      <c r="AC319" s="337">
        <f t="shared" si="145"/>
        <v>11.339771299492432</v>
      </c>
      <c r="AD319" s="337">
        <f t="shared" si="145"/>
        <v>11.339771299492432</v>
      </c>
      <c r="AE319" s="337">
        <f t="shared" si="145"/>
        <v>11.339771299492432</v>
      </c>
      <c r="AF319" s="337">
        <f t="shared" si="145"/>
        <v>11.339771299492432</v>
      </c>
      <c r="AG319" s="337">
        <f t="shared" si="145"/>
        <v>11.339771299492432</v>
      </c>
      <c r="AH319" s="337">
        <f t="shared" si="145"/>
        <v>11.339771299492432</v>
      </c>
      <c r="AI319" s="337">
        <f t="shared" si="145"/>
        <v>11.339771299492432</v>
      </c>
      <c r="AJ319" s="337">
        <f t="shared" si="145"/>
        <v>11.339771299492432</v>
      </c>
      <c r="AK319" s="337">
        <f t="shared" si="145"/>
        <v>11.339771299492432</v>
      </c>
      <c r="AL319" s="337">
        <f t="shared" si="145"/>
        <v>11.339771299492432</v>
      </c>
      <c r="AM319" s="337">
        <f t="shared" si="145"/>
        <v>11.339771299492432</v>
      </c>
      <c r="AN319" s="337">
        <f t="shared" si="145"/>
        <v>11.339771299492432</v>
      </c>
      <c r="AO319" s="337">
        <f t="shared" si="145"/>
        <v>11.339771299492432</v>
      </c>
      <c r="AP319" s="337">
        <f t="shared" si="145"/>
        <v>11.339771299492432</v>
      </c>
      <c r="AQ319" s="337">
        <f t="shared" si="145"/>
        <v>11.339771299492432</v>
      </c>
      <c r="AR319" s="337">
        <f t="shared" si="145"/>
        <v>11.339771299492432</v>
      </c>
      <c r="AS319" s="337">
        <f t="shared" si="145"/>
        <v>11.339771299492432</v>
      </c>
      <c r="AT319" s="337">
        <f t="shared" si="145"/>
        <v>11.339771299492432</v>
      </c>
      <c r="AU319" s="337">
        <f t="shared" si="145"/>
        <v>11.339771299492432</v>
      </c>
      <c r="AV319" s="1228"/>
      <c r="AW319" s="1228"/>
      <c r="AX319" s="1228"/>
      <c r="AY319" s="1228"/>
    </row>
    <row r="320" spans="3:51" s="1208" customFormat="1" ht="15.75" customHeight="1" outlineLevel="1">
      <c r="C320" s="1222"/>
      <c r="L320" s="743"/>
      <c r="M320" s="743"/>
      <c r="R320" s="873"/>
      <c r="S320" s="873"/>
      <c r="T320" s="873"/>
      <c r="U320" s="873">
        <f t="shared" si="120"/>
        <v>0</v>
      </c>
      <c r="V320" s="873"/>
      <c r="W320" s="873"/>
      <c r="X320" s="873"/>
      <c r="Y320" s="873"/>
      <c r="Z320" s="873"/>
      <c r="AA320" s="873"/>
      <c r="AB320" s="873"/>
      <c r="AC320" s="873"/>
      <c r="AD320" s="873"/>
      <c r="AE320" s="873"/>
      <c r="AF320" s="873"/>
      <c r="AG320" s="873"/>
      <c r="AH320" s="873"/>
      <c r="AI320" s="873"/>
      <c r="AJ320" s="873"/>
      <c r="AK320" s="873"/>
      <c r="AL320" s="873"/>
      <c r="AM320" s="873"/>
      <c r="AN320" s="873"/>
      <c r="AO320" s="873"/>
      <c r="AP320" s="873"/>
      <c r="AQ320" s="873"/>
      <c r="AR320" s="873"/>
      <c r="AS320" s="873"/>
      <c r="AT320" s="873"/>
      <c r="AU320" s="873"/>
      <c r="AV320" s="1228"/>
      <c r="AW320" s="1228"/>
      <c r="AX320" s="1228"/>
      <c r="AY320" s="1228"/>
    </row>
    <row r="321" spans="3:51" s="1208" customFormat="1" ht="15.75" customHeight="1" outlineLevel="1">
      <c r="C321" s="1222" t="s">
        <v>981</v>
      </c>
      <c r="L321" s="743"/>
      <c r="M321" s="743"/>
      <c r="O321" s="1242">
        <v>0.01</v>
      </c>
      <c r="R321" s="873"/>
      <c r="S321" s="873"/>
      <c r="T321" s="873"/>
      <c r="U321" s="873">
        <f t="shared" si="120"/>
        <v>0</v>
      </c>
      <c r="V321" s="873"/>
      <c r="W321" s="873"/>
      <c r="X321" s="873"/>
      <c r="Y321" s="873"/>
      <c r="Z321" s="873"/>
      <c r="AA321" s="873"/>
      <c r="AB321" s="873"/>
      <c r="AC321" s="873"/>
      <c r="AD321" s="873"/>
      <c r="AE321" s="873"/>
      <c r="AF321" s="873"/>
      <c r="AG321" s="873"/>
      <c r="AH321" s="873"/>
      <c r="AI321" s="873"/>
      <c r="AJ321" s="873"/>
      <c r="AK321" s="873"/>
      <c r="AL321" s="873"/>
      <c r="AM321" s="873"/>
      <c r="AN321" s="873"/>
      <c r="AO321" s="873"/>
      <c r="AP321" s="873"/>
      <c r="AQ321" s="873"/>
      <c r="AR321" s="873"/>
      <c r="AS321" s="873"/>
      <c r="AT321" s="873"/>
      <c r="AU321" s="873"/>
      <c r="AV321" s="1228"/>
      <c r="AW321" s="1228"/>
      <c r="AX321" s="1228"/>
      <c r="AY321" s="1228"/>
    </row>
    <row r="322" spans="3:51" s="1208" customFormat="1" ht="15.75" customHeight="1" outlineLevel="1">
      <c r="C322" s="1222" t="s">
        <v>982</v>
      </c>
      <c r="L322" s="743"/>
      <c r="M322" s="743"/>
      <c r="R322" s="873" t="b">
        <f>R319&gt;7</f>
        <v>1</v>
      </c>
      <c r="S322" s="873"/>
      <c r="T322" s="873" t="b">
        <f>T319&gt;7</f>
        <v>1</v>
      </c>
      <c r="U322" s="873" t="b">
        <f t="shared" si="120"/>
        <v>1</v>
      </c>
      <c r="V322" s="873" t="b">
        <f t="shared" ref="V322:AU322" si="146">V319&gt;7</f>
        <v>1</v>
      </c>
      <c r="W322" s="873" t="b">
        <f t="shared" si="146"/>
        <v>1</v>
      </c>
      <c r="X322" s="873" t="b">
        <f t="shared" si="146"/>
        <v>1</v>
      </c>
      <c r="Y322" s="873" t="b">
        <f t="shared" si="146"/>
        <v>1</v>
      </c>
      <c r="Z322" s="873" t="b">
        <f t="shared" si="146"/>
        <v>1</v>
      </c>
      <c r="AA322" s="873" t="b">
        <f t="shared" si="146"/>
        <v>1</v>
      </c>
      <c r="AB322" s="873" t="b">
        <f t="shared" si="146"/>
        <v>1</v>
      </c>
      <c r="AC322" s="873" t="b">
        <f t="shared" si="146"/>
        <v>1</v>
      </c>
      <c r="AD322" s="873" t="b">
        <f t="shared" si="146"/>
        <v>1</v>
      </c>
      <c r="AE322" s="873" t="b">
        <f t="shared" si="146"/>
        <v>1</v>
      </c>
      <c r="AF322" s="873" t="b">
        <f t="shared" si="146"/>
        <v>1</v>
      </c>
      <c r="AG322" s="873" t="b">
        <f t="shared" si="146"/>
        <v>1</v>
      </c>
      <c r="AH322" s="873" t="b">
        <f t="shared" si="146"/>
        <v>1</v>
      </c>
      <c r="AI322" s="873" t="b">
        <f t="shared" si="146"/>
        <v>1</v>
      </c>
      <c r="AJ322" s="873" t="b">
        <f t="shared" si="146"/>
        <v>1</v>
      </c>
      <c r="AK322" s="873" t="b">
        <f t="shared" si="146"/>
        <v>1</v>
      </c>
      <c r="AL322" s="873" t="b">
        <f t="shared" si="146"/>
        <v>1</v>
      </c>
      <c r="AM322" s="873" t="b">
        <f t="shared" si="146"/>
        <v>1</v>
      </c>
      <c r="AN322" s="873" t="b">
        <f t="shared" si="146"/>
        <v>1</v>
      </c>
      <c r="AO322" s="873" t="b">
        <f t="shared" si="146"/>
        <v>1</v>
      </c>
      <c r="AP322" s="873" t="b">
        <f t="shared" si="146"/>
        <v>1</v>
      </c>
      <c r="AQ322" s="873" t="b">
        <f t="shared" si="146"/>
        <v>1</v>
      </c>
      <c r="AR322" s="873" t="b">
        <f t="shared" si="146"/>
        <v>1</v>
      </c>
      <c r="AS322" s="873" t="b">
        <f t="shared" si="146"/>
        <v>1</v>
      </c>
      <c r="AT322" s="873" t="b">
        <f t="shared" si="146"/>
        <v>1</v>
      </c>
      <c r="AU322" s="873" t="b">
        <f t="shared" si="146"/>
        <v>1</v>
      </c>
      <c r="AV322" s="1228"/>
      <c r="AW322" s="1228"/>
      <c r="AX322" s="1228"/>
      <c r="AY322" s="1228"/>
    </row>
    <row r="323" spans="3:51" s="1208" customFormat="1" ht="15.75" customHeight="1" outlineLevel="1">
      <c r="C323" s="1222" t="s">
        <v>983</v>
      </c>
      <c r="L323" s="743"/>
      <c r="M323" s="743"/>
      <c r="R323" s="873" t="b">
        <f>AND(R317=FALSE,R322)</f>
        <v>1</v>
      </c>
      <c r="S323" s="873"/>
      <c r="T323" s="873" t="b">
        <f>AND(T317=FALSE,T322)</f>
        <v>1</v>
      </c>
      <c r="U323" s="873" t="b">
        <f t="shared" si="120"/>
        <v>1</v>
      </c>
      <c r="V323" s="873" t="b">
        <f t="shared" ref="V323:AU323" si="147">AND(V317=FALSE,V322)</f>
        <v>1</v>
      </c>
      <c r="W323" s="873" t="b">
        <f t="shared" si="147"/>
        <v>1</v>
      </c>
      <c r="X323" s="873" t="b">
        <f t="shared" si="147"/>
        <v>1</v>
      </c>
      <c r="Y323" s="873" t="b">
        <f t="shared" si="147"/>
        <v>1</v>
      </c>
      <c r="Z323" s="873" t="b">
        <f t="shared" si="147"/>
        <v>1</v>
      </c>
      <c r="AA323" s="873" t="b">
        <f t="shared" si="147"/>
        <v>1</v>
      </c>
      <c r="AB323" s="873" t="b">
        <f t="shared" si="147"/>
        <v>1</v>
      </c>
      <c r="AC323" s="873" t="b">
        <f t="shared" si="147"/>
        <v>1</v>
      </c>
      <c r="AD323" s="873" t="b">
        <f t="shared" si="147"/>
        <v>1</v>
      </c>
      <c r="AE323" s="873" t="b">
        <f t="shared" si="147"/>
        <v>1</v>
      </c>
      <c r="AF323" s="873" t="b">
        <f t="shared" si="147"/>
        <v>1</v>
      </c>
      <c r="AG323" s="873" t="b">
        <f t="shared" si="147"/>
        <v>1</v>
      </c>
      <c r="AH323" s="873" t="b">
        <f t="shared" si="147"/>
        <v>1</v>
      </c>
      <c r="AI323" s="873" t="b">
        <f t="shared" si="147"/>
        <v>1</v>
      </c>
      <c r="AJ323" s="873" t="b">
        <f t="shared" si="147"/>
        <v>1</v>
      </c>
      <c r="AK323" s="873" t="b">
        <f t="shared" si="147"/>
        <v>1</v>
      </c>
      <c r="AL323" s="873" t="b">
        <f t="shared" si="147"/>
        <v>1</v>
      </c>
      <c r="AM323" s="873" t="b">
        <f t="shared" si="147"/>
        <v>1</v>
      </c>
      <c r="AN323" s="873" t="b">
        <f t="shared" si="147"/>
        <v>1</v>
      </c>
      <c r="AO323" s="873" t="b">
        <f t="shared" si="147"/>
        <v>1</v>
      </c>
      <c r="AP323" s="873" t="b">
        <f t="shared" si="147"/>
        <v>1</v>
      </c>
      <c r="AQ323" s="873" t="b">
        <f t="shared" si="147"/>
        <v>1</v>
      </c>
      <c r="AR323" s="873" t="b">
        <f t="shared" si="147"/>
        <v>1</v>
      </c>
      <c r="AS323" s="873" t="b">
        <f t="shared" si="147"/>
        <v>1</v>
      </c>
      <c r="AT323" s="873" t="b">
        <f t="shared" si="147"/>
        <v>1</v>
      </c>
      <c r="AU323" s="873" t="b">
        <f t="shared" si="147"/>
        <v>1</v>
      </c>
      <c r="AV323" s="1228"/>
      <c r="AW323" s="1228"/>
      <c r="AX323" s="1228"/>
      <c r="AY323" s="1228"/>
    </row>
    <row r="324" spans="3:51" s="1208" customFormat="1" ht="15.75" customHeight="1" outlineLevel="1">
      <c r="C324" s="1222" t="s">
        <v>984</v>
      </c>
      <c r="L324" s="743"/>
      <c r="M324" s="743"/>
      <c r="R324" s="873">
        <f>R$315*$O321*R323</f>
        <v>999585.72842530464</v>
      </c>
      <c r="S324" s="873"/>
      <c r="T324" s="873">
        <f>T$315*$O321*T323</f>
        <v>1125773.3471458275</v>
      </c>
      <c r="U324" s="873">
        <f t="shared" si="120"/>
        <v>1125773.3471458275</v>
      </c>
      <c r="V324" s="873">
        <f t="shared" ref="V324:AU324" si="148">V$315*$O321*V323</f>
        <v>5766997.5983441807</v>
      </c>
      <c r="W324" s="873">
        <f t="shared" si="148"/>
        <v>6657653.6419076072</v>
      </c>
      <c r="X324" s="873">
        <f t="shared" si="148"/>
        <v>6657653.6419076072</v>
      </c>
      <c r="Y324" s="873">
        <f t="shared" si="148"/>
        <v>6657653.6419076072</v>
      </c>
      <c r="Z324" s="873">
        <f t="shared" si="148"/>
        <v>6657653.6419076072</v>
      </c>
      <c r="AA324" s="873">
        <f t="shared" si="148"/>
        <v>6657653.6419076072</v>
      </c>
      <c r="AB324" s="873">
        <f t="shared" si="148"/>
        <v>6722766.3976016222</v>
      </c>
      <c r="AC324" s="873">
        <f t="shared" si="148"/>
        <v>6722766.3976016222</v>
      </c>
      <c r="AD324" s="873">
        <f t="shared" si="148"/>
        <v>6722766.3976016222</v>
      </c>
      <c r="AE324" s="873">
        <f t="shared" si="148"/>
        <v>6722766.3976016222</v>
      </c>
      <c r="AF324" s="873">
        <f t="shared" si="148"/>
        <v>6722766.3976016222</v>
      </c>
      <c r="AG324" s="873">
        <f t="shared" si="148"/>
        <v>6722766.3976016222</v>
      </c>
      <c r="AH324" s="873">
        <f t="shared" si="148"/>
        <v>6722766.3976016222</v>
      </c>
      <c r="AI324" s="873">
        <f t="shared" si="148"/>
        <v>6722766.3976016222</v>
      </c>
      <c r="AJ324" s="873">
        <f t="shared" si="148"/>
        <v>6722766.3976016222</v>
      </c>
      <c r="AK324" s="873">
        <f t="shared" si="148"/>
        <v>6722766.3976016222</v>
      </c>
      <c r="AL324" s="873">
        <f t="shared" si="148"/>
        <v>6722766.3976016222</v>
      </c>
      <c r="AM324" s="873">
        <f t="shared" si="148"/>
        <v>6722766.3976016222</v>
      </c>
      <c r="AN324" s="873">
        <f t="shared" si="148"/>
        <v>6722766.3976016222</v>
      </c>
      <c r="AO324" s="873">
        <f t="shared" si="148"/>
        <v>6722766.3976016222</v>
      </c>
      <c r="AP324" s="873">
        <f t="shared" si="148"/>
        <v>6722766.3976016222</v>
      </c>
      <c r="AQ324" s="873">
        <f t="shared" si="148"/>
        <v>6722766.3976016222</v>
      </c>
      <c r="AR324" s="873">
        <f t="shared" si="148"/>
        <v>6722766.3976016222</v>
      </c>
      <c r="AS324" s="873">
        <f t="shared" si="148"/>
        <v>6722766.3976016222</v>
      </c>
      <c r="AT324" s="873">
        <f t="shared" si="148"/>
        <v>6722766.3976016222</v>
      </c>
      <c r="AU324" s="873">
        <f t="shared" si="148"/>
        <v>6722766.3976016222</v>
      </c>
      <c r="AV324" s="1228"/>
      <c r="AW324" s="1228"/>
      <c r="AX324" s="1228"/>
      <c r="AY324" s="1228"/>
    </row>
    <row r="325" spans="3:51" s="1208" customFormat="1" ht="15.75" customHeight="1" outlineLevel="1">
      <c r="C325" s="1222"/>
      <c r="L325" s="743"/>
      <c r="M325" s="743"/>
      <c r="R325" s="873"/>
      <c r="S325" s="873"/>
      <c r="T325" s="873"/>
      <c r="U325" s="873">
        <f t="shared" si="120"/>
        <v>0</v>
      </c>
      <c r="V325" s="873"/>
      <c r="W325" s="873"/>
      <c r="X325" s="873"/>
      <c r="Y325" s="873"/>
      <c r="Z325" s="873"/>
      <c r="AA325" s="873"/>
      <c r="AB325" s="873"/>
      <c r="AC325" s="873"/>
      <c r="AD325" s="873"/>
      <c r="AE325" s="873"/>
      <c r="AF325" s="873"/>
      <c r="AG325" s="873"/>
      <c r="AH325" s="873"/>
      <c r="AI325" s="873"/>
      <c r="AJ325" s="873"/>
      <c r="AK325" s="873"/>
      <c r="AL325" s="873"/>
      <c r="AM325" s="873"/>
      <c r="AN325" s="873"/>
      <c r="AO325" s="873"/>
      <c r="AP325" s="873"/>
      <c r="AQ325" s="873"/>
      <c r="AR325" s="873"/>
      <c r="AS325" s="873"/>
      <c r="AT325" s="873"/>
      <c r="AU325" s="873"/>
      <c r="AV325" s="1228"/>
      <c r="AW325" s="1228"/>
      <c r="AX325" s="1228"/>
      <c r="AY325" s="1228"/>
    </row>
    <row r="326" spans="3:51" s="1208" customFormat="1" ht="15.75" customHeight="1" outlineLevel="1">
      <c r="C326" s="1222" t="s">
        <v>981</v>
      </c>
      <c r="L326" s="743"/>
      <c r="M326" s="743"/>
      <c r="O326" s="1242">
        <v>1.4999999999999999E-2</v>
      </c>
      <c r="R326" s="873"/>
      <c r="S326" s="873"/>
      <c r="T326" s="873"/>
      <c r="U326" s="873">
        <f t="shared" si="120"/>
        <v>0</v>
      </c>
      <c r="V326" s="873"/>
      <c r="W326" s="873"/>
      <c r="X326" s="873"/>
      <c r="Y326" s="873"/>
      <c r="Z326" s="873"/>
      <c r="AA326" s="873"/>
      <c r="AB326" s="873"/>
      <c r="AC326" s="873"/>
      <c r="AD326" s="873"/>
      <c r="AE326" s="873"/>
      <c r="AF326" s="873"/>
      <c r="AG326" s="873"/>
      <c r="AH326" s="873"/>
      <c r="AI326" s="873"/>
      <c r="AJ326" s="873"/>
      <c r="AK326" s="873"/>
      <c r="AL326" s="873"/>
      <c r="AM326" s="873"/>
      <c r="AN326" s="873"/>
      <c r="AO326" s="873"/>
      <c r="AP326" s="873"/>
      <c r="AQ326" s="873"/>
      <c r="AR326" s="873"/>
      <c r="AS326" s="873"/>
      <c r="AT326" s="873"/>
      <c r="AU326" s="873"/>
      <c r="AV326" s="1228"/>
      <c r="AW326" s="1228"/>
      <c r="AX326" s="1228"/>
      <c r="AY326" s="1228"/>
    </row>
    <row r="327" spans="3:51" s="1208" customFormat="1" ht="15.75" customHeight="1" outlineLevel="1">
      <c r="C327" s="1222" t="s">
        <v>985</v>
      </c>
      <c r="L327" s="743"/>
      <c r="M327" s="743"/>
      <c r="R327" s="873" t="b">
        <f>AND(R$319&gt;=7,R$319&lt;10)</f>
        <v>1</v>
      </c>
      <c r="S327" s="873"/>
      <c r="T327" s="873" t="b">
        <f>AND(T$319&gt;=7,T$319&lt;10)</f>
        <v>0</v>
      </c>
      <c r="U327" s="873" t="b">
        <f t="shared" si="120"/>
        <v>0</v>
      </c>
      <c r="V327" s="873" t="b">
        <f t="shared" ref="V327:AU327" si="149">AND(V$319&gt;=7,V$319&lt;10)</f>
        <v>0</v>
      </c>
      <c r="W327" s="873" t="b">
        <f t="shared" si="149"/>
        <v>0</v>
      </c>
      <c r="X327" s="873" t="b">
        <f t="shared" si="149"/>
        <v>0</v>
      </c>
      <c r="Y327" s="873" t="b">
        <f t="shared" si="149"/>
        <v>0</v>
      </c>
      <c r="Z327" s="873" t="b">
        <f t="shared" si="149"/>
        <v>0</v>
      </c>
      <c r="AA327" s="873" t="b">
        <f t="shared" si="149"/>
        <v>0</v>
      </c>
      <c r="AB327" s="873" t="b">
        <f t="shared" si="149"/>
        <v>0</v>
      </c>
      <c r="AC327" s="873" t="b">
        <f t="shared" si="149"/>
        <v>0</v>
      </c>
      <c r="AD327" s="873" t="b">
        <f t="shared" si="149"/>
        <v>0</v>
      </c>
      <c r="AE327" s="873" t="b">
        <f t="shared" si="149"/>
        <v>0</v>
      </c>
      <c r="AF327" s="873" t="b">
        <f t="shared" si="149"/>
        <v>0</v>
      </c>
      <c r="AG327" s="873" t="b">
        <f t="shared" si="149"/>
        <v>0</v>
      </c>
      <c r="AH327" s="873" t="b">
        <f t="shared" si="149"/>
        <v>0</v>
      </c>
      <c r="AI327" s="873" t="b">
        <f t="shared" si="149"/>
        <v>0</v>
      </c>
      <c r="AJ327" s="873" t="b">
        <f t="shared" si="149"/>
        <v>0</v>
      </c>
      <c r="AK327" s="873" t="b">
        <f t="shared" si="149"/>
        <v>0</v>
      </c>
      <c r="AL327" s="873" t="b">
        <f t="shared" si="149"/>
        <v>0</v>
      </c>
      <c r="AM327" s="873" t="b">
        <f t="shared" si="149"/>
        <v>0</v>
      </c>
      <c r="AN327" s="873" t="b">
        <f t="shared" si="149"/>
        <v>0</v>
      </c>
      <c r="AO327" s="873" t="b">
        <f t="shared" si="149"/>
        <v>0</v>
      </c>
      <c r="AP327" s="873" t="b">
        <f t="shared" si="149"/>
        <v>0</v>
      </c>
      <c r="AQ327" s="873" t="b">
        <f t="shared" si="149"/>
        <v>0</v>
      </c>
      <c r="AR327" s="873" t="b">
        <f t="shared" si="149"/>
        <v>0</v>
      </c>
      <c r="AS327" s="873" t="b">
        <f t="shared" si="149"/>
        <v>0</v>
      </c>
      <c r="AT327" s="873" t="b">
        <f t="shared" si="149"/>
        <v>0</v>
      </c>
      <c r="AU327" s="873" t="b">
        <f t="shared" si="149"/>
        <v>0</v>
      </c>
      <c r="AV327" s="1228"/>
      <c r="AW327" s="1228"/>
      <c r="AX327" s="1228"/>
      <c r="AY327" s="1228"/>
    </row>
    <row r="328" spans="3:51" s="1208" customFormat="1" ht="15.75" customHeight="1" outlineLevel="1">
      <c r="C328" s="1222" t="s">
        <v>986</v>
      </c>
      <c r="L328" s="743"/>
      <c r="M328" s="743"/>
      <c r="R328" s="873" t="b">
        <f>AND(R$317,R327)</f>
        <v>0</v>
      </c>
      <c r="S328" s="873"/>
      <c r="T328" s="873" t="b">
        <f>AND(T$317,T327)</f>
        <v>0</v>
      </c>
      <c r="U328" s="873" t="b">
        <f t="shared" si="120"/>
        <v>0</v>
      </c>
      <c r="V328" s="873" t="b">
        <f t="shared" ref="V328:AU328" si="150">AND(V$317,V327)</f>
        <v>0</v>
      </c>
      <c r="W328" s="873" t="b">
        <f t="shared" si="150"/>
        <v>0</v>
      </c>
      <c r="X328" s="873" t="b">
        <f t="shared" si="150"/>
        <v>0</v>
      </c>
      <c r="Y328" s="873" t="b">
        <f t="shared" si="150"/>
        <v>0</v>
      </c>
      <c r="Z328" s="873" t="b">
        <f t="shared" si="150"/>
        <v>0</v>
      </c>
      <c r="AA328" s="873" t="b">
        <f t="shared" si="150"/>
        <v>0</v>
      </c>
      <c r="AB328" s="873" t="b">
        <f t="shared" si="150"/>
        <v>0</v>
      </c>
      <c r="AC328" s="873" t="b">
        <f t="shared" si="150"/>
        <v>0</v>
      </c>
      <c r="AD328" s="873" t="b">
        <f t="shared" si="150"/>
        <v>0</v>
      </c>
      <c r="AE328" s="873" t="b">
        <f t="shared" si="150"/>
        <v>0</v>
      </c>
      <c r="AF328" s="873" t="b">
        <f t="shared" si="150"/>
        <v>0</v>
      </c>
      <c r="AG328" s="873" t="b">
        <f t="shared" si="150"/>
        <v>0</v>
      </c>
      <c r="AH328" s="873" t="b">
        <f t="shared" si="150"/>
        <v>0</v>
      </c>
      <c r="AI328" s="873" t="b">
        <f t="shared" si="150"/>
        <v>0</v>
      </c>
      <c r="AJ328" s="873" t="b">
        <f t="shared" si="150"/>
        <v>0</v>
      </c>
      <c r="AK328" s="873" t="b">
        <f t="shared" si="150"/>
        <v>0</v>
      </c>
      <c r="AL328" s="873" t="b">
        <f t="shared" si="150"/>
        <v>0</v>
      </c>
      <c r="AM328" s="873" t="b">
        <f t="shared" si="150"/>
        <v>0</v>
      </c>
      <c r="AN328" s="873" t="b">
        <f t="shared" si="150"/>
        <v>0</v>
      </c>
      <c r="AO328" s="873" t="b">
        <f t="shared" si="150"/>
        <v>0</v>
      </c>
      <c r="AP328" s="873" t="b">
        <f t="shared" si="150"/>
        <v>0</v>
      </c>
      <c r="AQ328" s="873" t="b">
        <f t="shared" si="150"/>
        <v>0</v>
      </c>
      <c r="AR328" s="873" t="b">
        <f t="shared" si="150"/>
        <v>0</v>
      </c>
      <c r="AS328" s="873" t="b">
        <f t="shared" si="150"/>
        <v>0</v>
      </c>
      <c r="AT328" s="873" t="b">
        <f t="shared" si="150"/>
        <v>0</v>
      </c>
      <c r="AU328" s="873" t="b">
        <f t="shared" si="150"/>
        <v>0</v>
      </c>
      <c r="AV328" s="1228"/>
      <c r="AW328" s="1228"/>
      <c r="AX328" s="1228"/>
      <c r="AY328" s="1228"/>
    </row>
    <row r="329" spans="3:51" s="1208" customFormat="1" ht="15.75" customHeight="1" outlineLevel="1">
      <c r="C329" s="1222" t="s">
        <v>987</v>
      </c>
      <c r="L329" s="743"/>
      <c r="M329" s="743"/>
      <c r="R329" s="873">
        <f>R$315*$O326*R328</f>
        <v>0</v>
      </c>
      <c r="S329" s="873"/>
      <c r="T329" s="873">
        <f>T$315*$O326*T328</f>
        <v>0</v>
      </c>
      <c r="U329" s="873">
        <f t="shared" si="120"/>
        <v>0</v>
      </c>
      <c r="V329" s="873">
        <f t="shared" ref="V329:AU329" si="151">V$315*$O326*V328</f>
        <v>0</v>
      </c>
      <c r="W329" s="873">
        <f t="shared" si="151"/>
        <v>0</v>
      </c>
      <c r="X329" s="873">
        <f t="shared" si="151"/>
        <v>0</v>
      </c>
      <c r="Y329" s="873">
        <f t="shared" si="151"/>
        <v>0</v>
      </c>
      <c r="Z329" s="873">
        <f t="shared" si="151"/>
        <v>0</v>
      </c>
      <c r="AA329" s="873">
        <f t="shared" si="151"/>
        <v>0</v>
      </c>
      <c r="AB329" s="873">
        <f t="shared" si="151"/>
        <v>0</v>
      </c>
      <c r="AC329" s="873">
        <f t="shared" si="151"/>
        <v>0</v>
      </c>
      <c r="AD329" s="873">
        <f t="shared" si="151"/>
        <v>0</v>
      </c>
      <c r="AE329" s="873">
        <f t="shared" si="151"/>
        <v>0</v>
      </c>
      <c r="AF329" s="873">
        <f t="shared" si="151"/>
        <v>0</v>
      </c>
      <c r="AG329" s="873">
        <f t="shared" si="151"/>
        <v>0</v>
      </c>
      <c r="AH329" s="873">
        <f t="shared" si="151"/>
        <v>0</v>
      </c>
      <c r="AI329" s="873">
        <f t="shared" si="151"/>
        <v>0</v>
      </c>
      <c r="AJ329" s="873">
        <f t="shared" si="151"/>
        <v>0</v>
      </c>
      <c r="AK329" s="873">
        <f t="shared" si="151"/>
        <v>0</v>
      </c>
      <c r="AL329" s="873">
        <f t="shared" si="151"/>
        <v>0</v>
      </c>
      <c r="AM329" s="873">
        <f t="shared" si="151"/>
        <v>0</v>
      </c>
      <c r="AN329" s="873">
        <f t="shared" si="151"/>
        <v>0</v>
      </c>
      <c r="AO329" s="873">
        <f t="shared" si="151"/>
        <v>0</v>
      </c>
      <c r="AP329" s="873">
        <f t="shared" si="151"/>
        <v>0</v>
      </c>
      <c r="AQ329" s="873">
        <f t="shared" si="151"/>
        <v>0</v>
      </c>
      <c r="AR329" s="873">
        <f t="shared" si="151"/>
        <v>0</v>
      </c>
      <c r="AS329" s="873">
        <f t="shared" si="151"/>
        <v>0</v>
      </c>
      <c r="AT329" s="873">
        <f t="shared" si="151"/>
        <v>0</v>
      </c>
      <c r="AU329" s="873">
        <f t="shared" si="151"/>
        <v>0</v>
      </c>
      <c r="AV329" s="1228"/>
      <c r="AW329" s="1228"/>
      <c r="AX329" s="1228"/>
      <c r="AY329" s="1228"/>
    </row>
    <row r="330" spans="3:51" s="1208" customFormat="1" ht="15.75" customHeight="1" outlineLevel="1">
      <c r="C330" s="1222"/>
      <c r="L330" s="743"/>
      <c r="M330" s="743"/>
      <c r="R330" s="873"/>
      <c r="S330" s="873"/>
      <c r="T330" s="873"/>
      <c r="U330" s="873">
        <f t="shared" si="120"/>
        <v>0</v>
      </c>
      <c r="V330" s="873"/>
      <c r="W330" s="873"/>
      <c r="X330" s="873"/>
      <c r="Y330" s="873"/>
      <c r="Z330" s="873"/>
      <c r="AA330" s="873"/>
      <c r="AB330" s="873"/>
      <c r="AC330" s="873"/>
      <c r="AD330" s="873"/>
      <c r="AE330" s="873"/>
      <c r="AF330" s="873"/>
      <c r="AG330" s="873"/>
      <c r="AH330" s="873"/>
      <c r="AI330" s="873"/>
      <c r="AJ330" s="873"/>
      <c r="AK330" s="873"/>
      <c r="AL330" s="873"/>
      <c r="AM330" s="873"/>
      <c r="AN330" s="873"/>
      <c r="AO330" s="873"/>
      <c r="AP330" s="873"/>
      <c r="AQ330" s="873"/>
      <c r="AR330" s="873"/>
      <c r="AS330" s="873"/>
      <c r="AT330" s="873"/>
      <c r="AU330" s="873"/>
      <c r="AV330" s="1228"/>
      <c r="AW330" s="1228"/>
      <c r="AX330" s="1228"/>
      <c r="AY330" s="1228"/>
    </row>
    <row r="331" spans="3:51" s="1208" customFormat="1" ht="15.75" customHeight="1" outlineLevel="1">
      <c r="C331" s="1222" t="s">
        <v>981</v>
      </c>
      <c r="L331" s="743"/>
      <c r="M331" s="743"/>
      <c r="O331" s="1242">
        <v>0.02</v>
      </c>
      <c r="R331" s="873"/>
      <c r="S331" s="873"/>
      <c r="T331" s="873"/>
      <c r="U331" s="873">
        <f t="shared" si="120"/>
        <v>0</v>
      </c>
      <c r="V331" s="873"/>
      <c r="W331" s="873"/>
      <c r="X331" s="873"/>
      <c r="Y331" s="873"/>
      <c r="Z331" s="873"/>
      <c r="AA331" s="873"/>
      <c r="AB331" s="873"/>
      <c r="AC331" s="873"/>
      <c r="AD331" s="873"/>
      <c r="AE331" s="873"/>
      <c r="AF331" s="873"/>
      <c r="AG331" s="873"/>
      <c r="AH331" s="873"/>
      <c r="AI331" s="873"/>
      <c r="AJ331" s="873"/>
      <c r="AK331" s="873"/>
      <c r="AL331" s="873"/>
      <c r="AM331" s="873"/>
      <c r="AN331" s="873"/>
      <c r="AO331" s="873"/>
      <c r="AP331" s="873"/>
      <c r="AQ331" s="873"/>
      <c r="AR331" s="873"/>
      <c r="AS331" s="873"/>
      <c r="AT331" s="873"/>
      <c r="AU331" s="873"/>
      <c r="AV331" s="1228"/>
      <c r="AW331" s="1228"/>
      <c r="AX331" s="1228"/>
      <c r="AY331" s="1228"/>
    </row>
    <row r="332" spans="3:51" s="1208" customFormat="1" ht="15.75" customHeight="1" outlineLevel="1">
      <c r="C332" s="1222" t="s">
        <v>988</v>
      </c>
      <c r="L332" s="743"/>
      <c r="M332" s="743"/>
      <c r="R332" s="873" t="b">
        <f>AND(R$319&gt;=10,R$319&lt;13)</f>
        <v>0</v>
      </c>
      <c r="S332" s="873"/>
      <c r="T332" s="873" t="b">
        <f>AND(T$319&gt;=10,T$319&lt;13)</f>
        <v>1</v>
      </c>
      <c r="U332" s="873" t="b">
        <f t="shared" ref="U332:U395" si="152">T332</f>
        <v>1</v>
      </c>
      <c r="V332" s="873" t="b">
        <f t="shared" ref="V332:AU332" si="153">AND(V$319&gt;=10,V$319&lt;13)</f>
        <v>1</v>
      </c>
      <c r="W332" s="873" t="b">
        <f t="shared" si="153"/>
        <v>1</v>
      </c>
      <c r="X332" s="873" t="b">
        <f t="shared" si="153"/>
        <v>1</v>
      </c>
      <c r="Y332" s="873" t="b">
        <f t="shared" si="153"/>
        <v>1</v>
      </c>
      <c r="Z332" s="873" t="b">
        <f t="shared" si="153"/>
        <v>1</v>
      </c>
      <c r="AA332" s="873" t="b">
        <f t="shared" si="153"/>
        <v>1</v>
      </c>
      <c r="AB332" s="873" t="b">
        <f t="shared" si="153"/>
        <v>1</v>
      </c>
      <c r="AC332" s="873" t="b">
        <f t="shared" si="153"/>
        <v>1</v>
      </c>
      <c r="AD332" s="873" t="b">
        <f t="shared" si="153"/>
        <v>1</v>
      </c>
      <c r="AE332" s="873" t="b">
        <f t="shared" si="153"/>
        <v>1</v>
      </c>
      <c r="AF332" s="873" t="b">
        <f t="shared" si="153"/>
        <v>1</v>
      </c>
      <c r="AG332" s="873" t="b">
        <f t="shared" si="153"/>
        <v>1</v>
      </c>
      <c r="AH332" s="873" t="b">
        <f t="shared" si="153"/>
        <v>1</v>
      </c>
      <c r="AI332" s="873" t="b">
        <f t="shared" si="153"/>
        <v>1</v>
      </c>
      <c r="AJ332" s="873" t="b">
        <f t="shared" si="153"/>
        <v>1</v>
      </c>
      <c r="AK332" s="873" t="b">
        <f t="shared" si="153"/>
        <v>1</v>
      </c>
      <c r="AL332" s="873" t="b">
        <f t="shared" si="153"/>
        <v>1</v>
      </c>
      <c r="AM332" s="873" t="b">
        <f t="shared" si="153"/>
        <v>1</v>
      </c>
      <c r="AN332" s="873" t="b">
        <f t="shared" si="153"/>
        <v>1</v>
      </c>
      <c r="AO332" s="873" t="b">
        <f t="shared" si="153"/>
        <v>1</v>
      </c>
      <c r="AP332" s="873" t="b">
        <f t="shared" si="153"/>
        <v>1</v>
      </c>
      <c r="AQ332" s="873" t="b">
        <f t="shared" si="153"/>
        <v>1</v>
      </c>
      <c r="AR332" s="873" t="b">
        <f t="shared" si="153"/>
        <v>1</v>
      </c>
      <c r="AS332" s="873" t="b">
        <f t="shared" si="153"/>
        <v>1</v>
      </c>
      <c r="AT332" s="873" t="b">
        <f t="shared" si="153"/>
        <v>1</v>
      </c>
      <c r="AU332" s="873" t="b">
        <f t="shared" si="153"/>
        <v>1</v>
      </c>
      <c r="AV332" s="1228"/>
      <c r="AW332" s="1228"/>
      <c r="AX332" s="1228"/>
      <c r="AY332" s="1228"/>
    </row>
    <row r="333" spans="3:51" s="1208" customFormat="1" ht="15.75" customHeight="1" outlineLevel="1">
      <c r="C333" s="1222" t="s">
        <v>989</v>
      </c>
      <c r="L333" s="743"/>
      <c r="M333" s="743"/>
      <c r="R333" s="873" t="b">
        <f>AND(R$317,R332)</f>
        <v>0</v>
      </c>
      <c r="S333" s="873"/>
      <c r="T333" s="873" t="b">
        <f>AND(T$317,T332)</f>
        <v>0</v>
      </c>
      <c r="U333" s="873" t="b">
        <f t="shared" si="152"/>
        <v>0</v>
      </c>
      <c r="V333" s="873" t="b">
        <f t="shared" ref="V333:AU333" si="154">AND(V$317,V332)</f>
        <v>0</v>
      </c>
      <c r="W333" s="873" t="b">
        <f t="shared" si="154"/>
        <v>0</v>
      </c>
      <c r="X333" s="873" t="b">
        <f t="shared" si="154"/>
        <v>0</v>
      </c>
      <c r="Y333" s="873" t="b">
        <f t="shared" si="154"/>
        <v>0</v>
      </c>
      <c r="Z333" s="873" t="b">
        <f t="shared" si="154"/>
        <v>0</v>
      </c>
      <c r="AA333" s="873" t="b">
        <f t="shared" si="154"/>
        <v>0</v>
      </c>
      <c r="AB333" s="873" t="b">
        <f t="shared" si="154"/>
        <v>0</v>
      </c>
      <c r="AC333" s="873" t="b">
        <f t="shared" si="154"/>
        <v>0</v>
      </c>
      <c r="AD333" s="873" t="b">
        <f t="shared" si="154"/>
        <v>0</v>
      </c>
      <c r="AE333" s="873" t="b">
        <f t="shared" si="154"/>
        <v>0</v>
      </c>
      <c r="AF333" s="873" t="b">
        <f t="shared" si="154"/>
        <v>0</v>
      </c>
      <c r="AG333" s="873" t="b">
        <f t="shared" si="154"/>
        <v>0</v>
      </c>
      <c r="AH333" s="873" t="b">
        <f t="shared" si="154"/>
        <v>0</v>
      </c>
      <c r="AI333" s="873" t="b">
        <f t="shared" si="154"/>
        <v>0</v>
      </c>
      <c r="AJ333" s="873" t="b">
        <f t="shared" si="154"/>
        <v>0</v>
      </c>
      <c r="AK333" s="873" t="b">
        <f t="shared" si="154"/>
        <v>0</v>
      </c>
      <c r="AL333" s="873" t="b">
        <f t="shared" si="154"/>
        <v>0</v>
      </c>
      <c r="AM333" s="873" t="b">
        <f t="shared" si="154"/>
        <v>0</v>
      </c>
      <c r="AN333" s="873" t="b">
        <f t="shared" si="154"/>
        <v>0</v>
      </c>
      <c r="AO333" s="873" t="b">
        <f t="shared" si="154"/>
        <v>0</v>
      </c>
      <c r="AP333" s="873" t="b">
        <f t="shared" si="154"/>
        <v>0</v>
      </c>
      <c r="AQ333" s="873" t="b">
        <f t="shared" si="154"/>
        <v>0</v>
      </c>
      <c r="AR333" s="873" t="b">
        <f t="shared" si="154"/>
        <v>0</v>
      </c>
      <c r="AS333" s="873" t="b">
        <f t="shared" si="154"/>
        <v>0</v>
      </c>
      <c r="AT333" s="873" t="b">
        <f t="shared" si="154"/>
        <v>0</v>
      </c>
      <c r="AU333" s="873" t="b">
        <f t="shared" si="154"/>
        <v>0</v>
      </c>
      <c r="AV333" s="1228"/>
      <c r="AW333" s="1228"/>
      <c r="AX333" s="1228"/>
      <c r="AY333" s="1228"/>
    </row>
    <row r="334" spans="3:51" s="1208" customFormat="1" ht="15.75" customHeight="1" outlineLevel="1">
      <c r="C334" s="1222" t="s">
        <v>990</v>
      </c>
      <c r="L334" s="743"/>
      <c r="M334" s="743"/>
      <c r="R334" s="873">
        <f>R$315*$O331*R333</f>
        <v>0</v>
      </c>
      <c r="S334" s="873"/>
      <c r="T334" s="873">
        <f>T$315*$O331*T333</f>
        <v>0</v>
      </c>
      <c r="U334" s="873">
        <f t="shared" si="152"/>
        <v>0</v>
      </c>
      <c r="V334" s="873">
        <f t="shared" ref="V334:AU334" si="155">V$315*$O331*V333</f>
        <v>0</v>
      </c>
      <c r="W334" s="873">
        <f t="shared" si="155"/>
        <v>0</v>
      </c>
      <c r="X334" s="873">
        <f t="shared" si="155"/>
        <v>0</v>
      </c>
      <c r="Y334" s="873">
        <f t="shared" si="155"/>
        <v>0</v>
      </c>
      <c r="Z334" s="873">
        <f t="shared" si="155"/>
        <v>0</v>
      </c>
      <c r="AA334" s="873">
        <f t="shared" si="155"/>
        <v>0</v>
      </c>
      <c r="AB334" s="873">
        <f t="shared" si="155"/>
        <v>0</v>
      </c>
      <c r="AC334" s="873">
        <f t="shared" si="155"/>
        <v>0</v>
      </c>
      <c r="AD334" s="873">
        <f t="shared" si="155"/>
        <v>0</v>
      </c>
      <c r="AE334" s="873">
        <f t="shared" si="155"/>
        <v>0</v>
      </c>
      <c r="AF334" s="873">
        <f t="shared" si="155"/>
        <v>0</v>
      </c>
      <c r="AG334" s="873">
        <f t="shared" si="155"/>
        <v>0</v>
      </c>
      <c r="AH334" s="873">
        <f t="shared" si="155"/>
        <v>0</v>
      </c>
      <c r="AI334" s="873">
        <f t="shared" si="155"/>
        <v>0</v>
      </c>
      <c r="AJ334" s="873">
        <f t="shared" si="155"/>
        <v>0</v>
      </c>
      <c r="AK334" s="873">
        <f t="shared" si="155"/>
        <v>0</v>
      </c>
      <c r="AL334" s="873">
        <f t="shared" si="155"/>
        <v>0</v>
      </c>
      <c r="AM334" s="873">
        <f t="shared" si="155"/>
        <v>0</v>
      </c>
      <c r="AN334" s="873">
        <f t="shared" si="155"/>
        <v>0</v>
      </c>
      <c r="AO334" s="873">
        <f t="shared" si="155"/>
        <v>0</v>
      </c>
      <c r="AP334" s="873">
        <f t="shared" si="155"/>
        <v>0</v>
      </c>
      <c r="AQ334" s="873">
        <f t="shared" si="155"/>
        <v>0</v>
      </c>
      <c r="AR334" s="873">
        <f t="shared" si="155"/>
        <v>0</v>
      </c>
      <c r="AS334" s="873">
        <f t="shared" si="155"/>
        <v>0</v>
      </c>
      <c r="AT334" s="873">
        <f t="shared" si="155"/>
        <v>0</v>
      </c>
      <c r="AU334" s="873">
        <f t="shared" si="155"/>
        <v>0</v>
      </c>
      <c r="AV334" s="1228"/>
      <c r="AW334" s="1228"/>
      <c r="AX334" s="1228"/>
      <c r="AY334" s="1228"/>
    </row>
    <row r="335" spans="3:51" s="1208" customFormat="1" ht="15.75" customHeight="1" outlineLevel="1">
      <c r="C335" s="1222"/>
      <c r="L335" s="743"/>
      <c r="M335" s="743"/>
      <c r="O335" s="1242"/>
      <c r="R335" s="873"/>
      <c r="S335" s="873"/>
      <c r="T335" s="873"/>
      <c r="U335" s="873">
        <f t="shared" si="152"/>
        <v>0</v>
      </c>
      <c r="V335" s="873"/>
      <c r="W335" s="873"/>
      <c r="X335" s="873"/>
      <c r="Y335" s="873"/>
      <c r="Z335" s="873"/>
      <c r="AA335" s="873"/>
      <c r="AB335" s="873"/>
      <c r="AC335" s="873"/>
      <c r="AD335" s="873"/>
      <c r="AE335" s="873"/>
      <c r="AF335" s="873"/>
      <c r="AG335" s="873"/>
      <c r="AH335" s="873"/>
      <c r="AI335" s="873"/>
      <c r="AJ335" s="873"/>
      <c r="AK335" s="873"/>
      <c r="AL335" s="873"/>
      <c r="AM335" s="873"/>
      <c r="AN335" s="873"/>
      <c r="AO335" s="873"/>
      <c r="AP335" s="873"/>
      <c r="AQ335" s="873"/>
      <c r="AR335" s="873"/>
      <c r="AS335" s="873"/>
      <c r="AT335" s="873"/>
      <c r="AU335" s="873"/>
      <c r="AV335" s="1228"/>
      <c r="AW335" s="1228"/>
      <c r="AX335" s="1228"/>
      <c r="AY335" s="1228"/>
    </row>
    <row r="336" spans="3:51" s="1208" customFormat="1" ht="15.75" customHeight="1" outlineLevel="1">
      <c r="C336" s="1222" t="s">
        <v>981</v>
      </c>
      <c r="L336" s="743"/>
      <c r="M336" s="743"/>
      <c r="O336" s="1242">
        <v>2.5000000000000001E-2</v>
      </c>
      <c r="R336" s="873"/>
      <c r="S336" s="873"/>
      <c r="T336" s="873"/>
      <c r="U336" s="873">
        <f t="shared" si="152"/>
        <v>0</v>
      </c>
      <c r="V336" s="873"/>
      <c r="W336" s="873"/>
      <c r="X336" s="873"/>
      <c r="Y336" s="873"/>
      <c r="Z336" s="873"/>
      <c r="AA336" s="873"/>
      <c r="AB336" s="873"/>
      <c r="AC336" s="873"/>
      <c r="AD336" s="873"/>
      <c r="AE336" s="873"/>
      <c r="AF336" s="873"/>
      <c r="AG336" s="873"/>
      <c r="AH336" s="873"/>
      <c r="AI336" s="873"/>
      <c r="AJ336" s="873"/>
      <c r="AK336" s="873"/>
      <c r="AL336" s="873"/>
      <c r="AM336" s="873"/>
      <c r="AN336" s="873"/>
      <c r="AO336" s="873"/>
      <c r="AP336" s="873"/>
      <c r="AQ336" s="873"/>
      <c r="AR336" s="873"/>
      <c r="AS336" s="873"/>
      <c r="AT336" s="873"/>
      <c r="AU336" s="873"/>
      <c r="AV336" s="1228"/>
      <c r="AW336" s="1228"/>
      <c r="AX336" s="1228"/>
      <c r="AY336" s="1228"/>
    </row>
    <row r="337" spans="3:51" s="1208" customFormat="1" ht="15.75" customHeight="1" outlineLevel="1">
      <c r="C337" s="1222" t="s">
        <v>991</v>
      </c>
      <c r="L337" s="743"/>
      <c r="M337" s="743"/>
      <c r="R337" s="873" t="b">
        <f>AND(R$319&gt;=13,R$319&lt;16)</f>
        <v>0</v>
      </c>
      <c r="S337" s="873"/>
      <c r="T337" s="873" t="b">
        <f>AND(T$319&gt;=13,T$319&lt;16)</f>
        <v>0</v>
      </c>
      <c r="U337" s="873" t="b">
        <f t="shared" si="152"/>
        <v>0</v>
      </c>
      <c r="V337" s="873" t="b">
        <f t="shared" ref="V337:AU337" si="156">AND(V$319&gt;=13,V$319&lt;16)</f>
        <v>0</v>
      </c>
      <c r="W337" s="873" t="b">
        <f t="shared" si="156"/>
        <v>0</v>
      </c>
      <c r="X337" s="873" t="b">
        <f t="shared" si="156"/>
        <v>0</v>
      </c>
      <c r="Y337" s="873" t="b">
        <f t="shared" si="156"/>
        <v>0</v>
      </c>
      <c r="Z337" s="873" t="b">
        <f t="shared" si="156"/>
        <v>0</v>
      </c>
      <c r="AA337" s="873" t="b">
        <f t="shared" si="156"/>
        <v>0</v>
      </c>
      <c r="AB337" s="873" t="b">
        <f t="shared" si="156"/>
        <v>0</v>
      </c>
      <c r="AC337" s="873" t="b">
        <f t="shared" si="156"/>
        <v>0</v>
      </c>
      <c r="AD337" s="873" t="b">
        <f t="shared" si="156"/>
        <v>0</v>
      </c>
      <c r="AE337" s="873" t="b">
        <f t="shared" si="156"/>
        <v>0</v>
      </c>
      <c r="AF337" s="873" t="b">
        <f t="shared" si="156"/>
        <v>0</v>
      </c>
      <c r="AG337" s="873" t="b">
        <f t="shared" si="156"/>
        <v>0</v>
      </c>
      <c r="AH337" s="873" t="b">
        <f t="shared" si="156"/>
        <v>0</v>
      </c>
      <c r="AI337" s="873" t="b">
        <f t="shared" si="156"/>
        <v>0</v>
      </c>
      <c r="AJ337" s="873" t="b">
        <f t="shared" si="156"/>
        <v>0</v>
      </c>
      <c r="AK337" s="873" t="b">
        <f t="shared" si="156"/>
        <v>0</v>
      </c>
      <c r="AL337" s="873" t="b">
        <f t="shared" si="156"/>
        <v>0</v>
      </c>
      <c r="AM337" s="873" t="b">
        <f t="shared" si="156"/>
        <v>0</v>
      </c>
      <c r="AN337" s="873" t="b">
        <f t="shared" si="156"/>
        <v>0</v>
      </c>
      <c r="AO337" s="873" t="b">
        <f t="shared" si="156"/>
        <v>0</v>
      </c>
      <c r="AP337" s="873" t="b">
        <f t="shared" si="156"/>
        <v>0</v>
      </c>
      <c r="AQ337" s="873" t="b">
        <f t="shared" si="156"/>
        <v>0</v>
      </c>
      <c r="AR337" s="873" t="b">
        <f t="shared" si="156"/>
        <v>0</v>
      </c>
      <c r="AS337" s="873" t="b">
        <f t="shared" si="156"/>
        <v>0</v>
      </c>
      <c r="AT337" s="873" t="b">
        <f t="shared" si="156"/>
        <v>0</v>
      </c>
      <c r="AU337" s="873" t="b">
        <f t="shared" si="156"/>
        <v>0</v>
      </c>
      <c r="AV337" s="1228"/>
      <c r="AW337" s="1228"/>
      <c r="AX337" s="1228"/>
      <c r="AY337" s="1228"/>
    </row>
    <row r="338" spans="3:51" s="1208" customFormat="1" ht="15.75" customHeight="1" outlineLevel="1">
      <c r="C338" s="1222" t="s">
        <v>992</v>
      </c>
      <c r="L338" s="743"/>
      <c r="M338" s="743"/>
      <c r="R338" s="873" t="b">
        <f>AND(R$317,R337)</f>
        <v>0</v>
      </c>
      <c r="S338" s="873"/>
      <c r="T338" s="873" t="b">
        <f>AND(T$317,T337)</f>
        <v>0</v>
      </c>
      <c r="U338" s="873" t="b">
        <f t="shared" si="152"/>
        <v>0</v>
      </c>
      <c r="V338" s="873" t="b">
        <f t="shared" ref="V338:AU338" si="157">AND(V$317,V337)</f>
        <v>0</v>
      </c>
      <c r="W338" s="873" t="b">
        <f t="shared" si="157"/>
        <v>0</v>
      </c>
      <c r="X338" s="873" t="b">
        <f t="shared" si="157"/>
        <v>0</v>
      </c>
      <c r="Y338" s="873" t="b">
        <f t="shared" si="157"/>
        <v>0</v>
      </c>
      <c r="Z338" s="873" t="b">
        <f t="shared" si="157"/>
        <v>0</v>
      </c>
      <c r="AA338" s="873" t="b">
        <f t="shared" si="157"/>
        <v>0</v>
      </c>
      <c r="AB338" s="873" t="b">
        <f t="shared" si="157"/>
        <v>0</v>
      </c>
      <c r="AC338" s="873" t="b">
        <f t="shared" si="157"/>
        <v>0</v>
      </c>
      <c r="AD338" s="873" t="b">
        <f t="shared" si="157"/>
        <v>0</v>
      </c>
      <c r="AE338" s="873" t="b">
        <f t="shared" si="157"/>
        <v>0</v>
      </c>
      <c r="AF338" s="873" t="b">
        <f t="shared" si="157"/>
        <v>0</v>
      </c>
      <c r="AG338" s="873" t="b">
        <f t="shared" si="157"/>
        <v>0</v>
      </c>
      <c r="AH338" s="873" t="b">
        <f t="shared" si="157"/>
        <v>0</v>
      </c>
      <c r="AI338" s="873" t="b">
        <f t="shared" si="157"/>
        <v>0</v>
      </c>
      <c r="AJ338" s="873" t="b">
        <f t="shared" si="157"/>
        <v>0</v>
      </c>
      <c r="AK338" s="873" t="b">
        <f t="shared" si="157"/>
        <v>0</v>
      </c>
      <c r="AL338" s="873" t="b">
        <f t="shared" si="157"/>
        <v>0</v>
      </c>
      <c r="AM338" s="873" t="b">
        <f t="shared" si="157"/>
        <v>0</v>
      </c>
      <c r="AN338" s="873" t="b">
        <f t="shared" si="157"/>
        <v>0</v>
      </c>
      <c r="AO338" s="873" t="b">
        <f t="shared" si="157"/>
        <v>0</v>
      </c>
      <c r="AP338" s="873" t="b">
        <f t="shared" si="157"/>
        <v>0</v>
      </c>
      <c r="AQ338" s="873" t="b">
        <f t="shared" si="157"/>
        <v>0</v>
      </c>
      <c r="AR338" s="873" t="b">
        <f t="shared" si="157"/>
        <v>0</v>
      </c>
      <c r="AS338" s="873" t="b">
        <f t="shared" si="157"/>
        <v>0</v>
      </c>
      <c r="AT338" s="873" t="b">
        <f t="shared" si="157"/>
        <v>0</v>
      </c>
      <c r="AU338" s="873" t="b">
        <f t="shared" si="157"/>
        <v>0</v>
      </c>
      <c r="AV338" s="1228"/>
      <c r="AW338" s="1228"/>
      <c r="AX338" s="1228"/>
      <c r="AY338" s="1228"/>
    </row>
    <row r="339" spans="3:51" s="1208" customFormat="1" ht="15.75" customHeight="1" outlineLevel="1">
      <c r="C339" s="1222" t="s">
        <v>993</v>
      </c>
      <c r="L339" s="743"/>
      <c r="M339" s="743"/>
      <c r="R339" s="873">
        <f>R$315*$O336*R338</f>
        <v>0</v>
      </c>
      <c r="S339" s="873"/>
      <c r="T339" s="873">
        <f>T$315*$O336*T338</f>
        <v>0</v>
      </c>
      <c r="U339" s="873">
        <f t="shared" si="152"/>
        <v>0</v>
      </c>
      <c r="V339" s="873">
        <f t="shared" ref="V339:AU339" si="158">V$315*$O336*V338</f>
        <v>0</v>
      </c>
      <c r="W339" s="873">
        <f t="shared" si="158"/>
        <v>0</v>
      </c>
      <c r="X339" s="873">
        <f t="shared" si="158"/>
        <v>0</v>
      </c>
      <c r="Y339" s="873">
        <f t="shared" si="158"/>
        <v>0</v>
      </c>
      <c r="Z339" s="873">
        <f t="shared" si="158"/>
        <v>0</v>
      </c>
      <c r="AA339" s="873">
        <f t="shared" si="158"/>
        <v>0</v>
      </c>
      <c r="AB339" s="873">
        <f t="shared" si="158"/>
        <v>0</v>
      </c>
      <c r="AC339" s="873">
        <f t="shared" si="158"/>
        <v>0</v>
      </c>
      <c r="AD339" s="873">
        <f t="shared" si="158"/>
        <v>0</v>
      </c>
      <c r="AE339" s="873">
        <f t="shared" si="158"/>
        <v>0</v>
      </c>
      <c r="AF339" s="873">
        <f t="shared" si="158"/>
        <v>0</v>
      </c>
      <c r="AG339" s="873">
        <f t="shared" si="158"/>
        <v>0</v>
      </c>
      <c r="AH339" s="873">
        <f t="shared" si="158"/>
        <v>0</v>
      </c>
      <c r="AI339" s="873">
        <f t="shared" si="158"/>
        <v>0</v>
      </c>
      <c r="AJ339" s="873">
        <f t="shared" si="158"/>
        <v>0</v>
      </c>
      <c r="AK339" s="873">
        <f t="shared" si="158"/>
        <v>0</v>
      </c>
      <c r="AL339" s="873">
        <f t="shared" si="158"/>
        <v>0</v>
      </c>
      <c r="AM339" s="873">
        <f t="shared" si="158"/>
        <v>0</v>
      </c>
      <c r="AN339" s="873">
        <f t="shared" si="158"/>
        <v>0</v>
      </c>
      <c r="AO339" s="873">
        <f t="shared" si="158"/>
        <v>0</v>
      </c>
      <c r="AP339" s="873">
        <f t="shared" si="158"/>
        <v>0</v>
      </c>
      <c r="AQ339" s="873">
        <f t="shared" si="158"/>
        <v>0</v>
      </c>
      <c r="AR339" s="873">
        <f t="shared" si="158"/>
        <v>0</v>
      </c>
      <c r="AS339" s="873">
        <f t="shared" si="158"/>
        <v>0</v>
      </c>
      <c r="AT339" s="873">
        <f t="shared" si="158"/>
        <v>0</v>
      </c>
      <c r="AU339" s="873">
        <f t="shared" si="158"/>
        <v>0</v>
      </c>
      <c r="AV339" s="1228"/>
      <c r="AW339" s="1228"/>
      <c r="AX339" s="1228"/>
      <c r="AY339" s="1228"/>
    </row>
    <row r="340" spans="3:51" s="1208" customFormat="1" ht="15.75" customHeight="1" outlineLevel="1">
      <c r="C340" s="1222"/>
      <c r="L340" s="743"/>
      <c r="M340" s="743"/>
      <c r="R340" s="873"/>
      <c r="S340" s="873"/>
      <c r="T340" s="873"/>
      <c r="U340" s="873">
        <f t="shared" si="152"/>
        <v>0</v>
      </c>
      <c r="V340" s="873"/>
      <c r="W340" s="873"/>
      <c r="X340" s="873"/>
      <c r="Y340" s="873"/>
      <c r="Z340" s="873"/>
      <c r="AA340" s="873"/>
      <c r="AB340" s="873"/>
      <c r="AC340" s="873"/>
      <c r="AD340" s="873"/>
      <c r="AE340" s="873"/>
      <c r="AF340" s="873"/>
      <c r="AG340" s="873"/>
      <c r="AH340" s="873"/>
      <c r="AI340" s="873"/>
      <c r="AJ340" s="873"/>
      <c r="AK340" s="873"/>
      <c r="AL340" s="873"/>
      <c r="AM340" s="873"/>
      <c r="AN340" s="873"/>
      <c r="AO340" s="873"/>
      <c r="AP340" s="873"/>
      <c r="AQ340" s="873"/>
      <c r="AR340" s="873"/>
      <c r="AS340" s="873"/>
      <c r="AT340" s="873"/>
      <c r="AU340" s="873"/>
      <c r="AV340" s="1228"/>
      <c r="AW340" s="1228"/>
      <c r="AX340" s="1228"/>
      <c r="AY340" s="1228"/>
    </row>
    <row r="341" spans="3:51" s="1208" customFormat="1" ht="15.75" customHeight="1" outlineLevel="1">
      <c r="C341" s="1222" t="s">
        <v>981</v>
      </c>
      <c r="L341" s="743"/>
      <c r="M341" s="743"/>
      <c r="O341" s="1242">
        <v>0.03</v>
      </c>
      <c r="R341" s="873"/>
      <c r="S341" s="873"/>
      <c r="T341" s="873"/>
      <c r="U341" s="873">
        <f t="shared" si="152"/>
        <v>0</v>
      </c>
      <c r="V341" s="873"/>
      <c r="W341" s="873"/>
      <c r="X341" s="873"/>
      <c r="Y341" s="873"/>
      <c r="Z341" s="873"/>
      <c r="AA341" s="873"/>
      <c r="AB341" s="873"/>
      <c r="AC341" s="873"/>
      <c r="AD341" s="873"/>
      <c r="AE341" s="873"/>
      <c r="AF341" s="873"/>
      <c r="AG341" s="873"/>
      <c r="AH341" s="873"/>
      <c r="AI341" s="873"/>
      <c r="AJ341" s="873"/>
      <c r="AK341" s="873"/>
      <c r="AL341" s="873"/>
      <c r="AM341" s="873"/>
      <c r="AN341" s="873"/>
      <c r="AO341" s="873"/>
      <c r="AP341" s="873"/>
      <c r="AQ341" s="873"/>
      <c r="AR341" s="873"/>
      <c r="AS341" s="873"/>
      <c r="AT341" s="873"/>
      <c r="AU341" s="873"/>
      <c r="AV341" s="1228"/>
      <c r="AW341" s="1228"/>
      <c r="AX341" s="1228"/>
      <c r="AY341" s="1228"/>
    </row>
    <row r="342" spans="3:51" s="1208" customFormat="1" ht="15.75" customHeight="1" outlineLevel="1">
      <c r="C342" s="1222" t="s">
        <v>994</v>
      </c>
      <c r="L342" s="743"/>
      <c r="M342" s="743"/>
      <c r="R342" s="873" t="b">
        <f>AND(R$319&gt;=16,R$319&lt;19)</f>
        <v>0</v>
      </c>
      <c r="S342" s="873"/>
      <c r="T342" s="873" t="b">
        <f>AND(T$319&gt;=16,T$319&lt;19)</f>
        <v>0</v>
      </c>
      <c r="U342" s="873" t="b">
        <f t="shared" si="152"/>
        <v>0</v>
      </c>
      <c r="V342" s="873" t="b">
        <f t="shared" ref="V342:AU342" si="159">AND(V$319&gt;=16,V$319&lt;19)</f>
        <v>0</v>
      </c>
      <c r="W342" s="873" t="b">
        <f t="shared" si="159"/>
        <v>0</v>
      </c>
      <c r="X342" s="873" t="b">
        <f t="shared" si="159"/>
        <v>0</v>
      </c>
      <c r="Y342" s="873" t="b">
        <f t="shared" si="159"/>
        <v>0</v>
      </c>
      <c r="Z342" s="873" t="b">
        <f t="shared" si="159"/>
        <v>0</v>
      </c>
      <c r="AA342" s="873" t="b">
        <f t="shared" si="159"/>
        <v>0</v>
      </c>
      <c r="AB342" s="873" t="b">
        <f t="shared" si="159"/>
        <v>0</v>
      </c>
      <c r="AC342" s="873" t="b">
        <f t="shared" si="159"/>
        <v>0</v>
      </c>
      <c r="AD342" s="873" t="b">
        <f t="shared" si="159"/>
        <v>0</v>
      </c>
      <c r="AE342" s="873" t="b">
        <f t="shared" si="159"/>
        <v>0</v>
      </c>
      <c r="AF342" s="873" t="b">
        <f t="shared" si="159"/>
        <v>0</v>
      </c>
      <c r="AG342" s="873" t="b">
        <f t="shared" si="159"/>
        <v>0</v>
      </c>
      <c r="AH342" s="873" t="b">
        <f t="shared" si="159"/>
        <v>0</v>
      </c>
      <c r="AI342" s="873" t="b">
        <f t="shared" si="159"/>
        <v>0</v>
      </c>
      <c r="AJ342" s="873" t="b">
        <f t="shared" si="159"/>
        <v>0</v>
      </c>
      <c r="AK342" s="873" t="b">
        <f t="shared" si="159"/>
        <v>0</v>
      </c>
      <c r="AL342" s="873" t="b">
        <f t="shared" si="159"/>
        <v>0</v>
      </c>
      <c r="AM342" s="873" t="b">
        <f t="shared" si="159"/>
        <v>0</v>
      </c>
      <c r="AN342" s="873" t="b">
        <f t="shared" si="159"/>
        <v>0</v>
      </c>
      <c r="AO342" s="873" t="b">
        <f t="shared" si="159"/>
        <v>0</v>
      </c>
      <c r="AP342" s="873" t="b">
        <f t="shared" si="159"/>
        <v>0</v>
      </c>
      <c r="AQ342" s="873" t="b">
        <f t="shared" si="159"/>
        <v>0</v>
      </c>
      <c r="AR342" s="873" t="b">
        <f t="shared" si="159"/>
        <v>0</v>
      </c>
      <c r="AS342" s="873" t="b">
        <f t="shared" si="159"/>
        <v>0</v>
      </c>
      <c r="AT342" s="873" t="b">
        <f t="shared" si="159"/>
        <v>0</v>
      </c>
      <c r="AU342" s="873" t="b">
        <f t="shared" si="159"/>
        <v>0</v>
      </c>
      <c r="AV342" s="1228"/>
      <c r="AW342" s="1228"/>
      <c r="AX342" s="1228"/>
      <c r="AY342" s="1228"/>
    </row>
    <row r="343" spans="3:51" s="1208" customFormat="1" ht="15.75" customHeight="1" outlineLevel="1">
      <c r="C343" s="1222" t="s">
        <v>995</v>
      </c>
      <c r="L343" s="743"/>
      <c r="M343" s="743"/>
      <c r="R343" s="873" t="b">
        <f>AND(R$317,R342)</f>
        <v>0</v>
      </c>
      <c r="S343" s="873"/>
      <c r="T343" s="873" t="b">
        <f>AND(T$317,T342)</f>
        <v>0</v>
      </c>
      <c r="U343" s="873" t="b">
        <f t="shared" si="152"/>
        <v>0</v>
      </c>
      <c r="V343" s="873" t="b">
        <f t="shared" ref="V343:AU343" si="160">AND(V$317,V342)</f>
        <v>0</v>
      </c>
      <c r="W343" s="873" t="b">
        <f t="shared" si="160"/>
        <v>0</v>
      </c>
      <c r="X343" s="873" t="b">
        <f t="shared" si="160"/>
        <v>0</v>
      </c>
      <c r="Y343" s="873" t="b">
        <f t="shared" si="160"/>
        <v>0</v>
      </c>
      <c r="Z343" s="873" t="b">
        <f t="shared" si="160"/>
        <v>0</v>
      </c>
      <c r="AA343" s="873" t="b">
        <f t="shared" si="160"/>
        <v>0</v>
      </c>
      <c r="AB343" s="873" t="b">
        <f t="shared" si="160"/>
        <v>0</v>
      </c>
      <c r="AC343" s="873" t="b">
        <f t="shared" si="160"/>
        <v>0</v>
      </c>
      <c r="AD343" s="873" t="b">
        <f t="shared" si="160"/>
        <v>0</v>
      </c>
      <c r="AE343" s="873" t="b">
        <f t="shared" si="160"/>
        <v>0</v>
      </c>
      <c r="AF343" s="873" t="b">
        <f t="shared" si="160"/>
        <v>0</v>
      </c>
      <c r="AG343" s="873" t="b">
        <f t="shared" si="160"/>
        <v>0</v>
      </c>
      <c r="AH343" s="873" t="b">
        <f t="shared" si="160"/>
        <v>0</v>
      </c>
      <c r="AI343" s="873" t="b">
        <f t="shared" si="160"/>
        <v>0</v>
      </c>
      <c r="AJ343" s="873" t="b">
        <f t="shared" si="160"/>
        <v>0</v>
      </c>
      <c r="AK343" s="873" t="b">
        <f t="shared" si="160"/>
        <v>0</v>
      </c>
      <c r="AL343" s="873" t="b">
        <f t="shared" si="160"/>
        <v>0</v>
      </c>
      <c r="AM343" s="873" t="b">
        <f t="shared" si="160"/>
        <v>0</v>
      </c>
      <c r="AN343" s="873" t="b">
        <f t="shared" si="160"/>
        <v>0</v>
      </c>
      <c r="AO343" s="873" t="b">
        <f t="shared" si="160"/>
        <v>0</v>
      </c>
      <c r="AP343" s="873" t="b">
        <f t="shared" si="160"/>
        <v>0</v>
      </c>
      <c r="AQ343" s="873" t="b">
        <f t="shared" si="160"/>
        <v>0</v>
      </c>
      <c r="AR343" s="873" t="b">
        <f t="shared" si="160"/>
        <v>0</v>
      </c>
      <c r="AS343" s="873" t="b">
        <f t="shared" si="160"/>
        <v>0</v>
      </c>
      <c r="AT343" s="873" t="b">
        <f t="shared" si="160"/>
        <v>0</v>
      </c>
      <c r="AU343" s="873" t="b">
        <f t="shared" si="160"/>
        <v>0</v>
      </c>
      <c r="AV343" s="1228"/>
      <c r="AW343" s="1228"/>
      <c r="AX343" s="1228"/>
      <c r="AY343" s="1228"/>
    </row>
    <row r="344" spans="3:51" s="1208" customFormat="1" ht="15.75" customHeight="1" outlineLevel="1">
      <c r="C344" s="1222" t="s">
        <v>996</v>
      </c>
      <c r="L344" s="743"/>
      <c r="M344" s="743"/>
      <c r="R344" s="873">
        <f>R$315*$O341*R343</f>
        <v>0</v>
      </c>
      <c r="S344" s="873"/>
      <c r="T344" s="873">
        <f>T$315*$O341*T343</f>
        <v>0</v>
      </c>
      <c r="U344" s="873">
        <f t="shared" si="152"/>
        <v>0</v>
      </c>
      <c r="V344" s="873">
        <f t="shared" ref="V344:AU344" si="161">V$315*$O341*V343</f>
        <v>0</v>
      </c>
      <c r="W344" s="873">
        <f t="shared" si="161"/>
        <v>0</v>
      </c>
      <c r="X344" s="873">
        <f t="shared" si="161"/>
        <v>0</v>
      </c>
      <c r="Y344" s="873">
        <f t="shared" si="161"/>
        <v>0</v>
      </c>
      <c r="Z344" s="873">
        <f t="shared" si="161"/>
        <v>0</v>
      </c>
      <c r="AA344" s="873">
        <f t="shared" si="161"/>
        <v>0</v>
      </c>
      <c r="AB344" s="873">
        <f t="shared" si="161"/>
        <v>0</v>
      </c>
      <c r="AC344" s="873">
        <f t="shared" si="161"/>
        <v>0</v>
      </c>
      <c r="AD344" s="873">
        <f t="shared" si="161"/>
        <v>0</v>
      </c>
      <c r="AE344" s="873">
        <f t="shared" si="161"/>
        <v>0</v>
      </c>
      <c r="AF344" s="873">
        <f t="shared" si="161"/>
        <v>0</v>
      </c>
      <c r="AG344" s="873">
        <f t="shared" si="161"/>
        <v>0</v>
      </c>
      <c r="AH344" s="873">
        <f t="shared" si="161"/>
        <v>0</v>
      </c>
      <c r="AI344" s="873">
        <f t="shared" si="161"/>
        <v>0</v>
      </c>
      <c r="AJ344" s="873">
        <f t="shared" si="161"/>
        <v>0</v>
      </c>
      <c r="AK344" s="873">
        <f t="shared" si="161"/>
        <v>0</v>
      </c>
      <c r="AL344" s="873">
        <f t="shared" si="161"/>
        <v>0</v>
      </c>
      <c r="AM344" s="873">
        <f t="shared" si="161"/>
        <v>0</v>
      </c>
      <c r="AN344" s="873">
        <f t="shared" si="161"/>
        <v>0</v>
      </c>
      <c r="AO344" s="873">
        <f t="shared" si="161"/>
        <v>0</v>
      </c>
      <c r="AP344" s="873">
        <f t="shared" si="161"/>
        <v>0</v>
      </c>
      <c r="AQ344" s="873">
        <f t="shared" si="161"/>
        <v>0</v>
      </c>
      <c r="AR344" s="873">
        <f t="shared" si="161"/>
        <v>0</v>
      </c>
      <c r="AS344" s="873">
        <f t="shared" si="161"/>
        <v>0</v>
      </c>
      <c r="AT344" s="873">
        <f t="shared" si="161"/>
        <v>0</v>
      </c>
      <c r="AU344" s="873">
        <f t="shared" si="161"/>
        <v>0</v>
      </c>
      <c r="AV344" s="1228"/>
      <c r="AW344" s="1228"/>
      <c r="AX344" s="1228"/>
      <c r="AY344" s="1228"/>
    </row>
    <row r="345" spans="3:51" s="1208" customFormat="1" ht="15.75" customHeight="1" outlineLevel="1">
      <c r="C345" s="1222"/>
      <c r="L345" s="743"/>
      <c r="M345" s="743"/>
      <c r="R345" s="873"/>
      <c r="S345" s="873"/>
      <c r="T345" s="873"/>
      <c r="U345" s="873">
        <f t="shared" si="152"/>
        <v>0</v>
      </c>
      <c r="V345" s="873"/>
      <c r="W345" s="873"/>
      <c r="X345" s="873"/>
      <c r="Y345" s="873"/>
      <c r="Z345" s="873"/>
      <c r="AA345" s="873"/>
      <c r="AB345" s="873"/>
      <c r="AC345" s="873"/>
      <c r="AD345" s="873"/>
      <c r="AE345" s="873"/>
      <c r="AF345" s="873"/>
      <c r="AG345" s="873"/>
      <c r="AH345" s="873"/>
      <c r="AI345" s="873"/>
      <c r="AJ345" s="873"/>
      <c r="AK345" s="873"/>
      <c r="AL345" s="873"/>
      <c r="AM345" s="873"/>
      <c r="AN345" s="873"/>
      <c r="AO345" s="873"/>
      <c r="AP345" s="873"/>
      <c r="AQ345" s="873"/>
      <c r="AR345" s="873"/>
      <c r="AS345" s="873"/>
      <c r="AT345" s="873"/>
      <c r="AU345" s="873"/>
      <c r="AV345" s="1228"/>
      <c r="AW345" s="1228"/>
      <c r="AX345" s="1228"/>
      <c r="AY345" s="1228"/>
    </row>
    <row r="346" spans="3:51" s="1208" customFormat="1" ht="15.75" customHeight="1" outlineLevel="1">
      <c r="C346" s="1222" t="s">
        <v>981</v>
      </c>
      <c r="L346" s="743"/>
      <c r="M346" s="743"/>
      <c r="O346" s="1242">
        <v>3.5000000000000003E-2</v>
      </c>
      <c r="R346" s="873"/>
      <c r="S346" s="873"/>
      <c r="T346" s="873"/>
      <c r="U346" s="873">
        <f t="shared" si="152"/>
        <v>0</v>
      </c>
      <c r="V346" s="873"/>
      <c r="W346" s="873"/>
      <c r="X346" s="873"/>
      <c r="Y346" s="873"/>
      <c r="Z346" s="873"/>
      <c r="AA346" s="873"/>
      <c r="AB346" s="873"/>
      <c r="AC346" s="873"/>
      <c r="AD346" s="873"/>
      <c r="AE346" s="873"/>
      <c r="AF346" s="873"/>
      <c r="AG346" s="873"/>
      <c r="AH346" s="873"/>
      <c r="AI346" s="873"/>
      <c r="AJ346" s="873"/>
      <c r="AK346" s="873"/>
      <c r="AL346" s="873"/>
      <c r="AM346" s="873"/>
      <c r="AN346" s="873"/>
      <c r="AO346" s="873"/>
      <c r="AP346" s="873"/>
      <c r="AQ346" s="873"/>
      <c r="AR346" s="873"/>
      <c r="AS346" s="873"/>
      <c r="AT346" s="873"/>
      <c r="AU346" s="873"/>
      <c r="AV346" s="1228"/>
      <c r="AW346" s="1228"/>
      <c r="AX346" s="1228"/>
      <c r="AY346" s="1228"/>
    </row>
    <row r="347" spans="3:51" s="1208" customFormat="1" ht="15.75" customHeight="1" outlineLevel="1">
      <c r="C347" s="1222" t="s">
        <v>997</v>
      </c>
      <c r="L347" s="743"/>
      <c r="M347" s="743"/>
      <c r="O347" s="1303"/>
      <c r="R347" s="873" t="b">
        <f>AND(R$319&gt;=19,R$319&lt;22)</f>
        <v>0</v>
      </c>
      <c r="S347" s="873"/>
      <c r="T347" s="873" t="b">
        <f>AND(T$319&gt;=19,T$319&lt;22)</f>
        <v>0</v>
      </c>
      <c r="U347" s="873" t="b">
        <f t="shared" si="152"/>
        <v>0</v>
      </c>
      <c r="V347" s="873" t="b">
        <f t="shared" ref="V347:AU347" si="162">AND(V$319&gt;=19,V$319&lt;22)</f>
        <v>0</v>
      </c>
      <c r="W347" s="873" t="b">
        <f t="shared" si="162"/>
        <v>0</v>
      </c>
      <c r="X347" s="873" t="b">
        <f t="shared" si="162"/>
        <v>0</v>
      </c>
      <c r="Y347" s="873" t="b">
        <f t="shared" si="162"/>
        <v>0</v>
      </c>
      <c r="Z347" s="873" t="b">
        <f t="shared" si="162"/>
        <v>0</v>
      </c>
      <c r="AA347" s="873" t="b">
        <f t="shared" si="162"/>
        <v>0</v>
      </c>
      <c r="AB347" s="873" t="b">
        <f t="shared" si="162"/>
        <v>0</v>
      </c>
      <c r="AC347" s="873" t="b">
        <f t="shared" si="162"/>
        <v>0</v>
      </c>
      <c r="AD347" s="873" t="b">
        <f t="shared" si="162"/>
        <v>0</v>
      </c>
      <c r="AE347" s="873" t="b">
        <f t="shared" si="162"/>
        <v>0</v>
      </c>
      <c r="AF347" s="873" t="b">
        <f t="shared" si="162"/>
        <v>0</v>
      </c>
      <c r="AG347" s="873" t="b">
        <f t="shared" si="162"/>
        <v>0</v>
      </c>
      <c r="AH347" s="873" t="b">
        <f t="shared" si="162"/>
        <v>0</v>
      </c>
      <c r="AI347" s="873" t="b">
        <f t="shared" si="162"/>
        <v>0</v>
      </c>
      <c r="AJ347" s="873" t="b">
        <f t="shared" si="162"/>
        <v>0</v>
      </c>
      <c r="AK347" s="873" t="b">
        <f t="shared" si="162"/>
        <v>0</v>
      </c>
      <c r="AL347" s="873" t="b">
        <f t="shared" si="162"/>
        <v>0</v>
      </c>
      <c r="AM347" s="873" t="b">
        <f t="shared" si="162"/>
        <v>0</v>
      </c>
      <c r="AN347" s="873" t="b">
        <f t="shared" si="162"/>
        <v>0</v>
      </c>
      <c r="AO347" s="873" t="b">
        <f t="shared" si="162"/>
        <v>0</v>
      </c>
      <c r="AP347" s="873" t="b">
        <f t="shared" si="162"/>
        <v>0</v>
      </c>
      <c r="AQ347" s="873" t="b">
        <f t="shared" si="162"/>
        <v>0</v>
      </c>
      <c r="AR347" s="873" t="b">
        <f t="shared" si="162"/>
        <v>0</v>
      </c>
      <c r="AS347" s="873" t="b">
        <f t="shared" si="162"/>
        <v>0</v>
      </c>
      <c r="AT347" s="873" t="b">
        <f t="shared" si="162"/>
        <v>0</v>
      </c>
      <c r="AU347" s="873" t="b">
        <f t="shared" si="162"/>
        <v>0</v>
      </c>
      <c r="AV347" s="1228"/>
      <c r="AW347" s="1228"/>
      <c r="AX347" s="1228"/>
      <c r="AY347" s="1228"/>
    </row>
    <row r="348" spans="3:51" s="1208" customFormat="1" ht="15.75" customHeight="1" outlineLevel="1">
      <c r="C348" s="1222" t="s">
        <v>998</v>
      </c>
      <c r="L348" s="743"/>
      <c r="M348" s="743"/>
      <c r="R348" s="873" t="b">
        <f>AND(R$317,R347)</f>
        <v>0</v>
      </c>
      <c r="S348" s="873"/>
      <c r="T348" s="873" t="b">
        <f>AND(T$317,T347)</f>
        <v>0</v>
      </c>
      <c r="U348" s="873" t="b">
        <f t="shared" si="152"/>
        <v>0</v>
      </c>
      <c r="V348" s="873" t="b">
        <f t="shared" ref="V348:AU348" si="163">AND(V$317,V347)</f>
        <v>0</v>
      </c>
      <c r="W348" s="873" t="b">
        <f t="shared" si="163"/>
        <v>0</v>
      </c>
      <c r="X348" s="873" t="b">
        <f t="shared" si="163"/>
        <v>0</v>
      </c>
      <c r="Y348" s="873" t="b">
        <f t="shared" si="163"/>
        <v>0</v>
      </c>
      <c r="Z348" s="873" t="b">
        <f t="shared" si="163"/>
        <v>0</v>
      </c>
      <c r="AA348" s="873" t="b">
        <f t="shared" si="163"/>
        <v>0</v>
      </c>
      <c r="AB348" s="873" t="b">
        <f t="shared" si="163"/>
        <v>0</v>
      </c>
      <c r="AC348" s="873" t="b">
        <f t="shared" si="163"/>
        <v>0</v>
      </c>
      <c r="AD348" s="873" t="b">
        <f t="shared" si="163"/>
        <v>0</v>
      </c>
      <c r="AE348" s="873" t="b">
        <f t="shared" si="163"/>
        <v>0</v>
      </c>
      <c r="AF348" s="873" t="b">
        <f t="shared" si="163"/>
        <v>0</v>
      </c>
      <c r="AG348" s="873" t="b">
        <f t="shared" si="163"/>
        <v>0</v>
      </c>
      <c r="AH348" s="873" t="b">
        <f t="shared" si="163"/>
        <v>0</v>
      </c>
      <c r="AI348" s="873" t="b">
        <f t="shared" si="163"/>
        <v>0</v>
      </c>
      <c r="AJ348" s="873" t="b">
        <f t="shared" si="163"/>
        <v>0</v>
      </c>
      <c r="AK348" s="873" t="b">
        <f t="shared" si="163"/>
        <v>0</v>
      </c>
      <c r="AL348" s="873" t="b">
        <f t="shared" si="163"/>
        <v>0</v>
      </c>
      <c r="AM348" s="873" t="b">
        <f t="shared" si="163"/>
        <v>0</v>
      </c>
      <c r="AN348" s="873" t="b">
        <f t="shared" si="163"/>
        <v>0</v>
      </c>
      <c r="AO348" s="873" t="b">
        <f t="shared" si="163"/>
        <v>0</v>
      </c>
      <c r="AP348" s="873" t="b">
        <f t="shared" si="163"/>
        <v>0</v>
      </c>
      <c r="AQ348" s="873" t="b">
        <f t="shared" si="163"/>
        <v>0</v>
      </c>
      <c r="AR348" s="873" t="b">
        <f t="shared" si="163"/>
        <v>0</v>
      </c>
      <c r="AS348" s="873" t="b">
        <f t="shared" si="163"/>
        <v>0</v>
      </c>
      <c r="AT348" s="873" t="b">
        <f t="shared" si="163"/>
        <v>0</v>
      </c>
      <c r="AU348" s="873" t="b">
        <f t="shared" si="163"/>
        <v>0</v>
      </c>
      <c r="AV348" s="1228"/>
      <c r="AW348" s="1228"/>
      <c r="AX348" s="1228"/>
      <c r="AY348" s="1228"/>
    </row>
    <row r="349" spans="3:51" s="1208" customFormat="1" ht="15.75" customHeight="1" outlineLevel="1">
      <c r="C349" s="1222" t="s">
        <v>999</v>
      </c>
      <c r="L349" s="743"/>
      <c r="M349" s="743"/>
      <c r="R349" s="873">
        <f>R$315*$O346*R348</f>
        <v>0</v>
      </c>
      <c r="S349" s="873"/>
      <c r="T349" s="873">
        <f>T$315*$O346*T348</f>
        <v>0</v>
      </c>
      <c r="U349" s="873">
        <f t="shared" si="152"/>
        <v>0</v>
      </c>
      <c r="V349" s="873">
        <f t="shared" ref="V349:AU349" si="164">V$315*$O346*V348</f>
        <v>0</v>
      </c>
      <c r="W349" s="873">
        <f t="shared" si="164"/>
        <v>0</v>
      </c>
      <c r="X349" s="873">
        <f t="shared" si="164"/>
        <v>0</v>
      </c>
      <c r="Y349" s="873">
        <f t="shared" si="164"/>
        <v>0</v>
      </c>
      <c r="Z349" s="873">
        <f t="shared" si="164"/>
        <v>0</v>
      </c>
      <c r="AA349" s="873">
        <f t="shared" si="164"/>
        <v>0</v>
      </c>
      <c r="AB349" s="873">
        <f t="shared" si="164"/>
        <v>0</v>
      </c>
      <c r="AC349" s="873">
        <f t="shared" si="164"/>
        <v>0</v>
      </c>
      <c r="AD349" s="873">
        <f t="shared" si="164"/>
        <v>0</v>
      </c>
      <c r="AE349" s="873">
        <f t="shared" si="164"/>
        <v>0</v>
      </c>
      <c r="AF349" s="873">
        <f t="shared" si="164"/>
        <v>0</v>
      </c>
      <c r="AG349" s="873">
        <f t="shared" si="164"/>
        <v>0</v>
      </c>
      <c r="AH349" s="873">
        <f t="shared" si="164"/>
        <v>0</v>
      </c>
      <c r="AI349" s="873">
        <f t="shared" si="164"/>
        <v>0</v>
      </c>
      <c r="AJ349" s="873">
        <f t="shared" si="164"/>
        <v>0</v>
      </c>
      <c r="AK349" s="873">
        <f t="shared" si="164"/>
        <v>0</v>
      </c>
      <c r="AL349" s="873">
        <f t="shared" si="164"/>
        <v>0</v>
      </c>
      <c r="AM349" s="873">
        <f t="shared" si="164"/>
        <v>0</v>
      </c>
      <c r="AN349" s="873">
        <f t="shared" si="164"/>
        <v>0</v>
      </c>
      <c r="AO349" s="873">
        <f t="shared" si="164"/>
        <v>0</v>
      </c>
      <c r="AP349" s="873">
        <f t="shared" si="164"/>
        <v>0</v>
      </c>
      <c r="AQ349" s="873">
        <f t="shared" si="164"/>
        <v>0</v>
      </c>
      <c r="AR349" s="873">
        <f t="shared" si="164"/>
        <v>0</v>
      </c>
      <c r="AS349" s="873">
        <f t="shared" si="164"/>
        <v>0</v>
      </c>
      <c r="AT349" s="873">
        <f t="shared" si="164"/>
        <v>0</v>
      </c>
      <c r="AU349" s="873">
        <f t="shared" si="164"/>
        <v>0</v>
      </c>
      <c r="AV349" s="1228"/>
      <c r="AW349" s="1228"/>
      <c r="AX349" s="1228"/>
      <c r="AY349" s="1228"/>
    </row>
    <row r="350" spans="3:51" s="1208" customFormat="1" ht="15.75" customHeight="1" outlineLevel="1">
      <c r="C350" s="1222"/>
      <c r="L350" s="743"/>
      <c r="M350" s="743"/>
      <c r="R350" s="873"/>
      <c r="S350" s="873"/>
      <c r="T350" s="873"/>
      <c r="U350" s="873">
        <f t="shared" si="152"/>
        <v>0</v>
      </c>
      <c r="V350" s="873"/>
      <c r="W350" s="873"/>
      <c r="X350" s="873"/>
      <c r="Y350" s="873"/>
      <c r="Z350" s="873"/>
      <c r="AA350" s="873"/>
      <c r="AB350" s="873"/>
      <c r="AC350" s="873"/>
      <c r="AD350" s="873"/>
      <c r="AE350" s="873"/>
      <c r="AF350" s="873"/>
      <c r="AG350" s="873"/>
      <c r="AH350" s="873"/>
      <c r="AI350" s="873"/>
      <c r="AJ350" s="873"/>
      <c r="AK350" s="873"/>
      <c r="AL350" s="873"/>
      <c r="AM350" s="873"/>
      <c r="AN350" s="873"/>
      <c r="AO350" s="873"/>
      <c r="AP350" s="873"/>
      <c r="AQ350" s="873"/>
      <c r="AR350" s="873"/>
      <c r="AS350" s="873"/>
      <c r="AT350" s="873"/>
      <c r="AU350" s="873"/>
      <c r="AV350" s="1228"/>
      <c r="AW350" s="1228"/>
      <c r="AX350" s="1228"/>
      <c r="AY350" s="1228"/>
    </row>
    <row r="351" spans="3:51" s="1208" customFormat="1" ht="15.75" customHeight="1" outlineLevel="1">
      <c r="C351" s="1222" t="s">
        <v>981</v>
      </c>
      <c r="L351" s="743"/>
      <c r="M351" s="743"/>
      <c r="O351" s="1242">
        <v>0.04</v>
      </c>
      <c r="R351" s="873"/>
      <c r="S351" s="873"/>
      <c r="T351" s="873"/>
      <c r="U351" s="873">
        <f t="shared" si="152"/>
        <v>0</v>
      </c>
      <c r="V351" s="873"/>
      <c r="W351" s="873"/>
      <c r="X351" s="873"/>
      <c r="Y351" s="873"/>
      <c r="Z351" s="873"/>
      <c r="AA351" s="873"/>
      <c r="AB351" s="873"/>
      <c r="AC351" s="873"/>
      <c r="AD351" s="873"/>
      <c r="AE351" s="873"/>
      <c r="AF351" s="873"/>
      <c r="AG351" s="873"/>
      <c r="AH351" s="873"/>
      <c r="AI351" s="873"/>
      <c r="AJ351" s="873"/>
      <c r="AK351" s="873"/>
      <c r="AL351" s="873"/>
      <c r="AM351" s="873"/>
      <c r="AN351" s="873"/>
      <c r="AO351" s="873"/>
      <c r="AP351" s="873"/>
      <c r="AQ351" s="873"/>
      <c r="AR351" s="873"/>
      <c r="AS351" s="873"/>
      <c r="AT351" s="873"/>
      <c r="AU351" s="873"/>
      <c r="AV351" s="1228"/>
      <c r="AW351" s="1228"/>
      <c r="AX351" s="1228"/>
      <c r="AY351" s="1228"/>
    </row>
    <row r="352" spans="3:51" s="1208" customFormat="1" ht="15.75" customHeight="1" outlineLevel="1">
      <c r="C352" s="1222" t="s">
        <v>1000</v>
      </c>
      <c r="L352" s="743"/>
      <c r="M352" s="743"/>
      <c r="R352" s="873" t="b">
        <f>R319&gt;=22</f>
        <v>0</v>
      </c>
      <c r="S352" s="873"/>
      <c r="T352" s="873" t="b">
        <f>T319&gt;=22</f>
        <v>0</v>
      </c>
      <c r="U352" s="873" t="b">
        <f t="shared" si="152"/>
        <v>0</v>
      </c>
      <c r="V352" s="873" t="b">
        <f t="shared" ref="V352:AU352" si="165">V319&gt;=22</f>
        <v>0</v>
      </c>
      <c r="W352" s="873" t="b">
        <f t="shared" si="165"/>
        <v>0</v>
      </c>
      <c r="X352" s="873" t="b">
        <f t="shared" si="165"/>
        <v>0</v>
      </c>
      <c r="Y352" s="873" t="b">
        <f t="shared" si="165"/>
        <v>0</v>
      </c>
      <c r="Z352" s="873" t="b">
        <f t="shared" si="165"/>
        <v>0</v>
      </c>
      <c r="AA352" s="873" t="b">
        <f t="shared" si="165"/>
        <v>0</v>
      </c>
      <c r="AB352" s="873" t="b">
        <f t="shared" si="165"/>
        <v>0</v>
      </c>
      <c r="AC352" s="873" t="b">
        <f t="shared" si="165"/>
        <v>0</v>
      </c>
      <c r="AD352" s="873" t="b">
        <f t="shared" si="165"/>
        <v>0</v>
      </c>
      <c r="AE352" s="873" t="b">
        <f t="shared" si="165"/>
        <v>0</v>
      </c>
      <c r="AF352" s="873" t="b">
        <f t="shared" si="165"/>
        <v>0</v>
      </c>
      <c r="AG352" s="873" t="b">
        <f t="shared" si="165"/>
        <v>0</v>
      </c>
      <c r="AH352" s="873" t="b">
        <f t="shared" si="165"/>
        <v>0</v>
      </c>
      <c r="AI352" s="873" t="b">
        <f t="shared" si="165"/>
        <v>0</v>
      </c>
      <c r="AJ352" s="873" t="b">
        <f t="shared" si="165"/>
        <v>0</v>
      </c>
      <c r="AK352" s="873" t="b">
        <f t="shared" si="165"/>
        <v>0</v>
      </c>
      <c r="AL352" s="873" t="b">
        <f t="shared" si="165"/>
        <v>0</v>
      </c>
      <c r="AM352" s="873" t="b">
        <f t="shared" si="165"/>
        <v>0</v>
      </c>
      <c r="AN352" s="873" t="b">
        <f t="shared" si="165"/>
        <v>0</v>
      </c>
      <c r="AO352" s="873" t="b">
        <f t="shared" si="165"/>
        <v>0</v>
      </c>
      <c r="AP352" s="873" t="b">
        <f t="shared" si="165"/>
        <v>0</v>
      </c>
      <c r="AQ352" s="873" t="b">
        <f t="shared" si="165"/>
        <v>0</v>
      </c>
      <c r="AR352" s="873" t="b">
        <f t="shared" si="165"/>
        <v>0</v>
      </c>
      <c r="AS352" s="873" t="b">
        <f t="shared" si="165"/>
        <v>0</v>
      </c>
      <c r="AT352" s="873" t="b">
        <f t="shared" si="165"/>
        <v>0</v>
      </c>
      <c r="AU352" s="873" t="b">
        <f t="shared" si="165"/>
        <v>0</v>
      </c>
      <c r="AV352" s="1228"/>
      <c r="AW352" s="1228"/>
      <c r="AX352" s="1228"/>
      <c r="AY352" s="1228"/>
    </row>
    <row r="353" spans="3:51" s="1208" customFormat="1" ht="15.75" customHeight="1" outlineLevel="1">
      <c r="C353" s="1222" t="s">
        <v>1001</v>
      </c>
      <c r="L353" s="743"/>
      <c r="M353" s="743"/>
      <c r="R353" s="873" t="b">
        <f>AND(R$317,R352)</f>
        <v>0</v>
      </c>
      <c r="S353" s="873"/>
      <c r="T353" s="873" t="b">
        <f>AND(T$317,T352)</f>
        <v>0</v>
      </c>
      <c r="U353" s="873" t="b">
        <f t="shared" si="152"/>
        <v>0</v>
      </c>
      <c r="V353" s="873" t="b">
        <f t="shared" ref="V353:AU353" si="166">AND(V$317,V352)</f>
        <v>0</v>
      </c>
      <c r="W353" s="873" t="b">
        <f t="shared" si="166"/>
        <v>0</v>
      </c>
      <c r="X353" s="873" t="b">
        <f t="shared" si="166"/>
        <v>0</v>
      </c>
      <c r="Y353" s="873" t="b">
        <f t="shared" si="166"/>
        <v>0</v>
      </c>
      <c r="Z353" s="873" t="b">
        <f t="shared" si="166"/>
        <v>0</v>
      </c>
      <c r="AA353" s="873" t="b">
        <f t="shared" si="166"/>
        <v>0</v>
      </c>
      <c r="AB353" s="873" t="b">
        <f t="shared" si="166"/>
        <v>0</v>
      </c>
      <c r="AC353" s="873" t="b">
        <f t="shared" si="166"/>
        <v>0</v>
      </c>
      <c r="AD353" s="873" t="b">
        <f t="shared" si="166"/>
        <v>0</v>
      </c>
      <c r="AE353" s="873" t="b">
        <f t="shared" si="166"/>
        <v>0</v>
      </c>
      <c r="AF353" s="873" t="b">
        <f t="shared" si="166"/>
        <v>0</v>
      </c>
      <c r="AG353" s="873" t="b">
        <f t="shared" si="166"/>
        <v>0</v>
      </c>
      <c r="AH353" s="873" t="b">
        <f t="shared" si="166"/>
        <v>0</v>
      </c>
      <c r="AI353" s="873" t="b">
        <f t="shared" si="166"/>
        <v>0</v>
      </c>
      <c r="AJ353" s="873" t="b">
        <f t="shared" si="166"/>
        <v>0</v>
      </c>
      <c r="AK353" s="873" t="b">
        <f t="shared" si="166"/>
        <v>0</v>
      </c>
      <c r="AL353" s="873" t="b">
        <f t="shared" si="166"/>
        <v>0</v>
      </c>
      <c r="AM353" s="873" t="b">
        <f t="shared" si="166"/>
        <v>0</v>
      </c>
      <c r="AN353" s="873" t="b">
        <f t="shared" si="166"/>
        <v>0</v>
      </c>
      <c r="AO353" s="873" t="b">
        <f t="shared" si="166"/>
        <v>0</v>
      </c>
      <c r="AP353" s="873" t="b">
        <f t="shared" si="166"/>
        <v>0</v>
      </c>
      <c r="AQ353" s="873" t="b">
        <f t="shared" si="166"/>
        <v>0</v>
      </c>
      <c r="AR353" s="873" t="b">
        <f t="shared" si="166"/>
        <v>0</v>
      </c>
      <c r="AS353" s="873" t="b">
        <f t="shared" si="166"/>
        <v>0</v>
      </c>
      <c r="AT353" s="873" t="b">
        <f t="shared" si="166"/>
        <v>0</v>
      </c>
      <c r="AU353" s="873" t="b">
        <f t="shared" si="166"/>
        <v>0</v>
      </c>
      <c r="AV353" s="1228"/>
      <c r="AW353" s="1228"/>
      <c r="AX353" s="1228"/>
      <c r="AY353" s="1228"/>
    </row>
    <row r="354" spans="3:51" s="1208" customFormat="1" ht="15.75" customHeight="1" outlineLevel="1">
      <c r="C354" s="1222" t="s">
        <v>1002</v>
      </c>
      <c r="L354" s="743"/>
      <c r="M354" s="743"/>
      <c r="R354" s="873">
        <f>R$315*$O351*R353</f>
        <v>0</v>
      </c>
      <c r="S354" s="873"/>
      <c r="T354" s="873">
        <f>T$315*$O351*T353</f>
        <v>0</v>
      </c>
      <c r="U354" s="873">
        <f t="shared" si="152"/>
        <v>0</v>
      </c>
      <c r="V354" s="873">
        <f t="shared" ref="V354:AU354" si="167">V$315*$O351*V353</f>
        <v>0</v>
      </c>
      <c r="W354" s="873">
        <f t="shared" si="167"/>
        <v>0</v>
      </c>
      <c r="X354" s="873">
        <f t="shared" si="167"/>
        <v>0</v>
      </c>
      <c r="Y354" s="873">
        <f t="shared" si="167"/>
        <v>0</v>
      </c>
      <c r="Z354" s="873">
        <f t="shared" si="167"/>
        <v>0</v>
      </c>
      <c r="AA354" s="873">
        <f t="shared" si="167"/>
        <v>0</v>
      </c>
      <c r="AB354" s="873">
        <f t="shared" si="167"/>
        <v>0</v>
      </c>
      <c r="AC354" s="873">
        <f t="shared" si="167"/>
        <v>0</v>
      </c>
      <c r="AD354" s="873">
        <f t="shared" si="167"/>
        <v>0</v>
      </c>
      <c r="AE354" s="873">
        <f t="shared" si="167"/>
        <v>0</v>
      </c>
      <c r="AF354" s="873">
        <f t="shared" si="167"/>
        <v>0</v>
      </c>
      <c r="AG354" s="873">
        <f t="shared" si="167"/>
        <v>0</v>
      </c>
      <c r="AH354" s="873">
        <f t="shared" si="167"/>
        <v>0</v>
      </c>
      <c r="AI354" s="873">
        <f t="shared" si="167"/>
        <v>0</v>
      </c>
      <c r="AJ354" s="873">
        <f t="shared" si="167"/>
        <v>0</v>
      </c>
      <c r="AK354" s="873">
        <f t="shared" si="167"/>
        <v>0</v>
      </c>
      <c r="AL354" s="873">
        <f t="shared" si="167"/>
        <v>0</v>
      </c>
      <c r="AM354" s="873">
        <f t="shared" si="167"/>
        <v>0</v>
      </c>
      <c r="AN354" s="873">
        <f t="shared" si="167"/>
        <v>0</v>
      </c>
      <c r="AO354" s="873">
        <f t="shared" si="167"/>
        <v>0</v>
      </c>
      <c r="AP354" s="873">
        <f t="shared" si="167"/>
        <v>0</v>
      </c>
      <c r="AQ354" s="873">
        <f t="shared" si="167"/>
        <v>0</v>
      </c>
      <c r="AR354" s="873">
        <f t="shared" si="167"/>
        <v>0</v>
      </c>
      <c r="AS354" s="873">
        <f t="shared" si="167"/>
        <v>0</v>
      </c>
      <c r="AT354" s="873">
        <f t="shared" si="167"/>
        <v>0</v>
      </c>
      <c r="AU354" s="873">
        <f t="shared" si="167"/>
        <v>0</v>
      </c>
      <c r="AV354" s="1228"/>
      <c r="AW354" s="1228"/>
      <c r="AX354" s="1228"/>
      <c r="AY354" s="1228"/>
    </row>
    <row r="355" spans="3:51" s="1208" customFormat="1" ht="15.75" customHeight="1" outlineLevel="1">
      <c r="C355" s="1222"/>
      <c r="L355" s="743"/>
      <c r="M355" s="743"/>
      <c r="R355" s="873"/>
      <c r="S355" s="873"/>
      <c r="T355" s="873"/>
      <c r="U355" s="873">
        <f t="shared" si="152"/>
        <v>0</v>
      </c>
      <c r="V355" s="873"/>
      <c r="W355" s="873"/>
      <c r="X355" s="873"/>
      <c r="Y355" s="873"/>
      <c r="Z355" s="873"/>
      <c r="AA355" s="873"/>
      <c r="AB355" s="873"/>
      <c r="AC355" s="873"/>
      <c r="AD355" s="873"/>
      <c r="AE355" s="873"/>
      <c r="AF355" s="873"/>
      <c r="AG355" s="873"/>
      <c r="AH355" s="873"/>
      <c r="AI355" s="873"/>
      <c r="AJ355" s="873"/>
      <c r="AK355" s="873"/>
      <c r="AL355" s="873"/>
      <c r="AM355" s="873"/>
      <c r="AN355" s="873"/>
      <c r="AO355" s="873"/>
      <c r="AP355" s="873"/>
      <c r="AQ355" s="873"/>
      <c r="AR355" s="873"/>
      <c r="AS355" s="873"/>
      <c r="AT355" s="873"/>
      <c r="AU355" s="873"/>
      <c r="AV355" s="1228"/>
      <c r="AW355" s="1228"/>
      <c r="AX355" s="1228"/>
      <c r="AY355" s="1228"/>
    </row>
    <row r="356" spans="3:51" s="1208" customFormat="1" ht="15.75" customHeight="1" outlineLevel="1">
      <c r="C356" s="1230" t="s">
        <v>1003</v>
      </c>
      <c r="L356" s="743"/>
      <c r="M356" s="743"/>
      <c r="R356" s="1210">
        <f>R324+R329+R334+R339+R344+R349+R354</f>
        <v>999585.72842530464</v>
      </c>
      <c r="S356" s="1210"/>
      <c r="T356" s="1210">
        <f>T324+T329+T334+T339+T344+T349+T354</f>
        <v>1125773.3471458275</v>
      </c>
      <c r="U356" s="1210">
        <f t="shared" si="152"/>
        <v>1125773.3471458275</v>
      </c>
      <c r="V356" s="1210">
        <f t="shared" ref="V356:AU356" si="168">V324+V329+V334+V339+V344+V349+V354</f>
        <v>5766997.5983441807</v>
      </c>
      <c r="W356" s="1210">
        <f t="shared" si="168"/>
        <v>6657653.6419076072</v>
      </c>
      <c r="X356" s="1210">
        <f t="shared" si="168"/>
        <v>6657653.6419076072</v>
      </c>
      <c r="Y356" s="1210">
        <f t="shared" si="168"/>
        <v>6657653.6419076072</v>
      </c>
      <c r="Z356" s="1210">
        <f t="shared" si="168"/>
        <v>6657653.6419076072</v>
      </c>
      <c r="AA356" s="1210">
        <f>AA324+AA329+AA334+AA339+AA344+AA349+AA354</f>
        <v>6657653.6419076072</v>
      </c>
      <c r="AB356" s="1210">
        <f t="shared" si="168"/>
        <v>6722766.3976016222</v>
      </c>
      <c r="AC356" s="1210">
        <f t="shared" si="168"/>
        <v>6722766.3976016222</v>
      </c>
      <c r="AD356" s="1210">
        <f t="shared" si="168"/>
        <v>6722766.3976016222</v>
      </c>
      <c r="AE356" s="1210">
        <f t="shared" si="168"/>
        <v>6722766.3976016222</v>
      </c>
      <c r="AF356" s="1210">
        <f t="shared" si="168"/>
        <v>6722766.3976016222</v>
      </c>
      <c r="AG356" s="1210">
        <f t="shared" si="168"/>
        <v>6722766.3976016222</v>
      </c>
      <c r="AH356" s="1210">
        <f t="shared" si="168"/>
        <v>6722766.3976016222</v>
      </c>
      <c r="AI356" s="1210">
        <f t="shared" si="168"/>
        <v>6722766.3976016222</v>
      </c>
      <c r="AJ356" s="1210">
        <f t="shared" si="168"/>
        <v>6722766.3976016222</v>
      </c>
      <c r="AK356" s="1210">
        <f t="shared" si="168"/>
        <v>6722766.3976016222</v>
      </c>
      <c r="AL356" s="1210">
        <f t="shared" si="168"/>
        <v>6722766.3976016222</v>
      </c>
      <c r="AM356" s="1210">
        <f t="shared" si="168"/>
        <v>6722766.3976016222</v>
      </c>
      <c r="AN356" s="1210">
        <f t="shared" si="168"/>
        <v>6722766.3976016222</v>
      </c>
      <c r="AO356" s="1210">
        <f t="shared" si="168"/>
        <v>6722766.3976016222</v>
      </c>
      <c r="AP356" s="1210">
        <f t="shared" si="168"/>
        <v>6722766.3976016222</v>
      </c>
      <c r="AQ356" s="1210">
        <f t="shared" si="168"/>
        <v>6722766.3976016222</v>
      </c>
      <c r="AR356" s="1210">
        <f t="shared" si="168"/>
        <v>6722766.3976016222</v>
      </c>
      <c r="AS356" s="1210">
        <f t="shared" si="168"/>
        <v>6722766.3976016222</v>
      </c>
      <c r="AT356" s="1210">
        <f t="shared" si="168"/>
        <v>6722766.3976016222</v>
      </c>
      <c r="AU356" s="1210">
        <f t="shared" si="168"/>
        <v>6722766.3976016222</v>
      </c>
      <c r="AV356" s="1228"/>
      <c r="AW356" s="1228"/>
      <c r="AX356" s="1228"/>
      <c r="AY356" s="1228"/>
    </row>
    <row r="357" spans="3:51" s="1208" customFormat="1" ht="15.75" customHeight="1" outlineLevel="1">
      <c r="C357" s="1230"/>
      <c r="L357" s="743"/>
      <c r="M357" s="743"/>
      <c r="R357" s="1210"/>
      <c r="S357" s="1210"/>
      <c r="T357" s="1210"/>
      <c r="U357" s="1210">
        <f t="shared" si="152"/>
        <v>0</v>
      </c>
      <c r="V357" s="1210"/>
      <c r="W357" s="1210"/>
      <c r="X357" s="1210"/>
      <c r="Y357" s="1210"/>
      <c r="Z357" s="1210"/>
      <c r="AA357" s="1210"/>
      <c r="AB357" s="1210"/>
      <c r="AC357" s="1210"/>
      <c r="AD357" s="1210"/>
      <c r="AE357" s="1210"/>
      <c r="AF357" s="1210"/>
      <c r="AG357" s="1210"/>
      <c r="AH357" s="1210"/>
      <c r="AI357" s="1210"/>
      <c r="AJ357" s="1210"/>
      <c r="AK357" s="1210"/>
      <c r="AL357" s="1210"/>
      <c r="AM357" s="1210"/>
      <c r="AN357" s="1210"/>
      <c r="AO357" s="1210"/>
      <c r="AP357" s="1210"/>
      <c r="AQ357" s="1210"/>
      <c r="AR357" s="1210"/>
      <c r="AS357" s="1210"/>
      <c r="AT357" s="1210"/>
      <c r="AU357" s="1210"/>
      <c r="AV357" s="1228"/>
      <c r="AW357" s="1228"/>
      <c r="AX357" s="1228"/>
      <c r="AY357" s="1228"/>
    </row>
    <row r="358" spans="3:51" s="855" customFormat="1" ht="15.75" customHeight="1" outlineLevel="1">
      <c r="C358" s="864" t="s">
        <v>1148</v>
      </c>
      <c r="L358" s="1304"/>
      <c r="M358" s="1304"/>
      <c r="R358" s="856"/>
      <c r="S358" s="856"/>
      <c r="T358" s="856"/>
      <c r="U358" s="856">
        <f t="shared" si="152"/>
        <v>0</v>
      </c>
      <c r="V358" s="856"/>
      <c r="W358" s="856"/>
      <c r="X358" s="856"/>
      <c r="Y358" s="856"/>
      <c r="Z358" s="856"/>
      <c r="AA358" s="856"/>
      <c r="AB358" s="856"/>
      <c r="AC358" s="856"/>
      <c r="AD358" s="856"/>
      <c r="AE358" s="856"/>
      <c r="AF358" s="856"/>
      <c r="AG358" s="856"/>
      <c r="AH358" s="856"/>
      <c r="AI358" s="856"/>
      <c r="AJ358" s="856"/>
      <c r="AK358" s="856"/>
      <c r="AL358" s="856"/>
      <c r="AM358" s="856"/>
      <c r="AN358" s="856"/>
      <c r="AO358" s="856"/>
      <c r="AP358" s="856"/>
      <c r="AQ358" s="856"/>
      <c r="AR358" s="856"/>
      <c r="AS358" s="856"/>
      <c r="AT358" s="856"/>
      <c r="AU358" s="856"/>
      <c r="AV358" s="863"/>
      <c r="AW358" s="863"/>
      <c r="AX358" s="863"/>
      <c r="AY358" s="863"/>
    </row>
    <row r="359" spans="3:51" s="855" customFormat="1" ht="15.75" customHeight="1" outlineLevel="1">
      <c r="C359" s="859" t="s">
        <v>980</v>
      </c>
      <c r="L359" s="1304"/>
      <c r="M359" s="1304"/>
      <c r="R359" s="852">
        <f>R$18/2204.63</f>
        <v>9.9789987435533387</v>
      </c>
      <c r="S359" s="852"/>
      <c r="T359" s="852">
        <f>T$18/2204.63</f>
        <v>11.339771299492432</v>
      </c>
      <c r="U359" s="852">
        <f t="shared" si="152"/>
        <v>11.339771299492432</v>
      </c>
      <c r="V359" s="852">
        <f>V$18/2204.63</f>
        <v>11.339771299492432</v>
      </c>
      <c r="W359" s="852">
        <f t="shared" ref="W359:AU359" si="169">W$18/2204.63</f>
        <v>11.339771299492432</v>
      </c>
      <c r="X359" s="852">
        <f t="shared" si="169"/>
        <v>11.339771299492432</v>
      </c>
      <c r="Y359" s="852">
        <f t="shared" si="169"/>
        <v>11.339771299492432</v>
      </c>
      <c r="Z359" s="852">
        <f t="shared" si="169"/>
        <v>11.339771299492432</v>
      </c>
      <c r="AA359" s="852">
        <f t="shared" si="169"/>
        <v>11.339771299492432</v>
      </c>
      <c r="AB359" s="852">
        <f t="shared" si="169"/>
        <v>11.339771299492432</v>
      </c>
      <c r="AC359" s="852">
        <f t="shared" si="169"/>
        <v>11.339771299492432</v>
      </c>
      <c r="AD359" s="852">
        <f t="shared" si="169"/>
        <v>11.339771299492432</v>
      </c>
      <c r="AE359" s="852">
        <f t="shared" si="169"/>
        <v>11.339771299492432</v>
      </c>
      <c r="AF359" s="852">
        <f t="shared" si="169"/>
        <v>11.339771299492432</v>
      </c>
      <c r="AG359" s="852">
        <f t="shared" si="169"/>
        <v>11.339771299492432</v>
      </c>
      <c r="AH359" s="852">
        <f t="shared" si="169"/>
        <v>11.339771299492432</v>
      </c>
      <c r="AI359" s="852">
        <f t="shared" si="169"/>
        <v>11.339771299492432</v>
      </c>
      <c r="AJ359" s="852">
        <f t="shared" si="169"/>
        <v>11.339771299492432</v>
      </c>
      <c r="AK359" s="852">
        <f t="shared" si="169"/>
        <v>11.339771299492432</v>
      </c>
      <c r="AL359" s="852">
        <f t="shared" si="169"/>
        <v>11.339771299492432</v>
      </c>
      <c r="AM359" s="852">
        <f t="shared" si="169"/>
        <v>11.339771299492432</v>
      </c>
      <c r="AN359" s="852">
        <f t="shared" si="169"/>
        <v>11.339771299492432</v>
      </c>
      <c r="AO359" s="852">
        <f t="shared" si="169"/>
        <v>11.339771299492432</v>
      </c>
      <c r="AP359" s="852">
        <f t="shared" si="169"/>
        <v>11.339771299492432</v>
      </c>
      <c r="AQ359" s="852">
        <f t="shared" si="169"/>
        <v>11.339771299492432</v>
      </c>
      <c r="AR359" s="852">
        <f t="shared" si="169"/>
        <v>11.339771299492432</v>
      </c>
      <c r="AS359" s="852">
        <f t="shared" si="169"/>
        <v>11.339771299492432</v>
      </c>
      <c r="AT359" s="852">
        <f t="shared" si="169"/>
        <v>11.339771299492432</v>
      </c>
      <c r="AU359" s="852">
        <f t="shared" si="169"/>
        <v>11.339771299492432</v>
      </c>
      <c r="AV359" s="863"/>
      <c r="AW359" s="863"/>
      <c r="AX359" s="863"/>
      <c r="AY359" s="863"/>
    </row>
    <row r="360" spans="3:51" s="855" customFormat="1" ht="15.75" customHeight="1" outlineLevel="1">
      <c r="C360" s="860" t="s">
        <v>1149</v>
      </c>
      <c r="D360" s="854"/>
      <c r="E360" s="854"/>
      <c r="F360" s="854"/>
      <c r="G360" s="854"/>
      <c r="H360" s="854"/>
      <c r="I360" s="854"/>
      <c r="J360" s="854"/>
      <c r="K360" s="854"/>
      <c r="L360" s="1305"/>
      <c r="M360" s="1305"/>
      <c r="N360" s="854"/>
      <c r="O360" s="577"/>
      <c r="P360" s="854"/>
      <c r="Q360" s="854"/>
      <c r="R360" s="866">
        <v>70</v>
      </c>
      <c r="S360" s="866"/>
      <c r="T360" s="866">
        <v>70</v>
      </c>
      <c r="U360" s="866">
        <f t="shared" si="152"/>
        <v>70</v>
      </c>
      <c r="V360" s="866">
        <v>70</v>
      </c>
      <c r="W360" s="866">
        <v>70</v>
      </c>
      <c r="X360" s="866">
        <v>70</v>
      </c>
      <c r="Y360" s="866">
        <v>70</v>
      </c>
      <c r="Z360" s="866">
        <v>70</v>
      </c>
      <c r="AA360" s="866">
        <v>70</v>
      </c>
      <c r="AB360" s="866">
        <v>70</v>
      </c>
      <c r="AC360" s="866">
        <v>70</v>
      </c>
      <c r="AD360" s="866">
        <v>70</v>
      </c>
      <c r="AE360" s="866">
        <v>70</v>
      </c>
      <c r="AF360" s="866">
        <v>70</v>
      </c>
      <c r="AG360" s="866">
        <v>70</v>
      </c>
      <c r="AH360" s="866">
        <v>70</v>
      </c>
      <c r="AI360" s="866">
        <v>70</v>
      </c>
      <c r="AJ360" s="866">
        <v>70</v>
      </c>
      <c r="AK360" s="866">
        <v>70</v>
      </c>
      <c r="AL360" s="866">
        <v>70</v>
      </c>
      <c r="AM360" s="866">
        <v>70</v>
      </c>
      <c r="AN360" s="866">
        <v>70</v>
      </c>
      <c r="AO360" s="866">
        <v>70</v>
      </c>
      <c r="AP360" s="866">
        <v>70</v>
      </c>
      <c r="AQ360" s="866">
        <v>70</v>
      </c>
      <c r="AR360" s="866">
        <v>70</v>
      </c>
      <c r="AS360" s="866">
        <v>70</v>
      </c>
      <c r="AT360" s="866">
        <v>70</v>
      </c>
      <c r="AU360" s="866">
        <v>70</v>
      </c>
      <c r="AV360" s="863"/>
      <c r="AW360" s="863"/>
      <c r="AX360" s="863"/>
      <c r="AY360" s="863"/>
    </row>
    <row r="361" spans="3:51" s="855" customFormat="1" ht="15.75" customHeight="1" outlineLevel="1">
      <c r="C361" s="860" t="s">
        <v>1150</v>
      </c>
      <c r="D361" s="854"/>
      <c r="E361" s="854"/>
      <c r="F361" s="854"/>
      <c r="G361" s="854"/>
      <c r="H361" s="854"/>
      <c r="I361" s="854"/>
      <c r="J361" s="854"/>
      <c r="K361" s="854"/>
      <c r="L361" s="1305"/>
      <c r="M361" s="1305"/>
      <c r="N361" s="854"/>
      <c r="O361" s="577"/>
      <c r="P361" s="854"/>
      <c r="Q361" s="854"/>
      <c r="R361" s="866">
        <f>R11</f>
        <v>99958572.842530459</v>
      </c>
      <c r="S361" s="866"/>
      <c r="T361" s="866">
        <f>T11</f>
        <v>112577334.71458274</v>
      </c>
      <c r="U361" s="866">
        <f t="shared" si="152"/>
        <v>112577334.71458274</v>
      </c>
      <c r="V361" s="866">
        <f>V11</f>
        <v>576699759.83441806</v>
      </c>
      <c r="W361" s="866">
        <f t="shared" ref="W361:AU361" si="170">W11</f>
        <v>665765364.19076073</v>
      </c>
      <c r="X361" s="866">
        <f t="shared" si="170"/>
        <v>665765364.19076073</v>
      </c>
      <c r="Y361" s="866">
        <f t="shared" si="170"/>
        <v>665765364.19076073</v>
      </c>
      <c r="Z361" s="866">
        <f t="shared" si="170"/>
        <v>665765364.19076073</v>
      </c>
      <c r="AA361" s="866">
        <f t="shared" si="170"/>
        <v>665765364.19076073</v>
      </c>
      <c r="AB361" s="866">
        <f t="shared" si="170"/>
        <v>672276639.76016223</v>
      </c>
      <c r="AC361" s="866">
        <f t="shared" si="170"/>
        <v>672276639.76016223</v>
      </c>
      <c r="AD361" s="866">
        <f t="shared" si="170"/>
        <v>672276639.76016223</v>
      </c>
      <c r="AE361" s="866">
        <f t="shared" si="170"/>
        <v>672276639.76016223</v>
      </c>
      <c r="AF361" s="866">
        <f t="shared" si="170"/>
        <v>672276639.76016223</v>
      </c>
      <c r="AG361" s="866">
        <f t="shared" si="170"/>
        <v>672276639.76016223</v>
      </c>
      <c r="AH361" s="866">
        <f t="shared" si="170"/>
        <v>672276639.76016223</v>
      </c>
      <c r="AI361" s="866">
        <f t="shared" si="170"/>
        <v>672276639.76016223</v>
      </c>
      <c r="AJ361" s="866">
        <f t="shared" si="170"/>
        <v>672276639.76016223</v>
      </c>
      <c r="AK361" s="866">
        <f t="shared" si="170"/>
        <v>672276639.76016223</v>
      </c>
      <c r="AL361" s="866">
        <f t="shared" si="170"/>
        <v>672276639.76016223</v>
      </c>
      <c r="AM361" s="866">
        <f t="shared" si="170"/>
        <v>672276639.76016223</v>
      </c>
      <c r="AN361" s="866">
        <f t="shared" si="170"/>
        <v>672276639.76016223</v>
      </c>
      <c r="AO361" s="866">
        <f t="shared" si="170"/>
        <v>672276639.76016223</v>
      </c>
      <c r="AP361" s="866">
        <f t="shared" si="170"/>
        <v>672276639.76016223</v>
      </c>
      <c r="AQ361" s="866">
        <f t="shared" si="170"/>
        <v>672276639.76016223</v>
      </c>
      <c r="AR361" s="866">
        <f t="shared" si="170"/>
        <v>672276639.76016223</v>
      </c>
      <c r="AS361" s="866">
        <f t="shared" si="170"/>
        <v>672276639.76016223</v>
      </c>
      <c r="AT361" s="866">
        <f t="shared" si="170"/>
        <v>672276639.76016223</v>
      </c>
      <c r="AU361" s="866">
        <f t="shared" si="170"/>
        <v>672276639.76016223</v>
      </c>
      <c r="AV361" s="863"/>
      <c r="AW361" s="863"/>
      <c r="AX361" s="863"/>
      <c r="AY361" s="863"/>
    </row>
    <row r="362" spans="3:51" s="855" customFormat="1" ht="15.75" customHeight="1" outlineLevel="1">
      <c r="C362" s="860"/>
      <c r="D362" s="854"/>
      <c r="E362" s="854"/>
      <c r="F362" s="854"/>
      <c r="G362" s="854"/>
      <c r="H362" s="854"/>
      <c r="I362" s="854"/>
      <c r="J362" s="854"/>
      <c r="K362" s="854"/>
      <c r="L362" s="1305"/>
      <c r="M362" s="1305"/>
      <c r="N362" s="854"/>
      <c r="O362" s="577"/>
      <c r="P362" s="854"/>
      <c r="Q362" s="854"/>
      <c r="R362" s="866"/>
      <c r="S362" s="866"/>
      <c r="T362" s="866"/>
      <c r="U362" s="866">
        <f t="shared" si="152"/>
        <v>0</v>
      </c>
      <c r="V362" s="866"/>
      <c r="W362" s="866"/>
      <c r="X362" s="866"/>
      <c r="Y362" s="866"/>
      <c r="Z362" s="866"/>
      <c r="AA362" s="866"/>
      <c r="AB362" s="866"/>
      <c r="AC362" s="866"/>
      <c r="AD362" s="866"/>
      <c r="AE362" s="866"/>
      <c r="AF362" s="866"/>
      <c r="AG362" s="866"/>
      <c r="AH362" s="866"/>
      <c r="AI362" s="866"/>
      <c r="AJ362" s="866"/>
      <c r="AK362" s="866"/>
      <c r="AL362" s="866"/>
      <c r="AM362" s="866"/>
      <c r="AN362" s="866"/>
      <c r="AO362" s="866"/>
      <c r="AP362" s="866"/>
      <c r="AQ362" s="866"/>
      <c r="AR362" s="866"/>
      <c r="AS362" s="866"/>
      <c r="AT362" s="866"/>
      <c r="AU362" s="866"/>
      <c r="AV362" s="863"/>
      <c r="AW362" s="863"/>
      <c r="AX362" s="863"/>
      <c r="AY362" s="863"/>
    </row>
    <row r="363" spans="3:51" s="1208" customFormat="1" ht="15.75" customHeight="1" outlineLevel="1">
      <c r="C363" s="728" t="s">
        <v>1151</v>
      </c>
      <c r="D363" s="214"/>
      <c r="E363" s="214"/>
      <c r="F363" s="214"/>
      <c r="G363" s="214"/>
      <c r="H363" s="214"/>
      <c r="I363" s="214"/>
      <c r="J363" s="214"/>
      <c r="K363" s="214"/>
      <c r="L363" s="215"/>
      <c r="M363" s="215"/>
      <c r="N363" s="214"/>
      <c r="O363" s="214"/>
      <c r="P363" s="214"/>
      <c r="Q363" s="214"/>
      <c r="R363" s="873"/>
      <c r="S363" s="873"/>
      <c r="T363" s="873"/>
      <c r="U363" s="873">
        <f t="shared" si="152"/>
        <v>0</v>
      </c>
      <c r="V363" s="873"/>
      <c r="W363" s="873"/>
      <c r="X363" s="873"/>
      <c r="Y363" s="873"/>
      <c r="Z363" s="873"/>
      <c r="AA363" s="873"/>
      <c r="AB363" s="873"/>
      <c r="AC363" s="873"/>
      <c r="AD363" s="873"/>
      <c r="AE363" s="873"/>
      <c r="AF363" s="873"/>
      <c r="AG363" s="873"/>
      <c r="AH363" s="873"/>
      <c r="AI363" s="873"/>
      <c r="AJ363" s="873"/>
      <c r="AK363" s="873"/>
      <c r="AL363" s="873"/>
      <c r="AM363" s="873"/>
      <c r="AN363" s="873"/>
      <c r="AO363" s="873"/>
      <c r="AP363" s="873"/>
      <c r="AQ363" s="873"/>
      <c r="AR363" s="873"/>
      <c r="AS363" s="873"/>
      <c r="AT363" s="873"/>
      <c r="AU363" s="873"/>
      <c r="AV363" s="1228"/>
      <c r="AW363" s="1228"/>
      <c r="AX363" s="1228"/>
      <c r="AY363" s="1228"/>
    </row>
    <row r="364" spans="3:51" s="1208" customFormat="1" ht="15.75" customHeight="1" outlineLevel="1">
      <c r="C364" s="1254" t="s">
        <v>183</v>
      </c>
      <c r="D364" s="214"/>
      <c r="E364" s="214"/>
      <c r="F364" s="214"/>
      <c r="G364" s="214"/>
      <c r="H364" s="214"/>
      <c r="I364" s="214"/>
      <c r="J364" s="214"/>
      <c r="K364" s="214"/>
      <c r="L364" s="215"/>
      <c r="M364" s="215"/>
      <c r="N364" s="214"/>
      <c r="O364" s="214"/>
      <c r="P364" s="214"/>
      <c r="Q364" s="214"/>
      <c r="R364" s="873">
        <f>R11</f>
        <v>99958572.842530459</v>
      </c>
      <c r="S364" s="873"/>
      <c r="T364" s="873">
        <f>T11</f>
        <v>112577334.71458274</v>
      </c>
      <c r="U364" s="873">
        <f t="shared" si="152"/>
        <v>112577334.71458274</v>
      </c>
      <c r="V364" s="873">
        <f t="shared" ref="V364:AU364" si="171">V11</f>
        <v>576699759.83441806</v>
      </c>
      <c r="W364" s="873">
        <f t="shared" si="171"/>
        <v>665765364.19076073</v>
      </c>
      <c r="X364" s="873">
        <f t="shared" si="171"/>
        <v>665765364.19076073</v>
      </c>
      <c r="Y364" s="873">
        <f t="shared" si="171"/>
        <v>665765364.19076073</v>
      </c>
      <c r="Z364" s="873">
        <f t="shared" si="171"/>
        <v>665765364.19076073</v>
      </c>
      <c r="AA364" s="873">
        <f t="shared" si="171"/>
        <v>665765364.19076073</v>
      </c>
      <c r="AB364" s="873">
        <f t="shared" si="171"/>
        <v>672276639.76016223</v>
      </c>
      <c r="AC364" s="873">
        <f t="shared" si="171"/>
        <v>672276639.76016223</v>
      </c>
      <c r="AD364" s="873">
        <f t="shared" si="171"/>
        <v>672276639.76016223</v>
      </c>
      <c r="AE364" s="873">
        <f t="shared" si="171"/>
        <v>672276639.76016223</v>
      </c>
      <c r="AF364" s="873">
        <f t="shared" si="171"/>
        <v>672276639.76016223</v>
      </c>
      <c r="AG364" s="873">
        <f t="shared" si="171"/>
        <v>672276639.76016223</v>
      </c>
      <c r="AH364" s="873">
        <f t="shared" si="171"/>
        <v>672276639.76016223</v>
      </c>
      <c r="AI364" s="873">
        <f t="shared" si="171"/>
        <v>672276639.76016223</v>
      </c>
      <c r="AJ364" s="873">
        <f t="shared" si="171"/>
        <v>672276639.76016223</v>
      </c>
      <c r="AK364" s="873">
        <f t="shared" si="171"/>
        <v>672276639.76016223</v>
      </c>
      <c r="AL364" s="873">
        <f t="shared" si="171"/>
        <v>672276639.76016223</v>
      </c>
      <c r="AM364" s="873">
        <f t="shared" si="171"/>
        <v>672276639.76016223</v>
      </c>
      <c r="AN364" s="873">
        <f t="shared" si="171"/>
        <v>672276639.76016223</v>
      </c>
      <c r="AO364" s="873">
        <f t="shared" si="171"/>
        <v>672276639.76016223</v>
      </c>
      <c r="AP364" s="873">
        <f t="shared" si="171"/>
        <v>672276639.76016223</v>
      </c>
      <c r="AQ364" s="873">
        <f t="shared" si="171"/>
        <v>672276639.76016223</v>
      </c>
      <c r="AR364" s="873">
        <f t="shared" si="171"/>
        <v>672276639.76016223</v>
      </c>
      <c r="AS364" s="873">
        <f t="shared" si="171"/>
        <v>672276639.76016223</v>
      </c>
      <c r="AT364" s="873">
        <f t="shared" si="171"/>
        <v>672276639.76016223</v>
      </c>
      <c r="AU364" s="873">
        <f t="shared" si="171"/>
        <v>672276639.76016223</v>
      </c>
      <c r="AV364" s="1228"/>
      <c r="AW364" s="1228"/>
      <c r="AX364" s="1228"/>
      <c r="AY364" s="1228"/>
    </row>
    <row r="365" spans="3:51" s="1208" customFormat="1" ht="15.75" customHeight="1" outlineLevel="1">
      <c r="C365" s="1254" t="s">
        <v>1152</v>
      </c>
      <c r="D365" s="214"/>
      <c r="E365" s="214"/>
      <c r="F365" s="214"/>
      <c r="G365" s="214"/>
      <c r="H365" s="214"/>
      <c r="I365" s="214"/>
      <c r="J365" s="214"/>
      <c r="K365" s="214"/>
      <c r="L365" s="215"/>
      <c r="M365" s="215"/>
      <c r="N365" s="214"/>
      <c r="O365" s="214"/>
      <c r="P365" s="214"/>
      <c r="Q365" s="214"/>
      <c r="R365" s="214"/>
      <c r="S365" s="214"/>
      <c r="T365" s="214"/>
      <c r="U365" s="214">
        <f t="shared" si="152"/>
        <v>0</v>
      </c>
      <c r="V365" s="214"/>
      <c r="W365" s="214"/>
      <c r="X365" s="214"/>
      <c r="Y365" s="214"/>
      <c r="Z365" s="214"/>
      <c r="AA365" s="214"/>
      <c r="AB365" s="214"/>
      <c r="AC365" s="214"/>
      <c r="AD365" s="214"/>
      <c r="AE365" s="214"/>
      <c r="AF365" s="214"/>
      <c r="AG365" s="214"/>
      <c r="AH365" s="214"/>
      <c r="AI365" s="214"/>
      <c r="AJ365" s="214"/>
      <c r="AK365" s="214"/>
      <c r="AL365" s="214"/>
      <c r="AM365" s="214"/>
      <c r="AN365" s="214"/>
      <c r="AO365" s="214"/>
      <c r="AP365" s="214"/>
      <c r="AQ365" s="214"/>
      <c r="AR365" s="214"/>
      <c r="AS365" s="214"/>
      <c r="AT365" s="214"/>
      <c r="AU365" s="214"/>
      <c r="AV365" s="1228"/>
      <c r="AW365" s="1228"/>
      <c r="AX365" s="1228"/>
      <c r="AY365" s="1228"/>
    </row>
    <row r="366" spans="3:51" s="1208" customFormat="1" ht="15.75" customHeight="1" outlineLevel="1">
      <c r="C366" s="1254" t="s">
        <v>1153</v>
      </c>
      <c r="D366" s="214"/>
      <c r="E366" s="214"/>
      <c r="F366" s="214"/>
      <c r="G366" s="214"/>
      <c r="H366" s="214"/>
      <c r="I366" s="214"/>
      <c r="J366" s="214"/>
      <c r="K366" s="214"/>
      <c r="L366" s="215"/>
      <c r="M366" s="215"/>
      <c r="N366" s="214"/>
      <c r="O366" s="214"/>
      <c r="P366" s="214"/>
      <c r="Q366" s="214"/>
      <c r="R366" s="873">
        <f t="shared" ref="R366:AU366" si="172">R589-Q589</f>
        <v>19237794.598147023</v>
      </c>
      <c r="S366" s="873"/>
      <c r="T366" s="873">
        <f t="shared" si="172"/>
        <v>21666372.178580251</v>
      </c>
      <c r="U366" s="873">
        <f t="shared" si="152"/>
        <v>21666372.178580251</v>
      </c>
      <c r="V366" s="873">
        <f>V589-R589</f>
        <v>91752500.771244094</v>
      </c>
      <c r="W366" s="873">
        <f t="shared" si="172"/>
        <v>17141359.201540336</v>
      </c>
      <c r="X366" s="873">
        <f t="shared" si="172"/>
        <v>0</v>
      </c>
      <c r="Y366" s="873">
        <f t="shared" si="172"/>
        <v>0</v>
      </c>
      <c r="Z366" s="873">
        <f t="shared" si="172"/>
        <v>0</v>
      </c>
      <c r="AA366" s="873">
        <f t="shared" si="172"/>
        <v>0</v>
      </c>
      <c r="AB366" s="873">
        <f t="shared" si="172"/>
        <v>1253144.9620975554</v>
      </c>
      <c r="AC366" s="873">
        <f t="shared" si="172"/>
        <v>0</v>
      </c>
      <c r="AD366" s="873">
        <f t="shared" si="172"/>
        <v>0</v>
      </c>
      <c r="AE366" s="873">
        <f t="shared" si="172"/>
        <v>0</v>
      </c>
      <c r="AF366" s="873">
        <f t="shared" si="172"/>
        <v>0</v>
      </c>
      <c r="AG366" s="873">
        <f t="shared" si="172"/>
        <v>0</v>
      </c>
      <c r="AH366" s="873">
        <f t="shared" si="172"/>
        <v>0</v>
      </c>
      <c r="AI366" s="873">
        <f t="shared" si="172"/>
        <v>0</v>
      </c>
      <c r="AJ366" s="873">
        <f t="shared" si="172"/>
        <v>0</v>
      </c>
      <c r="AK366" s="873">
        <f t="shared" si="172"/>
        <v>0</v>
      </c>
      <c r="AL366" s="873">
        <f t="shared" si="172"/>
        <v>0</v>
      </c>
      <c r="AM366" s="873">
        <f t="shared" si="172"/>
        <v>0</v>
      </c>
      <c r="AN366" s="873">
        <f t="shared" si="172"/>
        <v>0</v>
      </c>
      <c r="AO366" s="873">
        <f t="shared" si="172"/>
        <v>0</v>
      </c>
      <c r="AP366" s="873">
        <f t="shared" si="172"/>
        <v>0</v>
      </c>
      <c r="AQ366" s="873">
        <f t="shared" si="172"/>
        <v>0</v>
      </c>
      <c r="AR366" s="873">
        <f t="shared" si="172"/>
        <v>0</v>
      </c>
      <c r="AS366" s="873">
        <f t="shared" si="172"/>
        <v>0</v>
      </c>
      <c r="AT366" s="873">
        <f t="shared" si="172"/>
        <v>0</v>
      </c>
      <c r="AU366" s="873">
        <f t="shared" si="172"/>
        <v>0</v>
      </c>
      <c r="AV366" s="1228"/>
      <c r="AW366" s="1228"/>
      <c r="AX366" s="1228"/>
      <c r="AY366" s="1228"/>
    </row>
    <row r="367" spans="3:51" s="1208" customFormat="1" ht="15.75" customHeight="1" outlineLevel="1">
      <c r="C367" s="1254" t="s">
        <v>1154</v>
      </c>
      <c r="D367" s="214"/>
      <c r="E367" s="214"/>
      <c r="F367" s="214"/>
      <c r="G367" s="214"/>
      <c r="H367" s="214"/>
      <c r="I367" s="214"/>
      <c r="J367" s="214"/>
      <c r="K367" s="214"/>
      <c r="L367" s="215"/>
      <c r="M367" s="215"/>
      <c r="N367" s="214"/>
      <c r="O367" s="214"/>
      <c r="P367" s="214"/>
      <c r="Q367" s="214"/>
      <c r="R367" s="873">
        <f>R289</f>
        <v>3058732.3289814321</v>
      </c>
      <c r="S367" s="873"/>
      <c r="T367" s="873">
        <f>T289</f>
        <v>3444866.4422662319</v>
      </c>
      <c r="U367" s="873">
        <f t="shared" si="152"/>
        <v>3444866.4422662319</v>
      </c>
      <c r="V367" s="873">
        <f>V289</f>
        <v>17647012.650933191</v>
      </c>
      <c r="W367" s="873">
        <f t="shared" ref="W367:AU367" si="173">W289</f>
        <v>20372420.14423728</v>
      </c>
      <c r="X367" s="873">
        <f t="shared" si="173"/>
        <v>20372420.14423728</v>
      </c>
      <c r="Y367" s="873">
        <f t="shared" si="173"/>
        <v>20372420.14423728</v>
      </c>
      <c r="Z367" s="873">
        <f t="shared" si="173"/>
        <v>20372420.14423728</v>
      </c>
      <c r="AA367" s="873">
        <f t="shared" si="173"/>
        <v>20372420.14423728</v>
      </c>
      <c r="AB367" s="873">
        <f t="shared" si="173"/>
        <v>20571665.176660966</v>
      </c>
      <c r="AC367" s="873">
        <f t="shared" si="173"/>
        <v>20571665.176660966</v>
      </c>
      <c r="AD367" s="873">
        <f t="shared" si="173"/>
        <v>20571665.176660966</v>
      </c>
      <c r="AE367" s="873">
        <f t="shared" si="173"/>
        <v>20571665.176660966</v>
      </c>
      <c r="AF367" s="873">
        <f t="shared" si="173"/>
        <v>20571665.176660966</v>
      </c>
      <c r="AG367" s="873">
        <f t="shared" si="173"/>
        <v>20571665.176660966</v>
      </c>
      <c r="AH367" s="873">
        <f t="shared" si="173"/>
        <v>20571665.176660966</v>
      </c>
      <c r="AI367" s="873">
        <f t="shared" si="173"/>
        <v>20571665.176660966</v>
      </c>
      <c r="AJ367" s="873">
        <f t="shared" si="173"/>
        <v>20571665.176660966</v>
      </c>
      <c r="AK367" s="873">
        <f t="shared" si="173"/>
        <v>20571665.176660966</v>
      </c>
      <c r="AL367" s="873">
        <f t="shared" si="173"/>
        <v>20571665.176660966</v>
      </c>
      <c r="AM367" s="873">
        <f t="shared" si="173"/>
        <v>20571665.176660966</v>
      </c>
      <c r="AN367" s="873">
        <f t="shared" si="173"/>
        <v>20571665.176660966</v>
      </c>
      <c r="AO367" s="873">
        <f t="shared" si="173"/>
        <v>20571665.176660966</v>
      </c>
      <c r="AP367" s="873">
        <f t="shared" si="173"/>
        <v>20571665.176660966</v>
      </c>
      <c r="AQ367" s="873">
        <f t="shared" si="173"/>
        <v>20571665.176660966</v>
      </c>
      <c r="AR367" s="873">
        <f t="shared" si="173"/>
        <v>20571665.176660966</v>
      </c>
      <c r="AS367" s="873">
        <f t="shared" si="173"/>
        <v>20571665.176660966</v>
      </c>
      <c r="AT367" s="873">
        <f t="shared" si="173"/>
        <v>20571665.176660966</v>
      </c>
      <c r="AU367" s="873">
        <f t="shared" si="173"/>
        <v>20571665.176660966</v>
      </c>
      <c r="AV367" s="1228"/>
      <c r="AW367" s="1228"/>
      <c r="AX367" s="1228"/>
      <c r="AY367" s="1228"/>
    </row>
    <row r="368" spans="3:51" s="1208" customFormat="1" ht="15.75" customHeight="1" outlineLevel="1">
      <c r="C368" s="1254" t="s">
        <v>1155</v>
      </c>
      <c r="D368" s="214"/>
      <c r="E368" s="214"/>
      <c r="F368" s="214"/>
      <c r="G368" s="214"/>
      <c r="H368" s="214"/>
      <c r="I368" s="214"/>
      <c r="J368" s="214"/>
      <c r="K368" s="214"/>
      <c r="L368" s="215"/>
      <c r="M368" s="215"/>
      <c r="N368" s="214"/>
      <c r="O368" s="214"/>
      <c r="P368" s="214"/>
      <c r="Q368" s="214"/>
      <c r="R368" s="873">
        <f>R301</f>
        <v>1904667.9531695875</v>
      </c>
      <c r="S368" s="873"/>
      <c r="T368" s="873">
        <f>T301</f>
        <v>2136566.7046510256</v>
      </c>
      <c r="U368" s="873">
        <f t="shared" si="152"/>
        <v>2136566.7046510256</v>
      </c>
      <c r="V368" s="873">
        <f t="shared" ref="V368:AU368" si="174">V301</f>
        <v>14899933.395446496</v>
      </c>
      <c r="W368" s="873">
        <f t="shared" si="174"/>
        <v>17349237.515245922</v>
      </c>
      <c r="X368" s="873">
        <f t="shared" si="174"/>
        <v>17349237.515245922</v>
      </c>
      <c r="Y368" s="873">
        <f t="shared" si="174"/>
        <v>17349237.515245922</v>
      </c>
      <c r="Z368" s="873">
        <f t="shared" si="174"/>
        <v>17349237.515245922</v>
      </c>
      <c r="AA368" s="873">
        <f t="shared" si="174"/>
        <v>17349237.515245922</v>
      </c>
      <c r="AB368" s="873">
        <f t="shared" si="174"/>
        <v>17528297.593404461</v>
      </c>
      <c r="AC368" s="873">
        <f t="shared" si="174"/>
        <v>17528297.593404461</v>
      </c>
      <c r="AD368" s="873">
        <f t="shared" si="174"/>
        <v>17528297.593404461</v>
      </c>
      <c r="AE368" s="873">
        <f t="shared" si="174"/>
        <v>17528297.593404461</v>
      </c>
      <c r="AF368" s="873">
        <f t="shared" si="174"/>
        <v>17528297.593404461</v>
      </c>
      <c r="AG368" s="873">
        <f t="shared" si="174"/>
        <v>17528297.593404461</v>
      </c>
      <c r="AH368" s="873">
        <f t="shared" si="174"/>
        <v>17528297.593404461</v>
      </c>
      <c r="AI368" s="873">
        <f t="shared" si="174"/>
        <v>17528297.593404461</v>
      </c>
      <c r="AJ368" s="873">
        <f t="shared" si="174"/>
        <v>17528297.593404461</v>
      </c>
      <c r="AK368" s="873">
        <f t="shared" si="174"/>
        <v>17528297.593404461</v>
      </c>
      <c r="AL368" s="873">
        <f t="shared" si="174"/>
        <v>17528297.593404461</v>
      </c>
      <c r="AM368" s="873">
        <f t="shared" si="174"/>
        <v>17528297.593404461</v>
      </c>
      <c r="AN368" s="873">
        <f t="shared" si="174"/>
        <v>17528297.593404461</v>
      </c>
      <c r="AO368" s="873">
        <f t="shared" si="174"/>
        <v>17528297.593404461</v>
      </c>
      <c r="AP368" s="873">
        <f t="shared" si="174"/>
        <v>17528297.593404461</v>
      </c>
      <c r="AQ368" s="873">
        <f t="shared" si="174"/>
        <v>17528297.593404461</v>
      </c>
      <c r="AR368" s="873">
        <f t="shared" si="174"/>
        <v>17528297.593404461</v>
      </c>
      <c r="AS368" s="873">
        <f t="shared" si="174"/>
        <v>17528297.593404461</v>
      </c>
      <c r="AT368" s="873">
        <f t="shared" si="174"/>
        <v>17528297.593404461</v>
      </c>
      <c r="AU368" s="873">
        <f t="shared" si="174"/>
        <v>17528297.593404461</v>
      </c>
      <c r="AV368" s="1228"/>
      <c r="AW368" s="1228"/>
      <c r="AX368" s="1228"/>
      <c r="AY368" s="1228"/>
    </row>
    <row r="369" spans="3:51" s="1208" customFormat="1" ht="15.75" customHeight="1" outlineLevel="1">
      <c r="C369" s="1254" t="s">
        <v>1156</v>
      </c>
      <c r="D369" s="214"/>
      <c r="E369" s="214"/>
      <c r="F369" s="214"/>
      <c r="G369" s="214"/>
      <c r="H369" s="214"/>
      <c r="I369" s="214"/>
      <c r="J369" s="214"/>
      <c r="K369" s="214"/>
      <c r="L369" s="215"/>
      <c r="M369" s="215"/>
      <c r="N369" s="214"/>
      <c r="O369" s="214"/>
      <c r="P369" s="214"/>
      <c r="Q369" s="214"/>
      <c r="R369" s="873">
        <v>0</v>
      </c>
      <c r="S369" s="873"/>
      <c r="T369" s="873">
        <v>0</v>
      </c>
      <c r="U369" s="873">
        <f t="shared" si="152"/>
        <v>0</v>
      </c>
      <c r="V369" s="873">
        <v>0</v>
      </c>
      <c r="W369" s="873">
        <v>0</v>
      </c>
      <c r="X369" s="873">
        <v>0</v>
      </c>
      <c r="Y369" s="873">
        <v>0</v>
      </c>
      <c r="Z369" s="873">
        <v>0</v>
      </c>
      <c r="AA369" s="873">
        <v>0</v>
      </c>
      <c r="AB369" s="873">
        <v>0</v>
      </c>
      <c r="AC369" s="873">
        <v>0</v>
      </c>
      <c r="AD369" s="873">
        <v>0</v>
      </c>
      <c r="AE369" s="873">
        <v>0</v>
      </c>
      <c r="AF369" s="873">
        <v>0</v>
      </c>
      <c r="AG369" s="873">
        <v>0</v>
      </c>
      <c r="AH369" s="873">
        <v>0</v>
      </c>
      <c r="AI369" s="873">
        <v>0</v>
      </c>
      <c r="AJ369" s="873">
        <v>0</v>
      </c>
      <c r="AK369" s="873">
        <v>0</v>
      </c>
      <c r="AL369" s="873">
        <v>0</v>
      </c>
      <c r="AM369" s="873">
        <v>0</v>
      </c>
      <c r="AN369" s="873">
        <v>0</v>
      </c>
      <c r="AO369" s="873">
        <v>0</v>
      </c>
      <c r="AP369" s="873">
        <v>0</v>
      </c>
      <c r="AQ369" s="873">
        <v>0</v>
      </c>
      <c r="AR369" s="873">
        <v>0</v>
      </c>
      <c r="AS369" s="873">
        <v>0</v>
      </c>
      <c r="AT369" s="873">
        <v>0</v>
      </c>
      <c r="AU369" s="873">
        <v>0</v>
      </c>
      <c r="AV369" s="1228"/>
      <c r="AW369" s="1228"/>
      <c r="AX369" s="1228"/>
      <c r="AY369" s="1228"/>
    </row>
    <row r="370" spans="3:51" s="1208" customFormat="1" ht="15.75" customHeight="1" outlineLevel="1">
      <c r="C370" s="1254" t="s">
        <v>1157</v>
      </c>
      <c r="D370" s="214"/>
      <c r="E370" s="214"/>
      <c r="F370" s="214"/>
      <c r="G370" s="214"/>
      <c r="H370" s="214"/>
      <c r="I370" s="214"/>
      <c r="J370" s="214"/>
      <c r="K370" s="214"/>
      <c r="L370" s="215"/>
      <c r="M370" s="215"/>
      <c r="N370" s="214"/>
      <c r="O370" s="214"/>
      <c r="P370" s="214"/>
      <c r="Q370" s="214"/>
      <c r="R370" s="873">
        <f>R239+R241</f>
        <v>10831662.526199669</v>
      </c>
      <c r="S370" s="873"/>
      <c r="T370" s="873">
        <f>T239+T241</f>
        <v>10831662.526199669</v>
      </c>
      <c r="U370" s="873">
        <f t="shared" si="152"/>
        <v>10831662.526199669</v>
      </c>
      <c r="V370" s="873">
        <f>V239+V241</f>
        <v>14246645.278383199</v>
      </c>
      <c r="W370" s="873">
        <f t="shared" ref="W370:AU370" si="175">W239+W241</f>
        <v>14901984.228254408</v>
      </c>
      <c r="X370" s="873">
        <f t="shared" si="175"/>
        <v>14901984.228254408</v>
      </c>
      <c r="Y370" s="873">
        <f t="shared" si="175"/>
        <v>14901984.228254408</v>
      </c>
      <c r="Z370" s="873">
        <f t="shared" si="175"/>
        <v>14901984.228254408</v>
      </c>
      <c r="AA370" s="873">
        <f t="shared" si="175"/>
        <v>14901984.228254408</v>
      </c>
      <c r="AB370" s="873">
        <f t="shared" si="175"/>
        <v>14901984.228254408</v>
      </c>
      <c r="AC370" s="873">
        <f t="shared" si="175"/>
        <v>14901984.228254408</v>
      </c>
      <c r="AD370" s="873">
        <f t="shared" si="175"/>
        <v>14901984.228254408</v>
      </c>
      <c r="AE370" s="873">
        <f t="shared" si="175"/>
        <v>14901984.228254408</v>
      </c>
      <c r="AF370" s="873">
        <f t="shared" si="175"/>
        <v>14901984.228254408</v>
      </c>
      <c r="AG370" s="873">
        <f t="shared" si="175"/>
        <v>14901984.228254408</v>
      </c>
      <c r="AH370" s="873">
        <f t="shared" si="175"/>
        <v>14901984.228254408</v>
      </c>
      <c r="AI370" s="873">
        <f t="shared" si="175"/>
        <v>14901984.228254408</v>
      </c>
      <c r="AJ370" s="873">
        <f t="shared" si="175"/>
        <v>14901984.228254408</v>
      </c>
      <c r="AK370" s="873">
        <f t="shared" si="175"/>
        <v>14901984.228254408</v>
      </c>
      <c r="AL370" s="873">
        <f t="shared" si="175"/>
        <v>14901984.228254408</v>
      </c>
      <c r="AM370" s="873">
        <f t="shared" si="175"/>
        <v>14901984.228254408</v>
      </c>
      <c r="AN370" s="873">
        <f t="shared" si="175"/>
        <v>14901984.228254408</v>
      </c>
      <c r="AO370" s="873">
        <f t="shared" si="175"/>
        <v>14901984.228254408</v>
      </c>
      <c r="AP370" s="873">
        <f t="shared" si="175"/>
        <v>14901984.228254408</v>
      </c>
      <c r="AQ370" s="873">
        <f t="shared" si="175"/>
        <v>14901984.228254408</v>
      </c>
      <c r="AR370" s="873">
        <f t="shared" si="175"/>
        <v>14901984.228254408</v>
      </c>
      <c r="AS370" s="873">
        <f t="shared" si="175"/>
        <v>14901984.228254408</v>
      </c>
      <c r="AT370" s="873">
        <f t="shared" si="175"/>
        <v>14901984.228254408</v>
      </c>
      <c r="AU370" s="873">
        <f t="shared" si="175"/>
        <v>14901984.228254408</v>
      </c>
      <c r="AV370" s="1228"/>
      <c r="AW370" s="1228"/>
      <c r="AX370" s="1228"/>
      <c r="AY370" s="1228"/>
    </row>
    <row r="371" spans="3:51" s="1208" customFormat="1" ht="15.75" customHeight="1" outlineLevel="1">
      <c r="C371" s="1254" t="s">
        <v>1151</v>
      </c>
      <c r="D371" s="214"/>
      <c r="E371" s="214"/>
      <c r="F371" s="214"/>
      <c r="G371" s="214"/>
      <c r="H371" s="214"/>
      <c r="I371" s="214"/>
      <c r="J371" s="214"/>
      <c r="K371" s="214"/>
      <c r="L371" s="215"/>
      <c r="M371" s="215"/>
      <c r="N371" s="214"/>
      <c r="O371" s="214"/>
      <c r="P371" s="214"/>
      <c r="Q371" s="214"/>
      <c r="R371" s="873">
        <f>R364+R365-SUM(R366:R370)</f>
        <v>64925715.436032742</v>
      </c>
      <c r="S371" s="873"/>
      <c r="T371" s="873">
        <f>T364+T365-SUM(T366:T370)</f>
        <v>74497866.862885565</v>
      </c>
      <c r="U371" s="873">
        <f t="shared" si="152"/>
        <v>74497866.862885565</v>
      </c>
      <c r="V371" s="873">
        <f>V364+V365-SUM(V366:V370)</f>
        <v>438153667.73841107</v>
      </c>
      <c r="W371" s="873">
        <f t="shared" ref="W371:AU371" si="176">W364+W365-SUM(W366:W370)</f>
        <v>596000363.10148275</v>
      </c>
      <c r="X371" s="873">
        <f t="shared" si="176"/>
        <v>613141722.3030231</v>
      </c>
      <c r="Y371" s="873">
        <f t="shared" si="176"/>
        <v>613141722.3030231</v>
      </c>
      <c r="Z371" s="873">
        <f t="shared" si="176"/>
        <v>613141722.3030231</v>
      </c>
      <c r="AA371" s="873">
        <f t="shared" si="176"/>
        <v>613141722.3030231</v>
      </c>
      <c r="AB371" s="873">
        <f t="shared" si="176"/>
        <v>618021547.79974484</v>
      </c>
      <c r="AC371" s="873">
        <f t="shared" si="176"/>
        <v>619274692.76184237</v>
      </c>
      <c r="AD371" s="873">
        <f t="shared" si="176"/>
        <v>619274692.76184237</v>
      </c>
      <c r="AE371" s="873">
        <f t="shared" si="176"/>
        <v>619274692.76184237</v>
      </c>
      <c r="AF371" s="873">
        <f t="shared" si="176"/>
        <v>619274692.76184237</v>
      </c>
      <c r="AG371" s="873">
        <f t="shared" si="176"/>
        <v>619274692.76184237</v>
      </c>
      <c r="AH371" s="873">
        <f t="shared" si="176"/>
        <v>619274692.76184237</v>
      </c>
      <c r="AI371" s="873">
        <f t="shared" si="176"/>
        <v>619274692.76184237</v>
      </c>
      <c r="AJ371" s="873">
        <f t="shared" si="176"/>
        <v>619274692.76184237</v>
      </c>
      <c r="AK371" s="873">
        <f t="shared" si="176"/>
        <v>619274692.76184237</v>
      </c>
      <c r="AL371" s="873">
        <f t="shared" si="176"/>
        <v>619274692.76184237</v>
      </c>
      <c r="AM371" s="873">
        <f t="shared" si="176"/>
        <v>619274692.76184237</v>
      </c>
      <c r="AN371" s="873">
        <f t="shared" si="176"/>
        <v>619274692.76184237</v>
      </c>
      <c r="AO371" s="873">
        <f t="shared" si="176"/>
        <v>619274692.76184237</v>
      </c>
      <c r="AP371" s="873">
        <f t="shared" si="176"/>
        <v>619274692.76184237</v>
      </c>
      <c r="AQ371" s="873">
        <f t="shared" si="176"/>
        <v>619274692.76184237</v>
      </c>
      <c r="AR371" s="873">
        <f t="shared" si="176"/>
        <v>619274692.76184237</v>
      </c>
      <c r="AS371" s="873">
        <f t="shared" si="176"/>
        <v>619274692.76184237</v>
      </c>
      <c r="AT371" s="873">
        <f t="shared" si="176"/>
        <v>619274692.76184237</v>
      </c>
      <c r="AU371" s="873">
        <f t="shared" si="176"/>
        <v>619274692.76184237</v>
      </c>
      <c r="AV371" s="1228"/>
      <c r="AW371" s="1228"/>
      <c r="AX371" s="1228"/>
      <c r="AY371" s="1228"/>
    </row>
    <row r="372" spans="3:51" s="1208" customFormat="1" ht="15.75" customHeight="1" outlineLevel="1">
      <c r="C372" s="314"/>
      <c r="D372" s="214"/>
      <c r="E372" s="214"/>
      <c r="F372" s="214"/>
      <c r="G372" s="214"/>
      <c r="H372" s="214"/>
      <c r="I372" s="214"/>
      <c r="J372" s="214"/>
      <c r="K372" s="214"/>
      <c r="L372" s="215"/>
      <c r="M372" s="215"/>
      <c r="N372" s="214"/>
      <c r="O372" s="214"/>
      <c r="P372" s="214"/>
      <c r="Q372" s="214"/>
      <c r="R372" s="873"/>
      <c r="S372" s="873"/>
      <c r="T372" s="873"/>
      <c r="U372" s="873">
        <f t="shared" si="152"/>
        <v>0</v>
      </c>
      <c r="V372" s="873"/>
      <c r="W372" s="873"/>
      <c r="X372" s="873"/>
      <c r="Y372" s="873"/>
      <c r="Z372" s="873"/>
      <c r="AA372" s="873"/>
      <c r="AB372" s="873"/>
      <c r="AC372" s="873"/>
      <c r="AD372" s="873"/>
      <c r="AE372" s="873"/>
      <c r="AF372" s="873"/>
      <c r="AG372" s="873"/>
      <c r="AH372" s="873"/>
      <c r="AI372" s="873"/>
      <c r="AJ372" s="873"/>
      <c r="AK372" s="873"/>
      <c r="AL372" s="873"/>
      <c r="AM372" s="873"/>
      <c r="AN372" s="873"/>
      <c r="AO372" s="873"/>
      <c r="AP372" s="873"/>
      <c r="AQ372" s="873"/>
      <c r="AR372" s="873"/>
      <c r="AS372" s="873"/>
      <c r="AT372" s="873"/>
      <c r="AU372" s="873"/>
      <c r="AV372" s="1228"/>
      <c r="AW372" s="1228"/>
      <c r="AX372" s="1228"/>
      <c r="AY372" s="1228"/>
    </row>
    <row r="373" spans="3:51" s="1208" customFormat="1" ht="15.75" customHeight="1" outlineLevel="1">
      <c r="C373" s="728" t="s">
        <v>1158</v>
      </c>
      <c r="D373" s="214"/>
      <c r="E373" s="214"/>
      <c r="F373" s="214"/>
      <c r="G373" s="214"/>
      <c r="H373" s="214"/>
      <c r="I373" s="214"/>
      <c r="J373" s="214"/>
      <c r="K373" s="214"/>
      <c r="L373" s="215"/>
      <c r="M373" s="215"/>
      <c r="N373" s="214"/>
      <c r="O373" s="214"/>
      <c r="P373" s="214"/>
      <c r="Q373" s="214"/>
      <c r="R373" s="873"/>
      <c r="S373" s="873"/>
      <c r="T373" s="873"/>
      <c r="U373" s="873">
        <f t="shared" si="152"/>
        <v>0</v>
      </c>
      <c r="V373" s="873"/>
      <c r="W373" s="873"/>
      <c r="X373" s="873"/>
      <c r="Y373" s="873"/>
      <c r="Z373" s="873"/>
      <c r="AA373" s="873"/>
      <c r="AB373" s="873"/>
      <c r="AC373" s="873"/>
      <c r="AD373" s="873"/>
      <c r="AE373" s="873"/>
      <c r="AF373" s="873"/>
      <c r="AG373" s="873"/>
      <c r="AH373" s="873"/>
      <c r="AI373" s="873"/>
      <c r="AJ373" s="873"/>
      <c r="AK373" s="873"/>
      <c r="AL373" s="873"/>
      <c r="AM373" s="873"/>
      <c r="AN373" s="873"/>
      <c r="AO373" s="873"/>
      <c r="AP373" s="873"/>
      <c r="AQ373" s="873"/>
      <c r="AR373" s="873"/>
      <c r="AS373" s="873"/>
      <c r="AT373" s="873"/>
      <c r="AU373" s="873"/>
      <c r="AV373" s="1228"/>
      <c r="AW373" s="1228"/>
      <c r="AX373" s="1228"/>
      <c r="AY373" s="1228"/>
    </row>
    <row r="374" spans="3:51" s="1208" customFormat="1" ht="15.75" customHeight="1" outlineLevel="1">
      <c r="C374" s="1254" t="s">
        <v>1159</v>
      </c>
      <c r="D374" s="214"/>
      <c r="E374" s="214"/>
      <c r="F374" s="214"/>
      <c r="G374" s="214"/>
      <c r="H374" s="214"/>
      <c r="I374" s="214"/>
      <c r="J374" s="214"/>
      <c r="K374" s="214"/>
      <c r="L374" s="215"/>
      <c r="M374" s="215"/>
      <c r="N374" s="214"/>
      <c r="O374" s="214"/>
      <c r="P374" s="214"/>
      <c r="Q374" s="214"/>
      <c r="R374" s="873"/>
      <c r="S374" s="873"/>
      <c r="T374" s="873"/>
      <c r="U374" s="873">
        <f t="shared" si="152"/>
        <v>0</v>
      </c>
      <c r="V374" s="873"/>
      <c r="W374" s="873"/>
      <c r="X374" s="873"/>
      <c r="Y374" s="873"/>
      <c r="Z374" s="873"/>
      <c r="AA374" s="873"/>
      <c r="AB374" s="873"/>
      <c r="AC374" s="873"/>
      <c r="AD374" s="873"/>
      <c r="AE374" s="873"/>
      <c r="AF374" s="873"/>
      <c r="AG374" s="873"/>
      <c r="AH374" s="873"/>
      <c r="AI374" s="873"/>
      <c r="AJ374" s="873"/>
      <c r="AK374" s="873"/>
      <c r="AL374" s="873"/>
      <c r="AM374" s="873"/>
      <c r="AN374" s="873"/>
      <c r="AO374" s="873"/>
      <c r="AP374" s="873"/>
      <c r="AQ374" s="873"/>
      <c r="AR374" s="873"/>
      <c r="AS374" s="873"/>
      <c r="AT374" s="873"/>
      <c r="AU374" s="873"/>
      <c r="AV374" s="1228"/>
      <c r="AW374" s="1228"/>
      <c r="AX374" s="1228"/>
      <c r="AY374" s="1228"/>
    </row>
    <row r="375" spans="3:51" s="1208" customFormat="1" ht="15.75" customHeight="1" outlineLevel="1">
      <c r="C375" s="1255" t="s">
        <v>1160</v>
      </c>
      <c r="D375" s="214"/>
      <c r="E375" s="214"/>
      <c r="F375" s="214"/>
      <c r="G375" s="214"/>
      <c r="H375" s="214"/>
      <c r="I375" s="214"/>
      <c r="J375" s="214"/>
      <c r="K375" s="214"/>
      <c r="L375" s="215"/>
      <c r="M375" s="215"/>
      <c r="N375" s="214"/>
      <c r="O375" s="214"/>
      <c r="P375" s="873" t="e">
        <f>P11-#REF!-P561-#REF!</f>
        <v>#REF!</v>
      </c>
      <c r="Q375" s="873"/>
      <c r="R375" s="873">
        <f>R11-SUM(R238:R241)</f>
        <v>39677863.96582</v>
      </c>
      <c r="S375" s="873"/>
      <c r="T375" s="873">
        <f>T11-SUM(T238:T241)</f>
        <v>52296625.837872282</v>
      </c>
      <c r="U375" s="873">
        <f t="shared" si="152"/>
        <v>52296625.837872282</v>
      </c>
      <c r="V375" s="873">
        <f>V11-SUM(V238:V241)</f>
        <v>421189241.02683043</v>
      </c>
      <c r="W375" s="873">
        <f t="shared" ref="W375:AU375" si="177">W11-SUM(W238:W241)</f>
        <v>489910538.15124094</v>
      </c>
      <c r="X375" s="873">
        <f t="shared" si="177"/>
        <v>489910538.15124094</v>
      </c>
      <c r="Y375" s="873">
        <f t="shared" si="177"/>
        <v>489910538.15124094</v>
      </c>
      <c r="Z375" s="873">
        <f t="shared" si="177"/>
        <v>489910538.15124094</v>
      </c>
      <c r="AA375" s="873">
        <f t="shared" si="177"/>
        <v>489910538.15124094</v>
      </c>
      <c r="AB375" s="873">
        <f t="shared" si="177"/>
        <v>496421813.72064245</v>
      </c>
      <c r="AC375" s="873">
        <f t="shared" si="177"/>
        <v>496421813.72064245</v>
      </c>
      <c r="AD375" s="873">
        <f t="shared" si="177"/>
        <v>496421813.72064245</v>
      </c>
      <c r="AE375" s="873">
        <f t="shared" si="177"/>
        <v>496421813.72064245</v>
      </c>
      <c r="AF375" s="873">
        <f t="shared" si="177"/>
        <v>496421813.72064245</v>
      </c>
      <c r="AG375" s="873">
        <f t="shared" si="177"/>
        <v>496421813.72064245</v>
      </c>
      <c r="AH375" s="873">
        <f t="shared" si="177"/>
        <v>496421813.72064245</v>
      </c>
      <c r="AI375" s="873">
        <f t="shared" si="177"/>
        <v>496421813.72064245</v>
      </c>
      <c r="AJ375" s="873">
        <f t="shared" si="177"/>
        <v>496421813.72064245</v>
      </c>
      <c r="AK375" s="873">
        <f t="shared" si="177"/>
        <v>496421813.72064245</v>
      </c>
      <c r="AL375" s="873">
        <f t="shared" si="177"/>
        <v>496421813.72064245</v>
      </c>
      <c r="AM375" s="873">
        <f t="shared" si="177"/>
        <v>496421813.72064245</v>
      </c>
      <c r="AN375" s="873">
        <f t="shared" si="177"/>
        <v>496421813.72064245</v>
      </c>
      <c r="AO375" s="873">
        <f t="shared" si="177"/>
        <v>496421813.72064245</v>
      </c>
      <c r="AP375" s="873">
        <f t="shared" si="177"/>
        <v>496421813.72064245</v>
      </c>
      <c r="AQ375" s="873">
        <f t="shared" si="177"/>
        <v>496421813.72064245</v>
      </c>
      <c r="AR375" s="873">
        <f t="shared" si="177"/>
        <v>496421813.72064245</v>
      </c>
      <c r="AS375" s="873">
        <f t="shared" si="177"/>
        <v>496421813.72064245</v>
      </c>
      <c r="AT375" s="873">
        <f t="shared" si="177"/>
        <v>496421813.72064245</v>
      </c>
      <c r="AU375" s="873">
        <f t="shared" si="177"/>
        <v>496421813.72064245</v>
      </c>
      <c r="AV375" s="1228"/>
      <c r="AW375" s="1228"/>
      <c r="AX375" s="1228"/>
      <c r="AY375" s="1228"/>
    </row>
    <row r="376" spans="3:51" s="1208" customFormat="1" ht="15.75" customHeight="1" outlineLevel="1">
      <c r="C376" s="1255" t="s">
        <v>1161</v>
      </c>
      <c r="D376" s="214"/>
      <c r="E376" s="214"/>
      <c r="F376" s="214"/>
      <c r="G376" s="214"/>
      <c r="H376" s="214"/>
      <c r="I376" s="214"/>
      <c r="J376" s="214"/>
      <c r="K376" s="214"/>
      <c r="L376" s="215"/>
      <c r="M376" s="215"/>
      <c r="N376" s="214"/>
      <c r="O376" s="214"/>
      <c r="P376" s="214"/>
      <c r="Q376" s="214"/>
      <c r="R376" s="873">
        <f>R289+R293</f>
        <v>4963400.2821510192</v>
      </c>
      <c r="S376" s="873"/>
      <c r="T376" s="873">
        <f>T289+T293</f>
        <v>5581433.1469172575</v>
      </c>
      <c r="U376" s="873">
        <f t="shared" si="152"/>
        <v>5581433.1469172575</v>
      </c>
      <c r="V376" s="873">
        <f t="shared" ref="V376:AU376" si="178">V289+V293</f>
        <v>32546946.046379685</v>
      </c>
      <c r="W376" s="873">
        <f t="shared" si="178"/>
        <v>37721657.659483202</v>
      </c>
      <c r="X376" s="873">
        <f t="shared" si="178"/>
        <v>37721657.659483202</v>
      </c>
      <c r="Y376" s="873">
        <f t="shared" si="178"/>
        <v>37721657.659483202</v>
      </c>
      <c r="Z376" s="873">
        <f t="shared" si="178"/>
        <v>37721657.659483202</v>
      </c>
      <c r="AA376" s="873">
        <f t="shared" si="178"/>
        <v>37721657.659483202</v>
      </c>
      <c r="AB376" s="873">
        <f t="shared" si="178"/>
        <v>38099962.770065427</v>
      </c>
      <c r="AC376" s="873">
        <f t="shared" si="178"/>
        <v>38099962.770065427</v>
      </c>
      <c r="AD376" s="873">
        <f t="shared" si="178"/>
        <v>38099962.770065427</v>
      </c>
      <c r="AE376" s="873">
        <f t="shared" si="178"/>
        <v>38099962.770065427</v>
      </c>
      <c r="AF376" s="873">
        <f t="shared" si="178"/>
        <v>38099962.770065427</v>
      </c>
      <c r="AG376" s="873">
        <f t="shared" si="178"/>
        <v>38099962.770065427</v>
      </c>
      <c r="AH376" s="873">
        <f t="shared" si="178"/>
        <v>38099962.770065427</v>
      </c>
      <c r="AI376" s="873">
        <f t="shared" si="178"/>
        <v>38099962.770065427</v>
      </c>
      <c r="AJ376" s="873">
        <f t="shared" si="178"/>
        <v>38099962.770065427</v>
      </c>
      <c r="AK376" s="873">
        <f t="shared" si="178"/>
        <v>38099962.770065427</v>
      </c>
      <c r="AL376" s="873">
        <f t="shared" si="178"/>
        <v>38099962.770065427</v>
      </c>
      <c r="AM376" s="873">
        <f t="shared" si="178"/>
        <v>38099962.770065427</v>
      </c>
      <c r="AN376" s="873">
        <f t="shared" si="178"/>
        <v>38099962.770065427</v>
      </c>
      <c r="AO376" s="873">
        <f t="shared" si="178"/>
        <v>38099962.770065427</v>
      </c>
      <c r="AP376" s="873">
        <f t="shared" si="178"/>
        <v>38099962.770065427</v>
      </c>
      <c r="AQ376" s="873">
        <f t="shared" si="178"/>
        <v>38099962.770065427</v>
      </c>
      <c r="AR376" s="873">
        <f t="shared" si="178"/>
        <v>38099962.770065427</v>
      </c>
      <c r="AS376" s="873">
        <f t="shared" si="178"/>
        <v>38099962.770065427</v>
      </c>
      <c r="AT376" s="873">
        <f t="shared" si="178"/>
        <v>38099962.770065427</v>
      </c>
      <c r="AU376" s="873">
        <f t="shared" si="178"/>
        <v>38099962.770065427</v>
      </c>
      <c r="AV376" s="1228"/>
      <c r="AW376" s="1228"/>
      <c r="AX376" s="1228"/>
      <c r="AY376" s="1228"/>
    </row>
    <row r="377" spans="3:51" s="1208" customFormat="1" ht="15.75" customHeight="1" outlineLevel="1">
      <c r="C377" s="1255" t="s">
        <v>1953</v>
      </c>
      <c r="D377" s="214"/>
      <c r="E377" s="214"/>
      <c r="F377" s="214"/>
      <c r="G377" s="214"/>
      <c r="H377" s="214"/>
      <c r="I377" s="214"/>
      <c r="J377" s="214"/>
      <c r="K377" s="214"/>
      <c r="L377" s="215"/>
      <c r="M377" s="215"/>
      <c r="N377" s="214"/>
      <c r="O377" s="214"/>
      <c r="P377" s="214"/>
      <c r="Q377" s="214"/>
      <c r="R377" s="873">
        <f>-R267</f>
        <v>6226639.0652052546</v>
      </c>
      <c r="S377" s="873"/>
      <c r="T377" s="873">
        <f>-T267</f>
        <v>6226639.0652052546</v>
      </c>
      <c r="U377" s="873">
        <f t="shared" si="152"/>
        <v>6226639.0652052546</v>
      </c>
      <c r="V377" s="873">
        <f>-V267</f>
        <v>17394401.856910516</v>
      </c>
      <c r="W377" s="873">
        <f t="shared" ref="W377:AU377" si="179">-W267</f>
        <v>19835718.724742379</v>
      </c>
      <c r="X377" s="873">
        <f t="shared" si="179"/>
        <v>19835718.724742379</v>
      </c>
      <c r="Y377" s="873">
        <f t="shared" si="179"/>
        <v>19835718.724742379</v>
      </c>
      <c r="Z377" s="873">
        <f t="shared" si="179"/>
        <v>19835718.724742379</v>
      </c>
      <c r="AA377" s="873">
        <f t="shared" si="179"/>
        <v>19835718.724742379</v>
      </c>
      <c r="AB377" s="873">
        <f t="shared" si="179"/>
        <v>19835718.724742379</v>
      </c>
      <c r="AC377" s="873">
        <f t="shared" si="179"/>
        <v>19835718.724742379</v>
      </c>
      <c r="AD377" s="873">
        <f t="shared" si="179"/>
        <v>19835718.724742379</v>
      </c>
      <c r="AE377" s="873">
        <f t="shared" si="179"/>
        <v>19835718.724742379</v>
      </c>
      <c r="AF377" s="873">
        <f t="shared" si="179"/>
        <v>19835718.724742379</v>
      </c>
      <c r="AG377" s="873">
        <f t="shared" si="179"/>
        <v>19835718.724742379</v>
      </c>
      <c r="AH377" s="873">
        <f t="shared" si="179"/>
        <v>19835718.724742379</v>
      </c>
      <c r="AI377" s="873">
        <f t="shared" si="179"/>
        <v>19835718.724742379</v>
      </c>
      <c r="AJ377" s="873">
        <f t="shared" si="179"/>
        <v>19835718.724742379</v>
      </c>
      <c r="AK377" s="873">
        <f t="shared" si="179"/>
        <v>19835718.724742379</v>
      </c>
      <c r="AL377" s="873">
        <f t="shared" si="179"/>
        <v>19835718.724742379</v>
      </c>
      <c r="AM377" s="873">
        <f t="shared" si="179"/>
        <v>19835718.724742379</v>
      </c>
      <c r="AN377" s="873">
        <f t="shared" si="179"/>
        <v>19835718.724742379</v>
      </c>
      <c r="AO377" s="873">
        <f t="shared" si="179"/>
        <v>19835718.724742379</v>
      </c>
      <c r="AP377" s="873">
        <f t="shared" si="179"/>
        <v>19835718.724742379</v>
      </c>
      <c r="AQ377" s="873">
        <f t="shared" si="179"/>
        <v>19835718.724742379</v>
      </c>
      <c r="AR377" s="873">
        <f t="shared" si="179"/>
        <v>19835718.724742379</v>
      </c>
      <c r="AS377" s="873">
        <f t="shared" si="179"/>
        <v>19835718.724742379</v>
      </c>
      <c r="AT377" s="873">
        <f t="shared" si="179"/>
        <v>19835718.724742379</v>
      </c>
      <c r="AU377" s="873">
        <f t="shared" si="179"/>
        <v>19835718.724742379</v>
      </c>
      <c r="AV377" s="1228"/>
      <c r="AW377" s="1228"/>
      <c r="AX377" s="1228"/>
      <c r="AY377" s="1228"/>
    </row>
    <row r="378" spans="3:51" s="1208" customFormat="1" ht="15.75" customHeight="1" outlineLevel="1">
      <c r="C378" s="1255" t="s">
        <v>1162</v>
      </c>
      <c r="D378" s="214"/>
      <c r="E378" s="214"/>
      <c r="F378" s="214"/>
      <c r="G378" s="214"/>
      <c r="H378" s="214"/>
      <c r="I378" s="214"/>
      <c r="J378" s="214"/>
      <c r="K378" s="214"/>
      <c r="L378" s="215"/>
      <c r="M378" s="215"/>
      <c r="N378" s="214"/>
      <c r="O378" s="214"/>
      <c r="P378" s="214"/>
      <c r="Q378" s="214"/>
      <c r="R378" s="873">
        <v>0</v>
      </c>
      <c r="S378" s="873"/>
      <c r="T378" s="873">
        <v>0</v>
      </c>
      <c r="U378" s="873">
        <f t="shared" si="152"/>
        <v>0</v>
      </c>
      <c r="V378" s="873">
        <v>0</v>
      </c>
      <c r="W378" s="873">
        <v>0</v>
      </c>
      <c r="X378" s="873">
        <v>0</v>
      </c>
      <c r="Y378" s="873">
        <v>0</v>
      </c>
      <c r="Z378" s="873">
        <v>0</v>
      </c>
      <c r="AA378" s="873">
        <v>0</v>
      </c>
      <c r="AB378" s="873">
        <v>0</v>
      </c>
      <c r="AC378" s="873">
        <v>0</v>
      </c>
      <c r="AD378" s="873">
        <v>0</v>
      </c>
      <c r="AE378" s="873">
        <v>0</v>
      </c>
      <c r="AF378" s="873">
        <v>0</v>
      </c>
      <c r="AG378" s="873">
        <v>0</v>
      </c>
      <c r="AH378" s="873">
        <v>0</v>
      </c>
      <c r="AI378" s="873">
        <v>0</v>
      </c>
      <c r="AJ378" s="873">
        <v>0</v>
      </c>
      <c r="AK378" s="873">
        <v>0</v>
      </c>
      <c r="AL378" s="873">
        <v>0</v>
      </c>
      <c r="AM378" s="873">
        <v>0</v>
      </c>
      <c r="AN378" s="873">
        <v>0</v>
      </c>
      <c r="AO378" s="873">
        <v>0</v>
      </c>
      <c r="AP378" s="873">
        <v>0</v>
      </c>
      <c r="AQ378" s="873">
        <v>0</v>
      </c>
      <c r="AR378" s="873">
        <v>0</v>
      </c>
      <c r="AS378" s="873">
        <v>0</v>
      </c>
      <c r="AT378" s="873">
        <v>0</v>
      </c>
      <c r="AU378" s="873">
        <v>0</v>
      </c>
      <c r="AV378" s="1228"/>
      <c r="AW378" s="1228"/>
      <c r="AX378" s="1228"/>
      <c r="AY378" s="1228"/>
    </row>
    <row r="379" spans="3:51" s="1208" customFormat="1" ht="15.75" customHeight="1" outlineLevel="1">
      <c r="C379" s="1255" t="s">
        <v>1163</v>
      </c>
      <c r="D379" s="214"/>
      <c r="E379" s="214"/>
      <c r="F379" s="214"/>
      <c r="G379" s="214"/>
      <c r="H379" s="214"/>
      <c r="I379" s="214"/>
      <c r="J379" s="214"/>
      <c r="K379" s="214"/>
      <c r="L379" s="215"/>
      <c r="M379" s="215"/>
      <c r="N379" s="214"/>
      <c r="O379" s="214"/>
      <c r="P379" s="214"/>
      <c r="Q379" s="214"/>
      <c r="R379" s="873">
        <f>R598</f>
        <v>53120368.728649311</v>
      </c>
      <c r="S379" s="873"/>
      <c r="T379" s="873">
        <f>T598</f>
        <v>42470412.757800482</v>
      </c>
      <c r="U379" s="873">
        <f t="shared" si="152"/>
        <v>42470412.757800482</v>
      </c>
      <c r="V379" s="873">
        <f>V598</f>
        <v>92521426.477034852</v>
      </c>
      <c r="W379" s="873">
        <f t="shared" ref="W379:AU379" si="180">W598</f>
        <v>17180377.247682571</v>
      </c>
      <c r="X379" s="873">
        <f t="shared" si="180"/>
        <v>0</v>
      </c>
      <c r="Y379" s="873">
        <f t="shared" si="180"/>
        <v>0</v>
      </c>
      <c r="Z379" s="873">
        <f t="shared" si="180"/>
        <v>0</v>
      </c>
      <c r="AA379" s="873">
        <f t="shared" si="180"/>
        <v>0</v>
      </c>
      <c r="AB379" s="873">
        <f t="shared" si="180"/>
        <v>4559098.0828879476</v>
      </c>
      <c r="AC379" s="873">
        <f t="shared" si="180"/>
        <v>3305953.1207903922</v>
      </c>
      <c r="AD379" s="873">
        <f t="shared" si="180"/>
        <v>3305953.1207903922</v>
      </c>
      <c r="AE379" s="873">
        <f t="shared" si="180"/>
        <v>3305953.1207903922</v>
      </c>
      <c r="AF379" s="873">
        <f t="shared" si="180"/>
        <v>3305953.1207903922</v>
      </c>
      <c r="AG379" s="873">
        <f t="shared" si="180"/>
        <v>3305953.120790422</v>
      </c>
      <c r="AH379" s="873">
        <f t="shared" si="180"/>
        <v>3305953.1207903624</v>
      </c>
      <c r="AI379" s="873">
        <f t="shared" si="180"/>
        <v>3305953.120790422</v>
      </c>
      <c r="AJ379" s="873">
        <f t="shared" si="180"/>
        <v>3305953.1207903624</v>
      </c>
      <c r="AK379" s="873">
        <f t="shared" si="180"/>
        <v>3305953.120790422</v>
      </c>
      <c r="AL379" s="873">
        <f t="shared" si="180"/>
        <v>3305953.1207903624</v>
      </c>
      <c r="AM379" s="873">
        <f t="shared" si="180"/>
        <v>3305953.120790422</v>
      </c>
      <c r="AN379" s="873">
        <f t="shared" si="180"/>
        <v>3305953.1207903624</v>
      </c>
      <c r="AO379" s="873">
        <f t="shared" si="180"/>
        <v>3305953.120790422</v>
      </c>
      <c r="AP379" s="873">
        <f t="shared" si="180"/>
        <v>3305953.1207903624</v>
      </c>
      <c r="AQ379" s="873">
        <f t="shared" si="180"/>
        <v>3305953.120790422</v>
      </c>
      <c r="AR379" s="873">
        <f t="shared" si="180"/>
        <v>3305953.1207903624</v>
      </c>
      <c r="AS379" s="873">
        <f t="shared" si="180"/>
        <v>3305953.120790422</v>
      </c>
      <c r="AT379" s="873">
        <f t="shared" si="180"/>
        <v>3305953.1207903624</v>
      </c>
      <c r="AU379" s="873">
        <f t="shared" si="180"/>
        <v>0</v>
      </c>
      <c r="AV379" s="1228"/>
      <c r="AW379" s="1228"/>
      <c r="AX379" s="1228"/>
      <c r="AY379" s="1228"/>
    </row>
    <row r="380" spans="3:51" s="1208" customFormat="1" ht="15.75" customHeight="1" outlineLevel="1">
      <c r="C380" s="1256" t="s">
        <v>1159</v>
      </c>
      <c r="L380" s="743"/>
      <c r="M380" s="743"/>
      <c r="P380" s="1210" t="e">
        <f>P375-SUM(P376:P379)</f>
        <v>#REF!</v>
      </c>
      <c r="Q380" s="1210"/>
      <c r="R380" s="1210">
        <f>R375-SUM(R376:R379)</f>
        <v>-24632544.110185586</v>
      </c>
      <c r="S380" s="1210"/>
      <c r="T380" s="1210">
        <f>T375-SUM(T376:T379)</f>
        <v>-1981859.1320507079</v>
      </c>
      <c r="U380" s="1210">
        <f t="shared" si="152"/>
        <v>-1981859.1320507079</v>
      </c>
      <c r="V380" s="1210">
        <f>V375-SUM(V376:V379)</f>
        <v>278726466.64650536</v>
      </c>
      <c r="W380" s="1210">
        <f t="shared" ref="W380:AU380" si="181">W375-SUM(W376:W379)</f>
        <v>415172784.51933277</v>
      </c>
      <c r="X380" s="1210">
        <f t="shared" si="181"/>
        <v>432353161.76701534</v>
      </c>
      <c r="Y380" s="1210">
        <f t="shared" si="181"/>
        <v>432353161.76701534</v>
      </c>
      <c r="Z380" s="1210">
        <f t="shared" si="181"/>
        <v>432353161.76701534</v>
      </c>
      <c r="AA380" s="1210">
        <f t="shared" si="181"/>
        <v>432353161.76701534</v>
      </c>
      <c r="AB380" s="1210">
        <f t="shared" si="181"/>
        <v>433927034.14294672</v>
      </c>
      <c r="AC380" s="1210">
        <f t="shared" si="181"/>
        <v>435180179.10504425</v>
      </c>
      <c r="AD380" s="1210">
        <f t="shared" si="181"/>
        <v>435180179.10504425</v>
      </c>
      <c r="AE380" s="1210">
        <f t="shared" si="181"/>
        <v>435180179.10504425</v>
      </c>
      <c r="AF380" s="1210">
        <f t="shared" si="181"/>
        <v>435180179.10504425</v>
      </c>
      <c r="AG380" s="1210">
        <f t="shared" si="181"/>
        <v>435180179.10504425</v>
      </c>
      <c r="AH380" s="1210">
        <f t="shared" si="181"/>
        <v>435180179.10504425</v>
      </c>
      <c r="AI380" s="1210">
        <f t="shared" si="181"/>
        <v>435180179.10504425</v>
      </c>
      <c r="AJ380" s="1210">
        <f t="shared" si="181"/>
        <v>435180179.10504425</v>
      </c>
      <c r="AK380" s="1210">
        <f t="shared" si="181"/>
        <v>435180179.10504425</v>
      </c>
      <c r="AL380" s="1210">
        <f t="shared" si="181"/>
        <v>435180179.10504425</v>
      </c>
      <c r="AM380" s="1210">
        <f t="shared" si="181"/>
        <v>435180179.10504425</v>
      </c>
      <c r="AN380" s="1210">
        <f t="shared" si="181"/>
        <v>435180179.10504425</v>
      </c>
      <c r="AO380" s="1210">
        <f t="shared" si="181"/>
        <v>435180179.10504425</v>
      </c>
      <c r="AP380" s="1210">
        <f t="shared" si="181"/>
        <v>435180179.10504425</v>
      </c>
      <c r="AQ380" s="1210">
        <f t="shared" si="181"/>
        <v>435180179.10504425</v>
      </c>
      <c r="AR380" s="1210">
        <f t="shared" si="181"/>
        <v>435180179.10504425</v>
      </c>
      <c r="AS380" s="1210">
        <f t="shared" si="181"/>
        <v>435180179.10504425</v>
      </c>
      <c r="AT380" s="1210">
        <f t="shared" si="181"/>
        <v>435180179.10504425</v>
      </c>
      <c r="AU380" s="1210">
        <f t="shared" si="181"/>
        <v>438486132.22583461</v>
      </c>
      <c r="AV380" s="1228"/>
      <c r="AW380" s="1228"/>
      <c r="AX380" s="1228"/>
      <c r="AY380" s="1228"/>
    </row>
    <row r="381" spans="3:51" s="1208" customFormat="1" ht="15.75" customHeight="1" outlineLevel="1">
      <c r="C381" s="728" t="s">
        <v>1164</v>
      </c>
      <c r="D381" s="214"/>
      <c r="E381" s="214"/>
      <c r="F381" s="214"/>
      <c r="G381" s="214"/>
      <c r="H381" s="214"/>
      <c r="I381" s="214"/>
      <c r="J381" s="214"/>
      <c r="K381" s="214"/>
      <c r="L381" s="215"/>
      <c r="M381" s="215"/>
      <c r="N381" s="214"/>
      <c r="O381" s="214"/>
      <c r="P381" s="214"/>
      <c r="Q381" s="214"/>
      <c r="R381" s="873"/>
      <c r="S381" s="873"/>
      <c r="T381" s="873"/>
      <c r="U381" s="873">
        <f t="shared" si="152"/>
        <v>0</v>
      </c>
      <c r="V381" s="873"/>
      <c r="W381" s="873"/>
      <c r="X381" s="873"/>
      <c r="Y381" s="873"/>
      <c r="Z381" s="873"/>
      <c r="AA381" s="873"/>
      <c r="AB381" s="873"/>
      <c r="AC381" s="873"/>
      <c r="AD381" s="873"/>
      <c r="AE381" s="873"/>
      <c r="AF381" s="873"/>
      <c r="AG381" s="873"/>
      <c r="AH381" s="873"/>
      <c r="AI381" s="873"/>
      <c r="AJ381" s="873"/>
      <c r="AK381" s="873"/>
      <c r="AL381" s="873"/>
      <c r="AM381" s="873"/>
      <c r="AN381" s="873"/>
      <c r="AO381" s="873"/>
      <c r="AP381" s="873"/>
      <c r="AQ381" s="873"/>
      <c r="AR381" s="873"/>
      <c r="AS381" s="873"/>
      <c r="AT381" s="873"/>
      <c r="AU381" s="873"/>
      <c r="AV381" s="1228"/>
      <c r="AW381" s="1228"/>
      <c r="AX381" s="1228"/>
      <c r="AY381" s="1228"/>
    </row>
    <row r="382" spans="3:51" s="1208" customFormat="1" ht="15.75" customHeight="1" outlineLevel="1">
      <c r="C382" s="1254" t="s">
        <v>1165</v>
      </c>
      <c r="D382" s="214"/>
      <c r="E382" s="214"/>
      <c r="F382" s="214"/>
      <c r="G382" s="214"/>
      <c r="H382" s="214"/>
      <c r="I382" s="214"/>
      <c r="J382" s="214"/>
      <c r="K382" s="214"/>
      <c r="L382" s="215"/>
      <c r="M382" s="1196"/>
      <c r="N382" s="873"/>
      <c r="O382" s="873"/>
      <c r="P382" s="873">
        <v>17000000</v>
      </c>
      <c r="Q382" s="873"/>
      <c r="R382" s="873"/>
      <c r="S382" s="873"/>
      <c r="T382" s="873"/>
      <c r="U382" s="873">
        <f t="shared" si="152"/>
        <v>0</v>
      </c>
      <c r="V382" s="873"/>
      <c r="W382" s="873"/>
      <c r="X382" s="873"/>
      <c r="Y382" s="873"/>
      <c r="Z382" s="873"/>
      <c r="AA382" s="873"/>
      <c r="AB382" s="873"/>
      <c r="AC382" s="873"/>
      <c r="AD382" s="873"/>
      <c r="AE382" s="873"/>
      <c r="AF382" s="873"/>
      <c r="AG382" s="873"/>
      <c r="AH382" s="873"/>
      <c r="AI382" s="873"/>
      <c r="AJ382" s="873"/>
      <c r="AK382" s="873"/>
      <c r="AL382" s="873"/>
      <c r="AM382" s="873"/>
      <c r="AN382" s="873"/>
      <c r="AO382" s="873"/>
      <c r="AP382" s="873"/>
      <c r="AQ382" s="873"/>
      <c r="AR382" s="873"/>
      <c r="AS382" s="873"/>
      <c r="AT382" s="873"/>
      <c r="AU382" s="873"/>
      <c r="AV382" s="1228"/>
      <c r="AW382" s="1228"/>
      <c r="AX382" s="1228"/>
      <c r="AY382" s="1228"/>
    </row>
    <row r="383" spans="3:51" s="1208" customFormat="1" ht="15.75" customHeight="1" outlineLevel="1">
      <c r="C383" s="1254" t="s">
        <v>1166</v>
      </c>
      <c r="D383" s="214"/>
      <c r="E383" s="214"/>
      <c r="F383" s="214"/>
      <c r="G383" s="214"/>
      <c r="H383" s="214"/>
      <c r="I383" s="214"/>
      <c r="J383" s="214"/>
      <c r="K383" s="214"/>
      <c r="L383" s="215"/>
      <c r="M383" s="1196"/>
      <c r="N383" s="873"/>
      <c r="O383" s="873"/>
      <c r="P383" s="873">
        <f>P633*(1-P627)</f>
        <v>0</v>
      </c>
      <c r="Q383" s="873">
        <f>Q633*(1-Q627)</f>
        <v>166161383.15000001</v>
      </c>
      <c r="R383" s="873">
        <f>R633*(1-R627)</f>
        <v>256912260</v>
      </c>
      <c r="S383" s="873"/>
      <c r="T383" s="873">
        <f>T633*(1-T627)</f>
        <v>115584315</v>
      </c>
      <c r="U383" s="873">
        <f t="shared" si="152"/>
        <v>115584315</v>
      </c>
      <c r="V383" s="873">
        <f>V633*(1-V627)</f>
        <v>31039030</v>
      </c>
      <c r="W383" s="873">
        <f t="shared" ref="W383:AU383" si="182">W633*(1-W627)</f>
        <v>0</v>
      </c>
      <c r="X383" s="873">
        <f t="shared" si="182"/>
        <v>0</v>
      </c>
      <c r="Y383" s="873">
        <f t="shared" si="182"/>
        <v>0</v>
      </c>
      <c r="Z383" s="873">
        <f t="shared" si="182"/>
        <v>0</v>
      </c>
      <c r="AA383" s="873">
        <f t="shared" si="182"/>
        <v>0</v>
      </c>
      <c r="AB383" s="873">
        <f t="shared" si="182"/>
        <v>0</v>
      </c>
      <c r="AC383" s="873">
        <f t="shared" si="182"/>
        <v>0</v>
      </c>
      <c r="AD383" s="873">
        <f t="shared" si="182"/>
        <v>0</v>
      </c>
      <c r="AE383" s="873">
        <f t="shared" si="182"/>
        <v>0</v>
      </c>
      <c r="AF383" s="873">
        <f t="shared" si="182"/>
        <v>0</v>
      </c>
      <c r="AG383" s="873">
        <f t="shared" si="182"/>
        <v>0</v>
      </c>
      <c r="AH383" s="873">
        <f t="shared" si="182"/>
        <v>0</v>
      </c>
      <c r="AI383" s="873">
        <f t="shared" si="182"/>
        <v>0</v>
      </c>
      <c r="AJ383" s="873">
        <f t="shared" si="182"/>
        <v>0</v>
      </c>
      <c r="AK383" s="873">
        <f t="shared" si="182"/>
        <v>0</v>
      </c>
      <c r="AL383" s="873">
        <f t="shared" si="182"/>
        <v>0</v>
      </c>
      <c r="AM383" s="873">
        <f t="shared" si="182"/>
        <v>0</v>
      </c>
      <c r="AN383" s="873">
        <f t="shared" si="182"/>
        <v>0</v>
      </c>
      <c r="AO383" s="873">
        <f t="shared" si="182"/>
        <v>0</v>
      </c>
      <c r="AP383" s="873">
        <f t="shared" si="182"/>
        <v>0</v>
      </c>
      <c r="AQ383" s="873">
        <f t="shared" si="182"/>
        <v>0</v>
      </c>
      <c r="AR383" s="873">
        <f t="shared" si="182"/>
        <v>0</v>
      </c>
      <c r="AS383" s="873">
        <f t="shared" si="182"/>
        <v>0</v>
      </c>
      <c r="AT383" s="873">
        <f t="shared" si="182"/>
        <v>0</v>
      </c>
      <c r="AU383" s="873">
        <f t="shared" si="182"/>
        <v>0</v>
      </c>
      <c r="AV383" s="1228"/>
      <c r="AW383" s="1228"/>
      <c r="AX383" s="1228"/>
      <c r="AY383" s="1228"/>
    </row>
    <row r="384" spans="3:51" s="1208" customFormat="1" ht="15.75" customHeight="1" outlineLevel="1">
      <c r="C384" s="1254" t="s">
        <v>1167</v>
      </c>
      <c r="D384" s="214"/>
      <c r="E384" s="214"/>
      <c r="F384" s="214"/>
      <c r="G384" s="214"/>
      <c r="H384" s="214"/>
      <c r="I384" s="214"/>
      <c r="J384" s="214"/>
      <c r="K384" s="214"/>
      <c r="L384" s="215"/>
      <c r="M384" s="1196"/>
      <c r="N384" s="873"/>
      <c r="O384" s="873"/>
      <c r="P384" s="873"/>
      <c r="Q384" s="873"/>
      <c r="R384" s="873"/>
      <c r="S384" s="873"/>
      <c r="T384" s="873"/>
      <c r="U384" s="873">
        <f t="shared" si="152"/>
        <v>0</v>
      </c>
      <c r="V384" s="873"/>
      <c r="W384" s="873"/>
      <c r="X384" s="873"/>
      <c r="Y384" s="873"/>
      <c r="Z384" s="873"/>
      <c r="AA384" s="873"/>
      <c r="AB384" s="873"/>
      <c r="AC384" s="873"/>
      <c r="AD384" s="873"/>
      <c r="AE384" s="873"/>
      <c r="AF384" s="873"/>
      <c r="AG384" s="873"/>
      <c r="AH384" s="873"/>
      <c r="AI384" s="873"/>
      <c r="AJ384" s="873"/>
      <c r="AK384" s="873"/>
      <c r="AL384" s="873"/>
      <c r="AM384" s="873"/>
      <c r="AN384" s="873"/>
      <c r="AO384" s="873"/>
      <c r="AP384" s="873"/>
      <c r="AQ384" s="873"/>
      <c r="AR384" s="873"/>
      <c r="AS384" s="873"/>
      <c r="AT384" s="873"/>
      <c r="AU384" s="873"/>
      <c r="AV384" s="1228"/>
      <c r="AW384" s="1228"/>
      <c r="AX384" s="1228"/>
      <c r="AY384" s="1228"/>
    </row>
    <row r="385" spans="3:51" s="1208" customFormat="1" ht="15.75" customHeight="1" outlineLevel="1">
      <c r="C385" s="1254" t="s">
        <v>1168</v>
      </c>
      <c r="D385" s="214"/>
      <c r="E385" s="214"/>
      <c r="F385" s="214"/>
      <c r="G385" s="214"/>
      <c r="H385" s="214"/>
      <c r="I385" s="214"/>
      <c r="J385" s="214"/>
      <c r="K385" s="214"/>
      <c r="L385" s="215"/>
      <c r="M385" s="1196"/>
      <c r="N385" s="873"/>
      <c r="O385" s="873"/>
      <c r="P385" s="873"/>
      <c r="Q385" s="873"/>
      <c r="R385" s="873"/>
      <c r="S385" s="873"/>
      <c r="T385" s="873"/>
      <c r="U385" s="873">
        <f t="shared" si="152"/>
        <v>0</v>
      </c>
      <c r="V385" s="873"/>
      <c r="W385" s="873"/>
      <c r="X385" s="873"/>
      <c r="Y385" s="873"/>
      <c r="Z385" s="873"/>
      <c r="AA385" s="873"/>
      <c r="AB385" s="873"/>
      <c r="AC385" s="873"/>
      <c r="AD385" s="873"/>
      <c r="AE385" s="873"/>
      <c r="AF385" s="873"/>
      <c r="AG385" s="873"/>
      <c r="AH385" s="873"/>
      <c r="AI385" s="873"/>
      <c r="AJ385" s="873"/>
      <c r="AK385" s="873"/>
      <c r="AL385" s="873"/>
      <c r="AM385" s="873"/>
      <c r="AN385" s="873"/>
      <c r="AO385" s="873"/>
      <c r="AP385" s="873"/>
      <c r="AQ385" s="873"/>
      <c r="AR385" s="873"/>
      <c r="AS385" s="873"/>
      <c r="AT385" s="873"/>
      <c r="AU385" s="873"/>
      <c r="AV385" s="1228"/>
      <c r="AW385" s="1228"/>
      <c r="AX385" s="1228"/>
      <c r="AY385" s="1228"/>
    </row>
    <row r="386" spans="3:51" s="1208" customFormat="1" ht="15.75" customHeight="1" outlineLevel="1">
      <c r="C386" s="1254" t="s">
        <v>1169</v>
      </c>
      <c r="D386" s="214"/>
      <c r="E386" s="214"/>
      <c r="F386" s="214"/>
      <c r="G386" s="214"/>
      <c r="H386" s="214"/>
      <c r="I386" s="214"/>
      <c r="J386" s="214"/>
      <c r="K386" s="214"/>
      <c r="L386" s="215"/>
      <c r="M386" s="1196">
        <f>0.08*SUM(M382:M385)</f>
        <v>0</v>
      </c>
      <c r="N386" s="1196">
        <f>0.08*SUM(N382:N385)</f>
        <v>0</v>
      </c>
      <c r="O386" s="873"/>
      <c r="P386" s="1196">
        <f>0.08*SUM(P382:P385)</f>
        <v>1360000</v>
      </c>
      <c r="Q386" s="1196">
        <f>0.08*SUM(Q382:Q385)</f>
        <v>13292910.652000001</v>
      </c>
      <c r="R386" s="1196">
        <f>0.08*SUM(R382:R385)</f>
        <v>20552980.800000001</v>
      </c>
      <c r="S386" s="1196"/>
      <c r="T386" s="1196">
        <f>0.08*SUM(T382:T385)</f>
        <v>9246745.2000000011</v>
      </c>
      <c r="U386" s="1196">
        <f t="shared" si="152"/>
        <v>9246745.2000000011</v>
      </c>
      <c r="V386" s="1196">
        <f t="shared" ref="V386:AU386" si="183">0.08*SUM(V382:V385)</f>
        <v>2483122.4</v>
      </c>
      <c r="W386" s="1196">
        <f t="shared" si="183"/>
        <v>0</v>
      </c>
      <c r="X386" s="1196">
        <f t="shared" si="183"/>
        <v>0</v>
      </c>
      <c r="Y386" s="1196">
        <f t="shared" si="183"/>
        <v>0</v>
      </c>
      <c r="Z386" s="1196">
        <f t="shared" si="183"/>
        <v>0</v>
      </c>
      <c r="AA386" s="1196">
        <f t="shared" si="183"/>
        <v>0</v>
      </c>
      <c r="AB386" s="1196">
        <f t="shared" si="183"/>
        <v>0</v>
      </c>
      <c r="AC386" s="1196">
        <f t="shared" si="183"/>
        <v>0</v>
      </c>
      <c r="AD386" s="1196">
        <f t="shared" si="183"/>
        <v>0</v>
      </c>
      <c r="AE386" s="1196">
        <f t="shared" si="183"/>
        <v>0</v>
      </c>
      <c r="AF386" s="1196">
        <f t="shared" si="183"/>
        <v>0</v>
      </c>
      <c r="AG386" s="1196">
        <f t="shared" si="183"/>
        <v>0</v>
      </c>
      <c r="AH386" s="1196">
        <f t="shared" si="183"/>
        <v>0</v>
      </c>
      <c r="AI386" s="1196">
        <f t="shared" si="183"/>
        <v>0</v>
      </c>
      <c r="AJ386" s="1196">
        <f t="shared" si="183"/>
        <v>0</v>
      </c>
      <c r="AK386" s="1196">
        <f t="shared" si="183"/>
        <v>0</v>
      </c>
      <c r="AL386" s="1196">
        <f t="shared" si="183"/>
        <v>0</v>
      </c>
      <c r="AM386" s="1196">
        <f t="shared" si="183"/>
        <v>0</v>
      </c>
      <c r="AN386" s="1196">
        <f t="shared" si="183"/>
        <v>0</v>
      </c>
      <c r="AO386" s="1196">
        <f t="shared" si="183"/>
        <v>0</v>
      </c>
      <c r="AP386" s="1196">
        <f t="shared" si="183"/>
        <v>0</v>
      </c>
      <c r="AQ386" s="1196">
        <f t="shared" si="183"/>
        <v>0</v>
      </c>
      <c r="AR386" s="1196">
        <f t="shared" si="183"/>
        <v>0</v>
      </c>
      <c r="AS386" s="1196">
        <f t="shared" si="183"/>
        <v>0</v>
      </c>
      <c r="AT386" s="1196">
        <f t="shared" si="183"/>
        <v>0</v>
      </c>
      <c r="AU386" s="1196">
        <f t="shared" si="183"/>
        <v>0</v>
      </c>
      <c r="AV386" s="1228"/>
      <c r="AW386" s="1228"/>
      <c r="AX386" s="1228"/>
      <c r="AY386" s="1228"/>
    </row>
    <row r="387" spans="3:51" s="1208" customFormat="1" ht="15.75" customHeight="1" outlineLevel="1">
      <c r="C387" s="1254" t="s">
        <v>1170</v>
      </c>
      <c r="D387" s="214"/>
      <c r="E387" s="214"/>
      <c r="F387" s="214"/>
      <c r="G387" s="214"/>
      <c r="H387" s="214"/>
      <c r="I387" s="214"/>
      <c r="J387" s="214"/>
      <c r="K387" s="214"/>
      <c r="L387" s="215"/>
      <c r="M387" s="873">
        <f t="shared" ref="M387:R387" si="184">SUM(M382:M386)</f>
        <v>0</v>
      </c>
      <c r="N387" s="873">
        <f t="shared" si="184"/>
        <v>0</v>
      </c>
      <c r="O387" s="873">
        <f t="shared" si="184"/>
        <v>0</v>
      </c>
      <c r="P387" s="873">
        <f t="shared" si="184"/>
        <v>18360000</v>
      </c>
      <c r="Q387" s="873">
        <f t="shared" si="184"/>
        <v>179454293.80200002</v>
      </c>
      <c r="R387" s="873">
        <f t="shared" si="184"/>
        <v>277465240.80000001</v>
      </c>
      <c r="S387" s="873"/>
      <c r="T387" s="873">
        <f>SUM(T382:T386)</f>
        <v>124831060.2</v>
      </c>
      <c r="U387" s="873">
        <f t="shared" si="152"/>
        <v>124831060.2</v>
      </c>
      <c r="V387" s="873">
        <f t="shared" ref="V387:AU387" si="185">SUM(V382:V386)</f>
        <v>33522152.399999999</v>
      </c>
      <c r="W387" s="873">
        <f t="shared" si="185"/>
        <v>0</v>
      </c>
      <c r="X387" s="873">
        <f t="shared" si="185"/>
        <v>0</v>
      </c>
      <c r="Y387" s="873">
        <f t="shared" si="185"/>
        <v>0</v>
      </c>
      <c r="Z387" s="873">
        <f t="shared" si="185"/>
        <v>0</v>
      </c>
      <c r="AA387" s="873">
        <f t="shared" si="185"/>
        <v>0</v>
      </c>
      <c r="AB387" s="873">
        <f t="shared" si="185"/>
        <v>0</v>
      </c>
      <c r="AC387" s="873">
        <f t="shared" si="185"/>
        <v>0</v>
      </c>
      <c r="AD387" s="873">
        <f t="shared" si="185"/>
        <v>0</v>
      </c>
      <c r="AE387" s="873">
        <f t="shared" si="185"/>
        <v>0</v>
      </c>
      <c r="AF387" s="873">
        <f t="shared" si="185"/>
        <v>0</v>
      </c>
      <c r="AG387" s="873">
        <f t="shared" si="185"/>
        <v>0</v>
      </c>
      <c r="AH387" s="873">
        <f t="shared" si="185"/>
        <v>0</v>
      </c>
      <c r="AI387" s="873">
        <f t="shared" si="185"/>
        <v>0</v>
      </c>
      <c r="AJ387" s="873">
        <f t="shared" si="185"/>
        <v>0</v>
      </c>
      <c r="AK387" s="873">
        <f t="shared" si="185"/>
        <v>0</v>
      </c>
      <c r="AL387" s="873">
        <f t="shared" si="185"/>
        <v>0</v>
      </c>
      <c r="AM387" s="873">
        <f t="shared" si="185"/>
        <v>0</v>
      </c>
      <c r="AN387" s="873">
        <f t="shared" si="185"/>
        <v>0</v>
      </c>
      <c r="AO387" s="873">
        <f t="shared" si="185"/>
        <v>0</v>
      </c>
      <c r="AP387" s="873">
        <f t="shared" si="185"/>
        <v>0</v>
      </c>
      <c r="AQ387" s="873">
        <f t="shared" si="185"/>
        <v>0</v>
      </c>
      <c r="AR387" s="873">
        <f t="shared" si="185"/>
        <v>0</v>
      </c>
      <c r="AS387" s="873">
        <f t="shared" si="185"/>
        <v>0</v>
      </c>
      <c r="AT387" s="873">
        <f t="shared" si="185"/>
        <v>0</v>
      </c>
      <c r="AU387" s="873">
        <f t="shared" si="185"/>
        <v>0</v>
      </c>
      <c r="AV387" s="1228"/>
      <c r="AW387" s="1228"/>
      <c r="AX387" s="1228"/>
      <c r="AY387" s="1228"/>
    </row>
    <row r="388" spans="3:51" s="1208" customFormat="1" ht="15.75" customHeight="1" outlineLevel="1">
      <c r="C388" s="1222"/>
      <c r="D388" s="214"/>
      <c r="E388" s="214"/>
      <c r="F388" s="214"/>
      <c r="G388" s="214"/>
      <c r="H388" s="214"/>
      <c r="I388" s="214"/>
      <c r="J388" s="214"/>
      <c r="K388" s="214"/>
      <c r="L388" s="215"/>
      <c r="M388" s="1196"/>
      <c r="N388" s="873"/>
      <c r="O388" s="873"/>
      <c r="P388" s="873"/>
      <c r="Q388" s="873"/>
      <c r="R388" s="873"/>
      <c r="S388" s="873"/>
      <c r="T388" s="873"/>
      <c r="U388" s="873">
        <f t="shared" si="152"/>
        <v>0</v>
      </c>
      <c r="V388" s="873"/>
      <c r="W388" s="873"/>
      <c r="X388" s="873"/>
      <c r="Y388" s="873"/>
      <c r="Z388" s="873"/>
      <c r="AA388" s="873"/>
      <c r="AB388" s="873"/>
      <c r="AC388" s="873"/>
      <c r="AD388" s="873"/>
      <c r="AE388" s="873"/>
      <c r="AF388" s="873"/>
      <c r="AG388" s="873"/>
      <c r="AH388" s="873"/>
      <c r="AI388" s="873"/>
      <c r="AJ388" s="873"/>
      <c r="AK388" s="873"/>
      <c r="AL388" s="873"/>
      <c r="AM388" s="873"/>
      <c r="AN388" s="873"/>
      <c r="AO388" s="873"/>
      <c r="AP388" s="873"/>
      <c r="AQ388" s="873"/>
      <c r="AR388" s="873"/>
      <c r="AS388" s="873"/>
      <c r="AT388" s="873"/>
      <c r="AU388" s="873"/>
      <c r="AV388" s="1228"/>
      <c r="AW388" s="1228"/>
      <c r="AX388" s="1228"/>
      <c r="AY388" s="1228"/>
    </row>
    <row r="389" spans="3:51" s="1208" customFormat="1" ht="15.75" customHeight="1" outlineLevel="1">
      <c r="C389" s="728" t="s">
        <v>1171</v>
      </c>
      <c r="D389" s="214"/>
      <c r="E389" s="214"/>
      <c r="F389" s="214"/>
      <c r="G389" s="214"/>
      <c r="H389" s="214"/>
      <c r="I389" s="214"/>
      <c r="J389" s="214"/>
      <c r="K389" s="214"/>
      <c r="L389" s="215"/>
      <c r="M389" s="1196"/>
      <c r="N389" s="873"/>
      <c r="O389" s="873"/>
      <c r="P389" s="873"/>
      <c r="Q389" s="873"/>
      <c r="R389" s="873"/>
      <c r="S389" s="873"/>
      <c r="T389" s="873"/>
      <c r="U389" s="873">
        <f t="shared" si="152"/>
        <v>0</v>
      </c>
      <c r="V389" s="873"/>
      <c r="W389" s="873"/>
      <c r="X389" s="873"/>
      <c r="Y389" s="873"/>
      <c r="Z389" s="873"/>
      <c r="AA389" s="873"/>
      <c r="AB389" s="873"/>
      <c r="AC389" s="873"/>
      <c r="AD389" s="873"/>
      <c r="AE389" s="873"/>
      <c r="AF389" s="873"/>
      <c r="AG389" s="873"/>
      <c r="AH389" s="873"/>
      <c r="AI389" s="873"/>
      <c r="AJ389" s="873"/>
      <c r="AK389" s="873"/>
      <c r="AL389" s="873"/>
      <c r="AM389" s="873"/>
      <c r="AN389" s="873"/>
      <c r="AO389" s="873"/>
      <c r="AP389" s="873"/>
      <c r="AQ389" s="873"/>
      <c r="AR389" s="873"/>
      <c r="AS389" s="873"/>
      <c r="AT389" s="873"/>
      <c r="AU389" s="873"/>
      <c r="AV389" s="1228"/>
      <c r="AW389" s="1228"/>
      <c r="AX389" s="1228"/>
      <c r="AY389" s="1228"/>
    </row>
    <row r="390" spans="3:51" s="1208" customFormat="1" ht="15.75" customHeight="1" outlineLevel="1">
      <c r="C390" s="1254" t="s">
        <v>1159</v>
      </c>
      <c r="D390" s="214"/>
      <c r="E390" s="214"/>
      <c r="F390" s="214"/>
      <c r="G390" s="214"/>
      <c r="H390" s="214"/>
      <c r="I390" s="214"/>
      <c r="J390" s="214"/>
      <c r="K390" s="214"/>
      <c r="L390" s="215"/>
      <c r="M390" s="1196">
        <f t="shared" ref="M390:R390" si="186">M380</f>
        <v>0</v>
      </c>
      <c r="N390" s="1196">
        <f t="shared" si="186"/>
        <v>0</v>
      </c>
      <c r="O390" s="1196">
        <f t="shared" si="186"/>
        <v>0</v>
      </c>
      <c r="P390" s="1196" t="e">
        <f t="shared" si="186"/>
        <v>#REF!</v>
      </c>
      <c r="Q390" s="1196">
        <f t="shared" si="186"/>
        <v>0</v>
      </c>
      <c r="R390" s="1196">
        <f t="shared" si="186"/>
        <v>-24632544.110185586</v>
      </c>
      <c r="S390" s="1196"/>
      <c r="T390" s="1196">
        <f>T380</f>
        <v>-1981859.1320507079</v>
      </c>
      <c r="U390" s="1196">
        <f t="shared" si="152"/>
        <v>-1981859.1320507079</v>
      </c>
      <c r="V390" s="1196">
        <f t="shared" ref="V390:AU390" si="187">V380</f>
        <v>278726466.64650536</v>
      </c>
      <c r="W390" s="1196">
        <f t="shared" si="187"/>
        <v>415172784.51933277</v>
      </c>
      <c r="X390" s="1196">
        <f t="shared" si="187"/>
        <v>432353161.76701534</v>
      </c>
      <c r="Y390" s="1196">
        <f t="shared" si="187"/>
        <v>432353161.76701534</v>
      </c>
      <c r="Z390" s="1196">
        <f t="shared" si="187"/>
        <v>432353161.76701534</v>
      </c>
      <c r="AA390" s="1196">
        <f t="shared" si="187"/>
        <v>432353161.76701534</v>
      </c>
      <c r="AB390" s="1196">
        <f t="shared" si="187"/>
        <v>433927034.14294672</v>
      </c>
      <c r="AC390" s="1196">
        <f t="shared" si="187"/>
        <v>435180179.10504425</v>
      </c>
      <c r="AD390" s="1196">
        <f t="shared" si="187"/>
        <v>435180179.10504425</v>
      </c>
      <c r="AE390" s="1196">
        <f t="shared" si="187"/>
        <v>435180179.10504425</v>
      </c>
      <c r="AF390" s="1196">
        <f t="shared" si="187"/>
        <v>435180179.10504425</v>
      </c>
      <c r="AG390" s="1196">
        <f t="shared" si="187"/>
        <v>435180179.10504425</v>
      </c>
      <c r="AH390" s="1196">
        <f t="shared" si="187"/>
        <v>435180179.10504425</v>
      </c>
      <c r="AI390" s="1196">
        <f t="shared" si="187"/>
        <v>435180179.10504425</v>
      </c>
      <c r="AJ390" s="1196">
        <f t="shared" si="187"/>
        <v>435180179.10504425</v>
      </c>
      <c r="AK390" s="1196">
        <f t="shared" si="187"/>
        <v>435180179.10504425</v>
      </c>
      <c r="AL390" s="1196">
        <f t="shared" si="187"/>
        <v>435180179.10504425</v>
      </c>
      <c r="AM390" s="1196">
        <f t="shared" si="187"/>
        <v>435180179.10504425</v>
      </c>
      <c r="AN390" s="1196">
        <f t="shared" si="187"/>
        <v>435180179.10504425</v>
      </c>
      <c r="AO390" s="1196">
        <f t="shared" si="187"/>
        <v>435180179.10504425</v>
      </c>
      <c r="AP390" s="1196">
        <f t="shared" si="187"/>
        <v>435180179.10504425</v>
      </c>
      <c r="AQ390" s="1196">
        <f t="shared" si="187"/>
        <v>435180179.10504425</v>
      </c>
      <c r="AR390" s="1196">
        <f t="shared" si="187"/>
        <v>435180179.10504425</v>
      </c>
      <c r="AS390" s="1196">
        <f t="shared" si="187"/>
        <v>435180179.10504425</v>
      </c>
      <c r="AT390" s="1196">
        <f t="shared" si="187"/>
        <v>435180179.10504425</v>
      </c>
      <c r="AU390" s="1196">
        <f t="shared" si="187"/>
        <v>438486132.22583461</v>
      </c>
      <c r="AV390" s="1228"/>
      <c r="AW390" s="1228"/>
      <c r="AX390" s="1228"/>
      <c r="AY390" s="1228"/>
    </row>
    <row r="391" spans="3:51" s="1208" customFormat="1" ht="15.75" customHeight="1" outlineLevel="1">
      <c r="C391" s="1254" t="s">
        <v>1172</v>
      </c>
      <c r="D391" s="214"/>
      <c r="E391" s="214"/>
      <c r="F391" s="214"/>
      <c r="G391" s="214"/>
      <c r="H391" s="214"/>
      <c r="I391" s="214"/>
      <c r="J391" s="214"/>
      <c r="K391" s="214"/>
      <c r="L391" s="215"/>
      <c r="M391" s="1196">
        <f t="shared" ref="M391:R391" si="188">M387</f>
        <v>0</v>
      </c>
      <c r="N391" s="1196">
        <f t="shared" si="188"/>
        <v>0</v>
      </c>
      <c r="O391" s="1196">
        <f t="shared" si="188"/>
        <v>0</v>
      </c>
      <c r="P391" s="1196">
        <f t="shared" si="188"/>
        <v>18360000</v>
      </c>
      <c r="Q391" s="1196">
        <f t="shared" si="188"/>
        <v>179454293.80200002</v>
      </c>
      <c r="R391" s="1196">
        <f t="shared" si="188"/>
        <v>277465240.80000001</v>
      </c>
      <c r="S391" s="1196"/>
      <c r="T391" s="1196">
        <f>T387</f>
        <v>124831060.2</v>
      </c>
      <c r="U391" s="1196">
        <f t="shared" si="152"/>
        <v>124831060.2</v>
      </c>
      <c r="V391" s="1196">
        <f t="shared" ref="V391:AU391" si="189">V387</f>
        <v>33522152.399999999</v>
      </c>
      <c r="W391" s="1196">
        <f t="shared" si="189"/>
        <v>0</v>
      </c>
      <c r="X391" s="1196">
        <f t="shared" si="189"/>
        <v>0</v>
      </c>
      <c r="Y391" s="1196">
        <f t="shared" si="189"/>
        <v>0</v>
      </c>
      <c r="Z391" s="1196">
        <f t="shared" si="189"/>
        <v>0</v>
      </c>
      <c r="AA391" s="1196">
        <f t="shared" si="189"/>
        <v>0</v>
      </c>
      <c r="AB391" s="1196">
        <f t="shared" si="189"/>
        <v>0</v>
      </c>
      <c r="AC391" s="1196">
        <f t="shared" si="189"/>
        <v>0</v>
      </c>
      <c r="AD391" s="1196">
        <f t="shared" si="189"/>
        <v>0</v>
      </c>
      <c r="AE391" s="1196">
        <f t="shared" si="189"/>
        <v>0</v>
      </c>
      <c r="AF391" s="1196">
        <f t="shared" si="189"/>
        <v>0</v>
      </c>
      <c r="AG391" s="1196">
        <f t="shared" si="189"/>
        <v>0</v>
      </c>
      <c r="AH391" s="1196">
        <f t="shared" si="189"/>
        <v>0</v>
      </c>
      <c r="AI391" s="1196">
        <f t="shared" si="189"/>
        <v>0</v>
      </c>
      <c r="AJ391" s="1196">
        <f t="shared" si="189"/>
        <v>0</v>
      </c>
      <c r="AK391" s="1196">
        <f t="shared" si="189"/>
        <v>0</v>
      </c>
      <c r="AL391" s="1196">
        <f t="shared" si="189"/>
        <v>0</v>
      </c>
      <c r="AM391" s="1196">
        <f t="shared" si="189"/>
        <v>0</v>
      </c>
      <c r="AN391" s="1196">
        <f t="shared" si="189"/>
        <v>0</v>
      </c>
      <c r="AO391" s="1196">
        <f t="shared" si="189"/>
        <v>0</v>
      </c>
      <c r="AP391" s="1196">
        <f t="shared" si="189"/>
        <v>0</v>
      </c>
      <c r="AQ391" s="1196">
        <f t="shared" si="189"/>
        <v>0</v>
      </c>
      <c r="AR391" s="1196">
        <f t="shared" si="189"/>
        <v>0</v>
      </c>
      <c r="AS391" s="1196">
        <f t="shared" si="189"/>
        <v>0</v>
      </c>
      <c r="AT391" s="1196">
        <f t="shared" si="189"/>
        <v>0</v>
      </c>
      <c r="AU391" s="1196">
        <f t="shared" si="189"/>
        <v>0</v>
      </c>
      <c r="AV391" s="1228"/>
      <c r="AW391" s="1228"/>
      <c r="AX391" s="1228"/>
      <c r="AY391" s="1228"/>
    </row>
    <row r="392" spans="3:51" s="1208" customFormat="1" ht="15.75" customHeight="1" outlineLevel="1">
      <c r="C392" s="1254" t="s">
        <v>1173</v>
      </c>
      <c r="D392" s="214"/>
      <c r="E392" s="214"/>
      <c r="F392" s="214"/>
      <c r="G392" s="214"/>
      <c r="H392" s="214"/>
      <c r="I392" s="214"/>
      <c r="J392" s="214"/>
      <c r="K392" s="214"/>
      <c r="L392" s="215"/>
      <c r="M392" s="1196">
        <f t="shared" ref="M392:R392" si="190">M390-M391</f>
        <v>0</v>
      </c>
      <c r="N392" s="1196">
        <f t="shared" si="190"/>
        <v>0</v>
      </c>
      <c r="O392" s="1196">
        <f t="shared" si="190"/>
        <v>0</v>
      </c>
      <c r="P392" s="1196" t="e">
        <f t="shared" si="190"/>
        <v>#REF!</v>
      </c>
      <c r="Q392" s="1196">
        <f t="shared" si="190"/>
        <v>-179454293.80200002</v>
      </c>
      <c r="R392" s="1196">
        <f t="shared" si="190"/>
        <v>-302097784.91018558</v>
      </c>
      <c r="S392" s="1196"/>
      <c r="T392" s="1196">
        <f>T390-T391</f>
        <v>-126812919.33205071</v>
      </c>
      <c r="U392" s="1196">
        <f t="shared" si="152"/>
        <v>-126812919.33205071</v>
      </c>
      <c r="V392" s="1196">
        <f t="shared" ref="V392:AU392" si="191">V390-V391</f>
        <v>245204314.24650535</v>
      </c>
      <c r="W392" s="1196">
        <f t="shared" si="191"/>
        <v>415172784.51933277</v>
      </c>
      <c r="X392" s="1196">
        <f t="shared" si="191"/>
        <v>432353161.76701534</v>
      </c>
      <c r="Y392" s="1196">
        <f t="shared" si="191"/>
        <v>432353161.76701534</v>
      </c>
      <c r="Z392" s="1196">
        <f t="shared" si="191"/>
        <v>432353161.76701534</v>
      </c>
      <c r="AA392" s="1196">
        <f t="shared" si="191"/>
        <v>432353161.76701534</v>
      </c>
      <c r="AB392" s="1196">
        <f t="shared" si="191"/>
        <v>433927034.14294672</v>
      </c>
      <c r="AC392" s="1196">
        <f t="shared" si="191"/>
        <v>435180179.10504425</v>
      </c>
      <c r="AD392" s="1196">
        <f t="shared" si="191"/>
        <v>435180179.10504425</v>
      </c>
      <c r="AE392" s="1196">
        <f t="shared" si="191"/>
        <v>435180179.10504425</v>
      </c>
      <c r="AF392" s="1196">
        <f t="shared" si="191"/>
        <v>435180179.10504425</v>
      </c>
      <c r="AG392" s="1196">
        <f t="shared" si="191"/>
        <v>435180179.10504425</v>
      </c>
      <c r="AH392" s="1196">
        <f t="shared" si="191"/>
        <v>435180179.10504425</v>
      </c>
      <c r="AI392" s="1196">
        <f t="shared" si="191"/>
        <v>435180179.10504425</v>
      </c>
      <c r="AJ392" s="1196">
        <f t="shared" si="191"/>
        <v>435180179.10504425</v>
      </c>
      <c r="AK392" s="1196">
        <f t="shared" si="191"/>
        <v>435180179.10504425</v>
      </c>
      <c r="AL392" s="1196">
        <f t="shared" si="191"/>
        <v>435180179.10504425</v>
      </c>
      <c r="AM392" s="1196">
        <f t="shared" si="191"/>
        <v>435180179.10504425</v>
      </c>
      <c r="AN392" s="1196">
        <f t="shared" si="191"/>
        <v>435180179.10504425</v>
      </c>
      <c r="AO392" s="1196">
        <f t="shared" si="191"/>
        <v>435180179.10504425</v>
      </c>
      <c r="AP392" s="1196">
        <f t="shared" si="191"/>
        <v>435180179.10504425</v>
      </c>
      <c r="AQ392" s="1196">
        <f t="shared" si="191"/>
        <v>435180179.10504425</v>
      </c>
      <c r="AR392" s="1196">
        <f t="shared" si="191"/>
        <v>435180179.10504425</v>
      </c>
      <c r="AS392" s="1196">
        <f t="shared" si="191"/>
        <v>435180179.10504425</v>
      </c>
      <c r="AT392" s="1196">
        <f t="shared" si="191"/>
        <v>435180179.10504425</v>
      </c>
      <c r="AU392" s="1196">
        <f t="shared" si="191"/>
        <v>438486132.22583461</v>
      </c>
      <c r="AV392" s="1228"/>
      <c r="AW392" s="1228"/>
      <c r="AX392" s="1228"/>
      <c r="AY392" s="1228"/>
    </row>
    <row r="393" spans="3:51" s="1208" customFormat="1" ht="15.75" customHeight="1" outlineLevel="1">
      <c r="C393" s="1254" t="s">
        <v>1174</v>
      </c>
      <c r="D393" s="214"/>
      <c r="E393" s="214"/>
      <c r="F393" s="214"/>
      <c r="G393" s="214"/>
      <c r="H393" s="214"/>
      <c r="I393" s="214"/>
      <c r="J393" s="214"/>
      <c r="K393" s="214"/>
      <c r="L393" s="215"/>
      <c r="M393" s="1196"/>
      <c r="N393" s="873"/>
      <c r="O393" s="873"/>
      <c r="P393" s="873" t="e">
        <f>O393+P392</f>
        <v>#REF!</v>
      </c>
      <c r="Q393" s="873">
        <f>0+Q392</f>
        <v>-179454293.80200002</v>
      </c>
      <c r="R393" s="873">
        <f t="shared" ref="R393:AU393" si="192">Q393+R392</f>
        <v>-481552078.71218562</v>
      </c>
      <c r="S393" s="873"/>
      <c r="T393" s="873">
        <f t="shared" si="192"/>
        <v>-126812919.33205071</v>
      </c>
      <c r="U393" s="873">
        <f t="shared" si="152"/>
        <v>-126812919.33205071</v>
      </c>
      <c r="V393" s="873">
        <f>R393+V392</f>
        <v>-236347764.46568027</v>
      </c>
      <c r="W393" s="873">
        <f t="shared" si="192"/>
        <v>178825020.0536525</v>
      </c>
      <c r="X393" s="873">
        <f t="shared" si="192"/>
        <v>611178181.82066786</v>
      </c>
      <c r="Y393" s="873">
        <f t="shared" si="192"/>
        <v>1043531343.5876832</v>
      </c>
      <c r="Z393" s="873">
        <f t="shared" si="192"/>
        <v>1475884505.3546987</v>
      </c>
      <c r="AA393" s="873">
        <f t="shared" si="192"/>
        <v>1908237667.1217141</v>
      </c>
      <c r="AB393" s="873">
        <f t="shared" si="192"/>
        <v>2342164701.2646608</v>
      </c>
      <c r="AC393" s="873">
        <f t="shared" si="192"/>
        <v>2777344880.3697052</v>
      </c>
      <c r="AD393" s="873">
        <f t="shared" si="192"/>
        <v>3212525059.4747496</v>
      </c>
      <c r="AE393" s="873">
        <f t="shared" si="192"/>
        <v>3647705238.5797939</v>
      </c>
      <c r="AF393" s="873">
        <f t="shared" si="192"/>
        <v>4082885417.6848383</v>
      </c>
      <c r="AG393" s="873">
        <f t="shared" si="192"/>
        <v>4518065596.7898827</v>
      </c>
      <c r="AH393" s="873">
        <f t="shared" si="192"/>
        <v>4953245775.894927</v>
      </c>
      <c r="AI393" s="873">
        <f t="shared" si="192"/>
        <v>5388425954.9999714</v>
      </c>
      <c r="AJ393" s="873">
        <f t="shared" si="192"/>
        <v>5823606134.1050158</v>
      </c>
      <c r="AK393" s="873">
        <f t="shared" si="192"/>
        <v>6258786313.2100601</v>
      </c>
      <c r="AL393" s="873">
        <f t="shared" si="192"/>
        <v>6693966492.3151045</v>
      </c>
      <c r="AM393" s="873">
        <f t="shared" si="192"/>
        <v>7129146671.4201488</v>
      </c>
      <c r="AN393" s="873">
        <f t="shared" si="192"/>
        <v>7564326850.5251932</v>
      </c>
      <c r="AO393" s="873">
        <f t="shared" si="192"/>
        <v>7999507029.6302376</v>
      </c>
      <c r="AP393" s="873">
        <f t="shared" si="192"/>
        <v>8434687208.7352819</v>
      </c>
      <c r="AQ393" s="873">
        <f t="shared" si="192"/>
        <v>8869867387.8403263</v>
      </c>
      <c r="AR393" s="873">
        <f t="shared" si="192"/>
        <v>9305047566.9453697</v>
      </c>
      <c r="AS393" s="873">
        <f t="shared" si="192"/>
        <v>9740227746.0504131</v>
      </c>
      <c r="AT393" s="873">
        <f t="shared" si="192"/>
        <v>10175407925.155457</v>
      </c>
      <c r="AU393" s="873">
        <f t="shared" si="192"/>
        <v>10613894057.38129</v>
      </c>
      <c r="AV393" s="1228"/>
      <c r="AW393" s="1228"/>
      <c r="AX393" s="1228"/>
      <c r="AY393" s="1228"/>
    </row>
    <row r="394" spans="3:51" s="1208" customFormat="1" ht="15.75" customHeight="1" outlineLevel="1">
      <c r="C394" s="1222"/>
      <c r="D394" s="214"/>
      <c r="E394" s="214"/>
      <c r="F394" s="214"/>
      <c r="G394" s="214"/>
      <c r="H394" s="214"/>
      <c r="I394" s="214"/>
      <c r="J394" s="214"/>
      <c r="K394" s="214"/>
      <c r="L394" s="215"/>
      <c r="M394" s="1196"/>
      <c r="N394" s="873"/>
      <c r="O394" s="873"/>
      <c r="P394" s="873"/>
      <c r="Q394" s="873"/>
      <c r="R394" s="873"/>
      <c r="S394" s="873"/>
      <c r="T394" s="873"/>
      <c r="U394" s="873">
        <f t="shared" si="152"/>
        <v>0</v>
      </c>
      <c r="V394" s="873"/>
      <c r="W394" s="873"/>
      <c r="X394" s="873"/>
      <c r="Y394" s="873"/>
      <c r="Z394" s="873"/>
      <c r="AA394" s="873"/>
      <c r="AB394" s="873"/>
      <c r="AC394" s="873"/>
      <c r="AD394" s="873"/>
      <c r="AE394" s="873"/>
      <c r="AF394" s="873"/>
      <c r="AG394" s="873"/>
      <c r="AH394" s="873"/>
      <c r="AI394" s="873"/>
      <c r="AJ394" s="873"/>
      <c r="AK394" s="873"/>
      <c r="AL394" s="873"/>
      <c r="AM394" s="873"/>
      <c r="AN394" s="873"/>
      <c r="AO394" s="873"/>
      <c r="AP394" s="873"/>
      <c r="AQ394" s="873"/>
      <c r="AR394" s="873"/>
      <c r="AS394" s="873"/>
      <c r="AT394" s="873"/>
      <c r="AU394" s="873"/>
      <c r="AV394" s="1228"/>
      <c r="AW394" s="1228"/>
      <c r="AX394" s="1228"/>
      <c r="AY394" s="1228"/>
    </row>
    <row r="395" spans="3:51" s="1208" customFormat="1" ht="15.75" customHeight="1" outlineLevel="1">
      <c r="C395" s="728" t="s">
        <v>1175</v>
      </c>
      <c r="D395" s="214"/>
      <c r="E395" s="214"/>
      <c r="F395" s="214"/>
      <c r="G395" s="214"/>
      <c r="H395" s="214"/>
      <c r="I395" s="214"/>
      <c r="J395" s="214"/>
      <c r="K395" s="214"/>
      <c r="L395" s="215"/>
      <c r="M395" s="1196"/>
      <c r="N395" s="873"/>
      <c r="O395" s="873"/>
      <c r="P395" s="873" t="s">
        <v>1176</v>
      </c>
      <c r="Q395" s="873" t="s">
        <v>1176</v>
      </c>
      <c r="R395" s="873" t="s">
        <v>1176</v>
      </c>
      <c r="S395" s="873"/>
      <c r="T395" s="873" t="s">
        <v>1176</v>
      </c>
      <c r="U395" s="873" t="str">
        <f t="shared" si="152"/>
        <v>Before Payback Year</v>
      </c>
      <c r="V395" s="873" t="s">
        <v>1176</v>
      </c>
      <c r="W395" s="873" t="s">
        <v>1177</v>
      </c>
      <c r="X395" s="873" t="s">
        <v>1177</v>
      </c>
      <c r="Y395" s="873" t="s">
        <v>1177</v>
      </c>
      <c r="Z395" s="873" t="s">
        <v>1177</v>
      </c>
      <c r="AA395" s="873" t="s">
        <v>1177</v>
      </c>
      <c r="AB395" s="873" t="s">
        <v>1177</v>
      </c>
      <c r="AC395" s="873" t="s">
        <v>1177</v>
      </c>
      <c r="AD395" s="873" t="s">
        <v>1177</v>
      </c>
      <c r="AE395" s="873" t="s">
        <v>1177</v>
      </c>
      <c r="AF395" s="873" t="s">
        <v>1177</v>
      </c>
      <c r="AG395" s="873" t="s">
        <v>1177</v>
      </c>
      <c r="AH395" s="873" t="s">
        <v>1177</v>
      </c>
      <c r="AI395" s="873" t="s">
        <v>1177</v>
      </c>
      <c r="AJ395" s="873" t="s">
        <v>1177</v>
      </c>
      <c r="AK395" s="873" t="s">
        <v>1177</v>
      </c>
      <c r="AL395" s="873" t="s">
        <v>1177</v>
      </c>
      <c r="AM395" s="873" t="s">
        <v>1177</v>
      </c>
      <c r="AN395" s="873" t="s">
        <v>1177</v>
      </c>
      <c r="AO395" s="873" t="s">
        <v>1177</v>
      </c>
      <c r="AP395" s="873" t="s">
        <v>1177</v>
      </c>
      <c r="AQ395" s="873" t="s">
        <v>1177</v>
      </c>
      <c r="AR395" s="873" t="s">
        <v>1177</v>
      </c>
      <c r="AS395" s="873" t="s">
        <v>1177</v>
      </c>
      <c r="AT395" s="873" t="s">
        <v>1177</v>
      </c>
      <c r="AU395" s="873" t="s">
        <v>1177</v>
      </c>
      <c r="AV395" s="1228"/>
      <c r="AW395" s="1228"/>
      <c r="AX395" s="1228"/>
      <c r="AY395" s="1228"/>
    </row>
    <row r="396" spans="3:51" s="1208" customFormat="1" ht="15.75" customHeight="1" outlineLevel="1">
      <c r="C396" s="728" t="s">
        <v>1178</v>
      </c>
      <c r="D396" s="214"/>
      <c r="E396" s="214"/>
      <c r="F396" s="214"/>
      <c r="G396" s="214"/>
      <c r="H396" s="214"/>
      <c r="I396" s="214"/>
      <c r="J396" s="214"/>
      <c r="K396" s="214"/>
      <c r="L396" s="215"/>
      <c r="M396" s="1196"/>
      <c r="N396" s="873"/>
      <c r="O396" s="873"/>
      <c r="P396" s="873"/>
      <c r="Q396" s="873"/>
      <c r="R396" s="873" t="b">
        <f>(R395="Before Payback Year")</f>
        <v>1</v>
      </c>
      <c r="S396" s="873"/>
      <c r="T396" s="873" t="b">
        <f>(T395="Before Payback Year")</f>
        <v>1</v>
      </c>
      <c r="U396" s="873" t="b">
        <f t="shared" ref="U396:U459" si="193">T396</f>
        <v>1</v>
      </c>
      <c r="V396" s="873" t="b">
        <f t="shared" ref="V396:AU396" si="194">(V395="Before Payback Year")</f>
        <v>1</v>
      </c>
      <c r="W396" s="873" t="b">
        <f t="shared" si="194"/>
        <v>0</v>
      </c>
      <c r="X396" s="873" t="b">
        <f t="shared" si="194"/>
        <v>0</v>
      </c>
      <c r="Y396" s="873" t="b">
        <f t="shared" si="194"/>
        <v>0</v>
      </c>
      <c r="Z396" s="873" t="b">
        <f t="shared" si="194"/>
        <v>0</v>
      </c>
      <c r="AA396" s="873" t="b">
        <f t="shared" si="194"/>
        <v>0</v>
      </c>
      <c r="AB396" s="873" t="b">
        <f t="shared" si="194"/>
        <v>0</v>
      </c>
      <c r="AC396" s="873" t="b">
        <f t="shared" si="194"/>
        <v>0</v>
      </c>
      <c r="AD396" s="873" t="b">
        <f t="shared" si="194"/>
        <v>0</v>
      </c>
      <c r="AE396" s="873" t="b">
        <f t="shared" si="194"/>
        <v>0</v>
      </c>
      <c r="AF396" s="873" t="b">
        <f t="shared" si="194"/>
        <v>0</v>
      </c>
      <c r="AG396" s="873" t="b">
        <f t="shared" si="194"/>
        <v>0</v>
      </c>
      <c r="AH396" s="873" t="b">
        <f t="shared" si="194"/>
        <v>0</v>
      </c>
      <c r="AI396" s="873" t="b">
        <f t="shared" si="194"/>
        <v>0</v>
      </c>
      <c r="AJ396" s="873" t="b">
        <f t="shared" si="194"/>
        <v>0</v>
      </c>
      <c r="AK396" s="873" t="b">
        <f t="shared" si="194"/>
        <v>0</v>
      </c>
      <c r="AL396" s="873" t="b">
        <f t="shared" si="194"/>
        <v>0</v>
      </c>
      <c r="AM396" s="873" t="b">
        <f t="shared" si="194"/>
        <v>0</v>
      </c>
      <c r="AN396" s="873" t="b">
        <f t="shared" si="194"/>
        <v>0</v>
      </c>
      <c r="AO396" s="873" t="b">
        <f t="shared" si="194"/>
        <v>0</v>
      </c>
      <c r="AP396" s="873" t="b">
        <f t="shared" si="194"/>
        <v>0</v>
      </c>
      <c r="AQ396" s="873" t="b">
        <f t="shared" si="194"/>
        <v>0</v>
      </c>
      <c r="AR396" s="873" t="b">
        <f t="shared" si="194"/>
        <v>0</v>
      </c>
      <c r="AS396" s="873" t="b">
        <f t="shared" si="194"/>
        <v>0</v>
      </c>
      <c r="AT396" s="873" t="b">
        <f t="shared" si="194"/>
        <v>0</v>
      </c>
      <c r="AU396" s="873" t="b">
        <f t="shared" si="194"/>
        <v>0</v>
      </c>
      <c r="AV396" s="1228"/>
      <c r="AW396" s="1228"/>
      <c r="AX396" s="1228"/>
      <c r="AY396" s="1228"/>
    </row>
    <row r="397" spans="3:51" s="1208" customFormat="1" ht="15.75" customHeight="1" outlineLevel="1">
      <c r="C397" s="1222"/>
      <c r="D397" s="214"/>
      <c r="E397" s="214"/>
      <c r="F397" s="214"/>
      <c r="G397" s="214"/>
      <c r="H397" s="214"/>
      <c r="I397" s="214"/>
      <c r="J397" s="214"/>
      <c r="K397" s="214"/>
      <c r="L397" s="215"/>
      <c r="M397" s="1196"/>
      <c r="N397" s="873"/>
      <c r="O397" s="873"/>
      <c r="P397" s="873"/>
      <c r="Q397" s="873"/>
      <c r="R397" s="873"/>
      <c r="S397" s="873"/>
      <c r="T397" s="873"/>
      <c r="U397" s="873">
        <f t="shared" si="193"/>
        <v>0</v>
      </c>
      <c r="V397" s="873"/>
      <c r="W397" s="873"/>
      <c r="X397" s="873"/>
      <c r="Y397" s="873"/>
      <c r="Z397" s="873"/>
      <c r="AA397" s="873"/>
      <c r="AB397" s="873"/>
      <c r="AC397" s="873"/>
      <c r="AD397" s="873"/>
      <c r="AE397" s="873"/>
      <c r="AF397" s="873"/>
      <c r="AG397" s="873"/>
      <c r="AH397" s="873"/>
      <c r="AI397" s="873"/>
      <c r="AJ397" s="873"/>
      <c r="AK397" s="873"/>
      <c r="AL397" s="873"/>
      <c r="AM397" s="873"/>
      <c r="AN397" s="873"/>
      <c r="AO397" s="873"/>
      <c r="AP397" s="873"/>
      <c r="AQ397" s="873"/>
      <c r="AR397" s="873"/>
      <c r="AS397" s="873"/>
      <c r="AT397" s="873"/>
      <c r="AU397" s="873"/>
      <c r="AV397" s="1228"/>
      <c r="AW397" s="1228"/>
      <c r="AX397" s="1228"/>
      <c r="AY397" s="1228"/>
    </row>
    <row r="398" spans="3:51" s="1208" customFormat="1" ht="15.75" customHeight="1" outlineLevel="1">
      <c r="C398" s="728" t="s">
        <v>1179</v>
      </c>
      <c r="D398" s="214"/>
      <c r="E398" s="214"/>
      <c r="F398" s="214"/>
      <c r="G398" s="214"/>
      <c r="H398" s="214"/>
      <c r="I398" s="214"/>
      <c r="J398" s="214"/>
      <c r="K398" s="214"/>
      <c r="L398" s="215"/>
      <c r="M398" s="215"/>
      <c r="N398" s="214"/>
      <c r="O398" s="214"/>
      <c r="P398" s="214"/>
      <c r="Q398" s="214"/>
      <c r="R398" s="873"/>
      <c r="S398" s="873"/>
      <c r="T398" s="873"/>
      <c r="U398" s="873">
        <f t="shared" si="193"/>
        <v>0</v>
      </c>
      <c r="V398" s="873"/>
      <c r="W398" s="873"/>
      <c r="X398" s="873"/>
      <c r="Y398" s="873"/>
      <c r="Z398" s="873"/>
      <c r="AA398" s="873"/>
      <c r="AB398" s="873"/>
      <c r="AC398" s="873"/>
      <c r="AD398" s="873"/>
      <c r="AE398" s="873"/>
      <c r="AF398" s="873"/>
      <c r="AG398" s="873"/>
      <c r="AH398" s="873"/>
      <c r="AI398" s="873"/>
      <c r="AJ398" s="873"/>
      <c r="AK398" s="873"/>
      <c r="AL398" s="873"/>
      <c r="AM398" s="873"/>
      <c r="AN398" s="873"/>
      <c r="AO398" s="873"/>
      <c r="AP398" s="873"/>
      <c r="AQ398" s="873"/>
      <c r="AR398" s="873"/>
      <c r="AS398" s="873"/>
      <c r="AT398" s="873"/>
      <c r="AU398" s="873"/>
      <c r="AV398" s="1228"/>
      <c r="AW398" s="1228"/>
      <c r="AX398" s="1228"/>
      <c r="AY398" s="1228"/>
    </row>
    <row r="399" spans="3:51" s="1208" customFormat="1" ht="15.75" customHeight="1" outlineLevel="1">
      <c r="C399" s="1254" t="s">
        <v>973</v>
      </c>
      <c r="D399" s="214"/>
      <c r="E399" s="214"/>
      <c r="F399" s="214"/>
      <c r="G399" s="214"/>
      <c r="H399" s="214"/>
      <c r="I399" s="214"/>
      <c r="J399" s="214"/>
      <c r="K399" s="214"/>
      <c r="L399" s="215"/>
      <c r="M399" s="215"/>
      <c r="N399" s="214"/>
      <c r="O399" s="214"/>
      <c r="P399" s="214"/>
      <c r="Q399" s="214"/>
      <c r="R399" s="873">
        <f>IF(R359&lt;4,0,IF(R396,R360/100*R371*0.02,0))</f>
        <v>908960.01610445825</v>
      </c>
      <c r="S399" s="873"/>
      <c r="T399" s="873">
        <f>IF(T359&lt;4,0,IF(T396,T360/100*T371*0.02,0))</f>
        <v>1042970.1360803979</v>
      </c>
      <c r="U399" s="873">
        <f t="shared" si="193"/>
        <v>1042970.1360803979</v>
      </c>
      <c r="V399" s="873">
        <f>IF(V359&lt;4,0,IF(V396,V360/100*V371*0.02,0))</f>
        <v>6134151.3483377537</v>
      </c>
      <c r="W399" s="873">
        <f t="shared" ref="W399:AU399" si="195">IF(W359&lt;4,0,IF(W396,W360/100*W371*0.02,0))</f>
        <v>0</v>
      </c>
      <c r="X399" s="873">
        <f t="shared" si="195"/>
        <v>0</v>
      </c>
      <c r="Y399" s="873">
        <f t="shared" si="195"/>
        <v>0</v>
      </c>
      <c r="Z399" s="873">
        <f t="shared" si="195"/>
        <v>0</v>
      </c>
      <c r="AA399" s="873">
        <f t="shared" si="195"/>
        <v>0</v>
      </c>
      <c r="AB399" s="873">
        <f t="shared" si="195"/>
        <v>0</v>
      </c>
      <c r="AC399" s="873">
        <f t="shared" si="195"/>
        <v>0</v>
      </c>
      <c r="AD399" s="873">
        <f t="shared" si="195"/>
        <v>0</v>
      </c>
      <c r="AE399" s="873">
        <f t="shared" si="195"/>
        <v>0</v>
      </c>
      <c r="AF399" s="873">
        <f t="shared" si="195"/>
        <v>0</v>
      </c>
      <c r="AG399" s="873">
        <f t="shared" si="195"/>
        <v>0</v>
      </c>
      <c r="AH399" s="873">
        <f t="shared" si="195"/>
        <v>0</v>
      </c>
      <c r="AI399" s="873">
        <f t="shared" si="195"/>
        <v>0</v>
      </c>
      <c r="AJ399" s="873">
        <f t="shared" si="195"/>
        <v>0</v>
      </c>
      <c r="AK399" s="873">
        <f t="shared" si="195"/>
        <v>0</v>
      </c>
      <c r="AL399" s="873">
        <f t="shared" si="195"/>
        <v>0</v>
      </c>
      <c r="AM399" s="873">
        <f t="shared" si="195"/>
        <v>0</v>
      </c>
      <c r="AN399" s="873">
        <f t="shared" si="195"/>
        <v>0</v>
      </c>
      <c r="AO399" s="873">
        <f t="shared" si="195"/>
        <v>0</v>
      </c>
      <c r="AP399" s="873">
        <f t="shared" si="195"/>
        <v>0</v>
      </c>
      <c r="AQ399" s="873">
        <f t="shared" si="195"/>
        <v>0</v>
      </c>
      <c r="AR399" s="873">
        <f t="shared" si="195"/>
        <v>0</v>
      </c>
      <c r="AS399" s="873">
        <f t="shared" si="195"/>
        <v>0</v>
      </c>
      <c r="AT399" s="873">
        <f t="shared" si="195"/>
        <v>0</v>
      </c>
      <c r="AU399" s="873">
        <f t="shared" si="195"/>
        <v>0</v>
      </c>
      <c r="AV399" s="1228"/>
      <c r="AW399" s="1228"/>
      <c r="AX399" s="1228"/>
      <c r="AY399" s="1228"/>
    </row>
    <row r="400" spans="3:51" s="1208" customFormat="1" ht="15.75" customHeight="1" outlineLevel="1">
      <c r="C400" s="1254" t="s">
        <v>974</v>
      </c>
      <c r="D400" s="214"/>
      <c r="E400" s="214"/>
      <c r="F400" s="214"/>
      <c r="G400" s="214"/>
      <c r="H400" s="214"/>
      <c r="I400" s="214"/>
      <c r="J400" s="214"/>
      <c r="K400" s="214"/>
      <c r="L400" s="215"/>
      <c r="M400" s="215"/>
      <c r="N400" s="214"/>
      <c r="O400" s="214"/>
      <c r="P400" s="214"/>
      <c r="Q400" s="214"/>
      <c r="R400" s="873">
        <f>IF(R359&lt;4,0,IF(R396,0,IF(R359&lt;6,0.06*R361*R360/100,0.08*R361*R360/100)))</f>
        <v>0</v>
      </c>
      <c r="S400" s="873"/>
      <c r="T400" s="873">
        <f>IF(T359&lt;4,0,IF(T396,0,IF(T359&lt;6,0.06*T361*T360/100,0.08*T361*T360/100)))</f>
        <v>0</v>
      </c>
      <c r="U400" s="873">
        <f t="shared" si="193"/>
        <v>0</v>
      </c>
      <c r="V400" s="873">
        <f>IF(V359&lt;4,0,IF(V396,0,IF(V359&lt;6,0.06*V361*V360/100,0.08*V361*V360/100)))</f>
        <v>0</v>
      </c>
      <c r="W400" s="873">
        <f t="shared" ref="W400:AU400" si="196">IF(W359&lt;4,0,IF(W396,0,IF(W359&lt;6,0.06*W361*W360/100,0.08*W361*W360/100)))</f>
        <v>37282860.394682601</v>
      </c>
      <c r="X400" s="873">
        <f t="shared" si="196"/>
        <v>37282860.394682601</v>
      </c>
      <c r="Y400" s="873">
        <f t="shared" si="196"/>
        <v>37282860.394682601</v>
      </c>
      <c r="Z400" s="873">
        <f t="shared" si="196"/>
        <v>37282860.394682601</v>
      </c>
      <c r="AA400" s="873">
        <f t="shared" si="196"/>
        <v>37282860.394682601</v>
      </c>
      <c r="AB400" s="873">
        <f t="shared" si="196"/>
        <v>37647491.826569088</v>
      </c>
      <c r="AC400" s="873">
        <f t="shared" si="196"/>
        <v>37647491.826569088</v>
      </c>
      <c r="AD400" s="873">
        <f t="shared" si="196"/>
        <v>37647491.826569088</v>
      </c>
      <c r="AE400" s="873">
        <f t="shared" si="196"/>
        <v>37647491.826569088</v>
      </c>
      <c r="AF400" s="873">
        <f t="shared" si="196"/>
        <v>37647491.826569088</v>
      </c>
      <c r="AG400" s="873">
        <f t="shared" si="196"/>
        <v>37647491.826569088</v>
      </c>
      <c r="AH400" s="873">
        <f t="shared" si="196"/>
        <v>37647491.826569088</v>
      </c>
      <c r="AI400" s="873">
        <f t="shared" si="196"/>
        <v>37647491.826569088</v>
      </c>
      <c r="AJ400" s="873">
        <f t="shared" si="196"/>
        <v>37647491.826569088</v>
      </c>
      <c r="AK400" s="873">
        <f t="shared" si="196"/>
        <v>37647491.826569088</v>
      </c>
      <c r="AL400" s="873">
        <f t="shared" si="196"/>
        <v>37647491.826569088</v>
      </c>
      <c r="AM400" s="873">
        <f t="shared" si="196"/>
        <v>37647491.826569088</v>
      </c>
      <c r="AN400" s="873">
        <f t="shared" si="196"/>
        <v>37647491.826569088</v>
      </c>
      <c r="AO400" s="873">
        <f t="shared" si="196"/>
        <v>37647491.826569088</v>
      </c>
      <c r="AP400" s="873">
        <f t="shared" si="196"/>
        <v>37647491.826569088</v>
      </c>
      <c r="AQ400" s="873">
        <f t="shared" si="196"/>
        <v>37647491.826569088</v>
      </c>
      <c r="AR400" s="873">
        <f t="shared" si="196"/>
        <v>37647491.826569088</v>
      </c>
      <c r="AS400" s="873">
        <f t="shared" si="196"/>
        <v>37647491.826569088</v>
      </c>
      <c r="AT400" s="873">
        <f t="shared" si="196"/>
        <v>37647491.826569088</v>
      </c>
      <c r="AU400" s="873">
        <f t="shared" si="196"/>
        <v>37647491.826569088</v>
      </c>
      <c r="AV400" s="1228"/>
      <c r="AW400" s="1228"/>
      <c r="AX400" s="1228"/>
      <c r="AY400" s="1228"/>
    </row>
    <row r="401" spans="1:58" s="1208" customFormat="1" ht="15.75" customHeight="1" outlineLevel="1">
      <c r="C401" s="1257" t="s">
        <v>975</v>
      </c>
      <c r="L401" s="743"/>
      <c r="M401" s="743"/>
      <c r="R401" s="1210">
        <f>R399+R400</f>
        <v>908960.01610445825</v>
      </c>
      <c r="S401" s="1210"/>
      <c r="T401" s="1210">
        <f>T399+T400</f>
        <v>1042970.1360803979</v>
      </c>
      <c r="U401" s="1210">
        <f t="shared" si="193"/>
        <v>1042970.1360803979</v>
      </c>
      <c r="V401" s="1210">
        <f>V399+V400</f>
        <v>6134151.3483377537</v>
      </c>
      <c r="W401" s="1210">
        <f t="shared" ref="W401:AU401" si="197">W399+W400</f>
        <v>37282860.394682601</v>
      </c>
      <c r="X401" s="1210">
        <f t="shared" si="197"/>
        <v>37282860.394682601</v>
      </c>
      <c r="Y401" s="1210">
        <f t="shared" si="197"/>
        <v>37282860.394682601</v>
      </c>
      <c r="Z401" s="1210">
        <f t="shared" si="197"/>
        <v>37282860.394682601</v>
      </c>
      <c r="AA401" s="1210">
        <f t="shared" si="197"/>
        <v>37282860.394682601</v>
      </c>
      <c r="AB401" s="1210">
        <f t="shared" si="197"/>
        <v>37647491.826569088</v>
      </c>
      <c r="AC401" s="1210">
        <f t="shared" si="197"/>
        <v>37647491.826569088</v>
      </c>
      <c r="AD401" s="1210">
        <f t="shared" si="197"/>
        <v>37647491.826569088</v>
      </c>
      <c r="AE401" s="1210">
        <f t="shared" si="197"/>
        <v>37647491.826569088</v>
      </c>
      <c r="AF401" s="1210">
        <f t="shared" si="197"/>
        <v>37647491.826569088</v>
      </c>
      <c r="AG401" s="1210">
        <f t="shared" si="197"/>
        <v>37647491.826569088</v>
      </c>
      <c r="AH401" s="1210">
        <f t="shared" si="197"/>
        <v>37647491.826569088</v>
      </c>
      <c r="AI401" s="1210">
        <f t="shared" si="197"/>
        <v>37647491.826569088</v>
      </c>
      <c r="AJ401" s="1210">
        <f t="shared" si="197"/>
        <v>37647491.826569088</v>
      </c>
      <c r="AK401" s="1210">
        <f t="shared" si="197"/>
        <v>37647491.826569088</v>
      </c>
      <c r="AL401" s="1210">
        <f t="shared" si="197"/>
        <v>37647491.826569088</v>
      </c>
      <c r="AM401" s="1210">
        <f t="shared" si="197"/>
        <v>37647491.826569088</v>
      </c>
      <c r="AN401" s="1210">
        <f t="shared" si="197"/>
        <v>37647491.826569088</v>
      </c>
      <c r="AO401" s="1210">
        <f t="shared" si="197"/>
        <v>37647491.826569088</v>
      </c>
      <c r="AP401" s="1210">
        <f t="shared" si="197"/>
        <v>37647491.826569088</v>
      </c>
      <c r="AQ401" s="1210">
        <f t="shared" si="197"/>
        <v>37647491.826569088</v>
      </c>
      <c r="AR401" s="1210">
        <f t="shared" si="197"/>
        <v>37647491.826569088</v>
      </c>
      <c r="AS401" s="1210">
        <f t="shared" si="197"/>
        <v>37647491.826569088</v>
      </c>
      <c r="AT401" s="1210">
        <f t="shared" si="197"/>
        <v>37647491.826569088</v>
      </c>
      <c r="AU401" s="1210">
        <f t="shared" si="197"/>
        <v>37647491.826569088</v>
      </c>
      <c r="AV401" s="1228"/>
      <c r="AW401" s="1228"/>
      <c r="AX401" s="1228"/>
      <c r="AY401" s="1228"/>
    </row>
    <row r="402" spans="1:58" s="330" customFormat="1" ht="15.75" customHeight="1">
      <c r="B402" s="596"/>
      <c r="C402" s="865"/>
      <c r="L402" s="1306"/>
      <c r="M402" s="1306"/>
      <c r="N402" s="598"/>
      <c r="O402" s="598"/>
      <c r="P402" s="598"/>
      <c r="Q402" s="598"/>
      <c r="R402" s="858"/>
      <c r="S402" s="858"/>
      <c r="T402" s="858"/>
      <c r="U402" s="858">
        <f t="shared" si="193"/>
        <v>0</v>
      </c>
      <c r="V402" s="858"/>
      <c r="W402" s="858"/>
      <c r="X402" s="858"/>
      <c r="Y402" s="858"/>
      <c r="Z402" s="858"/>
      <c r="AA402" s="858"/>
      <c r="AB402" s="858"/>
      <c r="AC402" s="858"/>
      <c r="AD402" s="858"/>
      <c r="AE402" s="858"/>
      <c r="AF402" s="858"/>
      <c r="AG402" s="858"/>
      <c r="AH402" s="858"/>
      <c r="AI402" s="858"/>
      <c r="AJ402" s="858"/>
      <c r="AK402" s="858"/>
      <c r="AL402" s="858"/>
      <c r="AM402" s="858"/>
      <c r="AN402" s="858"/>
      <c r="AO402" s="858"/>
      <c r="AP402" s="858"/>
      <c r="AQ402" s="858"/>
      <c r="AR402" s="858"/>
      <c r="AS402" s="858"/>
      <c r="AT402" s="858"/>
      <c r="AU402" s="858"/>
      <c r="AV402" s="861"/>
      <c r="AW402" s="861"/>
      <c r="AX402" s="861"/>
      <c r="AY402" s="861"/>
      <c r="AZ402" s="225"/>
      <c r="BA402" s="225"/>
      <c r="BB402" s="225"/>
      <c r="BC402" s="225"/>
      <c r="BD402" s="225"/>
      <c r="BE402" s="225"/>
      <c r="BF402" s="225"/>
    </row>
    <row r="403" spans="1:58" s="343" customFormat="1" ht="15.75" customHeight="1">
      <c r="B403" s="867"/>
      <c r="C403" s="868"/>
      <c r="D403" s="181"/>
      <c r="E403" s="181"/>
      <c r="F403" s="181"/>
      <c r="G403" s="181"/>
      <c r="H403" s="179"/>
      <c r="I403" s="179"/>
      <c r="J403" s="181"/>
      <c r="K403" s="869"/>
      <c r="L403" s="1307"/>
      <c r="M403" s="1308"/>
      <c r="N403" s="1309"/>
      <c r="O403" s="216"/>
      <c r="P403" s="216"/>
      <c r="Q403" s="216"/>
      <c r="R403" s="216"/>
      <c r="S403" s="216"/>
      <c r="T403" s="216"/>
      <c r="U403" s="216">
        <f t="shared" si="193"/>
        <v>0</v>
      </c>
      <c r="V403" s="216"/>
      <c r="W403" s="216"/>
      <c r="X403" s="216"/>
      <c r="Y403" s="216"/>
      <c r="Z403" s="216"/>
      <c r="AA403" s="216"/>
      <c r="AB403" s="216"/>
      <c r="AC403" s="216"/>
      <c r="AD403" s="216"/>
      <c r="AE403" s="216"/>
      <c r="AF403" s="216"/>
      <c r="AG403" s="216"/>
      <c r="AH403" s="216"/>
      <c r="AI403" s="216"/>
      <c r="AJ403" s="216"/>
      <c r="AK403" s="216"/>
      <c r="AL403" s="216"/>
      <c r="AM403" s="216"/>
      <c r="AN403" s="216"/>
      <c r="AO403" s="216"/>
      <c r="AP403" s="216"/>
      <c r="AQ403" s="216"/>
      <c r="AR403" s="216"/>
      <c r="AS403" s="216"/>
      <c r="AT403" s="216"/>
      <c r="AU403" s="216"/>
      <c r="AV403" s="216"/>
      <c r="AW403" s="216"/>
      <c r="AX403" s="216"/>
      <c r="AY403" s="216"/>
      <c r="AZ403" s="179"/>
      <c r="BA403" s="179"/>
      <c r="BB403" s="179"/>
      <c r="BC403" s="179"/>
      <c r="BD403" s="179"/>
      <c r="BE403" s="179"/>
      <c r="BF403" s="179"/>
    </row>
    <row r="404" spans="1:58" ht="27" customHeight="1">
      <c r="B404" s="214"/>
      <c r="C404" s="366" t="s">
        <v>182</v>
      </c>
      <c r="I404" s="227"/>
      <c r="J404" s="227"/>
      <c r="K404" s="226"/>
      <c r="L404" s="228"/>
      <c r="M404" s="368"/>
      <c r="N404" s="228"/>
      <c r="O404" s="228"/>
      <c r="P404" s="228"/>
      <c r="Q404" s="228"/>
      <c r="R404" s="228"/>
      <c r="S404" s="228"/>
      <c r="T404" s="228"/>
      <c r="U404" s="228">
        <f t="shared" si="193"/>
        <v>0</v>
      </c>
      <c r="V404" s="228"/>
      <c r="W404" s="228"/>
      <c r="X404" s="228"/>
      <c r="Y404" s="228"/>
      <c r="Z404" s="228"/>
      <c r="AA404" s="228"/>
      <c r="AB404" s="228"/>
      <c r="AC404" s="228"/>
      <c r="AD404" s="228"/>
      <c r="AE404" s="228"/>
      <c r="AF404" s="228"/>
      <c r="AG404" s="228"/>
      <c r="AH404" s="228"/>
      <c r="AI404" s="228"/>
      <c r="AJ404" s="228"/>
      <c r="AK404" s="228"/>
      <c r="AL404" s="228"/>
      <c r="AM404" s="228"/>
      <c r="AN404" s="228"/>
      <c r="AO404" s="228"/>
      <c r="AP404" s="228"/>
      <c r="AQ404" s="228"/>
      <c r="AR404" s="228"/>
      <c r="AS404" s="228"/>
      <c r="AT404" s="228"/>
      <c r="AU404" s="228"/>
      <c r="AV404" s="228"/>
      <c r="AW404" s="228"/>
      <c r="AX404" s="228"/>
      <c r="AY404" s="228"/>
    </row>
    <row r="405" spans="1:58" ht="3" customHeight="1">
      <c r="B405" s="214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>
        <f t="shared" si="193"/>
        <v>0</v>
      </c>
      <c r="V405" s="229"/>
      <c r="W405" s="229"/>
      <c r="X405" s="229"/>
      <c r="Y405" s="229"/>
      <c r="Z405" s="229"/>
      <c r="AA405" s="229"/>
      <c r="AB405" s="229"/>
      <c r="AC405" s="229"/>
      <c r="AD405" s="229"/>
      <c r="AE405" s="229"/>
      <c r="AF405" s="229"/>
      <c r="AG405" s="229"/>
      <c r="AH405" s="229"/>
      <c r="AI405" s="229"/>
      <c r="AJ405" s="229"/>
      <c r="AK405" s="229"/>
      <c r="AL405" s="229"/>
      <c r="AM405" s="229"/>
      <c r="AN405" s="229"/>
      <c r="AO405" s="229"/>
      <c r="AP405" s="229"/>
      <c r="AQ405" s="229"/>
      <c r="AR405" s="229"/>
      <c r="AS405" s="229"/>
      <c r="AT405" s="229"/>
      <c r="AU405" s="229"/>
      <c r="AV405" s="229"/>
      <c r="AW405" s="229"/>
      <c r="AX405" s="229"/>
      <c r="AY405" s="229"/>
    </row>
    <row r="406" spans="1:58" ht="15" customHeight="1">
      <c r="B406" s="214"/>
      <c r="C406" s="169"/>
      <c r="I406" s="227"/>
      <c r="J406" s="227"/>
      <c r="K406" s="226"/>
      <c r="L406" s="228"/>
      <c r="M406" s="368"/>
      <c r="N406" s="228"/>
      <c r="O406" s="600"/>
      <c r="P406" s="600"/>
      <c r="Q406" s="600"/>
      <c r="R406" s="600"/>
      <c r="S406" s="600"/>
      <c r="T406" s="600"/>
      <c r="U406" s="600">
        <f t="shared" si="193"/>
        <v>0</v>
      </c>
      <c r="V406" s="600"/>
      <c r="W406" s="600"/>
      <c r="X406" s="600"/>
      <c r="Y406" s="600"/>
      <c r="Z406" s="600"/>
      <c r="AA406" s="600"/>
      <c r="AB406" s="600"/>
      <c r="AC406" s="600"/>
      <c r="AD406" s="600"/>
      <c r="AE406" s="600"/>
      <c r="AF406" s="600"/>
      <c r="AG406" s="600"/>
      <c r="AH406" s="600"/>
      <c r="AI406" s="600"/>
      <c r="AJ406" s="600"/>
      <c r="AK406" s="600"/>
      <c r="AL406" s="600"/>
      <c r="AM406" s="600"/>
      <c r="AN406" s="600"/>
      <c r="AO406" s="600"/>
      <c r="AP406" s="600"/>
      <c r="AQ406" s="600"/>
      <c r="AR406" s="600"/>
      <c r="AS406" s="600"/>
      <c r="AT406" s="600"/>
      <c r="AU406" s="600"/>
      <c r="AV406" s="600"/>
      <c r="AW406" s="600"/>
      <c r="AX406" s="600"/>
      <c r="AY406" s="600"/>
    </row>
    <row r="407" spans="1:58" ht="9.75" customHeight="1">
      <c r="B407" s="214"/>
      <c r="C407" s="313" t="s">
        <v>1006</v>
      </c>
      <c r="I407" s="227"/>
      <c r="J407" s="230"/>
      <c r="K407" s="231"/>
      <c r="L407" s="232"/>
      <c r="M407" s="232"/>
      <c r="N407" s="232"/>
      <c r="O407" s="232"/>
      <c r="P407" s="232"/>
      <c r="Q407" s="232"/>
      <c r="R407" s="232"/>
      <c r="S407" s="232"/>
      <c r="T407" s="232"/>
      <c r="U407" s="232">
        <f t="shared" si="193"/>
        <v>0</v>
      </c>
      <c r="V407" s="232"/>
      <c r="W407" s="232"/>
      <c r="X407" s="232"/>
      <c r="Y407" s="232"/>
      <c r="Z407" s="232"/>
      <c r="AA407" s="232"/>
      <c r="AB407" s="232"/>
      <c r="AC407" s="232"/>
      <c r="AD407" s="232"/>
      <c r="AE407" s="232"/>
      <c r="AF407" s="232"/>
      <c r="AG407" s="232"/>
      <c r="AH407" s="232"/>
      <c r="AI407" s="232"/>
      <c r="AJ407" s="232"/>
      <c r="AK407" s="232"/>
      <c r="AL407" s="232"/>
      <c r="AM407" s="232"/>
      <c r="AN407" s="232"/>
      <c r="AO407" s="232"/>
      <c r="AP407" s="232"/>
      <c r="AQ407" s="232"/>
      <c r="AR407" s="232"/>
      <c r="AS407" s="232"/>
      <c r="AT407" s="232"/>
      <c r="AU407" s="232"/>
      <c r="AV407" s="232"/>
      <c r="AW407" s="232"/>
      <c r="AX407" s="232"/>
      <c r="AY407" s="232"/>
    </row>
    <row r="408" spans="1:58">
      <c r="B408" s="214"/>
      <c r="C408" s="348"/>
      <c r="D408" s="233"/>
      <c r="E408" s="233"/>
      <c r="F408" s="233"/>
      <c r="G408" s="233"/>
      <c r="H408" s="233"/>
      <c r="I408" s="174"/>
      <c r="J408" s="174"/>
      <c r="K408" s="174"/>
      <c r="L408" s="175"/>
      <c r="M408" s="1300"/>
      <c r="N408" s="1300"/>
      <c r="O408" s="175">
        <v>-3</v>
      </c>
      <c r="P408" s="175">
        <f>O408+1</f>
        <v>-2</v>
      </c>
      <c r="Q408" s="175">
        <f>P408+1</f>
        <v>-1</v>
      </c>
      <c r="R408" s="175">
        <f>Q408+2</f>
        <v>1</v>
      </c>
      <c r="S408" s="175">
        <f>S8</f>
        <v>0</v>
      </c>
      <c r="T408" s="175">
        <f>T8</f>
        <v>0</v>
      </c>
      <c r="U408" s="175" t="str">
        <f>U7</f>
        <v>Revised</v>
      </c>
      <c r="V408" s="175">
        <f>R408+1</f>
        <v>2</v>
      </c>
      <c r="W408" s="175">
        <f>V408+1</f>
        <v>3</v>
      </c>
      <c r="X408" s="175">
        <f t="shared" ref="X408:AU408" si="198">W408+1</f>
        <v>4</v>
      </c>
      <c r="Y408" s="175">
        <f t="shared" si="198"/>
        <v>5</v>
      </c>
      <c r="Z408" s="175">
        <f t="shared" si="198"/>
        <v>6</v>
      </c>
      <c r="AA408" s="175">
        <f t="shared" si="198"/>
        <v>7</v>
      </c>
      <c r="AB408" s="175">
        <f t="shared" si="198"/>
        <v>8</v>
      </c>
      <c r="AC408" s="175">
        <f t="shared" si="198"/>
        <v>9</v>
      </c>
      <c r="AD408" s="175">
        <f t="shared" si="198"/>
        <v>10</v>
      </c>
      <c r="AE408" s="175">
        <f t="shared" si="198"/>
        <v>11</v>
      </c>
      <c r="AF408" s="175">
        <f t="shared" si="198"/>
        <v>12</v>
      </c>
      <c r="AG408" s="175">
        <f t="shared" si="198"/>
        <v>13</v>
      </c>
      <c r="AH408" s="175">
        <f t="shared" si="198"/>
        <v>14</v>
      </c>
      <c r="AI408" s="175">
        <f t="shared" si="198"/>
        <v>15</v>
      </c>
      <c r="AJ408" s="175">
        <f t="shared" si="198"/>
        <v>16</v>
      </c>
      <c r="AK408" s="175">
        <f t="shared" si="198"/>
        <v>17</v>
      </c>
      <c r="AL408" s="175">
        <f t="shared" si="198"/>
        <v>18</v>
      </c>
      <c r="AM408" s="175">
        <f t="shared" si="198"/>
        <v>19</v>
      </c>
      <c r="AN408" s="175">
        <f t="shared" si="198"/>
        <v>20</v>
      </c>
      <c r="AO408" s="175">
        <f t="shared" si="198"/>
        <v>21</v>
      </c>
      <c r="AP408" s="175">
        <f t="shared" si="198"/>
        <v>22</v>
      </c>
      <c r="AQ408" s="175">
        <f t="shared" si="198"/>
        <v>23</v>
      </c>
      <c r="AR408" s="175">
        <f t="shared" si="198"/>
        <v>24</v>
      </c>
      <c r="AS408" s="175">
        <f t="shared" si="198"/>
        <v>25</v>
      </c>
      <c r="AT408" s="175">
        <f t="shared" si="198"/>
        <v>26</v>
      </c>
      <c r="AU408" s="175">
        <f t="shared" si="198"/>
        <v>27</v>
      </c>
      <c r="AV408" s="175"/>
      <c r="AW408" s="175"/>
      <c r="AX408" s="175"/>
      <c r="AY408" s="175"/>
    </row>
    <row r="409" spans="1:58">
      <c r="B409" s="214"/>
      <c r="C409" s="349"/>
      <c r="D409" s="234"/>
      <c r="E409" s="234"/>
      <c r="F409" s="234"/>
      <c r="G409" s="234"/>
      <c r="H409" s="234"/>
      <c r="I409" s="176"/>
      <c r="J409" s="176"/>
      <c r="K409" s="176"/>
      <c r="L409" s="176"/>
      <c r="M409" s="758"/>
      <c r="N409" s="758"/>
      <c r="O409" s="758"/>
      <c r="P409" s="758"/>
      <c r="Q409" s="758"/>
      <c r="R409" s="758"/>
      <c r="S409" s="758"/>
      <c r="T409" s="758"/>
      <c r="U409" s="758"/>
      <c r="V409" s="758"/>
      <c r="W409" s="758"/>
      <c r="X409" s="758"/>
      <c r="Y409" s="758"/>
      <c r="Z409" s="758"/>
      <c r="AA409" s="758"/>
      <c r="AB409" s="758"/>
      <c r="AC409" s="758"/>
      <c r="AD409" s="758"/>
      <c r="AE409" s="758"/>
      <c r="AF409" s="758"/>
      <c r="AG409" s="758"/>
      <c r="AH409" s="758"/>
      <c r="AI409" s="758"/>
      <c r="AJ409" s="758"/>
      <c r="AK409" s="758"/>
      <c r="AL409" s="758"/>
      <c r="AM409" s="758"/>
      <c r="AN409" s="758"/>
      <c r="AO409" s="758"/>
      <c r="AP409" s="758"/>
      <c r="AQ409" s="758"/>
      <c r="AR409" s="758"/>
      <c r="AS409" s="758"/>
      <c r="AT409" s="758"/>
      <c r="AU409" s="758"/>
      <c r="AV409" s="758"/>
      <c r="AW409" s="758"/>
      <c r="AX409" s="758"/>
      <c r="AY409" s="758"/>
    </row>
    <row r="410" spans="1:58">
      <c r="B410" s="214"/>
      <c r="C410" s="359"/>
      <c r="D410" s="359"/>
      <c r="E410" s="235"/>
      <c r="F410" s="235"/>
      <c r="G410" s="235"/>
      <c r="H410" s="235"/>
      <c r="I410" s="213"/>
      <c r="J410" s="213"/>
      <c r="K410" s="213"/>
      <c r="L410" s="213"/>
      <c r="M410" s="178" t="s">
        <v>499</v>
      </c>
      <c r="N410" s="178" t="s">
        <v>499</v>
      </c>
      <c r="O410" s="178" t="s">
        <v>499</v>
      </c>
      <c r="P410" s="178" t="str">
        <f>O410</f>
        <v>($)</v>
      </c>
      <c r="Q410" s="178" t="str">
        <f>P410</f>
        <v>($)</v>
      </c>
      <c r="R410" s="178" t="str">
        <f>Q410</f>
        <v>($)</v>
      </c>
      <c r="S410" s="178" t="str">
        <f>R410</f>
        <v>($)</v>
      </c>
      <c r="T410" s="178" t="str">
        <f>S410</f>
        <v>($)</v>
      </c>
      <c r="U410" s="178" t="str">
        <f t="shared" si="193"/>
        <v>($)</v>
      </c>
      <c r="V410" s="178" t="str">
        <f>R410</f>
        <v>($)</v>
      </c>
      <c r="W410" s="178" t="str">
        <f>V410</f>
        <v>($)</v>
      </c>
      <c r="X410" s="178" t="str">
        <f t="shared" ref="X410:AU410" si="199">W410</f>
        <v>($)</v>
      </c>
      <c r="Y410" s="178" t="str">
        <f t="shared" si="199"/>
        <v>($)</v>
      </c>
      <c r="Z410" s="178" t="str">
        <f t="shared" si="199"/>
        <v>($)</v>
      </c>
      <c r="AA410" s="178" t="str">
        <f t="shared" si="199"/>
        <v>($)</v>
      </c>
      <c r="AB410" s="178" t="str">
        <f t="shared" si="199"/>
        <v>($)</v>
      </c>
      <c r="AC410" s="178" t="str">
        <f t="shared" si="199"/>
        <v>($)</v>
      </c>
      <c r="AD410" s="178" t="str">
        <f t="shared" si="199"/>
        <v>($)</v>
      </c>
      <c r="AE410" s="178" t="str">
        <f t="shared" si="199"/>
        <v>($)</v>
      </c>
      <c r="AF410" s="178" t="str">
        <f t="shared" si="199"/>
        <v>($)</v>
      </c>
      <c r="AG410" s="178" t="str">
        <f t="shared" si="199"/>
        <v>($)</v>
      </c>
      <c r="AH410" s="178" t="str">
        <f t="shared" si="199"/>
        <v>($)</v>
      </c>
      <c r="AI410" s="178" t="str">
        <f t="shared" si="199"/>
        <v>($)</v>
      </c>
      <c r="AJ410" s="178" t="str">
        <f t="shared" si="199"/>
        <v>($)</v>
      </c>
      <c r="AK410" s="178" t="str">
        <f t="shared" si="199"/>
        <v>($)</v>
      </c>
      <c r="AL410" s="178" t="str">
        <f t="shared" si="199"/>
        <v>($)</v>
      </c>
      <c r="AM410" s="178" t="str">
        <f t="shared" si="199"/>
        <v>($)</v>
      </c>
      <c r="AN410" s="178" t="str">
        <f t="shared" si="199"/>
        <v>($)</v>
      </c>
      <c r="AO410" s="178" t="str">
        <f t="shared" si="199"/>
        <v>($)</v>
      </c>
      <c r="AP410" s="178" t="str">
        <f t="shared" si="199"/>
        <v>($)</v>
      </c>
      <c r="AQ410" s="178" t="str">
        <f t="shared" si="199"/>
        <v>($)</v>
      </c>
      <c r="AR410" s="178" t="str">
        <f t="shared" si="199"/>
        <v>($)</v>
      </c>
      <c r="AS410" s="178" t="str">
        <f t="shared" si="199"/>
        <v>($)</v>
      </c>
      <c r="AT410" s="178" t="str">
        <f t="shared" si="199"/>
        <v>($)</v>
      </c>
      <c r="AU410" s="178" t="str">
        <f t="shared" si="199"/>
        <v>($)</v>
      </c>
      <c r="AV410" s="178"/>
      <c r="AW410" s="178"/>
      <c r="AX410" s="178"/>
      <c r="AY410" s="178"/>
    </row>
    <row r="411" spans="1:58" ht="9" customHeight="1">
      <c r="B411" s="214"/>
      <c r="C411" s="348"/>
      <c r="D411" s="236"/>
      <c r="E411" s="236"/>
      <c r="F411" s="236"/>
      <c r="G411" s="236"/>
      <c r="H411" s="236"/>
      <c r="I411" s="237"/>
      <c r="J411" s="237"/>
      <c r="K411" s="237"/>
      <c r="L411" s="238"/>
      <c r="M411" s="238"/>
      <c r="N411" s="238"/>
      <c r="O411" s="238"/>
      <c r="P411" s="238"/>
      <c r="Q411" s="238"/>
      <c r="R411" s="238"/>
      <c r="S411" s="238"/>
      <c r="T411" s="238"/>
      <c r="U411" s="238">
        <f t="shared" si="193"/>
        <v>0</v>
      </c>
      <c r="V411" s="238"/>
      <c r="W411" s="238"/>
      <c r="X411" s="238"/>
      <c r="Y411" s="238"/>
      <c r="Z411" s="238"/>
      <c r="AA411" s="238"/>
      <c r="AB411" s="238"/>
      <c r="AC411" s="238"/>
      <c r="AD411" s="238"/>
      <c r="AE411" s="238"/>
      <c r="AF411" s="238"/>
      <c r="AG411" s="238"/>
      <c r="AH411" s="238"/>
      <c r="AI411" s="238"/>
      <c r="AJ411" s="238"/>
      <c r="AK411" s="238"/>
      <c r="AL411" s="238"/>
      <c r="AM411" s="238"/>
      <c r="AN411" s="238"/>
      <c r="AO411" s="238"/>
      <c r="AP411" s="238"/>
      <c r="AQ411" s="238"/>
      <c r="AR411" s="238"/>
      <c r="AS411" s="238"/>
      <c r="AT411" s="238"/>
      <c r="AU411" s="238"/>
      <c r="AV411" s="238"/>
      <c r="AW411" s="238"/>
      <c r="AX411" s="238"/>
      <c r="AY411" s="238"/>
    </row>
    <row r="412" spans="1:58" s="225" customFormat="1" ht="15.75" customHeight="1">
      <c r="A412" s="225">
        <v>1</v>
      </c>
      <c r="B412" s="1274" t="s">
        <v>522</v>
      </c>
      <c r="C412" s="200" t="s">
        <v>183</v>
      </c>
      <c r="D412" s="194"/>
      <c r="E412" s="194"/>
      <c r="F412" s="194"/>
      <c r="G412" s="194"/>
      <c r="H412" s="194"/>
      <c r="I412" s="382"/>
      <c r="J412" s="1239"/>
      <c r="K412" s="1239"/>
      <c r="L412" s="1239"/>
      <c r="M412" s="1239"/>
      <c r="N412" s="1239">
        <f>N11</f>
        <v>0</v>
      </c>
      <c r="O412" s="1239">
        <f>N412</f>
        <v>0</v>
      </c>
      <c r="P412" s="1239">
        <f>P11</f>
        <v>0</v>
      </c>
      <c r="Q412" s="1239">
        <f>Q11</f>
        <v>0</v>
      </c>
      <c r="R412" s="1239">
        <f>R11</f>
        <v>99958572.842530459</v>
      </c>
      <c r="S412" s="1239"/>
      <c r="T412" s="1239">
        <f>T11</f>
        <v>112577334.71458274</v>
      </c>
      <c r="U412" s="1239">
        <f t="shared" si="193"/>
        <v>112577334.71458274</v>
      </c>
      <c r="V412" s="1239">
        <f t="shared" ref="V412:AU412" si="200">V11</f>
        <v>576699759.83441806</v>
      </c>
      <c r="W412" s="1239">
        <f t="shared" si="200"/>
        <v>665765364.19076073</v>
      </c>
      <c r="X412" s="1239">
        <f t="shared" si="200"/>
        <v>665765364.19076073</v>
      </c>
      <c r="Y412" s="1239">
        <f t="shared" si="200"/>
        <v>665765364.19076073</v>
      </c>
      <c r="Z412" s="1239">
        <f t="shared" si="200"/>
        <v>665765364.19076073</v>
      </c>
      <c r="AA412" s="1239">
        <f t="shared" si="200"/>
        <v>665765364.19076073</v>
      </c>
      <c r="AB412" s="1239">
        <f t="shared" si="200"/>
        <v>672276639.76016223</v>
      </c>
      <c r="AC412" s="1239">
        <f t="shared" si="200"/>
        <v>672276639.76016223</v>
      </c>
      <c r="AD412" s="1239">
        <f t="shared" si="200"/>
        <v>672276639.76016223</v>
      </c>
      <c r="AE412" s="1239">
        <f t="shared" si="200"/>
        <v>672276639.76016223</v>
      </c>
      <c r="AF412" s="1239">
        <f t="shared" si="200"/>
        <v>672276639.76016223</v>
      </c>
      <c r="AG412" s="1239">
        <f t="shared" si="200"/>
        <v>672276639.76016223</v>
      </c>
      <c r="AH412" s="1239">
        <f t="shared" si="200"/>
        <v>672276639.76016223</v>
      </c>
      <c r="AI412" s="1239">
        <f t="shared" si="200"/>
        <v>672276639.76016223</v>
      </c>
      <c r="AJ412" s="1239">
        <f t="shared" si="200"/>
        <v>672276639.76016223</v>
      </c>
      <c r="AK412" s="1239">
        <f t="shared" si="200"/>
        <v>672276639.76016223</v>
      </c>
      <c r="AL412" s="1239">
        <f t="shared" si="200"/>
        <v>672276639.76016223</v>
      </c>
      <c r="AM412" s="1239">
        <f t="shared" si="200"/>
        <v>672276639.76016223</v>
      </c>
      <c r="AN412" s="1239">
        <f t="shared" si="200"/>
        <v>672276639.76016223</v>
      </c>
      <c r="AO412" s="1239">
        <f t="shared" si="200"/>
        <v>672276639.76016223</v>
      </c>
      <c r="AP412" s="1239">
        <f t="shared" si="200"/>
        <v>672276639.76016223</v>
      </c>
      <c r="AQ412" s="1239">
        <f t="shared" si="200"/>
        <v>672276639.76016223</v>
      </c>
      <c r="AR412" s="1239">
        <f t="shared" si="200"/>
        <v>672276639.76016223</v>
      </c>
      <c r="AS412" s="1239">
        <f t="shared" si="200"/>
        <v>672276639.76016223</v>
      </c>
      <c r="AT412" s="1239">
        <f t="shared" si="200"/>
        <v>672276639.76016223</v>
      </c>
      <c r="AU412" s="1239">
        <f t="shared" si="200"/>
        <v>672276639.76016223</v>
      </c>
      <c r="AV412" s="1239"/>
      <c r="AW412" s="1239"/>
      <c r="AX412" s="1239"/>
      <c r="AY412" s="1239"/>
    </row>
    <row r="413" spans="1:58" s="214" customFormat="1" ht="15.75" customHeight="1">
      <c r="B413" s="167"/>
      <c r="C413" s="242" t="s">
        <v>1954</v>
      </c>
      <c r="D413" s="215"/>
      <c r="E413" s="215"/>
      <c r="F413" s="215"/>
      <c r="G413" s="215"/>
      <c r="H413" s="215"/>
      <c r="I413" s="240"/>
      <c r="J413" s="239"/>
      <c r="K413" s="239"/>
      <c r="L413" s="239"/>
      <c r="M413" s="239"/>
      <c r="N413" s="239"/>
      <c r="O413" s="239"/>
      <c r="P413" s="239">
        <f>P23</f>
        <v>0</v>
      </c>
      <c r="Q413" s="239">
        <f>Q23</f>
        <v>0</v>
      </c>
      <c r="R413" s="239">
        <f>R23</f>
        <v>69260652.842530459</v>
      </c>
      <c r="S413" s="239"/>
      <c r="T413" s="239">
        <f>T23</f>
        <v>77693334.714582741</v>
      </c>
      <c r="U413" s="239">
        <f t="shared" si="193"/>
        <v>77693334.714582741</v>
      </c>
      <c r="V413" s="239">
        <f t="shared" ref="V413:AU413" si="201">V23</f>
        <v>541815759.83441806</v>
      </c>
      <c r="W413" s="239">
        <f t="shared" si="201"/>
        <v>630881364.19076073</v>
      </c>
      <c r="X413" s="239">
        <f t="shared" si="201"/>
        <v>630881364.19076073</v>
      </c>
      <c r="Y413" s="239">
        <f t="shared" si="201"/>
        <v>630881364.19076073</v>
      </c>
      <c r="Z413" s="239">
        <f t="shared" si="201"/>
        <v>630881364.19076073</v>
      </c>
      <c r="AA413" s="239">
        <f t="shared" si="201"/>
        <v>630881364.19076073</v>
      </c>
      <c r="AB413" s="239">
        <f t="shared" si="201"/>
        <v>637392639.76016223</v>
      </c>
      <c r="AC413" s="239">
        <f t="shared" si="201"/>
        <v>637392639.76016223</v>
      </c>
      <c r="AD413" s="239">
        <f t="shared" si="201"/>
        <v>637392639.76016223</v>
      </c>
      <c r="AE413" s="239">
        <f t="shared" si="201"/>
        <v>637392639.76016223</v>
      </c>
      <c r="AF413" s="239">
        <f t="shared" si="201"/>
        <v>637392639.76016223</v>
      </c>
      <c r="AG413" s="239">
        <f t="shared" si="201"/>
        <v>637392639.76016223</v>
      </c>
      <c r="AH413" s="239">
        <f t="shared" si="201"/>
        <v>637392639.76016223</v>
      </c>
      <c r="AI413" s="239">
        <f t="shared" si="201"/>
        <v>637392639.76016223</v>
      </c>
      <c r="AJ413" s="239">
        <f t="shared" si="201"/>
        <v>637392639.76016223</v>
      </c>
      <c r="AK413" s="239">
        <f t="shared" si="201"/>
        <v>637392639.76016223</v>
      </c>
      <c r="AL413" s="239">
        <f t="shared" si="201"/>
        <v>637392639.76016223</v>
      </c>
      <c r="AM413" s="239">
        <f t="shared" si="201"/>
        <v>637392639.76016223</v>
      </c>
      <c r="AN413" s="239">
        <f t="shared" si="201"/>
        <v>637392639.76016223</v>
      </c>
      <c r="AO413" s="239">
        <f t="shared" si="201"/>
        <v>637392639.76016223</v>
      </c>
      <c r="AP413" s="239">
        <f t="shared" si="201"/>
        <v>637392639.76016223</v>
      </c>
      <c r="AQ413" s="239">
        <f t="shared" si="201"/>
        <v>637392639.76016223</v>
      </c>
      <c r="AR413" s="239">
        <f t="shared" si="201"/>
        <v>637392639.76016223</v>
      </c>
      <c r="AS413" s="239">
        <f t="shared" si="201"/>
        <v>637392639.76016223</v>
      </c>
      <c r="AT413" s="239">
        <f t="shared" si="201"/>
        <v>637392639.76016223</v>
      </c>
      <c r="AU413" s="239">
        <f t="shared" si="201"/>
        <v>637392639.76016223</v>
      </c>
      <c r="AV413" s="239"/>
      <c r="AW413" s="239"/>
      <c r="AX413" s="239"/>
      <c r="AY413" s="239"/>
    </row>
    <row r="414" spans="1:58" s="214" customFormat="1" ht="13.5" customHeight="1">
      <c r="C414" s="214" t="s">
        <v>1955</v>
      </c>
      <c r="O414" s="239">
        <f t="shared" ref="O414:O441" si="202">N414</f>
        <v>0</v>
      </c>
      <c r="P414" s="216">
        <f>P26</f>
        <v>0</v>
      </c>
      <c r="Q414" s="216">
        <f>Q26</f>
        <v>0</v>
      </c>
      <c r="R414" s="216">
        <f>R26</f>
        <v>30697919.999999996</v>
      </c>
      <c r="S414" s="216"/>
      <c r="T414" s="216">
        <f>T26</f>
        <v>34884000</v>
      </c>
      <c r="U414" s="216">
        <f t="shared" si="193"/>
        <v>34884000</v>
      </c>
      <c r="V414" s="216">
        <f t="shared" ref="V414:AU414" si="203">V26</f>
        <v>34884000</v>
      </c>
      <c r="W414" s="216">
        <f t="shared" si="203"/>
        <v>34884000</v>
      </c>
      <c r="X414" s="216">
        <f t="shared" si="203"/>
        <v>34884000</v>
      </c>
      <c r="Y414" s="216">
        <f t="shared" si="203"/>
        <v>34884000</v>
      </c>
      <c r="Z414" s="216">
        <f t="shared" si="203"/>
        <v>34884000</v>
      </c>
      <c r="AA414" s="216">
        <f t="shared" si="203"/>
        <v>34884000</v>
      </c>
      <c r="AB414" s="216">
        <f t="shared" si="203"/>
        <v>34884000</v>
      </c>
      <c r="AC414" s="216">
        <f t="shared" si="203"/>
        <v>34884000</v>
      </c>
      <c r="AD414" s="216">
        <f t="shared" si="203"/>
        <v>34884000</v>
      </c>
      <c r="AE414" s="216">
        <f t="shared" si="203"/>
        <v>34884000</v>
      </c>
      <c r="AF414" s="216">
        <f t="shared" si="203"/>
        <v>34884000</v>
      </c>
      <c r="AG414" s="216">
        <f t="shared" si="203"/>
        <v>34884000</v>
      </c>
      <c r="AH414" s="216">
        <f t="shared" si="203"/>
        <v>34884000</v>
      </c>
      <c r="AI414" s="216">
        <f t="shared" si="203"/>
        <v>34884000</v>
      </c>
      <c r="AJ414" s="216">
        <f t="shared" si="203"/>
        <v>34884000</v>
      </c>
      <c r="AK414" s="216">
        <f t="shared" si="203"/>
        <v>34884000</v>
      </c>
      <c r="AL414" s="216">
        <f t="shared" si="203"/>
        <v>34884000</v>
      </c>
      <c r="AM414" s="216">
        <f t="shared" si="203"/>
        <v>34884000</v>
      </c>
      <c r="AN414" s="216">
        <f t="shared" si="203"/>
        <v>34884000</v>
      </c>
      <c r="AO414" s="216">
        <f t="shared" si="203"/>
        <v>34884000</v>
      </c>
      <c r="AP414" s="216">
        <f t="shared" si="203"/>
        <v>34884000</v>
      </c>
      <c r="AQ414" s="216">
        <f t="shared" si="203"/>
        <v>34884000</v>
      </c>
      <c r="AR414" s="216">
        <f t="shared" si="203"/>
        <v>34884000</v>
      </c>
      <c r="AS414" s="216">
        <f t="shared" si="203"/>
        <v>34884000</v>
      </c>
      <c r="AT414" s="216">
        <f t="shared" si="203"/>
        <v>34884000</v>
      </c>
      <c r="AU414" s="216">
        <f t="shared" si="203"/>
        <v>34884000</v>
      </c>
    </row>
    <row r="415" spans="1:58" s="225" customFormat="1" ht="15.75" customHeight="1">
      <c r="A415" s="225">
        <v>3</v>
      </c>
      <c r="B415" s="1274" t="s">
        <v>523</v>
      </c>
      <c r="C415" s="200" t="s">
        <v>191</v>
      </c>
      <c r="D415" s="194"/>
      <c r="E415" s="194"/>
      <c r="F415" s="194"/>
      <c r="G415" s="194"/>
      <c r="H415" s="194"/>
      <c r="I415" s="1239"/>
      <c r="J415" s="1239"/>
      <c r="K415" s="1239"/>
      <c r="L415" s="1239"/>
      <c r="M415" s="1239"/>
      <c r="N415" s="1239" t="e">
        <f>-(N188+#REF!+N267)</f>
        <v>#REF!</v>
      </c>
      <c r="O415" s="1239" t="e">
        <f t="shared" si="202"/>
        <v>#REF!</v>
      </c>
      <c r="P415" s="1239">
        <f>-(P188+P193+P196+P203+P209)-P240</f>
        <v>0</v>
      </c>
      <c r="Q415" s="1239">
        <f>-(Q188+Q193+Q196+Q203+Q209)-Q240</f>
        <v>0</v>
      </c>
      <c r="R415" s="1239">
        <f>-(R188+R193+R196+R203+R209)-R240</f>
        <v>-31703196.983844124</v>
      </c>
      <c r="S415" s="1239"/>
      <c r="T415" s="1239">
        <f>-(T188+T193+T196+T203+T209)-T240</f>
        <v>-31703196.983844124</v>
      </c>
      <c r="U415" s="1239">
        <f t="shared" si="193"/>
        <v>-31703196.983844124</v>
      </c>
      <c r="V415" s="1239">
        <f t="shared" ref="V415:AU415" si="204">-(V188+V193+V196+V203+V209)-V240</f>
        <v>-120799117.04920442</v>
      </c>
      <c r="W415" s="1239">
        <f t="shared" si="204"/>
        <v>-140488085.33126542</v>
      </c>
      <c r="X415" s="1239">
        <f t="shared" si="204"/>
        <v>-140488085.33126542</v>
      </c>
      <c r="Y415" s="1239">
        <f t="shared" si="204"/>
        <v>-140488085.33126542</v>
      </c>
      <c r="Z415" s="1239">
        <f t="shared" si="204"/>
        <v>-140488085.33126542</v>
      </c>
      <c r="AA415" s="1239">
        <f t="shared" si="204"/>
        <v>-140488085.33126542</v>
      </c>
      <c r="AB415" s="1239">
        <f t="shared" si="204"/>
        <v>-140488085.33126542</v>
      </c>
      <c r="AC415" s="1239">
        <f t="shared" si="204"/>
        <v>-140488085.33126542</v>
      </c>
      <c r="AD415" s="1239">
        <f t="shared" si="204"/>
        <v>-140488085.33126542</v>
      </c>
      <c r="AE415" s="1239">
        <f t="shared" si="204"/>
        <v>-140488085.33126542</v>
      </c>
      <c r="AF415" s="1239">
        <f t="shared" si="204"/>
        <v>-140488085.33126542</v>
      </c>
      <c r="AG415" s="1239">
        <f t="shared" si="204"/>
        <v>-140488085.33126542</v>
      </c>
      <c r="AH415" s="1239">
        <f t="shared" si="204"/>
        <v>-140488085.33126542</v>
      </c>
      <c r="AI415" s="1239">
        <f t="shared" si="204"/>
        <v>-140488085.33126542</v>
      </c>
      <c r="AJ415" s="1239">
        <f t="shared" si="204"/>
        <v>-140488085.33126542</v>
      </c>
      <c r="AK415" s="1239">
        <f t="shared" si="204"/>
        <v>-140488085.33126542</v>
      </c>
      <c r="AL415" s="1239">
        <f t="shared" si="204"/>
        <v>-140488085.33126542</v>
      </c>
      <c r="AM415" s="1239">
        <f t="shared" si="204"/>
        <v>-140488085.33126542</v>
      </c>
      <c r="AN415" s="1239">
        <f t="shared" si="204"/>
        <v>-140488085.33126542</v>
      </c>
      <c r="AO415" s="1239">
        <f t="shared" si="204"/>
        <v>-140488085.33126542</v>
      </c>
      <c r="AP415" s="1239">
        <f t="shared" si="204"/>
        <v>-140488085.33126542</v>
      </c>
      <c r="AQ415" s="1239">
        <f t="shared" si="204"/>
        <v>-140488085.33126542</v>
      </c>
      <c r="AR415" s="1239">
        <f t="shared" si="204"/>
        <v>-140488085.33126542</v>
      </c>
      <c r="AS415" s="1239">
        <f t="shared" si="204"/>
        <v>-140488085.33126542</v>
      </c>
      <c r="AT415" s="1239">
        <f t="shared" si="204"/>
        <v>-140488085.33126542</v>
      </c>
      <c r="AU415" s="1239">
        <f t="shared" si="204"/>
        <v>-140488085.33126542</v>
      </c>
      <c r="AV415" s="1239"/>
      <c r="AW415" s="1239"/>
      <c r="AX415" s="1239"/>
      <c r="AY415" s="1239"/>
    </row>
    <row r="416" spans="1:58" s="214" customFormat="1" ht="15.75" customHeight="1">
      <c r="B416" s="167"/>
      <c r="C416" s="242" t="s">
        <v>1954</v>
      </c>
      <c r="D416" s="215"/>
      <c r="E416" s="215"/>
      <c r="F416" s="215"/>
      <c r="G416" s="215"/>
      <c r="H416" s="215"/>
      <c r="I416" s="239"/>
      <c r="J416" s="239"/>
      <c r="K416" s="239"/>
      <c r="L416" s="239"/>
      <c r="M416" s="239"/>
      <c r="N416" s="239"/>
      <c r="O416" s="239"/>
      <c r="P416" s="239">
        <f>-(P238-P214)</f>
        <v>0</v>
      </c>
      <c r="Q416" s="239">
        <f>-(Q238-Q214)</f>
        <v>0</v>
      </c>
      <c r="R416" s="239">
        <f>-(R238-R214)</f>
        <v>-30678636.983844124</v>
      </c>
      <c r="S416" s="239"/>
      <c r="T416" s="239">
        <f>-(T238-T214)</f>
        <v>-30678636.983844124</v>
      </c>
      <c r="U416" s="239">
        <f t="shared" si="193"/>
        <v>-30678636.983844124</v>
      </c>
      <c r="V416" s="239">
        <f t="shared" ref="V416:AU416" si="205">-(V238-V214)</f>
        <v>-119774557.04920442</v>
      </c>
      <c r="W416" s="239">
        <f t="shared" si="205"/>
        <v>-139463525.33126542</v>
      </c>
      <c r="X416" s="239">
        <f t="shared" si="205"/>
        <v>-139463525.33126542</v>
      </c>
      <c r="Y416" s="239">
        <f t="shared" si="205"/>
        <v>-139463525.33126542</v>
      </c>
      <c r="Z416" s="239">
        <f t="shared" si="205"/>
        <v>-139463525.33126542</v>
      </c>
      <c r="AA416" s="239">
        <f t="shared" si="205"/>
        <v>-139463525.33126542</v>
      </c>
      <c r="AB416" s="239">
        <f t="shared" si="205"/>
        <v>-139463525.33126542</v>
      </c>
      <c r="AC416" s="239">
        <f t="shared" si="205"/>
        <v>-139463525.33126542</v>
      </c>
      <c r="AD416" s="239">
        <f t="shared" si="205"/>
        <v>-139463525.33126542</v>
      </c>
      <c r="AE416" s="239">
        <f t="shared" si="205"/>
        <v>-139463525.33126542</v>
      </c>
      <c r="AF416" s="239">
        <f t="shared" si="205"/>
        <v>-139463525.33126542</v>
      </c>
      <c r="AG416" s="239">
        <f t="shared" si="205"/>
        <v>-139463525.33126542</v>
      </c>
      <c r="AH416" s="239">
        <f t="shared" si="205"/>
        <v>-139463525.33126542</v>
      </c>
      <c r="AI416" s="239">
        <f t="shared" si="205"/>
        <v>-139463525.33126542</v>
      </c>
      <c r="AJ416" s="239">
        <f t="shared" si="205"/>
        <v>-139463525.33126542</v>
      </c>
      <c r="AK416" s="239">
        <f t="shared" si="205"/>
        <v>-139463525.33126542</v>
      </c>
      <c r="AL416" s="239">
        <f t="shared" si="205"/>
        <v>-139463525.33126542</v>
      </c>
      <c r="AM416" s="239">
        <f t="shared" si="205"/>
        <v>-139463525.33126542</v>
      </c>
      <c r="AN416" s="239">
        <f t="shared" si="205"/>
        <v>-139463525.33126542</v>
      </c>
      <c r="AO416" s="239">
        <f t="shared" si="205"/>
        <v>-139463525.33126542</v>
      </c>
      <c r="AP416" s="239">
        <f t="shared" si="205"/>
        <v>-139463525.33126542</v>
      </c>
      <c r="AQ416" s="239">
        <f t="shared" si="205"/>
        <v>-139463525.33126542</v>
      </c>
      <c r="AR416" s="239">
        <f t="shared" si="205"/>
        <v>-139463525.33126542</v>
      </c>
      <c r="AS416" s="239">
        <f t="shared" si="205"/>
        <v>-139463525.33126542</v>
      </c>
      <c r="AT416" s="239">
        <f t="shared" si="205"/>
        <v>-139463525.33126542</v>
      </c>
      <c r="AU416" s="239">
        <f t="shared" si="205"/>
        <v>-139463525.33126542</v>
      </c>
      <c r="AV416" s="239"/>
      <c r="AW416" s="239"/>
      <c r="AX416" s="239"/>
      <c r="AY416" s="239"/>
    </row>
    <row r="417" spans="1:51" s="214" customFormat="1" ht="12" customHeight="1">
      <c r="B417" s="215"/>
      <c r="C417" s="214" t="s">
        <v>1955</v>
      </c>
      <c r="O417" s="239">
        <f t="shared" si="202"/>
        <v>0</v>
      </c>
      <c r="P417" s="216">
        <f>-P240</f>
        <v>0</v>
      </c>
      <c r="Q417" s="216">
        <f>-Q240</f>
        <v>0</v>
      </c>
      <c r="R417" s="216">
        <f>-R240</f>
        <v>-1024560</v>
      </c>
      <c r="S417" s="216"/>
      <c r="T417" s="216">
        <f>-T240</f>
        <v>-1024560</v>
      </c>
      <c r="U417" s="216">
        <f t="shared" si="193"/>
        <v>-1024560</v>
      </c>
      <c r="V417" s="216">
        <f t="shared" ref="V417:AU417" si="206">-V240</f>
        <v>-1024560</v>
      </c>
      <c r="W417" s="216">
        <f t="shared" si="206"/>
        <v>-1024560</v>
      </c>
      <c r="X417" s="216">
        <f t="shared" si="206"/>
        <v>-1024560</v>
      </c>
      <c r="Y417" s="216">
        <f t="shared" si="206"/>
        <v>-1024560</v>
      </c>
      <c r="Z417" s="216">
        <f t="shared" si="206"/>
        <v>-1024560</v>
      </c>
      <c r="AA417" s="216">
        <f t="shared" si="206"/>
        <v>-1024560</v>
      </c>
      <c r="AB417" s="216">
        <f t="shared" si="206"/>
        <v>-1024560</v>
      </c>
      <c r="AC417" s="216">
        <f t="shared" si="206"/>
        <v>-1024560</v>
      </c>
      <c r="AD417" s="216">
        <f t="shared" si="206"/>
        <v>-1024560</v>
      </c>
      <c r="AE417" s="216">
        <f t="shared" si="206"/>
        <v>-1024560</v>
      </c>
      <c r="AF417" s="216">
        <f t="shared" si="206"/>
        <v>-1024560</v>
      </c>
      <c r="AG417" s="216">
        <f t="shared" si="206"/>
        <v>-1024560</v>
      </c>
      <c r="AH417" s="216">
        <f t="shared" si="206"/>
        <v>-1024560</v>
      </c>
      <c r="AI417" s="216">
        <f t="shared" si="206"/>
        <v>-1024560</v>
      </c>
      <c r="AJ417" s="216">
        <f t="shared" si="206"/>
        <v>-1024560</v>
      </c>
      <c r="AK417" s="216">
        <f t="shared" si="206"/>
        <v>-1024560</v>
      </c>
      <c r="AL417" s="216">
        <f t="shared" si="206"/>
        <v>-1024560</v>
      </c>
      <c r="AM417" s="216">
        <f t="shared" si="206"/>
        <v>-1024560</v>
      </c>
      <c r="AN417" s="216">
        <f t="shared" si="206"/>
        <v>-1024560</v>
      </c>
      <c r="AO417" s="216">
        <f t="shared" si="206"/>
        <v>-1024560</v>
      </c>
      <c r="AP417" s="216">
        <f t="shared" si="206"/>
        <v>-1024560</v>
      </c>
      <c r="AQ417" s="216">
        <f t="shared" si="206"/>
        <v>-1024560</v>
      </c>
      <c r="AR417" s="216">
        <f t="shared" si="206"/>
        <v>-1024560</v>
      </c>
      <c r="AS417" s="216">
        <f t="shared" si="206"/>
        <v>-1024560</v>
      </c>
      <c r="AT417" s="216">
        <f t="shared" si="206"/>
        <v>-1024560</v>
      </c>
      <c r="AU417" s="216">
        <f t="shared" si="206"/>
        <v>-1024560</v>
      </c>
    </row>
    <row r="418" spans="1:51" s="225" customFormat="1" ht="15.75" customHeight="1">
      <c r="B418" s="1274" t="s">
        <v>524</v>
      </c>
      <c r="C418" s="200" t="s">
        <v>185</v>
      </c>
      <c r="D418" s="194"/>
      <c r="E418" s="194"/>
      <c r="F418" s="194"/>
      <c r="G418" s="194"/>
      <c r="H418" s="194"/>
      <c r="I418" s="1239"/>
      <c r="J418" s="1239"/>
      <c r="K418" s="1239"/>
      <c r="L418" s="1239"/>
      <c r="M418" s="1239"/>
      <c r="N418" s="1239" t="e">
        <f>N412+N415</f>
        <v>#REF!</v>
      </c>
      <c r="O418" s="1239" t="e">
        <f t="shared" si="202"/>
        <v>#REF!</v>
      </c>
      <c r="P418" s="1239">
        <f>P412+P415</f>
        <v>0</v>
      </c>
      <c r="Q418" s="1239">
        <f>Q412+Q415</f>
        <v>0</v>
      </c>
      <c r="R418" s="1239">
        <f>R412+R415</f>
        <v>68255375.858686328</v>
      </c>
      <c r="S418" s="1239"/>
      <c r="T418" s="1239">
        <f>T412+T415</f>
        <v>80874137.73073861</v>
      </c>
      <c r="U418" s="1239">
        <f t="shared" si="193"/>
        <v>80874137.73073861</v>
      </c>
      <c r="V418" s="1239">
        <f t="shared" ref="V418:AU418" si="207">V412+V415</f>
        <v>455900642.78521365</v>
      </c>
      <c r="W418" s="1239">
        <f t="shared" si="207"/>
        <v>525277278.85949528</v>
      </c>
      <c r="X418" s="1239">
        <f t="shared" si="207"/>
        <v>525277278.85949528</v>
      </c>
      <c r="Y418" s="1239">
        <f t="shared" si="207"/>
        <v>525277278.85949528</v>
      </c>
      <c r="Z418" s="1239">
        <f t="shared" si="207"/>
        <v>525277278.85949528</v>
      </c>
      <c r="AA418" s="1239">
        <f t="shared" si="207"/>
        <v>525277278.85949528</v>
      </c>
      <c r="AB418" s="1239">
        <f t="shared" si="207"/>
        <v>531788554.42889678</v>
      </c>
      <c r="AC418" s="1239">
        <f t="shared" si="207"/>
        <v>531788554.42889678</v>
      </c>
      <c r="AD418" s="1239">
        <f t="shared" si="207"/>
        <v>531788554.42889678</v>
      </c>
      <c r="AE418" s="1239">
        <f t="shared" si="207"/>
        <v>531788554.42889678</v>
      </c>
      <c r="AF418" s="1239">
        <f t="shared" si="207"/>
        <v>531788554.42889678</v>
      </c>
      <c r="AG418" s="1239">
        <f t="shared" si="207"/>
        <v>531788554.42889678</v>
      </c>
      <c r="AH418" s="1239">
        <f t="shared" si="207"/>
        <v>531788554.42889678</v>
      </c>
      <c r="AI418" s="1239">
        <f t="shared" si="207"/>
        <v>531788554.42889678</v>
      </c>
      <c r="AJ418" s="1239">
        <f t="shared" si="207"/>
        <v>531788554.42889678</v>
      </c>
      <c r="AK418" s="1239">
        <f t="shared" si="207"/>
        <v>531788554.42889678</v>
      </c>
      <c r="AL418" s="1239">
        <f t="shared" si="207"/>
        <v>531788554.42889678</v>
      </c>
      <c r="AM418" s="1239">
        <f t="shared" si="207"/>
        <v>531788554.42889678</v>
      </c>
      <c r="AN418" s="1239">
        <f t="shared" si="207"/>
        <v>531788554.42889678</v>
      </c>
      <c r="AO418" s="1239">
        <f t="shared" si="207"/>
        <v>531788554.42889678</v>
      </c>
      <c r="AP418" s="1239">
        <f t="shared" si="207"/>
        <v>531788554.42889678</v>
      </c>
      <c r="AQ418" s="1239">
        <f t="shared" si="207"/>
        <v>531788554.42889678</v>
      </c>
      <c r="AR418" s="1239">
        <f t="shared" si="207"/>
        <v>531788554.42889678</v>
      </c>
      <c r="AS418" s="1239">
        <f t="shared" si="207"/>
        <v>531788554.42889678</v>
      </c>
      <c r="AT418" s="1239">
        <f t="shared" si="207"/>
        <v>531788554.42889678</v>
      </c>
      <c r="AU418" s="1239">
        <f t="shared" si="207"/>
        <v>531788554.42889678</v>
      </c>
      <c r="AV418" s="1239"/>
      <c r="AW418" s="1239"/>
      <c r="AX418" s="1239"/>
      <c r="AY418" s="1239"/>
    </row>
    <row r="419" spans="1:51" s="214" customFormat="1" ht="3.75" customHeight="1">
      <c r="B419" s="167"/>
      <c r="C419" s="242"/>
      <c r="D419" s="215"/>
      <c r="E419" s="215"/>
      <c r="F419" s="215"/>
      <c r="G419" s="215"/>
      <c r="H419" s="215"/>
      <c r="I419" s="239"/>
      <c r="J419" s="239"/>
      <c r="K419" s="239"/>
      <c r="L419" s="239"/>
      <c r="M419" s="239"/>
      <c r="N419" s="239"/>
      <c r="O419" s="239">
        <f t="shared" si="202"/>
        <v>0</v>
      </c>
      <c r="P419" s="239"/>
      <c r="Q419" s="239"/>
      <c r="R419" s="239"/>
      <c r="S419" s="239"/>
      <c r="T419" s="239"/>
      <c r="U419" s="239">
        <f t="shared" si="193"/>
        <v>0</v>
      </c>
      <c r="V419" s="239"/>
      <c r="W419" s="239"/>
      <c r="X419" s="239"/>
      <c r="Y419" s="239"/>
      <c r="Z419" s="239"/>
      <c r="AA419" s="239"/>
      <c r="AB419" s="239"/>
      <c r="AC419" s="239"/>
      <c r="AD419" s="239"/>
      <c r="AE419" s="239"/>
      <c r="AF419" s="239"/>
      <c r="AG419" s="239"/>
      <c r="AH419" s="239"/>
      <c r="AI419" s="239"/>
      <c r="AJ419" s="239"/>
      <c r="AK419" s="239"/>
      <c r="AL419" s="239"/>
      <c r="AM419" s="239"/>
      <c r="AN419" s="239"/>
      <c r="AO419" s="239"/>
      <c r="AP419" s="239"/>
      <c r="AQ419" s="239"/>
      <c r="AR419" s="239"/>
      <c r="AS419" s="239"/>
      <c r="AT419" s="239"/>
      <c r="AU419" s="239"/>
      <c r="AV419" s="239"/>
      <c r="AW419" s="239"/>
      <c r="AX419" s="239"/>
      <c r="AY419" s="239"/>
    </row>
    <row r="420" spans="1:51" s="225" customFormat="1" ht="15.75" customHeight="1">
      <c r="A420" s="225">
        <v>5</v>
      </c>
      <c r="B420" s="1274" t="s">
        <v>523</v>
      </c>
      <c r="C420" s="200" t="s">
        <v>192</v>
      </c>
      <c r="D420" s="194"/>
      <c r="E420" s="194"/>
      <c r="F420" s="194"/>
      <c r="G420" s="194"/>
      <c r="H420" s="194"/>
      <c r="I420" s="1239"/>
      <c r="J420" s="1239"/>
      <c r="K420" s="1239"/>
      <c r="L420" s="1239"/>
      <c r="M420" s="1239"/>
      <c r="N420" s="1239" t="e">
        <f>-(N219+N220+N222+#REF!+#REF!+#REF!)</f>
        <v>#REF!</v>
      </c>
      <c r="O420" s="1239" t="e">
        <f t="shared" si="202"/>
        <v>#REF!</v>
      </c>
      <c r="P420" s="1239">
        <f>-(P219+P220+P222+P292+P289)</f>
        <v>0</v>
      </c>
      <c r="Q420" s="1239">
        <f>-(Q219+Q220+Q222+Q292+Q289)</f>
        <v>0</v>
      </c>
      <c r="R420" s="1239">
        <f>-(R219+R220+R222+R292+R289)</f>
        <v>-10478080.282151021</v>
      </c>
      <c r="S420" s="1239"/>
      <c r="T420" s="1239">
        <f>-(T219+T220+T222+T292+T289)</f>
        <v>-11096113.146917257</v>
      </c>
      <c r="U420" s="1239">
        <f t="shared" si="193"/>
        <v>-11096113.146917257</v>
      </c>
      <c r="V420" s="1239">
        <f t="shared" ref="V420:AU420" si="208">-(V219+V220+V222+V292+V289)</f>
        <v>-51329704.469200999</v>
      </c>
      <c r="W420" s="1239">
        <f t="shared" si="208"/>
        <v>-83049760.867539078</v>
      </c>
      <c r="X420" s="1239">
        <f t="shared" si="208"/>
        <v>-83049760.867539078</v>
      </c>
      <c r="Y420" s="1239">
        <f t="shared" si="208"/>
        <v>-83049760.867539078</v>
      </c>
      <c r="Z420" s="1239">
        <f t="shared" si="208"/>
        <v>-83049760.867539078</v>
      </c>
      <c r="AA420" s="1239">
        <f t="shared" si="208"/>
        <v>-83049760.867539078</v>
      </c>
      <c r="AB420" s="1239">
        <f t="shared" si="208"/>
        <v>-83771512.323815197</v>
      </c>
      <c r="AC420" s="1239">
        <f t="shared" si="208"/>
        <v>-83771512.323815197</v>
      </c>
      <c r="AD420" s="1239">
        <f t="shared" si="208"/>
        <v>-83771512.323815197</v>
      </c>
      <c r="AE420" s="1239">
        <f t="shared" si="208"/>
        <v>-83771512.323815197</v>
      </c>
      <c r="AF420" s="1239">
        <f t="shared" si="208"/>
        <v>-83771512.323815197</v>
      </c>
      <c r="AG420" s="1239">
        <f t="shared" si="208"/>
        <v>-83771512.323815197</v>
      </c>
      <c r="AH420" s="1239">
        <f t="shared" si="208"/>
        <v>-83771512.323815197</v>
      </c>
      <c r="AI420" s="1239">
        <f t="shared" si="208"/>
        <v>-83771512.323815197</v>
      </c>
      <c r="AJ420" s="1239">
        <f t="shared" si="208"/>
        <v>-83771512.323815197</v>
      </c>
      <c r="AK420" s="1239">
        <f t="shared" si="208"/>
        <v>-83771512.323815197</v>
      </c>
      <c r="AL420" s="1239">
        <f t="shared" si="208"/>
        <v>-83771512.323815197</v>
      </c>
      <c r="AM420" s="1239">
        <f t="shared" si="208"/>
        <v>-83771512.323815197</v>
      </c>
      <c r="AN420" s="1239">
        <f t="shared" si="208"/>
        <v>-83771512.323815197</v>
      </c>
      <c r="AO420" s="1239">
        <f t="shared" si="208"/>
        <v>-83771512.323815197</v>
      </c>
      <c r="AP420" s="1239">
        <f t="shared" si="208"/>
        <v>-83771512.323815197</v>
      </c>
      <c r="AQ420" s="1239">
        <f t="shared" si="208"/>
        <v>-83771512.323815197</v>
      </c>
      <c r="AR420" s="1239">
        <f t="shared" si="208"/>
        <v>-83771512.323815197</v>
      </c>
      <c r="AS420" s="1239">
        <f t="shared" si="208"/>
        <v>-83771512.323815197</v>
      </c>
      <c r="AT420" s="1239">
        <f t="shared" si="208"/>
        <v>-83771512.323815197</v>
      </c>
      <c r="AU420" s="1239">
        <f t="shared" si="208"/>
        <v>-83771512.323815197</v>
      </c>
      <c r="AV420" s="1239"/>
      <c r="AW420" s="1239"/>
      <c r="AX420" s="1239"/>
      <c r="AY420" s="1239"/>
    </row>
    <row r="421" spans="1:51" s="214" customFormat="1" ht="15.75" customHeight="1">
      <c r="B421" s="167"/>
      <c r="C421" s="242" t="s">
        <v>1956</v>
      </c>
      <c r="D421" s="215"/>
      <c r="E421" s="215"/>
      <c r="F421" s="215"/>
      <c r="G421" s="215"/>
      <c r="H421" s="215"/>
      <c r="I421" s="239"/>
      <c r="J421" s="239"/>
      <c r="K421" s="239"/>
      <c r="L421" s="239"/>
      <c r="M421" s="239"/>
      <c r="N421" s="239"/>
      <c r="O421" s="239"/>
      <c r="P421" s="239">
        <f>-P218+P221</f>
        <v>0</v>
      </c>
      <c r="Q421" s="239">
        <f>-Q218+Q221</f>
        <v>0</v>
      </c>
      <c r="R421" s="239">
        <f>-R218+R221</f>
        <v>-5514680</v>
      </c>
      <c r="S421" s="239"/>
      <c r="T421" s="239">
        <f>-T218+T221</f>
        <v>-5514680</v>
      </c>
      <c r="U421" s="239">
        <f t="shared" si="193"/>
        <v>-5514680</v>
      </c>
      <c r="V421" s="239">
        <f t="shared" ref="V421:AU421" si="209">-V218+V221</f>
        <v>-7679800</v>
      </c>
      <c r="W421" s="239">
        <f t="shared" si="209"/>
        <v>-7679800</v>
      </c>
      <c r="X421" s="239">
        <f t="shared" si="209"/>
        <v>-7679800</v>
      </c>
      <c r="Y421" s="239">
        <f t="shared" si="209"/>
        <v>-7679800</v>
      </c>
      <c r="Z421" s="239">
        <f t="shared" si="209"/>
        <v>-7679800</v>
      </c>
      <c r="AA421" s="239">
        <f t="shared" si="209"/>
        <v>-7679800</v>
      </c>
      <c r="AB421" s="239">
        <f t="shared" si="209"/>
        <v>-7679800</v>
      </c>
      <c r="AC421" s="239">
        <f t="shared" si="209"/>
        <v>-7679800</v>
      </c>
      <c r="AD421" s="239">
        <f t="shared" si="209"/>
        <v>-7679800</v>
      </c>
      <c r="AE421" s="239">
        <f t="shared" si="209"/>
        <v>-7679800</v>
      </c>
      <c r="AF421" s="239">
        <f t="shared" si="209"/>
        <v>-7679800</v>
      </c>
      <c r="AG421" s="239">
        <f t="shared" si="209"/>
        <v>-7679800</v>
      </c>
      <c r="AH421" s="239">
        <f t="shared" si="209"/>
        <v>-7679800</v>
      </c>
      <c r="AI421" s="239">
        <f t="shared" si="209"/>
        <v>-7679800</v>
      </c>
      <c r="AJ421" s="239">
        <f t="shared" si="209"/>
        <v>-7679800</v>
      </c>
      <c r="AK421" s="239">
        <f t="shared" si="209"/>
        <v>-7679800</v>
      </c>
      <c r="AL421" s="239">
        <f t="shared" si="209"/>
        <v>-7679800</v>
      </c>
      <c r="AM421" s="239">
        <f t="shared" si="209"/>
        <v>-7679800</v>
      </c>
      <c r="AN421" s="239">
        <f t="shared" si="209"/>
        <v>-7679800</v>
      </c>
      <c r="AO421" s="239">
        <f t="shared" si="209"/>
        <v>-7679800</v>
      </c>
      <c r="AP421" s="239">
        <f t="shared" si="209"/>
        <v>-7679800</v>
      </c>
      <c r="AQ421" s="239">
        <f t="shared" si="209"/>
        <v>-7679800</v>
      </c>
      <c r="AR421" s="239">
        <f t="shared" si="209"/>
        <v>-7679800</v>
      </c>
      <c r="AS421" s="239">
        <f t="shared" si="209"/>
        <v>-7679800</v>
      </c>
      <c r="AT421" s="239">
        <f t="shared" si="209"/>
        <v>-7679800</v>
      </c>
      <c r="AU421" s="239">
        <f t="shared" si="209"/>
        <v>-7679800</v>
      </c>
      <c r="AV421" s="239"/>
      <c r="AW421" s="239"/>
      <c r="AX421" s="239"/>
      <c r="AY421" s="239"/>
    </row>
    <row r="422" spans="1:51" s="214" customFormat="1" ht="15.75" customHeight="1">
      <c r="B422" s="167"/>
      <c r="C422" s="242" t="s">
        <v>1957</v>
      </c>
      <c r="D422" s="215"/>
      <c r="E422" s="215"/>
      <c r="F422" s="215"/>
      <c r="G422" s="215"/>
      <c r="H422" s="215"/>
      <c r="I422" s="239"/>
      <c r="J422" s="239"/>
      <c r="K422" s="239"/>
      <c r="L422" s="239"/>
      <c r="M422" s="239"/>
      <c r="N422" s="239"/>
      <c r="O422" s="239"/>
      <c r="P422" s="239">
        <f>-P289</f>
        <v>0</v>
      </c>
      <c r="Q422" s="239">
        <f>-Q289</f>
        <v>0</v>
      </c>
      <c r="R422" s="239">
        <f>-R289</f>
        <v>-3058732.3289814321</v>
      </c>
      <c r="S422" s="239"/>
      <c r="T422" s="239">
        <f>-T289</f>
        <v>-3444866.4422662319</v>
      </c>
      <c r="U422" s="239">
        <f t="shared" si="193"/>
        <v>-3444866.4422662319</v>
      </c>
      <c r="V422" s="239">
        <f t="shared" ref="V422:AU422" si="210">-V289</f>
        <v>-17647012.650933191</v>
      </c>
      <c r="W422" s="239">
        <f t="shared" si="210"/>
        <v>-20372420.14423728</v>
      </c>
      <c r="X422" s="239">
        <f t="shared" si="210"/>
        <v>-20372420.14423728</v>
      </c>
      <c r="Y422" s="239">
        <f t="shared" si="210"/>
        <v>-20372420.14423728</v>
      </c>
      <c r="Z422" s="239">
        <f t="shared" si="210"/>
        <v>-20372420.14423728</v>
      </c>
      <c r="AA422" s="239">
        <f t="shared" si="210"/>
        <v>-20372420.14423728</v>
      </c>
      <c r="AB422" s="239">
        <f t="shared" si="210"/>
        <v>-20571665.176660966</v>
      </c>
      <c r="AC422" s="239">
        <f t="shared" si="210"/>
        <v>-20571665.176660966</v>
      </c>
      <c r="AD422" s="239">
        <f t="shared" si="210"/>
        <v>-20571665.176660966</v>
      </c>
      <c r="AE422" s="239">
        <f t="shared" si="210"/>
        <v>-20571665.176660966</v>
      </c>
      <c r="AF422" s="239">
        <f t="shared" si="210"/>
        <v>-20571665.176660966</v>
      </c>
      <c r="AG422" s="239">
        <f t="shared" si="210"/>
        <v>-20571665.176660966</v>
      </c>
      <c r="AH422" s="239">
        <f t="shared" si="210"/>
        <v>-20571665.176660966</v>
      </c>
      <c r="AI422" s="239">
        <f t="shared" si="210"/>
        <v>-20571665.176660966</v>
      </c>
      <c r="AJ422" s="239">
        <f t="shared" si="210"/>
        <v>-20571665.176660966</v>
      </c>
      <c r="AK422" s="239">
        <f t="shared" si="210"/>
        <v>-20571665.176660966</v>
      </c>
      <c r="AL422" s="239">
        <f t="shared" si="210"/>
        <v>-20571665.176660966</v>
      </c>
      <c r="AM422" s="239">
        <f t="shared" si="210"/>
        <v>-20571665.176660966</v>
      </c>
      <c r="AN422" s="239">
        <f t="shared" si="210"/>
        <v>-20571665.176660966</v>
      </c>
      <c r="AO422" s="239">
        <f t="shared" si="210"/>
        <v>-20571665.176660966</v>
      </c>
      <c r="AP422" s="239">
        <f t="shared" si="210"/>
        <v>-20571665.176660966</v>
      </c>
      <c r="AQ422" s="239">
        <f t="shared" si="210"/>
        <v>-20571665.176660966</v>
      </c>
      <c r="AR422" s="239">
        <f t="shared" si="210"/>
        <v>-20571665.176660966</v>
      </c>
      <c r="AS422" s="239">
        <f t="shared" si="210"/>
        <v>-20571665.176660966</v>
      </c>
      <c r="AT422" s="239">
        <f t="shared" si="210"/>
        <v>-20571665.176660966</v>
      </c>
      <c r="AU422" s="239">
        <f t="shared" si="210"/>
        <v>-20571665.176660966</v>
      </c>
      <c r="AV422" s="239"/>
      <c r="AW422" s="239"/>
      <c r="AX422" s="239"/>
      <c r="AY422" s="239"/>
    </row>
    <row r="423" spans="1:51" s="214" customFormat="1" ht="15.75" customHeight="1">
      <c r="B423" s="167"/>
      <c r="C423" s="242" t="s">
        <v>1958</v>
      </c>
      <c r="D423" s="215"/>
      <c r="E423" s="215"/>
      <c r="F423" s="215"/>
      <c r="G423" s="215"/>
      <c r="H423" s="215"/>
      <c r="I423" s="239"/>
      <c r="J423" s="239"/>
      <c r="K423" s="239"/>
      <c r="L423" s="239"/>
      <c r="M423" s="239"/>
      <c r="N423" s="239"/>
      <c r="O423" s="239"/>
      <c r="P423" s="239">
        <f>-P292</f>
        <v>0</v>
      </c>
      <c r="Q423" s="239">
        <f>-Q292</f>
        <v>0</v>
      </c>
      <c r="R423" s="239">
        <f>-R292</f>
        <v>-1904667.9531695875</v>
      </c>
      <c r="S423" s="239"/>
      <c r="T423" s="239">
        <f>-T292</f>
        <v>-2136566.7046510256</v>
      </c>
      <c r="U423" s="239">
        <f t="shared" si="193"/>
        <v>-2136566.7046510256</v>
      </c>
      <c r="V423" s="239">
        <f t="shared" ref="V423:AU423" si="211">-V292</f>
        <v>-26002891.818267804</v>
      </c>
      <c r="W423" s="239">
        <f t="shared" si="211"/>
        <v>-54997540.723301806</v>
      </c>
      <c r="X423" s="239">
        <f t="shared" si="211"/>
        <v>-54997540.723301806</v>
      </c>
      <c r="Y423" s="239">
        <f t="shared" si="211"/>
        <v>-54997540.723301806</v>
      </c>
      <c r="Z423" s="239">
        <f t="shared" si="211"/>
        <v>-54997540.723301806</v>
      </c>
      <c r="AA423" s="239">
        <f t="shared" si="211"/>
        <v>-54997540.723301806</v>
      </c>
      <c r="AB423" s="239">
        <f t="shared" si="211"/>
        <v>-55520047.147154227</v>
      </c>
      <c r="AC423" s="239">
        <f t="shared" si="211"/>
        <v>-55520047.147154227</v>
      </c>
      <c r="AD423" s="239">
        <f t="shared" si="211"/>
        <v>-55520047.147154227</v>
      </c>
      <c r="AE423" s="239">
        <f t="shared" si="211"/>
        <v>-55520047.147154227</v>
      </c>
      <c r="AF423" s="239">
        <f t="shared" si="211"/>
        <v>-55520047.147154227</v>
      </c>
      <c r="AG423" s="239">
        <f t="shared" si="211"/>
        <v>-55520047.147154227</v>
      </c>
      <c r="AH423" s="239">
        <f t="shared" si="211"/>
        <v>-55520047.147154227</v>
      </c>
      <c r="AI423" s="239">
        <f t="shared" si="211"/>
        <v>-55520047.147154227</v>
      </c>
      <c r="AJ423" s="239">
        <f t="shared" si="211"/>
        <v>-55520047.147154227</v>
      </c>
      <c r="AK423" s="239">
        <f t="shared" si="211"/>
        <v>-55520047.147154227</v>
      </c>
      <c r="AL423" s="239">
        <f t="shared" si="211"/>
        <v>-55520047.147154227</v>
      </c>
      <c r="AM423" s="239">
        <f t="shared" si="211"/>
        <v>-55520047.147154227</v>
      </c>
      <c r="AN423" s="239">
        <f t="shared" si="211"/>
        <v>-55520047.147154227</v>
      </c>
      <c r="AO423" s="239">
        <f t="shared" si="211"/>
        <v>-55520047.147154227</v>
      </c>
      <c r="AP423" s="239">
        <f t="shared" si="211"/>
        <v>-55520047.147154227</v>
      </c>
      <c r="AQ423" s="239">
        <f t="shared" si="211"/>
        <v>-55520047.147154227</v>
      </c>
      <c r="AR423" s="239">
        <f t="shared" si="211"/>
        <v>-55520047.147154227</v>
      </c>
      <c r="AS423" s="239">
        <f t="shared" si="211"/>
        <v>-55520047.147154227</v>
      </c>
      <c r="AT423" s="239">
        <f t="shared" si="211"/>
        <v>-55520047.147154227</v>
      </c>
      <c r="AU423" s="239">
        <f t="shared" si="211"/>
        <v>-55520047.147154227</v>
      </c>
      <c r="AV423" s="239"/>
      <c r="AW423" s="239"/>
      <c r="AX423" s="239"/>
      <c r="AY423" s="239"/>
    </row>
    <row r="424" spans="1:51" s="225" customFormat="1" ht="15.75" customHeight="1">
      <c r="A424" s="225">
        <v>5</v>
      </c>
      <c r="B424" s="1274" t="s">
        <v>523</v>
      </c>
      <c r="C424" s="200" t="s">
        <v>15</v>
      </c>
      <c r="D424" s="194"/>
      <c r="E424" s="194"/>
      <c r="F424" s="194"/>
      <c r="G424" s="194"/>
      <c r="H424" s="194"/>
      <c r="I424" s="1239"/>
      <c r="J424" s="1239"/>
      <c r="K424" s="1239"/>
      <c r="L424" s="1239"/>
      <c r="M424" s="1239"/>
      <c r="N424" s="1239" t="e">
        <f>-(N224+N269+#REF!+N221+#REF!)</f>
        <v>#REF!</v>
      </c>
      <c r="O424" s="1239" t="e">
        <f t="shared" si="202"/>
        <v>#REF!</v>
      </c>
      <c r="P424" s="1239">
        <f>-(P269+P216+P221+P224)</f>
        <v>0</v>
      </c>
      <c r="Q424" s="1239">
        <f>-(Q269+Q216+Q221+Q224)</f>
        <v>0</v>
      </c>
      <c r="R424" s="1239">
        <f>-(R269+R216+R221+R224)</f>
        <v>-12231169.366666667</v>
      </c>
      <c r="S424" s="1239"/>
      <c r="T424" s="1239">
        <f>-(T269+T216+T221+T224)</f>
        <v>-12231169.366666667</v>
      </c>
      <c r="U424" s="1239">
        <f t="shared" si="193"/>
        <v>-12231169.366666667</v>
      </c>
      <c r="V424" s="1239">
        <f t="shared" ref="V424:AU424" si="212">-(V269+V216+V221+V224)</f>
        <v>-12784956.48</v>
      </c>
      <c r="W424" s="1239">
        <f t="shared" si="212"/>
        <v>-12784956.48</v>
      </c>
      <c r="X424" s="1239">
        <f t="shared" si="212"/>
        <v>-12784956.48</v>
      </c>
      <c r="Y424" s="1239">
        <f t="shared" si="212"/>
        <v>-12784956.48</v>
      </c>
      <c r="Z424" s="1239">
        <f t="shared" si="212"/>
        <v>-12784956.48</v>
      </c>
      <c r="AA424" s="1239">
        <f t="shared" si="212"/>
        <v>-12784956.48</v>
      </c>
      <c r="AB424" s="1239">
        <f t="shared" si="212"/>
        <v>-12784956.48</v>
      </c>
      <c r="AC424" s="1239">
        <f t="shared" si="212"/>
        <v>-12784956.48</v>
      </c>
      <c r="AD424" s="1239">
        <f t="shared" si="212"/>
        <v>-12784956.48</v>
      </c>
      <c r="AE424" s="1239">
        <f t="shared" si="212"/>
        <v>-12784956.48</v>
      </c>
      <c r="AF424" s="1239">
        <f t="shared" si="212"/>
        <v>-12784956.48</v>
      </c>
      <c r="AG424" s="1239">
        <f t="shared" si="212"/>
        <v>-12784956.48</v>
      </c>
      <c r="AH424" s="1239">
        <f t="shared" si="212"/>
        <v>-12784956.48</v>
      </c>
      <c r="AI424" s="1239">
        <f t="shared" si="212"/>
        <v>-12784956.48</v>
      </c>
      <c r="AJ424" s="1239">
        <f t="shared" si="212"/>
        <v>-12784956.48</v>
      </c>
      <c r="AK424" s="1239">
        <f t="shared" si="212"/>
        <v>-12784956.48</v>
      </c>
      <c r="AL424" s="1239">
        <f t="shared" si="212"/>
        <v>-12784956.48</v>
      </c>
      <c r="AM424" s="1239">
        <f t="shared" si="212"/>
        <v>-12784956.48</v>
      </c>
      <c r="AN424" s="1239">
        <f t="shared" si="212"/>
        <v>-12784956.48</v>
      </c>
      <c r="AO424" s="1239">
        <f t="shared" si="212"/>
        <v>-12784956.48</v>
      </c>
      <c r="AP424" s="1239">
        <f t="shared" si="212"/>
        <v>-12784956.48</v>
      </c>
      <c r="AQ424" s="1239">
        <f t="shared" si="212"/>
        <v>-12784956.48</v>
      </c>
      <c r="AR424" s="1239">
        <f t="shared" si="212"/>
        <v>-12784956.48</v>
      </c>
      <c r="AS424" s="1239">
        <f t="shared" si="212"/>
        <v>-12784956.48</v>
      </c>
      <c r="AT424" s="1239">
        <f t="shared" si="212"/>
        <v>-12784956.48</v>
      </c>
      <c r="AU424" s="1239">
        <f t="shared" si="212"/>
        <v>-12784956.48</v>
      </c>
      <c r="AV424" s="1239"/>
      <c r="AW424" s="1239"/>
      <c r="AX424" s="1239"/>
      <c r="AY424" s="1239"/>
    </row>
    <row r="425" spans="1:51" s="225" customFormat="1" ht="15" customHeight="1">
      <c r="A425" s="225">
        <v>55</v>
      </c>
      <c r="B425" s="1274" t="s">
        <v>523</v>
      </c>
      <c r="C425" s="200" t="s">
        <v>1137</v>
      </c>
      <c r="D425" s="194"/>
      <c r="E425" s="194"/>
      <c r="F425" s="194"/>
      <c r="G425" s="194"/>
      <c r="H425" s="194"/>
      <c r="I425" s="1239"/>
      <c r="J425" s="1239"/>
      <c r="K425" s="1239"/>
      <c r="L425" s="1239"/>
      <c r="M425" s="1239"/>
      <c r="N425" s="1239" t="e">
        <f>-(#REF!)</f>
        <v>#REF!</v>
      </c>
      <c r="O425" s="1239" t="e">
        <f t="shared" si="202"/>
        <v>#REF!</v>
      </c>
      <c r="P425" s="1239">
        <f>-(P239+P241)</f>
        <v>0</v>
      </c>
      <c r="Q425" s="1239">
        <f>-(Q239+Q241)</f>
        <v>0</v>
      </c>
      <c r="R425" s="1239">
        <f>-(R239+R241)</f>
        <v>-10831662.526199669</v>
      </c>
      <c r="S425" s="1239"/>
      <c r="T425" s="1239">
        <f>-(T239+T241)</f>
        <v>-10831662.526199669</v>
      </c>
      <c r="U425" s="1239">
        <f t="shared" si="193"/>
        <v>-10831662.526199669</v>
      </c>
      <c r="V425" s="1239">
        <f t="shared" ref="V425:AU425" si="213">-(V239+V241)</f>
        <v>-14246645.278383199</v>
      </c>
      <c r="W425" s="1239">
        <f t="shared" si="213"/>
        <v>-14901984.228254408</v>
      </c>
      <c r="X425" s="1239">
        <f t="shared" si="213"/>
        <v>-14901984.228254408</v>
      </c>
      <c r="Y425" s="1239">
        <f t="shared" si="213"/>
        <v>-14901984.228254408</v>
      </c>
      <c r="Z425" s="1239">
        <f t="shared" si="213"/>
        <v>-14901984.228254408</v>
      </c>
      <c r="AA425" s="1239">
        <f t="shared" si="213"/>
        <v>-14901984.228254408</v>
      </c>
      <c r="AB425" s="1239">
        <f t="shared" si="213"/>
        <v>-14901984.228254408</v>
      </c>
      <c r="AC425" s="1239">
        <f t="shared" si="213"/>
        <v>-14901984.228254408</v>
      </c>
      <c r="AD425" s="1239">
        <f t="shared" si="213"/>
        <v>-14901984.228254408</v>
      </c>
      <c r="AE425" s="1239">
        <f t="shared" si="213"/>
        <v>-14901984.228254408</v>
      </c>
      <c r="AF425" s="1239">
        <f t="shared" si="213"/>
        <v>-14901984.228254408</v>
      </c>
      <c r="AG425" s="1239">
        <f t="shared" si="213"/>
        <v>-14901984.228254408</v>
      </c>
      <c r="AH425" s="1239">
        <f t="shared" si="213"/>
        <v>-14901984.228254408</v>
      </c>
      <c r="AI425" s="1239">
        <f t="shared" si="213"/>
        <v>-14901984.228254408</v>
      </c>
      <c r="AJ425" s="1239">
        <f t="shared" si="213"/>
        <v>-14901984.228254408</v>
      </c>
      <c r="AK425" s="1239">
        <f t="shared" si="213"/>
        <v>-14901984.228254408</v>
      </c>
      <c r="AL425" s="1239">
        <f t="shared" si="213"/>
        <v>-14901984.228254408</v>
      </c>
      <c r="AM425" s="1239">
        <f t="shared" si="213"/>
        <v>-14901984.228254408</v>
      </c>
      <c r="AN425" s="1239">
        <f t="shared" si="213"/>
        <v>-14901984.228254408</v>
      </c>
      <c r="AO425" s="1239">
        <f t="shared" si="213"/>
        <v>-14901984.228254408</v>
      </c>
      <c r="AP425" s="1239">
        <f t="shared" si="213"/>
        <v>-14901984.228254408</v>
      </c>
      <c r="AQ425" s="1239">
        <f t="shared" si="213"/>
        <v>-14901984.228254408</v>
      </c>
      <c r="AR425" s="1239">
        <f t="shared" si="213"/>
        <v>-14901984.228254408</v>
      </c>
      <c r="AS425" s="1239">
        <f t="shared" si="213"/>
        <v>-14901984.228254408</v>
      </c>
      <c r="AT425" s="1239">
        <f t="shared" si="213"/>
        <v>-14901984.228254408</v>
      </c>
      <c r="AU425" s="1239">
        <f t="shared" si="213"/>
        <v>-14901984.228254408</v>
      </c>
      <c r="AV425" s="1239"/>
      <c r="AW425" s="1239"/>
      <c r="AX425" s="1239"/>
      <c r="AY425" s="1239"/>
    </row>
    <row r="426" spans="1:51" s="214" customFormat="1" ht="15" customHeight="1">
      <c r="B426" s="167"/>
      <c r="C426" s="242" t="s">
        <v>1954</v>
      </c>
      <c r="D426" s="215"/>
      <c r="E426" s="215"/>
      <c r="F426" s="215"/>
      <c r="G426" s="215"/>
      <c r="H426" s="215"/>
      <c r="I426" s="239"/>
      <c r="J426" s="239"/>
      <c r="K426" s="239"/>
      <c r="L426" s="239"/>
      <c r="M426" s="239"/>
      <c r="N426" s="239"/>
      <c r="O426" s="239"/>
      <c r="P426" s="239">
        <f>-P239</f>
        <v>0</v>
      </c>
      <c r="Q426" s="239">
        <f>-Q239</f>
        <v>0</v>
      </c>
      <c r="R426" s="239">
        <f>-R239</f>
        <v>-571662.52619966911</v>
      </c>
      <c r="S426" s="239"/>
      <c r="T426" s="239">
        <f>-T239</f>
        <v>-571662.52619966911</v>
      </c>
      <c r="U426" s="239">
        <f t="shared" si="193"/>
        <v>-571662.52619966911</v>
      </c>
      <c r="V426" s="239">
        <f t="shared" ref="V426:AU426" si="214">-V239</f>
        <v>-3986645.2783831991</v>
      </c>
      <c r="W426" s="239">
        <f t="shared" si="214"/>
        <v>-4641984.2282544086</v>
      </c>
      <c r="X426" s="239">
        <f t="shared" si="214"/>
        <v>-4641984.2282544086</v>
      </c>
      <c r="Y426" s="239">
        <f t="shared" si="214"/>
        <v>-4641984.2282544086</v>
      </c>
      <c r="Z426" s="239">
        <f t="shared" si="214"/>
        <v>-4641984.2282544086</v>
      </c>
      <c r="AA426" s="239">
        <f t="shared" si="214"/>
        <v>-4641984.2282544086</v>
      </c>
      <c r="AB426" s="239">
        <f t="shared" si="214"/>
        <v>-4641984.2282544086</v>
      </c>
      <c r="AC426" s="239">
        <f t="shared" si="214"/>
        <v>-4641984.2282544086</v>
      </c>
      <c r="AD426" s="239">
        <f t="shared" si="214"/>
        <v>-4641984.2282544086</v>
      </c>
      <c r="AE426" s="239">
        <f t="shared" si="214"/>
        <v>-4641984.2282544086</v>
      </c>
      <c r="AF426" s="239">
        <f t="shared" si="214"/>
        <v>-4641984.2282544086</v>
      </c>
      <c r="AG426" s="239">
        <f t="shared" si="214"/>
        <v>-4641984.2282544086</v>
      </c>
      <c r="AH426" s="239">
        <f t="shared" si="214"/>
        <v>-4641984.2282544086</v>
      </c>
      <c r="AI426" s="239">
        <f t="shared" si="214"/>
        <v>-4641984.2282544086</v>
      </c>
      <c r="AJ426" s="239">
        <f t="shared" si="214"/>
        <v>-4641984.2282544086</v>
      </c>
      <c r="AK426" s="239">
        <f t="shared" si="214"/>
        <v>-4641984.2282544086</v>
      </c>
      <c r="AL426" s="239">
        <f t="shared" si="214"/>
        <v>-4641984.2282544086</v>
      </c>
      <c r="AM426" s="239">
        <f t="shared" si="214"/>
        <v>-4641984.2282544086</v>
      </c>
      <c r="AN426" s="239">
        <f t="shared" si="214"/>
        <v>-4641984.2282544086</v>
      </c>
      <c r="AO426" s="239">
        <f t="shared" si="214"/>
        <v>-4641984.2282544086</v>
      </c>
      <c r="AP426" s="239">
        <f t="shared" si="214"/>
        <v>-4641984.2282544086</v>
      </c>
      <c r="AQ426" s="239">
        <f t="shared" si="214"/>
        <v>-4641984.2282544086</v>
      </c>
      <c r="AR426" s="239">
        <f t="shared" si="214"/>
        <v>-4641984.2282544086</v>
      </c>
      <c r="AS426" s="239">
        <f t="shared" si="214"/>
        <v>-4641984.2282544086</v>
      </c>
      <c r="AT426" s="239">
        <f t="shared" si="214"/>
        <v>-4641984.2282544086</v>
      </c>
      <c r="AU426" s="239">
        <f t="shared" si="214"/>
        <v>-4641984.2282544086</v>
      </c>
      <c r="AV426" s="239"/>
      <c r="AW426" s="239"/>
      <c r="AX426" s="239"/>
      <c r="AY426" s="239"/>
    </row>
    <row r="427" spans="1:51" s="214" customFormat="1" ht="15" customHeight="1">
      <c r="B427" s="167"/>
      <c r="C427" s="214" t="s">
        <v>1955</v>
      </c>
      <c r="D427" s="215"/>
      <c r="E427" s="215"/>
      <c r="F427" s="215"/>
      <c r="G427" s="215"/>
      <c r="H427" s="215"/>
      <c r="I427" s="239"/>
      <c r="J427" s="239"/>
      <c r="K427" s="239"/>
      <c r="L427" s="239"/>
      <c r="M427" s="239"/>
      <c r="N427" s="239"/>
      <c r="O427" s="239"/>
      <c r="P427" s="239">
        <f>-P241</f>
        <v>0</v>
      </c>
      <c r="Q427" s="239">
        <f>-Q241</f>
        <v>0</v>
      </c>
      <c r="R427" s="239">
        <f>-R241</f>
        <v>-10260000</v>
      </c>
      <c r="S427" s="239"/>
      <c r="T427" s="239">
        <f>-T241</f>
        <v>-10260000</v>
      </c>
      <c r="U427" s="239">
        <f t="shared" si="193"/>
        <v>-10260000</v>
      </c>
      <c r="V427" s="239">
        <f t="shared" ref="V427:AU427" si="215">-V241</f>
        <v>-10260000</v>
      </c>
      <c r="W427" s="239">
        <f t="shared" si="215"/>
        <v>-10260000</v>
      </c>
      <c r="X427" s="239">
        <f t="shared" si="215"/>
        <v>-10260000</v>
      </c>
      <c r="Y427" s="239">
        <f t="shared" si="215"/>
        <v>-10260000</v>
      </c>
      <c r="Z427" s="239">
        <f t="shared" si="215"/>
        <v>-10260000</v>
      </c>
      <c r="AA427" s="239">
        <f t="shared" si="215"/>
        <v>-10260000</v>
      </c>
      <c r="AB427" s="239">
        <f t="shared" si="215"/>
        <v>-10260000</v>
      </c>
      <c r="AC427" s="239">
        <f t="shared" si="215"/>
        <v>-10260000</v>
      </c>
      <c r="AD427" s="239">
        <f t="shared" si="215"/>
        <v>-10260000</v>
      </c>
      <c r="AE427" s="239">
        <f t="shared" si="215"/>
        <v>-10260000</v>
      </c>
      <c r="AF427" s="239">
        <f t="shared" si="215"/>
        <v>-10260000</v>
      </c>
      <c r="AG427" s="239">
        <f t="shared" si="215"/>
        <v>-10260000</v>
      </c>
      <c r="AH427" s="239">
        <f t="shared" si="215"/>
        <v>-10260000</v>
      </c>
      <c r="AI427" s="239">
        <f t="shared" si="215"/>
        <v>-10260000</v>
      </c>
      <c r="AJ427" s="239">
        <f t="shared" si="215"/>
        <v>-10260000</v>
      </c>
      <c r="AK427" s="239">
        <f t="shared" si="215"/>
        <v>-10260000</v>
      </c>
      <c r="AL427" s="239">
        <f t="shared" si="215"/>
        <v>-10260000</v>
      </c>
      <c r="AM427" s="239">
        <f t="shared" si="215"/>
        <v>-10260000</v>
      </c>
      <c r="AN427" s="239">
        <f t="shared" si="215"/>
        <v>-10260000</v>
      </c>
      <c r="AO427" s="239">
        <f t="shared" si="215"/>
        <v>-10260000</v>
      </c>
      <c r="AP427" s="239">
        <f t="shared" si="215"/>
        <v>-10260000</v>
      </c>
      <c r="AQ427" s="239">
        <f t="shared" si="215"/>
        <v>-10260000</v>
      </c>
      <c r="AR427" s="239">
        <f t="shared" si="215"/>
        <v>-10260000</v>
      </c>
      <c r="AS427" s="239">
        <f t="shared" si="215"/>
        <v>-10260000</v>
      </c>
      <c r="AT427" s="239">
        <f t="shared" si="215"/>
        <v>-10260000</v>
      </c>
      <c r="AU427" s="239">
        <f t="shared" si="215"/>
        <v>-10260000</v>
      </c>
      <c r="AV427" s="239"/>
      <c r="AW427" s="239"/>
      <c r="AX427" s="239"/>
      <c r="AY427" s="239"/>
    </row>
    <row r="428" spans="1:51" s="225" customFormat="1" ht="27.75" customHeight="1">
      <c r="B428" s="1274" t="s">
        <v>524</v>
      </c>
      <c r="C428" s="200" t="s">
        <v>347</v>
      </c>
      <c r="D428" s="194"/>
      <c r="E428" s="194"/>
      <c r="F428" s="194"/>
      <c r="G428" s="194"/>
      <c r="H428" s="194"/>
      <c r="I428" s="1239"/>
      <c r="J428" s="1239"/>
      <c r="K428" s="1239"/>
      <c r="L428" s="1239"/>
      <c r="M428" s="1239"/>
      <c r="N428" s="1239" t="e">
        <f>N418+N420+N424+N425</f>
        <v>#REF!</v>
      </c>
      <c r="O428" s="1239" t="e">
        <f t="shared" si="202"/>
        <v>#REF!</v>
      </c>
      <c r="P428" s="1239">
        <f>P418+P420+P424+P425</f>
        <v>0</v>
      </c>
      <c r="Q428" s="1239">
        <f>Q418+Q420+Q424+Q425</f>
        <v>0</v>
      </c>
      <c r="R428" s="1239">
        <f>R418+R420+R424+R425</f>
        <v>34714463.683668971</v>
      </c>
      <c r="S428" s="1239"/>
      <c r="T428" s="1239">
        <f>T418+T420+T424+T425</f>
        <v>46715192.69095502</v>
      </c>
      <c r="U428" s="1239">
        <f t="shared" si="193"/>
        <v>46715192.69095502</v>
      </c>
      <c r="V428" s="1239">
        <f t="shared" ref="V428:AU428" si="216">V418+V420+V424+V425</f>
        <v>377539336.55762941</v>
      </c>
      <c r="W428" s="1239">
        <f t="shared" si="216"/>
        <v>414540577.28370178</v>
      </c>
      <c r="X428" s="1239">
        <f t="shared" si="216"/>
        <v>414540577.28370178</v>
      </c>
      <c r="Y428" s="1239">
        <f t="shared" si="216"/>
        <v>414540577.28370178</v>
      </c>
      <c r="Z428" s="1239">
        <f t="shared" si="216"/>
        <v>414540577.28370178</v>
      </c>
      <c r="AA428" s="1239">
        <f t="shared" si="216"/>
        <v>414540577.28370178</v>
      </c>
      <c r="AB428" s="1239">
        <f t="shared" si="216"/>
        <v>420330101.3968271</v>
      </c>
      <c r="AC428" s="1239">
        <f t="shared" si="216"/>
        <v>420330101.3968271</v>
      </c>
      <c r="AD428" s="1239">
        <f t="shared" si="216"/>
        <v>420330101.3968271</v>
      </c>
      <c r="AE428" s="1239">
        <f t="shared" si="216"/>
        <v>420330101.3968271</v>
      </c>
      <c r="AF428" s="1239">
        <f t="shared" si="216"/>
        <v>420330101.3968271</v>
      </c>
      <c r="AG428" s="1239">
        <f t="shared" si="216"/>
        <v>420330101.3968271</v>
      </c>
      <c r="AH428" s="1239">
        <f t="shared" si="216"/>
        <v>420330101.3968271</v>
      </c>
      <c r="AI428" s="1239">
        <f t="shared" si="216"/>
        <v>420330101.3968271</v>
      </c>
      <c r="AJ428" s="1239">
        <f t="shared" si="216"/>
        <v>420330101.3968271</v>
      </c>
      <c r="AK428" s="1239">
        <f t="shared" si="216"/>
        <v>420330101.3968271</v>
      </c>
      <c r="AL428" s="1239">
        <f t="shared" si="216"/>
        <v>420330101.3968271</v>
      </c>
      <c r="AM428" s="1239">
        <f t="shared" si="216"/>
        <v>420330101.3968271</v>
      </c>
      <c r="AN428" s="1239">
        <f t="shared" si="216"/>
        <v>420330101.3968271</v>
      </c>
      <c r="AO428" s="1239">
        <f t="shared" si="216"/>
        <v>420330101.3968271</v>
      </c>
      <c r="AP428" s="1239">
        <f t="shared" si="216"/>
        <v>420330101.3968271</v>
      </c>
      <c r="AQ428" s="1239">
        <f t="shared" si="216"/>
        <v>420330101.3968271</v>
      </c>
      <c r="AR428" s="1239">
        <f t="shared" si="216"/>
        <v>420330101.3968271</v>
      </c>
      <c r="AS428" s="1239">
        <f t="shared" si="216"/>
        <v>420330101.3968271</v>
      </c>
      <c r="AT428" s="1239">
        <f t="shared" si="216"/>
        <v>420330101.3968271</v>
      </c>
      <c r="AU428" s="1239">
        <f t="shared" si="216"/>
        <v>420330101.3968271</v>
      </c>
      <c r="AV428" s="1239"/>
      <c r="AW428" s="1239"/>
      <c r="AX428" s="1239"/>
      <c r="AY428" s="1239"/>
    </row>
    <row r="429" spans="1:51" s="214" customFormat="1" ht="12" customHeight="1">
      <c r="B429" s="215"/>
      <c r="C429" s="215"/>
      <c r="D429" s="215"/>
      <c r="E429" s="215"/>
      <c r="F429" s="215"/>
      <c r="G429" s="215"/>
      <c r="H429" s="215"/>
      <c r="I429" s="240"/>
      <c r="J429" s="171"/>
      <c r="K429" s="171"/>
      <c r="L429" s="171"/>
      <c r="M429" s="171"/>
      <c r="N429" s="171"/>
      <c r="O429" s="239">
        <f t="shared" si="202"/>
        <v>0</v>
      </c>
      <c r="P429" s="171"/>
      <c r="Q429" s="171"/>
      <c r="R429" s="171"/>
      <c r="S429" s="171"/>
      <c r="T429" s="171"/>
      <c r="U429" s="171">
        <f t="shared" si="193"/>
        <v>0</v>
      </c>
      <c r="V429" s="171"/>
      <c r="W429" s="171"/>
      <c r="X429" s="171"/>
      <c r="Y429" s="171"/>
      <c r="Z429" s="171"/>
      <c r="AA429" s="171"/>
      <c r="AB429" s="171"/>
      <c r="AC429" s="171"/>
      <c r="AD429" s="171"/>
      <c r="AE429" s="171"/>
      <c r="AF429" s="171"/>
      <c r="AG429" s="171"/>
      <c r="AH429" s="171"/>
      <c r="AI429" s="171"/>
      <c r="AJ429" s="171"/>
      <c r="AK429" s="171"/>
      <c r="AL429" s="171"/>
      <c r="AM429" s="171"/>
      <c r="AN429" s="171"/>
      <c r="AO429" s="171"/>
      <c r="AP429" s="171"/>
      <c r="AQ429" s="171"/>
      <c r="AR429" s="171"/>
      <c r="AS429" s="171"/>
      <c r="AT429" s="171"/>
      <c r="AU429" s="171"/>
      <c r="AV429" s="171"/>
      <c r="AW429" s="171"/>
      <c r="AX429" s="171"/>
      <c r="AY429" s="171"/>
    </row>
    <row r="430" spans="1:51" s="179" customFormat="1" ht="15.75" customHeight="1">
      <c r="A430" s="341">
        <v>7</v>
      </c>
      <c r="B430" s="341" t="s">
        <v>523</v>
      </c>
      <c r="C430" s="1223" t="s">
        <v>193</v>
      </c>
      <c r="D430" s="185"/>
      <c r="E430" s="185"/>
      <c r="F430" s="185"/>
      <c r="G430" s="185"/>
      <c r="H430" s="185"/>
      <c r="I430" s="322"/>
      <c r="J430" s="322"/>
      <c r="K430" s="1269"/>
      <c r="L430" s="1269"/>
      <c r="M430" s="1269"/>
      <c r="N430" s="1269">
        <f>-N785-N796</f>
        <v>-3060914.7858699858</v>
      </c>
      <c r="O430" s="322">
        <f t="shared" si="202"/>
        <v>-3060914.7858699858</v>
      </c>
      <c r="P430" s="1269">
        <f>-P785-P796</f>
        <v>-3060914.7858699858</v>
      </c>
      <c r="Q430" s="1269">
        <f>-Q785-Q796</f>
        <v>-10047219.667685339</v>
      </c>
      <c r="R430" s="1269">
        <f>-R785-R796</f>
        <v>-39463081.891520783</v>
      </c>
      <c r="S430" s="1269"/>
      <c r="T430" s="1269">
        <f>-T785-T796</f>
        <v>-38034142.404202834</v>
      </c>
      <c r="U430" s="1269">
        <f t="shared" si="193"/>
        <v>-38034142.404202834</v>
      </c>
      <c r="V430" s="1269">
        <f t="shared" ref="V430:AU430" si="217">-V785-V796</f>
        <v>-59472407.152090415</v>
      </c>
      <c r="W430" s="1269">
        <f t="shared" si="217"/>
        <v>-63630051.825481206</v>
      </c>
      <c r="X430" s="1269">
        <f t="shared" si="217"/>
        <v>-58960533.704197869</v>
      </c>
      <c r="Y430" s="1269">
        <f t="shared" si="217"/>
        <v>-56438354.133656085</v>
      </c>
      <c r="Z430" s="1269">
        <f t="shared" si="217"/>
        <v>-56265444.93765609</v>
      </c>
      <c r="AA430" s="1269">
        <f t="shared" si="217"/>
        <v>-56013074.39178358</v>
      </c>
      <c r="AB430" s="1269">
        <f t="shared" si="217"/>
        <v>-55885260.638888583</v>
      </c>
      <c r="AC430" s="1269">
        <f t="shared" si="217"/>
        <v>-56085260.638888583</v>
      </c>
      <c r="AD430" s="1269">
        <f t="shared" si="217"/>
        <v>-56285260.638888583</v>
      </c>
      <c r="AE430" s="1269">
        <f t="shared" si="217"/>
        <v>-32844716.273888525</v>
      </c>
      <c r="AF430" s="1269">
        <f t="shared" si="217"/>
        <v>-15955567.273888581</v>
      </c>
      <c r="AG430" s="1269">
        <f t="shared" si="217"/>
        <v>-16155567.273888581</v>
      </c>
      <c r="AH430" s="1269">
        <f t="shared" si="217"/>
        <v>-16355567.273888581</v>
      </c>
      <c r="AI430" s="1269">
        <f t="shared" si="217"/>
        <v>-16555567.273888581</v>
      </c>
      <c r="AJ430" s="1269">
        <f t="shared" si="217"/>
        <v>-16755567.273888581</v>
      </c>
      <c r="AK430" s="1269">
        <f t="shared" si="217"/>
        <v>-16955567.273888581</v>
      </c>
      <c r="AL430" s="1269">
        <f t="shared" si="217"/>
        <v>-17155567.273888581</v>
      </c>
      <c r="AM430" s="1269">
        <f t="shared" si="217"/>
        <v>-16167988.694361581</v>
      </c>
      <c r="AN430" s="1269">
        <f t="shared" si="217"/>
        <v>-15856554.032498235</v>
      </c>
      <c r="AO430" s="1269">
        <f t="shared" si="217"/>
        <v>-16056554.032498235</v>
      </c>
      <c r="AP430" s="1269">
        <f t="shared" si="217"/>
        <v>-16256554.032498235</v>
      </c>
      <c r="AQ430" s="1269">
        <f t="shared" si="217"/>
        <v>-16456554.032498235</v>
      </c>
      <c r="AR430" s="1269">
        <f t="shared" si="217"/>
        <v>-14656554.032498235</v>
      </c>
      <c r="AS430" s="1269">
        <f t="shared" si="217"/>
        <v>-14656554.032498235</v>
      </c>
      <c r="AT430" s="1269">
        <f t="shared" si="217"/>
        <v>-14656554.032498235</v>
      </c>
      <c r="AU430" s="1269">
        <f t="shared" si="217"/>
        <v>-14656554.032498235</v>
      </c>
      <c r="AV430" s="1269"/>
      <c r="AW430" s="1269"/>
      <c r="AX430" s="1269"/>
      <c r="AY430" s="1269"/>
    </row>
    <row r="431" spans="1:51" s="214" customFormat="1" ht="13.5" customHeight="1">
      <c r="A431" s="167"/>
      <c r="B431" s="167"/>
      <c r="C431" s="353"/>
      <c r="D431" s="215"/>
      <c r="E431" s="215"/>
      <c r="F431" s="215"/>
      <c r="G431" s="215"/>
      <c r="H431" s="215"/>
      <c r="I431" s="241"/>
      <c r="J431" s="241"/>
      <c r="K431" s="241"/>
      <c r="L431" s="241"/>
      <c r="M431" s="241"/>
      <c r="N431" s="241"/>
      <c r="O431" s="239">
        <f t="shared" si="202"/>
        <v>0</v>
      </c>
      <c r="P431" s="241"/>
      <c r="Q431" s="241"/>
      <c r="R431" s="241"/>
      <c r="S431" s="241"/>
      <c r="T431" s="241"/>
      <c r="U431" s="241">
        <f t="shared" si="193"/>
        <v>0</v>
      </c>
      <c r="V431" s="241"/>
      <c r="W431" s="241"/>
      <c r="X431" s="241"/>
      <c r="Y431" s="241"/>
      <c r="Z431" s="241"/>
      <c r="AA431" s="241"/>
      <c r="AB431" s="241"/>
      <c r="AC431" s="241"/>
      <c r="AD431" s="241"/>
      <c r="AE431" s="241"/>
      <c r="AF431" s="241"/>
      <c r="AG431" s="241"/>
      <c r="AH431" s="241"/>
      <c r="AI431" s="241"/>
      <c r="AJ431" s="241"/>
      <c r="AK431" s="241"/>
      <c r="AL431" s="241"/>
      <c r="AM431" s="241"/>
      <c r="AN431" s="241"/>
      <c r="AO431" s="241"/>
      <c r="AP431" s="241"/>
      <c r="AQ431" s="241"/>
      <c r="AR431" s="241"/>
      <c r="AS431" s="241"/>
      <c r="AT431" s="241"/>
      <c r="AU431" s="241"/>
      <c r="AV431" s="241"/>
      <c r="AW431" s="241"/>
      <c r="AX431" s="241"/>
      <c r="AY431" s="241"/>
    </row>
    <row r="432" spans="1:51" s="225" customFormat="1" ht="15.75" customHeight="1">
      <c r="A432" s="1274"/>
      <c r="B432" s="1274" t="s">
        <v>524</v>
      </c>
      <c r="C432" s="200" t="s">
        <v>363</v>
      </c>
      <c r="D432" s="194"/>
      <c r="E432" s="194"/>
      <c r="F432" s="194"/>
      <c r="G432" s="194"/>
      <c r="H432" s="194"/>
      <c r="I432" s="1239"/>
      <c r="J432" s="1239"/>
      <c r="K432" s="1239"/>
      <c r="L432" s="1239"/>
      <c r="M432" s="1239"/>
      <c r="N432" s="1239" t="e">
        <f>SUM(N428:N431)</f>
        <v>#REF!</v>
      </c>
      <c r="O432" s="1239" t="e">
        <f t="shared" si="202"/>
        <v>#REF!</v>
      </c>
      <c r="P432" s="1239">
        <f>SUM(P428:P431)</f>
        <v>-3060914.7858699858</v>
      </c>
      <c r="Q432" s="1239">
        <f>SUM(Q428:Q431)</f>
        <v>-10047219.667685339</v>
      </c>
      <c r="R432" s="1239">
        <f>SUM(R428:R431)</f>
        <v>-4748618.2078518122</v>
      </c>
      <c r="S432" s="1239"/>
      <c r="T432" s="1239">
        <f>SUM(T428:T431)</f>
        <v>8681050.2867521867</v>
      </c>
      <c r="U432" s="1239">
        <f t="shared" si="193"/>
        <v>8681050.2867521867</v>
      </c>
      <c r="V432" s="1239">
        <f t="shared" ref="V432:AU432" si="218">SUM(V428:V431)</f>
        <v>318066929.40553898</v>
      </c>
      <c r="W432" s="1239">
        <f t="shared" si="218"/>
        <v>350910525.4582206</v>
      </c>
      <c r="X432" s="1239">
        <f t="shared" si="218"/>
        <v>355580043.57950389</v>
      </c>
      <c r="Y432" s="1239">
        <f t="shared" si="218"/>
        <v>358102223.15004569</v>
      </c>
      <c r="Z432" s="1239">
        <f t="shared" si="218"/>
        <v>358275132.34604567</v>
      </c>
      <c r="AA432" s="1239">
        <f t="shared" si="218"/>
        <v>358527502.89191818</v>
      </c>
      <c r="AB432" s="1239">
        <f t="shared" si="218"/>
        <v>364444840.7579385</v>
      </c>
      <c r="AC432" s="1239">
        <f t="shared" si="218"/>
        <v>364244840.7579385</v>
      </c>
      <c r="AD432" s="1239">
        <f t="shared" si="218"/>
        <v>364044840.7579385</v>
      </c>
      <c r="AE432" s="1239">
        <f t="shared" si="218"/>
        <v>387485385.12293857</v>
      </c>
      <c r="AF432" s="1239">
        <f t="shared" si="218"/>
        <v>404374534.12293851</v>
      </c>
      <c r="AG432" s="1239">
        <f t="shared" si="218"/>
        <v>404174534.12293851</v>
      </c>
      <c r="AH432" s="1239">
        <f t="shared" si="218"/>
        <v>403974534.12293851</v>
      </c>
      <c r="AI432" s="1239">
        <f t="shared" si="218"/>
        <v>403774534.12293851</v>
      </c>
      <c r="AJ432" s="1239">
        <f t="shared" si="218"/>
        <v>403574534.12293851</v>
      </c>
      <c r="AK432" s="1239">
        <f t="shared" si="218"/>
        <v>403374534.12293851</v>
      </c>
      <c r="AL432" s="1239">
        <f t="shared" si="218"/>
        <v>403174534.12293851</v>
      </c>
      <c r="AM432" s="1239">
        <f t="shared" si="218"/>
        <v>404162112.70246553</v>
      </c>
      <c r="AN432" s="1239">
        <f t="shared" si="218"/>
        <v>404473547.36432886</v>
      </c>
      <c r="AO432" s="1239">
        <f t="shared" si="218"/>
        <v>404273547.36432886</v>
      </c>
      <c r="AP432" s="1239">
        <f t="shared" si="218"/>
        <v>404073547.36432886</v>
      </c>
      <c r="AQ432" s="1239">
        <f t="shared" si="218"/>
        <v>403873547.36432886</v>
      </c>
      <c r="AR432" s="1239">
        <f t="shared" si="218"/>
        <v>405673547.36432886</v>
      </c>
      <c r="AS432" s="1239">
        <f t="shared" si="218"/>
        <v>405673547.36432886</v>
      </c>
      <c r="AT432" s="1239">
        <f t="shared" si="218"/>
        <v>405673547.36432886</v>
      </c>
      <c r="AU432" s="1239">
        <f t="shared" si="218"/>
        <v>405673547.36432886</v>
      </c>
      <c r="AV432" s="1239"/>
      <c r="AW432" s="1239"/>
      <c r="AX432" s="1239"/>
      <c r="AY432" s="1239"/>
    </row>
    <row r="433" spans="1:51" s="214" customFormat="1" ht="6" customHeight="1">
      <c r="A433" s="167"/>
      <c r="B433" s="167"/>
      <c r="C433" s="215"/>
      <c r="D433" s="215"/>
      <c r="E433" s="215"/>
      <c r="F433" s="215"/>
      <c r="G433" s="215"/>
      <c r="H433" s="215"/>
      <c r="I433" s="240"/>
      <c r="J433" s="171"/>
      <c r="K433" s="171"/>
      <c r="L433" s="172"/>
      <c r="M433" s="172"/>
      <c r="N433" s="172"/>
      <c r="O433" s="239">
        <f t="shared" si="202"/>
        <v>0</v>
      </c>
      <c r="P433" s="172"/>
      <c r="Q433" s="172"/>
      <c r="R433" s="172"/>
      <c r="S433" s="172"/>
      <c r="T433" s="172"/>
      <c r="U433" s="172">
        <f t="shared" si="193"/>
        <v>0</v>
      </c>
      <c r="V433" s="172"/>
      <c r="W433" s="172"/>
      <c r="X433" s="172"/>
      <c r="Y433" s="172"/>
      <c r="Z433" s="172"/>
      <c r="AA433" s="172"/>
      <c r="AB433" s="172"/>
      <c r="AC433" s="172"/>
      <c r="AD433" s="172"/>
      <c r="AE433" s="172"/>
      <c r="AF433" s="172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72"/>
    </row>
    <row r="434" spans="1:51" s="214" customFormat="1" ht="15.75" customHeight="1">
      <c r="A434" s="167">
        <v>8</v>
      </c>
      <c r="B434" s="167" t="s">
        <v>523</v>
      </c>
      <c r="C434" s="353" t="s">
        <v>194</v>
      </c>
      <c r="D434" s="215"/>
      <c r="E434" s="215"/>
      <c r="F434" s="215"/>
      <c r="G434" s="215"/>
      <c r="H434" s="215"/>
      <c r="I434" s="240"/>
      <c r="J434" s="240"/>
      <c r="K434" s="240"/>
      <c r="L434" s="240"/>
      <c r="M434" s="240"/>
      <c r="N434" s="240">
        <f>-N875</f>
        <v>0</v>
      </c>
      <c r="O434" s="240">
        <f>-O875</f>
        <v>0</v>
      </c>
      <c r="P434" s="240">
        <v>0</v>
      </c>
      <c r="Q434" s="240">
        <f>-Q875</f>
        <v>0</v>
      </c>
      <c r="R434" s="240">
        <f>-R875</f>
        <v>0</v>
      </c>
      <c r="S434" s="240"/>
      <c r="T434" s="240">
        <f>-T875</f>
        <v>0</v>
      </c>
      <c r="U434" s="240">
        <f t="shared" si="193"/>
        <v>0</v>
      </c>
      <c r="V434" s="240">
        <f t="shared" ref="V434:AU434" si="219">-V875</f>
        <v>0</v>
      </c>
      <c r="W434" s="240">
        <f t="shared" si="219"/>
        <v>0</v>
      </c>
      <c r="X434" s="240">
        <f t="shared" si="219"/>
        <v>0</v>
      </c>
      <c r="Y434" s="240">
        <f t="shared" si="219"/>
        <v>0</v>
      </c>
      <c r="Z434" s="240">
        <f t="shared" si="219"/>
        <v>0</v>
      </c>
      <c r="AA434" s="240">
        <f t="shared" si="219"/>
        <v>0</v>
      </c>
      <c r="AB434" s="240">
        <f t="shared" si="219"/>
        <v>0</v>
      </c>
      <c r="AC434" s="240">
        <f t="shared" si="219"/>
        <v>0</v>
      </c>
      <c r="AD434" s="240">
        <f t="shared" si="219"/>
        <v>0</v>
      </c>
      <c r="AE434" s="240">
        <f t="shared" si="219"/>
        <v>0</v>
      </c>
      <c r="AF434" s="240">
        <f t="shared" si="219"/>
        <v>0</v>
      </c>
      <c r="AG434" s="240">
        <f t="shared" si="219"/>
        <v>0</v>
      </c>
      <c r="AH434" s="240">
        <f t="shared" si="219"/>
        <v>0</v>
      </c>
      <c r="AI434" s="240">
        <f t="shared" si="219"/>
        <v>0</v>
      </c>
      <c r="AJ434" s="240">
        <f t="shared" si="219"/>
        <v>0</v>
      </c>
      <c r="AK434" s="240">
        <f t="shared" si="219"/>
        <v>0</v>
      </c>
      <c r="AL434" s="240">
        <f t="shared" si="219"/>
        <v>0</v>
      </c>
      <c r="AM434" s="240">
        <f t="shared" si="219"/>
        <v>0</v>
      </c>
      <c r="AN434" s="240">
        <f t="shared" si="219"/>
        <v>0</v>
      </c>
      <c r="AO434" s="240">
        <f t="shared" si="219"/>
        <v>0</v>
      </c>
      <c r="AP434" s="240">
        <f t="shared" si="219"/>
        <v>0</v>
      </c>
      <c r="AQ434" s="240">
        <f t="shared" si="219"/>
        <v>0</v>
      </c>
      <c r="AR434" s="240">
        <f t="shared" si="219"/>
        <v>0</v>
      </c>
      <c r="AS434" s="240">
        <f t="shared" si="219"/>
        <v>0</v>
      </c>
      <c r="AT434" s="240">
        <f t="shared" si="219"/>
        <v>0</v>
      </c>
      <c r="AU434" s="240">
        <f t="shared" si="219"/>
        <v>0</v>
      </c>
      <c r="AV434" s="240"/>
      <c r="AW434" s="240"/>
      <c r="AX434" s="240"/>
      <c r="AY434" s="240"/>
    </row>
    <row r="435" spans="1:51" s="214" customFormat="1" ht="15.75" customHeight="1">
      <c r="A435" s="167">
        <v>9</v>
      </c>
      <c r="B435" s="167" t="s">
        <v>525</v>
      </c>
      <c r="C435" s="353" t="s">
        <v>187</v>
      </c>
      <c r="D435" s="215"/>
      <c r="E435" s="215"/>
      <c r="F435" s="215"/>
      <c r="G435" s="215"/>
      <c r="H435" s="215"/>
      <c r="I435" s="240"/>
      <c r="J435" s="240"/>
      <c r="K435" s="240"/>
      <c r="L435" s="240"/>
      <c r="M435" s="240"/>
      <c r="N435" s="240">
        <v>0</v>
      </c>
      <c r="O435" s="240">
        <v>0</v>
      </c>
      <c r="P435" s="240">
        <v>0</v>
      </c>
      <c r="Q435" s="240">
        <v>0</v>
      </c>
      <c r="R435" s="240">
        <v>0</v>
      </c>
      <c r="S435" s="240"/>
      <c r="T435" s="240">
        <v>0</v>
      </c>
      <c r="U435" s="240">
        <f t="shared" si="193"/>
        <v>0</v>
      </c>
      <c r="V435" s="240">
        <v>0</v>
      </c>
      <c r="W435" s="240">
        <v>0</v>
      </c>
      <c r="X435" s="240">
        <v>0</v>
      </c>
      <c r="Y435" s="240">
        <v>0</v>
      </c>
      <c r="Z435" s="240">
        <v>0</v>
      </c>
      <c r="AA435" s="240">
        <v>0</v>
      </c>
      <c r="AB435" s="240">
        <v>0</v>
      </c>
      <c r="AC435" s="240">
        <v>0</v>
      </c>
      <c r="AD435" s="240">
        <v>0</v>
      </c>
      <c r="AE435" s="240">
        <v>0</v>
      </c>
      <c r="AF435" s="240">
        <v>0</v>
      </c>
      <c r="AG435" s="240">
        <v>0</v>
      </c>
      <c r="AH435" s="240">
        <v>0</v>
      </c>
      <c r="AI435" s="240">
        <v>0</v>
      </c>
      <c r="AJ435" s="240">
        <v>0</v>
      </c>
      <c r="AK435" s="240">
        <v>0</v>
      </c>
      <c r="AL435" s="240">
        <v>0</v>
      </c>
      <c r="AM435" s="240">
        <v>0</v>
      </c>
      <c r="AN435" s="240">
        <v>0</v>
      </c>
      <c r="AO435" s="240">
        <v>0</v>
      </c>
      <c r="AP435" s="240">
        <v>0</v>
      </c>
      <c r="AQ435" s="240">
        <v>0</v>
      </c>
      <c r="AR435" s="240">
        <v>0</v>
      </c>
      <c r="AS435" s="240">
        <v>0</v>
      </c>
      <c r="AT435" s="240">
        <v>0</v>
      </c>
      <c r="AU435" s="240">
        <v>0</v>
      </c>
      <c r="AV435" s="240"/>
      <c r="AW435" s="240"/>
      <c r="AX435" s="240"/>
      <c r="AY435" s="240"/>
    </row>
    <row r="436" spans="1:51" s="214" customFormat="1" ht="15.75" customHeight="1">
      <c r="A436" s="167">
        <v>4</v>
      </c>
      <c r="B436" s="356" t="s">
        <v>195</v>
      </c>
      <c r="C436" s="242"/>
      <c r="D436" s="215"/>
      <c r="E436" s="215"/>
      <c r="F436" s="215"/>
      <c r="G436" s="215"/>
      <c r="H436" s="215"/>
      <c r="I436" s="239"/>
      <c r="J436" s="239"/>
      <c r="K436" s="239"/>
      <c r="L436" s="239"/>
      <c r="M436" s="239"/>
      <c r="N436" s="239"/>
      <c r="O436" s="239">
        <f t="shared" si="202"/>
        <v>0</v>
      </c>
      <c r="P436" s="239"/>
      <c r="Q436" s="239"/>
      <c r="R436" s="239"/>
      <c r="S436" s="239"/>
      <c r="T436" s="239"/>
      <c r="U436" s="239">
        <f t="shared" si="193"/>
        <v>0</v>
      </c>
      <c r="V436" s="239"/>
      <c r="W436" s="239"/>
      <c r="X436" s="239"/>
      <c r="Y436" s="239"/>
      <c r="Z436" s="239"/>
      <c r="AA436" s="239"/>
      <c r="AB436" s="239"/>
      <c r="AC436" s="239"/>
      <c r="AD436" s="239"/>
      <c r="AE436" s="239"/>
      <c r="AF436" s="239"/>
      <c r="AG436" s="239"/>
      <c r="AH436" s="239"/>
      <c r="AI436" s="239"/>
      <c r="AJ436" s="239"/>
      <c r="AK436" s="239"/>
      <c r="AL436" s="239"/>
      <c r="AM436" s="239"/>
      <c r="AN436" s="239"/>
      <c r="AO436" s="239"/>
      <c r="AP436" s="239"/>
      <c r="AQ436" s="239"/>
      <c r="AR436" s="239"/>
      <c r="AS436" s="239"/>
      <c r="AT436" s="239"/>
      <c r="AU436" s="239"/>
      <c r="AV436" s="239"/>
      <c r="AW436" s="239"/>
      <c r="AX436" s="239"/>
      <c r="AY436" s="239"/>
    </row>
    <row r="437" spans="1:51" s="225" customFormat="1" ht="15.75" customHeight="1">
      <c r="A437" s="1274"/>
      <c r="B437" s="1274" t="s">
        <v>524</v>
      </c>
      <c r="C437" s="200" t="s">
        <v>188</v>
      </c>
      <c r="D437" s="194"/>
      <c r="E437" s="194"/>
      <c r="F437" s="194"/>
      <c r="G437" s="194"/>
      <c r="H437" s="194"/>
      <c r="I437" s="1239"/>
      <c r="J437" s="1239"/>
      <c r="K437" s="1239"/>
      <c r="L437" s="1239"/>
      <c r="M437" s="1239"/>
      <c r="N437" s="1239" t="e">
        <f>SUM(N432:N436)</f>
        <v>#REF!</v>
      </c>
      <c r="O437" s="1239" t="e">
        <f t="shared" si="202"/>
        <v>#REF!</v>
      </c>
      <c r="P437" s="1239">
        <f>SUM(P432:P436)</f>
        <v>-3060914.7858699858</v>
      </c>
      <c r="Q437" s="1239">
        <f>SUM(Q432:Q436)</f>
        <v>-10047219.667685339</v>
      </c>
      <c r="R437" s="1239">
        <f>SUM(R432:R436)</f>
        <v>-4748618.2078518122</v>
      </c>
      <c r="S437" s="1239"/>
      <c r="T437" s="1239">
        <f>SUM(T432:T436)</f>
        <v>8681050.2867521867</v>
      </c>
      <c r="U437" s="1239">
        <f t="shared" si="193"/>
        <v>8681050.2867521867</v>
      </c>
      <c r="V437" s="1239">
        <f t="shared" ref="V437:AU437" si="220">SUM(V432:V436)</f>
        <v>318066929.40553898</v>
      </c>
      <c r="W437" s="1239">
        <f t="shared" si="220"/>
        <v>350910525.4582206</v>
      </c>
      <c r="X437" s="1239">
        <f t="shared" si="220"/>
        <v>355580043.57950389</v>
      </c>
      <c r="Y437" s="1239">
        <f t="shared" si="220"/>
        <v>358102223.15004569</v>
      </c>
      <c r="Z437" s="1239">
        <f t="shared" si="220"/>
        <v>358275132.34604567</v>
      </c>
      <c r="AA437" s="1239">
        <f t="shared" si="220"/>
        <v>358527502.89191818</v>
      </c>
      <c r="AB437" s="1239">
        <f t="shared" si="220"/>
        <v>364444840.7579385</v>
      </c>
      <c r="AC437" s="1239">
        <f t="shared" si="220"/>
        <v>364244840.7579385</v>
      </c>
      <c r="AD437" s="1239">
        <f t="shared" si="220"/>
        <v>364044840.7579385</v>
      </c>
      <c r="AE437" s="1239">
        <f t="shared" si="220"/>
        <v>387485385.12293857</v>
      </c>
      <c r="AF437" s="1239">
        <f t="shared" si="220"/>
        <v>404374534.12293851</v>
      </c>
      <c r="AG437" s="1239">
        <f t="shared" si="220"/>
        <v>404174534.12293851</v>
      </c>
      <c r="AH437" s="1239">
        <f t="shared" si="220"/>
        <v>403974534.12293851</v>
      </c>
      <c r="AI437" s="1239">
        <f t="shared" si="220"/>
        <v>403774534.12293851</v>
      </c>
      <c r="AJ437" s="1239">
        <f t="shared" si="220"/>
        <v>403574534.12293851</v>
      </c>
      <c r="AK437" s="1239">
        <f t="shared" si="220"/>
        <v>403374534.12293851</v>
      </c>
      <c r="AL437" s="1239">
        <f t="shared" si="220"/>
        <v>403174534.12293851</v>
      </c>
      <c r="AM437" s="1239">
        <f t="shared" si="220"/>
        <v>404162112.70246553</v>
      </c>
      <c r="AN437" s="1239">
        <f t="shared" si="220"/>
        <v>404473547.36432886</v>
      </c>
      <c r="AO437" s="1239">
        <f t="shared" si="220"/>
        <v>404273547.36432886</v>
      </c>
      <c r="AP437" s="1239">
        <f t="shared" si="220"/>
        <v>404073547.36432886</v>
      </c>
      <c r="AQ437" s="1239">
        <f t="shared" si="220"/>
        <v>403873547.36432886</v>
      </c>
      <c r="AR437" s="1239">
        <f t="shared" si="220"/>
        <v>405673547.36432886</v>
      </c>
      <c r="AS437" s="1239">
        <f t="shared" si="220"/>
        <v>405673547.36432886</v>
      </c>
      <c r="AT437" s="1239">
        <f t="shared" si="220"/>
        <v>405673547.36432886</v>
      </c>
      <c r="AU437" s="1239">
        <f t="shared" si="220"/>
        <v>405673547.36432886</v>
      </c>
      <c r="AV437" s="1239"/>
      <c r="AW437" s="1239"/>
      <c r="AX437" s="1239"/>
      <c r="AY437" s="1239"/>
    </row>
    <row r="438" spans="1:51" s="214" customFormat="1" ht="6.75" customHeight="1">
      <c r="O438" s="239">
        <f t="shared" si="202"/>
        <v>0</v>
      </c>
      <c r="U438" s="214">
        <f t="shared" si="193"/>
        <v>0</v>
      </c>
    </row>
    <row r="439" spans="1:51" s="179" customFormat="1" ht="15.75" customHeight="1">
      <c r="A439" s="341">
        <v>10</v>
      </c>
      <c r="B439" s="341" t="s">
        <v>523</v>
      </c>
      <c r="C439" s="351" t="s">
        <v>189</v>
      </c>
      <c r="D439" s="185"/>
      <c r="E439" s="185"/>
      <c r="F439" s="185"/>
      <c r="G439" s="185"/>
      <c r="H439" s="185"/>
      <c r="I439" s="322"/>
      <c r="J439" s="344"/>
      <c r="K439" s="322"/>
      <c r="L439" s="322"/>
      <c r="M439" s="322"/>
      <c r="N439" s="322" t="e">
        <f>-(#REF!+#REF!)</f>
        <v>#REF!</v>
      </c>
      <c r="O439" s="322" t="e">
        <f t="shared" si="202"/>
        <v>#REF!</v>
      </c>
      <c r="P439" s="322">
        <f>IF(P437&gt;0,-31%*P437,0)</f>
        <v>0</v>
      </c>
      <c r="Q439" s="322">
        <f>IF(Q437&gt;0,-31%*Q437,0)</f>
        <v>0</v>
      </c>
      <c r="R439" s="322">
        <f>IF(R437&gt;0,-31%*R437,0)</f>
        <v>0</v>
      </c>
      <c r="S439" s="322"/>
      <c r="T439" s="322">
        <f>IF(T437&gt;0,-31%*T437,0)</f>
        <v>-2691125.5888931779</v>
      </c>
      <c r="U439" s="322">
        <f t="shared" si="193"/>
        <v>-2691125.5888931779</v>
      </c>
      <c r="V439" s="322">
        <f t="shared" ref="V439:AU439" si="221">IF(V437&gt;0,-31%*V437,0)</f>
        <v>-98600748.115717083</v>
      </c>
      <c r="W439" s="322">
        <f t="shared" si="221"/>
        <v>-108782262.89204839</v>
      </c>
      <c r="X439" s="322">
        <f t="shared" si="221"/>
        <v>-110229813.50964621</v>
      </c>
      <c r="Y439" s="322">
        <f t="shared" si="221"/>
        <v>-111011689.17651416</v>
      </c>
      <c r="Z439" s="322">
        <f t="shared" si="221"/>
        <v>-111065291.02727416</v>
      </c>
      <c r="AA439" s="322">
        <f t="shared" si="221"/>
        <v>-111143525.89649464</v>
      </c>
      <c r="AB439" s="322">
        <f t="shared" si="221"/>
        <v>-112977900.63496093</v>
      </c>
      <c r="AC439" s="322">
        <f t="shared" si="221"/>
        <v>-112915900.63496093</v>
      </c>
      <c r="AD439" s="322">
        <f t="shared" si="221"/>
        <v>-112853900.63496093</v>
      </c>
      <c r="AE439" s="322">
        <f t="shared" si="221"/>
        <v>-120120469.38811095</v>
      </c>
      <c r="AF439" s="322">
        <f t="shared" si="221"/>
        <v>-125356105.57811093</v>
      </c>
      <c r="AG439" s="322">
        <f t="shared" si="221"/>
        <v>-125294105.57811093</v>
      </c>
      <c r="AH439" s="322">
        <f t="shared" si="221"/>
        <v>-125232105.57811093</v>
      </c>
      <c r="AI439" s="322">
        <f t="shared" si="221"/>
        <v>-125170105.57811093</v>
      </c>
      <c r="AJ439" s="322">
        <f t="shared" si="221"/>
        <v>-125108105.57811093</v>
      </c>
      <c r="AK439" s="322">
        <f t="shared" si="221"/>
        <v>-125046105.57811093</v>
      </c>
      <c r="AL439" s="322">
        <f t="shared" si="221"/>
        <v>-124984105.57811093</v>
      </c>
      <c r="AM439" s="322">
        <f t="shared" si="221"/>
        <v>-125290254.93776432</v>
      </c>
      <c r="AN439" s="322">
        <f t="shared" si="221"/>
        <v>-125386799.68294194</v>
      </c>
      <c r="AO439" s="322">
        <f t="shared" si="221"/>
        <v>-125324799.68294194</v>
      </c>
      <c r="AP439" s="322">
        <f t="shared" si="221"/>
        <v>-125262799.68294194</v>
      </c>
      <c r="AQ439" s="322">
        <f t="shared" si="221"/>
        <v>-125200799.68294194</v>
      </c>
      <c r="AR439" s="322">
        <f t="shared" si="221"/>
        <v>-125758799.68294194</v>
      </c>
      <c r="AS439" s="322">
        <f t="shared" si="221"/>
        <v>-125758799.68294194</v>
      </c>
      <c r="AT439" s="322">
        <f t="shared" si="221"/>
        <v>-125758799.68294194</v>
      </c>
      <c r="AU439" s="322">
        <f t="shared" si="221"/>
        <v>-125758799.68294194</v>
      </c>
      <c r="AV439" s="322"/>
      <c r="AW439" s="322"/>
      <c r="AX439" s="322"/>
      <c r="AY439" s="322"/>
    </row>
    <row r="440" spans="1:51" s="225" customFormat="1" ht="15.75" customHeight="1">
      <c r="A440" s="1274"/>
      <c r="B440" s="1274" t="s">
        <v>524</v>
      </c>
      <c r="C440" s="200" t="s">
        <v>190</v>
      </c>
      <c r="D440" s="194"/>
      <c r="E440" s="194"/>
      <c r="F440" s="194"/>
      <c r="G440" s="194"/>
      <c r="H440" s="194"/>
      <c r="I440" s="1239"/>
      <c r="J440" s="1239"/>
      <c r="K440" s="1239"/>
      <c r="L440" s="1239"/>
      <c r="M440" s="1239"/>
      <c r="N440" s="1239" t="e">
        <f>SUM(N437:N439)</f>
        <v>#REF!</v>
      </c>
      <c r="O440" s="1239" t="e">
        <f t="shared" si="202"/>
        <v>#REF!</v>
      </c>
      <c r="P440" s="1239">
        <f>SUM(P437:P439)</f>
        <v>-3060914.7858699858</v>
      </c>
      <c r="Q440" s="1239">
        <f>SUM(Q437:Q439)</f>
        <v>-10047219.667685339</v>
      </c>
      <c r="R440" s="1239">
        <f>SUM(R437:R439)</f>
        <v>-4748618.2078518122</v>
      </c>
      <c r="S440" s="1239"/>
      <c r="T440" s="1239">
        <f>SUM(T437:T439)</f>
        <v>5989924.6978590088</v>
      </c>
      <c r="U440" s="1239">
        <f t="shared" si="193"/>
        <v>5989924.6978590088</v>
      </c>
      <c r="V440" s="1239">
        <f t="shared" ref="V440:AU440" si="222">SUM(V437:V439)</f>
        <v>219466181.28982189</v>
      </c>
      <c r="W440" s="1239">
        <f t="shared" si="222"/>
        <v>242128262.56617221</v>
      </c>
      <c r="X440" s="1239">
        <f t="shared" si="222"/>
        <v>245350230.06985769</v>
      </c>
      <c r="Y440" s="1239">
        <f t="shared" si="222"/>
        <v>247090533.97353154</v>
      </c>
      <c r="Z440" s="1239">
        <f t="shared" si="222"/>
        <v>247209841.31877151</v>
      </c>
      <c r="AA440" s="1239">
        <f t="shared" si="222"/>
        <v>247383976.99542356</v>
      </c>
      <c r="AB440" s="1239">
        <f t="shared" si="222"/>
        <v>251466940.12297755</v>
      </c>
      <c r="AC440" s="1239">
        <f t="shared" si="222"/>
        <v>251328940.12297755</v>
      </c>
      <c r="AD440" s="1239">
        <f t="shared" si="222"/>
        <v>251190940.12297755</v>
      </c>
      <c r="AE440" s="1239">
        <f t="shared" si="222"/>
        <v>267364915.73482764</v>
      </c>
      <c r="AF440" s="1239">
        <f t="shared" si="222"/>
        <v>279018428.54482758</v>
      </c>
      <c r="AG440" s="1239">
        <f t="shared" si="222"/>
        <v>278880428.54482758</v>
      </c>
      <c r="AH440" s="1239">
        <f t="shared" si="222"/>
        <v>278742428.54482758</v>
      </c>
      <c r="AI440" s="1239">
        <f t="shared" si="222"/>
        <v>278604428.54482758</v>
      </c>
      <c r="AJ440" s="1239">
        <f t="shared" si="222"/>
        <v>278466428.54482758</v>
      </c>
      <c r="AK440" s="1239">
        <f t="shared" si="222"/>
        <v>278328428.54482758</v>
      </c>
      <c r="AL440" s="1239">
        <f t="shared" si="222"/>
        <v>278190428.54482758</v>
      </c>
      <c r="AM440" s="1239">
        <f t="shared" si="222"/>
        <v>278871857.76470125</v>
      </c>
      <c r="AN440" s="1239">
        <f t="shared" si="222"/>
        <v>279086747.68138695</v>
      </c>
      <c r="AO440" s="1239">
        <f t="shared" si="222"/>
        <v>278948747.68138695</v>
      </c>
      <c r="AP440" s="1239">
        <f t="shared" si="222"/>
        <v>278810747.68138695</v>
      </c>
      <c r="AQ440" s="1239">
        <f t="shared" si="222"/>
        <v>278672747.68138695</v>
      </c>
      <c r="AR440" s="1239">
        <f t="shared" si="222"/>
        <v>279914747.68138695</v>
      </c>
      <c r="AS440" s="1239">
        <f t="shared" si="222"/>
        <v>279914747.68138695</v>
      </c>
      <c r="AT440" s="1239">
        <f t="shared" si="222"/>
        <v>279914747.68138695</v>
      </c>
      <c r="AU440" s="1239">
        <f t="shared" si="222"/>
        <v>279914747.68138695</v>
      </c>
      <c r="AV440" s="1239"/>
      <c r="AW440" s="1239"/>
      <c r="AX440" s="1239"/>
      <c r="AY440" s="1239"/>
    </row>
    <row r="441" spans="1:51" s="214" customFormat="1" ht="15.75" customHeight="1">
      <c r="A441" s="167"/>
      <c r="B441" s="167"/>
      <c r="C441" s="242"/>
      <c r="D441" s="215"/>
      <c r="E441" s="215"/>
      <c r="F441" s="215"/>
      <c r="G441" s="215"/>
      <c r="H441" s="215"/>
      <c r="I441" s="239"/>
      <c r="J441" s="239"/>
      <c r="K441" s="239"/>
      <c r="L441" s="239"/>
      <c r="M441" s="239"/>
      <c r="N441" s="239"/>
      <c r="O441" s="239">
        <f t="shared" si="202"/>
        <v>0</v>
      </c>
      <c r="P441" s="239"/>
      <c r="Q441" s="239"/>
      <c r="R441" s="239"/>
      <c r="S441" s="239"/>
      <c r="T441" s="239"/>
      <c r="U441" s="239"/>
      <c r="V441" s="239"/>
      <c r="W441" s="239"/>
      <c r="X441" s="239"/>
      <c r="Y441" s="239"/>
      <c r="Z441" s="239"/>
      <c r="AA441" s="239"/>
      <c r="AB441" s="239"/>
      <c r="AC441" s="239"/>
      <c r="AD441" s="239"/>
      <c r="AE441" s="239"/>
      <c r="AF441" s="239"/>
      <c r="AG441" s="239"/>
      <c r="AH441" s="239"/>
      <c r="AI441" s="239"/>
      <c r="AJ441" s="239"/>
      <c r="AK441" s="239"/>
      <c r="AL441" s="239"/>
      <c r="AM441" s="239"/>
      <c r="AN441" s="239"/>
      <c r="AO441" s="239"/>
      <c r="AP441" s="239"/>
      <c r="AQ441" s="239"/>
      <c r="AR441" s="239"/>
      <c r="AS441" s="239"/>
      <c r="AT441" s="239"/>
      <c r="AU441" s="239"/>
      <c r="AV441" s="239"/>
      <c r="AW441" s="239"/>
      <c r="AX441" s="239"/>
      <c r="AY441" s="239"/>
    </row>
    <row r="442" spans="1:51" s="214" customFormat="1" ht="15.75" customHeight="1">
      <c r="B442" s="244"/>
      <c r="C442" s="356" t="s">
        <v>1007</v>
      </c>
      <c r="D442" s="242"/>
      <c r="E442" s="249"/>
      <c r="F442" s="242"/>
      <c r="G442" s="242"/>
      <c r="H442" s="242"/>
      <c r="I442" s="243"/>
      <c r="J442" s="243"/>
      <c r="K442" s="243"/>
      <c r="L442" s="243"/>
      <c r="M442" s="243"/>
      <c r="N442" s="243">
        <f>M442</f>
        <v>0</v>
      </c>
      <c r="O442" s="239">
        <f>N442</f>
        <v>0</v>
      </c>
      <c r="P442" s="243">
        <f>P439/P437</f>
        <v>0</v>
      </c>
      <c r="Q442" s="243">
        <f>Q439/Q437</f>
        <v>0</v>
      </c>
      <c r="R442" s="243">
        <f>R439/R437</f>
        <v>0</v>
      </c>
      <c r="S442" s="243"/>
      <c r="T442" s="243">
        <f>T439/T437</f>
        <v>-0.31</v>
      </c>
      <c r="U442" s="243">
        <f t="shared" si="193"/>
        <v>-0.31</v>
      </c>
      <c r="V442" s="243">
        <f t="shared" ref="V442:AU442" si="223">V439/V437</f>
        <v>-0.31</v>
      </c>
      <c r="W442" s="243">
        <f t="shared" si="223"/>
        <v>-0.31</v>
      </c>
      <c r="X442" s="243">
        <f t="shared" si="223"/>
        <v>-0.31</v>
      </c>
      <c r="Y442" s="243">
        <f t="shared" si="223"/>
        <v>-0.31</v>
      </c>
      <c r="Z442" s="243">
        <f t="shared" si="223"/>
        <v>-0.31</v>
      </c>
      <c r="AA442" s="243">
        <f t="shared" si="223"/>
        <v>-0.31</v>
      </c>
      <c r="AB442" s="243">
        <f t="shared" si="223"/>
        <v>-0.31</v>
      </c>
      <c r="AC442" s="243">
        <f t="shared" si="223"/>
        <v>-0.31</v>
      </c>
      <c r="AD442" s="243">
        <f t="shared" si="223"/>
        <v>-0.31</v>
      </c>
      <c r="AE442" s="243">
        <f t="shared" si="223"/>
        <v>-0.31</v>
      </c>
      <c r="AF442" s="243">
        <f t="shared" si="223"/>
        <v>-0.31</v>
      </c>
      <c r="AG442" s="243">
        <f t="shared" si="223"/>
        <v>-0.31</v>
      </c>
      <c r="AH442" s="243">
        <f t="shared" si="223"/>
        <v>-0.31</v>
      </c>
      <c r="AI442" s="243">
        <f t="shared" si="223"/>
        <v>-0.31</v>
      </c>
      <c r="AJ442" s="243">
        <f t="shared" si="223"/>
        <v>-0.31</v>
      </c>
      <c r="AK442" s="243">
        <f t="shared" si="223"/>
        <v>-0.31</v>
      </c>
      <c r="AL442" s="243">
        <f t="shared" si="223"/>
        <v>-0.31</v>
      </c>
      <c r="AM442" s="243">
        <f t="shared" si="223"/>
        <v>-0.31</v>
      </c>
      <c r="AN442" s="243">
        <f t="shared" si="223"/>
        <v>-0.31</v>
      </c>
      <c r="AO442" s="243">
        <f t="shared" si="223"/>
        <v>-0.31</v>
      </c>
      <c r="AP442" s="243">
        <f t="shared" si="223"/>
        <v>-0.31</v>
      </c>
      <c r="AQ442" s="243">
        <f t="shared" si="223"/>
        <v>-0.31</v>
      </c>
      <c r="AR442" s="243">
        <f t="shared" si="223"/>
        <v>-0.31</v>
      </c>
      <c r="AS442" s="243">
        <f t="shared" si="223"/>
        <v>-0.31</v>
      </c>
      <c r="AT442" s="243">
        <f t="shared" si="223"/>
        <v>-0.31</v>
      </c>
      <c r="AU442" s="243">
        <f t="shared" si="223"/>
        <v>-0.31</v>
      </c>
      <c r="AV442" s="243"/>
      <c r="AW442" s="243"/>
      <c r="AX442" s="243"/>
      <c r="AY442" s="243"/>
    </row>
    <row r="443" spans="1:51" s="214" customFormat="1" ht="15.75" customHeight="1">
      <c r="B443" s="244"/>
      <c r="C443" s="244"/>
      <c r="D443" s="244"/>
      <c r="E443" s="244"/>
      <c r="F443" s="244"/>
      <c r="G443" s="244"/>
      <c r="H443" s="244"/>
      <c r="I443" s="244"/>
      <c r="J443" s="244"/>
      <c r="K443" s="244"/>
      <c r="L443" s="244"/>
      <c r="M443" s="215"/>
      <c r="R443" s="1231"/>
      <c r="S443" s="1231"/>
      <c r="T443" s="1231"/>
      <c r="U443" s="1231"/>
    </row>
    <row r="444" spans="1:51" s="214" customFormat="1" ht="15.75" customHeight="1">
      <c r="B444" s="244"/>
      <c r="C444" s="356" t="s">
        <v>1322</v>
      </c>
      <c r="D444" s="242"/>
      <c r="E444" s="249"/>
      <c r="F444" s="242"/>
      <c r="G444" s="242"/>
      <c r="H444" s="242"/>
      <c r="I444" s="243"/>
      <c r="J444" s="243"/>
      <c r="K444" s="243"/>
      <c r="L444" s="243"/>
      <c r="M444" s="243"/>
      <c r="N444" s="243"/>
      <c r="O444" s="239"/>
      <c r="P444" s="243"/>
      <c r="Q444" s="243"/>
      <c r="R444" s="243">
        <f t="shared" ref="R444:AU444" si="224">R428/R412</f>
        <v>0.34728850859401855</v>
      </c>
      <c r="S444" s="243"/>
      <c r="T444" s="243">
        <f>T428/T412</f>
        <v>0.41496090495828514</v>
      </c>
      <c r="U444" s="243">
        <f t="shared" si="193"/>
        <v>0.41496090495828514</v>
      </c>
      <c r="V444" s="243">
        <f t="shared" si="224"/>
        <v>0.65465492246091528</v>
      </c>
      <c r="W444" s="243">
        <f t="shared" si="224"/>
        <v>0.62265266350642434</v>
      </c>
      <c r="X444" s="243">
        <f t="shared" si="224"/>
        <v>0.62265266350642434</v>
      </c>
      <c r="Y444" s="243">
        <f t="shared" si="224"/>
        <v>0.62265266350642434</v>
      </c>
      <c r="Z444" s="243">
        <f t="shared" si="224"/>
        <v>0.62265266350642434</v>
      </c>
      <c r="AA444" s="243">
        <f t="shared" si="224"/>
        <v>0.62265266350642434</v>
      </c>
      <c r="AB444" s="243">
        <f t="shared" si="224"/>
        <v>0.62523383461127224</v>
      </c>
      <c r="AC444" s="243">
        <f t="shared" si="224"/>
        <v>0.62523383461127224</v>
      </c>
      <c r="AD444" s="243">
        <f t="shared" si="224"/>
        <v>0.62523383461127224</v>
      </c>
      <c r="AE444" s="243">
        <f t="shared" si="224"/>
        <v>0.62523383461127224</v>
      </c>
      <c r="AF444" s="243">
        <f t="shared" si="224"/>
        <v>0.62523383461127224</v>
      </c>
      <c r="AG444" s="243">
        <f t="shared" si="224"/>
        <v>0.62523383461127224</v>
      </c>
      <c r="AH444" s="243">
        <f t="shared" si="224"/>
        <v>0.62523383461127224</v>
      </c>
      <c r="AI444" s="243">
        <f t="shared" si="224"/>
        <v>0.62523383461127224</v>
      </c>
      <c r="AJ444" s="243">
        <f t="shared" si="224"/>
        <v>0.62523383461127224</v>
      </c>
      <c r="AK444" s="243">
        <f t="shared" si="224"/>
        <v>0.62523383461127224</v>
      </c>
      <c r="AL444" s="243">
        <f t="shared" si="224"/>
        <v>0.62523383461127224</v>
      </c>
      <c r="AM444" s="243">
        <f t="shared" si="224"/>
        <v>0.62523383461127224</v>
      </c>
      <c r="AN444" s="243">
        <f t="shared" si="224"/>
        <v>0.62523383461127224</v>
      </c>
      <c r="AO444" s="243">
        <f t="shared" si="224"/>
        <v>0.62523383461127224</v>
      </c>
      <c r="AP444" s="243">
        <f t="shared" si="224"/>
        <v>0.62523383461127224</v>
      </c>
      <c r="AQ444" s="243">
        <f t="shared" si="224"/>
        <v>0.62523383461127224</v>
      </c>
      <c r="AR444" s="243">
        <f t="shared" si="224"/>
        <v>0.62523383461127224</v>
      </c>
      <c r="AS444" s="243">
        <f t="shared" si="224"/>
        <v>0.62523383461127224</v>
      </c>
      <c r="AT444" s="243">
        <f t="shared" si="224"/>
        <v>0.62523383461127224</v>
      </c>
      <c r="AU444" s="243">
        <f t="shared" si="224"/>
        <v>0.62523383461127224</v>
      </c>
      <c r="AV444" s="243"/>
      <c r="AW444" s="243"/>
      <c r="AX444" s="243"/>
      <c r="AY444" s="243"/>
    </row>
    <row r="445" spans="1:51" s="214" customFormat="1" ht="15.75" customHeight="1">
      <c r="B445" s="244"/>
      <c r="C445" s="356" t="s">
        <v>1323</v>
      </c>
      <c r="D445" s="242"/>
      <c r="E445" s="249"/>
      <c r="F445" s="242"/>
      <c r="G445" s="242"/>
      <c r="H445" s="242"/>
      <c r="I445" s="243"/>
      <c r="J445" s="243"/>
      <c r="K445" s="243"/>
      <c r="L445" s="243"/>
      <c r="M445" s="243"/>
      <c r="N445" s="243"/>
      <c r="O445" s="239"/>
      <c r="P445" s="243"/>
      <c r="Q445" s="243"/>
      <c r="R445" s="243">
        <f>R432/R412</f>
        <v>-4.750586240694471E-2</v>
      </c>
      <c r="S445" s="243"/>
      <c r="T445" s="243">
        <f>T432/T412</f>
        <v>7.7111883211316457E-2</v>
      </c>
      <c r="U445" s="243">
        <f t="shared" si="193"/>
        <v>7.7111883211316457E-2</v>
      </c>
      <c r="V445" s="243">
        <f t="shared" ref="V445:AU445" si="225">V432/V412</f>
        <v>0.55152949863697243</v>
      </c>
      <c r="W445" s="243">
        <f t="shared" si="225"/>
        <v>0.52707837375221989</v>
      </c>
      <c r="X445" s="243">
        <f t="shared" si="225"/>
        <v>0.53409213321229498</v>
      </c>
      <c r="Y445" s="243">
        <f t="shared" si="225"/>
        <v>0.53788052429750488</v>
      </c>
      <c r="Z445" s="243">
        <f t="shared" si="225"/>
        <v>0.53814023921405085</v>
      </c>
      <c r="AA445" s="243">
        <f t="shared" si="225"/>
        <v>0.5385193075156578</v>
      </c>
      <c r="AB445" s="243">
        <f t="shared" si="225"/>
        <v>0.54210546552376992</v>
      </c>
      <c r="AC445" s="243">
        <f t="shared" si="225"/>
        <v>0.54180796894546945</v>
      </c>
      <c r="AD445" s="243">
        <f t="shared" si="225"/>
        <v>0.54151047236716887</v>
      </c>
      <c r="AE445" s="243">
        <f t="shared" si="225"/>
        <v>0.57637788107761079</v>
      </c>
      <c r="AF445" s="243">
        <f t="shared" si="225"/>
        <v>0.60150020126714643</v>
      </c>
      <c r="AG445" s="243">
        <f t="shared" si="225"/>
        <v>0.60120270468884596</v>
      </c>
      <c r="AH445" s="243">
        <f t="shared" si="225"/>
        <v>0.60090520811054549</v>
      </c>
      <c r="AI445" s="243">
        <f t="shared" si="225"/>
        <v>0.60060771153224501</v>
      </c>
      <c r="AJ445" s="243">
        <f t="shared" si="225"/>
        <v>0.60031021495394454</v>
      </c>
      <c r="AK445" s="243">
        <f t="shared" si="225"/>
        <v>0.60001271837564407</v>
      </c>
      <c r="AL445" s="243">
        <f t="shared" si="225"/>
        <v>0.59971522179734349</v>
      </c>
      <c r="AM445" s="243">
        <f t="shared" si="225"/>
        <v>0.60118422803840432</v>
      </c>
      <c r="AN445" s="243">
        <f t="shared" si="225"/>
        <v>0.60164748176974681</v>
      </c>
      <c r="AO445" s="243">
        <f t="shared" si="225"/>
        <v>0.60134998519144633</v>
      </c>
      <c r="AP445" s="243">
        <f t="shared" si="225"/>
        <v>0.60105248861314586</v>
      </c>
      <c r="AQ445" s="243">
        <f t="shared" si="225"/>
        <v>0.60075499203484539</v>
      </c>
      <c r="AR445" s="243">
        <f t="shared" si="225"/>
        <v>0.60343246123954974</v>
      </c>
      <c r="AS445" s="243">
        <f t="shared" si="225"/>
        <v>0.60343246123954974</v>
      </c>
      <c r="AT445" s="243">
        <f t="shared" si="225"/>
        <v>0.60343246123954974</v>
      </c>
      <c r="AU445" s="243">
        <f t="shared" si="225"/>
        <v>0.60343246123954974</v>
      </c>
      <c r="AV445" s="243"/>
      <c r="AW445" s="243"/>
      <c r="AX445" s="243"/>
      <c r="AY445" s="243"/>
    </row>
    <row r="446" spans="1:51" s="214" customFormat="1" ht="15.75" customHeight="1">
      <c r="B446" s="244"/>
      <c r="C446" s="356" t="s">
        <v>1324</v>
      </c>
      <c r="D446" s="242"/>
      <c r="E446" s="249"/>
      <c r="F446" s="242"/>
      <c r="G446" s="242"/>
      <c r="H446" s="242"/>
      <c r="I446" s="243"/>
      <c r="J446" s="243"/>
      <c r="K446" s="243"/>
      <c r="L446" s="243"/>
      <c r="M446" s="243"/>
      <c r="N446" s="243"/>
      <c r="O446" s="239"/>
      <c r="P446" s="243"/>
      <c r="Q446" s="243"/>
      <c r="R446" s="243">
        <f>R440/R412</f>
        <v>-4.750586240694471E-2</v>
      </c>
      <c r="S446" s="243"/>
      <c r="T446" s="243">
        <f>T440/T412</f>
        <v>5.3207199415808357E-2</v>
      </c>
      <c r="U446" s="243">
        <f t="shared" si="193"/>
        <v>5.3207199415808357E-2</v>
      </c>
      <c r="V446" s="243">
        <f t="shared" ref="V446:AA446" si="226">V440/V412</f>
        <v>0.38055535405951096</v>
      </c>
      <c r="W446" s="243">
        <f t="shared" si="226"/>
        <v>0.36368407788903173</v>
      </c>
      <c r="X446" s="243">
        <f t="shared" si="226"/>
        <v>0.36852357191648355</v>
      </c>
      <c r="Y446" s="243">
        <f t="shared" si="226"/>
        <v>0.3711375617652784</v>
      </c>
      <c r="Z446" s="243">
        <f t="shared" si="226"/>
        <v>0.37131676505769506</v>
      </c>
      <c r="AA446" s="243">
        <f t="shared" si="226"/>
        <v>0.37157832218580389</v>
      </c>
      <c r="AB446" s="243"/>
      <c r="AC446" s="243"/>
      <c r="AD446" s="243"/>
      <c r="AE446" s="243"/>
      <c r="AF446" s="243"/>
      <c r="AG446" s="243"/>
      <c r="AH446" s="243"/>
      <c r="AI446" s="243"/>
      <c r="AJ446" s="243"/>
      <c r="AK446" s="243"/>
      <c r="AL446" s="243"/>
      <c r="AM446" s="243"/>
      <c r="AN446" s="243"/>
      <c r="AO446" s="243"/>
      <c r="AP446" s="243"/>
      <c r="AQ446" s="243"/>
      <c r="AR446" s="243"/>
      <c r="AS446" s="243"/>
      <c r="AT446" s="243"/>
      <c r="AU446" s="243"/>
      <c r="AV446" s="243"/>
      <c r="AW446" s="243"/>
      <c r="AX446" s="243"/>
      <c r="AY446" s="243"/>
    </row>
    <row r="447" spans="1:51" ht="15.75" hidden="1" customHeight="1" outlineLevel="1">
      <c r="B447" s="244"/>
      <c r="C447" s="242"/>
      <c r="D447" s="242"/>
      <c r="E447" s="342"/>
      <c r="F447" s="242"/>
      <c r="G447" s="242"/>
      <c r="H447" s="242"/>
      <c r="I447" s="240"/>
      <c r="J447" s="240"/>
      <c r="K447" s="240"/>
      <c r="L447" s="240"/>
      <c r="M447" s="428"/>
      <c r="R447" s="853"/>
      <c r="S447" s="853"/>
      <c r="T447" s="853"/>
      <c r="U447" s="853">
        <f t="shared" si="193"/>
        <v>0</v>
      </c>
      <c r="V447" s="853"/>
      <c r="W447" s="853"/>
      <c r="X447" s="853"/>
      <c r="Y447" s="853"/>
      <c r="Z447" s="853"/>
      <c r="AA447" s="853"/>
      <c r="AB447" s="853"/>
      <c r="AC447" s="853"/>
      <c r="AD447" s="853"/>
      <c r="AE447" s="853"/>
      <c r="AF447" s="853"/>
      <c r="AG447" s="853"/>
      <c r="AH447" s="853"/>
      <c r="AI447" s="853"/>
      <c r="AJ447" s="853"/>
      <c r="AK447" s="853"/>
      <c r="AL447" s="853"/>
      <c r="AM447" s="853"/>
      <c r="AN447" s="853"/>
      <c r="AO447" s="853"/>
      <c r="AP447" s="853"/>
      <c r="AQ447" s="853"/>
      <c r="AR447" s="853"/>
      <c r="AS447" s="853"/>
      <c r="AT447" s="853"/>
      <c r="AU447" s="853"/>
      <c r="AV447" s="577"/>
      <c r="AW447" s="577"/>
      <c r="AX447" s="577"/>
      <c r="AY447" s="577"/>
    </row>
    <row r="448" spans="1:51" ht="15.75" hidden="1" customHeight="1" outlineLevel="1">
      <c r="B448" s="244"/>
      <c r="C448" s="242"/>
      <c r="D448" s="242"/>
      <c r="E448" s="342"/>
      <c r="F448" s="242"/>
      <c r="G448" s="242"/>
      <c r="H448" s="242"/>
      <c r="I448" s="240"/>
      <c r="J448" s="240"/>
      <c r="K448" s="240"/>
      <c r="L448" s="240"/>
      <c r="M448" s="185"/>
      <c r="U448" s="577">
        <f t="shared" si="193"/>
        <v>0</v>
      </c>
      <c r="X448" s="577"/>
      <c r="Y448" s="577"/>
      <c r="Z448" s="577"/>
      <c r="AA448" s="577"/>
      <c r="AB448" s="577"/>
      <c r="AC448" s="577"/>
      <c r="AD448" s="577"/>
      <c r="AE448" s="577"/>
      <c r="AF448" s="577"/>
      <c r="AG448" s="577"/>
      <c r="AH448" s="577"/>
      <c r="AI448" s="577"/>
      <c r="AJ448" s="577"/>
      <c r="AK448" s="577"/>
      <c r="AL448" s="577"/>
      <c r="AM448" s="577"/>
      <c r="AN448" s="577"/>
      <c r="AO448" s="577"/>
      <c r="AP448" s="577"/>
      <c r="AQ448" s="577"/>
      <c r="AR448" s="577"/>
      <c r="AS448" s="577"/>
      <c r="AT448" s="577"/>
      <c r="AU448" s="577"/>
      <c r="AV448" s="577"/>
      <c r="AW448" s="577"/>
      <c r="AX448" s="577"/>
      <c r="AY448" s="577"/>
    </row>
    <row r="449" spans="2:51" ht="27" customHeight="1" collapsed="1">
      <c r="B449" s="244"/>
      <c r="C449" s="366" t="s">
        <v>1008</v>
      </c>
      <c r="I449" s="227"/>
      <c r="J449" s="227"/>
      <c r="K449" s="226"/>
      <c r="L449" s="228"/>
      <c r="M449" s="367"/>
      <c r="N449" s="228"/>
      <c r="O449" s="228"/>
      <c r="P449" s="228"/>
      <c r="Q449" s="228"/>
      <c r="R449" s="228"/>
      <c r="S449" s="228"/>
      <c r="T449" s="228"/>
      <c r="U449" s="228"/>
      <c r="V449" s="228"/>
      <c r="W449" s="228"/>
      <c r="X449" s="228"/>
      <c r="Y449" s="228"/>
      <c r="Z449" s="228"/>
      <c r="AA449" s="228"/>
      <c r="AB449" s="228"/>
      <c r="AC449" s="228"/>
      <c r="AD449" s="228"/>
      <c r="AE449" s="228"/>
      <c r="AF449" s="228"/>
      <c r="AG449" s="228"/>
      <c r="AH449" s="228"/>
      <c r="AI449" s="228"/>
      <c r="AJ449" s="228"/>
      <c r="AK449" s="228"/>
      <c r="AL449" s="228"/>
      <c r="AM449" s="228"/>
      <c r="AN449" s="228"/>
      <c r="AO449" s="228"/>
      <c r="AP449" s="228"/>
      <c r="AQ449" s="228"/>
      <c r="AR449" s="228"/>
      <c r="AS449" s="228"/>
      <c r="AT449" s="228"/>
      <c r="AU449" s="228"/>
      <c r="AV449" s="228"/>
      <c r="AW449" s="228"/>
      <c r="AX449" s="228"/>
      <c r="AY449" s="228"/>
    </row>
    <row r="450" spans="2:51" ht="3" customHeight="1">
      <c r="B450" s="244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  <c r="AA450" s="229"/>
      <c r="AB450" s="229"/>
      <c r="AC450" s="229"/>
      <c r="AD450" s="229"/>
      <c r="AE450" s="229"/>
      <c r="AF450" s="229"/>
      <c r="AG450" s="229"/>
      <c r="AH450" s="229"/>
      <c r="AI450" s="229"/>
      <c r="AJ450" s="229"/>
      <c r="AK450" s="229"/>
      <c r="AL450" s="229"/>
      <c r="AM450" s="229"/>
      <c r="AN450" s="229"/>
      <c r="AO450" s="229"/>
      <c r="AP450" s="229"/>
      <c r="AQ450" s="229"/>
      <c r="AR450" s="229"/>
      <c r="AS450" s="229"/>
      <c r="AT450" s="229"/>
      <c r="AU450" s="229"/>
      <c r="AV450" s="229"/>
      <c r="AW450" s="229"/>
      <c r="AX450" s="229"/>
      <c r="AY450" s="229"/>
    </row>
    <row r="451" spans="2:51" ht="15.75" customHeight="1">
      <c r="B451" s="244"/>
      <c r="C451" s="169"/>
      <c r="I451" s="227"/>
      <c r="J451" s="227"/>
      <c r="K451" s="226"/>
      <c r="L451" s="228"/>
      <c r="M451" s="367"/>
      <c r="N451" s="228"/>
      <c r="O451" s="228"/>
      <c r="P451" s="228"/>
      <c r="Q451" s="228"/>
      <c r="R451" s="228"/>
      <c r="S451" s="228"/>
      <c r="T451" s="228"/>
      <c r="U451" s="228"/>
      <c r="V451" s="228"/>
      <c r="W451" s="228"/>
      <c r="X451" s="228"/>
      <c r="Y451" s="228"/>
      <c r="Z451" s="228"/>
      <c r="AA451" s="228"/>
      <c r="AB451" s="228"/>
      <c r="AC451" s="228"/>
      <c r="AD451" s="228"/>
      <c r="AE451" s="228"/>
      <c r="AF451" s="228"/>
      <c r="AG451" s="228"/>
      <c r="AH451" s="228"/>
      <c r="AI451" s="228"/>
      <c r="AJ451" s="228"/>
      <c r="AK451" s="228"/>
      <c r="AL451" s="228"/>
      <c r="AM451" s="228"/>
      <c r="AN451" s="228"/>
      <c r="AO451" s="228"/>
      <c r="AP451" s="228"/>
      <c r="AQ451" s="228"/>
      <c r="AR451" s="228"/>
      <c r="AS451" s="228"/>
      <c r="AT451" s="228"/>
      <c r="AU451" s="228"/>
      <c r="AV451" s="228"/>
      <c r="AW451" s="228"/>
      <c r="AX451" s="228"/>
      <c r="AY451" s="228"/>
    </row>
    <row r="452" spans="2:51" ht="15.75" customHeight="1">
      <c r="B452" s="214"/>
      <c r="C452" s="313" t="s">
        <v>1008</v>
      </c>
      <c r="I452" s="227"/>
      <c r="J452" s="230"/>
      <c r="K452" s="231"/>
      <c r="L452" s="232"/>
      <c r="M452" s="231"/>
      <c r="N452" s="232"/>
      <c r="O452" s="232"/>
      <c r="P452" s="232"/>
      <c r="Q452" s="232"/>
      <c r="R452" s="232"/>
      <c r="S452" s="232"/>
      <c r="T452" s="232"/>
      <c r="U452" s="232"/>
      <c r="V452" s="232"/>
      <c r="W452" s="232"/>
      <c r="X452" s="232"/>
      <c r="Y452" s="232"/>
      <c r="Z452" s="232"/>
      <c r="AA452" s="232"/>
      <c r="AB452" s="232"/>
      <c r="AC452" s="232"/>
      <c r="AD452" s="232"/>
      <c r="AE452" s="232"/>
      <c r="AF452" s="232"/>
      <c r="AG452" s="232"/>
      <c r="AH452" s="232"/>
      <c r="AI452" s="232"/>
      <c r="AJ452" s="232"/>
      <c r="AK452" s="232"/>
      <c r="AL452" s="232"/>
      <c r="AM452" s="232"/>
      <c r="AN452" s="232"/>
      <c r="AO452" s="232"/>
      <c r="AP452" s="232"/>
      <c r="AQ452" s="232"/>
      <c r="AR452" s="232"/>
      <c r="AS452" s="232"/>
      <c r="AT452" s="232"/>
      <c r="AU452" s="232"/>
      <c r="AV452" s="232"/>
      <c r="AW452" s="232"/>
      <c r="AX452" s="232"/>
      <c r="AY452" s="232"/>
    </row>
    <row r="453" spans="2:51" ht="15.75" customHeight="1">
      <c r="B453" s="214"/>
      <c r="C453" s="348"/>
      <c r="D453" s="233"/>
      <c r="E453" s="233"/>
      <c r="F453" s="233"/>
      <c r="G453" s="233"/>
      <c r="H453" s="233"/>
      <c r="I453" s="174"/>
      <c r="J453" s="174"/>
      <c r="K453" s="174"/>
      <c r="L453" s="175"/>
      <c r="M453" s="1300"/>
      <c r="N453" s="1300"/>
      <c r="O453" s="175">
        <v>-3</v>
      </c>
      <c r="P453" s="175">
        <f>O453+1</f>
        <v>-2</v>
      </c>
      <c r="Q453" s="175">
        <f>P453+1</f>
        <v>-1</v>
      </c>
      <c r="R453" s="175">
        <f>Q453+2</f>
        <v>1</v>
      </c>
      <c r="S453" s="175">
        <f>$S$8</f>
        <v>0</v>
      </c>
      <c r="T453" s="175">
        <f>$T$8</f>
        <v>0</v>
      </c>
      <c r="U453" s="175" t="str">
        <f>$U$7</f>
        <v>Revised</v>
      </c>
      <c r="V453" s="175">
        <f>R453+1</f>
        <v>2</v>
      </c>
      <c r="W453" s="175">
        <f>V453+1</f>
        <v>3</v>
      </c>
      <c r="X453" s="175">
        <f t="shared" ref="X453:AU454" si="227">W453+1</f>
        <v>4</v>
      </c>
      <c r="Y453" s="175">
        <f t="shared" si="227"/>
        <v>5</v>
      </c>
      <c r="Z453" s="175">
        <f t="shared" si="227"/>
        <v>6</v>
      </c>
      <c r="AA453" s="175">
        <f t="shared" si="227"/>
        <v>7</v>
      </c>
      <c r="AB453" s="175">
        <f t="shared" si="227"/>
        <v>8</v>
      </c>
      <c r="AC453" s="175">
        <f t="shared" si="227"/>
        <v>9</v>
      </c>
      <c r="AD453" s="175">
        <f t="shared" si="227"/>
        <v>10</v>
      </c>
      <c r="AE453" s="175">
        <f t="shared" si="227"/>
        <v>11</v>
      </c>
      <c r="AF453" s="175">
        <f t="shared" si="227"/>
        <v>12</v>
      </c>
      <c r="AG453" s="175">
        <f t="shared" si="227"/>
        <v>13</v>
      </c>
      <c r="AH453" s="175">
        <f t="shared" si="227"/>
        <v>14</v>
      </c>
      <c r="AI453" s="175">
        <f t="shared" si="227"/>
        <v>15</v>
      </c>
      <c r="AJ453" s="175">
        <f t="shared" si="227"/>
        <v>16</v>
      </c>
      <c r="AK453" s="175">
        <f t="shared" si="227"/>
        <v>17</v>
      </c>
      <c r="AL453" s="175">
        <f t="shared" si="227"/>
        <v>18</v>
      </c>
      <c r="AM453" s="175">
        <f t="shared" si="227"/>
        <v>19</v>
      </c>
      <c r="AN453" s="175">
        <f t="shared" si="227"/>
        <v>20</v>
      </c>
      <c r="AO453" s="175">
        <f t="shared" si="227"/>
        <v>21</v>
      </c>
      <c r="AP453" s="175">
        <f t="shared" si="227"/>
        <v>22</v>
      </c>
      <c r="AQ453" s="175">
        <f t="shared" si="227"/>
        <v>23</v>
      </c>
      <c r="AR453" s="175">
        <f t="shared" si="227"/>
        <v>24</v>
      </c>
      <c r="AS453" s="175">
        <f t="shared" si="227"/>
        <v>25</v>
      </c>
      <c r="AT453" s="175">
        <f t="shared" si="227"/>
        <v>26</v>
      </c>
      <c r="AU453" s="175">
        <f t="shared" si="227"/>
        <v>27</v>
      </c>
      <c r="AV453" s="175"/>
      <c r="AW453" s="175"/>
      <c r="AX453" s="175"/>
      <c r="AY453" s="175"/>
    </row>
    <row r="454" spans="2:51" ht="15.75" customHeight="1">
      <c r="B454" s="214"/>
      <c r="C454" s="349"/>
      <c r="D454" s="234"/>
      <c r="E454" s="234"/>
      <c r="F454" s="234"/>
      <c r="G454" s="234"/>
      <c r="H454" s="234"/>
      <c r="I454" s="176"/>
      <c r="J454" s="176"/>
      <c r="K454" s="176"/>
      <c r="L454" s="176"/>
      <c r="M454" s="758"/>
      <c r="N454" s="758"/>
      <c r="O454" s="758">
        <f>O8</f>
        <v>0</v>
      </c>
      <c r="P454" s="758">
        <f>P8</f>
        <v>0</v>
      </c>
      <c r="Q454" s="758">
        <f>Q8</f>
        <v>0</v>
      </c>
      <c r="R454" s="758">
        <f>Q454+1</f>
        <v>1</v>
      </c>
      <c r="S454" s="758"/>
      <c r="T454" s="758"/>
      <c r="U454" s="758">
        <f>$U$8</f>
        <v>0</v>
      </c>
      <c r="V454" s="758">
        <f>R454+1</f>
        <v>2</v>
      </c>
      <c r="W454" s="758">
        <f>V454+1</f>
        <v>3</v>
      </c>
      <c r="X454" s="758">
        <f t="shared" si="227"/>
        <v>4</v>
      </c>
      <c r="Y454" s="758">
        <f t="shared" si="227"/>
        <v>5</v>
      </c>
      <c r="Z454" s="758">
        <f t="shared" si="227"/>
        <v>6</v>
      </c>
      <c r="AA454" s="758">
        <f t="shared" si="227"/>
        <v>7</v>
      </c>
      <c r="AB454" s="758">
        <f t="shared" si="227"/>
        <v>8</v>
      </c>
      <c r="AC454" s="758">
        <f t="shared" si="227"/>
        <v>9</v>
      </c>
      <c r="AD454" s="758">
        <f t="shared" si="227"/>
        <v>10</v>
      </c>
      <c r="AE454" s="758">
        <f t="shared" si="227"/>
        <v>11</v>
      </c>
      <c r="AF454" s="758">
        <f t="shared" si="227"/>
        <v>12</v>
      </c>
      <c r="AG454" s="758">
        <f t="shared" si="227"/>
        <v>13</v>
      </c>
      <c r="AH454" s="758">
        <f t="shared" si="227"/>
        <v>14</v>
      </c>
      <c r="AI454" s="758">
        <f t="shared" si="227"/>
        <v>15</v>
      </c>
      <c r="AJ454" s="758">
        <f t="shared" si="227"/>
        <v>16</v>
      </c>
      <c r="AK454" s="758">
        <f t="shared" si="227"/>
        <v>17</v>
      </c>
      <c r="AL454" s="758">
        <f t="shared" si="227"/>
        <v>18</v>
      </c>
      <c r="AM454" s="758">
        <f t="shared" si="227"/>
        <v>19</v>
      </c>
      <c r="AN454" s="758">
        <f t="shared" si="227"/>
        <v>20</v>
      </c>
      <c r="AO454" s="758">
        <f t="shared" si="227"/>
        <v>21</v>
      </c>
      <c r="AP454" s="758">
        <f t="shared" si="227"/>
        <v>22</v>
      </c>
      <c r="AQ454" s="758">
        <f t="shared" si="227"/>
        <v>23</v>
      </c>
      <c r="AR454" s="758">
        <f t="shared" si="227"/>
        <v>24</v>
      </c>
      <c r="AS454" s="758">
        <f t="shared" si="227"/>
        <v>25</v>
      </c>
      <c r="AT454" s="758">
        <f t="shared" si="227"/>
        <v>26</v>
      </c>
      <c r="AU454" s="758">
        <f t="shared" si="227"/>
        <v>27</v>
      </c>
      <c r="AV454" s="758"/>
      <c r="AW454" s="758"/>
      <c r="AX454" s="758"/>
      <c r="AY454" s="758"/>
    </row>
    <row r="455" spans="2:51" ht="15.75" customHeight="1">
      <c r="B455" s="214"/>
      <c r="C455" s="359"/>
      <c r="D455" s="260"/>
      <c r="E455" s="235"/>
      <c r="F455" s="235"/>
      <c r="G455" s="235"/>
      <c r="H455" s="235"/>
      <c r="I455" s="178"/>
      <c r="J455" s="178"/>
      <c r="K455" s="245"/>
      <c r="L455" s="245"/>
      <c r="M455" s="178" t="s">
        <v>499</v>
      </c>
      <c r="N455" s="178" t="s">
        <v>499</v>
      </c>
      <c r="O455" s="178" t="s">
        <v>499</v>
      </c>
      <c r="P455" s="178" t="str">
        <f t="shared" ref="P455:U455" si="228">O455</f>
        <v>($)</v>
      </c>
      <c r="Q455" s="178" t="str">
        <f t="shared" si="228"/>
        <v>($)</v>
      </c>
      <c r="R455" s="178" t="str">
        <f t="shared" si="228"/>
        <v>($)</v>
      </c>
      <c r="S455" s="178" t="str">
        <f t="shared" si="228"/>
        <v>($)</v>
      </c>
      <c r="T455" s="178" t="str">
        <f t="shared" si="228"/>
        <v>($)</v>
      </c>
      <c r="U455" s="178" t="str">
        <f t="shared" si="228"/>
        <v>($)</v>
      </c>
      <c r="V455" s="178" t="str">
        <f>R455</f>
        <v>($)</v>
      </c>
      <c r="W455" s="178" t="str">
        <f>V455</f>
        <v>($)</v>
      </c>
      <c r="X455" s="178" t="str">
        <f t="shared" ref="X455:AU455" si="229">W455</f>
        <v>($)</v>
      </c>
      <c r="Y455" s="178" t="str">
        <f t="shared" si="229"/>
        <v>($)</v>
      </c>
      <c r="Z455" s="178" t="str">
        <f t="shared" si="229"/>
        <v>($)</v>
      </c>
      <c r="AA455" s="178" t="str">
        <f t="shared" si="229"/>
        <v>($)</v>
      </c>
      <c r="AB455" s="178" t="str">
        <f t="shared" si="229"/>
        <v>($)</v>
      </c>
      <c r="AC455" s="178" t="str">
        <f t="shared" si="229"/>
        <v>($)</v>
      </c>
      <c r="AD455" s="178" t="str">
        <f t="shared" si="229"/>
        <v>($)</v>
      </c>
      <c r="AE455" s="178" t="str">
        <f t="shared" si="229"/>
        <v>($)</v>
      </c>
      <c r="AF455" s="178" t="str">
        <f t="shared" si="229"/>
        <v>($)</v>
      </c>
      <c r="AG455" s="178" t="str">
        <f t="shared" si="229"/>
        <v>($)</v>
      </c>
      <c r="AH455" s="178" t="str">
        <f t="shared" si="229"/>
        <v>($)</v>
      </c>
      <c r="AI455" s="178" t="str">
        <f t="shared" si="229"/>
        <v>($)</v>
      </c>
      <c r="AJ455" s="178" t="str">
        <f t="shared" si="229"/>
        <v>($)</v>
      </c>
      <c r="AK455" s="178" t="str">
        <f t="shared" si="229"/>
        <v>($)</v>
      </c>
      <c r="AL455" s="178" t="str">
        <f t="shared" si="229"/>
        <v>($)</v>
      </c>
      <c r="AM455" s="178" t="str">
        <f t="shared" si="229"/>
        <v>($)</v>
      </c>
      <c r="AN455" s="178" t="str">
        <f t="shared" si="229"/>
        <v>($)</v>
      </c>
      <c r="AO455" s="178" t="str">
        <f t="shared" si="229"/>
        <v>($)</v>
      </c>
      <c r="AP455" s="178" t="str">
        <f t="shared" si="229"/>
        <v>($)</v>
      </c>
      <c r="AQ455" s="178" t="str">
        <f t="shared" si="229"/>
        <v>($)</v>
      </c>
      <c r="AR455" s="178" t="str">
        <f t="shared" si="229"/>
        <v>($)</v>
      </c>
      <c r="AS455" s="178" t="str">
        <f t="shared" si="229"/>
        <v>($)</v>
      </c>
      <c r="AT455" s="178" t="str">
        <f t="shared" si="229"/>
        <v>($)</v>
      </c>
      <c r="AU455" s="178" t="str">
        <f t="shared" si="229"/>
        <v>($)</v>
      </c>
      <c r="AV455" s="178"/>
      <c r="AW455" s="178"/>
      <c r="AX455" s="178"/>
      <c r="AY455" s="178"/>
    </row>
    <row r="456" spans="2:51" ht="15.75" customHeight="1">
      <c r="B456" s="214"/>
      <c r="C456" s="242"/>
      <c r="D456" s="242"/>
      <c r="E456" s="276"/>
      <c r="F456" s="246"/>
      <c r="G456" s="246"/>
      <c r="H456" s="246"/>
      <c r="I456" s="242"/>
      <c r="J456" s="237"/>
      <c r="K456" s="247"/>
      <c r="L456" s="247"/>
      <c r="M456" s="185"/>
      <c r="U456" s="577">
        <f t="shared" si="193"/>
        <v>0</v>
      </c>
      <c r="X456" s="577"/>
      <c r="Y456" s="577"/>
      <c r="Z456" s="577"/>
      <c r="AA456" s="577"/>
      <c r="AB456" s="577"/>
      <c r="AC456" s="577"/>
      <c r="AD456" s="577"/>
      <c r="AE456" s="577"/>
      <c r="AF456" s="577"/>
      <c r="AG456" s="577"/>
      <c r="AH456" s="577"/>
      <c r="AI456" s="577"/>
      <c r="AJ456" s="577"/>
      <c r="AK456" s="577"/>
      <c r="AL456" s="577"/>
      <c r="AM456" s="577"/>
      <c r="AN456" s="577"/>
      <c r="AO456" s="577"/>
      <c r="AP456" s="577"/>
      <c r="AQ456" s="577"/>
      <c r="AR456" s="577"/>
      <c r="AS456" s="577"/>
      <c r="AT456" s="577"/>
      <c r="AU456" s="577"/>
      <c r="AV456" s="577"/>
      <c r="AW456" s="577"/>
      <c r="AX456" s="577"/>
      <c r="AY456" s="577"/>
    </row>
    <row r="457" spans="2:51" s="179" customFormat="1" ht="15.75" customHeight="1">
      <c r="B457" s="1232"/>
      <c r="C457" s="1233" t="s">
        <v>894</v>
      </c>
      <c r="D457" s="351"/>
      <c r="E457" s="1232"/>
      <c r="F457" s="1232"/>
      <c r="G457" s="1232"/>
      <c r="H457" s="1232"/>
      <c r="J457" s="1234"/>
      <c r="K457" s="1234"/>
      <c r="L457" s="1234"/>
      <c r="M457" s="1310"/>
      <c r="N457" s="1234"/>
      <c r="O457" s="1234"/>
      <c r="P457" s="1234"/>
      <c r="Q457" s="322"/>
      <c r="R457" s="322"/>
      <c r="S457" s="322"/>
      <c r="T457" s="322"/>
      <c r="U457" s="322">
        <f t="shared" si="193"/>
        <v>0</v>
      </c>
      <c r="V457" s="1234"/>
      <c r="W457" s="1234"/>
      <c r="X457" s="1234"/>
      <c r="Y457" s="1234"/>
      <c r="Z457" s="1234"/>
      <c r="AA457" s="1234"/>
      <c r="AB457" s="1234"/>
      <c r="AC457" s="1234"/>
      <c r="AD457" s="1234"/>
      <c r="AE457" s="1234"/>
      <c r="AF457" s="1234"/>
      <c r="AG457" s="1234"/>
      <c r="AH457" s="1234"/>
      <c r="AI457" s="1234"/>
      <c r="AJ457" s="1234"/>
      <c r="AK457" s="1234"/>
      <c r="AL457" s="1234"/>
      <c r="AM457" s="1234"/>
      <c r="AN457" s="1234"/>
      <c r="AO457" s="1234"/>
      <c r="AP457" s="1234"/>
      <c r="AQ457" s="1234"/>
      <c r="AR457" s="1234"/>
      <c r="AS457" s="1234"/>
      <c r="AT457" s="1234"/>
      <c r="AU457" s="1234"/>
      <c r="AV457" s="1234"/>
      <c r="AW457" s="1234"/>
      <c r="AX457" s="1234"/>
      <c r="AY457" s="1234"/>
    </row>
    <row r="458" spans="2:51" s="179" customFormat="1" ht="15.75" customHeight="1">
      <c r="B458" s="1232"/>
      <c r="C458" s="351" t="s">
        <v>1009</v>
      </c>
      <c r="D458" s="351"/>
      <c r="E458" s="1232"/>
      <c r="F458" s="1232"/>
      <c r="G458" s="1232"/>
      <c r="H458" s="1232"/>
      <c r="J458" s="1234"/>
      <c r="K458" s="1234"/>
      <c r="L458" s="1234"/>
      <c r="M458" s="322">
        <f>M545</f>
        <v>716619.65</v>
      </c>
      <c r="N458" s="322" t="e">
        <f>N545</f>
        <v>#REF!</v>
      </c>
      <c r="O458" s="322">
        <v>716619.65</v>
      </c>
      <c r="P458" s="322">
        <v>716619.65</v>
      </c>
      <c r="Q458" s="322">
        <f>Q545</f>
        <v>-193448016.69666666</v>
      </c>
      <c r="R458" s="322">
        <f>R545</f>
        <v>-476711921.74164701</v>
      </c>
      <c r="S458" s="322"/>
      <c r="T458" s="322">
        <f>T545</f>
        <v>-447274439.35240531</v>
      </c>
      <c r="U458" s="322">
        <f t="shared" si="193"/>
        <v>-447274439.35240531</v>
      </c>
      <c r="V458" s="322">
        <f t="shared" ref="V458:AU458" si="230">V545</f>
        <v>-322293759.77676958</v>
      </c>
      <c r="W458" s="322">
        <f t="shared" si="230"/>
        <v>-33715822.632798731</v>
      </c>
      <c r="X458" s="322">
        <f t="shared" si="230"/>
        <v>268594941.14125681</v>
      </c>
      <c r="Y458" s="322">
        <f t="shared" si="230"/>
        <v>570123829.24844444</v>
      </c>
      <c r="Z458" s="322">
        <f t="shared" si="230"/>
        <v>871599115.50487208</v>
      </c>
      <c r="AA458" s="322">
        <f t="shared" si="230"/>
        <v>1172996166.8920794</v>
      </c>
      <c r="AB458" s="322">
        <f t="shared" si="230"/>
        <v>1473789269.5710576</v>
      </c>
      <c r="AC458" s="322">
        <f t="shared" si="230"/>
        <v>1775897517.2121334</v>
      </c>
      <c r="AD458" s="322">
        <f t="shared" si="230"/>
        <v>2078067764.853209</v>
      </c>
      <c r="AE458" s="322">
        <f t="shared" si="230"/>
        <v>2372971443.7411346</v>
      </c>
      <c r="AF458" s="322">
        <f t="shared" si="230"/>
        <v>2662639486.4390602</v>
      </c>
      <c r="AG458" s="322">
        <f t="shared" si="230"/>
        <v>2952369529.1369858</v>
      </c>
      <c r="AH458" s="322">
        <f t="shared" si="230"/>
        <v>3242161571.8349113</v>
      </c>
      <c r="AI458" s="322">
        <f t="shared" si="230"/>
        <v>3532015614.5328369</v>
      </c>
      <c r="AJ458" s="322">
        <f t="shared" si="230"/>
        <v>3821931657.2307625</v>
      </c>
      <c r="AK458" s="322">
        <f t="shared" si="230"/>
        <v>4111909699.928688</v>
      </c>
      <c r="AL458" s="322">
        <f t="shared" si="230"/>
        <v>4401949742.6266136</v>
      </c>
      <c r="AM458" s="322">
        <f t="shared" si="230"/>
        <v>4691683635.9648857</v>
      </c>
      <c r="AN458" s="322">
        <f t="shared" si="230"/>
        <v>4981320984.5579805</v>
      </c>
      <c r="AO458" s="322">
        <f t="shared" si="230"/>
        <v>5271020333.1510754</v>
      </c>
      <c r="AP458" s="322">
        <f t="shared" si="230"/>
        <v>5560781681.7441702</v>
      </c>
      <c r="AQ458" s="322">
        <f t="shared" si="230"/>
        <v>5850605030.337265</v>
      </c>
      <c r="AR458" s="322">
        <f t="shared" si="230"/>
        <v>6139870378.9303598</v>
      </c>
      <c r="AS458" s="322">
        <f t="shared" si="230"/>
        <v>6429135727.5234547</v>
      </c>
      <c r="AT458" s="322">
        <f t="shared" si="230"/>
        <v>6718401076.1165495</v>
      </c>
      <c r="AU458" s="322">
        <f t="shared" si="230"/>
        <v>7010972377.8304348</v>
      </c>
      <c r="AV458" s="322"/>
      <c r="AW458" s="322"/>
      <c r="AX458" s="322"/>
      <c r="AY458" s="1235"/>
    </row>
    <row r="459" spans="2:51" s="179" customFormat="1" ht="15.75" customHeight="1">
      <c r="B459" s="1232"/>
      <c r="C459" s="351" t="s">
        <v>1010</v>
      </c>
      <c r="D459" s="351"/>
      <c r="E459" s="1232"/>
      <c r="F459" s="1232"/>
      <c r="G459" s="1232"/>
      <c r="H459" s="1232"/>
      <c r="J459" s="1234"/>
      <c r="K459" s="1234"/>
      <c r="L459" s="1234"/>
      <c r="M459" s="322">
        <f>SUM(M460:M461)</f>
        <v>209282.11999999918</v>
      </c>
      <c r="N459" s="322">
        <f>SUM(N460:N461)</f>
        <v>209282.11999999918</v>
      </c>
      <c r="O459" s="322">
        <f>SUM(O460:O461)</f>
        <v>209282.11999999918</v>
      </c>
      <c r="P459" s="322">
        <v>209282.11999999918</v>
      </c>
      <c r="Q459" s="322">
        <f>SUM(Q460:Q461)</f>
        <v>20777891.315384615</v>
      </c>
      <c r="R459" s="322">
        <f>SUM(R460:R461)</f>
        <v>41053101.326963291</v>
      </c>
      <c r="S459" s="322"/>
      <c r="T459" s="322">
        <f>SUM(T460:T461)</f>
        <v>30403145.356114462</v>
      </c>
      <c r="U459" s="322">
        <f t="shared" si="193"/>
        <v>30403145.356114462</v>
      </c>
      <c r="V459" s="322">
        <f t="shared" ref="V459:AU459" si="231">SUM(V460:V461)</f>
        <v>132805602.09820738</v>
      </c>
      <c r="W459" s="322">
        <f t="shared" si="231"/>
        <v>149946961.29974771</v>
      </c>
      <c r="X459" s="322">
        <f t="shared" si="231"/>
        <v>149946961.29974771</v>
      </c>
      <c r="Y459" s="322">
        <f t="shared" si="231"/>
        <v>149946961.29974771</v>
      </c>
      <c r="Z459" s="322">
        <f t="shared" si="231"/>
        <v>149946961.29974771</v>
      </c>
      <c r="AA459" s="322">
        <f t="shared" si="231"/>
        <v>149946961.29974771</v>
      </c>
      <c r="AB459" s="322">
        <f t="shared" si="231"/>
        <v>154506059.38263565</v>
      </c>
      <c r="AC459" s="322">
        <f t="shared" si="231"/>
        <v>157812012.50342605</v>
      </c>
      <c r="AD459" s="322">
        <f t="shared" si="231"/>
        <v>161117965.62421644</v>
      </c>
      <c r="AE459" s="322">
        <f t="shared" si="231"/>
        <v>164423918.74500686</v>
      </c>
      <c r="AF459" s="322">
        <f t="shared" si="231"/>
        <v>167729871.86579725</v>
      </c>
      <c r="AG459" s="322">
        <f t="shared" si="231"/>
        <v>171035824.98658764</v>
      </c>
      <c r="AH459" s="322">
        <f t="shared" si="231"/>
        <v>174341778.10737804</v>
      </c>
      <c r="AI459" s="322">
        <f t="shared" si="231"/>
        <v>177647731.22816843</v>
      </c>
      <c r="AJ459" s="322">
        <f t="shared" si="231"/>
        <v>180953684.34895882</v>
      </c>
      <c r="AK459" s="322">
        <f t="shared" si="231"/>
        <v>184259637.46974921</v>
      </c>
      <c r="AL459" s="322">
        <f t="shared" si="231"/>
        <v>187565590.5905396</v>
      </c>
      <c r="AM459" s="322">
        <f t="shared" si="231"/>
        <v>190871543.71133</v>
      </c>
      <c r="AN459" s="322">
        <f t="shared" si="231"/>
        <v>194177496.83212039</v>
      </c>
      <c r="AO459" s="322">
        <f t="shared" si="231"/>
        <v>197483449.95291078</v>
      </c>
      <c r="AP459" s="322">
        <f t="shared" si="231"/>
        <v>200789403.07370117</v>
      </c>
      <c r="AQ459" s="322">
        <f t="shared" si="231"/>
        <v>204095356.19449157</v>
      </c>
      <c r="AR459" s="322">
        <f t="shared" si="231"/>
        <v>207401309.31528196</v>
      </c>
      <c r="AS459" s="322">
        <f t="shared" si="231"/>
        <v>210707262.43607235</v>
      </c>
      <c r="AT459" s="322">
        <f t="shared" si="231"/>
        <v>214013215.55686274</v>
      </c>
      <c r="AU459" s="322">
        <f t="shared" si="231"/>
        <v>214013215.55686274</v>
      </c>
      <c r="AV459" s="322"/>
      <c r="AW459" s="322"/>
      <c r="AX459" s="322"/>
      <c r="AY459" s="1234"/>
    </row>
    <row r="460" spans="2:51" s="179" customFormat="1" ht="15.75" customHeight="1">
      <c r="B460" s="1232"/>
      <c r="C460" s="919" t="s">
        <v>1011</v>
      </c>
      <c r="D460" s="351"/>
      <c r="E460" s="1232"/>
      <c r="F460" s="1232"/>
      <c r="G460" s="1232"/>
      <c r="H460" s="1232"/>
      <c r="J460" s="1234"/>
      <c r="K460" s="1234"/>
      <c r="L460" s="1234"/>
      <c r="M460" s="322">
        <f>M589</f>
        <v>0</v>
      </c>
      <c r="N460" s="322">
        <f>N589</f>
        <v>0</v>
      </c>
      <c r="O460" s="322">
        <f>O589</f>
        <v>0</v>
      </c>
      <c r="P460" s="322">
        <v>0</v>
      </c>
      <c r="Q460" s="322">
        <f>Q589</f>
        <v>0</v>
      </c>
      <c r="R460" s="322">
        <f>R589</f>
        <v>19237794.598147023</v>
      </c>
      <c r="S460" s="322"/>
      <c r="T460" s="322">
        <f>T589</f>
        <v>21666372.178580251</v>
      </c>
      <c r="U460" s="322">
        <f t="shared" ref="U460:U523" si="232">T460</f>
        <v>21666372.178580251</v>
      </c>
      <c r="V460" s="322">
        <f t="shared" ref="V460:AU460" si="233">V589</f>
        <v>110990295.36939111</v>
      </c>
      <c r="W460" s="322">
        <f t="shared" si="233"/>
        <v>128131654.57093145</v>
      </c>
      <c r="X460" s="322">
        <f t="shared" si="233"/>
        <v>128131654.57093145</v>
      </c>
      <c r="Y460" s="322">
        <f t="shared" si="233"/>
        <v>128131654.57093145</v>
      </c>
      <c r="Z460" s="322">
        <f t="shared" si="233"/>
        <v>128131654.57093145</v>
      </c>
      <c r="AA460" s="322">
        <f t="shared" si="233"/>
        <v>128131654.57093145</v>
      </c>
      <c r="AB460" s="322">
        <f t="shared" si="233"/>
        <v>129384799.533029</v>
      </c>
      <c r="AC460" s="322">
        <f t="shared" si="233"/>
        <v>129384799.533029</v>
      </c>
      <c r="AD460" s="322">
        <f t="shared" si="233"/>
        <v>129384799.533029</v>
      </c>
      <c r="AE460" s="322">
        <f t="shared" si="233"/>
        <v>129384799.533029</v>
      </c>
      <c r="AF460" s="322">
        <f t="shared" si="233"/>
        <v>129384799.533029</v>
      </c>
      <c r="AG460" s="322">
        <f t="shared" si="233"/>
        <v>129384799.533029</v>
      </c>
      <c r="AH460" s="322">
        <f t="shared" si="233"/>
        <v>129384799.533029</v>
      </c>
      <c r="AI460" s="322">
        <f t="shared" si="233"/>
        <v>129384799.533029</v>
      </c>
      <c r="AJ460" s="322">
        <f t="shared" si="233"/>
        <v>129384799.533029</v>
      </c>
      <c r="AK460" s="322">
        <f t="shared" si="233"/>
        <v>129384799.533029</v>
      </c>
      <c r="AL460" s="322">
        <f t="shared" si="233"/>
        <v>129384799.533029</v>
      </c>
      <c r="AM460" s="322">
        <f t="shared" si="233"/>
        <v>129384799.533029</v>
      </c>
      <c r="AN460" s="322">
        <f t="shared" si="233"/>
        <v>129384799.533029</v>
      </c>
      <c r="AO460" s="322">
        <f t="shared" si="233"/>
        <v>129384799.533029</v>
      </c>
      <c r="AP460" s="322">
        <f t="shared" si="233"/>
        <v>129384799.533029</v>
      </c>
      <c r="AQ460" s="322">
        <f t="shared" si="233"/>
        <v>129384799.533029</v>
      </c>
      <c r="AR460" s="322">
        <f t="shared" si="233"/>
        <v>129384799.533029</v>
      </c>
      <c r="AS460" s="322">
        <f t="shared" si="233"/>
        <v>129384799.533029</v>
      </c>
      <c r="AT460" s="322">
        <f t="shared" si="233"/>
        <v>129384799.533029</v>
      </c>
      <c r="AU460" s="322">
        <f t="shared" si="233"/>
        <v>129384799.533029</v>
      </c>
      <c r="AV460" s="322"/>
      <c r="AW460" s="322"/>
      <c r="AX460" s="322"/>
      <c r="AY460" s="1234"/>
    </row>
    <row r="461" spans="2:51" s="179" customFormat="1" ht="15.75" customHeight="1">
      <c r="B461" s="1232"/>
      <c r="C461" s="919" t="s">
        <v>1012</v>
      </c>
      <c r="D461" s="351"/>
      <c r="E461" s="1232"/>
      <c r="F461" s="1232"/>
      <c r="G461" s="1232"/>
      <c r="H461" s="1232"/>
      <c r="J461" s="1234"/>
      <c r="K461" s="1234"/>
      <c r="L461" s="1234"/>
      <c r="M461" s="322">
        <v>209282.11999999918</v>
      </c>
      <c r="N461" s="322">
        <f>M461</f>
        <v>209282.11999999918</v>
      </c>
      <c r="O461" s="322">
        <f>N461</f>
        <v>209282.11999999918</v>
      </c>
      <c r="P461" s="322">
        <v>209282.11999999918</v>
      </c>
      <c r="Q461" s="322">
        <f>Q592+Q591</f>
        <v>20777891.315384615</v>
      </c>
      <c r="R461" s="322">
        <f>R592+R591</f>
        <v>21815306.728816263</v>
      </c>
      <c r="S461" s="322"/>
      <c r="T461" s="322">
        <f>T592+T591</f>
        <v>8736773.1775342096</v>
      </c>
      <c r="U461" s="322">
        <f t="shared" si="232"/>
        <v>8736773.1775342096</v>
      </c>
      <c r="V461" s="322">
        <f t="shared" ref="V461:AU461" si="234">V592+V591</f>
        <v>21815306.728816263</v>
      </c>
      <c r="W461" s="322">
        <f t="shared" si="234"/>
        <v>21815306.728816263</v>
      </c>
      <c r="X461" s="322">
        <f t="shared" si="234"/>
        <v>21815306.728816263</v>
      </c>
      <c r="Y461" s="322">
        <f t="shared" si="234"/>
        <v>21815306.728816263</v>
      </c>
      <c r="Z461" s="322">
        <f t="shared" si="234"/>
        <v>21815306.728816263</v>
      </c>
      <c r="AA461" s="322">
        <f t="shared" si="234"/>
        <v>21815306.728816263</v>
      </c>
      <c r="AB461" s="322">
        <f t="shared" si="234"/>
        <v>25121259.849606656</v>
      </c>
      <c r="AC461" s="322">
        <f t="shared" si="234"/>
        <v>28427212.970397051</v>
      </c>
      <c r="AD461" s="322">
        <f t="shared" si="234"/>
        <v>31733166.091187447</v>
      </c>
      <c r="AE461" s="322">
        <f t="shared" si="234"/>
        <v>35039119.211977839</v>
      </c>
      <c r="AF461" s="322">
        <f t="shared" si="234"/>
        <v>38345072.332768239</v>
      </c>
      <c r="AG461" s="322">
        <f t="shared" si="234"/>
        <v>41651025.453558639</v>
      </c>
      <c r="AH461" s="322">
        <f t="shared" si="234"/>
        <v>44956978.574349031</v>
      </c>
      <c r="AI461" s="322">
        <f t="shared" si="234"/>
        <v>48262931.695139423</v>
      </c>
      <c r="AJ461" s="322">
        <f t="shared" si="234"/>
        <v>51568884.815929815</v>
      </c>
      <c r="AK461" s="322">
        <f t="shared" si="234"/>
        <v>54874837.936720207</v>
      </c>
      <c r="AL461" s="322">
        <f t="shared" si="234"/>
        <v>58180791.057510599</v>
      </c>
      <c r="AM461" s="322">
        <f t="shared" si="234"/>
        <v>61486744.178300992</v>
      </c>
      <c r="AN461" s="322">
        <f t="shared" si="234"/>
        <v>64792697.299091384</v>
      </c>
      <c r="AO461" s="322">
        <f t="shared" si="234"/>
        <v>68098650.419881776</v>
      </c>
      <c r="AP461" s="322">
        <f t="shared" si="234"/>
        <v>71404603.540672168</v>
      </c>
      <c r="AQ461" s="322">
        <f t="shared" si="234"/>
        <v>74710556.66146256</v>
      </c>
      <c r="AR461" s="322">
        <f t="shared" si="234"/>
        <v>78016509.782252952</v>
      </c>
      <c r="AS461" s="322">
        <f t="shared" si="234"/>
        <v>81322462.903043345</v>
      </c>
      <c r="AT461" s="322">
        <f t="shared" si="234"/>
        <v>84628416.023833737</v>
      </c>
      <c r="AU461" s="322">
        <f t="shared" si="234"/>
        <v>84628416.023833737</v>
      </c>
      <c r="AV461" s="322"/>
      <c r="AW461" s="322"/>
      <c r="AX461" s="322"/>
      <c r="AY461" s="1234"/>
    </row>
    <row r="462" spans="2:51" s="179" customFormat="1" ht="15.75" customHeight="1">
      <c r="B462" s="1232"/>
      <c r="C462" s="351" t="s">
        <v>1013</v>
      </c>
      <c r="D462" s="351"/>
      <c r="E462" s="1232"/>
      <c r="F462" s="1232"/>
      <c r="G462" s="1232"/>
      <c r="H462" s="1232"/>
      <c r="J462" s="1234"/>
      <c r="K462" s="1234"/>
      <c r="L462" s="1234"/>
      <c r="M462" s="322">
        <f>M590</f>
        <v>0</v>
      </c>
      <c r="N462" s="322">
        <f>N590</f>
        <v>0</v>
      </c>
      <c r="O462" s="322">
        <f>O590</f>
        <v>0</v>
      </c>
      <c r="P462" s="322">
        <v>0</v>
      </c>
      <c r="Q462" s="322">
        <f>Q590</f>
        <v>1091974.4692307692</v>
      </c>
      <c r="R462" s="322">
        <f>R590</f>
        <v>33937135.168352701</v>
      </c>
      <c r="S462" s="322"/>
      <c r="T462" s="322">
        <f>T590</f>
        <v>33937135.168352701</v>
      </c>
      <c r="U462" s="322">
        <f t="shared" si="232"/>
        <v>33937135.168352701</v>
      </c>
      <c r="V462" s="322">
        <f t="shared" ref="V462:AU462" si="235">V590</f>
        <v>34706060.874143437</v>
      </c>
      <c r="W462" s="322">
        <f t="shared" si="235"/>
        <v>34745078.920285687</v>
      </c>
      <c r="X462" s="322">
        <f t="shared" si="235"/>
        <v>34745078.920285687</v>
      </c>
      <c r="Y462" s="322">
        <f t="shared" si="235"/>
        <v>34745078.920285687</v>
      </c>
      <c r="Z462" s="322">
        <f t="shared" si="235"/>
        <v>34745078.920285687</v>
      </c>
      <c r="AA462" s="322">
        <f t="shared" si="235"/>
        <v>34745078.920285687</v>
      </c>
      <c r="AB462" s="322">
        <f t="shared" si="235"/>
        <v>34745078.920285687</v>
      </c>
      <c r="AC462" s="322">
        <f t="shared" si="235"/>
        <v>34745078.920285687</v>
      </c>
      <c r="AD462" s="322">
        <f t="shared" si="235"/>
        <v>34745078.920285687</v>
      </c>
      <c r="AE462" s="322">
        <f t="shared" si="235"/>
        <v>34745078.920285687</v>
      </c>
      <c r="AF462" s="322">
        <f t="shared" si="235"/>
        <v>34745078.920285687</v>
      </c>
      <c r="AG462" s="322">
        <f t="shared" si="235"/>
        <v>34745078.920285687</v>
      </c>
      <c r="AH462" s="322">
        <f t="shared" si="235"/>
        <v>34745078.920285687</v>
      </c>
      <c r="AI462" s="322">
        <f t="shared" si="235"/>
        <v>34745078.920285687</v>
      </c>
      <c r="AJ462" s="322">
        <f t="shared" si="235"/>
        <v>34745078.920285687</v>
      </c>
      <c r="AK462" s="322">
        <f t="shared" si="235"/>
        <v>34745078.920285687</v>
      </c>
      <c r="AL462" s="322">
        <f t="shared" si="235"/>
        <v>34745078.920285687</v>
      </c>
      <c r="AM462" s="322">
        <f t="shared" si="235"/>
        <v>34745078.920285687</v>
      </c>
      <c r="AN462" s="322">
        <f t="shared" si="235"/>
        <v>34745078.920285687</v>
      </c>
      <c r="AO462" s="322">
        <f t="shared" si="235"/>
        <v>34745078.920285687</v>
      </c>
      <c r="AP462" s="322">
        <f t="shared" si="235"/>
        <v>34745078.920285687</v>
      </c>
      <c r="AQ462" s="322">
        <f t="shared" si="235"/>
        <v>34745078.920285687</v>
      </c>
      <c r="AR462" s="322">
        <f t="shared" si="235"/>
        <v>34745078.920285687</v>
      </c>
      <c r="AS462" s="322">
        <f t="shared" si="235"/>
        <v>34745078.920285687</v>
      </c>
      <c r="AT462" s="322">
        <f t="shared" si="235"/>
        <v>34745078.920285687</v>
      </c>
      <c r="AU462" s="322">
        <f t="shared" si="235"/>
        <v>34745078.920285687</v>
      </c>
      <c r="AV462" s="322"/>
      <c r="AW462" s="322"/>
      <c r="AX462" s="322"/>
      <c r="AY462" s="1234"/>
    </row>
    <row r="463" spans="2:51" s="179" customFormat="1" ht="15.75" customHeight="1">
      <c r="B463" s="1232"/>
      <c r="C463" s="351" t="s">
        <v>898</v>
      </c>
      <c r="D463" s="351"/>
      <c r="E463" s="1232"/>
      <c r="F463" s="1232"/>
      <c r="G463" s="1232"/>
      <c r="H463" s="1232"/>
      <c r="J463" s="1234"/>
      <c r="K463" s="1234"/>
      <c r="L463" s="1234"/>
      <c r="M463" s="322">
        <f t="shared" ref="M463:R463" si="236">SUM(M458:M459,M462)</f>
        <v>925901.7699999992</v>
      </c>
      <c r="N463" s="322" t="e">
        <f t="shared" si="236"/>
        <v>#REF!</v>
      </c>
      <c r="O463" s="322">
        <f t="shared" si="236"/>
        <v>925901.7699999992</v>
      </c>
      <c r="P463" s="322">
        <f t="shared" si="236"/>
        <v>925901.7699999992</v>
      </c>
      <c r="Q463" s="322">
        <f t="shared" si="236"/>
        <v>-171578150.91205126</v>
      </c>
      <c r="R463" s="322">
        <f t="shared" si="236"/>
        <v>-401721685.24633098</v>
      </c>
      <c r="S463" s="322"/>
      <c r="T463" s="322">
        <f>SUM(T458:T459,T462)</f>
        <v>-382934158.82793814</v>
      </c>
      <c r="U463" s="322">
        <f t="shared" si="232"/>
        <v>-382934158.82793814</v>
      </c>
      <c r="V463" s="322">
        <f t="shared" ref="V463:AU463" si="237">SUM(V458:V459,V462)</f>
        <v>-154782096.80441874</v>
      </c>
      <c r="W463" s="322">
        <f t="shared" si="237"/>
        <v>150976217.58723468</v>
      </c>
      <c r="X463" s="322">
        <f t="shared" si="237"/>
        <v>453286981.36129022</v>
      </c>
      <c r="Y463" s="322">
        <f t="shared" si="237"/>
        <v>754815869.46847785</v>
      </c>
      <c r="Z463" s="322">
        <f t="shared" si="237"/>
        <v>1056291155.7249055</v>
      </c>
      <c r="AA463" s="322">
        <f t="shared" si="237"/>
        <v>1357688207.1121128</v>
      </c>
      <c r="AB463" s="322">
        <f t="shared" si="237"/>
        <v>1663040407.8739789</v>
      </c>
      <c r="AC463" s="322">
        <f t="shared" si="237"/>
        <v>1968454608.6358452</v>
      </c>
      <c r="AD463" s="322">
        <f t="shared" si="237"/>
        <v>2273930809.3977113</v>
      </c>
      <c r="AE463" s="322">
        <f t="shared" si="237"/>
        <v>2572140441.4064274</v>
      </c>
      <c r="AF463" s="322">
        <f t="shared" si="237"/>
        <v>2865114437.225143</v>
      </c>
      <c r="AG463" s="322">
        <f t="shared" si="237"/>
        <v>3158150433.043859</v>
      </c>
      <c r="AH463" s="322">
        <f t="shared" si="237"/>
        <v>3451248428.8625751</v>
      </c>
      <c r="AI463" s="322">
        <f t="shared" si="237"/>
        <v>3744408424.6812911</v>
      </c>
      <c r="AJ463" s="322">
        <f t="shared" si="237"/>
        <v>4037630420.5000072</v>
      </c>
      <c r="AK463" s="322">
        <f t="shared" si="237"/>
        <v>4330914416.3187227</v>
      </c>
      <c r="AL463" s="322">
        <f t="shared" si="237"/>
        <v>4624260412.1374388</v>
      </c>
      <c r="AM463" s="322">
        <f t="shared" si="237"/>
        <v>4917300258.5965014</v>
      </c>
      <c r="AN463" s="322">
        <f t="shared" si="237"/>
        <v>5210243560.3103857</v>
      </c>
      <c r="AO463" s="322">
        <f t="shared" si="237"/>
        <v>5503248862.024271</v>
      </c>
      <c r="AP463" s="322">
        <f t="shared" si="237"/>
        <v>5796316163.7381563</v>
      </c>
      <c r="AQ463" s="322">
        <f t="shared" si="237"/>
        <v>6089445465.4520416</v>
      </c>
      <c r="AR463" s="322">
        <f t="shared" si="237"/>
        <v>6382016767.1659269</v>
      </c>
      <c r="AS463" s="322">
        <f t="shared" si="237"/>
        <v>6674588068.8798122</v>
      </c>
      <c r="AT463" s="322">
        <f t="shared" si="237"/>
        <v>6967159370.5936975</v>
      </c>
      <c r="AU463" s="322">
        <f t="shared" si="237"/>
        <v>7259730672.3075829</v>
      </c>
      <c r="AV463" s="322"/>
      <c r="AW463" s="322"/>
      <c r="AX463" s="322"/>
      <c r="AY463" s="1234"/>
    </row>
    <row r="464" spans="2:51" s="179" customFormat="1" ht="15.75" customHeight="1">
      <c r="B464" s="1232"/>
      <c r="C464" s="406"/>
      <c r="D464" s="351"/>
      <c r="E464" s="1232"/>
      <c r="F464" s="1232"/>
      <c r="G464" s="1232"/>
      <c r="H464" s="1232"/>
      <c r="J464" s="1234"/>
      <c r="K464" s="1234"/>
      <c r="L464" s="1234"/>
      <c r="M464" s="322"/>
      <c r="N464" s="322"/>
      <c r="O464" s="322"/>
      <c r="P464" s="322"/>
      <c r="Q464" s="322"/>
      <c r="R464" s="322"/>
      <c r="S464" s="322"/>
      <c r="T464" s="322"/>
      <c r="U464" s="322">
        <f t="shared" si="232"/>
        <v>0</v>
      </c>
      <c r="V464" s="322"/>
      <c r="W464" s="322"/>
      <c r="X464" s="322"/>
      <c r="Y464" s="322"/>
      <c r="Z464" s="322"/>
      <c r="AA464" s="322"/>
      <c r="AB464" s="322"/>
      <c r="AC464" s="322"/>
      <c r="AD464" s="322"/>
      <c r="AE464" s="322"/>
      <c r="AF464" s="322"/>
      <c r="AG464" s="322"/>
      <c r="AH464" s="322"/>
      <c r="AI464" s="322"/>
      <c r="AJ464" s="322"/>
      <c r="AK464" s="322"/>
      <c r="AL464" s="322"/>
      <c r="AM464" s="322"/>
      <c r="AN464" s="322"/>
      <c r="AO464" s="322"/>
      <c r="AP464" s="322"/>
      <c r="AQ464" s="322"/>
      <c r="AR464" s="322"/>
      <c r="AS464" s="322"/>
      <c r="AT464" s="322"/>
      <c r="AU464" s="322"/>
      <c r="AV464" s="322"/>
      <c r="AW464" s="322"/>
      <c r="AX464" s="322"/>
      <c r="AY464" s="1234"/>
    </row>
    <row r="465" spans="2:51" s="179" customFormat="1" ht="15.75" customHeight="1">
      <c r="B465" s="1232"/>
      <c r="C465" s="406" t="s">
        <v>1014</v>
      </c>
      <c r="D465" s="351"/>
      <c r="E465" s="1232"/>
      <c r="F465" s="1232"/>
      <c r="G465" s="1232"/>
      <c r="H465" s="1232"/>
      <c r="J465" s="1234"/>
      <c r="K465" s="1234"/>
      <c r="L465" s="1234"/>
      <c r="M465" s="322">
        <v>-121166636.42999999</v>
      </c>
      <c r="N465" s="322">
        <f t="shared" ref="N465:O468" si="238">M465</f>
        <v>-121166636.42999999</v>
      </c>
      <c r="O465" s="322">
        <f t="shared" si="238"/>
        <v>-121166636.42999999</v>
      </c>
      <c r="P465" s="322">
        <v>-121166636.42999999</v>
      </c>
      <c r="Q465" s="322">
        <f t="shared" ref="Q465:AU465" si="239">P465</f>
        <v>-121166636.42999999</v>
      </c>
      <c r="R465" s="322">
        <f t="shared" si="239"/>
        <v>-121166636.42999999</v>
      </c>
      <c r="S465" s="322"/>
      <c r="T465" s="322">
        <f t="shared" si="239"/>
        <v>0</v>
      </c>
      <c r="U465" s="322">
        <f t="shared" si="232"/>
        <v>0</v>
      </c>
      <c r="V465" s="322">
        <f>R465</f>
        <v>-121166636.42999999</v>
      </c>
      <c r="W465" s="322">
        <f t="shared" si="239"/>
        <v>-121166636.42999999</v>
      </c>
      <c r="X465" s="322">
        <f t="shared" si="239"/>
        <v>-121166636.42999999</v>
      </c>
      <c r="Y465" s="322">
        <f t="shared" si="239"/>
        <v>-121166636.42999999</v>
      </c>
      <c r="Z465" s="322">
        <f t="shared" si="239"/>
        <v>-121166636.42999999</v>
      </c>
      <c r="AA465" s="322">
        <f t="shared" si="239"/>
        <v>-121166636.42999999</v>
      </c>
      <c r="AB465" s="322">
        <f t="shared" si="239"/>
        <v>-121166636.42999999</v>
      </c>
      <c r="AC465" s="322">
        <f t="shared" si="239"/>
        <v>-121166636.42999999</v>
      </c>
      <c r="AD465" s="322">
        <f t="shared" si="239"/>
        <v>-121166636.42999999</v>
      </c>
      <c r="AE465" s="322">
        <f t="shared" si="239"/>
        <v>-121166636.42999999</v>
      </c>
      <c r="AF465" s="322">
        <f t="shared" si="239"/>
        <v>-121166636.42999999</v>
      </c>
      <c r="AG465" s="322">
        <f t="shared" si="239"/>
        <v>-121166636.42999999</v>
      </c>
      <c r="AH465" s="322">
        <f t="shared" si="239"/>
        <v>-121166636.42999999</v>
      </c>
      <c r="AI465" s="322">
        <f t="shared" si="239"/>
        <v>-121166636.42999999</v>
      </c>
      <c r="AJ465" s="322">
        <f t="shared" si="239"/>
        <v>-121166636.42999999</v>
      </c>
      <c r="AK465" s="322">
        <f t="shared" si="239"/>
        <v>-121166636.42999999</v>
      </c>
      <c r="AL465" s="322">
        <f t="shared" si="239"/>
        <v>-121166636.42999999</v>
      </c>
      <c r="AM465" s="322">
        <f t="shared" si="239"/>
        <v>-121166636.42999999</v>
      </c>
      <c r="AN465" s="322">
        <f t="shared" si="239"/>
        <v>-121166636.42999999</v>
      </c>
      <c r="AO465" s="322">
        <f t="shared" si="239"/>
        <v>-121166636.42999999</v>
      </c>
      <c r="AP465" s="322">
        <f t="shared" si="239"/>
        <v>-121166636.42999999</v>
      </c>
      <c r="AQ465" s="322">
        <f t="shared" si="239"/>
        <v>-121166636.42999999</v>
      </c>
      <c r="AR465" s="322">
        <f t="shared" si="239"/>
        <v>-121166636.42999999</v>
      </c>
      <c r="AS465" s="322">
        <f t="shared" si="239"/>
        <v>-121166636.42999999</v>
      </c>
      <c r="AT465" s="322">
        <f t="shared" si="239"/>
        <v>-121166636.42999999</v>
      </c>
      <c r="AU465" s="322">
        <f t="shared" si="239"/>
        <v>-121166636.42999999</v>
      </c>
      <c r="AV465" s="322"/>
      <c r="AW465" s="322"/>
      <c r="AX465" s="322"/>
      <c r="AY465" s="1234"/>
    </row>
    <row r="466" spans="2:51" s="179" customFormat="1" ht="15.75" customHeight="1">
      <c r="B466" s="1232"/>
      <c r="C466" s="406" t="s">
        <v>1015</v>
      </c>
      <c r="D466" s="351"/>
      <c r="E466" s="1232"/>
      <c r="F466" s="1232"/>
      <c r="G466" s="1232"/>
      <c r="H466" s="1232"/>
      <c r="J466" s="1234"/>
      <c r="K466" s="1234"/>
      <c r="L466" s="1234"/>
      <c r="M466" s="322">
        <v>-5.1222741603851318E-9</v>
      </c>
      <c r="N466" s="322">
        <f t="shared" si="238"/>
        <v>-5.1222741603851318E-9</v>
      </c>
      <c r="O466" s="322">
        <f t="shared" si="238"/>
        <v>-5.1222741603851318E-9</v>
      </c>
      <c r="P466" s="322">
        <v>-5.1222741603851318E-9</v>
      </c>
      <c r="Q466" s="322">
        <v>0</v>
      </c>
      <c r="R466" s="322">
        <v>0</v>
      </c>
      <c r="S466" s="322"/>
      <c r="T466" s="322">
        <v>0</v>
      </c>
      <c r="U466" s="322">
        <f t="shared" si="232"/>
        <v>0</v>
      </c>
      <c r="V466" s="322">
        <v>0</v>
      </c>
      <c r="W466" s="322">
        <v>0</v>
      </c>
      <c r="X466" s="322">
        <v>0</v>
      </c>
      <c r="Y466" s="322">
        <v>0</v>
      </c>
      <c r="Z466" s="322">
        <v>0</v>
      </c>
      <c r="AA466" s="322">
        <v>0</v>
      </c>
      <c r="AB466" s="322">
        <v>0</v>
      </c>
      <c r="AC466" s="322">
        <v>0</v>
      </c>
      <c r="AD466" s="322">
        <v>0</v>
      </c>
      <c r="AE466" s="322">
        <v>0</v>
      </c>
      <c r="AF466" s="322">
        <v>0</v>
      </c>
      <c r="AG466" s="322">
        <v>0</v>
      </c>
      <c r="AH466" s="322">
        <v>0</v>
      </c>
      <c r="AI466" s="322">
        <v>0</v>
      </c>
      <c r="AJ466" s="322">
        <v>0</v>
      </c>
      <c r="AK466" s="322">
        <v>0</v>
      </c>
      <c r="AL466" s="322">
        <v>0</v>
      </c>
      <c r="AM466" s="322">
        <v>0</v>
      </c>
      <c r="AN466" s="322">
        <v>0</v>
      </c>
      <c r="AO466" s="322">
        <v>0</v>
      </c>
      <c r="AP466" s="322">
        <v>0</v>
      </c>
      <c r="AQ466" s="322">
        <v>0</v>
      </c>
      <c r="AR466" s="322">
        <v>0</v>
      </c>
      <c r="AS466" s="322">
        <v>0</v>
      </c>
      <c r="AT466" s="322">
        <v>0</v>
      </c>
      <c r="AU466" s="322">
        <v>0</v>
      </c>
      <c r="AV466" s="322"/>
      <c r="AW466" s="322"/>
      <c r="AX466" s="322"/>
      <c r="AY466" s="1234"/>
    </row>
    <row r="467" spans="2:51" s="179" customFormat="1" ht="15.75" customHeight="1">
      <c r="B467" s="1232"/>
      <c r="C467" s="406" t="s">
        <v>1016</v>
      </c>
      <c r="D467" s="351"/>
      <c r="E467" s="1232"/>
      <c r="F467" s="1232"/>
      <c r="G467" s="1232"/>
      <c r="H467" s="1232"/>
      <c r="J467" s="1234"/>
      <c r="K467" s="1234"/>
      <c r="L467" s="1234"/>
      <c r="M467" s="322">
        <v>189422.14</v>
      </c>
      <c r="N467" s="322">
        <f t="shared" si="238"/>
        <v>189422.14</v>
      </c>
      <c r="O467" s="322">
        <f t="shared" si="238"/>
        <v>189422.14</v>
      </c>
      <c r="P467" s="322">
        <v>189422.14</v>
      </c>
      <c r="Q467" s="322">
        <f t="shared" ref="Q467:AU467" si="240">P467</f>
        <v>189422.14</v>
      </c>
      <c r="R467" s="322">
        <f t="shared" si="240"/>
        <v>189422.14</v>
      </c>
      <c r="S467" s="322"/>
      <c r="T467" s="322">
        <f t="shared" si="240"/>
        <v>0</v>
      </c>
      <c r="U467" s="322">
        <f t="shared" si="232"/>
        <v>0</v>
      </c>
      <c r="V467" s="322">
        <f>R467</f>
        <v>189422.14</v>
      </c>
      <c r="W467" s="322">
        <f t="shared" si="240"/>
        <v>189422.14</v>
      </c>
      <c r="X467" s="322">
        <f t="shared" si="240"/>
        <v>189422.14</v>
      </c>
      <c r="Y467" s="322">
        <f t="shared" si="240"/>
        <v>189422.14</v>
      </c>
      <c r="Z467" s="322">
        <f t="shared" si="240"/>
        <v>189422.14</v>
      </c>
      <c r="AA467" s="322">
        <f t="shared" si="240"/>
        <v>189422.14</v>
      </c>
      <c r="AB467" s="322">
        <f t="shared" si="240"/>
        <v>189422.14</v>
      </c>
      <c r="AC467" s="322">
        <f t="shared" si="240"/>
        <v>189422.14</v>
      </c>
      <c r="AD467" s="322">
        <f t="shared" si="240"/>
        <v>189422.14</v>
      </c>
      <c r="AE467" s="322">
        <f t="shared" si="240"/>
        <v>189422.14</v>
      </c>
      <c r="AF467" s="322">
        <f t="shared" si="240"/>
        <v>189422.14</v>
      </c>
      <c r="AG467" s="322">
        <f t="shared" si="240"/>
        <v>189422.14</v>
      </c>
      <c r="AH467" s="322">
        <f t="shared" si="240"/>
        <v>189422.14</v>
      </c>
      <c r="AI467" s="322">
        <f t="shared" si="240"/>
        <v>189422.14</v>
      </c>
      <c r="AJ467" s="322">
        <f t="shared" si="240"/>
        <v>189422.14</v>
      </c>
      <c r="AK467" s="322">
        <f t="shared" si="240"/>
        <v>189422.14</v>
      </c>
      <c r="AL467" s="322">
        <f t="shared" si="240"/>
        <v>189422.14</v>
      </c>
      <c r="AM467" s="322">
        <f t="shared" si="240"/>
        <v>189422.14</v>
      </c>
      <c r="AN467" s="322">
        <f t="shared" si="240"/>
        <v>189422.14</v>
      </c>
      <c r="AO467" s="322">
        <f t="shared" si="240"/>
        <v>189422.14</v>
      </c>
      <c r="AP467" s="322">
        <f t="shared" si="240"/>
        <v>189422.14</v>
      </c>
      <c r="AQ467" s="322">
        <f t="shared" si="240"/>
        <v>189422.14</v>
      </c>
      <c r="AR467" s="322">
        <f t="shared" si="240"/>
        <v>189422.14</v>
      </c>
      <c r="AS467" s="322">
        <f t="shared" si="240"/>
        <v>189422.14</v>
      </c>
      <c r="AT467" s="322">
        <f t="shared" si="240"/>
        <v>189422.14</v>
      </c>
      <c r="AU467" s="322">
        <f t="shared" si="240"/>
        <v>189422.14</v>
      </c>
      <c r="AV467" s="322"/>
      <c r="AW467" s="322"/>
      <c r="AX467" s="322"/>
      <c r="AY467" s="1234"/>
    </row>
    <row r="468" spans="2:51" s="179" customFormat="1" ht="15.75" customHeight="1">
      <c r="B468" s="1232"/>
      <c r="C468" s="406" t="s">
        <v>1013</v>
      </c>
      <c r="D468" s="351"/>
      <c r="E468" s="1232"/>
      <c r="F468" s="1232"/>
      <c r="G468" s="1232"/>
      <c r="H468" s="1232"/>
      <c r="J468" s="1234"/>
      <c r="K468" s="1234"/>
      <c r="L468" s="1234"/>
      <c r="M468" s="322">
        <v>-9.9999999511055648E-3</v>
      </c>
      <c r="N468" s="322">
        <f t="shared" si="238"/>
        <v>-9.9999999511055648E-3</v>
      </c>
      <c r="O468" s="322">
        <f t="shared" si="238"/>
        <v>-9.9999999511055648E-3</v>
      </c>
      <c r="P468" s="322">
        <v>-9.9999999511055648E-3</v>
      </c>
      <c r="Q468" s="322">
        <v>0</v>
      </c>
      <c r="R468" s="322">
        <v>0</v>
      </c>
      <c r="S468" s="322"/>
      <c r="T468" s="322">
        <v>0</v>
      </c>
      <c r="U468" s="322">
        <f t="shared" si="232"/>
        <v>0</v>
      </c>
      <c r="V468" s="322">
        <v>0</v>
      </c>
      <c r="W468" s="322">
        <v>0</v>
      </c>
      <c r="X468" s="322">
        <v>0</v>
      </c>
      <c r="Y468" s="322">
        <v>0</v>
      </c>
      <c r="Z468" s="322">
        <v>0</v>
      </c>
      <c r="AA468" s="322">
        <v>0</v>
      </c>
      <c r="AB468" s="322">
        <v>0</v>
      </c>
      <c r="AC468" s="322">
        <v>0</v>
      </c>
      <c r="AD468" s="322">
        <v>0</v>
      </c>
      <c r="AE468" s="322">
        <v>0</v>
      </c>
      <c r="AF468" s="322">
        <v>0</v>
      </c>
      <c r="AG468" s="322">
        <v>0</v>
      </c>
      <c r="AH468" s="322">
        <v>0</v>
      </c>
      <c r="AI468" s="322">
        <v>0</v>
      </c>
      <c r="AJ468" s="322">
        <v>0</v>
      </c>
      <c r="AK468" s="322">
        <v>0</v>
      </c>
      <c r="AL468" s="322">
        <v>0</v>
      </c>
      <c r="AM468" s="322">
        <v>0</v>
      </c>
      <c r="AN468" s="322">
        <v>0</v>
      </c>
      <c r="AO468" s="322">
        <v>0</v>
      </c>
      <c r="AP468" s="322">
        <v>0</v>
      </c>
      <c r="AQ468" s="322">
        <v>0</v>
      </c>
      <c r="AR468" s="322">
        <v>0</v>
      </c>
      <c r="AS468" s="322">
        <v>0</v>
      </c>
      <c r="AT468" s="322">
        <v>0</v>
      </c>
      <c r="AU468" s="322">
        <v>0</v>
      </c>
      <c r="AV468" s="322"/>
      <c r="AW468" s="322"/>
      <c r="AX468" s="322"/>
      <c r="AY468" s="1234"/>
    </row>
    <row r="469" spans="2:51" s="179" customFormat="1" ht="15.75" customHeight="1">
      <c r="B469" s="1232"/>
      <c r="C469" s="406" t="s">
        <v>1017</v>
      </c>
      <c r="D469" s="351"/>
      <c r="E469" s="1232"/>
      <c r="F469" s="1232"/>
      <c r="G469" s="1232"/>
      <c r="H469" s="1232"/>
      <c r="J469" s="1234"/>
      <c r="K469" s="1234"/>
      <c r="L469" s="1234"/>
      <c r="M469" s="322">
        <f>M721-M727</f>
        <v>76072637.610000014</v>
      </c>
      <c r="N469" s="322">
        <f>N721-N727</f>
        <v>76072637.610000014</v>
      </c>
      <c r="O469" s="322">
        <f>O721-O727</f>
        <v>76072637.610000014</v>
      </c>
      <c r="P469" s="322">
        <v>76072637.610000014</v>
      </c>
      <c r="Q469" s="322">
        <f>Q721-Q727</f>
        <v>76072637.610000014</v>
      </c>
      <c r="R469" s="322">
        <f>R721-R727</f>
        <v>76072637.610000014</v>
      </c>
      <c r="S469" s="322"/>
      <c r="T469" s="322">
        <f>T721-T727</f>
        <v>0</v>
      </c>
      <c r="U469" s="322">
        <f t="shared" si="232"/>
        <v>0</v>
      </c>
      <c r="V469" s="322">
        <f t="shared" ref="V469:AU469" si="241">V721-V727</f>
        <v>76072637.610000014</v>
      </c>
      <c r="W469" s="322">
        <f t="shared" si="241"/>
        <v>76072637.610000014</v>
      </c>
      <c r="X469" s="322">
        <f t="shared" si="241"/>
        <v>76072637.610000014</v>
      </c>
      <c r="Y469" s="322">
        <f t="shared" si="241"/>
        <v>76072637.610000014</v>
      </c>
      <c r="Z469" s="322">
        <f t="shared" si="241"/>
        <v>76072637.610000014</v>
      </c>
      <c r="AA469" s="322">
        <f t="shared" si="241"/>
        <v>76072637.610000014</v>
      </c>
      <c r="AB469" s="322">
        <f t="shared" si="241"/>
        <v>76072637.610000014</v>
      </c>
      <c r="AC469" s="322">
        <f t="shared" si="241"/>
        <v>76072637.610000014</v>
      </c>
      <c r="AD469" s="322">
        <f t="shared" si="241"/>
        <v>76072637.610000014</v>
      </c>
      <c r="AE469" s="322">
        <f t="shared" si="241"/>
        <v>76072637.610000014</v>
      </c>
      <c r="AF469" s="322">
        <f t="shared" si="241"/>
        <v>76072637.610000014</v>
      </c>
      <c r="AG469" s="322">
        <f t="shared" si="241"/>
        <v>76072637.610000014</v>
      </c>
      <c r="AH469" s="322">
        <f t="shared" si="241"/>
        <v>76072637.610000014</v>
      </c>
      <c r="AI469" s="322">
        <f t="shared" si="241"/>
        <v>76072637.610000014</v>
      </c>
      <c r="AJ469" s="322">
        <f t="shared" si="241"/>
        <v>76072637.610000014</v>
      </c>
      <c r="AK469" s="322">
        <f t="shared" si="241"/>
        <v>76072637.610000014</v>
      </c>
      <c r="AL469" s="322">
        <f t="shared" si="241"/>
        <v>76072637.610000014</v>
      </c>
      <c r="AM469" s="322">
        <f t="shared" si="241"/>
        <v>76072637.610000014</v>
      </c>
      <c r="AN469" s="322">
        <f t="shared" si="241"/>
        <v>76072637.610000014</v>
      </c>
      <c r="AO469" s="322">
        <f t="shared" si="241"/>
        <v>76072637.610000014</v>
      </c>
      <c r="AP469" s="322">
        <f t="shared" si="241"/>
        <v>76072637.610000014</v>
      </c>
      <c r="AQ469" s="322">
        <f t="shared" si="241"/>
        <v>76072637.610000014</v>
      </c>
      <c r="AR469" s="322">
        <f t="shared" si="241"/>
        <v>76072637.610000014</v>
      </c>
      <c r="AS469" s="322">
        <f t="shared" si="241"/>
        <v>76072637.610000014</v>
      </c>
      <c r="AT469" s="322">
        <f t="shared" si="241"/>
        <v>76072637.610000014</v>
      </c>
      <c r="AU469" s="322">
        <f t="shared" si="241"/>
        <v>76072637.610000014</v>
      </c>
      <c r="AV469" s="322"/>
      <c r="AW469" s="322"/>
      <c r="AX469" s="322"/>
      <c r="AY469" s="1234"/>
    </row>
    <row r="470" spans="2:51" s="179" customFormat="1" ht="15.75" customHeight="1">
      <c r="B470" s="1232"/>
      <c r="C470" s="406" t="s">
        <v>1018</v>
      </c>
      <c r="D470" s="351"/>
      <c r="E470" s="1232"/>
      <c r="F470" s="1232"/>
      <c r="G470" s="1232"/>
      <c r="H470" s="1232"/>
      <c r="J470" s="1234"/>
      <c r="K470" s="1234"/>
      <c r="L470" s="1234"/>
      <c r="M470" s="322">
        <f>M797</f>
        <v>287212947.88999999</v>
      </c>
      <c r="N470" s="322">
        <f>N797</f>
        <v>287212947.88999999</v>
      </c>
      <c r="O470" s="322">
        <f>O797</f>
        <v>287212947.88999999</v>
      </c>
      <c r="P470" s="322">
        <v>287212947.88999999</v>
      </c>
      <c r="Q470" s="322">
        <f>Q797</f>
        <v>287212947.88999999</v>
      </c>
      <c r="R470" s="322">
        <f>R797</f>
        <v>285784008.40268207</v>
      </c>
      <c r="S470" s="322"/>
      <c r="T470" s="322">
        <f>T797</f>
        <v>0</v>
      </c>
      <c r="U470" s="322">
        <f t="shared" si="232"/>
        <v>0</v>
      </c>
      <c r="V470" s="322">
        <f t="shared" ref="V470:AU470" si="242">V797</f>
        <v>275818907.31746298</v>
      </c>
      <c r="W470" s="322">
        <f t="shared" si="242"/>
        <v>264215707.42371476</v>
      </c>
      <c r="X470" s="322">
        <f t="shared" si="242"/>
        <v>252612507.52996653</v>
      </c>
      <c r="Y470" s="322">
        <f t="shared" si="242"/>
        <v>241009307.63621831</v>
      </c>
      <c r="Z470" s="322">
        <f t="shared" si="242"/>
        <v>229406107.74247009</v>
      </c>
      <c r="AA470" s="322">
        <f t="shared" si="242"/>
        <v>217802907.84872186</v>
      </c>
      <c r="AB470" s="322">
        <f t="shared" si="242"/>
        <v>206199707.95497364</v>
      </c>
      <c r="AC470" s="322">
        <f t="shared" si="242"/>
        <v>194596508.06122541</v>
      </c>
      <c r="AD470" s="322">
        <f t="shared" si="242"/>
        <v>182993308.16747719</v>
      </c>
      <c r="AE470" s="322">
        <f t="shared" si="242"/>
        <v>171390108.27372897</v>
      </c>
      <c r="AF470" s="322">
        <f t="shared" si="242"/>
        <v>159786908.37998074</v>
      </c>
      <c r="AG470" s="322">
        <f t="shared" si="242"/>
        <v>148183708.48623252</v>
      </c>
      <c r="AH470" s="322">
        <f t="shared" si="242"/>
        <v>136580508.5924843</v>
      </c>
      <c r="AI470" s="322">
        <f t="shared" si="242"/>
        <v>124977308.69873606</v>
      </c>
      <c r="AJ470" s="322">
        <f t="shared" si="242"/>
        <v>113374108.80498782</v>
      </c>
      <c r="AK470" s="322">
        <f t="shared" si="242"/>
        <v>101770908.91123958</v>
      </c>
      <c r="AL470" s="322">
        <f t="shared" si="242"/>
        <v>90167709.017491341</v>
      </c>
      <c r="AM470" s="322">
        <f t="shared" si="242"/>
        <v>78564509.123743102</v>
      </c>
      <c r="AN470" s="322">
        <f t="shared" si="242"/>
        <v>66961309.229994863</v>
      </c>
      <c r="AO470" s="322">
        <f t="shared" si="242"/>
        <v>55358109.336246625</v>
      </c>
      <c r="AP470" s="322">
        <f t="shared" si="242"/>
        <v>43754909.442498386</v>
      </c>
      <c r="AQ470" s="322">
        <f t="shared" si="242"/>
        <v>32151709.548750151</v>
      </c>
      <c r="AR470" s="322">
        <f t="shared" si="242"/>
        <v>20548509.655001916</v>
      </c>
      <c r="AS470" s="322">
        <f t="shared" si="242"/>
        <v>8945309.761253681</v>
      </c>
      <c r="AT470" s="322">
        <f t="shared" si="242"/>
        <v>-2657890.1324945539</v>
      </c>
      <c r="AU470" s="322">
        <f t="shared" si="242"/>
        <v>-14261090.026242789</v>
      </c>
      <c r="AV470" s="322"/>
      <c r="AW470" s="322"/>
      <c r="AX470" s="322"/>
      <c r="AY470" s="1234"/>
    </row>
    <row r="471" spans="2:51" s="179" customFormat="1" ht="15.75" customHeight="1">
      <c r="B471" s="1232"/>
      <c r="C471" s="406" t="s">
        <v>1019</v>
      </c>
      <c r="D471" s="351"/>
      <c r="E471" s="1232"/>
      <c r="F471" s="1232"/>
      <c r="G471" s="1232"/>
      <c r="H471" s="1232"/>
      <c r="J471" s="1234"/>
      <c r="K471" s="1234"/>
      <c r="L471" s="1234"/>
      <c r="M471" s="322">
        <f>M727</f>
        <v>1864545.98</v>
      </c>
      <c r="N471" s="322">
        <f>N727</f>
        <v>1864545.98</v>
      </c>
      <c r="O471" s="322">
        <f>O727</f>
        <v>1864545.98</v>
      </c>
      <c r="P471" s="322">
        <v>1864545.98</v>
      </c>
      <c r="Q471" s="322">
        <f>Q727</f>
        <v>1864545.98</v>
      </c>
      <c r="R471" s="322">
        <f>R727</f>
        <v>1864545.98</v>
      </c>
      <c r="S471" s="322"/>
      <c r="T471" s="322">
        <f>T727</f>
        <v>0</v>
      </c>
      <c r="U471" s="322">
        <f t="shared" si="232"/>
        <v>0</v>
      </c>
      <c r="V471" s="322">
        <f t="shared" ref="V471:AU471" si="243">V727</f>
        <v>1864545.98</v>
      </c>
      <c r="W471" s="322">
        <f t="shared" si="243"/>
        <v>1864545.98</v>
      </c>
      <c r="X471" s="322">
        <f t="shared" si="243"/>
        <v>1864545.98</v>
      </c>
      <c r="Y471" s="322">
        <f t="shared" si="243"/>
        <v>1864545.98</v>
      </c>
      <c r="Z471" s="322">
        <f t="shared" si="243"/>
        <v>1864545.98</v>
      </c>
      <c r="AA471" s="322">
        <f t="shared" si="243"/>
        <v>1864545.98</v>
      </c>
      <c r="AB471" s="322">
        <f t="shared" si="243"/>
        <v>1864545.98</v>
      </c>
      <c r="AC471" s="322">
        <f t="shared" si="243"/>
        <v>1864545.98</v>
      </c>
      <c r="AD471" s="322">
        <f t="shared" si="243"/>
        <v>1864545.98</v>
      </c>
      <c r="AE471" s="322">
        <f t="shared" si="243"/>
        <v>1864545.98</v>
      </c>
      <c r="AF471" s="322">
        <f t="shared" si="243"/>
        <v>1864545.98</v>
      </c>
      <c r="AG471" s="322">
        <f t="shared" si="243"/>
        <v>1864545.98</v>
      </c>
      <c r="AH471" s="322">
        <f t="shared" si="243"/>
        <v>1864545.98</v>
      </c>
      <c r="AI471" s="322">
        <f t="shared" si="243"/>
        <v>1864545.98</v>
      </c>
      <c r="AJ471" s="322">
        <f t="shared" si="243"/>
        <v>1864545.98</v>
      </c>
      <c r="AK471" s="322">
        <f t="shared" si="243"/>
        <v>1864545.98</v>
      </c>
      <c r="AL471" s="322">
        <f t="shared" si="243"/>
        <v>1864545.98</v>
      </c>
      <c r="AM471" s="322">
        <f t="shared" si="243"/>
        <v>1864545.98</v>
      </c>
      <c r="AN471" s="322">
        <f t="shared" si="243"/>
        <v>1864545.98</v>
      </c>
      <c r="AO471" s="322">
        <f t="shared" si="243"/>
        <v>1864545.98</v>
      </c>
      <c r="AP471" s="322">
        <f t="shared" si="243"/>
        <v>1864545.98</v>
      </c>
      <c r="AQ471" s="322">
        <f t="shared" si="243"/>
        <v>1864545.98</v>
      </c>
      <c r="AR471" s="322">
        <f t="shared" si="243"/>
        <v>1864545.98</v>
      </c>
      <c r="AS471" s="322">
        <f t="shared" si="243"/>
        <v>1864545.98</v>
      </c>
      <c r="AT471" s="322">
        <f t="shared" si="243"/>
        <v>1864545.98</v>
      </c>
      <c r="AU471" s="322">
        <f t="shared" si="243"/>
        <v>1864545.98</v>
      </c>
      <c r="AV471" s="322"/>
      <c r="AW471" s="322"/>
      <c r="AX471" s="322"/>
      <c r="AY471" s="1234"/>
    </row>
    <row r="472" spans="2:51" s="179" customFormat="1" ht="15.75" customHeight="1">
      <c r="B472" s="1232"/>
      <c r="C472" s="406" t="s">
        <v>1020</v>
      </c>
      <c r="D472" s="351"/>
      <c r="E472" s="1232"/>
      <c r="F472" s="1232"/>
      <c r="G472" s="1232"/>
      <c r="H472" s="1232"/>
      <c r="J472" s="1234"/>
      <c r="K472" s="1234"/>
      <c r="L472" s="1234"/>
      <c r="M472" s="322">
        <f>M663+M710</f>
        <v>0</v>
      </c>
      <c r="N472" s="322">
        <f>N663+N710</f>
        <v>0</v>
      </c>
      <c r="O472" s="322">
        <f>O663+O710</f>
        <v>0</v>
      </c>
      <c r="P472" s="322">
        <v>0</v>
      </c>
      <c r="Q472" s="322">
        <f>Q663+Q710</f>
        <v>0</v>
      </c>
      <c r="R472" s="322">
        <f>R663+R710</f>
        <v>436158395</v>
      </c>
      <c r="S472" s="322"/>
      <c r="T472" s="322">
        <f>T663+T710</f>
        <v>264858000</v>
      </c>
      <c r="U472" s="322">
        <f t="shared" si="232"/>
        <v>264858000</v>
      </c>
      <c r="V472" s="322">
        <f t="shared" ref="V472:AU472" si="244">V663+V710</f>
        <v>468157395</v>
      </c>
      <c r="W472" s="322">
        <f t="shared" si="244"/>
        <v>468157395</v>
      </c>
      <c r="X472" s="322">
        <f t="shared" si="244"/>
        <v>470157395</v>
      </c>
      <c r="Y472" s="322">
        <f t="shared" si="244"/>
        <v>472157395</v>
      </c>
      <c r="Z472" s="322">
        <f t="shared" si="244"/>
        <v>474157395</v>
      </c>
      <c r="AA472" s="322">
        <f t="shared" si="244"/>
        <v>476157395</v>
      </c>
      <c r="AB472" s="322">
        <f t="shared" si="244"/>
        <v>478157395</v>
      </c>
      <c r="AC472" s="322">
        <f t="shared" si="244"/>
        <v>480157395</v>
      </c>
      <c r="AD472" s="322">
        <f t="shared" si="244"/>
        <v>482157395</v>
      </c>
      <c r="AE472" s="322">
        <f t="shared" si="244"/>
        <v>484157395</v>
      </c>
      <c r="AF472" s="322">
        <f t="shared" si="244"/>
        <v>486157395</v>
      </c>
      <c r="AG472" s="322">
        <f t="shared" si="244"/>
        <v>488157395</v>
      </c>
      <c r="AH472" s="322">
        <f t="shared" si="244"/>
        <v>490157395</v>
      </c>
      <c r="AI472" s="322">
        <f t="shared" si="244"/>
        <v>492157395</v>
      </c>
      <c r="AJ472" s="322">
        <f t="shared" si="244"/>
        <v>494157395</v>
      </c>
      <c r="AK472" s="322">
        <f t="shared" si="244"/>
        <v>496157395</v>
      </c>
      <c r="AL472" s="322">
        <f t="shared" si="244"/>
        <v>498157395</v>
      </c>
      <c r="AM472" s="322">
        <f t="shared" si="244"/>
        <v>500157395</v>
      </c>
      <c r="AN472" s="322">
        <f t="shared" si="244"/>
        <v>502157395</v>
      </c>
      <c r="AO472" s="322">
        <f t="shared" si="244"/>
        <v>504157395</v>
      </c>
      <c r="AP472" s="322">
        <f t="shared" si="244"/>
        <v>506157395</v>
      </c>
      <c r="AQ472" s="322">
        <f t="shared" si="244"/>
        <v>508157395</v>
      </c>
      <c r="AR472" s="322">
        <f t="shared" si="244"/>
        <v>510157395</v>
      </c>
      <c r="AS472" s="322">
        <f t="shared" si="244"/>
        <v>512157395</v>
      </c>
      <c r="AT472" s="322">
        <f t="shared" si="244"/>
        <v>514157395</v>
      </c>
      <c r="AU472" s="322">
        <f t="shared" si="244"/>
        <v>516157395</v>
      </c>
      <c r="AV472" s="322"/>
      <c r="AW472" s="322"/>
      <c r="AX472" s="322"/>
      <c r="AY472" s="1234"/>
    </row>
    <row r="473" spans="2:51" s="179" customFormat="1" ht="15.75" customHeight="1">
      <c r="B473" s="1232"/>
      <c r="C473" s="406" t="s">
        <v>1021</v>
      </c>
      <c r="D473" s="351"/>
      <c r="E473" s="1232"/>
      <c r="F473" s="1232"/>
      <c r="G473" s="1232"/>
      <c r="H473" s="1232"/>
      <c r="J473" s="1234"/>
      <c r="K473" s="1234"/>
      <c r="L473" s="1234"/>
      <c r="M473" s="322">
        <f>M786</f>
        <v>0</v>
      </c>
      <c r="N473" s="322">
        <f>N786</f>
        <v>0</v>
      </c>
      <c r="O473" s="322">
        <f>O786</f>
        <v>0</v>
      </c>
      <c r="P473" s="322">
        <v>0</v>
      </c>
      <c r="Q473" s="322">
        <f>Q786</f>
        <v>171300395</v>
      </c>
      <c r="R473" s="322">
        <f>R786</f>
        <v>0</v>
      </c>
      <c r="S473" s="322"/>
      <c r="T473" s="322">
        <f>T786</f>
        <v>-264858000</v>
      </c>
      <c r="U473" s="322">
        <f t="shared" si="232"/>
        <v>-264858000</v>
      </c>
      <c r="V473" s="322">
        <f t="shared" ref="V473:AU473" si="245">V786</f>
        <v>0</v>
      </c>
      <c r="W473" s="322">
        <f t="shared" si="245"/>
        <v>0</v>
      </c>
      <c r="X473" s="322">
        <f t="shared" si="245"/>
        <v>0</v>
      </c>
      <c r="Y473" s="322">
        <f t="shared" si="245"/>
        <v>0</v>
      </c>
      <c r="Z473" s="322">
        <f t="shared" si="245"/>
        <v>0</v>
      </c>
      <c r="AA473" s="322">
        <f t="shared" si="245"/>
        <v>0</v>
      </c>
      <c r="AB473" s="322">
        <f t="shared" si="245"/>
        <v>0</v>
      </c>
      <c r="AC473" s="322">
        <f t="shared" si="245"/>
        <v>0</v>
      </c>
      <c r="AD473" s="322">
        <f t="shared" si="245"/>
        <v>0</v>
      </c>
      <c r="AE473" s="322">
        <f t="shared" si="245"/>
        <v>0</v>
      </c>
      <c r="AF473" s="322">
        <f t="shared" si="245"/>
        <v>0</v>
      </c>
      <c r="AG473" s="322">
        <f t="shared" si="245"/>
        <v>0</v>
      </c>
      <c r="AH473" s="322">
        <f t="shared" si="245"/>
        <v>0</v>
      </c>
      <c r="AI473" s="322">
        <f t="shared" si="245"/>
        <v>0</v>
      </c>
      <c r="AJ473" s="322">
        <f t="shared" si="245"/>
        <v>0</v>
      </c>
      <c r="AK473" s="322">
        <f t="shared" si="245"/>
        <v>0</v>
      </c>
      <c r="AL473" s="322">
        <f t="shared" si="245"/>
        <v>0</v>
      </c>
      <c r="AM473" s="322">
        <f t="shared" si="245"/>
        <v>0</v>
      </c>
      <c r="AN473" s="322">
        <f t="shared" si="245"/>
        <v>0</v>
      </c>
      <c r="AO473" s="322">
        <f t="shared" si="245"/>
        <v>0</v>
      </c>
      <c r="AP473" s="322">
        <f t="shared" si="245"/>
        <v>0</v>
      </c>
      <c r="AQ473" s="322">
        <f t="shared" si="245"/>
        <v>0</v>
      </c>
      <c r="AR473" s="322">
        <f t="shared" si="245"/>
        <v>0</v>
      </c>
      <c r="AS473" s="322">
        <f t="shared" si="245"/>
        <v>0</v>
      </c>
      <c r="AT473" s="322">
        <f t="shared" si="245"/>
        <v>0</v>
      </c>
      <c r="AU473" s="322">
        <f t="shared" si="245"/>
        <v>0</v>
      </c>
      <c r="AV473" s="322"/>
      <c r="AW473" s="322"/>
      <c r="AX473" s="322"/>
      <c r="AY473" s="1234"/>
    </row>
    <row r="474" spans="2:51" s="179" customFormat="1" ht="15.75" customHeight="1">
      <c r="B474" s="1232"/>
      <c r="C474" s="406" t="s">
        <v>1022</v>
      </c>
      <c r="D474" s="351"/>
      <c r="E474" s="1232"/>
      <c r="F474" s="1232"/>
      <c r="G474" s="1232"/>
      <c r="H474" s="1232"/>
      <c r="J474" s="1234"/>
      <c r="K474" s="1234"/>
      <c r="L474" s="1234"/>
      <c r="M474" s="322">
        <v>0</v>
      </c>
      <c r="N474" s="322">
        <f>M474</f>
        <v>0</v>
      </c>
      <c r="O474" s="322">
        <f>N474</f>
        <v>0</v>
      </c>
      <c r="P474" s="322">
        <v>0</v>
      </c>
      <c r="Q474" s="322">
        <f t="shared" ref="Q474:AU474" si="246">P474</f>
        <v>0</v>
      </c>
      <c r="R474" s="322">
        <f t="shared" si="246"/>
        <v>0</v>
      </c>
      <c r="S474" s="322"/>
      <c r="T474" s="322">
        <f t="shared" si="246"/>
        <v>0</v>
      </c>
      <c r="U474" s="322">
        <f t="shared" si="232"/>
        <v>0</v>
      </c>
      <c r="V474" s="322">
        <f>R474</f>
        <v>0</v>
      </c>
      <c r="W474" s="322">
        <f t="shared" si="246"/>
        <v>0</v>
      </c>
      <c r="X474" s="322">
        <f t="shared" si="246"/>
        <v>0</v>
      </c>
      <c r="Y474" s="322">
        <f t="shared" si="246"/>
        <v>0</v>
      </c>
      <c r="Z474" s="322">
        <f t="shared" si="246"/>
        <v>0</v>
      </c>
      <c r="AA474" s="322">
        <f t="shared" si="246"/>
        <v>0</v>
      </c>
      <c r="AB474" s="322">
        <f t="shared" si="246"/>
        <v>0</v>
      </c>
      <c r="AC474" s="322">
        <f t="shared" si="246"/>
        <v>0</v>
      </c>
      <c r="AD474" s="322">
        <f t="shared" si="246"/>
        <v>0</v>
      </c>
      <c r="AE474" s="322">
        <f t="shared" si="246"/>
        <v>0</v>
      </c>
      <c r="AF474" s="322">
        <f t="shared" si="246"/>
        <v>0</v>
      </c>
      <c r="AG474" s="322">
        <f t="shared" si="246"/>
        <v>0</v>
      </c>
      <c r="AH474" s="322">
        <f t="shared" si="246"/>
        <v>0</v>
      </c>
      <c r="AI474" s="322">
        <f t="shared" si="246"/>
        <v>0</v>
      </c>
      <c r="AJ474" s="322">
        <f t="shared" si="246"/>
        <v>0</v>
      </c>
      <c r="AK474" s="322">
        <f t="shared" si="246"/>
        <v>0</v>
      </c>
      <c r="AL474" s="322">
        <f t="shared" si="246"/>
        <v>0</v>
      </c>
      <c r="AM474" s="322">
        <f t="shared" si="246"/>
        <v>0</v>
      </c>
      <c r="AN474" s="322">
        <f t="shared" si="246"/>
        <v>0</v>
      </c>
      <c r="AO474" s="322">
        <f t="shared" si="246"/>
        <v>0</v>
      </c>
      <c r="AP474" s="322">
        <f t="shared" si="246"/>
        <v>0</v>
      </c>
      <c r="AQ474" s="322">
        <f t="shared" si="246"/>
        <v>0</v>
      </c>
      <c r="AR474" s="322">
        <f t="shared" si="246"/>
        <v>0</v>
      </c>
      <c r="AS474" s="322">
        <f t="shared" si="246"/>
        <v>0</v>
      </c>
      <c r="AT474" s="322">
        <f t="shared" si="246"/>
        <v>0</v>
      </c>
      <c r="AU474" s="322">
        <f t="shared" si="246"/>
        <v>0</v>
      </c>
      <c r="AV474" s="322"/>
      <c r="AW474" s="322"/>
      <c r="AX474" s="322"/>
      <c r="AY474" s="1234"/>
    </row>
    <row r="475" spans="2:51" s="179" customFormat="1" ht="15.75" customHeight="1">
      <c r="B475" s="1232"/>
      <c r="C475" s="406" t="s">
        <v>1023</v>
      </c>
      <c r="D475" s="351"/>
      <c r="E475" s="1232"/>
      <c r="F475" s="1232"/>
      <c r="G475" s="1232"/>
      <c r="H475" s="1232"/>
      <c r="J475" s="1234"/>
      <c r="K475" s="1234"/>
      <c r="L475" s="1234"/>
      <c r="M475" s="322">
        <f>-M788</f>
        <v>-341092.66999999946</v>
      </c>
      <c r="N475" s="322">
        <f>-N788</f>
        <v>-3402007.4558699853</v>
      </c>
      <c r="O475" s="322">
        <f>-O788</f>
        <v>-3402007.4558699853</v>
      </c>
      <c r="P475" s="322">
        <v>-6462922.2417399697</v>
      </c>
      <c r="Q475" s="322">
        <f>-Q788</f>
        <v>-16510141.909425311</v>
      </c>
      <c r="R475" s="322">
        <f>-R788</f>
        <v>-54544284.313628145</v>
      </c>
      <c r="S475" s="322"/>
      <c r="T475" s="322">
        <f>-T788</f>
        <v>-54544284.313628145</v>
      </c>
      <c r="U475" s="322">
        <f t="shared" si="232"/>
        <v>-54544284.313628145</v>
      </c>
      <c r="V475" s="322">
        <f t="shared" ref="V475:AU475" si="247">-V788</f>
        <v>-104051590.38049948</v>
      </c>
      <c r="W475" s="322">
        <f t="shared" si="247"/>
        <v>-156078442.31223243</v>
      </c>
      <c r="X475" s="322">
        <f t="shared" si="247"/>
        <v>-203435776.12268209</v>
      </c>
      <c r="Y475" s="322">
        <f t="shared" si="247"/>
        <v>-248270930.36258996</v>
      </c>
      <c r="Z475" s="322">
        <f t="shared" si="247"/>
        <v>-292933175.40649778</v>
      </c>
      <c r="AA475" s="322">
        <f t="shared" si="247"/>
        <v>-337343049.90453315</v>
      </c>
      <c r="AB475" s="322">
        <f t="shared" si="247"/>
        <v>-381625110.64967346</v>
      </c>
      <c r="AC475" s="322">
        <f t="shared" si="247"/>
        <v>-426107171.39481378</v>
      </c>
      <c r="AD475" s="322">
        <f t="shared" si="247"/>
        <v>-470789232.13995415</v>
      </c>
      <c r="AE475" s="322">
        <f t="shared" si="247"/>
        <v>-492030748.52009445</v>
      </c>
      <c r="AF475" s="322">
        <f t="shared" si="247"/>
        <v>-496383115.90023482</v>
      </c>
      <c r="AG475" s="322">
        <f t="shared" si="247"/>
        <v>-500935483.28037512</v>
      </c>
      <c r="AH475" s="322">
        <f t="shared" si="247"/>
        <v>-505687850.66051555</v>
      </c>
      <c r="AI475" s="322">
        <f t="shared" si="247"/>
        <v>-510640218.04065585</v>
      </c>
      <c r="AJ475" s="322">
        <f t="shared" si="247"/>
        <v>-515792585.42079628</v>
      </c>
      <c r="AK475" s="322">
        <f t="shared" si="247"/>
        <v>-521144952.80093652</v>
      </c>
      <c r="AL475" s="322">
        <f t="shared" si="247"/>
        <v>-526697320.18107688</v>
      </c>
      <c r="AM475" s="322">
        <f t="shared" si="247"/>
        <v>-531262108.98169029</v>
      </c>
      <c r="AN475" s="322">
        <f t="shared" si="247"/>
        <v>-535515463.12044024</v>
      </c>
      <c r="AO475" s="322">
        <f t="shared" si="247"/>
        <v>-539968817.2591902</v>
      </c>
      <c r="AP475" s="322">
        <f t="shared" si="247"/>
        <v>-544622171.39794028</v>
      </c>
      <c r="AQ475" s="322">
        <f t="shared" si="247"/>
        <v>-549475525.53669024</v>
      </c>
      <c r="AR475" s="322">
        <f t="shared" si="247"/>
        <v>-552528879.67544031</v>
      </c>
      <c r="AS475" s="322">
        <f t="shared" si="247"/>
        <v>-555582233.81419027</v>
      </c>
      <c r="AT475" s="322">
        <f t="shared" si="247"/>
        <v>-558635587.95294023</v>
      </c>
      <c r="AU475" s="322">
        <f t="shared" si="247"/>
        <v>-561688942.0916903</v>
      </c>
      <c r="AV475" s="322"/>
      <c r="AW475" s="322"/>
      <c r="AX475" s="322"/>
      <c r="AY475" s="1234"/>
    </row>
    <row r="476" spans="2:51" s="179" customFormat="1" ht="15.75" customHeight="1">
      <c r="C476" s="351" t="s">
        <v>1024</v>
      </c>
      <c r="D476" s="351"/>
      <c r="E476" s="1236"/>
      <c r="F476" s="280"/>
      <c r="G476" s="280"/>
      <c r="H476" s="280"/>
      <c r="I476" s="280"/>
      <c r="J476" s="280"/>
      <c r="K476" s="280"/>
      <c r="L476" s="280"/>
      <c r="M476" s="185">
        <v>0</v>
      </c>
      <c r="N476" s="179">
        <v>0</v>
      </c>
      <c r="O476" s="179">
        <v>0</v>
      </c>
      <c r="P476" s="179">
        <v>0</v>
      </c>
      <c r="Q476" s="179">
        <v>0</v>
      </c>
      <c r="R476" s="179">
        <v>0</v>
      </c>
      <c r="T476" s="179">
        <v>0</v>
      </c>
      <c r="U476" s="179">
        <f t="shared" si="232"/>
        <v>0</v>
      </c>
      <c r="V476" s="179">
        <v>0</v>
      </c>
      <c r="W476" s="179">
        <v>0</v>
      </c>
      <c r="X476" s="179">
        <v>0</v>
      </c>
      <c r="Y476" s="179">
        <v>0</v>
      </c>
      <c r="Z476" s="179">
        <v>0</v>
      </c>
      <c r="AA476" s="179">
        <v>0</v>
      </c>
      <c r="AB476" s="179">
        <v>0</v>
      </c>
      <c r="AC476" s="179">
        <v>0</v>
      </c>
      <c r="AD476" s="179">
        <v>0</v>
      </c>
      <c r="AE476" s="179">
        <v>0</v>
      </c>
      <c r="AF476" s="179">
        <v>0</v>
      </c>
      <c r="AG476" s="179">
        <v>0</v>
      </c>
      <c r="AH476" s="179">
        <v>0</v>
      </c>
      <c r="AI476" s="179">
        <v>0</v>
      </c>
      <c r="AJ476" s="179">
        <v>0</v>
      </c>
      <c r="AK476" s="179">
        <v>0</v>
      </c>
      <c r="AL476" s="179">
        <v>0</v>
      </c>
      <c r="AM476" s="179">
        <v>0</v>
      </c>
      <c r="AN476" s="179">
        <v>0</v>
      </c>
      <c r="AO476" s="179">
        <v>0</v>
      </c>
      <c r="AP476" s="179">
        <v>0</v>
      </c>
      <c r="AQ476" s="179">
        <v>0</v>
      </c>
      <c r="AR476" s="179">
        <v>0</v>
      </c>
      <c r="AS476" s="179">
        <v>0</v>
      </c>
      <c r="AT476" s="179">
        <v>0</v>
      </c>
      <c r="AU476" s="179">
        <v>0</v>
      </c>
    </row>
    <row r="477" spans="2:51" s="179" customFormat="1" ht="15.75" customHeight="1">
      <c r="B477" s="1232"/>
      <c r="C477" s="406"/>
      <c r="D477" s="351"/>
      <c r="E477" s="1232"/>
      <c r="F477" s="1232"/>
      <c r="G477" s="1232"/>
      <c r="H477" s="1232"/>
      <c r="J477" s="1234"/>
      <c r="K477" s="1234"/>
      <c r="L477" s="1234"/>
      <c r="M477" s="322"/>
      <c r="N477" s="322"/>
      <c r="O477" s="322"/>
      <c r="P477" s="322"/>
      <c r="Q477" s="322"/>
      <c r="R477" s="322"/>
      <c r="S477" s="322"/>
      <c r="T477" s="322"/>
      <c r="U477" s="322">
        <f t="shared" si="232"/>
        <v>0</v>
      </c>
      <c r="V477" s="322"/>
      <c r="W477" s="322"/>
      <c r="X477" s="322"/>
      <c r="Y477" s="322"/>
      <c r="Z477" s="322"/>
      <c r="AA477" s="322"/>
      <c r="AB477" s="322"/>
      <c r="AC477" s="322"/>
      <c r="AD477" s="322"/>
      <c r="AE477" s="322"/>
      <c r="AF477" s="322"/>
      <c r="AG477" s="322"/>
      <c r="AH477" s="322"/>
      <c r="AI477" s="322"/>
      <c r="AJ477" s="322"/>
      <c r="AK477" s="322"/>
      <c r="AL477" s="322"/>
      <c r="AM477" s="322"/>
      <c r="AN477" s="322"/>
      <c r="AO477" s="322"/>
      <c r="AP477" s="322"/>
      <c r="AQ477" s="322"/>
      <c r="AR477" s="322"/>
      <c r="AS477" s="322"/>
      <c r="AT477" s="322"/>
      <c r="AU477" s="322"/>
      <c r="AV477" s="322"/>
      <c r="AW477" s="322"/>
      <c r="AX477" s="322"/>
      <c r="AY477" s="1234"/>
    </row>
    <row r="478" spans="2:51" s="225" customFormat="1" ht="15.75" customHeight="1">
      <c r="B478" s="1237"/>
      <c r="C478" s="599" t="s">
        <v>900</v>
      </c>
      <c r="D478" s="200"/>
      <c r="E478" s="1237"/>
      <c r="F478" s="1237"/>
      <c r="G478" s="1237"/>
      <c r="H478" s="1237"/>
      <c r="J478" s="1238"/>
      <c r="K478" s="1238"/>
      <c r="L478" s="1238"/>
      <c r="M478" s="1239">
        <f t="shared" ref="M478:R478" si="248">SUM(M463,M465:M476)</f>
        <v>244757726.28</v>
      </c>
      <c r="N478" s="1239" t="e">
        <f t="shared" si="248"/>
        <v>#REF!</v>
      </c>
      <c r="O478" s="1239">
        <f t="shared" si="248"/>
        <v>241696811.49413002</v>
      </c>
      <c r="P478" s="1239">
        <f t="shared" si="248"/>
        <v>238635896.70826003</v>
      </c>
      <c r="Q478" s="1239">
        <f t="shared" si="248"/>
        <v>227385019.36852342</v>
      </c>
      <c r="R478" s="1239">
        <f t="shared" si="248"/>
        <v>222636403.1427229</v>
      </c>
      <c r="S478" s="1239"/>
      <c r="T478" s="1239">
        <f>SUM(T463,T465:T476)</f>
        <v>-437478443.14156628</v>
      </c>
      <c r="U478" s="1239">
        <f t="shared" si="232"/>
        <v>-437478443.14156628</v>
      </c>
      <c r="V478" s="1239">
        <f t="shared" ref="V478:AU478" si="249">SUM(V463,V465:V476)</f>
        <v>442102584.43254471</v>
      </c>
      <c r="W478" s="1239">
        <f t="shared" si="249"/>
        <v>684230846.99871707</v>
      </c>
      <c r="X478" s="1239">
        <f t="shared" si="249"/>
        <v>929581077.06857467</v>
      </c>
      <c r="Y478" s="1239">
        <f t="shared" si="249"/>
        <v>1176671611.0421062</v>
      </c>
      <c r="Z478" s="1239">
        <f t="shared" si="249"/>
        <v>1423881452.360878</v>
      </c>
      <c r="AA478" s="1239">
        <f t="shared" si="249"/>
        <v>1671265429.3563015</v>
      </c>
      <c r="AB478" s="1239">
        <f t="shared" si="249"/>
        <v>1922732369.479279</v>
      </c>
      <c r="AC478" s="1239">
        <f t="shared" si="249"/>
        <v>2174061309.6022568</v>
      </c>
      <c r="AD478" s="1239">
        <f t="shared" si="249"/>
        <v>2425252249.7252345</v>
      </c>
      <c r="AE478" s="1239">
        <f t="shared" si="249"/>
        <v>2692617165.460062</v>
      </c>
      <c r="AF478" s="1239">
        <f t="shared" si="249"/>
        <v>2971635594.004889</v>
      </c>
      <c r="AG478" s="1239">
        <f t="shared" si="249"/>
        <v>3250516022.5497169</v>
      </c>
      <c r="AH478" s="1239">
        <f t="shared" si="249"/>
        <v>3529258451.0945444</v>
      </c>
      <c r="AI478" s="1239">
        <f t="shared" si="249"/>
        <v>3807862879.6393709</v>
      </c>
      <c r="AJ478" s="1239">
        <f t="shared" si="249"/>
        <v>4086329308.1841993</v>
      </c>
      <c r="AK478" s="1239">
        <f t="shared" si="249"/>
        <v>4364657736.7290249</v>
      </c>
      <c r="AL478" s="1239">
        <f t="shared" si="249"/>
        <v>4642848165.2738523</v>
      </c>
      <c r="AM478" s="1239">
        <f t="shared" si="249"/>
        <v>4921720023.0385532</v>
      </c>
      <c r="AN478" s="1239">
        <f t="shared" si="249"/>
        <v>5200806770.7199392</v>
      </c>
      <c r="AO478" s="1239">
        <f t="shared" si="249"/>
        <v>5479755518.4013262</v>
      </c>
      <c r="AP478" s="1239">
        <f t="shared" si="249"/>
        <v>5758566266.0827131</v>
      </c>
      <c r="AQ478" s="1239">
        <f t="shared" si="249"/>
        <v>6037239013.764101</v>
      </c>
      <c r="AR478" s="1239">
        <f t="shared" si="249"/>
        <v>6317153761.445488</v>
      </c>
      <c r="AS478" s="1239">
        <f t="shared" si="249"/>
        <v>6597068509.1268749</v>
      </c>
      <c r="AT478" s="1239">
        <f t="shared" si="249"/>
        <v>6876983256.8082619</v>
      </c>
      <c r="AU478" s="1239">
        <f t="shared" si="249"/>
        <v>7156898004.4896488</v>
      </c>
      <c r="AV478" s="1239"/>
      <c r="AW478" s="1239"/>
      <c r="AX478" s="1239"/>
      <c r="AY478" s="1238"/>
    </row>
    <row r="479" spans="2:51" s="179" customFormat="1" ht="15.75" customHeight="1">
      <c r="B479" s="1232"/>
      <c r="C479" s="406"/>
      <c r="D479" s="351"/>
      <c r="E479" s="1232"/>
      <c r="F479" s="1232"/>
      <c r="G479" s="1232"/>
      <c r="H479" s="1232"/>
      <c r="J479" s="1234"/>
      <c r="K479" s="1234"/>
      <c r="L479" s="1234"/>
      <c r="M479" s="322"/>
      <c r="N479" s="322"/>
      <c r="O479" s="322"/>
      <c r="P479" s="322"/>
      <c r="Q479" s="322"/>
      <c r="R479" s="322"/>
      <c r="S479" s="322"/>
      <c r="T479" s="322"/>
      <c r="U479" s="322">
        <f t="shared" si="232"/>
        <v>0</v>
      </c>
      <c r="V479" s="322"/>
      <c r="W479" s="322"/>
      <c r="X479" s="322"/>
      <c r="Y479" s="322"/>
      <c r="Z479" s="322"/>
      <c r="AA479" s="322"/>
      <c r="AB479" s="322"/>
      <c r="AC479" s="322"/>
      <c r="AD479" s="322"/>
      <c r="AE479" s="322"/>
      <c r="AF479" s="322"/>
      <c r="AG479" s="322"/>
      <c r="AH479" s="322"/>
      <c r="AI479" s="322"/>
      <c r="AJ479" s="322"/>
      <c r="AK479" s="322"/>
      <c r="AL479" s="322"/>
      <c r="AM479" s="322"/>
      <c r="AN479" s="322"/>
      <c r="AO479" s="322"/>
      <c r="AP479" s="322"/>
      <c r="AQ479" s="322"/>
      <c r="AR479" s="322"/>
      <c r="AS479" s="322"/>
      <c r="AT479" s="322"/>
      <c r="AU479" s="322"/>
      <c r="AV479" s="322"/>
      <c r="AW479" s="322"/>
      <c r="AX479" s="322"/>
      <c r="AY479" s="1234"/>
    </row>
    <row r="480" spans="2:51" s="179" customFormat="1" ht="15.75" customHeight="1">
      <c r="B480" s="1232"/>
      <c r="C480" s="599" t="s">
        <v>1025</v>
      </c>
      <c r="D480" s="351"/>
      <c r="E480" s="1232"/>
      <c r="F480" s="1232"/>
      <c r="G480" s="1232"/>
      <c r="H480" s="1232"/>
      <c r="J480" s="1234"/>
      <c r="K480" s="1234"/>
      <c r="L480" s="1234"/>
      <c r="M480" s="322"/>
      <c r="N480" s="322"/>
      <c r="O480" s="322"/>
      <c r="P480" s="322"/>
      <c r="Q480" s="322"/>
      <c r="R480" s="322"/>
      <c r="S480" s="322"/>
      <c r="T480" s="322"/>
      <c r="U480" s="322">
        <f t="shared" si="232"/>
        <v>0</v>
      </c>
      <c r="V480" s="322"/>
      <c r="W480" s="322"/>
      <c r="X480" s="322"/>
      <c r="Y480" s="322"/>
      <c r="Z480" s="322"/>
      <c r="AA480" s="322"/>
      <c r="AB480" s="322"/>
      <c r="AC480" s="322"/>
      <c r="AD480" s="322"/>
      <c r="AE480" s="322"/>
      <c r="AF480" s="322"/>
      <c r="AG480" s="322"/>
      <c r="AH480" s="322"/>
      <c r="AI480" s="322"/>
      <c r="AJ480" s="322"/>
      <c r="AK480" s="322"/>
      <c r="AL480" s="322"/>
      <c r="AM480" s="322"/>
      <c r="AN480" s="322"/>
      <c r="AO480" s="322"/>
      <c r="AP480" s="322"/>
      <c r="AQ480" s="322"/>
      <c r="AR480" s="322"/>
      <c r="AS480" s="322"/>
      <c r="AT480" s="322"/>
      <c r="AU480" s="322"/>
      <c r="AV480" s="322"/>
      <c r="AW480" s="322"/>
      <c r="AX480" s="322"/>
      <c r="AY480" s="1234"/>
    </row>
    <row r="481" spans="2:51" s="179" customFormat="1" ht="15.75" customHeight="1">
      <c r="B481" s="1232"/>
      <c r="C481" s="351" t="s">
        <v>1026</v>
      </c>
      <c r="D481" s="351"/>
      <c r="E481" s="1232"/>
      <c r="F481" s="1232"/>
      <c r="G481" s="1232"/>
      <c r="H481" s="1232"/>
      <c r="J481" s="1234"/>
      <c r="K481" s="1234"/>
      <c r="L481" s="1234"/>
      <c r="M481" s="322">
        <f t="shared" ref="M481:R481" si="250">SUM(M482:M484)</f>
        <v>1262880.0900000001</v>
      </c>
      <c r="N481" s="322">
        <f t="shared" si="250"/>
        <v>1262880.0900000001</v>
      </c>
      <c r="O481" s="322">
        <f t="shared" si="250"/>
        <v>3400494.05</v>
      </c>
      <c r="P481" s="322">
        <f t="shared" si="250"/>
        <v>3400494.05</v>
      </c>
      <c r="Q481" s="322">
        <f t="shared" si="250"/>
        <v>2196836.0179487132</v>
      </c>
      <c r="R481" s="322">
        <f t="shared" si="250"/>
        <v>2196838</v>
      </c>
      <c r="S481" s="322"/>
      <c r="T481" s="322">
        <f>SUM(T482:T484)</f>
        <v>2196838</v>
      </c>
      <c r="U481" s="322">
        <f t="shared" si="232"/>
        <v>2196838</v>
      </c>
      <c r="V481" s="322">
        <f t="shared" ref="V481:AU481" si="251">SUM(V482:V484)</f>
        <v>2196838</v>
      </c>
      <c r="W481" s="322">
        <f t="shared" si="251"/>
        <v>2196838</v>
      </c>
      <c r="X481" s="322">
        <f t="shared" si="251"/>
        <v>2196838</v>
      </c>
      <c r="Y481" s="322">
        <f t="shared" si="251"/>
        <v>2196838</v>
      </c>
      <c r="Z481" s="322">
        <f t="shared" si="251"/>
        <v>2196838</v>
      </c>
      <c r="AA481" s="322">
        <f t="shared" si="251"/>
        <v>2196838</v>
      </c>
      <c r="AB481" s="322">
        <f t="shared" si="251"/>
        <v>2196838</v>
      </c>
      <c r="AC481" s="322">
        <f t="shared" si="251"/>
        <v>2196838</v>
      </c>
      <c r="AD481" s="322">
        <f t="shared" si="251"/>
        <v>2196838</v>
      </c>
      <c r="AE481" s="322">
        <f t="shared" si="251"/>
        <v>2196838</v>
      </c>
      <c r="AF481" s="322">
        <f t="shared" si="251"/>
        <v>2196838</v>
      </c>
      <c r="AG481" s="322">
        <f t="shared" si="251"/>
        <v>2196838</v>
      </c>
      <c r="AH481" s="322">
        <f t="shared" si="251"/>
        <v>2196838</v>
      </c>
      <c r="AI481" s="322">
        <f t="shared" si="251"/>
        <v>2196838</v>
      </c>
      <c r="AJ481" s="322">
        <f t="shared" si="251"/>
        <v>2196838</v>
      </c>
      <c r="AK481" s="322">
        <f t="shared" si="251"/>
        <v>2196838</v>
      </c>
      <c r="AL481" s="322">
        <f t="shared" si="251"/>
        <v>2196838</v>
      </c>
      <c r="AM481" s="322">
        <f t="shared" si="251"/>
        <v>2196838</v>
      </c>
      <c r="AN481" s="322">
        <f t="shared" si="251"/>
        <v>2196838</v>
      </c>
      <c r="AO481" s="322">
        <f t="shared" si="251"/>
        <v>2196838</v>
      </c>
      <c r="AP481" s="322">
        <f t="shared" si="251"/>
        <v>2196838</v>
      </c>
      <c r="AQ481" s="322">
        <f t="shared" si="251"/>
        <v>2196838</v>
      </c>
      <c r="AR481" s="322">
        <f t="shared" si="251"/>
        <v>2196838</v>
      </c>
      <c r="AS481" s="322">
        <f t="shared" si="251"/>
        <v>2196838</v>
      </c>
      <c r="AT481" s="322">
        <f t="shared" si="251"/>
        <v>2196838</v>
      </c>
      <c r="AU481" s="322">
        <f t="shared" si="251"/>
        <v>2196838</v>
      </c>
      <c r="AV481" s="322"/>
      <c r="AW481" s="322"/>
      <c r="AX481" s="322"/>
      <c r="AY481" s="1234"/>
    </row>
    <row r="482" spans="2:51" s="179" customFormat="1" ht="15.75" customHeight="1">
      <c r="B482" s="1232"/>
      <c r="C482" s="919" t="s">
        <v>1027</v>
      </c>
      <c r="D482" s="351"/>
      <c r="E482" s="1232"/>
      <c r="F482" s="1232"/>
      <c r="G482" s="1232"/>
      <c r="H482" s="1232"/>
      <c r="J482" s="1234"/>
      <c r="K482" s="1234"/>
      <c r="L482" s="1234"/>
      <c r="M482" s="322">
        <f>M594</f>
        <v>0</v>
      </c>
      <c r="N482" s="322">
        <f>N594</f>
        <v>0</v>
      </c>
      <c r="O482" s="322">
        <f>O594</f>
        <v>2137613.96</v>
      </c>
      <c r="P482" s="322">
        <v>2137613.96</v>
      </c>
      <c r="Q482" s="322">
        <f>Q594</f>
        <v>992598.01794871315</v>
      </c>
      <c r="R482" s="322">
        <f>R594</f>
        <v>992599.99999999988</v>
      </c>
      <c r="S482" s="322"/>
      <c r="T482" s="322">
        <f>T594</f>
        <v>992599.99999999988</v>
      </c>
      <c r="U482" s="322">
        <f t="shared" si="232"/>
        <v>992599.99999999988</v>
      </c>
      <c r="V482" s="322">
        <f t="shared" ref="V482:AU482" si="252">V594</f>
        <v>992600</v>
      </c>
      <c r="W482" s="322">
        <f t="shared" si="252"/>
        <v>992600</v>
      </c>
      <c r="X482" s="322">
        <f t="shared" si="252"/>
        <v>992600</v>
      </c>
      <c r="Y482" s="322">
        <f t="shared" si="252"/>
        <v>992600</v>
      </c>
      <c r="Z482" s="322">
        <f t="shared" si="252"/>
        <v>992600</v>
      </c>
      <c r="AA482" s="322">
        <f t="shared" si="252"/>
        <v>992600</v>
      </c>
      <c r="AB482" s="322">
        <f t="shared" si="252"/>
        <v>992600</v>
      </c>
      <c r="AC482" s="322">
        <f t="shared" si="252"/>
        <v>992600</v>
      </c>
      <c r="AD482" s="322">
        <f t="shared" si="252"/>
        <v>992600</v>
      </c>
      <c r="AE482" s="322">
        <f t="shared" si="252"/>
        <v>992600</v>
      </c>
      <c r="AF482" s="322">
        <f t="shared" si="252"/>
        <v>992600</v>
      </c>
      <c r="AG482" s="322">
        <f t="shared" si="252"/>
        <v>992600</v>
      </c>
      <c r="AH482" s="322">
        <f t="shared" si="252"/>
        <v>992600</v>
      </c>
      <c r="AI482" s="322">
        <f t="shared" si="252"/>
        <v>992600</v>
      </c>
      <c r="AJ482" s="322">
        <f t="shared" si="252"/>
        <v>992600</v>
      </c>
      <c r="AK482" s="322">
        <f t="shared" si="252"/>
        <v>992600</v>
      </c>
      <c r="AL482" s="322">
        <f t="shared" si="252"/>
        <v>992600</v>
      </c>
      <c r="AM482" s="322">
        <f t="shared" si="252"/>
        <v>992600</v>
      </c>
      <c r="AN482" s="322">
        <f t="shared" si="252"/>
        <v>992600</v>
      </c>
      <c r="AO482" s="322">
        <f t="shared" si="252"/>
        <v>992600</v>
      </c>
      <c r="AP482" s="322">
        <f t="shared" si="252"/>
        <v>992600</v>
      </c>
      <c r="AQ482" s="322">
        <f t="shared" si="252"/>
        <v>992600</v>
      </c>
      <c r="AR482" s="322">
        <f t="shared" si="252"/>
        <v>992600</v>
      </c>
      <c r="AS482" s="322">
        <f t="shared" si="252"/>
        <v>992600</v>
      </c>
      <c r="AT482" s="322">
        <f t="shared" si="252"/>
        <v>992600</v>
      </c>
      <c r="AU482" s="322">
        <f t="shared" si="252"/>
        <v>992600</v>
      </c>
      <c r="AV482" s="322"/>
      <c r="AW482" s="322"/>
      <c r="AX482" s="322"/>
      <c r="AY482" s="1234"/>
    </row>
    <row r="483" spans="2:51" s="179" customFormat="1" ht="15.75" customHeight="1">
      <c r="B483" s="1232"/>
      <c r="C483" s="1213" t="s">
        <v>1028</v>
      </c>
      <c r="D483" s="351"/>
      <c r="E483" s="1232"/>
      <c r="F483" s="1232"/>
      <c r="G483" s="1232"/>
      <c r="H483" s="1232"/>
      <c r="J483" s="1234"/>
      <c r="K483" s="1234"/>
      <c r="L483" s="1234"/>
      <c r="M483" s="322">
        <v>1262880.0900000001</v>
      </c>
      <c r="N483" s="322">
        <f>M483</f>
        <v>1262880.0900000001</v>
      </c>
      <c r="O483" s="322">
        <f>N483</f>
        <v>1262880.0900000001</v>
      </c>
      <c r="P483" s="322">
        <v>1262880.0900000001</v>
      </c>
      <c r="Q483" s="322">
        <f>Q607</f>
        <v>1204238</v>
      </c>
      <c r="R483" s="322">
        <f>R607</f>
        <v>1204238</v>
      </c>
      <c r="S483" s="322"/>
      <c r="T483" s="322">
        <f>T607</f>
        <v>1204238</v>
      </c>
      <c r="U483" s="322">
        <f t="shared" si="232"/>
        <v>1204238</v>
      </c>
      <c r="V483" s="322">
        <f t="shared" ref="V483:AU483" si="253">V607</f>
        <v>1204238</v>
      </c>
      <c r="W483" s="322">
        <f t="shared" si="253"/>
        <v>1204238</v>
      </c>
      <c r="X483" s="322">
        <f t="shared" si="253"/>
        <v>1204238</v>
      </c>
      <c r="Y483" s="322">
        <f t="shared" si="253"/>
        <v>1204238</v>
      </c>
      <c r="Z483" s="322">
        <f t="shared" si="253"/>
        <v>1204238</v>
      </c>
      <c r="AA483" s="322">
        <f t="shared" si="253"/>
        <v>1204238</v>
      </c>
      <c r="AB483" s="322">
        <f t="shared" si="253"/>
        <v>1204238</v>
      </c>
      <c r="AC483" s="322">
        <f t="shared" si="253"/>
        <v>1204238</v>
      </c>
      <c r="AD483" s="322">
        <f t="shared" si="253"/>
        <v>1204238</v>
      </c>
      <c r="AE483" s="322">
        <f t="shared" si="253"/>
        <v>1204238</v>
      </c>
      <c r="AF483" s="322">
        <f t="shared" si="253"/>
        <v>1204238</v>
      </c>
      <c r="AG483" s="322">
        <f t="shared" si="253"/>
        <v>1204238</v>
      </c>
      <c r="AH483" s="322">
        <f t="shared" si="253"/>
        <v>1204238</v>
      </c>
      <c r="AI483" s="322">
        <f t="shared" si="253"/>
        <v>1204238</v>
      </c>
      <c r="AJ483" s="322">
        <f t="shared" si="253"/>
        <v>1204238</v>
      </c>
      <c r="AK483" s="322">
        <f t="shared" si="253"/>
        <v>1204238</v>
      </c>
      <c r="AL483" s="322">
        <f t="shared" si="253"/>
        <v>1204238</v>
      </c>
      <c r="AM483" s="322">
        <f t="shared" si="253"/>
        <v>1204238</v>
      </c>
      <c r="AN483" s="322">
        <f t="shared" si="253"/>
        <v>1204238</v>
      </c>
      <c r="AO483" s="322">
        <f t="shared" si="253"/>
        <v>1204238</v>
      </c>
      <c r="AP483" s="322">
        <f t="shared" si="253"/>
        <v>1204238</v>
      </c>
      <c r="AQ483" s="322">
        <f t="shared" si="253"/>
        <v>1204238</v>
      </c>
      <c r="AR483" s="322">
        <f t="shared" si="253"/>
        <v>1204238</v>
      </c>
      <c r="AS483" s="322">
        <f t="shared" si="253"/>
        <v>1204238</v>
      </c>
      <c r="AT483" s="322">
        <f t="shared" si="253"/>
        <v>1204238</v>
      </c>
      <c r="AU483" s="322">
        <f t="shared" si="253"/>
        <v>1204238</v>
      </c>
      <c r="AV483" s="322"/>
      <c r="AW483" s="322"/>
      <c r="AX483" s="322"/>
      <c r="AY483" s="1234"/>
    </row>
    <row r="484" spans="2:51" s="179" customFormat="1" ht="15.75" customHeight="1">
      <c r="C484" s="919" t="s">
        <v>1029</v>
      </c>
      <c r="D484" s="351"/>
      <c r="E484" s="1236"/>
      <c r="F484" s="280"/>
      <c r="G484" s="280"/>
      <c r="H484" s="280"/>
      <c r="I484" s="280"/>
      <c r="J484" s="280"/>
      <c r="K484" s="280"/>
      <c r="L484" s="280"/>
      <c r="M484" s="280">
        <f>M$607</f>
        <v>0</v>
      </c>
      <c r="N484" s="280">
        <f>N$607</f>
        <v>0</v>
      </c>
      <c r="O484" s="280">
        <v>0</v>
      </c>
      <c r="P484" s="280">
        <v>0</v>
      </c>
      <c r="Q484" s="280">
        <f>Q606</f>
        <v>0</v>
      </c>
      <c r="R484" s="280">
        <f>R606</f>
        <v>0</v>
      </c>
      <c r="S484" s="280"/>
      <c r="T484" s="280">
        <f>T606</f>
        <v>0</v>
      </c>
      <c r="U484" s="280">
        <f t="shared" si="232"/>
        <v>0</v>
      </c>
      <c r="V484" s="280">
        <f t="shared" ref="V484:AU484" si="254">V606</f>
        <v>0</v>
      </c>
      <c r="W484" s="280">
        <f t="shared" si="254"/>
        <v>0</v>
      </c>
      <c r="X484" s="280">
        <f t="shared" si="254"/>
        <v>0</v>
      </c>
      <c r="Y484" s="280">
        <f t="shared" si="254"/>
        <v>0</v>
      </c>
      <c r="Z484" s="280">
        <f t="shared" si="254"/>
        <v>0</v>
      </c>
      <c r="AA484" s="280">
        <f t="shared" si="254"/>
        <v>0</v>
      </c>
      <c r="AB484" s="280">
        <f t="shared" si="254"/>
        <v>0</v>
      </c>
      <c r="AC484" s="280">
        <f t="shared" si="254"/>
        <v>0</v>
      </c>
      <c r="AD484" s="280">
        <f t="shared" si="254"/>
        <v>0</v>
      </c>
      <c r="AE484" s="280">
        <f t="shared" si="254"/>
        <v>0</v>
      </c>
      <c r="AF484" s="280">
        <f t="shared" si="254"/>
        <v>0</v>
      </c>
      <c r="AG484" s="280">
        <f t="shared" si="254"/>
        <v>0</v>
      </c>
      <c r="AH484" s="280">
        <f t="shared" si="254"/>
        <v>0</v>
      </c>
      <c r="AI484" s="280">
        <f t="shared" si="254"/>
        <v>0</v>
      </c>
      <c r="AJ484" s="280">
        <f t="shared" si="254"/>
        <v>0</v>
      </c>
      <c r="AK484" s="280">
        <f t="shared" si="254"/>
        <v>0</v>
      </c>
      <c r="AL484" s="280">
        <f t="shared" si="254"/>
        <v>0</v>
      </c>
      <c r="AM484" s="280">
        <f t="shared" si="254"/>
        <v>0</v>
      </c>
      <c r="AN484" s="280">
        <f t="shared" si="254"/>
        <v>0</v>
      </c>
      <c r="AO484" s="280">
        <f t="shared" si="254"/>
        <v>0</v>
      </c>
      <c r="AP484" s="280">
        <f t="shared" si="254"/>
        <v>0</v>
      </c>
      <c r="AQ484" s="280">
        <f t="shared" si="254"/>
        <v>0</v>
      </c>
      <c r="AR484" s="280">
        <f t="shared" si="254"/>
        <v>0</v>
      </c>
      <c r="AS484" s="280">
        <f t="shared" si="254"/>
        <v>0</v>
      </c>
      <c r="AT484" s="280">
        <f t="shared" si="254"/>
        <v>0</v>
      </c>
      <c r="AU484" s="280">
        <f t="shared" si="254"/>
        <v>0</v>
      </c>
      <c r="AV484" s="280"/>
      <c r="AW484" s="280"/>
      <c r="AX484" s="280"/>
      <c r="AY484" s="280"/>
    </row>
    <row r="485" spans="2:51" s="179" customFormat="1" ht="15.75" customHeight="1">
      <c r="B485" s="1232"/>
      <c r="C485" s="406" t="s">
        <v>1030</v>
      </c>
      <c r="D485" s="351"/>
      <c r="E485" s="1232"/>
      <c r="F485" s="1232"/>
      <c r="G485" s="1232"/>
      <c r="H485" s="1232"/>
      <c r="J485" s="1234"/>
      <c r="K485" s="1234"/>
      <c r="L485" s="1234"/>
      <c r="M485" s="322">
        <v>402581</v>
      </c>
      <c r="N485" s="322">
        <f>M485</f>
        <v>402581</v>
      </c>
      <c r="O485" s="322">
        <f>N485</f>
        <v>402581</v>
      </c>
      <c r="P485" s="322">
        <v>402581</v>
      </c>
      <c r="Q485" s="322">
        <f t="shared" ref="Q485:AU485" si="255">P485</f>
        <v>402581</v>
      </c>
      <c r="R485" s="322">
        <f t="shared" si="255"/>
        <v>402581</v>
      </c>
      <c r="S485" s="322"/>
      <c r="T485" s="322">
        <f t="shared" si="255"/>
        <v>0</v>
      </c>
      <c r="U485" s="322">
        <f t="shared" si="232"/>
        <v>0</v>
      </c>
      <c r="V485" s="322">
        <f>R485</f>
        <v>402581</v>
      </c>
      <c r="W485" s="322">
        <f t="shared" si="255"/>
        <v>402581</v>
      </c>
      <c r="X485" s="322">
        <f t="shared" si="255"/>
        <v>402581</v>
      </c>
      <c r="Y485" s="322">
        <f t="shared" si="255"/>
        <v>402581</v>
      </c>
      <c r="Z485" s="322">
        <f t="shared" si="255"/>
        <v>402581</v>
      </c>
      <c r="AA485" s="322">
        <f t="shared" si="255"/>
        <v>402581</v>
      </c>
      <c r="AB485" s="322">
        <f t="shared" si="255"/>
        <v>402581</v>
      </c>
      <c r="AC485" s="322">
        <f t="shared" si="255"/>
        <v>402581</v>
      </c>
      <c r="AD485" s="322">
        <f t="shared" si="255"/>
        <v>402581</v>
      </c>
      <c r="AE485" s="322">
        <f t="shared" si="255"/>
        <v>402581</v>
      </c>
      <c r="AF485" s="322">
        <f t="shared" si="255"/>
        <v>402581</v>
      </c>
      <c r="AG485" s="322">
        <f t="shared" si="255"/>
        <v>402581</v>
      </c>
      <c r="AH485" s="322">
        <f t="shared" si="255"/>
        <v>402581</v>
      </c>
      <c r="AI485" s="322">
        <f t="shared" si="255"/>
        <v>402581</v>
      </c>
      <c r="AJ485" s="322">
        <f t="shared" si="255"/>
        <v>402581</v>
      </c>
      <c r="AK485" s="322">
        <f t="shared" si="255"/>
        <v>402581</v>
      </c>
      <c r="AL485" s="322">
        <f t="shared" si="255"/>
        <v>402581</v>
      </c>
      <c r="AM485" s="322">
        <f t="shared" si="255"/>
        <v>402581</v>
      </c>
      <c r="AN485" s="322">
        <f t="shared" si="255"/>
        <v>402581</v>
      </c>
      <c r="AO485" s="322">
        <f t="shared" si="255"/>
        <v>402581</v>
      </c>
      <c r="AP485" s="322">
        <f t="shared" si="255"/>
        <v>402581</v>
      </c>
      <c r="AQ485" s="322">
        <f t="shared" si="255"/>
        <v>402581</v>
      </c>
      <c r="AR485" s="322">
        <f t="shared" si="255"/>
        <v>402581</v>
      </c>
      <c r="AS485" s="322">
        <f t="shared" si="255"/>
        <v>402581</v>
      </c>
      <c r="AT485" s="322">
        <f t="shared" si="255"/>
        <v>402581</v>
      </c>
      <c r="AU485" s="322">
        <f t="shared" si="255"/>
        <v>402581</v>
      </c>
      <c r="AV485" s="322"/>
      <c r="AW485" s="322"/>
      <c r="AX485" s="322"/>
      <c r="AY485" s="1234"/>
    </row>
    <row r="486" spans="2:51" s="179" customFormat="1" ht="15.75" customHeight="1">
      <c r="B486" s="1232"/>
      <c r="C486" s="406" t="s">
        <v>1031</v>
      </c>
      <c r="D486" s="351"/>
      <c r="E486" s="1232"/>
      <c r="F486" s="1232"/>
      <c r="G486" s="1232"/>
      <c r="H486" s="1232"/>
      <c r="J486" s="1234"/>
      <c r="K486" s="1234"/>
      <c r="L486" s="1234"/>
      <c r="M486" s="322">
        <v>0</v>
      </c>
      <c r="N486" s="322">
        <v>0</v>
      </c>
      <c r="O486" s="322">
        <v>0</v>
      </c>
      <c r="P486" s="322">
        <v>0</v>
      </c>
      <c r="Q486" s="322">
        <f>Q606</f>
        <v>0</v>
      </c>
      <c r="R486" s="322">
        <v>0</v>
      </c>
      <c r="S486" s="322"/>
      <c r="T486" s="322">
        <v>0</v>
      </c>
      <c r="U486" s="322">
        <f t="shared" si="232"/>
        <v>0</v>
      </c>
      <c r="V486" s="322">
        <v>0</v>
      </c>
      <c r="W486" s="322">
        <v>0</v>
      </c>
      <c r="X486" s="322">
        <v>0</v>
      </c>
      <c r="Y486" s="322">
        <v>0</v>
      </c>
      <c r="Z486" s="322">
        <v>0</v>
      </c>
      <c r="AA486" s="322">
        <v>0</v>
      </c>
      <c r="AB486" s="322">
        <v>0</v>
      </c>
      <c r="AC486" s="322">
        <v>0</v>
      </c>
      <c r="AD486" s="322">
        <v>0</v>
      </c>
      <c r="AE486" s="322">
        <v>0</v>
      </c>
      <c r="AF486" s="322">
        <v>0</v>
      </c>
      <c r="AG486" s="322">
        <v>0</v>
      </c>
      <c r="AH486" s="322">
        <v>0</v>
      </c>
      <c r="AI486" s="322">
        <v>0</v>
      </c>
      <c r="AJ486" s="322">
        <v>0</v>
      </c>
      <c r="AK486" s="322">
        <v>0</v>
      </c>
      <c r="AL486" s="322">
        <v>0</v>
      </c>
      <c r="AM486" s="322">
        <v>0</v>
      </c>
      <c r="AN486" s="322">
        <v>0</v>
      </c>
      <c r="AO486" s="322">
        <v>0</v>
      </c>
      <c r="AP486" s="322">
        <v>0</v>
      </c>
      <c r="AQ486" s="322">
        <v>0</v>
      </c>
      <c r="AR486" s="322">
        <v>0</v>
      </c>
      <c r="AS486" s="322">
        <v>0</v>
      </c>
      <c r="AT486" s="322">
        <v>0</v>
      </c>
      <c r="AU486" s="322">
        <v>0</v>
      </c>
      <c r="AV486" s="322"/>
      <c r="AW486" s="322"/>
      <c r="AX486" s="322"/>
      <c r="AY486" s="1234"/>
    </row>
    <row r="487" spans="2:51" s="179" customFormat="1" ht="15.75" customHeight="1">
      <c r="B487" s="1232"/>
      <c r="C487" s="406" t="s">
        <v>1032</v>
      </c>
      <c r="D487" s="351"/>
      <c r="E487" s="1232"/>
      <c r="F487" s="1232"/>
      <c r="G487" s="1232"/>
      <c r="H487" s="1232"/>
      <c r="J487" s="1234"/>
      <c r="K487" s="1234"/>
      <c r="L487" s="1234"/>
      <c r="M487" s="322">
        <f t="shared" ref="M487:R487" si="256">SUM(M482:M486)</f>
        <v>1665461.09</v>
      </c>
      <c r="N487" s="322">
        <f t="shared" si="256"/>
        <v>1665461.09</v>
      </c>
      <c r="O487" s="322">
        <f t="shared" si="256"/>
        <v>3803075.05</v>
      </c>
      <c r="P487" s="322">
        <f t="shared" si="256"/>
        <v>3803075.05</v>
      </c>
      <c r="Q487" s="322">
        <f t="shared" si="256"/>
        <v>2599417.0179487132</v>
      </c>
      <c r="R487" s="322">
        <f t="shared" si="256"/>
        <v>2599419</v>
      </c>
      <c r="S487" s="322"/>
      <c r="T487" s="322">
        <f>SUM(T482:T486)</f>
        <v>2196838</v>
      </c>
      <c r="U487" s="322">
        <f t="shared" si="232"/>
        <v>2196838</v>
      </c>
      <c r="V487" s="322">
        <f t="shared" ref="V487:AU487" si="257">SUM(V482:V486)</f>
        <v>2599419</v>
      </c>
      <c r="W487" s="322">
        <f t="shared" si="257"/>
        <v>2599419</v>
      </c>
      <c r="X487" s="322">
        <f t="shared" si="257"/>
        <v>2599419</v>
      </c>
      <c r="Y487" s="322">
        <f t="shared" si="257"/>
        <v>2599419</v>
      </c>
      <c r="Z487" s="322">
        <f t="shared" si="257"/>
        <v>2599419</v>
      </c>
      <c r="AA487" s="322">
        <f t="shared" si="257"/>
        <v>2599419</v>
      </c>
      <c r="AB487" s="322">
        <f t="shared" si="257"/>
        <v>2599419</v>
      </c>
      <c r="AC487" s="322">
        <f t="shared" si="257"/>
        <v>2599419</v>
      </c>
      <c r="AD487" s="322">
        <f t="shared" si="257"/>
        <v>2599419</v>
      </c>
      <c r="AE487" s="322">
        <f t="shared" si="257"/>
        <v>2599419</v>
      </c>
      <c r="AF487" s="322">
        <f t="shared" si="257"/>
        <v>2599419</v>
      </c>
      <c r="AG487" s="322">
        <f t="shared" si="257"/>
        <v>2599419</v>
      </c>
      <c r="AH487" s="322">
        <f t="shared" si="257"/>
        <v>2599419</v>
      </c>
      <c r="AI487" s="322">
        <f t="shared" si="257"/>
        <v>2599419</v>
      </c>
      <c r="AJ487" s="322">
        <f t="shared" si="257"/>
        <v>2599419</v>
      </c>
      <c r="AK487" s="322">
        <f t="shared" si="257"/>
        <v>2599419</v>
      </c>
      <c r="AL487" s="322">
        <f t="shared" si="257"/>
        <v>2599419</v>
      </c>
      <c r="AM487" s="322">
        <f t="shared" si="257"/>
        <v>2599419</v>
      </c>
      <c r="AN487" s="322">
        <f t="shared" si="257"/>
        <v>2599419</v>
      </c>
      <c r="AO487" s="322">
        <f t="shared" si="257"/>
        <v>2599419</v>
      </c>
      <c r="AP487" s="322">
        <f t="shared" si="257"/>
        <v>2599419</v>
      </c>
      <c r="AQ487" s="322">
        <f t="shared" si="257"/>
        <v>2599419</v>
      </c>
      <c r="AR487" s="322">
        <f t="shared" si="257"/>
        <v>2599419</v>
      </c>
      <c r="AS487" s="322">
        <f t="shared" si="257"/>
        <v>2599419</v>
      </c>
      <c r="AT487" s="322">
        <f t="shared" si="257"/>
        <v>2599419</v>
      </c>
      <c r="AU487" s="322">
        <f t="shared" si="257"/>
        <v>2599419</v>
      </c>
      <c r="AV487" s="322"/>
      <c r="AW487" s="322"/>
      <c r="AX487" s="322"/>
      <c r="AY487" s="1234"/>
    </row>
    <row r="488" spans="2:51" s="179" customFormat="1" ht="15.75" customHeight="1">
      <c r="B488" s="1232"/>
      <c r="C488" s="406"/>
      <c r="D488" s="351"/>
      <c r="E488" s="1232"/>
      <c r="F488" s="1232"/>
      <c r="G488" s="1232"/>
      <c r="H488" s="1232"/>
      <c r="J488" s="1234"/>
      <c r="K488" s="1234"/>
      <c r="L488" s="1234"/>
      <c r="M488" s="322"/>
      <c r="N488" s="322"/>
      <c r="O488" s="322"/>
      <c r="P488" s="322"/>
      <c r="Q488" s="322"/>
      <c r="R488" s="322"/>
      <c r="S488" s="322"/>
      <c r="T488" s="322"/>
      <c r="U488" s="322">
        <f t="shared" si="232"/>
        <v>0</v>
      </c>
      <c r="V488" s="322"/>
      <c r="W488" s="322"/>
      <c r="X488" s="322"/>
      <c r="Y488" s="322"/>
      <c r="Z488" s="322"/>
      <c r="AA488" s="322"/>
      <c r="AB488" s="322"/>
      <c r="AC488" s="322"/>
      <c r="AD488" s="322"/>
      <c r="AE488" s="322"/>
      <c r="AF488" s="322"/>
      <c r="AG488" s="322"/>
      <c r="AH488" s="322"/>
      <c r="AI488" s="322"/>
      <c r="AJ488" s="322"/>
      <c r="AK488" s="322"/>
      <c r="AL488" s="322"/>
      <c r="AM488" s="322"/>
      <c r="AN488" s="322"/>
      <c r="AO488" s="322"/>
      <c r="AP488" s="322"/>
      <c r="AQ488" s="322"/>
      <c r="AR488" s="322"/>
      <c r="AS488" s="322"/>
      <c r="AT488" s="322"/>
      <c r="AU488" s="322"/>
      <c r="AV488" s="322"/>
      <c r="AW488" s="322"/>
      <c r="AX488" s="322"/>
      <c r="AY488" s="1234"/>
    </row>
    <row r="489" spans="2:51" s="179" customFormat="1" ht="15.75" customHeight="1">
      <c r="B489" s="1232"/>
      <c r="C489" s="406" t="s">
        <v>1033</v>
      </c>
      <c r="D489" s="351"/>
      <c r="E489" s="1232"/>
      <c r="F489" s="1232"/>
      <c r="G489" s="1232"/>
      <c r="H489" s="1232"/>
      <c r="J489" s="1234"/>
      <c r="K489" s="1234"/>
      <c r="L489" s="1234"/>
      <c r="M489" s="322">
        <v>509166.98000000289</v>
      </c>
      <c r="N489" s="322">
        <f>M489</f>
        <v>509166.98000000289</v>
      </c>
      <c r="O489" s="322">
        <f>N489</f>
        <v>509166.98000000289</v>
      </c>
      <c r="P489" s="322">
        <v>509166.98000000289</v>
      </c>
      <c r="Q489" s="322">
        <f t="shared" ref="Q489:AU489" si="258">P489</f>
        <v>509166.98000000289</v>
      </c>
      <c r="R489" s="322">
        <f t="shared" si="258"/>
        <v>509166.98000000289</v>
      </c>
      <c r="S489" s="322"/>
      <c r="T489" s="322">
        <f t="shared" si="258"/>
        <v>0</v>
      </c>
      <c r="U489" s="322">
        <f t="shared" si="232"/>
        <v>0</v>
      </c>
      <c r="V489" s="322">
        <f>R489</f>
        <v>509166.98000000289</v>
      </c>
      <c r="W489" s="322">
        <f t="shared" si="258"/>
        <v>509166.98000000289</v>
      </c>
      <c r="X489" s="322">
        <f t="shared" si="258"/>
        <v>509166.98000000289</v>
      </c>
      <c r="Y489" s="322">
        <f t="shared" si="258"/>
        <v>509166.98000000289</v>
      </c>
      <c r="Z489" s="322">
        <f t="shared" si="258"/>
        <v>509166.98000000289</v>
      </c>
      <c r="AA489" s="322">
        <f t="shared" si="258"/>
        <v>509166.98000000289</v>
      </c>
      <c r="AB489" s="322">
        <f t="shared" si="258"/>
        <v>509166.98000000289</v>
      </c>
      <c r="AC489" s="322">
        <f t="shared" si="258"/>
        <v>509166.98000000289</v>
      </c>
      <c r="AD489" s="322">
        <f t="shared" si="258"/>
        <v>509166.98000000289</v>
      </c>
      <c r="AE489" s="322">
        <f t="shared" si="258"/>
        <v>509166.98000000289</v>
      </c>
      <c r="AF489" s="322">
        <f t="shared" si="258"/>
        <v>509166.98000000289</v>
      </c>
      <c r="AG489" s="322">
        <f t="shared" si="258"/>
        <v>509166.98000000289</v>
      </c>
      <c r="AH489" s="322">
        <f t="shared" si="258"/>
        <v>509166.98000000289</v>
      </c>
      <c r="AI489" s="322">
        <f t="shared" si="258"/>
        <v>509166.98000000289</v>
      </c>
      <c r="AJ489" s="322">
        <f t="shared" si="258"/>
        <v>509166.98000000289</v>
      </c>
      <c r="AK489" s="322">
        <f t="shared" si="258"/>
        <v>509166.98000000289</v>
      </c>
      <c r="AL489" s="322">
        <f t="shared" si="258"/>
        <v>509166.98000000289</v>
      </c>
      <c r="AM489" s="322">
        <f t="shared" si="258"/>
        <v>509166.98000000289</v>
      </c>
      <c r="AN489" s="322">
        <f t="shared" si="258"/>
        <v>509166.98000000289</v>
      </c>
      <c r="AO489" s="322">
        <f t="shared" si="258"/>
        <v>509166.98000000289</v>
      </c>
      <c r="AP489" s="322">
        <f t="shared" si="258"/>
        <v>509166.98000000289</v>
      </c>
      <c r="AQ489" s="322">
        <f t="shared" si="258"/>
        <v>509166.98000000289</v>
      </c>
      <c r="AR489" s="322">
        <f t="shared" si="258"/>
        <v>509166.98000000289</v>
      </c>
      <c r="AS489" s="322">
        <f t="shared" si="258"/>
        <v>509166.98000000289</v>
      </c>
      <c r="AT489" s="322">
        <f t="shared" si="258"/>
        <v>509166.98000000289</v>
      </c>
      <c r="AU489" s="322">
        <f t="shared" si="258"/>
        <v>509166.98000000289</v>
      </c>
      <c r="AV489" s="322"/>
      <c r="AW489" s="322"/>
      <c r="AX489" s="322"/>
      <c r="AY489" s="1234"/>
    </row>
    <row r="490" spans="2:51" s="179" customFormat="1" ht="15.75" customHeight="1">
      <c r="B490" s="1232"/>
      <c r="C490" s="406" t="s">
        <v>1034</v>
      </c>
      <c r="D490" s="351"/>
      <c r="E490" s="1232"/>
      <c r="F490" s="1232"/>
      <c r="G490" s="1232"/>
      <c r="H490" s="1232"/>
      <c r="J490" s="1234"/>
      <c r="K490" s="1234"/>
      <c r="L490" s="1234"/>
      <c r="M490" s="322">
        <v>6346514.0300000003</v>
      </c>
      <c r="N490" s="322">
        <f>M490</f>
        <v>6346514.0300000003</v>
      </c>
      <c r="O490" s="322">
        <f>N490</f>
        <v>6346514.0300000003</v>
      </c>
      <c r="P490" s="322">
        <v>6346514.0300000003</v>
      </c>
      <c r="Q490" s="322">
        <f t="shared" ref="Q490:AU490" si="259">P490</f>
        <v>6346514.0300000003</v>
      </c>
      <c r="R490" s="322">
        <f t="shared" si="259"/>
        <v>6346514.0300000003</v>
      </c>
      <c r="S490" s="322"/>
      <c r="T490" s="322">
        <f t="shared" si="259"/>
        <v>0</v>
      </c>
      <c r="U490" s="322">
        <f t="shared" si="232"/>
        <v>0</v>
      </c>
      <c r="V490" s="322">
        <f>R490</f>
        <v>6346514.0300000003</v>
      </c>
      <c r="W490" s="322">
        <f t="shared" si="259"/>
        <v>6346514.0300000003</v>
      </c>
      <c r="X490" s="322">
        <f t="shared" si="259"/>
        <v>6346514.0300000003</v>
      </c>
      <c r="Y490" s="322">
        <f t="shared" si="259"/>
        <v>6346514.0300000003</v>
      </c>
      <c r="Z490" s="322">
        <f t="shared" si="259"/>
        <v>6346514.0300000003</v>
      </c>
      <c r="AA490" s="322">
        <f t="shared" si="259"/>
        <v>6346514.0300000003</v>
      </c>
      <c r="AB490" s="322">
        <f t="shared" si="259"/>
        <v>6346514.0300000003</v>
      </c>
      <c r="AC490" s="322">
        <f t="shared" si="259"/>
        <v>6346514.0300000003</v>
      </c>
      <c r="AD490" s="322">
        <f t="shared" si="259"/>
        <v>6346514.0300000003</v>
      </c>
      <c r="AE490" s="322">
        <f t="shared" si="259"/>
        <v>6346514.0300000003</v>
      </c>
      <c r="AF490" s="322">
        <f t="shared" si="259"/>
        <v>6346514.0300000003</v>
      </c>
      <c r="AG490" s="322">
        <f t="shared" si="259"/>
        <v>6346514.0300000003</v>
      </c>
      <c r="AH490" s="322">
        <f t="shared" si="259"/>
        <v>6346514.0300000003</v>
      </c>
      <c r="AI490" s="322">
        <f t="shared" si="259"/>
        <v>6346514.0300000003</v>
      </c>
      <c r="AJ490" s="322">
        <f t="shared" si="259"/>
        <v>6346514.0300000003</v>
      </c>
      <c r="AK490" s="322">
        <f t="shared" si="259"/>
        <v>6346514.0300000003</v>
      </c>
      <c r="AL490" s="322">
        <f t="shared" si="259"/>
        <v>6346514.0300000003</v>
      </c>
      <c r="AM490" s="322">
        <f t="shared" si="259"/>
        <v>6346514.0300000003</v>
      </c>
      <c r="AN490" s="322">
        <f t="shared" si="259"/>
        <v>6346514.0300000003</v>
      </c>
      <c r="AO490" s="322">
        <f t="shared" si="259"/>
        <v>6346514.0300000003</v>
      </c>
      <c r="AP490" s="322">
        <f t="shared" si="259"/>
        <v>6346514.0300000003</v>
      </c>
      <c r="AQ490" s="322">
        <f t="shared" si="259"/>
        <v>6346514.0300000003</v>
      </c>
      <c r="AR490" s="322">
        <f t="shared" si="259"/>
        <v>6346514.0300000003</v>
      </c>
      <c r="AS490" s="322">
        <f t="shared" si="259"/>
        <v>6346514.0300000003</v>
      </c>
      <c r="AT490" s="322">
        <f t="shared" si="259"/>
        <v>6346514.0300000003</v>
      </c>
      <c r="AU490" s="322">
        <f t="shared" si="259"/>
        <v>6346514.0300000003</v>
      </c>
      <c r="AV490" s="322"/>
      <c r="AW490" s="322"/>
      <c r="AX490" s="322"/>
      <c r="AY490" s="1234"/>
    </row>
    <row r="491" spans="2:51" s="179" customFormat="1" ht="15.75" customHeight="1">
      <c r="C491" s="1240" t="s">
        <v>1035</v>
      </c>
      <c r="D491" s="351"/>
      <c r="E491" s="351"/>
      <c r="F491" s="351"/>
      <c r="G491" s="351"/>
      <c r="H491" s="351"/>
      <c r="I491" s="280"/>
      <c r="J491" s="280"/>
      <c r="K491" s="280"/>
      <c r="L491" s="280"/>
      <c r="M491" s="280">
        <f>M834</f>
        <v>0</v>
      </c>
      <c r="N491" s="280">
        <f>N834</f>
        <v>0</v>
      </c>
      <c r="O491" s="280">
        <f>N491</f>
        <v>0</v>
      </c>
      <c r="P491" s="280">
        <v>0</v>
      </c>
      <c r="Q491" s="280">
        <f>Q834</f>
        <v>0</v>
      </c>
      <c r="R491" s="280">
        <f>R834</f>
        <v>0</v>
      </c>
      <c r="S491" s="280"/>
      <c r="T491" s="280">
        <f>T834</f>
        <v>0</v>
      </c>
      <c r="U491" s="280">
        <f t="shared" si="232"/>
        <v>0</v>
      </c>
      <c r="V491" s="280">
        <f t="shared" ref="V491:AU491" si="260">V834</f>
        <v>0</v>
      </c>
      <c r="W491" s="280">
        <f t="shared" si="260"/>
        <v>0</v>
      </c>
      <c r="X491" s="280">
        <f t="shared" si="260"/>
        <v>0</v>
      </c>
      <c r="Y491" s="280">
        <f t="shared" si="260"/>
        <v>0</v>
      </c>
      <c r="Z491" s="280">
        <f t="shared" si="260"/>
        <v>0</v>
      </c>
      <c r="AA491" s="280">
        <f t="shared" si="260"/>
        <v>0</v>
      </c>
      <c r="AB491" s="280">
        <f t="shared" si="260"/>
        <v>0</v>
      </c>
      <c r="AC491" s="280">
        <f t="shared" si="260"/>
        <v>0</v>
      </c>
      <c r="AD491" s="280">
        <f t="shared" si="260"/>
        <v>0</v>
      </c>
      <c r="AE491" s="280">
        <f t="shared" si="260"/>
        <v>0</v>
      </c>
      <c r="AF491" s="280">
        <f t="shared" si="260"/>
        <v>0</v>
      </c>
      <c r="AG491" s="280">
        <f t="shared" si="260"/>
        <v>0</v>
      </c>
      <c r="AH491" s="280">
        <f t="shared" si="260"/>
        <v>0</v>
      </c>
      <c r="AI491" s="280">
        <f t="shared" si="260"/>
        <v>0</v>
      </c>
      <c r="AJ491" s="280">
        <f t="shared" si="260"/>
        <v>0</v>
      </c>
      <c r="AK491" s="280">
        <f t="shared" si="260"/>
        <v>0</v>
      </c>
      <c r="AL491" s="280">
        <f t="shared" si="260"/>
        <v>0</v>
      </c>
      <c r="AM491" s="280">
        <f t="shared" si="260"/>
        <v>0</v>
      </c>
      <c r="AN491" s="280">
        <f t="shared" si="260"/>
        <v>0</v>
      </c>
      <c r="AO491" s="280">
        <f t="shared" si="260"/>
        <v>0</v>
      </c>
      <c r="AP491" s="280">
        <f t="shared" si="260"/>
        <v>0</v>
      </c>
      <c r="AQ491" s="280">
        <f t="shared" si="260"/>
        <v>0</v>
      </c>
      <c r="AR491" s="280">
        <f t="shared" si="260"/>
        <v>0</v>
      </c>
      <c r="AS491" s="280">
        <f t="shared" si="260"/>
        <v>0</v>
      </c>
      <c r="AT491" s="280">
        <f t="shared" si="260"/>
        <v>0</v>
      </c>
      <c r="AU491" s="280">
        <f t="shared" si="260"/>
        <v>0</v>
      </c>
      <c r="AV491" s="280"/>
      <c r="AW491" s="280"/>
      <c r="AX491" s="280"/>
      <c r="AY491" s="280"/>
    </row>
    <row r="492" spans="2:51" s="179" customFormat="1" ht="15.75" customHeight="1">
      <c r="C492" s="1240" t="s">
        <v>1036</v>
      </c>
      <c r="D492" s="351"/>
      <c r="E492" s="1236"/>
      <c r="F492" s="280"/>
      <c r="G492" s="280"/>
      <c r="H492" s="280"/>
      <c r="I492" s="280"/>
      <c r="J492" s="280"/>
      <c r="K492" s="280"/>
      <c r="L492" s="280"/>
      <c r="M492" s="280">
        <f>M821</f>
        <v>0</v>
      </c>
      <c r="N492" s="280">
        <f>N821</f>
        <v>0</v>
      </c>
      <c r="O492" s="280">
        <f>N492</f>
        <v>0</v>
      </c>
      <c r="P492" s="280">
        <v>0</v>
      </c>
      <c r="Q492" s="280">
        <f>Q821</f>
        <v>0</v>
      </c>
      <c r="R492" s="280">
        <f>R821</f>
        <v>0</v>
      </c>
      <c r="S492" s="280"/>
      <c r="T492" s="280">
        <f>T821</f>
        <v>0</v>
      </c>
      <c r="U492" s="280">
        <f t="shared" si="232"/>
        <v>0</v>
      </c>
      <c r="V492" s="280">
        <f t="shared" ref="V492:AU492" si="261">V821</f>
        <v>0</v>
      </c>
      <c r="W492" s="280">
        <f t="shared" si="261"/>
        <v>0</v>
      </c>
      <c r="X492" s="280">
        <f t="shared" si="261"/>
        <v>0</v>
      </c>
      <c r="Y492" s="280">
        <f t="shared" si="261"/>
        <v>0</v>
      </c>
      <c r="Z492" s="280">
        <f t="shared" si="261"/>
        <v>0</v>
      </c>
      <c r="AA492" s="280">
        <f t="shared" si="261"/>
        <v>0</v>
      </c>
      <c r="AB492" s="280">
        <f t="shared" si="261"/>
        <v>0</v>
      </c>
      <c r="AC492" s="280">
        <f t="shared" si="261"/>
        <v>0</v>
      </c>
      <c r="AD492" s="280">
        <f t="shared" si="261"/>
        <v>0</v>
      </c>
      <c r="AE492" s="280">
        <f t="shared" si="261"/>
        <v>0</v>
      </c>
      <c r="AF492" s="280">
        <f t="shared" si="261"/>
        <v>0</v>
      </c>
      <c r="AG492" s="280">
        <f t="shared" si="261"/>
        <v>0</v>
      </c>
      <c r="AH492" s="280">
        <f t="shared" si="261"/>
        <v>0</v>
      </c>
      <c r="AI492" s="280">
        <f t="shared" si="261"/>
        <v>0</v>
      </c>
      <c r="AJ492" s="280">
        <f t="shared" si="261"/>
        <v>0</v>
      </c>
      <c r="AK492" s="280">
        <f t="shared" si="261"/>
        <v>0</v>
      </c>
      <c r="AL492" s="280">
        <f t="shared" si="261"/>
        <v>0</v>
      </c>
      <c r="AM492" s="280">
        <f t="shared" si="261"/>
        <v>0</v>
      </c>
      <c r="AN492" s="280">
        <f t="shared" si="261"/>
        <v>0</v>
      </c>
      <c r="AO492" s="280">
        <f t="shared" si="261"/>
        <v>0</v>
      </c>
      <c r="AP492" s="280">
        <f t="shared" si="261"/>
        <v>0</v>
      </c>
      <c r="AQ492" s="280">
        <f t="shared" si="261"/>
        <v>0</v>
      </c>
      <c r="AR492" s="280">
        <f t="shared" si="261"/>
        <v>0</v>
      </c>
      <c r="AS492" s="280">
        <f t="shared" si="261"/>
        <v>0</v>
      </c>
      <c r="AT492" s="280">
        <f t="shared" si="261"/>
        <v>0</v>
      </c>
      <c r="AU492" s="280">
        <f t="shared" si="261"/>
        <v>0</v>
      </c>
      <c r="AV492" s="280"/>
      <c r="AW492" s="280"/>
      <c r="AX492" s="280"/>
      <c r="AY492" s="280"/>
    </row>
    <row r="493" spans="2:51" s="179" customFormat="1" ht="15.75" customHeight="1">
      <c r="C493" s="1240"/>
      <c r="D493" s="351"/>
      <c r="E493" s="1236"/>
      <c r="F493" s="280"/>
      <c r="G493" s="280"/>
      <c r="H493" s="280"/>
      <c r="I493" s="280"/>
      <c r="J493" s="280"/>
      <c r="K493" s="280"/>
      <c r="L493" s="280"/>
      <c r="M493" s="280"/>
      <c r="N493" s="280"/>
      <c r="O493" s="280"/>
      <c r="P493" s="280"/>
      <c r="Q493" s="280"/>
      <c r="R493" s="280"/>
      <c r="S493" s="280"/>
      <c r="T493" s="280"/>
      <c r="U493" s="280">
        <f t="shared" si="232"/>
        <v>0</v>
      </c>
      <c r="V493" s="280"/>
      <c r="W493" s="280"/>
      <c r="X493" s="280"/>
      <c r="Y493" s="280"/>
      <c r="Z493" s="280"/>
      <c r="AA493" s="280"/>
      <c r="AB493" s="280"/>
      <c r="AC493" s="280"/>
      <c r="AD493" s="280"/>
      <c r="AE493" s="280"/>
      <c r="AF493" s="280"/>
      <c r="AG493" s="280"/>
      <c r="AH493" s="280"/>
      <c r="AI493" s="280"/>
      <c r="AJ493" s="280"/>
      <c r="AK493" s="280"/>
      <c r="AL493" s="280"/>
      <c r="AM493" s="280"/>
      <c r="AN493" s="280"/>
      <c r="AO493" s="280"/>
      <c r="AP493" s="280"/>
      <c r="AQ493" s="280"/>
      <c r="AR493" s="280"/>
      <c r="AS493" s="280"/>
      <c r="AT493" s="280"/>
      <c r="AU493" s="280"/>
      <c r="AV493" s="280"/>
      <c r="AW493" s="280"/>
      <c r="AX493" s="280"/>
      <c r="AY493" s="280"/>
    </row>
    <row r="494" spans="2:51" s="179" customFormat="1" ht="15.75" customHeight="1">
      <c r="C494" s="1240" t="s">
        <v>1037</v>
      </c>
      <c r="D494" s="351"/>
      <c r="E494" s="1236"/>
      <c r="F494" s="280"/>
      <c r="G494" s="280"/>
      <c r="H494" s="280"/>
      <c r="I494" s="280"/>
      <c r="J494" s="280"/>
      <c r="K494" s="280"/>
      <c r="L494" s="280"/>
      <c r="M494" s="280">
        <f t="shared" ref="M494:R494" si="262">SUM(M487,M489:M492)</f>
        <v>8521142.1000000034</v>
      </c>
      <c r="N494" s="280">
        <f t="shared" si="262"/>
        <v>8521142.1000000034</v>
      </c>
      <c r="O494" s="280">
        <f t="shared" si="262"/>
        <v>10658756.060000002</v>
      </c>
      <c r="P494" s="280">
        <f t="shared" si="262"/>
        <v>10658756.060000002</v>
      </c>
      <c r="Q494" s="280">
        <f t="shared" si="262"/>
        <v>9455098.0279487167</v>
      </c>
      <c r="R494" s="280">
        <f t="shared" si="262"/>
        <v>9455100.0100000035</v>
      </c>
      <c r="S494" s="280"/>
      <c r="T494" s="280">
        <f>SUM(T487,T489:T492)</f>
        <v>2196838</v>
      </c>
      <c r="U494" s="280">
        <f t="shared" si="232"/>
        <v>2196838</v>
      </c>
      <c r="V494" s="280">
        <f t="shared" ref="V494:AU494" si="263">SUM(V487,V489:V492)</f>
        <v>9455100.0100000035</v>
      </c>
      <c r="W494" s="280">
        <f t="shared" si="263"/>
        <v>9455100.0100000035</v>
      </c>
      <c r="X494" s="280">
        <f t="shared" si="263"/>
        <v>9455100.0100000035</v>
      </c>
      <c r="Y494" s="280">
        <f t="shared" si="263"/>
        <v>9455100.0100000035</v>
      </c>
      <c r="Z494" s="280">
        <f t="shared" si="263"/>
        <v>9455100.0100000035</v>
      </c>
      <c r="AA494" s="280">
        <f t="shared" si="263"/>
        <v>9455100.0100000035</v>
      </c>
      <c r="AB494" s="280">
        <f t="shared" si="263"/>
        <v>9455100.0100000035</v>
      </c>
      <c r="AC494" s="280">
        <f t="shared" si="263"/>
        <v>9455100.0100000035</v>
      </c>
      <c r="AD494" s="280">
        <f t="shared" si="263"/>
        <v>9455100.0100000035</v>
      </c>
      <c r="AE494" s="280">
        <f t="shared" si="263"/>
        <v>9455100.0100000035</v>
      </c>
      <c r="AF494" s="280">
        <f t="shared" si="263"/>
        <v>9455100.0100000035</v>
      </c>
      <c r="AG494" s="280">
        <f t="shared" si="263"/>
        <v>9455100.0100000035</v>
      </c>
      <c r="AH494" s="280">
        <f t="shared" si="263"/>
        <v>9455100.0100000035</v>
      </c>
      <c r="AI494" s="280">
        <f t="shared" si="263"/>
        <v>9455100.0100000035</v>
      </c>
      <c r="AJ494" s="280">
        <f t="shared" si="263"/>
        <v>9455100.0100000035</v>
      </c>
      <c r="AK494" s="280">
        <f t="shared" si="263"/>
        <v>9455100.0100000035</v>
      </c>
      <c r="AL494" s="280">
        <f t="shared" si="263"/>
        <v>9455100.0100000035</v>
      </c>
      <c r="AM494" s="280">
        <f t="shared" si="263"/>
        <v>9455100.0100000035</v>
      </c>
      <c r="AN494" s="280">
        <f t="shared" si="263"/>
        <v>9455100.0100000035</v>
      </c>
      <c r="AO494" s="280">
        <f t="shared" si="263"/>
        <v>9455100.0100000035</v>
      </c>
      <c r="AP494" s="280">
        <f t="shared" si="263"/>
        <v>9455100.0100000035</v>
      </c>
      <c r="AQ494" s="280">
        <f t="shared" si="263"/>
        <v>9455100.0100000035</v>
      </c>
      <c r="AR494" s="280">
        <f t="shared" si="263"/>
        <v>9455100.0100000035</v>
      </c>
      <c r="AS494" s="280">
        <f t="shared" si="263"/>
        <v>9455100.0100000035</v>
      </c>
      <c r="AT494" s="280">
        <f t="shared" si="263"/>
        <v>9455100.0100000035</v>
      </c>
      <c r="AU494" s="280">
        <f t="shared" si="263"/>
        <v>9455100.0100000035</v>
      </c>
      <c r="AV494" s="280"/>
      <c r="AW494" s="280"/>
      <c r="AX494" s="280"/>
      <c r="AY494" s="280"/>
    </row>
    <row r="495" spans="2:51" s="179" customFormat="1" ht="15.75" customHeight="1">
      <c r="B495" s="1232"/>
      <c r="C495" s="406"/>
      <c r="D495" s="351"/>
      <c r="E495" s="1232"/>
      <c r="F495" s="1232"/>
      <c r="G495" s="1232"/>
      <c r="H495" s="1232"/>
      <c r="J495" s="1234"/>
      <c r="K495" s="1234"/>
      <c r="L495" s="1234"/>
      <c r="M495" s="322"/>
      <c r="N495" s="322"/>
      <c r="O495" s="322"/>
      <c r="P495" s="322"/>
      <c r="Q495" s="322"/>
      <c r="R495" s="322"/>
      <c r="S495" s="322"/>
      <c r="T495" s="322"/>
      <c r="U495" s="322">
        <f t="shared" si="232"/>
        <v>0</v>
      </c>
      <c r="V495" s="322"/>
      <c r="W495" s="322"/>
      <c r="X495" s="322"/>
      <c r="Y495" s="322"/>
      <c r="Z495" s="322"/>
      <c r="AA495" s="322"/>
      <c r="AB495" s="322"/>
      <c r="AC495" s="322"/>
      <c r="AD495" s="322"/>
      <c r="AE495" s="322"/>
      <c r="AF495" s="322"/>
      <c r="AG495" s="322"/>
      <c r="AH495" s="322"/>
      <c r="AI495" s="322"/>
      <c r="AJ495" s="322"/>
      <c r="AK495" s="322"/>
      <c r="AL495" s="322"/>
      <c r="AM495" s="322"/>
      <c r="AN495" s="322"/>
      <c r="AO495" s="322"/>
      <c r="AP495" s="322"/>
      <c r="AQ495" s="322"/>
      <c r="AR495" s="322"/>
      <c r="AS495" s="322"/>
      <c r="AT495" s="322"/>
      <c r="AU495" s="322"/>
      <c r="AV495" s="322"/>
      <c r="AW495" s="322"/>
      <c r="AX495" s="322"/>
      <c r="AY495" s="1234"/>
    </row>
    <row r="496" spans="2:51" s="179" customFormat="1" ht="15.75" customHeight="1">
      <c r="B496" s="1232"/>
      <c r="C496" s="406" t="s">
        <v>1038</v>
      </c>
      <c r="D496" s="351"/>
      <c r="E496" s="1232"/>
      <c r="F496" s="1232"/>
      <c r="G496" s="1232"/>
      <c r="H496" s="1232"/>
      <c r="J496" s="1234"/>
      <c r="K496" s="1234"/>
      <c r="L496" s="1234"/>
      <c r="M496" s="322">
        <v>265029516.63999999</v>
      </c>
      <c r="N496" s="322">
        <f t="shared" ref="N496:AU496" si="264">M496</f>
        <v>265029516.63999999</v>
      </c>
      <c r="O496" s="322">
        <f t="shared" si="264"/>
        <v>265029516.63999999</v>
      </c>
      <c r="P496" s="322">
        <f t="shared" si="264"/>
        <v>265029516.63999999</v>
      </c>
      <c r="Q496" s="322">
        <f t="shared" si="264"/>
        <v>265029516.63999999</v>
      </c>
      <c r="R496" s="322">
        <f t="shared" si="264"/>
        <v>265029516.63999999</v>
      </c>
      <c r="S496" s="322"/>
      <c r="T496" s="322">
        <f t="shared" si="264"/>
        <v>0</v>
      </c>
      <c r="U496" s="322">
        <f t="shared" si="232"/>
        <v>0</v>
      </c>
      <c r="V496" s="322">
        <f>R496</f>
        <v>265029516.63999999</v>
      </c>
      <c r="W496" s="322">
        <f t="shared" si="264"/>
        <v>265029516.63999999</v>
      </c>
      <c r="X496" s="322">
        <f t="shared" si="264"/>
        <v>265029516.63999999</v>
      </c>
      <c r="Y496" s="322">
        <f t="shared" si="264"/>
        <v>265029516.63999999</v>
      </c>
      <c r="Z496" s="322">
        <f t="shared" si="264"/>
        <v>265029516.63999999</v>
      </c>
      <c r="AA496" s="322">
        <f t="shared" si="264"/>
        <v>265029516.63999999</v>
      </c>
      <c r="AB496" s="322">
        <f t="shared" si="264"/>
        <v>265029516.63999999</v>
      </c>
      <c r="AC496" s="322">
        <f t="shared" si="264"/>
        <v>265029516.63999999</v>
      </c>
      <c r="AD496" s="322">
        <f t="shared" si="264"/>
        <v>265029516.63999999</v>
      </c>
      <c r="AE496" s="322">
        <f t="shared" si="264"/>
        <v>265029516.63999999</v>
      </c>
      <c r="AF496" s="322">
        <f t="shared" si="264"/>
        <v>265029516.63999999</v>
      </c>
      <c r="AG496" s="322">
        <f t="shared" si="264"/>
        <v>265029516.63999999</v>
      </c>
      <c r="AH496" s="322">
        <f t="shared" si="264"/>
        <v>265029516.63999999</v>
      </c>
      <c r="AI496" s="322">
        <f t="shared" si="264"/>
        <v>265029516.63999999</v>
      </c>
      <c r="AJ496" s="322">
        <f t="shared" si="264"/>
        <v>265029516.63999999</v>
      </c>
      <c r="AK496" s="322">
        <f t="shared" si="264"/>
        <v>265029516.63999999</v>
      </c>
      <c r="AL496" s="322">
        <f t="shared" si="264"/>
        <v>265029516.63999999</v>
      </c>
      <c r="AM496" s="322">
        <f t="shared" si="264"/>
        <v>265029516.63999999</v>
      </c>
      <c r="AN496" s="322">
        <f t="shared" si="264"/>
        <v>265029516.63999999</v>
      </c>
      <c r="AO496" s="322">
        <f t="shared" si="264"/>
        <v>265029516.63999999</v>
      </c>
      <c r="AP496" s="322">
        <f t="shared" si="264"/>
        <v>265029516.63999999</v>
      </c>
      <c r="AQ496" s="322">
        <f t="shared" si="264"/>
        <v>265029516.63999999</v>
      </c>
      <c r="AR496" s="322">
        <f t="shared" si="264"/>
        <v>265029516.63999999</v>
      </c>
      <c r="AS496" s="322">
        <f t="shared" si="264"/>
        <v>265029516.63999999</v>
      </c>
      <c r="AT496" s="322">
        <f t="shared" si="264"/>
        <v>265029516.63999999</v>
      </c>
      <c r="AU496" s="322">
        <f t="shared" si="264"/>
        <v>265029516.63999999</v>
      </c>
      <c r="AV496" s="322"/>
      <c r="AW496" s="322"/>
      <c r="AX496" s="322"/>
      <c r="AY496" s="1234"/>
    </row>
    <row r="497" spans="2:51" s="179" customFormat="1" ht="15.75" customHeight="1">
      <c r="B497" s="1232"/>
      <c r="C497" s="406" t="s">
        <v>1039</v>
      </c>
      <c r="D497" s="351"/>
      <c r="E497" s="1232"/>
      <c r="F497" s="1232"/>
      <c r="G497" s="1232"/>
      <c r="H497" s="1232"/>
      <c r="J497" s="1234"/>
      <c r="K497" s="1234"/>
      <c r="L497" s="1234"/>
      <c r="M497" s="322">
        <v>0.13000000000465661</v>
      </c>
      <c r="N497" s="322">
        <f t="shared" ref="N497:AU497" si="265">M497</f>
        <v>0.13000000000465661</v>
      </c>
      <c r="O497" s="322">
        <f t="shared" si="265"/>
        <v>0.13000000000465661</v>
      </c>
      <c r="P497" s="322">
        <f t="shared" si="265"/>
        <v>0.13000000000465661</v>
      </c>
      <c r="Q497" s="322">
        <f t="shared" si="265"/>
        <v>0.13000000000465661</v>
      </c>
      <c r="R497" s="322">
        <f t="shared" si="265"/>
        <v>0.13000000000465661</v>
      </c>
      <c r="S497" s="322"/>
      <c r="T497" s="322">
        <f t="shared" si="265"/>
        <v>0</v>
      </c>
      <c r="U497" s="322">
        <f t="shared" si="232"/>
        <v>0</v>
      </c>
      <c r="V497" s="322">
        <f>R497</f>
        <v>0.13000000000465661</v>
      </c>
      <c r="W497" s="322">
        <f t="shared" si="265"/>
        <v>0.13000000000465661</v>
      </c>
      <c r="X497" s="322">
        <f t="shared" si="265"/>
        <v>0.13000000000465661</v>
      </c>
      <c r="Y497" s="322">
        <f t="shared" si="265"/>
        <v>0.13000000000465661</v>
      </c>
      <c r="Z497" s="322">
        <f t="shared" si="265"/>
        <v>0.13000000000465661</v>
      </c>
      <c r="AA497" s="322">
        <f t="shared" si="265"/>
        <v>0.13000000000465661</v>
      </c>
      <c r="AB497" s="322">
        <f t="shared" si="265"/>
        <v>0.13000000000465661</v>
      </c>
      <c r="AC497" s="322">
        <f t="shared" si="265"/>
        <v>0.13000000000465661</v>
      </c>
      <c r="AD497" s="322">
        <f t="shared" si="265"/>
        <v>0.13000000000465661</v>
      </c>
      <c r="AE497" s="322">
        <f t="shared" si="265"/>
        <v>0.13000000000465661</v>
      </c>
      <c r="AF497" s="322">
        <f t="shared" si="265"/>
        <v>0.13000000000465661</v>
      </c>
      <c r="AG497" s="322">
        <f t="shared" si="265"/>
        <v>0.13000000000465661</v>
      </c>
      <c r="AH497" s="322">
        <f t="shared" si="265"/>
        <v>0.13000000000465661</v>
      </c>
      <c r="AI497" s="322">
        <f t="shared" si="265"/>
        <v>0.13000000000465661</v>
      </c>
      <c r="AJ497" s="322">
        <f t="shared" si="265"/>
        <v>0.13000000000465661</v>
      </c>
      <c r="AK497" s="322">
        <f t="shared" si="265"/>
        <v>0.13000000000465661</v>
      </c>
      <c r="AL497" s="322">
        <f t="shared" si="265"/>
        <v>0.13000000000465661</v>
      </c>
      <c r="AM497" s="322">
        <f t="shared" si="265"/>
        <v>0.13000000000465661</v>
      </c>
      <c r="AN497" s="322">
        <f t="shared" si="265"/>
        <v>0.13000000000465661</v>
      </c>
      <c r="AO497" s="322">
        <f t="shared" si="265"/>
        <v>0.13000000000465661</v>
      </c>
      <c r="AP497" s="322">
        <f t="shared" si="265"/>
        <v>0.13000000000465661</v>
      </c>
      <c r="AQ497" s="322">
        <f t="shared" si="265"/>
        <v>0.13000000000465661</v>
      </c>
      <c r="AR497" s="322">
        <f t="shared" si="265"/>
        <v>0.13000000000465661</v>
      </c>
      <c r="AS497" s="322">
        <f t="shared" si="265"/>
        <v>0.13000000000465661</v>
      </c>
      <c r="AT497" s="322">
        <f t="shared" si="265"/>
        <v>0.13000000000465661</v>
      </c>
      <c r="AU497" s="322">
        <f t="shared" si="265"/>
        <v>0.13000000000465661</v>
      </c>
      <c r="AV497" s="322"/>
      <c r="AW497" s="322"/>
      <c r="AX497" s="322"/>
      <c r="AY497" s="1234"/>
    </row>
    <row r="498" spans="2:51" s="179" customFormat="1" ht="15.75" customHeight="1">
      <c r="B498" s="1232"/>
      <c r="C498" s="406" t="s">
        <v>1040</v>
      </c>
      <c r="D498" s="351"/>
      <c r="E498" s="1232"/>
      <c r="F498" s="1232"/>
      <c r="G498" s="1232"/>
      <c r="H498" s="1232"/>
      <c r="J498" s="1234"/>
      <c r="K498" s="1234"/>
      <c r="L498" s="1234"/>
      <c r="M498" s="322">
        <v>-30528221.420000006</v>
      </c>
      <c r="N498" s="322" t="e">
        <f>M498+N440</f>
        <v>#REF!</v>
      </c>
      <c r="O498" s="322">
        <f>-33589136</f>
        <v>-33589136</v>
      </c>
      <c r="P498" s="322">
        <f>O498+P440</f>
        <v>-36650050.785869986</v>
      </c>
      <c r="Q498" s="322">
        <f>P498+P499</f>
        <v>-37052375.965869986</v>
      </c>
      <c r="R498" s="322">
        <f>Q498+Q499</f>
        <v>-47099595.633555323</v>
      </c>
      <c r="S498" s="322"/>
      <c r="T498" s="322">
        <f>S498+S499</f>
        <v>0</v>
      </c>
      <c r="U498" s="322">
        <f t="shared" si="232"/>
        <v>0</v>
      </c>
      <c r="V498" s="322">
        <f>R498+R499</f>
        <v>-51848213.841407135</v>
      </c>
      <c r="W498" s="322">
        <f t="shared" ref="W498:AU498" si="266">V498+V499</f>
        <v>167617967.44841474</v>
      </c>
      <c r="X498" s="322">
        <f t="shared" si="266"/>
        <v>409746230.01458693</v>
      </c>
      <c r="Y498" s="322">
        <f t="shared" si="266"/>
        <v>655096460.08444464</v>
      </c>
      <c r="Z498" s="322">
        <f t="shared" si="266"/>
        <v>902186994.05797625</v>
      </c>
      <c r="AA498" s="322">
        <f t="shared" si="266"/>
        <v>1149396835.3767478</v>
      </c>
      <c r="AB498" s="322">
        <f t="shared" si="266"/>
        <v>1396780812.3721714</v>
      </c>
      <c r="AC498" s="322">
        <f t="shared" si="266"/>
        <v>1648247752.4951489</v>
      </c>
      <c r="AD498" s="322">
        <f t="shared" si="266"/>
        <v>1899576692.6181264</v>
      </c>
      <c r="AE498" s="322">
        <f t="shared" si="266"/>
        <v>2150767632.7411041</v>
      </c>
      <c r="AF498" s="322">
        <f t="shared" si="266"/>
        <v>2418132548.4759316</v>
      </c>
      <c r="AG498" s="322">
        <f t="shared" si="266"/>
        <v>2697150977.0207591</v>
      </c>
      <c r="AH498" s="322">
        <f t="shared" si="266"/>
        <v>2976031405.5655866</v>
      </c>
      <c r="AI498" s="322">
        <f t="shared" si="266"/>
        <v>3254773834.110414</v>
      </c>
      <c r="AJ498" s="322">
        <f t="shared" si="266"/>
        <v>3533378262.6552415</v>
      </c>
      <c r="AK498" s="322">
        <f t="shared" si="266"/>
        <v>3811844691.200069</v>
      </c>
      <c r="AL498" s="322">
        <f t="shared" si="266"/>
        <v>4090173119.7448964</v>
      </c>
      <c r="AM498" s="322">
        <f t="shared" si="266"/>
        <v>4368363548.2897243</v>
      </c>
      <c r="AN498" s="322">
        <f t="shared" si="266"/>
        <v>4647235406.0544252</v>
      </c>
      <c r="AO498" s="322">
        <f t="shared" si="266"/>
        <v>4926322153.7358122</v>
      </c>
      <c r="AP498" s="322">
        <f t="shared" si="266"/>
        <v>5205270901.4171991</v>
      </c>
      <c r="AQ498" s="322">
        <f t="shared" si="266"/>
        <v>5484081649.0985861</v>
      </c>
      <c r="AR498" s="322">
        <f t="shared" si="266"/>
        <v>5762754396.779973</v>
      </c>
      <c r="AS498" s="322">
        <f t="shared" si="266"/>
        <v>6042669144.46136</v>
      </c>
      <c r="AT498" s="322">
        <f t="shared" si="266"/>
        <v>6322583892.1427469</v>
      </c>
      <c r="AU498" s="322">
        <f t="shared" si="266"/>
        <v>6602498639.8241339</v>
      </c>
      <c r="AV498" s="322"/>
      <c r="AW498" s="322"/>
      <c r="AX498" s="322"/>
      <c r="AY498" s="1234"/>
    </row>
    <row r="499" spans="2:51" s="179" customFormat="1" ht="15.75" customHeight="1">
      <c r="B499" s="1232"/>
      <c r="C499" s="406" t="s">
        <v>1041</v>
      </c>
      <c r="D499" s="351"/>
      <c r="E499" s="1232"/>
      <c r="F499" s="1232"/>
      <c r="G499" s="1232"/>
      <c r="H499" s="1232"/>
      <c r="J499" s="1234"/>
      <c r="K499" s="1234"/>
      <c r="L499" s="1234"/>
      <c r="M499" s="322">
        <v>-402325.18</v>
      </c>
      <c r="N499" s="322">
        <f>M499</f>
        <v>-402325.18</v>
      </c>
      <c r="O499" s="322">
        <f>N499</f>
        <v>-402325.18</v>
      </c>
      <c r="P499" s="322">
        <f>O499</f>
        <v>-402325.18</v>
      </c>
      <c r="Q499" s="322">
        <f>Q440</f>
        <v>-10047219.667685339</v>
      </c>
      <c r="R499" s="322">
        <f>R440</f>
        <v>-4748618.2078518122</v>
      </c>
      <c r="S499" s="322"/>
      <c r="T499" s="322">
        <f>T440</f>
        <v>5989924.6978590088</v>
      </c>
      <c r="U499" s="322">
        <f t="shared" si="232"/>
        <v>5989924.6978590088</v>
      </c>
      <c r="V499" s="322">
        <f t="shared" ref="V499:AU499" si="267">V440</f>
        <v>219466181.28982189</v>
      </c>
      <c r="W499" s="322">
        <f t="shared" si="267"/>
        <v>242128262.56617221</v>
      </c>
      <c r="X499" s="322">
        <f t="shared" si="267"/>
        <v>245350230.06985769</v>
      </c>
      <c r="Y499" s="322">
        <f t="shared" si="267"/>
        <v>247090533.97353154</v>
      </c>
      <c r="Z499" s="322">
        <f t="shared" si="267"/>
        <v>247209841.31877151</v>
      </c>
      <c r="AA499" s="322">
        <f t="shared" si="267"/>
        <v>247383976.99542356</v>
      </c>
      <c r="AB499" s="322">
        <f t="shared" si="267"/>
        <v>251466940.12297755</v>
      </c>
      <c r="AC499" s="322">
        <f t="shared" si="267"/>
        <v>251328940.12297755</v>
      </c>
      <c r="AD499" s="322">
        <f t="shared" si="267"/>
        <v>251190940.12297755</v>
      </c>
      <c r="AE499" s="322">
        <f t="shared" si="267"/>
        <v>267364915.73482764</v>
      </c>
      <c r="AF499" s="322">
        <f t="shared" si="267"/>
        <v>279018428.54482758</v>
      </c>
      <c r="AG499" s="322">
        <f t="shared" si="267"/>
        <v>278880428.54482758</v>
      </c>
      <c r="AH499" s="322">
        <f t="shared" si="267"/>
        <v>278742428.54482758</v>
      </c>
      <c r="AI499" s="322">
        <f t="shared" si="267"/>
        <v>278604428.54482758</v>
      </c>
      <c r="AJ499" s="322">
        <f t="shared" si="267"/>
        <v>278466428.54482758</v>
      </c>
      <c r="AK499" s="322">
        <f t="shared" si="267"/>
        <v>278328428.54482758</v>
      </c>
      <c r="AL499" s="322">
        <f t="shared" si="267"/>
        <v>278190428.54482758</v>
      </c>
      <c r="AM499" s="322">
        <f t="shared" si="267"/>
        <v>278871857.76470125</v>
      </c>
      <c r="AN499" s="322">
        <f t="shared" si="267"/>
        <v>279086747.68138695</v>
      </c>
      <c r="AO499" s="322">
        <f t="shared" si="267"/>
        <v>278948747.68138695</v>
      </c>
      <c r="AP499" s="322">
        <f t="shared" si="267"/>
        <v>278810747.68138695</v>
      </c>
      <c r="AQ499" s="322">
        <f t="shared" si="267"/>
        <v>278672747.68138695</v>
      </c>
      <c r="AR499" s="322">
        <f t="shared" si="267"/>
        <v>279914747.68138695</v>
      </c>
      <c r="AS499" s="322">
        <f t="shared" si="267"/>
        <v>279914747.68138695</v>
      </c>
      <c r="AT499" s="322">
        <f t="shared" si="267"/>
        <v>279914747.68138695</v>
      </c>
      <c r="AU499" s="322">
        <f t="shared" si="267"/>
        <v>279914747.68138695</v>
      </c>
      <c r="AV499" s="322"/>
      <c r="AW499" s="322"/>
      <c r="AX499" s="322"/>
      <c r="AY499" s="1234"/>
    </row>
    <row r="500" spans="2:51" s="179" customFormat="1" ht="15.75" customHeight="1">
      <c r="B500" s="1232"/>
      <c r="C500" s="351" t="s">
        <v>1042</v>
      </c>
      <c r="D500" s="351"/>
      <c r="E500" s="1232"/>
      <c r="F500" s="1232"/>
      <c r="G500" s="1232"/>
      <c r="H500" s="1232"/>
      <c r="J500" s="1234"/>
      <c r="K500" s="1234"/>
      <c r="L500" s="1234"/>
      <c r="M500" s="322">
        <f t="shared" ref="M500:R500" si="268">SUM(M496:M499)</f>
        <v>234098970.16999996</v>
      </c>
      <c r="N500" s="322" t="e">
        <f t="shared" si="268"/>
        <v>#REF!</v>
      </c>
      <c r="O500" s="322">
        <f t="shared" si="268"/>
        <v>231038055.58999997</v>
      </c>
      <c r="P500" s="322">
        <f t="shared" si="268"/>
        <v>227977140.80412999</v>
      </c>
      <c r="Q500" s="322">
        <f t="shared" si="268"/>
        <v>217929921.13644466</v>
      </c>
      <c r="R500" s="322">
        <f t="shared" si="268"/>
        <v>213181302.92859286</v>
      </c>
      <c r="S500" s="322"/>
      <c r="T500" s="322">
        <f>SUM(T496:T499)</f>
        <v>5989924.6978590088</v>
      </c>
      <c r="U500" s="322">
        <f t="shared" si="232"/>
        <v>5989924.6978590088</v>
      </c>
      <c r="V500" s="322">
        <f t="shared" ref="V500:AU500" si="269">SUM(V496:V499)</f>
        <v>432647484.21841478</v>
      </c>
      <c r="W500" s="322">
        <f t="shared" si="269"/>
        <v>674775746.78458691</v>
      </c>
      <c r="X500" s="322">
        <f t="shared" si="269"/>
        <v>920125976.85444462</v>
      </c>
      <c r="Y500" s="322">
        <f t="shared" si="269"/>
        <v>1167216510.8279762</v>
      </c>
      <c r="Z500" s="322">
        <f t="shared" si="269"/>
        <v>1414426352.1467478</v>
      </c>
      <c r="AA500" s="322">
        <f t="shared" si="269"/>
        <v>1661810329.1421714</v>
      </c>
      <c r="AB500" s="322">
        <f t="shared" si="269"/>
        <v>1913277269.2651489</v>
      </c>
      <c r="AC500" s="322">
        <f t="shared" si="269"/>
        <v>2164606209.3881264</v>
      </c>
      <c r="AD500" s="322">
        <f t="shared" si="269"/>
        <v>2415797149.5111041</v>
      </c>
      <c r="AE500" s="322">
        <f t="shared" si="269"/>
        <v>2683162065.2459316</v>
      </c>
      <c r="AF500" s="322">
        <f t="shared" si="269"/>
        <v>2962180493.7907591</v>
      </c>
      <c r="AG500" s="322">
        <f t="shared" si="269"/>
        <v>3241060922.3355865</v>
      </c>
      <c r="AH500" s="322">
        <f t="shared" si="269"/>
        <v>3519803350.880414</v>
      </c>
      <c r="AI500" s="322">
        <f t="shared" si="269"/>
        <v>3798407779.4252415</v>
      </c>
      <c r="AJ500" s="322">
        <f t="shared" si="269"/>
        <v>4076874207.9700689</v>
      </c>
      <c r="AK500" s="322">
        <f t="shared" si="269"/>
        <v>4355202636.5148964</v>
      </c>
      <c r="AL500" s="322">
        <f t="shared" si="269"/>
        <v>4633393065.0597239</v>
      </c>
      <c r="AM500" s="322">
        <f t="shared" si="269"/>
        <v>4912264922.8244257</v>
      </c>
      <c r="AN500" s="322">
        <f t="shared" si="269"/>
        <v>5191351670.5058117</v>
      </c>
      <c r="AO500" s="322">
        <f t="shared" si="269"/>
        <v>5470300418.1871986</v>
      </c>
      <c r="AP500" s="322">
        <f t="shared" si="269"/>
        <v>5749111165.8685856</v>
      </c>
      <c r="AQ500" s="322">
        <f t="shared" si="269"/>
        <v>6027783913.5499725</v>
      </c>
      <c r="AR500" s="322">
        <f t="shared" si="269"/>
        <v>6307698661.2313595</v>
      </c>
      <c r="AS500" s="322">
        <f t="shared" si="269"/>
        <v>6587613408.9127464</v>
      </c>
      <c r="AT500" s="322">
        <f t="shared" si="269"/>
        <v>6867528156.5941334</v>
      </c>
      <c r="AU500" s="322">
        <f t="shared" si="269"/>
        <v>7147442904.2755203</v>
      </c>
      <c r="AV500" s="322"/>
      <c r="AW500" s="322"/>
      <c r="AX500" s="322"/>
      <c r="AY500" s="1234"/>
    </row>
    <row r="501" spans="2:51" s="179" customFormat="1" ht="15.75" customHeight="1">
      <c r="B501" s="1232"/>
      <c r="C501" s="406"/>
      <c r="D501" s="351"/>
      <c r="E501" s="1232"/>
      <c r="F501" s="1232"/>
      <c r="G501" s="1232"/>
      <c r="H501" s="1232"/>
      <c r="J501" s="1234"/>
      <c r="K501" s="1234"/>
      <c r="L501" s="1234"/>
      <c r="M501" s="322"/>
      <c r="N501" s="322"/>
      <c r="O501" s="322"/>
      <c r="P501" s="322"/>
      <c r="Q501" s="322"/>
      <c r="R501" s="322"/>
      <c r="S501" s="322"/>
      <c r="T501" s="322"/>
      <c r="U501" s="322">
        <f t="shared" si="232"/>
        <v>0</v>
      </c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322"/>
      <c r="AL501" s="322"/>
      <c r="AM501" s="322"/>
      <c r="AN501" s="322"/>
      <c r="AO501" s="322"/>
      <c r="AP501" s="322"/>
      <c r="AQ501" s="322"/>
      <c r="AR501" s="322"/>
      <c r="AS501" s="322"/>
      <c r="AT501" s="322"/>
      <c r="AU501" s="322"/>
      <c r="AV501" s="322"/>
      <c r="AW501" s="322"/>
      <c r="AX501" s="322"/>
      <c r="AY501" s="1234"/>
    </row>
    <row r="502" spans="2:51" s="225" customFormat="1" ht="15.75" customHeight="1">
      <c r="B502" s="1237"/>
      <c r="C502" s="599" t="s">
        <v>1043</v>
      </c>
      <c r="D502" s="200"/>
      <c r="E502" s="1237"/>
      <c r="F502" s="1237"/>
      <c r="G502" s="1237"/>
      <c r="H502" s="1237"/>
      <c r="J502" s="1238"/>
      <c r="K502" s="1238"/>
      <c r="L502" s="1238"/>
      <c r="M502" s="1239">
        <f t="shared" ref="M502:R502" si="270">M494+M500</f>
        <v>242620112.26999995</v>
      </c>
      <c r="N502" s="1239" t="e">
        <f t="shared" si="270"/>
        <v>#REF!</v>
      </c>
      <c r="O502" s="1239">
        <f t="shared" si="270"/>
        <v>241696811.64999998</v>
      </c>
      <c r="P502" s="1239">
        <f t="shared" si="270"/>
        <v>238635896.86412999</v>
      </c>
      <c r="Q502" s="1239">
        <f t="shared" si="270"/>
        <v>227385019.16439337</v>
      </c>
      <c r="R502" s="1239">
        <f t="shared" si="270"/>
        <v>222636402.93859285</v>
      </c>
      <c r="S502" s="1239"/>
      <c r="T502" s="1239">
        <f>T494+T500</f>
        <v>8186762.6978590088</v>
      </c>
      <c r="U502" s="1239">
        <f t="shared" si="232"/>
        <v>8186762.6978590088</v>
      </c>
      <c r="V502" s="1239">
        <f t="shared" ref="V502:AU502" si="271">V494+V500</f>
        <v>442102584.22841477</v>
      </c>
      <c r="W502" s="1239">
        <f t="shared" si="271"/>
        <v>684230846.7945869</v>
      </c>
      <c r="X502" s="1239">
        <f t="shared" si="271"/>
        <v>929581076.86444461</v>
      </c>
      <c r="Y502" s="1239">
        <f t="shared" si="271"/>
        <v>1176671610.8379762</v>
      </c>
      <c r="Z502" s="1239">
        <f t="shared" si="271"/>
        <v>1423881452.1567478</v>
      </c>
      <c r="AA502" s="1239">
        <f t="shared" si="271"/>
        <v>1671265429.1521714</v>
      </c>
      <c r="AB502" s="1239">
        <f t="shared" si="271"/>
        <v>1922732369.2751489</v>
      </c>
      <c r="AC502" s="1239">
        <f t="shared" si="271"/>
        <v>2174061309.3981266</v>
      </c>
      <c r="AD502" s="1239">
        <f t="shared" si="271"/>
        <v>2425252249.5211043</v>
      </c>
      <c r="AE502" s="1239">
        <f t="shared" si="271"/>
        <v>2692617165.2559319</v>
      </c>
      <c r="AF502" s="1239">
        <f t="shared" si="271"/>
        <v>2971635593.8007593</v>
      </c>
      <c r="AG502" s="1239">
        <f t="shared" si="271"/>
        <v>3250516022.3455868</v>
      </c>
      <c r="AH502" s="1239">
        <f t="shared" si="271"/>
        <v>3529258450.8904142</v>
      </c>
      <c r="AI502" s="1239">
        <f t="shared" si="271"/>
        <v>3807862879.4352417</v>
      </c>
      <c r="AJ502" s="1239">
        <f t="shared" si="271"/>
        <v>4086329307.9800692</v>
      </c>
      <c r="AK502" s="1239">
        <f t="shared" si="271"/>
        <v>4364657736.5248966</v>
      </c>
      <c r="AL502" s="1239">
        <f t="shared" si="271"/>
        <v>4642848165.0697241</v>
      </c>
      <c r="AM502" s="1239">
        <f t="shared" si="271"/>
        <v>4921720022.8344259</v>
      </c>
      <c r="AN502" s="1239">
        <f t="shared" si="271"/>
        <v>5200806770.5158119</v>
      </c>
      <c r="AO502" s="1239">
        <f t="shared" si="271"/>
        <v>5479755518.1971989</v>
      </c>
      <c r="AP502" s="1239">
        <f t="shared" si="271"/>
        <v>5758566265.8785858</v>
      </c>
      <c r="AQ502" s="1239">
        <f t="shared" si="271"/>
        <v>6037239013.5599728</v>
      </c>
      <c r="AR502" s="1239">
        <f t="shared" si="271"/>
        <v>6317153761.2413597</v>
      </c>
      <c r="AS502" s="1239">
        <f t="shared" si="271"/>
        <v>6597068508.9227467</v>
      </c>
      <c r="AT502" s="1239">
        <f t="shared" si="271"/>
        <v>6876983256.6041336</v>
      </c>
      <c r="AU502" s="1239">
        <f t="shared" si="271"/>
        <v>7156898004.2855206</v>
      </c>
      <c r="AV502" s="1239"/>
      <c r="AW502" s="1239"/>
      <c r="AX502" s="1239"/>
      <c r="AY502" s="1238"/>
    </row>
    <row r="503" spans="2:51" s="179" customFormat="1" ht="15.75" customHeight="1">
      <c r="B503" s="1232"/>
      <c r="C503" s="406"/>
      <c r="D503" s="351"/>
      <c r="E503" s="1232"/>
      <c r="F503" s="1232"/>
      <c r="G503" s="1232"/>
      <c r="H503" s="1232"/>
      <c r="J503" s="1234"/>
      <c r="K503" s="1234"/>
      <c r="L503" s="1234"/>
      <c r="M503" s="322"/>
      <c r="N503" s="322"/>
      <c r="O503" s="322"/>
      <c r="P503" s="322"/>
      <c r="Q503" s="322"/>
      <c r="R503" s="322"/>
      <c r="S503" s="322"/>
      <c r="T503" s="322"/>
      <c r="U503" s="322">
        <f t="shared" si="232"/>
        <v>0</v>
      </c>
      <c r="V503" s="322"/>
      <c r="W503" s="322"/>
      <c r="X503" s="322"/>
      <c r="Y503" s="322"/>
      <c r="Z503" s="322"/>
      <c r="AA503" s="322"/>
      <c r="AB503" s="322"/>
      <c r="AC503" s="322"/>
      <c r="AD503" s="322"/>
      <c r="AE503" s="322"/>
      <c r="AF503" s="322"/>
      <c r="AG503" s="322"/>
      <c r="AH503" s="322"/>
      <c r="AI503" s="322"/>
      <c r="AJ503" s="322"/>
      <c r="AK503" s="322"/>
      <c r="AL503" s="322"/>
      <c r="AM503" s="322"/>
      <c r="AN503" s="322"/>
      <c r="AO503" s="322"/>
      <c r="AP503" s="322"/>
      <c r="AQ503" s="322"/>
      <c r="AR503" s="322"/>
      <c r="AS503" s="322"/>
      <c r="AT503" s="322"/>
      <c r="AU503" s="322"/>
      <c r="AV503" s="322"/>
      <c r="AW503" s="322"/>
      <c r="AX503" s="322"/>
      <c r="AY503" s="1234"/>
    </row>
    <row r="504" spans="2:51" s="179" customFormat="1" ht="15.75" customHeight="1">
      <c r="B504" s="1232"/>
      <c r="C504" s="406" t="s">
        <v>365</v>
      </c>
      <c r="D504" s="351"/>
      <c r="E504" s="1232"/>
      <c r="F504" s="1232"/>
      <c r="G504" s="1232"/>
      <c r="H504" s="1232"/>
      <c r="J504" s="1234"/>
      <c r="K504" s="1234"/>
      <c r="L504" s="1234"/>
      <c r="M504" s="322">
        <f>IF(M478=M502,"ok",M478-M502)</f>
        <v>2137614.0100000501</v>
      </c>
      <c r="N504" s="322" t="e">
        <f>IF(N478=N502,"ok",N478-N502)</f>
        <v>#REF!</v>
      </c>
      <c r="O504" s="322">
        <f>IF(ROUND(O478,0)=ROUND(O502,0),"ok",O478-O502)</f>
        <v>-0.15586996078491211</v>
      </c>
      <c r="P504" s="322" t="str">
        <f>IF(ROUND(P478,0)=ROUND(P502,0),"ok",P478-P502)</f>
        <v>ok</v>
      </c>
      <c r="Q504" s="322" t="str">
        <f>IF(ROUND(Q478,0)=ROUND(Q502,0),"ok",Q478-Q502)</f>
        <v>ok</v>
      </c>
      <c r="R504" s="322" t="str">
        <f>IF(ROUND(R478,0)=ROUND(R502,0),"ok",R478-R502)</f>
        <v>ok</v>
      </c>
      <c r="S504" s="322"/>
      <c r="T504" s="322">
        <f>IF(ROUND(T478,0)=ROUND(T502,0),"ok",T478-T502)</f>
        <v>-445665205.83942527</v>
      </c>
      <c r="U504" s="322">
        <f t="shared" si="232"/>
        <v>-445665205.83942527</v>
      </c>
      <c r="V504" s="322" t="str">
        <f t="shared" ref="V504:AU504" si="272">IF(ROUND(V478,0)=ROUND(V502,0),"ok",V478-V502)</f>
        <v>ok</v>
      </c>
      <c r="W504" s="322" t="str">
        <f t="shared" si="272"/>
        <v>ok</v>
      </c>
      <c r="X504" s="322" t="str">
        <f t="shared" si="272"/>
        <v>ok</v>
      </c>
      <c r="Y504" s="322" t="str">
        <f t="shared" si="272"/>
        <v>ok</v>
      </c>
      <c r="Z504" s="322" t="str">
        <f t="shared" si="272"/>
        <v>ok</v>
      </c>
      <c r="AA504" s="322" t="str">
        <f t="shared" si="272"/>
        <v>ok</v>
      </c>
      <c r="AB504" s="322" t="str">
        <f t="shared" si="272"/>
        <v>ok</v>
      </c>
      <c r="AC504" s="322">
        <f t="shared" si="272"/>
        <v>0.20413017272949219</v>
      </c>
      <c r="AD504" s="322" t="str">
        <f t="shared" si="272"/>
        <v>ok</v>
      </c>
      <c r="AE504" s="322" t="str">
        <f t="shared" si="272"/>
        <v>ok</v>
      </c>
      <c r="AF504" s="322" t="str">
        <f t="shared" si="272"/>
        <v>ok</v>
      </c>
      <c r="AG504" s="322">
        <f t="shared" si="272"/>
        <v>0.20413017272949219</v>
      </c>
      <c r="AH504" s="322" t="str">
        <f t="shared" si="272"/>
        <v>ok</v>
      </c>
      <c r="AI504" s="322">
        <f t="shared" si="272"/>
        <v>0.20412921905517578</v>
      </c>
      <c r="AJ504" s="322" t="str">
        <f t="shared" si="272"/>
        <v>ok</v>
      </c>
      <c r="AK504" s="322" t="str">
        <f t="shared" si="272"/>
        <v>ok</v>
      </c>
      <c r="AL504" s="322" t="str">
        <f t="shared" si="272"/>
        <v>ok</v>
      </c>
      <c r="AM504" s="322" t="str">
        <f t="shared" si="272"/>
        <v>ok</v>
      </c>
      <c r="AN504" s="322" t="str">
        <f t="shared" si="272"/>
        <v>ok</v>
      </c>
      <c r="AO504" s="322" t="str">
        <f t="shared" si="272"/>
        <v>ok</v>
      </c>
      <c r="AP504" s="322" t="str">
        <f t="shared" si="272"/>
        <v>ok</v>
      </c>
      <c r="AQ504" s="322" t="str">
        <f t="shared" si="272"/>
        <v>ok</v>
      </c>
      <c r="AR504" s="322" t="str">
        <f t="shared" si="272"/>
        <v>ok</v>
      </c>
      <c r="AS504" s="322" t="str">
        <f t="shared" si="272"/>
        <v>ok</v>
      </c>
      <c r="AT504" s="322" t="str">
        <f t="shared" si="272"/>
        <v>ok</v>
      </c>
      <c r="AU504" s="322" t="str">
        <f t="shared" si="272"/>
        <v>ok</v>
      </c>
      <c r="AV504" s="322"/>
      <c r="AW504" s="322"/>
      <c r="AX504" s="322"/>
      <c r="AY504" s="1234"/>
    </row>
    <row r="505" spans="2:51" ht="15.75" customHeight="1">
      <c r="B505" s="244"/>
      <c r="D505" s="242"/>
      <c r="E505" s="227"/>
      <c r="F505" s="227"/>
      <c r="G505" s="227"/>
      <c r="H505" s="227"/>
      <c r="J505" s="253"/>
      <c r="K505" s="253"/>
      <c r="L505" s="253"/>
      <c r="M505" s="378"/>
      <c r="N505" s="253"/>
      <c r="O505" s="253"/>
      <c r="P505" s="253"/>
      <c r="Q505" s="253"/>
      <c r="R505" s="253"/>
      <c r="S505" s="253"/>
      <c r="T505" s="253"/>
      <c r="U505" s="253">
        <f t="shared" si="232"/>
        <v>0</v>
      </c>
      <c r="V505" s="253"/>
      <c r="W505" s="253"/>
      <c r="X505" s="253"/>
      <c r="Y505" s="253"/>
      <c r="Z505" s="253"/>
      <c r="AA505" s="253"/>
      <c r="AB505" s="253"/>
      <c r="AC505" s="253"/>
      <c r="AD505" s="253"/>
      <c r="AE505" s="253"/>
      <c r="AF505" s="253"/>
      <c r="AG505" s="253"/>
      <c r="AH505" s="253"/>
      <c r="AI505" s="253"/>
      <c r="AJ505" s="253"/>
      <c r="AK505" s="253"/>
      <c r="AL505" s="253"/>
      <c r="AM505" s="253"/>
      <c r="AN505" s="253"/>
      <c r="AO505" s="253"/>
      <c r="AP505" s="253"/>
      <c r="AQ505" s="253"/>
      <c r="AR505" s="253"/>
      <c r="AS505" s="253"/>
      <c r="AT505" s="253"/>
      <c r="AU505" s="253"/>
      <c r="AV505" s="253"/>
      <c r="AW505" s="253"/>
      <c r="AX505" s="253"/>
      <c r="AY505" s="253"/>
    </row>
    <row r="506" spans="2:51" ht="27">
      <c r="B506" s="244"/>
      <c r="C506" s="366" t="s">
        <v>197</v>
      </c>
      <c r="I506" s="227"/>
      <c r="J506" s="227"/>
      <c r="K506" s="226"/>
      <c r="L506" s="228"/>
      <c r="M506" s="368"/>
      <c r="N506" s="228"/>
      <c r="O506" s="228"/>
      <c r="P506" s="228"/>
      <c r="Q506" s="228"/>
      <c r="R506" s="228"/>
      <c r="S506" s="228"/>
      <c r="T506" s="228"/>
      <c r="U506" s="228">
        <f t="shared" si="232"/>
        <v>0</v>
      </c>
      <c r="V506" s="228"/>
      <c r="W506" s="228"/>
      <c r="X506" s="228"/>
      <c r="Y506" s="228"/>
      <c r="Z506" s="228"/>
      <c r="AA506" s="228"/>
      <c r="AB506" s="228"/>
      <c r="AC506" s="228"/>
      <c r="AD506" s="228"/>
      <c r="AE506" s="228"/>
      <c r="AF506" s="228"/>
      <c r="AG506" s="228"/>
      <c r="AH506" s="228"/>
      <c r="AI506" s="228"/>
      <c r="AJ506" s="228"/>
      <c r="AK506" s="228"/>
      <c r="AL506" s="228"/>
      <c r="AM506" s="228"/>
      <c r="AN506" s="228"/>
      <c r="AO506" s="228"/>
      <c r="AP506" s="228"/>
      <c r="AQ506" s="228"/>
      <c r="AR506" s="228"/>
      <c r="AS506" s="228"/>
      <c r="AT506" s="228"/>
      <c r="AU506" s="228"/>
      <c r="AV506" s="228"/>
      <c r="AW506" s="228"/>
      <c r="AX506" s="228"/>
      <c r="AY506" s="228"/>
    </row>
    <row r="507" spans="2:51" ht="3" customHeight="1">
      <c r="B507" s="244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>
        <f t="shared" si="232"/>
        <v>0</v>
      </c>
      <c r="V507" s="229"/>
      <c r="W507" s="229"/>
      <c r="X507" s="229"/>
      <c r="Y507" s="229"/>
      <c r="Z507" s="229"/>
      <c r="AA507" s="229"/>
      <c r="AB507" s="229"/>
      <c r="AC507" s="229"/>
      <c r="AD507" s="229"/>
      <c r="AE507" s="229"/>
      <c r="AF507" s="229"/>
      <c r="AG507" s="229"/>
      <c r="AH507" s="229"/>
      <c r="AI507" s="229"/>
      <c r="AJ507" s="229"/>
      <c r="AK507" s="229"/>
      <c r="AL507" s="229"/>
      <c r="AM507" s="229"/>
      <c r="AN507" s="229"/>
      <c r="AO507" s="229"/>
      <c r="AP507" s="229"/>
      <c r="AQ507" s="229"/>
      <c r="AR507" s="229"/>
      <c r="AS507" s="229"/>
      <c r="AT507" s="229"/>
      <c r="AU507" s="229"/>
      <c r="AV507" s="229"/>
      <c r="AW507" s="229"/>
      <c r="AX507" s="229"/>
      <c r="AY507" s="229"/>
    </row>
    <row r="508" spans="2:51" ht="9.75" customHeight="1">
      <c r="B508" s="244"/>
      <c r="C508" s="169"/>
      <c r="I508" s="227"/>
      <c r="J508" s="227"/>
      <c r="K508" s="226"/>
      <c r="L508" s="228"/>
      <c r="M508" s="368"/>
      <c r="N508" s="228"/>
      <c r="O508" s="228"/>
      <c r="P508" s="228"/>
      <c r="Q508" s="228"/>
      <c r="R508" s="228"/>
      <c r="S508" s="228"/>
      <c r="T508" s="228"/>
      <c r="U508" s="228">
        <f t="shared" si="232"/>
        <v>0</v>
      </c>
      <c r="V508" s="228"/>
      <c r="W508" s="228"/>
      <c r="X508" s="228"/>
      <c r="Y508" s="228"/>
      <c r="Z508" s="228"/>
      <c r="AA508" s="228"/>
      <c r="AB508" s="228"/>
      <c r="AC508" s="228"/>
      <c r="AD508" s="228"/>
      <c r="AE508" s="228"/>
      <c r="AF508" s="228"/>
      <c r="AG508" s="228"/>
      <c r="AH508" s="228"/>
      <c r="AI508" s="228"/>
      <c r="AJ508" s="228"/>
      <c r="AK508" s="228"/>
      <c r="AL508" s="228"/>
      <c r="AM508" s="228"/>
      <c r="AN508" s="228"/>
      <c r="AO508" s="228"/>
      <c r="AP508" s="228"/>
      <c r="AQ508" s="228"/>
      <c r="AR508" s="228"/>
      <c r="AS508" s="228"/>
      <c r="AT508" s="228"/>
      <c r="AU508" s="228"/>
      <c r="AV508" s="228"/>
      <c r="AW508" s="228"/>
      <c r="AX508" s="228"/>
      <c r="AY508" s="228"/>
    </row>
    <row r="509" spans="2:51" ht="10.5" customHeight="1">
      <c r="B509" s="214"/>
      <c r="C509" s="313" t="s">
        <v>196</v>
      </c>
      <c r="I509" s="227"/>
      <c r="J509" s="230"/>
      <c r="K509" s="231"/>
      <c r="L509" s="232"/>
      <c r="M509" s="232"/>
      <c r="N509" s="232"/>
      <c r="O509" s="232"/>
      <c r="P509" s="232"/>
      <c r="Q509" s="232"/>
      <c r="R509" s="232"/>
      <c r="S509" s="232"/>
      <c r="T509" s="232"/>
      <c r="U509" s="232">
        <f t="shared" si="232"/>
        <v>0</v>
      </c>
      <c r="V509" s="232"/>
      <c r="W509" s="232"/>
      <c r="X509" s="232"/>
      <c r="Y509" s="232"/>
      <c r="Z509" s="232"/>
      <c r="AA509" s="232"/>
      <c r="AB509" s="232"/>
      <c r="AC509" s="232"/>
      <c r="AD509" s="232"/>
      <c r="AE509" s="232"/>
      <c r="AF509" s="232"/>
      <c r="AG509" s="232"/>
      <c r="AH509" s="232"/>
      <c r="AI509" s="232"/>
      <c r="AJ509" s="232"/>
      <c r="AK509" s="232"/>
      <c r="AL509" s="232"/>
      <c r="AM509" s="232"/>
      <c r="AN509" s="232"/>
      <c r="AO509" s="232"/>
      <c r="AP509" s="232"/>
      <c r="AQ509" s="232"/>
      <c r="AR509" s="232"/>
      <c r="AS509" s="232"/>
      <c r="AT509" s="232"/>
      <c r="AU509" s="232"/>
      <c r="AV509" s="232"/>
      <c r="AW509" s="232"/>
      <c r="AX509" s="232"/>
      <c r="AY509" s="232"/>
    </row>
    <row r="510" spans="2:51">
      <c r="B510" s="214"/>
      <c r="C510" s="348"/>
      <c r="D510" s="233"/>
      <c r="E510" s="233"/>
      <c r="F510" s="233"/>
      <c r="G510" s="233"/>
      <c r="H510" s="233"/>
      <c r="I510" s="174"/>
      <c r="J510" s="174"/>
      <c r="K510" s="174"/>
      <c r="L510" s="175"/>
      <c r="M510" s="1300"/>
      <c r="N510" s="1300"/>
      <c r="O510" s="175">
        <v>-3</v>
      </c>
      <c r="P510" s="175">
        <f>O510+1</f>
        <v>-2</v>
      </c>
      <c r="Q510" s="175">
        <f>P510+1</f>
        <v>-1</v>
      </c>
      <c r="R510" s="175">
        <f>Q510+2</f>
        <v>1</v>
      </c>
      <c r="S510" s="175">
        <f>$S$8</f>
        <v>0</v>
      </c>
      <c r="T510" s="175">
        <f>$T$8</f>
        <v>0</v>
      </c>
      <c r="U510" s="175" t="str">
        <f>$U$7</f>
        <v>Revised</v>
      </c>
      <c r="V510" s="175">
        <f>R510+1</f>
        <v>2</v>
      </c>
      <c r="W510" s="175">
        <f>V510+1</f>
        <v>3</v>
      </c>
      <c r="X510" s="175">
        <f t="shared" ref="X510:AU511" si="273">W510+1</f>
        <v>4</v>
      </c>
      <c r="Y510" s="175">
        <f t="shared" si="273"/>
        <v>5</v>
      </c>
      <c r="Z510" s="175">
        <f t="shared" si="273"/>
        <v>6</v>
      </c>
      <c r="AA510" s="175">
        <f t="shared" si="273"/>
        <v>7</v>
      </c>
      <c r="AB510" s="175">
        <f t="shared" si="273"/>
        <v>8</v>
      </c>
      <c r="AC510" s="175">
        <f t="shared" si="273"/>
        <v>9</v>
      </c>
      <c r="AD510" s="175">
        <f t="shared" si="273"/>
        <v>10</v>
      </c>
      <c r="AE510" s="175">
        <f t="shared" si="273"/>
        <v>11</v>
      </c>
      <c r="AF510" s="175">
        <f t="shared" si="273"/>
        <v>12</v>
      </c>
      <c r="AG510" s="175">
        <f t="shared" si="273"/>
        <v>13</v>
      </c>
      <c r="AH510" s="175">
        <f t="shared" si="273"/>
        <v>14</v>
      </c>
      <c r="AI510" s="175">
        <f t="shared" si="273"/>
        <v>15</v>
      </c>
      <c r="AJ510" s="175">
        <f t="shared" si="273"/>
        <v>16</v>
      </c>
      <c r="AK510" s="175">
        <f t="shared" si="273"/>
        <v>17</v>
      </c>
      <c r="AL510" s="175">
        <f t="shared" si="273"/>
        <v>18</v>
      </c>
      <c r="AM510" s="175">
        <f t="shared" si="273"/>
        <v>19</v>
      </c>
      <c r="AN510" s="175">
        <f t="shared" si="273"/>
        <v>20</v>
      </c>
      <c r="AO510" s="175">
        <f t="shared" si="273"/>
        <v>21</v>
      </c>
      <c r="AP510" s="175">
        <f t="shared" si="273"/>
        <v>22</v>
      </c>
      <c r="AQ510" s="175">
        <f t="shared" si="273"/>
        <v>23</v>
      </c>
      <c r="AR510" s="175">
        <f t="shared" si="273"/>
        <v>24</v>
      </c>
      <c r="AS510" s="175">
        <f t="shared" si="273"/>
        <v>25</v>
      </c>
      <c r="AT510" s="175">
        <f t="shared" si="273"/>
        <v>26</v>
      </c>
      <c r="AU510" s="175">
        <f t="shared" si="273"/>
        <v>27</v>
      </c>
      <c r="AV510" s="175"/>
      <c r="AW510" s="175"/>
      <c r="AX510" s="175"/>
      <c r="AY510" s="175"/>
    </row>
    <row r="511" spans="2:51">
      <c r="B511" s="214"/>
      <c r="C511" s="349"/>
      <c r="D511" s="234"/>
      <c r="E511" s="234"/>
      <c r="F511" s="234"/>
      <c r="G511" s="234"/>
      <c r="H511" s="234"/>
      <c r="I511" s="176"/>
      <c r="J511" s="176"/>
      <c r="K511" s="176"/>
      <c r="L511" s="176"/>
      <c r="M511" s="758"/>
      <c r="N511" s="758">
        <f>N8</f>
        <v>0</v>
      </c>
      <c r="O511" s="758">
        <f>O8</f>
        <v>0</v>
      </c>
      <c r="P511" s="758">
        <f>P8</f>
        <v>0</v>
      </c>
      <c r="Q511" s="758">
        <f>P511+1</f>
        <v>1</v>
      </c>
      <c r="R511" s="758">
        <f>Q511+1</f>
        <v>2</v>
      </c>
      <c r="S511" s="758"/>
      <c r="T511" s="758"/>
      <c r="U511" s="758">
        <f>$U$8</f>
        <v>0</v>
      </c>
      <c r="V511" s="758">
        <f>R511+1</f>
        <v>3</v>
      </c>
      <c r="W511" s="758">
        <f>V511+1</f>
        <v>4</v>
      </c>
      <c r="X511" s="758">
        <f t="shared" si="273"/>
        <v>5</v>
      </c>
      <c r="Y511" s="758">
        <f t="shared" si="273"/>
        <v>6</v>
      </c>
      <c r="Z511" s="758">
        <f t="shared" si="273"/>
        <v>7</v>
      </c>
      <c r="AA511" s="758">
        <f t="shared" si="273"/>
        <v>8</v>
      </c>
      <c r="AB511" s="758">
        <f t="shared" si="273"/>
        <v>9</v>
      </c>
      <c r="AC511" s="758">
        <f t="shared" si="273"/>
        <v>10</v>
      </c>
      <c r="AD511" s="758">
        <f t="shared" si="273"/>
        <v>11</v>
      </c>
      <c r="AE511" s="758">
        <f t="shared" si="273"/>
        <v>12</v>
      </c>
      <c r="AF511" s="758">
        <f t="shared" si="273"/>
        <v>13</v>
      </c>
      <c r="AG511" s="758">
        <f t="shared" si="273"/>
        <v>14</v>
      </c>
      <c r="AH511" s="758">
        <f t="shared" si="273"/>
        <v>15</v>
      </c>
      <c r="AI511" s="758">
        <f t="shared" si="273"/>
        <v>16</v>
      </c>
      <c r="AJ511" s="758">
        <f t="shared" si="273"/>
        <v>17</v>
      </c>
      <c r="AK511" s="758">
        <f t="shared" si="273"/>
        <v>18</v>
      </c>
      <c r="AL511" s="758">
        <f t="shared" si="273"/>
        <v>19</v>
      </c>
      <c r="AM511" s="758">
        <f t="shared" si="273"/>
        <v>20</v>
      </c>
      <c r="AN511" s="758">
        <f t="shared" si="273"/>
        <v>21</v>
      </c>
      <c r="AO511" s="758">
        <f t="shared" si="273"/>
        <v>22</v>
      </c>
      <c r="AP511" s="758">
        <f t="shared" si="273"/>
        <v>23</v>
      </c>
      <c r="AQ511" s="758">
        <f t="shared" si="273"/>
        <v>24</v>
      </c>
      <c r="AR511" s="758">
        <f t="shared" si="273"/>
        <v>25</v>
      </c>
      <c r="AS511" s="758">
        <f t="shared" si="273"/>
        <v>26</v>
      </c>
      <c r="AT511" s="758">
        <f t="shared" si="273"/>
        <v>27</v>
      </c>
      <c r="AU511" s="758">
        <f t="shared" si="273"/>
        <v>28</v>
      </c>
      <c r="AV511" s="758"/>
      <c r="AW511" s="758"/>
      <c r="AX511" s="758"/>
      <c r="AY511" s="758"/>
    </row>
    <row r="512" spans="2:51">
      <c r="B512" s="214"/>
      <c r="C512" s="359"/>
      <c r="D512" s="260"/>
      <c r="E512" s="235"/>
      <c r="F512" s="235"/>
      <c r="G512" s="235"/>
      <c r="H512" s="235"/>
      <c r="I512" s="178"/>
      <c r="J512" s="178"/>
      <c r="K512" s="245"/>
      <c r="L512" s="245"/>
      <c r="M512" s="178" t="s">
        <v>499</v>
      </c>
      <c r="N512" s="178" t="s">
        <v>499</v>
      </c>
      <c r="O512" s="178" t="s">
        <v>499</v>
      </c>
      <c r="P512" s="178" t="str">
        <f t="shared" ref="P512:U512" si="274">O512</f>
        <v>($)</v>
      </c>
      <c r="Q512" s="178" t="str">
        <f t="shared" si="274"/>
        <v>($)</v>
      </c>
      <c r="R512" s="178" t="str">
        <f t="shared" si="274"/>
        <v>($)</v>
      </c>
      <c r="S512" s="178" t="str">
        <f t="shared" si="274"/>
        <v>($)</v>
      </c>
      <c r="T512" s="178" t="str">
        <f t="shared" si="274"/>
        <v>($)</v>
      </c>
      <c r="U512" s="178" t="str">
        <f t="shared" si="274"/>
        <v>($)</v>
      </c>
      <c r="V512" s="178" t="str">
        <f>R512</f>
        <v>($)</v>
      </c>
      <c r="W512" s="178" t="str">
        <f>V512</f>
        <v>($)</v>
      </c>
      <c r="X512" s="178" t="str">
        <f t="shared" ref="X512:AU512" si="275">W512</f>
        <v>($)</v>
      </c>
      <c r="Y512" s="178" t="str">
        <f t="shared" si="275"/>
        <v>($)</v>
      </c>
      <c r="Z512" s="178" t="str">
        <f t="shared" si="275"/>
        <v>($)</v>
      </c>
      <c r="AA512" s="178" t="str">
        <f t="shared" si="275"/>
        <v>($)</v>
      </c>
      <c r="AB512" s="178" t="str">
        <f t="shared" si="275"/>
        <v>($)</v>
      </c>
      <c r="AC512" s="178" t="str">
        <f t="shared" si="275"/>
        <v>($)</v>
      </c>
      <c r="AD512" s="178" t="str">
        <f t="shared" si="275"/>
        <v>($)</v>
      </c>
      <c r="AE512" s="178" t="str">
        <f t="shared" si="275"/>
        <v>($)</v>
      </c>
      <c r="AF512" s="178" t="str">
        <f t="shared" si="275"/>
        <v>($)</v>
      </c>
      <c r="AG512" s="178" t="str">
        <f t="shared" si="275"/>
        <v>($)</v>
      </c>
      <c r="AH512" s="178" t="str">
        <f t="shared" si="275"/>
        <v>($)</v>
      </c>
      <c r="AI512" s="178" t="str">
        <f t="shared" si="275"/>
        <v>($)</v>
      </c>
      <c r="AJ512" s="178" t="str">
        <f t="shared" si="275"/>
        <v>($)</v>
      </c>
      <c r="AK512" s="178" t="str">
        <f t="shared" si="275"/>
        <v>($)</v>
      </c>
      <c r="AL512" s="178" t="str">
        <f t="shared" si="275"/>
        <v>($)</v>
      </c>
      <c r="AM512" s="178" t="str">
        <f t="shared" si="275"/>
        <v>($)</v>
      </c>
      <c r="AN512" s="178" t="str">
        <f t="shared" si="275"/>
        <v>($)</v>
      </c>
      <c r="AO512" s="178" t="str">
        <f t="shared" si="275"/>
        <v>($)</v>
      </c>
      <c r="AP512" s="178" t="str">
        <f t="shared" si="275"/>
        <v>($)</v>
      </c>
      <c r="AQ512" s="178" t="str">
        <f t="shared" si="275"/>
        <v>($)</v>
      </c>
      <c r="AR512" s="178" t="str">
        <f t="shared" si="275"/>
        <v>($)</v>
      </c>
      <c r="AS512" s="178" t="str">
        <f t="shared" si="275"/>
        <v>($)</v>
      </c>
      <c r="AT512" s="178" t="str">
        <f t="shared" si="275"/>
        <v>($)</v>
      </c>
      <c r="AU512" s="178" t="str">
        <f t="shared" si="275"/>
        <v>($)</v>
      </c>
      <c r="AV512" s="178"/>
      <c r="AW512" s="178"/>
      <c r="AX512" s="178"/>
      <c r="AY512" s="178"/>
    </row>
    <row r="513" spans="1:51" ht="7.5" customHeight="1">
      <c r="B513" s="244"/>
      <c r="C513" s="242"/>
      <c r="D513" s="242"/>
      <c r="E513" s="242"/>
      <c r="F513" s="242"/>
      <c r="G513" s="242"/>
      <c r="H513" s="242"/>
      <c r="I513" s="242"/>
      <c r="J513" s="237"/>
      <c r="K513" s="257"/>
      <c r="L513" s="257"/>
      <c r="M513" s="185"/>
      <c r="U513" s="577">
        <f t="shared" si="232"/>
        <v>0</v>
      </c>
      <c r="X513" s="577"/>
      <c r="Y513" s="577"/>
      <c r="Z513" s="577"/>
      <c r="AA513" s="577"/>
      <c r="AB513" s="577"/>
      <c r="AC513" s="577"/>
      <c r="AD513" s="577"/>
      <c r="AE513" s="577"/>
      <c r="AF513" s="577"/>
      <c r="AG513" s="577"/>
      <c r="AH513" s="577"/>
      <c r="AI513" s="577"/>
      <c r="AJ513" s="577"/>
      <c r="AK513" s="577"/>
      <c r="AL513" s="577"/>
      <c r="AM513" s="577"/>
      <c r="AN513" s="577"/>
      <c r="AO513" s="577"/>
      <c r="AP513" s="577"/>
      <c r="AQ513" s="577"/>
      <c r="AR513" s="577"/>
      <c r="AS513" s="577"/>
      <c r="AT513" s="577"/>
      <c r="AU513" s="577"/>
      <c r="AV513" s="577"/>
      <c r="AW513" s="577"/>
      <c r="AX513" s="577"/>
      <c r="AY513" s="577"/>
    </row>
    <row r="514" spans="1:51" s="214" customFormat="1" ht="15.75" customHeight="1">
      <c r="C514" s="356" t="s">
        <v>198</v>
      </c>
      <c r="D514" s="242"/>
      <c r="E514" s="242"/>
      <c r="F514" s="242"/>
      <c r="G514" s="242"/>
      <c r="H514" s="242"/>
      <c r="I514" s="242"/>
      <c r="J514" s="242"/>
      <c r="K514" s="242"/>
      <c r="L514" s="242"/>
      <c r="M514" s="215"/>
      <c r="U514" s="214">
        <f t="shared" si="232"/>
        <v>0</v>
      </c>
    </row>
    <row r="515" spans="1:51" s="214" customFormat="1" ht="15.75" customHeight="1">
      <c r="C515" s="371" t="s">
        <v>363</v>
      </c>
      <c r="D515" s="242"/>
      <c r="E515" s="276"/>
      <c r="F515" s="246"/>
      <c r="G515" s="246"/>
      <c r="H515" s="246"/>
      <c r="I515" s="240"/>
      <c r="J515" s="240"/>
      <c r="K515" s="240"/>
      <c r="L515" s="240"/>
      <c r="M515" s="240"/>
      <c r="N515" s="240" t="e">
        <f>N432</f>
        <v>#REF!</v>
      </c>
      <c r="O515" s="240" t="e">
        <f>N515</f>
        <v>#REF!</v>
      </c>
      <c r="P515" s="240">
        <f>P432</f>
        <v>-3060914.7858699858</v>
      </c>
      <c r="Q515" s="240">
        <f>Q432</f>
        <v>-10047219.667685339</v>
      </c>
      <c r="R515" s="240">
        <f>R432</f>
        <v>-4748618.2078518122</v>
      </c>
      <c r="S515" s="240"/>
      <c r="T515" s="240">
        <f>T432</f>
        <v>8681050.2867521867</v>
      </c>
      <c r="U515" s="240">
        <f t="shared" si="232"/>
        <v>8681050.2867521867</v>
      </c>
      <c r="V515" s="240">
        <f t="shared" ref="V515:AU515" si="276">V432</f>
        <v>318066929.40553898</v>
      </c>
      <c r="W515" s="240">
        <f t="shared" si="276"/>
        <v>350910525.4582206</v>
      </c>
      <c r="X515" s="240">
        <f t="shared" si="276"/>
        <v>355580043.57950389</v>
      </c>
      <c r="Y515" s="240">
        <f t="shared" si="276"/>
        <v>358102223.15004569</v>
      </c>
      <c r="Z515" s="240">
        <f t="shared" si="276"/>
        <v>358275132.34604567</v>
      </c>
      <c r="AA515" s="240">
        <f t="shared" si="276"/>
        <v>358527502.89191818</v>
      </c>
      <c r="AB515" s="240">
        <f t="shared" si="276"/>
        <v>364444840.7579385</v>
      </c>
      <c r="AC515" s="240">
        <f t="shared" si="276"/>
        <v>364244840.7579385</v>
      </c>
      <c r="AD515" s="240">
        <f t="shared" si="276"/>
        <v>364044840.7579385</v>
      </c>
      <c r="AE515" s="240">
        <f t="shared" si="276"/>
        <v>387485385.12293857</v>
      </c>
      <c r="AF515" s="240">
        <f t="shared" si="276"/>
        <v>404374534.12293851</v>
      </c>
      <c r="AG515" s="240">
        <f t="shared" si="276"/>
        <v>404174534.12293851</v>
      </c>
      <c r="AH515" s="240">
        <f t="shared" si="276"/>
        <v>403974534.12293851</v>
      </c>
      <c r="AI515" s="240">
        <f t="shared" si="276"/>
        <v>403774534.12293851</v>
      </c>
      <c r="AJ515" s="240">
        <f t="shared" si="276"/>
        <v>403574534.12293851</v>
      </c>
      <c r="AK515" s="240">
        <f t="shared" si="276"/>
        <v>403374534.12293851</v>
      </c>
      <c r="AL515" s="240">
        <f t="shared" si="276"/>
        <v>403174534.12293851</v>
      </c>
      <c r="AM515" s="240">
        <f t="shared" si="276"/>
        <v>404162112.70246553</v>
      </c>
      <c r="AN515" s="240">
        <f t="shared" si="276"/>
        <v>404473547.36432886</v>
      </c>
      <c r="AO515" s="240">
        <f t="shared" si="276"/>
        <v>404273547.36432886</v>
      </c>
      <c r="AP515" s="240">
        <f t="shared" si="276"/>
        <v>404073547.36432886</v>
      </c>
      <c r="AQ515" s="240">
        <f t="shared" si="276"/>
        <v>403873547.36432886</v>
      </c>
      <c r="AR515" s="240">
        <f t="shared" si="276"/>
        <v>405673547.36432886</v>
      </c>
      <c r="AS515" s="240">
        <f t="shared" si="276"/>
        <v>405673547.36432886</v>
      </c>
      <c r="AT515" s="240">
        <f t="shared" si="276"/>
        <v>405673547.36432886</v>
      </c>
      <c r="AU515" s="240">
        <f t="shared" si="276"/>
        <v>405673547.36432886</v>
      </c>
      <c r="AV515" s="240"/>
      <c r="AW515" s="240"/>
      <c r="AX515" s="240"/>
      <c r="AY515" s="240"/>
    </row>
    <row r="516" spans="1:51" s="214" customFormat="1" ht="15.75" customHeight="1">
      <c r="C516" s="371" t="s">
        <v>199</v>
      </c>
      <c r="D516" s="242"/>
      <c r="E516" s="276"/>
      <c r="F516" s="246"/>
      <c r="G516" s="246"/>
      <c r="H516" s="246"/>
      <c r="I516" s="240"/>
      <c r="J516" s="240"/>
      <c r="K516" s="240"/>
      <c r="L516" s="240"/>
      <c r="M516" s="240"/>
      <c r="N516" s="240">
        <f>-N430</f>
        <v>3060914.7858699858</v>
      </c>
      <c r="O516" s="240">
        <f t="shared" ref="O516:O542" si="277">N516</f>
        <v>3060914.7858699858</v>
      </c>
      <c r="P516" s="240">
        <f>-P430</f>
        <v>3060914.7858699858</v>
      </c>
      <c r="Q516" s="240">
        <f>-Q430</f>
        <v>10047219.667685339</v>
      </c>
      <c r="R516" s="240">
        <f>-R430</f>
        <v>39463081.891520783</v>
      </c>
      <c r="S516" s="240"/>
      <c r="T516" s="240">
        <f>-T430</f>
        <v>38034142.404202834</v>
      </c>
      <c r="U516" s="240">
        <f t="shared" si="232"/>
        <v>38034142.404202834</v>
      </c>
      <c r="V516" s="240">
        <f t="shared" ref="V516:AU516" si="278">-V430</f>
        <v>59472407.152090415</v>
      </c>
      <c r="W516" s="240">
        <f t="shared" si="278"/>
        <v>63630051.825481206</v>
      </c>
      <c r="X516" s="240">
        <f t="shared" si="278"/>
        <v>58960533.704197869</v>
      </c>
      <c r="Y516" s="240">
        <f t="shared" si="278"/>
        <v>56438354.133656085</v>
      </c>
      <c r="Z516" s="240">
        <f t="shared" si="278"/>
        <v>56265444.93765609</v>
      </c>
      <c r="AA516" s="240">
        <f t="shared" si="278"/>
        <v>56013074.39178358</v>
      </c>
      <c r="AB516" s="240">
        <f t="shared" si="278"/>
        <v>55885260.638888583</v>
      </c>
      <c r="AC516" s="240">
        <f t="shared" si="278"/>
        <v>56085260.638888583</v>
      </c>
      <c r="AD516" s="240">
        <f t="shared" si="278"/>
        <v>56285260.638888583</v>
      </c>
      <c r="AE516" s="240">
        <f t="shared" si="278"/>
        <v>32844716.273888525</v>
      </c>
      <c r="AF516" s="240">
        <f t="shared" si="278"/>
        <v>15955567.273888581</v>
      </c>
      <c r="AG516" s="240">
        <f t="shared" si="278"/>
        <v>16155567.273888581</v>
      </c>
      <c r="AH516" s="240">
        <f t="shared" si="278"/>
        <v>16355567.273888581</v>
      </c>
      <c r="AI516" s="240">
        <f t="shared" si="278"/>
        <v>16555567.273888581</v>
      </c>
      <c r="AJ516" s="240">
        <f t="shared" si="278"/>
        <v>16755567.273888581</v>
      </c>
      <c r="AK516" s="240">
        <f t="shared" si="278"/>
        <v>16955567.273888581</v>
      </c>
      <c r="AL516" s="240">
        <f t="shared" si="278"/>
        <v>17155567.273888581</v>
      </c>
      <c r="AM516" s="240">
        <f t="shared" si="278"/>
        <v>16167988.694361581</v>
      </c>
      <c r="AN516" s="240">
        <f t="shared" si="278"/>
        <v>15856554.032498235</v>
      </c>
      <c r="AO516" s="240">
        <f t="shared" si="278"/>
        <v>16056554.032498235</v>
      </c>
      <c r="AP516" s="240">
        <f t="shared" si="278"/>
        <v>16256554.032498235</v>
      </c>
      <c r="AQ516" s="240">
        <f t="shared" si="278"/>
        <v>16456554.032498235</v>
      </c>
      <c r="AR516" s="240">
        <f t="shared" si="278"/>
        <v>14656554.032498235</v>
      </c>
      <c r="AS516" s="240">
        <f t="shared" si="278"/>
        <v>14656554.032498235</v>
      </c>
      <c r="AT516" s="240">
        <f t="shared" si="278"/>
        <v>14656554.032498235</v>
      </c>
      <c r="AU516" s="240">
        <f t="shared" si="278"/>
        <v>14656554.032498235</v>
      </c>
      <c r="AV516" s="240"/>
      <c r="AW516" s="240"/>
      <c r="AX516" s="240"/>
      <c r="AY516" s="240"/>
    </row>
    <row r="517" spans="1:51" s="214" customFormat="1" ht="15.75" customHeight="1">
      <c r="A517" s="214">
        <v>11</v>
      </c>
      <c r="C517" s="371" t="s">
        <v>200</v>
      </c>
      <c r="D517" s="242"/>
      <c r="E517" s="276"/>
      <c r="F517" s="246"/>
      <c r="G517" s="246"/>
      <c r="H517" s="246"/>
      <c r="I517" s="240"/>
      <c r="J517" s="240"/>
      <c r="K517" s="240"/>
      <c r="L517" s="240"/>
      <c r="M517" s="240"/>
      <c r="N517" s="240">
        <f>-N598</f>
        <v>0</v>
      </c>
      <c r="O517" s="240">
        <f t="shared" si="277"/>
        <v>0</v>
      </c>
      <c r="P517" s="240">
        <f>-P598</f>
        <v>0</v>
      </c>
      <c r="Q517" s="240">
        <f>-Q598</f>
        <v>-22805599.606666673</v>
      </c>
      <c r="R517" s="240">
        <f>-R598</f>
        <v>-53120368.728649311</v>
      </c>
      <c r="S517" s="240"/>
      <c r="T517" s="240">
        <f>-T598</f>
        <v>-42470412.757800482</v>
      </c>
      <c r="U517" s="240">
        <f t="shared" si="232"/>
        <v>-42470412.757800482</v>
      </c>
      <c r="V517" s="240">
        <f t="shared" ref="V517:AU517" si="279">-V598</f>
        <v>-92521426.477034852</v>
      </c>
      <c r="W517" s="240">
        <f t="shared" si="279"/>
        <v>-17180377.247682571</v>
      </c>
      <c r="X517" s="240">
        <f t="shared" si="279"/>
        <v>0</v>
      </c>
      <c r="Y517" s="240">
        <f t="shared" si="279"/>
        <v>0</v>
      </c>
      <c r="Z517" s="240">
        <f t="shared" si="279"/>
        <v>0</v>
      </c>
      <c r="AA517" s="240">
        <f t="shared" si="279"/>
        <v>0</v>
      </c>
      <c r="AB517" s="240">
        <f t="shared" si="279"/>
        <v>-4559098.0828879476</v>
      </c>
      <c r="AC517" s="240">
        <f t="shared" si="279"/>
        <v>-3305953.1207903922</v>
      </c>
      <c r="AD517" s="240">
        <f t="shared" si="279"/>
        <v>-3305953.1207903922</v>
      </c>
      <c r="AE517" s="240">
        <f t="shared" si="279"/>
        <v>-3305953.1207903922</v>
      </c>
      <c r="AF517" s="240">
        <f t="shared" si="279"/>
        <v>-3305953.1207903922</v>
      </c>
      <c r="AG517" s="240">
        <f t="shared" si="279"/>
        <v>-3305953.120790422</v>
      </c>
      <c r="AH517" s="240">
        <f t="shared" si="279"/>
        <v>-3305953.1207903624</v>
      </c>
      <c r="AI517" s="240">
        <f t="shared" si="279"/>
        <v>-3305953.120790422</v>
      </c>
      <c r="AJ517" s="240">
        <f t="shared" si="279"/>
        <v>-3305953.1207903624</v>
      </c>
      <c r="AK517" s="240">
        <f t="shared" si="279"/>
        <v>-3305953.120790422</v>
      </c>
      <c r="AL517" s="240">
        <f t="shared" si="279"/>
        <v>-3305953.1207903624</v>
      </c>
      <c r="AM517" s="240">
        <f t="shared" si="279"/>
        <v>-3305953.120790422</v>
      </c>
      <c r="AN517" s="240">
        <f t="shared" si="279"/>
        <v>-3305953.1207903624</v>
      </c>
      <c r="AO517" s="240">
        <f t="shared" si="279"/>
        <v>-3305953.120790422</v>
      </c>
      <c r="AP517" s="240">
        <f t="shared" si="279"/>
        <v>-3305953.1207903624</v>
      </c>
      <c r="AQ517" s="240">
        <f t="shared" si="279"/>
        <v>-3305953.120790422</v>
      </c>
      <c r="AR517" s="240">
        <f t="shared" si="279"/>
        <v>-3305953.1207903624</v>
      </c>
      <c r="AS517" s="240">
        <f t="shared" si="279"/>
        <v>-3305953.120790422</v>
      </c>
      <c r="AT517" s="240">
        <f t="shared" si="279"/>
        <v>-3305953.1207903624</v>
      </c>
      <c r="AU517" s="240">
        <f t="shared" si="279"/>
        <v>0</v>
      </c>
      <c r="AV517" s="240"/>
      <c r="AW517" s="240"/>
      <c r="AX517" s="240"/>
      <c r="AY517" s="240"/>
    </row>
    <row r="518" spans="1:51" s="214" customFormat="1" ht="15.75" customHeight="1">
      <c r="A518" s="214">
        <v>12</v>
      </c>
      <c r="C518" s="371" t="s">
        <v>201</v>
      </c>
      <c r="D518" s="242"/>
      <c r="E518" s="242"/>
      <c r="F518" s="242"/>
      <c r="G518" s="242"/>
      <c r="H518" s="242"/>
      <c r="I518" s="240"/>
      <c r="J518" s="240"/>
      <c r="K518" s="240"/>
      <c r="L518" s="240"/>
      <c r="M518" s="240"/>
      <c r="N518" s="240">
        <f>-N610</f>
        <v>0</v>
      </c>
      <c r="O518" s="240">
        <f t="shared" si="277"/>
        <v>0</v>
      </c>
      <c r="P518" s="240">
        <f>-P610</f>
        <v>0</v>
      </c>
      <c r="Q518" s="240">
        <f>-Q610</f>
        <v>-58642.090000000084</v>
      </c>
      <c r="R518" s="240">
        <f>-R610</f>
        <v>0</v>
      </c>
      <c r="S518" s="240"/>
      <c r="T518" s="240">
        <f>-T610</f>
        <v>1204238</v>
      </c>
      <c r="U518" s="240">
        <f t="shared" si="232"/>
        <v>1204238</v>
      </c>
      <c r="V518" s="240">
        <f t="shared" ref="V518:AU518" si="280">-V610</f>
        <v>0</v>
      </c>
      <c r="W518" s="240">
        <f t="shared" si="280"/>
        <v>0</v>
      </c>
      <c r="X518" s="240">
        <f t="shared" si="280"/>
        <v>0</v>
      </c>
      <c r="Y518" s="240">
        <f t="shared" si="280"/>
        <v>0</v>
      </c>
      <c r="Z518" s="240">
        <f t="shared" si="280"/>
        <v>0</v>
      </c>
      <c r="AA518" s="240">
        <f t="shared" si="280"/>
        <v>0</v>
      </c>
      <c r="AB518" s="240">
        <f t="shared" si="280"/>
        <v>0</v>
      </c>
      <c r="AC518" s="240">
        <f t="shared" si="280"/>
        <v>0</v>
      </c>
      <c r="AD518" s="240">
        <f t="shared" si="280"/>
        <v>0</v>
      </c>
      <c r="AE518" s="240">
        <f t="shared" si="280"/>
        <v>0</v>
      </c>
      <c r="AF518" s="240">
        <f t="shared" si="280"/>
        <v>0</v>
      </c>
      <c r="AG518" s="240">
        <f t="shared" si="280"/>
        <v>0</v>
      </c>
      <c r="AH518" s="240">
        <f t="shared" si="280"/>
        <v>0</v>
      </c>
      <c r="AI518" s="240">
        <f t="shared" si="280"/>
        <v>0</v>
      </c>
      <c r="AJ518" s="240">
        <f t="shared" si="280"/>
        <v>0</v>
      </c>
      <c r="AK518" s="240">
        <f t="shared" si="280"/>
        <v>0</v>
      </c>
      <c r="AL518" s="240">
        <f t="shared" si="280"/>
        <v>0</v>
      </c>
      <c r="AM518" s="240">
        <f t="shared" si="280"/>
        <v>0</v>
      </c>
      <c r="AN518" s="240">
        <f t="shared" si="280"/>
        <v>0</v>
      </c>
      <c r="AO518" s="240">
        <f t="shared" si="280"/>
        <v>0</v>
      </c>
      <c r="AP518" s="240">
        <f t="shared" si="280"/>
        <v>0</v>
      </c>
      <c r="AQ518" s="240">
        <f t="shared" si="280"/>
        <v>0</v>
      </c>
      <c r="AR518" s="240">
        <f t="shared" si="280"/>
        <v>0</v>
      </c>
      <c r="AS518" s="240">
        <f t="shared" si="280"/>
        <v>0</v>
      </c>
      <c r="AT518" s="240">
        <f t="shared" si="280"/>
        <v>0</v>
      </c>
      <c r="AU518" s="240">
        <f t="shared" si="280"/>
        <v>0</v>
      </c>
      <c r="AV518" s="240"/>
      <c r="AW518" s="240"/>
      <c r="AX518" s="240"/>
      <c r="AY518" s="240"/>
    </row>
    <row r="519" spans="1:51" s="214" customFormat="1" ht="15.75" customHeight="1">
      <c r="C519" s="356" t="s">
        <v>202</v>
      </c>
      <c r="D519" s="242"/>
      <c r="E519" s="276"/>
      <c r="F519" s="246"/>
      <c r="G519" s="246"/>
      <c r="H519" s="246"/>
      <c r="I519" s="246"/>
      <c r="J519" s="240"/>
      <c r="K519" s="240"/>
      <c r="L519" s="240"/>
      <c r="M519" s="240"/>
      <c r="N519" s="240" t="e">
        <f>SUM(N515:N518)</f>
        <v>#REF!</v>
      </c>
      <c r="O519" s="240" t="e">
        <f t="shared" si="277"/>
        <v>#REF!</v>
      </c>
      <c r="P519" s="240">
        <f>SUM(P515:P518)</f>
        <v>0</v>
      </c>
      <c r="Q519" s="240">
        <f>SUM(Q515:Q518)</f>
        <v>-22864241.696666673</v>
      </c>
      <c r="R519" s="240">
        <f>SUM(R515:R518)</f>
        <v>-18405905.04498034</v>
      </c>
      <c r="S519" s="240"/>
      <c r="T519" s="240">
        <f>SUM(T515:T518)</f>
        <v>5449017.9331545383</v>
      </c>
      <c r="U519" s="240">
        <f t="shared" si="232"/>
        <v>5449017.9331545383</v>
      </c>
      <c r="V519" s="240">
        <f t="shared" ref="V519:AU519" si="281">SUM(V515:V518)</f>
        <v>285017910.08059454</v>
      </c>
      <c r="W519" s="240">
        <f t="shared" si="281"/>
        <v>397360200.03601921</v>
      </c>
      <c r="X519" s="240">
        <f t="shared" si="281"/>
        <v>414540577.28370178</v>
      </c>
      <c r="Y519" s="240">
        <f t="shared" si="281"/>
        <v>414540577.28370178</v>
      </c>
      <c r="Z519" s="240">
        <f t="shared" si="281"/>
        <v>414540577.28370178</v>
      </c>
      <c r="AA519" s="240">
        <f t="shared" si="281"/>
        <v>414540577.28370178</v>
      </c>
      <c r="AB519" s="240">
        <f t="shared" si="281"/>
        <v>415771003.31393915</v>
      </c>
      <c r="AC519" s="240">
        <f t="shared" si="281"/>
        <v>417024148.27603674</v>
      </c>
      <c r="AD519" s="240">
        <f t="shared" si="281"/>
        <v>417024148.27603674</v>
      </c>
      <c r="AE519" s="240">
        <f t="shared" si="281"/>
        <v>417024148.27603674</v>
      </c>
      <c r="AF519" s="240">
        <f t="shared" si="281"/>
        <v>417024148.27603674</v>
      </c>
      <c r="AG519" s="240">
        <f t="shared" si="281"/>
        <v>417024148.27603668</v>
      </c>
      <c r="AH519" s="240">
        <f t="shared" si="281"/>
        <v>417024148.27603674</v>
      </c>
      <c r="AI519" s="240">
        <f t="shared" si="281"/>
        <v>417024148.27603668</v>
      </c>
      <c r="AJ519" s="240">
        <f t="shared" si="281"/>
        <v>417024148.27603674</v>
      </c>
      <c r="AK519" s="240">
        <f t="shared" si="281"/>
        <v>417024148.27603668</v>
      </c>
      <c r="AL519" s="240">
        <f t="shared" si="281"/>
        <v>417024148.27603674</v>
      </c>
      <c r="AM519" s="240">
        <f t="shared" si="281"/>
        <v>417024148.27603668</v>
      </c>
      <c r="AN519" s="240">
        <f t="shared" si="281"/>
        <v>417024148.27603674</v>
      </c>
      <c r="AO519" s="240">
        <f t="shared" si="281"/>
        <v>417024148.27603668</v>
      </c>
      <c r="AP519" s="240">
        <f t="shared" si="281"/>
        <v>417024148.27603674</v>
      </c>
      <c r="AQ519" s="240">
        <f t="shared" si="281"/>
        <v>417024148.27603668</v>
      </c>
      <c r="AR519" s="240">
        <f t="shared" si="281"/>
        <v>417024148.27603674</v>
      </c>
      <c r="AS519" s="240">
        <f t="shared" si="281"/>
        <v>417024148.27603668</v>
      </c>
      <c r="AT519" s="240">
        <f t="shared" si="281"/>
        <v>417024148.27603674</v>
      </c>
      <c r="AU519" s="240">
        <f t="shared" si="281"/>
        <v>420330101.3968271</v>
      </c>
      <c r="AV519" s="240"/>
      <c r="AW519" s="240"/>
      <c r="AX519" s="240"/>
      <c r="AY519" s="240"/>
    </row>
    <row r="520" spans="1:51" s="214" customFormat="1" ht="15.75" customHeight="1">
      <c r="A520" s="214">
        <v>13</v>
      </c>
      <c r="C520" s="371" t="s">
        <v>203</v>
      </c>
      <c r="D520" s="242"/>
      <c r="E520" s="242"/>
      <c r="F520" s="242"/>
      <c r="G520" s="242"/>
      <c r="H520" s="242"/>
      <c r="I520" s="240"/>
      <c r="J520" s="240"/>
      <c r="K520" s="240"/>
      <c r="L520" s="240"/>
      <c r="M520" s="240"/>
      <c r="N520" s="240">
        <f>N434</f>
        <v>0</v>
      </c>
      <c r="O520" s="240">
        <f t="shared" si="277"/>
        <v>0</v>
      </c>
      <c r="P520" s="240">
        <f t="shared" ref="P520:R521" si="282">P434</f>
        <v>0</v>
      </c>
      <c r="Q520" s="240">
        <f t="shared" si="282"/>
        <v>0</v>
      </c>
      <c r="R520" s="240">
        <f t="shared" si="282"/>
        <v>0</v>
      </c>
      <c r="S520" s="240"/>
      <c r="T520" s="240">
        <f>T434</f>
        <v>0</v>
      </c>
      <c r="U520" s="240">
        <f t="shared" si="232"/>
        <v>0</v>
      </c>
      <c r="V520" s="240">
        <f t="shared" ref="V520:AU520" si="283">V434</f>
        <v>0</v>
      </c>
      <c r="W520" s="240">
        <f t="shared" si="283"/>
        <v>0</v>
      </c>
      <c r="X520" s="240">
        <f t="shared" si="283"/>
        <v>0</v>
      </c>
      <c r="Y520" s="240">
        <f t="shared" si="283"/>
        <v>0</v>
      </c>
      <c r="Z520" s="240">
        <f t="shared" si="283"/>
        <v>0</v>
      </c>
      <c r="AA520" s="240">
        <f t="shared" si="283"/>
        <v>0</v>
      </c>
      <c r="AB520" s="240">
        <f t="shared" si="283"/>
        <v>0</v>
      </c>
      <c r="AC520" s="240">
        <f t="shared" si="283"/>
        <v>0</v>
      </c>
      <c r="AD520" s="240">
        <f t="shared" si="283"/>
        <v>0</v>
      </c>
      <c r="AE520" s="240">
        <f t="shared" si="283"/>
        <v>0</v>
      </c>
      <c r="AF520" s="240">
        <f t="shared" si="283"/>
        <v>0</v>
      </c>
      <c r="AG520" s="240">
        <f t="shared" si="283"/>
        <v>0</v>
      </c>
      <c r="AH520" s="240">
        <f t="shared" si="283"/>
        <v>0</v>
      </c>
      <c r="AI520" s="240">
        <f t="shared" si="283"/>
        <v>0</v>
      </c>
      <c r="AJ520" s="240">
        <f t="shared" si="283"/>
        <v>0</v>
      </c>
      <c r="AK520" s="240">
        <f t="shared" si="283"/>
        <v>0</v>
      </c>
      <c r="AL520" s="240">
        <f t="shared" si="283"/>
        <v>0</v>
      </c>
      <c r="AM520" s="240">
        <f t="shared" si="283"/>
        <v>0</v>
      </c>
      <c r="AN520" s="240">
        <f t="shared" si="283"/>
        <v>0</v>
      </c>
      <c r="AO520" s="240">
        <f t="shared" si="283"/>
        <v>0</v>
      </c>
      <c r="AP520" s="240">
        <f t="shared" si="283"/>
        <v>0</v>
      </c>
      <c r="AQ520" s="240">
        <f t="shared" si="283"/>
        <v>0</v>
      </c>
      <c r="AR520" s="240">
        <f t="shared" si="283"/>
        <v>0</v>
      </c>
      <c r="AS520" s="240">
        <f t="shared" si="283"/>
        <v>0</v>
      </c>
      <c r="AT520" s="240">
        <f t="shared" si="283"/>
        <v>0</v>
      </c>
      <c r="AU520" s="240">
        <f t="shared" si="283"/>
        <v>0</v>
      </c>
      <c r="AV520" s="240"/>
      <c r="AW520" s="240"/>
      <c r="AX520" s="240"/>
      <c r="AY520" s="240"/>
    </row>
    <row r="521" spans="1:51" s="214" customFormat="1" ht="15.75" customHeight="1">
      <c r="A521" s="214">
        <v>14</v>
      </c>
      <c r="C521" s="371" t="s">
        <v>187</v>
      </c>
      <c r="D521" s="242"/>
      <c r="E521" s="242"/>
      <c r="F521" s="242"/>
      <c r="G521" s="242"/>
      <c r="H521" s="242"/>
      <c r="I521" s="240"/>
      <c r="J521" s="240"/>
      <c r="K521" s="240"/>
      <c r="L521" s="240"/>
      <c r="M521" s="240"/>
      <c r="N521" s="240">
        <f>N435</f>
        <v>0</v>
      </c>
      <c r="O521" s="240">
        <f t="shared" si="277"/>
        <v>0</v>
      </c>
      <c r="P521" s="240">
        <f t="shared" si="282"/>
        <v>0</v>
      </c>
      <c r="Q521" s="240">
        <f t="shared" si="282"/>
        <v>0</v>
      </c>
      <c r="R521" s="240">
        <f t="shared" si="282"/>
        <v>0</v>
      </c>
      <c r="S521" s="240"/>
      <c r="T521" s="240">
        <f>T435</f>
        <v>0</v>
      </c>
      <c r="U521" s="240">
        <f t="shared" si="232"/>
        <v>0</v>
      </c>
      <c r="V521" s="240">
        <f t="shared" ref="V521:AU521" si="284">V435</f>
        <v>0</v>
      </c>
      <c r="W521" s="240">
        <f t="shared" si="284"/>
        <v>0</v>
      </c>
      <c r="X521" s="240">
        <f t="shared" si="284"/>
        <v>0</v>
      </c>
      <c r="Y521" s="240">
        <f t="shared" si="284"/>
        <v>0</v>
      </c>
      <c r="Z521" s="240">
        <f t="shared" si="284"/>
        <v>0</v>
      </c>
      <c r="AA521" s="240">
        <f t="shared" si="284"/>
        <v>0</v>
      </c>
      <c r="AB521" s="240">
        <f t="shared" si="284"/>
        <v>0</v>
      </c>
      <c r="AC521" s="240">
        <f t="shared" si="284"/>
        <v>0</v>
      </c>
      <c r="AD521" s="240">
        <f t="shared" si="284"/>
        <v>0</v>
      </c>
      <c r="AE521" s="240">
        <f t="shared" si="284"/>
        <v>0</v>
      </c>
      <c r="AF521" s="240">
        <f t="shared" si="284"/>
        <v>0</v>
      </c>
      <c r="AG521" s="240">
        <f t="shared" si="284"/>
        <v>0</v>
      </c>
      <c r="AH521" s="240">
        <f t="shared" si="284"/>
        <v>0</v>
      </c>
      <c r="AI521" s="240">
        <f t="shared" si="284"/>
        <v>0</v>
      </c>
      <c r="AJ521" s="240">
        <f t="shared" si="284"/>
        <v>0</v>
      </c>
      <c r="AK521" s="240">
        <f t="shared" si="284"/>
        <v>0</v>
      </c>
      <c r="AL521" s="240">
        <f t="shared" si="284"/>
        <v>0</v>
      </c>
      <c r="AM521" s="240">
        <f t="shared" si="284"/>
        <v>0</v>
      </c>
      <c r="AN521" s="240">
        <f t="shared" si="284"/>
        <v>0</v>
      </c>
      <c r="AO521" s="240">
        <f t="shared" si="284"/>
        <v>0</v>
      </c>
      <c r="AP521" s="240">
        <f t="shared" si="284"/>
        <v>0</v>
      </c>
      <c r="AQ521" s="240">
        <f t="shared" si="284"/>
        <v>0</v>
      </c>
      <c r="AR521" s="240">
        <f t="shared" si="284"/>
        <v>0</v>
      </c>
      <c r="AS521" s="240">
        <f t="shared" si="284"/>
        <v>0</v>
      </c>
      <c r="AT521" s="240">
        <f t="shared" si="284"/>
        <v>0</v>
      </c>
      <c r="AU521" s="240">
        <f t="shared" si="284"/>
        <v>0</v>
      </c>
      <c r="AV521" s="240"/>
      <c r="AW521" s="240"/>
      <c r="AX521" s="240"/>
      <c r="AY521" s="240"/>
    </row>
    <row r="522" spans="1:51" s="214" customFormat="1" ht="15.75" customHeight="1">
      <c r="A522" s="214">
        <v>15</v>
      </c>
      <c r="C522" s="371" t="s">
        <v>204</v>
      </c>
      <c r="D522" s="380"/>
      <c r="E522" s="381"/>
      <c r="F522" s="258"/>
      <c r="G522" s="258"/>
      <c r="H522" s="258"/>
      <c r="I522" s="240"/>
      <c r="J522" s="240"/>
      <c r="K522" s="240"/>
      <c r="L522" s="240"/>
      <c r="M522" s="240"/>
      <c r="N522" s="240" t="e">
        <f>N439</f>
        <v>#REF!</v>
      </c>
      <c r="O522" s="240" t="e">
        <f t="shared" si="277"/>
        <v>#REF!</v>
      </c>
      <c r="P522" s="240">
        <f>P439</f>
        <v>0</v>
      </c>
      <c r="Q522" s="240">
        <f>Q439</f>
        <v>0</v>
      </c>
      <c r="R522" s="240">
        <f>R439</f>
        <v>0</v>
      </c>
      <c r="S522" s="240"/>
      <c r="T522" s="240">
        <f>T439</f>
        <v>-2691125.5888931779</v>
      </c>
      <c r="U522" s="240">
        <f t="shared" si="232"/>
        <v>-2691125.5888931779</v>
      </c>
      <c r="V522" s="240">
        <f t="shared" ref="V522:AU522" si="285">V439</f>
        <v>-98600748.115717083</v>
      </c>
      <c r="W522" s="240">
        <f t="shared" si="285"/>
        <v>-108782262.89204839</v>
      </c>
      <c r="X522" s="240">
        <f t="shared" si="285"/>
        <v>-110229813.50964621</v>
      </c>
      <c r="Y522" s="240">
        <f t="shared" si="285"/>
        <v>-111011689.17651416</v>
      </c>
      <c r="Z522" s="240">
        <f t="shared" si="285"/>
        <v>-111065291.02727416</v>
      </c>
      <c r="AA522" s="240">
        <f t="shared" si="285"/>
        <v>-111143525.89649464</v>
      </c>
      <c r="AB522" s="240">
        <f t="shared" si="285"/>
        <v>-112977900.63496093</v>
      </c>
      <c r="AC522" s="240">
        <f t="shared" si="285"/>
        <v>-112915900.63496093</v>
      </c>
      <c r="AD522" s="240">
        <f t="shared" si="285"/>
        <v>-112853900.63496093</v>
      </c>
      <c r="AE522" s="240">
        <f t="shared" si="285"/>
        <v>-120120469.38811095</v>
      </c>
      <c r="AF522" s="240">
        <f t="shared" si="285"/>
        <v>-125356105.57811093</v>
      </c>
      <c r="AG522" s="240">
        <f t="shared" si="285"/>
        <v>-125294105.57811093</v>
      </c>
      <c r="AH522" s="240">
        <f t="shared" si="285"/>
        <v>-125232105.57811093</v>
      </c>
      <c r="AI522" s="240">
        <f t="shared" si="285"/>
        <v>-125170105.57811093</v>
      </c>
      <c r="AJ522" s="240">
        <f t="shared" si="285"/>
        <v>-125108105.57811093</v>
      </c>
      <c r="AK522" s="240">
        <f t="shared" si="285"/>
        <v>-125046105.57811093</v>
      </c>
      <c r="AL522" s="240">
        <f t="shared" si="285"/>
        <v>-124984105.57811093</v>
      </c>
      <c r="AM522" s="240">
        <f t="shared" si="285"/>
        <v>-125290254.93776432</v>
      </c>
      <c r="AN522" s="240">
        <f t="shared" si="285"/>
        <v>-125386799.68294194</v>
      </c>
      <c r="AO522" s="240">
        <f t="shared" si="285"/>
        <v>-125324799.68294194</v>
      </c>
      <c r="AP522" s="240">
        <f t="shared" si="285"/>
        <v>-125262799.68294194</v>
      </c>
      <c r="AQ522" s="240">
        <f t="shared" si="285"/>
        <v>-125200799.68294194</v>
      </c>
      <c r="AR522" s="240">
        <f t="shared" si="285"/>
        <v>-125758799.68294194</v>
      </c>
      <c r="AS522" s="240">
        <f t="shared" si="285"/>
        <v>-125758799.68294194</v>
      </c>
      <c r="AT522" s="240">
        <f t="shared" si="285"/>
        <v>-125758799.68294194</v>
      </c>
      <c r="AU522" s="240">
        <f t="shared" si="285"/>
        <v>-125758799.68294194</v>
      </c>
      <c r="AV522" s="240"/>
      <c r="AW522" s="240"/>
      <c r="AX522" s="240"/>
      <c r="AY522" s="240"/>
    </row>
    <row r="523" spans="1:51" s="214" customFormat="1" ht="15.75" customHeight="1">
      <c r="C523" s="186" t="s">
        <v>205</v>
      </c>
      <c r="D523" s="242"/>
      <c r="E523" s="242"/>
      <c r="F523" s="242"/>
      <c r="G523" s="242"/>
      <c r="H523" s="242"/>
      <c r="I523" s="240"/>
      <c r="J523" s="240"/>
      <c r="K523" s="240"/>
      <c r="L523" s="240"/>
      <c r="M523" s="240"/>
      <c r="N523" s="240" t="e">
        <f>SUM(N520:N522,N515:N518)</f>
        <v>#REF!</v>
      </c>
      <c r="O523" s="240" t="e">
        <f t="shared" si="277"/>
        <v>#REF!</v>
      </c>
      <c r="P523" s="240">
        <f>SUM(P520:P522,P515:P518)</f>
        <v>0</v>
      </c>
      <c r="Q523" s="240">
        <f>SUM(Q520:Q522,Q515:Q518)</f>
        <v>-22864241.696666673</v>
      </c>
      <c r="R523" s="240">
        <f>SUM(R520:R522,R515:R518)</f>
        <v>-18405905.04498034</v>
      </c>
      <c r="S523" s="240"/>
      <c r="T523" s="240">
        <f>SUM(T520:T522,T515:T518)</f>
        <v>2757892.3442613631</v>
      </c>
      <c r="U523" s="240">
        <f t="shared" si="232"/>
        <v>2757892.3442613631</v>
      </c>
      <c r="V523" s="240">
        <f t="shared" ref="V523:AU523" si="286">SUM(V520:V522,V515:V518)</f>
        <v>186417161.96487743</v>
      </c>
      <c r="W523" s="240">
        <f t="shared" si="286"/>
        <v>288577937.14397085</v>
      </c>
      <c r="X523" s="240">
        <f t="shared" si="286"/>
        <v>304310763.77405554</v>
      </c>
      <c r="Y523" s="240">
        <f t="shared" si="286"/>
        <v>303528888.10718763</v>
      </c>
      <c r="Z523" s="240">
        <f t="shared" si="286"/>
        <v>303475286.25642759</v>
      </c>
      <c r="AA523" s="240">
        <f t="shared" si="286"/>
        <v>303397051.38720715</v>
      </c>
      <c r="AB523" s="240">
        <f t="shared" si="286"/>
        <v>302793102.6789782</v>
      </c>
      <c r="AC523" s="240">
        <f t="shared" si="286"/>
        <v>304108247.64107573</v>
      </c>
      <c r="AD523" s="240">
        <f t="shared" si="286"/>
        <v>304170247.64107573</v>
      </c>
      <c r="AE523" s="240">
        <f t="shared" si="286"/>
        <v>296903678.88792574</v>
      </c>
      <c r="AF523" s="240">
        <f t="shared" si="286"/>
        <v>291668042.69792581</v>
      </c>
      <c r="AG523" s="240">
        <f t="shared" si="286"/>
        <v>291730042.69792575</v>
      </c>
      <c r="AH523" s="240">
        <f t="shared" si="286"/>
        <v>291792042.69792581</v>
      </c>
      <c r="AI523" s="240">
        <f t="shared" si="286"/>
        <v>291854042.69792575</v>
      </c>
      <c r="AJ523" s="240">
        <f t="shared" si="286"/>
        <v>291916042.69792581</v>
      </c>
      <c r="AK523" s="240">
        <f t="shared" si="286"/>
        <v>291978042.69792575</v>
      </c>
      <c r="AL523" s="240">
        <f t="shared" si="286"/>
        <v>292040042.69792581</v>
      </c>
      <c r="AM523" s="240">
        <f t="shared" si="286"/>
        <v>291733893.33827239</v>
      </c>
      <c r="AN523" s="240">
        <f t="shared" si="286"/>
        <v>291637348.59309483</v>
      </c>
      <c r="AO523" s="240">
        <f t="shared" si="286"/>
        <v>291699348.59309477</v>
      </c>
      <c r="AP523" s="240">
        <f t="shared" si="286"/>
        <v>291761348.59309483</v>
      </c>
      <c r="AQ523" s="240">
        <f t="shared" si="286"/>
        <v>291823348.59309477</v>
      </c>
      <c r="AR523" s="240">
        <f t="shared" si="286"/>
        <v>291265348.59309483</v>
      </c>
      <c r="AS523" s="240">
        <f t="shared" si="286"/>
        <v>291265348.59309477</v>
      </c>
      <c r="AT523" s="240">
        <f t="shared" si="286"/>
        <v>291265348.59309483</v>
      </c>
      <c r="AU523" s="240">
        <f t="shared" si="286"/>
        <v>294571301.71388519</v>
      </c>
      <c r="AV523" s="240"/>
      <c r="AW523" s="240"/>
      <c r="AX523" s="240"/>
      <c r="AY523" s="240"/>
    </row>
    <row r="524" spans="1:51" s="214" customFormat="1" ht="7.5" customHeight="1">
      <c r="C524" s="242"/>
      <c r="D524" s="242"/>
      <c r="E524" s="242"/>
      <c r="F524" s="242"/>
      <c r="G524" s="242"/>
      <c r="H524" s="242"/>
      <c r="I524" s="242"/>
      <c r="J524" s="242"/>
      <c r="K524" s="242"/>
      <c r="L524" s="242"/>
      <c r="M524" s="215"/>
      <c r="O524" s="240">
        <f t="shared" si="277"/>
        <v>0</v>
      </c>
      <c r="U524" s="214">
        <f t="shared" ref="U524:U587" si="287">T524</f>
        <v>0</v>
      </c>
    </row>
    <row r="525" spans="1:51" s="214" customFormat="1" ht="15.75" customHeight="1">
      <c r="C525" s="356" t="s">
        <v>206</v>
      </c>
      <c r="D525" s="215"/>
      <c r="E525" s="215"/>
      <c r="F525" s="215"/>
      <c r="G525" s="215"/>
      <c r="H525" s="215"/>
      <c r="I525" s="240"/>
      <c r="J525" s="240"/>
      <c r="K525" s="240"/>
      <c r="L525" s="240"/>
      <c r="M525" s="215"/>
      <c r="O525" s="240">
        <f t="shared" si="277"/>
        <v>0</v>
      </c>
      <c r="U525" s="214">
        <f t="shared" si="287"/>
        <v>0</v>
      </c>
    </row>
    <row r="526" spans="1:51" s="214" customFormat="1" ht="17.25" customHeight="1">
      <c r="A526" s="214">
        <v>16</v>
      </c>
      <c r="C526" s="371" t="s">
        <v>207</v>
      </c>
      <c r="D526" s="215"/>
      <c r="E526" s="215"/>
      <c r="F526" s="215"/>
      <c r="G526" s="215"/>
      <c r="H526" s="215"/>
      <c r="I526" s="240"/>
      <c r="J526" s="240"/>
      <c r="K526" s="240"/>
      <c r="L526" s="240"/>
      <c r="M526" s="240"/>
      <c r="N526" s="240">
        <f>-N633-N527+N627*N633-N638</f>
        <v>0</v>
      </c>
      <c r="O526" s="240">
        <f t="shared" si="277"/>
        <v>0</v>
      </c>
      <c r="P526" s="240">
        <f>-P633</f>
        <v>0</v>
      </c>
      <c r="Q526" s="240">
        <f>-Q633-Q711</f>
        <v>-171300395</v>
      </c>
      <c r="R526" s="240">
        <f>-R633-R711</f>
        <v>-264858000</v>
      </c>
      <c r="S526" s="240">
        <f>-S633-S711</f>
        <v>-141000000</v>
      </c>
      <c r="T526" s="240">
        <f>-T633-T711</f>
        <v>-115584315</v>
      </c>
      <c r="U526" s="240">
        <f>-U633-U711</f>
        <v>-256584315</v>
      </c>
      <c r="V526" s="240">
        <f t="shared" ref="V526:AU526" si="288">-V633-V711</f>
        <v>-31999000</v>
      </c>
      <c r="W526" s="240">
        <f t="shared" si="288"/>
        <v>0</v>
      </c>
      <c r="X526" s="240">
        <f t="shared" si="288"/>
        <v>-2000000</v>
      </c>
      <c r="Y526" s="240">
        <f t="shared" si="288"/>
        <v>-2000000</v>
      </c>
      <c r="Z526" s="240">
        <f t="shared" si="288"/>
        <v>-2000000</v>
      </c>
      <c r="AA526" s="240">
        <f t="shared" si="288"/>
        <v>-2000000</v>
      </c>
      <c r="AB526" s="240">
        <f t="shared" si="288"/>
        <v>-2000000</v>
      </c>
      <c r="AC526" s="240">
        <f t="shared" si="288"/>
        <v>-2000000</v>
      </c>
      <c r="AD526" s="240">
        <f t="shared" si="288"/>
        <v>-2000000</v>
      </c>
      <c r="AE526" s="240">
        <f t="shared" si="288"/>
        <v>-2000000</v>
      </c>
      <c r="AF526" s="240">
        <f t="shared" si="288"/>
        <v>-2000000</v>
      </c>
      <c r="AG526" s="240">
        <f t="shared" si="288"/>
        <v>-2000000</v>
      </c>
      <c r="AH526" s="240">
        <f t="shared" si="288"/>
        <v>-2000000</v>
      </c>
      <c r="AI526" s="240">
        <f t="shared" si="288"/>
        <v>-2000000</v>
      </c>
      <c r="AJ526" s="240">
        <f t="shared" si="288"/>
        <v>-2000000</v>
      </c>
      <c r="AK526" s="240">
        <f t="shared" si="288"/>
        <v>-2000000</v>
      </c>
      <c r="AL526" s="240">
        <f t="shared" si="288"/>
        <v>-2000000</v>
      </c>
      <c r="AM526" s="240">
        <f t="shared" si="288"/>
        <v>-2000000</v>
      </c>
      <c r="AN526" s="240">
        <f t="shared" si="288"/>
        <v>-2000000</v>
      </c>
      <c r="AO526" s="240">
        <f t="shared" si="288"/>
        <v>-2000000</v>
      </c>
      <c r="AP526" s="240">
        <f t="shared" si="288"/>
        <v>-2000000</v>
      </c>
      <c r="AQ526" s="240">
        <f t="shared" si="288"/>
        <v>-2000000</v>
      </c>
      <c r="AR526" s="240">
        <f t="shared" si="288"/>
        <v>-2000000</v>
      </c>
      <c r="AS526" s="240">
        <f t="shared" si="288"/>
        <v>-2000000</v>
      </c>
      <c r="AT526" s="240">
        <f t="shared" si="288"/>
        <v>-2000000</v>
      </c>
      <c r="AU526" s="240">
        <f t="shared" si="288"/>
        <v>-2000000</v>
      </c>
      <c r="AV526" s="240"/>
      <c r="AW526" s="240"/>
      <c r="AX526" s="240"/>
      <c r="AY526" s="240"/>
    </row>
    <row r="527" spans="1:51" s="214" customFormat="1" ht="17.25" customHeight="1">
      <c r="A527" s="214">
        <v>25</v>
      </c>
      <c r="C527" s="516" t="s">
        <v>711</v>
      </c>
      <c r="D527" s="215"/>
      <c r="E527" s="215"/>
      <c r="F527" s="215"/>
      <c r="G527" s="215"/>
      <c r="H527" s="215"/>
      <c r="I527" s="240"/>
      <c r="J527" s="240"/>
      <c r="K527" s="240"/>
      <c r="L527" s="240"/>
      <c r="M527" s="240"/>
      <c r="N527" s="240"/>
      <c r="O527" s="240">
        <f t="shared" si="277"/>
        <v>0</v>
      </c>
      <c r="P527" s="240"/>
      <c r="Q527" s="240"/>
      <c r="R527" s="240"/>
      <c r="S527" s="240"/>
      <c r="T527" s="240"/>
      <c r="U527" s="240">
        <f t="shared" si="287"/>
        <v>0</v>
      </c>
      <c r="V527" s="240"/>
      <c r="W527" s="240"/>
      <c r="X527" s="240"/>
      <c r="Y527" s="240"/>
      <c r="Z527" s="240"/>
      <c r="AA527" s="240"/>
      <c r="AB527" s="240"/>
      <c r="AC527" s="240"/>
      <c r="AD527" s="240"/>
      <c r="AE527" s="240"/>
      <c r="AF527" s="240"/>
      <c r="AG527" s="240"/>
      <c r="AH527" s="240"/>
      <c r="AI527" s="240"/>
      <c r="AJ527" s="240"/>
      <c r="AK527" s="240"/>
      <c r="AL527" s="240"/>
      <c r="AM527" s="240"/>
      <c r="AN527" s="240"/>
      <c r="AO527" s="240"/>
      <c r="AP527" s="240"/>
      <c r="AQ527" s="240"/>
      <c r="AR527" s="240"/>
      <c r="AS527" s="240"/>
      <c r="AT527" s="240"/>
      <c r="AU527" s="240"/>
      <c r="AV527" s="240"/>
      <c r="AW527" s="240"/>
      <c r="AX527" s="240"/>
      <c r="AY527" s="240"/>
    </row>
    <row r="528" spans="1:51" s="214" customFormat="1" ht="17.25" customHeight="1">
      <c r="C528" s="371" t="s">
        <v>209</v>
      </c>
      <c r="D528" s="242"/>
      <c r="E528" s="242"/>
      <c r="F528" s="242"/>
      <c r="G528" s="242"/>
      <c r="H528" s="242"/>
      <c r="I528" s="239"/>
      <c r="J528" s="239"/>
      <c r="K528" s="239"/>
      <c r="L528" s="239"/>
      <c r="M528" s="239"/>
      <c r="N528" s="239">
        <v>0</v>
      </c>
      <c r="O528" s="240">
        <f t="shared" si="277"/>
        <v>0</v>
      </c>
      <c r="P528" s="239">
        <v>0</v>
      </c>
      <c r="Q528" s="239">
        <v>0</v>
      </c>
      <c r="R528" s="239">
        <v>0</v>
      </c>
      <c r="S528" s="239"/>
      <c r="T528" s="239">
        <v>0</v>
      </c>
      <c r="U528" s="239">
        <f t="shared" si="287"/>
        <v>0</v>
      </c>
      <c r="V528" s="239">
        <v>0</v>
      </c>
      <c r="W528" s="239">
        <v>0</v>
      </c>
      <c r="X528" s="239">
        <v>0</v>
      </c>
      <c r="Y528" s="239">
        <v>0</v>
      </c>
      <c r="Z528" s="239">
        <v>0</v>
      </c>
      <c r="AA528" s="239">
        <v>0</v>
      </c>
      <c r="AB528" s="239">
        <v>0</v>
      </c>
      <c r="AC528" s="239">
        <v>0</v>
      </c>
      <c r="AD528" s="239">
        <v>0</v>
      </c>
      <c r="AE528" s="239">
        <v>0</v>
      </c>
      <c r="AF528" s="239">
        <v>0</v>
      </c>
      <c r="AG528" s="239">
        <v>0</v>
      </c>
      <c r="AH528" s="239">
        <v>0</v>
      </c>
      <c r="AI528" s="239">
        <v>0</v>
      </c>
      <c r="AJ528" s="239">
        <v>0</v>
      </c>
      <c r="AK528" s="239">
        <v>0</v>
      </c>
      <c r="AL528" s="239">
        <v>0</v>
      </c>
      <c r="AM528" s="239">
        <v>0</v>
      </c>
      <c r="AN528" s="239">
        <v>0</v>
      </c>
      <c r="AO528" s="239">
        <v>0</v>
      </c>
      <c r="AP528" s="239">
        <v>0</v>
      </c>
      <c r="AQ528" s="239">
        <v>0</v>
      </c>
      <c r="AR528" s="239">
        <v>0</v>
      </c>
      <c r="AS528" s="239">
        <v>0</v>
      </c>
      <c r="AT528" s="239">
        <v>0</v>
      </c>
      <c r="AU528" s="239">
        <v>0</v>
      </c>
      <c r="AV528" s="239"/>
      <c r="AW528" s="239"/>
      <c r="AX528" s="239"/>
      <c r="AY528" s="239"/>
    </row>
    <row r="529" spans="1:51" s="214" customFormat="1" ht="17.25" customHeight="1">
      <c r="C529" s="371" t="s">
        <v>210</v>
      </c>
      <c r="D529" s="242"/>
      <c r="E529" s="242"/>
      <c r="F529" s="242"/>
      <c r="G529" s="242"/>
      <c r="H529" s="242"/>
      <c r="I529" s="239"/>
      <c r="J529" s="239"/>
      <c r="K529" s="239"/>
      <c r="L529" s="239"/>
      <c r="M529" s="239"/>
      <c r="N529" s="239">
        <v>0</v>
      </c>
      <c r="O529" s="240">
        <f t="shared" si="277"/>
        <v>0</v>
      </c>
      <c r="P529" s="239">
        <v>0</v>
      </c>
      <c r="Q529" s="239">
        <v>0</v>
      </c>
      <c r="R529" s="239">
        <v>0</v>
      </c>
      <c r="S529" s="239"/>
      <c r="T529" s="239">
        <v>0</v>
      </c>
      <c r="U529" s="239">
        <f t="shared" si="287"/>
        <v>0</v>
      </c>
      <c r="V529" s="239">
        <v>0</v>
      </c>
      <c r="W529" s="239">
        <v>0</v>
      </c>
      <c r="X529" s="239">
        <v>0</v>
      </c>
      <c r="Y529" s="239">
        <v>0</v>
      </c>
      <c r="Z529" s="239">
        <v>0</v>
      </c>
      <c r="AA529" s="239">
        <v>0</v>
      </c>
      <c r="AB529" s="239">
        <v>0</v>
      </c>
      <c r="AC529" s="239">
        <v>0</v>
      </c>
      <c r="AD529" s="239">
        <v>0</v>
      </c>
      <c r="AE529" s="239">
        <v>0</v>
      </c>
      <c r="AF529" s="239">
        <v>0</v>
      </c>
      <c r="AG529" s="239">
        <v>0</v>
      </c>
      <c r="AH529" s="239">
        <v>0</v>
      </c>
      <c r="AI529" s="239">
        <v>0</v>
      </c>
      <c r="AJ529" s="239">
        <v>0</v>
      </c>
      <c r="AK529" s="239">
        <v>0</v>
      </c>
      <c r="AL529" s="239">
        <v>0</v>
      </c>
      <c r="AM529" s="239">
        <v>0</v>
      </c>
      <c r="AN529" s="239">
        <v>0</v>
      </c>
      <c r="AO529" s="239">
        <v>0</v>
      </c>
      <c r="AP529" s="239">
        <v>0</v>
      </c>
      <c r="AQ529" s="239">
        <v>0</v>
      </c>
      <c r="AR529" s="239">
        <v>0</v>
      </c>
      <c r="AS529" s="239">
        <v>0</v>
      </c>
      <c r="AT529" s="239">
        <v>0</v>
      </c>
      <c r="AU529" s="239">
        <v>0</v>
      </c>
      <c r="AV529" s="239"/>
      <c r="AW529" s="239"/>
      <c r="AX529" s="239"/>
      <c r="AY529" s="239"/>
    </row>
    <row r="530" spans="1:51" s="214" customFormat="1" ht="15.75" customHeight="1" collapsed="1">
      <c r="C530" s="186" t="s">
        <v>211</v>
      </c>
      <c r="D530" s="242"/>
      <c r="E530" s="242"/>
      <c r="F530" s="242"/>
      <c r="G530" s="242"/>
      <c r="H530" s="242"/>
      <c r="I530" s="240"/>
      <c r="J530" s="240"/>
      <c r="K530" s="240"/>
      <c r="L530" s="240"/>
      <c r="M530" s="240"/>
      <c r="N530" s="240">
        <f>SUM(N526:N529)</f>
        <v>0</v>
      </c>
      <c r="O530" s="240">
        <f t="shared" si="277"/>
        <v>0</v>
      </c>
      <c r="P530" s="240">
        <f t="shared" ref="P530:U530" si="289">SUM(P526:P529)</f>
        <v>0</v>
      </c>
      <c r="Q530" s="240">
        <f t="shared" si="289"/>
        <v>-171300395</v>
      </c>
      <c r="R530" s="240">
        <f t="shared" si="289"/>
        <v>-264858000</v>
      </c>
      <c r="S530" s="240">
        <f t="shared" si="289"/>
        <v>-141000000</v>
      </c>
      <c r="T530" s="240">
        <f t="shared" si="289"/>
        <v>-115584315</v>
      </c>
      <c r="U530" s="240">
        <f t="shared" si="289"/>
        <v>-256584315</v>
      </c>
      <c r="V530" s="240">
        <f t="shared" ref="V530:AU530" si="290">SUM(V526:V529)</f>
        <v>-31999000</v>
      </c>
      <c r="W530" s="240">
        <f t="shared" si="290"/>
        <v>0</v>
      </c>
      <c r="X530" s="240">
        <f t="shared" si="290"/>
        <v>-2000000</v>
      </c>
      <c r="Y530" s="240">
        <f t="shared" si="290"/>
        <v>-2000000</v>
      </c>
      <c r="Z530" s="240">
        <f t="shared" si="290"/>
        <v>-2000000</v>
      </c>
      <c r="AA530" s="240">
        <f t="shared" si="290"/>
        <v>-2000000</v>
      </c>
      <c r="AB530" s="240">
        <f t="shared" si="290"/>
        <v>-2000000</v>
      </c>
      <c r="AC530" s="240">
        <f t="shared" si="290"/>
        <v>-2000000</v>
      </c>
      <c r="AD530" s="240">
        <f t="shared" si="290"/>
        <v>-2000000</v>
      </c>
      <c r="AE530" s="240">
        <f t="shared" si="290"/>
        <v>-2000000</v>
      </c>
      <c r="AF530" s="240">
        <f t="shared" si="290"/>
        <v>-2000000</v>
      </c>
      <c r="AG530" s="240">
        <f t="shared" si="290"/>
        <v>-2000000</v>
      </c>
      <c r="AH530" s="240">
        <f t="shared" si="290"/>
        <v>-2000000</v>
      </c>
      <c r="AI530" s="240">
        <f t="shared" si="290"/>
        <v>-2000000</v>
      </c>
      <c r="AJ530" s="240">
        <f t="shared" si="290"/>
        <v>-2000000</v>
      </c>
      <c r="AK530" s="240">
        <f t="shared" si="290"/>
        <v>-2000000</v>
      </c>
      <c r="AL530" s="240">
        <f t="shared" si="290"/>
        <v>-2000000</v>
      </c>
      <c r="AM530" s="240">
        <f t="shared" si="290"/>
        <v>-2000000</v>
      </c>
      <c r="AN530" s="240">
        <f t="shared" si="290"/>
        <v>-2000000</v>
      </c>
      <c r="AO530" s="240">
        <f t="shared" si="290"/>
        <v>-2000000</v>
      </c>
      <c r="AP530" s="240">
        <f t="shared" si="290"/>
        <v>-2000000</v>
      </c>
      <c r="AQ530" s="240">
        <f t="shared" si="290"/>
        <v>-2000000</v>
      </c>
      <c r="AR530" s="240">
        <f t="shared" si="290"/>
        <v>-2000000</v>
      </c>
      <c r="AS530" s="240">
        <f t="shared" si="290"/>
        <v>-2000000</v>
      </c>
      <c r="AT530" s="240">
        <f t="shared" si="290"/>
        <v>-2000000</v>
      </c>
      <c r="AU530" s="240">
        <f t="shared" si="290"/>
        <v>-2000000</v>
      </c>
      <c r="AV530" s="240"/>
      <c r="AW530" s="240"/>
      <c r="AX530" s="240"/>
      <c r="AY530" s="240"/>
    </row>
    <row r="531" spans="1:51" s="214" customFormat="1" ht="7.5" customHeight="1">
      <c r="C531" s="242"/>
      <c r="D531" s="242"/>
      <c r="E531" s="242"/>
      <c r="F531" s="242"/>
      <c r="G531" s="242"/>
      <c r="H531" s="242"/>
      <c r="I531" s="240"/>
      <c r="J531" s="240"/>
      <c r="K531" s="240"/>
      <c r="L531" s="240"/>
      <c r="M531" s="215"/>
      <c r="O531" s="240">
        <f t="shared" si="277"/>
        <v>0</v>
      </c>
      <c r="U531" s="214">
        <f t="shared" si="287"/>
        <v>0</v>
      </c>
    </row>
    <row r="532" spans="1:51" s="214" customFormat="1" ht="15.75" customHeight="1">
      <c r="C532" s="186" t="s">
        <v>212</v>
      </c>
      <c r="D532" s="242"/>
      <c r="E532" s="242"/>
      <c r="F532" s="242"/>
      <c r="G532" s="242"/>
      <c r="H532" s="242"/>
      <c r="I532" s="240"/>
      <c r="J532" s="240"/>
      <c r="K532" s="240"/>
      <c r="L532" s="240"/>
      <c r="M532" s="240"/>
      <c r="N532" s="240" t="e">
        <f>SUM(N530,N523)</f>
        <v>#REF!</v>
      </c>
      <c r="O532" s="240" t="e">
        <f t="shared" si="277"/>
        <v>#REF!</v>
      </c>
      <c r="P532" s="240">
        <f t="shared" ref="P532:U532" si="291">SUM(P530,P523)</f>
        <v>0</v>
      </c>
      <c r="Q532" s="240">
        <f t="shared" si="291"/>
        <v>-194164636.69666666</v>
      </c>
      <c r="R532" s="240">
        <f t="shared" si="291"/>
        <v>-283263905.04498035</v>
      </c>
      <c r="S532" s="240">
        <f t="shared" si="291"/>
        <v>-141000000</v>
      </c>
      <c r="T532" s="240">
        <f t="shared" si="291"/>
        <v>-112826422.65573864</v>
      </c>
      <c r="U532" s="240">
        <f t="shared" si="291"/>
        <v>-253826422.65573865</v>
      </c>
      <c r="V532" s="240">
        <f t="shared" ref="V532:AU532" si="292">SUM(V530,V523)</f>
        <v>154418161.96487743</v>
      </c>
      <c r="W532" s="240">
        <f t="shared" si="292"/>
        <v>288577937.14397085</v>
      </c>
      <c r="X532" s="240">
        <f t="shared" si="292"/>
        <v>302310763.77405554</v>
      </c>
      <c r="Y532" s="240">
        <f t="shared" si="292"/>
        <v>301528888.10718763</v>
      </c>
      <c r="Z532" s="240">
        <f t="shared" si="292"/>
        <v>301475286.25642759</v>
      </c>
      <c r="AA532" s="240">
        <f t="shared" si="292"/>
        <v>301397051.38720715</v>
      </c>
      <c r="AB532" s="240">
        <f t="shared" si="292"/>
        <v>300793102.6789782</v>
      </c>
      <c r="AC532" s="240">
        <f t="shared" si="292"/>
        <v>302108247.64107573</v>
      </c>
      <c r="AD532" s="240">
        <f t="shared" si="292"/>
        <v>302170247.64107573</v>
      </c>
      <c r="AE532" s="240">
        <f t="shared" si="292"/>
        <v>294903678.88792574</v>
      </c>
      <c r="AF532" s="240">
        <f t="shared" si="292"/>
        <v>289668042.69792581</v>
      </c>
      <c r="AG532" s="240">
        <f t="shared" si="292"/>
        <v>289730042.69792575</v>
      </c>
      <c r="AH532" s="240">
        <f t="shared" si="292"/>
        <v>289792042.69792581</v>
      </c>
      <c r="AI532" s="240">
        <f t="shared" si="292"/>
        <v>289854042.69792575</v>
      </c>
      <c r="AJ532" s="240">
        <f t="shared" si="292"/>
        <v>289916042.69792581</v>
      </c>
      <c r="AK532" s="240">
        <f t="shared" si="292"/>
        <v>289978042.69792575</v>
      </c>
      <c r="AL532" s="240">
        <f t="shared" si="292"/>
        <v>290040042.69792581</v>
      </c>
      <c r="AM532" s="240">
        <f t="shared" si="292"/>
        <v>289733893.33827239</v>
      </c>
      <c r="AN532" s="240">
        <f t="shared" si="292"/>
        <v>289637348.59309483</v>
      </c>
      <c r="AO532" s="240">
        <f t="shared" si="292"/>
        <v>289699348.59309477</v>
      </c>
      <c r="AP532" s="240">
        <f t="shared" si="292"/>
        <v>289761348.59309483</v>
      </c>
      <c r="AQ532" s="240">
        <f t="shared" si="292"/>
        <v>289823348.59309477</v>
      </c>
      <c r="AR532" s="240">
        <f t="shared" si="292"/>
        <v>289265348.59309483</v>
      </c>
      <c r="AS532" s="240">
        <f t="shared" si="292"/>
        <v>289265348.59309477</v>
      </c>
      <c r="AT532" s="240">
        <f t="shared" si="292"/>
        <v>289265348.59309483</v>
      </c>
      <c r="AU532" s="240">
        <f t="shared" si="292"/>
        <v>292571301.71388519</v>
      </c>
      <c r="AV532" s="240"/>
      <c r="AW532" s="240"/>
      <c r="AX532" s="240"/>
      <c r="AY532" s="240"/>
    </row>
    <row r="533" spans="1:51" s="214" customFormat="1" ht="16.5" customHeight="1">
      <c r="C533" s="186"/>
      <c r="D533" s="248"/>
      <c r="E533" s="248"/>
      <c r="F533" s="248"/>
      <c r="G533" s="248"/>
      <c r="H533" s="248"/>
      <c r="I533" s="240"/>
      <c r="J533" s="240"/>
      <c r="K533" s="240"/>
      <c r="L533" s="240"/>
      <c r="M533" s="215"/>
      <c r="O533" s="240">
        <f t="shared" si="277"/>
        <v>0</v>
      </c>
      <c r="R533" s="1241"/>
      <c r="S533" s="1241"/>
      <c r="T533" s="1241"/>
      <c r="U533" s="1241"/>
      <c r="V533" s="1241"/>
      <c r="W533" s="1241"/>
      <c r="X533" s="1241"/>
      <c r="Y533" s="1241"/>
      <c r="Z533" s="1241"/>
      <c r="AA533" s="1241"/>
      <c r="AB533" s="1241"/>
      <c r="AC533" s="1241"/>
      <c r="AD533" s="1241"/>
      <c r="AE533" s="1241"/>
      <c r="AF533" s="1241"/>
      <c r="AG533" s="1241"/>
      <c r="AH533" s="1241"/>
      <c r="AI533" s="1241"/>
      <c r="AJ533" s="1241"/>
      <c r="AK533" s="1241"/>
      <c r="AL533" s="1241"/>
      <c r="AM533" s="1241"/>
      <c r="AN533" s="1241"/>
      <c r="AO533" s="1241"/>
      <c r="AP533" s="1241"/>
      <c r="AQ533" s="1241"/>
      <c r="AR533" s="1241"/>
      <c r="AS533" s="1241"/>
      <c r="AT533" s="1241"/>
      <c r="AU533" s="1241"/>
    </row>
    <row r="534" spans="1:51" s="214" customFormat="1" ht="15.75" customHeight="1">
      <c r="C534" s="242" t="s">
        <v>1044</v>
      </c>
      <c r="D534" s="242"/>
      <c r="E534" s="242"/>
      <c r="F534" s="242"/>
      <c r="G534" s="242"/>
      <c r="H534" s="242"/>
      <c r="I534" s="240"/>
      <c r="J534" s="240"/>
      <c r="K534" s="240"/>
      <c r="L534" s="240"/>
      <c r="M534" s="240"/>
      <c r="N534" s="240" t="e">
        <f>IF(N532&lt;0,N532,0)</f>
        <v>#REF!</v>
      </c>
      <c r="O534" s="240" t="e">
        <f t="shared" si="277"/>
        <v>#REF!</v>
      </c>
      <c r="P534" s="240">
        <f t="shared" ref="P534:U534" si="293">IF(P532&lt;0,P532,0)</f>
        <v>0</v>
      </c>
      <c r="Q534" s="240">
        <f t="shared" si="293"/>
        <v>-194164636.69666666</v>
      </c>
      <c r="R534" s="240">
        <f t="shared" si="293"/>
        <v>-283263905.04498035</v>
      </c>
      <c r="S534" s="240">
        <f t="shared" si="293"/>
        <v>-141000000</v>
      </c>
      <c r="T534" s="240">
        <f t="shared" si="293"/>
        <v>-112826422.65573864</v>
      </c>
      <c r="U534" s="240">
        <f t="shared" si="293"/>
        <v>-253826422.65573865</v>
      </c>
      <c r="V534" s="240">
        <f t="shared" ref="V534:AU534" si="294">IF(V532&lt;0,V532,0)</f>
        <v>0</v>
      </c>
      <c r="W534" s="240">
        <f t="shared" si="294"/>
        <v>0</v>
      </c>
      <c r="X534" s="240">
        <f t="shared" si="294"/>
        <v>0</v>
      </c>
      <c r="Y534" s="240">
        <f t="shared" si="294"/>
        <v>0</v>
      </c>
      <c r="Z534" s="240">
        <f t="shared" si="294"/>
        <v>0</v>
      </c>
      <c r="AA534" s="240">
        <f t="shared" si="294"/>
        <v>0</v>
      </c>
      <c r="AB534" s="240">
        <f t="shared" si="294"/>
        <v>0</v>
      </c>
      <c r="AC534" s="240">
        <f t="shared" si="294"/>
        <v>0</v>
      </c>
      <c r="AD534" s="240">
        <f t="shared" si="294"/>
        <v>0</v>
      </c>
      <c r="AE534" s="240">
        <f t="shared" si="294"/>
        <v>0</v>
      </c>
      <c r="AF534" s="240">
        <f t="shared" si="294"/>
        <v>0</v>
      </c>
      <c r="AG534" s="240">
        <f t="shared" si="294"/>
        <v>0</v>
      </c>
      <c r="AH534" s="240">
        <f t="shared" si="294"/>
        <v>0</v>
      </c>
      <c r="AI534" s="240">
        <f t="shared" si="294"/>
        <v>0</v>
      </c>
      <c r="AJ534" s="240">
        <f t="shared" si="294"/>
        <v>0</v>
      </c>
      <c r="AK534" s="240">
        <f t="shared" si="294"/>
        <v>0</v>
      </c>
      <c r="AL534" s="240">
        <f t="shared" si="294"/>
        <v>0</v>
      </c>
      <c r="AM534" s="240">
        <f t="shared" si="294"/>
        <v>0</v>
      </c>
      <c r="AN534" s="240">
        <f t="shared" si="294"/>
        <v>0</v>
      </c>
      <c r="AO534" s="240">
        <f t="shared" si="294"/>
        <v>0</v>
      </c>
      <c r="AP534" s="240">
        <f t="shared" si="294"/>
        <v>0</v>
      </c>
      <c r="AQ534" s="240">
        <f t="shared" si="294"/>
        <v>0</v>
      </c>
      <c r="AR534" s="240">
        <f t="shared" si="294"/>
        <v>0</v>
      </c>
      <c r="AS534" s="240">
        <f t="shared" si="294"/>
        <v>0</v>
      </c>
      <c r="AT534" s="240">
        <f t="shared" si="294"/>
        <v>0</v>
      </c>
      <c r="AU534" s="240">
        <f t="shared" si="294"/>
        <v>0</v>
      </c>
      <c r="AV534" s="240"/>
      <c r="AW534" s="240"/>
      <c r="AX534" s="240"/>
      <c r="AY534" s="240"/>
    </row>
    <row r="535" spans="1:51" s="214" customFormat="1" ht="15.75" customHeight="1">
      <c r="C535" s="242"/>
      <c r="D535" s="242"/>
      <c r="E535" s="242"/>
      <c r="F535" s="242"/>
      <c r="G535" s="242"/>
      <c r="H535" s="242"/>
      <c r="I535" s="242"/>
      <c r="J535" s="242"/>
      <c r="K535" s="242"/>
      <c r="L535" s="242"/>
      <c r="M535" s="215"/>
      <c r="O535" s="240">
        <f t="shared" si="277"/>
        <v>0</v>
      </c>
      <c r="U535" s="214">
        <f t="shared" si="287"/>
        <v>0</v>
      </c>
    </row>
    <row r="536" spans="1:51" s="214" customFormat="1" ht="15.75" customHeight="1">
      <c r="C536" s="356" t="s">
        <v>213</v>
      </c>
      <c r="D536" s="215"/>
      <c r="E536" s="249"/>
      <c r="F536" s="249"/>
      <c r="G536" s="249"/>
      <c r="H536" s="249"/>
      <c r="I536" s="240"/>
      <c r="J536" s="240"/>
      <c r="K536" s="240"/>
      <c r="L536" s="240"/>
      <c r="M536" s="215"/>
      <c r="O536" s="240">
        <f t="shared" si="277"/>
        <v>0</v>
      </c>
      <c r="U536" s="214">
        <f t="shared" si="287"/>
        <v>0</v>
      </c>
    </row>
    <row r="537" spans="1:51" s="214" customFormat="1" ht="15.75" customHeight="1">
      <c r="A537" s="214">
        <v>17</v>
      </c>
      <c r="C537" s="353" t="s">
        <v>214</v>
      </c>
      <c r="D537" s="242"/>
      <c r="E537" s="242"/>
      <c r="F537" s="242"/>
      <c r="G537" s="242"/>
      <c r="H537" s="242"/>
      <c r="I537" s="240"/>
      <c r="J537" s="240"/>
      <c r="K537" s="240"/>
      <c r="L537" s="240"/>
      <c r="M537" s="240"/>
      <c r="O537" s="240">
        <f t="shared" si="277"/>
        <v>0</v>
      </c>
      <c r="P537" s="216">
        <f>P827</f>
        <v>0</v>
      </c>
      <c r="Q537" s="216">
        <f>Q827</f>
        <v>0</v>
      </c>
      <c r="R537" s="216">
        <f>R827</f>
        <v>0</v>
      </c>
      <c r="S537" s="216"/>
      <c r="T537" s="216">
        <f>T827</f>
        <v>0</v>
      </c>
      <c r="U537" s="216">
        <f t="shared" si="287"/>
        <v>0</v>
      </c>
      <c r="V537" s="216">
        <f t="shared" ref="V537:AU537" si="295">V827</f>
        <v>0</v>
      </c>
      <c r="W537" s="216">
        <f t="shared" si="295"/>
        <v>0</v>
      </c>
      <c r="X537" s="216">
        <f t="shared" si="295"/>
        <v>0</v>
      </c>
      <c r="Y537" s="216">
        <f t="shared" si="295"/>
        <v>0</v>
      </c>
      <c r="Z537" s="216">
        <f t="shared" si="295"/>
        <v>0</v>
      </c>
      <c r="AA537" s="216">
        <f t="shared" si="295"/>
        <v>0</v>
      </c>
      <c r="AB537" s="216">
        <f t="shared" si="295"/>
        <v>0</v>
      </c>
      <c r="AC537" s="216">
        <f t="shared" si="295"/>
        <v>0</v>
      </c>
      <c r="AD537" s="216">
        <f t="shared" si="295"/>
        <v>0</v>
      </c>
      <c r="AE537" s="216">
        <f t="shared" si="295"/>
        <v>0</v>
      </c>
      <c r="AF537" s="216">
        <f t="shared" si="295"/>
        <v>0</v>
      </c>
      <c r="AG537" s="216">
        <f t="shared" si="295"/>
        <v>0</v>
      </c>
      <c r="AH537" s="216">
        <f t="shared" si="295"/>
        <v>0</v>
      </c>
      <c r="AI537" s="216">
        <f t="shared" si="295"/>
        <v>0</v>
      </c>
      <c r="AJ537" s="216">
        <f t="shared" si="295"/>
        <v>0</v>
      </c>
      <c r="AK537" s="216">
        <f t="shared" si="295"/>
        <v>0</v>
      </c>
      <c r="AL537" s="216">
        <f t="shared" si="295"/>
        <v>0</v>
      </c>
      <c r="AM537" s="216">
        <f t="shared" si="295"/>
        <v>0</v>
      </c>
      <c r="AN537" s="216">
        <f t="shared" si="295"/>
        <v>0</v>
      </c>
      <c r="AO537" s="216">
        <f t="shared" si="295"/>
        <v>0</v>
      </c>
      <c r="AP537" s="216">
        <f t="shared" si="295"/>
        <v>0</v>
      </c>
      <c r="AQ537" s="216">
        <f t="shared" si="295"/>
        <v>0</v>
      </c>
      <c r="AR537" s="216">
        <f t="shared" si="295"/>
        <v>0</v>
      </c>
      <c r="AS537" s="216">
        <f t="shared" si="295"/>
        <v>0</v>
      </c>
      <c r="AT537" s="216">
        <f t="shared" si="295"/>
        <v>0</v>
      </c>
      <c r="AU537" s="216">
        <f t="shared" si="295"/>
        <v>0</v>
      </c>
    </row>
    <row r="538" spans="1:51" s="214" customFormat="1" ht="15.75" customHeight="1">
      <c r="A538" s="214">
        <v>18</v>
      </c>
      <c r="C538" s="353" t="s">
        <v>215</v>
      </c>
      <c r="D538" s="242"/>
      <c r="E538" s="242"/>
      <c r="F538" s="242"/>
      <c r="G538" s="242"/>
      <c r="H538" s="242"/>
      <c r="I538" s="240"/>
      <c r="J538" s="240"/>
      <c r="K538" s="240"/>
      <c r="L538" s="240"/>
      <c r="M538" s="240"/>
      <c r="N538" s="240">
        <f>N833</f>
        <v>0</v>
      </c>
      <c r="O538" s="240">
        <f t="shared" si="277"/>
        <v>0</v>
      </c>
      <c r="P538" s="240">
        <f>P833</f>
        <v>0</v>
      </c>
      <c r="Q538" s="240">
        <f>Q833</f>
        <v>0</v>
      </c>
      <c r="R538" s="240">
        <f>R833</f>
        <v>0</v>
      </c>
      <c r="S538" s="240"/>
      <c r="T538" s="240">
        <f>T833</f>
        <v>0</v>
      </c>
      <c r="U538" s="240">
        <f t="shared" si="287"/>
        <v>0</v>
      </c>
      <c r="V538" s="240">
        <f t="shared" ref="V538:AU538" si="296">V833</f>
        <v>0</v>
      </c>
      <c r="W538" s="240">
        <f t="shared" si="296"/>
        <v>0</v>
      </c>
      <c r="X538" s="240">
        <f t="shared" si="296"/>
        <v>0</v>
      </c>
      <c r="Y538" s="240">
        <f t="shared" si="296"/>
        <v>0</v>
      </c>
      <c r="Z538" s="240">
        <f t="shared" si="296"/>
        <v>0</v>
      </c>
      <c r="AA538" s="240">
        <f t="shared" si="296"/>
        <v>0</v>
      </c>
      <c r="AB538" s="240">
        <f t="shared" si="296"/>
        <v>0</v>
      </c>
      <c r="AC538" s="240">
        <f t="shared" si="296"/>
        <v>0</v>
      </c>
      <c r="AD538" s="240">
        <f t="shared" si="296"/>
        <v>0</v>
      </c>
      <c r="AE538" s="240">
        <f t="shared" si="296"/>
        <v>0</v>
      </c>
      <c r="AF538" s="240">
        <f t="shared" si="296"/>
        <v>0</v>
      </c>
      <c r="AG538" s="240">
        <f t="shared" si="296"/>
        <v>0</v>
      </c>
      <c r="AH538" s="240">
        <f t="shared" si="296"/>
        <v>0</v>
      </c>
      <c r="AI538" s="240">
        <f t="shared" si="296"/>
        <v>0</v>
      </c>
      <c r="AJ538" s="240">
        <f t="shared" si="296"/>
        <v>0</v>
      </c>
      <c r="AK538" s="240">
        <f t="shared" si="296"/>
        <v>0</v>
      </c>
      <c r="AL538" s="240">
        <f t="shared" si="296"/>
        <v>0</v>
      </c>
      <c r="AM538" s="240">
        <f t="shared" si="296"/>
        <v>0</v>
      </c>
      <c r="AN538" s="240">
        <f t="shared" si="296"/>
        <v>0</v>
      </c>
      <c r="AO538" s="240">
        <f t="shared" si="296"/>
        <v>0</v>
      </c>
      <c r="AP538" s="240">
        <f t="shared" si="296"/>
        <v>0</v>
      </c>
      <c r="AQ538" s="240">
        <f t="shared" si="296"/>
        <v>0</v>
      </c>
      <c r="AR538" s="240">
        <f t="shared" si="296"/>
        <v>0</v>
      </c>
      <c r="AS538" s="240">
        <f t="shared" si="296"/>
        <v>0</v>
      </c>
      <c r="AT538" s="240">
        <f t="shared" si="296"/>
        <v>0</v>
      </c>
      <c r="AU538" s="240">
        <f t="shared" si="296"/>
        <v>0</v>
      </c>
      <c r="AV538" s="240"/>
      <c r="AW538" s="240"/>
      <c r="AX538" s="240"/>
      <c r="AY538" s="240"/>
    </row>
    <row r="539" spans="1:51" s="214" customFormat="1" ht="15.75" customHeight="1">
      <c r="A539" s="214">
        <v>20</v>
      </c>
      <c r="C539" s="482" t="s">
        <v>816</v>
      </c>
      <c r="D539" s="242"/>
      <c r="E539" s="242"/>
      <c r="F539" s="242"/>
      <c r="G539" s="242"/>
      <c r="H539" s="242"/>
      <c r="I539" s="240"/>
      <c r="J539" s="240"/>
      <c r="K539" s="240"/>
      <c r="L539" s="240"/>
      <c r="M539" s="240"/>
      <c r="N539" s="240">
        <v>0</v>
      </c>
      <c r="O539" s="240">
        <f t="shared" si="277"/>
        <v>0</v>
      </c>
      <c r="P539" s="240">
        <v>0</v>
      </c>
      <c r="Q539" s="240">
        <v>0</v>
      </c>
      <c r="R539" s="240">
        <v>0</v>
      </c>
      <c r="S539" s="240"/>
      <c r="T539" s="240">
        <v>0</v>
      </c>
      <c r="U539" s="240">
        <f t="shared" si="287"/>
        <v>0</v>
      </c>
      <c r="V539" s="240">
        <v>0</v>
      </c>
      <c r="W539" s="240">
        <v>0</v>
      </c>
      <c r="X539" s="240">
        <v>0</v>
      </c>
      <c r="Y539" s="240">
        <v>0</v>
      </c>
      <c r="Z539" s="240">
        <v>0</v>
      </c>
      <c r="AA539" s="240">
        <v>0</v>
      </c>
      <c r="AB539" s="240">
        <v>0</v>
      </c>
      <c r="AC539" s="240">
        <v>0</v>
      </c>
      <c r="AD539" s="240">
        <v>0</v>
      </c>
      <c r="AE539" s="240">
        <v>0</v>
      </c>
      <c r="AF539" s="240">
        <v>0</v>
      </c>
      <c r="AG539" s="240">
        <v>0</v>
      </c>
      <c r="AH539" s="240">
        <v>0</v>
      </c>
      <c r="AI539" s="240">
        <v>0</v>
      </c>
      <c r="AJ539" s="240">
        <v>0</v>
      </c>
      <c r="AK539" s="240">
        <v>0</v>
      </c>
      <c r="AL539" s="240">
        <v>0</v>
      </c>
      <c r="AM539" s="240">
        <v>0</v>
      </c>
      <c r="AN539" s="240">
        <v>0</v>
      </c>
      <c r="AO539" s="240">
        <v>0</v>
      </c>
      <c r="AP539" s="240">
        <v>0</v>
      </c>
      <c r="AQ539" s="240">
        <v>0</v>
      </c>
      <c r="AR539" s="240">
        <v>0</v>
      </c>
      <c r="AS539" s="240">
        <v>0</v>
      </c>
      <c r="AT539" s="240">
        <v>0</v>
      </c>
      <c r="AU539" s="240">
        <v>0</v>
      </c>
      <c r="AV539" s="240"/>
      <c r="AW539" s="240"/>
      <c r="AX539" s="240"/>
      <c r="AY539" s="240"/>
    </row>
    <row r="540" spans="1:51" s="214" customFormat="1" ht="15.75" customHeight="1">
      <c r="C540" s="186" t="s">
        <v>217</v>
      </c>
      <c r="D540" s="242"/>
      <c r="E540" s="243"/>
      <c r="F540" s="243"/>
      <c r="G540" s="243"/>
      <c r="H540" s="243"/>
      <c r="I540" s="240"/>
      <c r="J540" s="240"/>
      <c r="K540" s="240"/>
      <c r="L540" s="240"/>
      <c r="M540" s="240"/>
      <c r="N540" s="240">
        <f>SUM(N537:N539)</f>
        <v>0</v>
      </c>
      <c r="O540" s="240">
        <f t="shared" si="277"/>
        <v>0</v>
      </c>
      <c r="P540" s="240">
        <f>SUM(P537:P539)</f>
        <v>0</v>
      </c>
      <c r="Q540" s="240">
        <f>SUM(Q537:Q539)</f>
        <v>0</v>
      </c>
      <c r="R540" s="240">
        <f>SUM(R537:R539)</f>
        <v>0</v>
      </c>
      <c r="S540" s="240"/>
      <c r="T540" s="240">
        <f>SUM(T537:T539)</f>
        <v>0</v>
      </c>
      <c r="U540" s="240">
        <f t="shared" si="287"/>
        <v>0</v>
      </c>
      <c r="V540" s="240">
        <f t="shared" ref="V540:AU540" si="297">SUM(V537:V539)</f>
        <v>0</v>
      </c>
      <c r="W540" s="240">
        <f t="shared" si="297"/>
        <v>0</v>
      </c>
      <c r="X540" s="240">
        <f t="shared" si="297"/>
        <v>0</v>
      </c>
      <c r="Y540" s="240">
        <f t="shared" si="297"/>
        <v>0</v>
      </c>
      <c r="Z540" s="240">
        <f t="shared" si="297"/>
        <v>0</v>
      </c>
      <c r="AA540" s="240">
        <f t="shared" si="297"/>
        <v>0</v>
      </c>
      <c r="AB540" s="240">
        <f t="shared" si="297"/>
        <v>0</v>
      </c>
      <c r="AC540" s="240">
        <f t="shared" si="297"/>
        <v>0</v>
      </c>
      <c r="AD540" s="240">
        <f t="shared" si="297"/>
        <v>0</v>
      </c>
      <c r="AE540" s="240">
        <f t="shared" si="297"/>
        <v>0</v>
      </c>
      <c r="AF540" s="240">
        <f t="shared" si="297"/>
        <v>0</v>
      </c>
      <c r="AG540" s="240">
        <f t="shared" si="297"/>
        <v>0</v>
      </c>
      <c r="AH540" s="240">
        <f t="shared" si="297"/>
        <v>0</v>
      </c>
      <c r="AI540" s="240">
        <f t="shared" si="297"/>
        <v>0</v>
      </c>
      <c r="AJ540" s="240">
        <f t="shared" si="297"/>
        <v>0</v>
      </c>
      <c r="AK540" s="240">
        <f t="shared" si="297"/>
        <v>0</v>
      </c>
      <c r="AL540" s="240">
        <f t="shared" si="297"/>
        <v>0</v>
      </c>
      <c r="AM540" s="240">
        <f t="shared" si="297"/>
        <v>0</v>
      </c>
      <c r="AN540" s="240">
        <f t="shared" si="297"/>
        <v>0</v>
      </c>
      <c r="AO540" s="240">
        <f t="shared" si="297"/>
        <v>0</v>
      </c>
      <c r="AP540" s="240">
        <f t="shared" si="297"/>
        <v>0</v>
      </c>
      <c r="AQ540" s="240">
        <f t="shared" si="297"/>
        <v>0</v>
      </c>
      <c r="AR540" s="240">
        <f t="shared" si="297"/>
        <v>0</v>
      </c>
      <c r="AS540" s="240">
        <f t="shared" si="297"/>
        <v>0</v>
      </c>
      <c r="AT540" s="240">
        <f t="shared" si="297"/>
        <v>0</v>
      </c>
      <c r="AU540" s="240">
        <f t="shared" si="297"/>
        <v>0</v>
      </c>
      <c r="AV540" s="240"/>
      <c r="AW540" s="240"/>
      <c r="AX540" s="240"/>
      <c r="AY540" s="240"/>
    </row>
    <row r="541" spans="1:51" s="214" customFormat="1" ht="7.5" customHeight="1">
      <c r="C541" s="242"/>
      <c r="D541" s="242"/>
      <c r="E541" s="243"/>
      <c r="F541" s="243"/>
      <c r="G541" s="243"/>
      <c r="H541" s="243"/>
      <c r="I541" s="240"/>
      <c r="J541" s="240"/>
      <c r="K541" s="240"/>
      <c r="L541" s="240"/>
      <c r="M541" s="215"/>
      <c r="O541" s="240">
        <f t="shared" si="277"/>
        <v>0</v>
      </c>
      <c r="U541" s="214">
        <f t="shared" si="287"/>
        <v>0</v>
      </c>
    </row>
    <row r="542" spans="1:51" s="214" customFormat="1" ht="15.75" customHeight="1">
      <c r="B542" s="244"/>
      <c r="C542" s="356" t="s">
        <v>219</v>
      </c>
      <c r="D542" s="242"/>
      <c r="E542" s="243"/>
      <c r="F542" s="243"/>
      <c r="G542" s="243"/>
      <c r="H542" s="243"/>
      <c r="I542" s="246"/>
      <c r="J542" s="240"/>
      <c r="K542" s="240"/>
      <c r="L542" s="240"/>
      <c r="M542" s="240"/>
      <c r="N542" s="240" t="e">
        <f>N523+N530+N540</f>
        <v>#REF!</v>
      </c>
      <c r="O542" s="240" t="e">
        <f t="shared" si="277"/>
        <v>#REF!</v>
      </c>
      <c r="P542" s="240">
        <f t="shared" ref="P542:U542" si="298">P523+P530+P540</f>
        <v>0</v>
      </c>
      <c r="Q542" s="240">
        <f t="shared" si="298"/>
        <v>-194164636.69666666</v>
      </c>
      <c r="R542" s="240">
        <f t="shared" si="298"/>
        <v>-283263905.04498035</v>
      </c>
      <c r="S542" s="240">
        <f t="shared" si="298"/>
        <v>-141000000</v>
      </c>
      <c r="T542" s="240">
        <f t="shared" si="298"/>
        <v>-112826422.65573864</v>
      </c>
      <c r="U542" s="240">
        <f t="shared" si="298"/>
        <v>-253826422.65573865</v>
      </c>
      <c r="V542" s="240">
        <f t="shared" ref="V542:AU542" si="299">V523+V530+V540</f>
        <v>154418161.96487743</v>
      </c>
      <c r="W542" s="240">
        <f t="shared" si="299"/>
        <v>288577937.14397085</v>
      </c>
      <c r="X542" s="240">
        <f>X523+X530+X540</f>
        <v>302310763.77405554</v>
      </c>
      <c r="Y542" s="240">
        <f t="shared" si="299"/>
        <v>301528888.10718763</v>
      </c>
      <c r="Z542" s="240">
        <f t="shared" si="299"/>
        <v>301475286.25642759</v>
      </c>
      <c r="AA542" s="240">
        <f t="shared" si="299"/>
        <v>301397051.38720715</v>
      </c>
      <c r="AB542" s="240">
        <f t="shared" si="299"/>
        <v>300793102.6789782</v>
      </c>
      <c r="AC542" s="240">
        <f t="shared" si="299"/>
        <v>302108247.64107573</v>
      </c>
      <c r="AD542" s="240">
        <f t="shared" si="299"/>
        <v>302170247.64107573</v>
      </c>
      <c r="AE542" s="240">
        <f t="shared" si="299"/>
        <v>294903678.88792574</v>
      </c>
      <c r="AF542" s="240">
        <f t="shared" si="299"/>
        <v>289668042.69792581</v>
      </c>
      <c r="AG542" s="240">
        <f t="shared" si="299"/>
        <v>289730042.69792575</v>
      </c>
      <c r="AH542" s="240">
        <f t="shared" si="299"/>
        <v>289792042.69792581</v>
      </c>
      <c r="AI542" s="240">
        <f t="shared" si="299"/>
        <v>289854042.69792575</v>
      </c>
      <c r="AJ542" s="240">
        <f t="shared" si="299"/>
        <v>289916042.69792581</v>
      </c>
      <c r="AK542" s="240">
        <f t="shared" si="299"/>
        <v>289978042.69792575</v>
      </c>
      <c r="AL542" s="240">
        <f t="shared" si="299"/>
        <v>290040042.69792581</v>
      </c>
      <c r="AM542" s="240">
        <f t="shared" si="299"/>
        <v>289733893.33827239</v>
      </c>
      <c r="AN542" s="240">
        <f t="shared" si="299"/>
        <v>289637348.59309483</v>
      </c>
      <c r="AO542" s="240">
        <f t="shared" si="299"/>
        <v>289699348.59309477</v>
      </c>
      <c r="AP542" s="240">
        <f t="shared" si="299"/>
        <v>289761348.59309483</v>
      </c>
      <c r="AQ542" s="240">
        <f t="shared" si="299"/>
        <v>289823348.59309477</v>
      </c>
      <c r="AR542" s="240">
        <f t="shared" si="299"/>
        <v>289265348.59309483</v>
      </c>
      <c r="AS542" s="240">
        <f t="shared" si="299"/>
        <v>289265348.59309477</v>
      </c>
      <c r="AT542" s="240">
        <f t="shared" si="299"/>
        <v>289265348.59309483</v>
      </c>
      <c r="AU542" s="240">
        <f t="shared" si="299"/>
        <v>292571301.71388519</v>
      </c>
      <c r="AV542" s="240"/>
      <c r="AW542" s="240"/>
      <c r="AX542" s="240"/>
      <c r="AY542" s="240"/>
    </row>
    <row r="543" spans="1:51" s="214" customFormat="1" ht="15.75" hidden="1" customHeight="1" outlineLevel="1">
      <c r="B543" s="244"/>
      <c r="C543" s="242"/>
      <c r="D543" s="215"/>
      <c r="E543" s="271"/>
      <c r="F543" s="243"/>
      <c r="G543" s="243"/>
      <c r="H543" s="243"/>
      <c r="I543" s="242"/>
      <c r="J543" s="240"/>
      <c r="K543" s="240"/>
      <c r="L543" s="240"/>
      <c r="M543" s="215"/>
      <c r="N543" s="1231"/>
      <c r="O543" s="1231"/>
      <c r="P543" s="1231"/>
      <c r="Q543" s="1231"/>
      <c r="R543" s="1231"/>
      <c r="S543" s="1231"/>
      <c r="T543" s="1231"/>
      <c r="U543" s="1231">
        <f t="shared" si="287"/>
        <v>0</v>
      </c>
      <c r="V543" s="1231"/>
      <c r="W543" s="1231"/>
      <c r="X543" s="1231"/>
      <c r="Y543" s="1231"/>
      <c r="Z543" s="1231"/>
      <c r="AA543" s="1231"/>
      <c r="AB543" s="1231"/>
      <c r="AC543" s="1231"/>
      <c r="AD543" s="1231"/>
      <c r="AE543" s="1231"/>
      <c r="AF543" s="1231"/>
      <c r="AG543" s="1231"/>
      <c r="AH543" s="1231"/>
      <c r="AI543" s="1231"/>
      <c r="AJ543" s="1231"/>
      <c r="AK543" s="1231"/>
      <c r="AL543" s="1231"/>
      <c r="AM543" s="1231"/>
      <c r="AN543" s="1231"/>
      <c r="AO543" s="1231"/>
      <c r="AP543" s="1231"/>
      <c r="AQ543" s="1231"/>
      <c r="AR543" s="1231"/>
      <c r="AS543" s="1231"/>
      <c r="AT543" s="1231"/>
      <c r="AU543" s="1231"/>
      <c r="AV543" s="1231"/>
      <c r="AW543" s="1231"/>
      <c r="AX543" s="1231"/>
      <c r="AY543" s="1231"/>
    </row>
    <row r="544" spans="1:51" s="214" customFormat="1" ht="15.75" hidden="1" customHeight="1" outlineLevel="1">
      <c r="B544" s="244"/>
      <c r="C544" s="356" t="s">
        <v>1972</v>
      </c>
      <c r="D544" s="242"/>
      <c r="E544" s="242"/>
      <c r="F544" s="242"/>
      <c r="G544" s="242"/>
      <c r="H544" s="242"/>
      <c r="I544" s="240"/>
      <c r="J544" s="259"/>
      <c r="K544" s="240"/>
      <c r="L544" s="240"/>
      <c r="M544" s="240"/>
      <c r="N544" s="240">
        <f>M545</f>
        <v>716619.65</v>
      </c>
      <c r="O544" s="240">
        <f>N544</f>
        <v>716619.65</v>
      </c>
      <c r="P544" s="240">
        <v>716620</v>
      </c>
      <c r="Q544" s="240">
        <f t="shared" ref="Q544:AU544" si="300">P545</f>
        <v>716620</v>
      </c>
      <c r="R544" s="240">
        <f t="shared" si="300"/>
        <v>-193448016.69666666</v>
      </c>
      <c r="S544" s="240">
        <f>Q545</f>
        <v>-193448016.69666666</v>
      </c>
      <c r="T544" s="240">
        <f>S545</f>
        <v>-334448016.69666666</v>
      </c>
      <c r="U544" s="240">
        <f>Q545</f>
        <v>-193448016.69666666</v>
      </c>
      <c r="V544" s="240">
        <f>R545</f>
        <v>-476711921.74164701</v>
      </c>
      <c r="W544" s="240">
        <f t="shared" si="300"/>
        <v>-322293759.77676958</v>
      </c>
      <c r="X544" s="240">
        <f t="shared" si="300"/>
        <v>-33715822.632798731</v>
      </c>
      <c r="Y544" s="240">
        <f t="shared" si="300"/>
        <v>268594941.14125681</v>
      </c>
      <c r="Z544" s="240">
        <f t="shared" si="300"/>
        <v>570123829.24844444</v>
      </c>
      <c r="AA544" s="240">
        <f t="shared" si="300"/>
        <v>871599115.50487208</v>
      </c>
      <c r="AB544" s="240">
        <f t="shared" si="300"/>
        <v>1172996166.8920794</v>
      </c>
      <c r="AC544" s="240">
        <f t="shared" si="300"/>
        <v>1473789269.5710576</v>
      </c>
      <c r="AD544" s="240">
        <f t="shared" si="300"/>
        <v>1775897517.2121334</v>
      </c>
      <c r="AE544" s="240">
        <f t="shared" si="300"/>
        <v>2078067764.853209</v>
      </c>
      <c r="AF544" s="240">
        <f t="shared" si="300"/>
        <v>2372971443.7411346</v>
      </c>
      <c r="AG544" s="240">
        <f t="shared" si="300"/>
        <v>2662639486.4390602</v>
      </c>
      <c r="AH544" s="240">
        <f t="shared" si="300"/>
        <v>2952369529.1369858</v>
      </c>
      <c r="AI544" s="240">
        <f t="shared" si="300"/>
        <v>3242161571.8349113</v>
      </c>
      <c r="AJ544" s="240">
        <f t="shared" si="300"/>
        <v>3532015614.5328369</v>
      </c>
      <c r="AK544" s="240">
        <f t="shared" si="300"/>
        <v>3821931657.2307625</v>
      </c>
      <c r="AL544" s="240">
        <f t="shared" si="300"/>
        <v>4111909699.928688</v>
      </c>
      <c r="AM544" s="240">
        <f t="shared" si="300"/>
        <v>4401949742.6266136</v>
      </c>
      <c r="AN544" s="240">
        <f t="shared" si="300"/>
        <v>4691683635.9648857</v>
      </c>
      <c r="AO544" s="240">
        <f t="shared" si="300"/>
        <v>4981320984.5579805</v>
      </c>
      <c r="AP544" s="240">
        <f t="shared" si="300"/>
        <v>5271020333.1510754</v>
      </c>
      <c r="AQ544" s="240">
        <f t="shared" si="300"/>
        <v>5560781681.7441702</v>
      </c>
      <c r="AR544" s="240">
        <f t="shared" si="300"/>
        <v>5850605030.337265</v>
      </c>
      <c r="AS544" s="240">
        <f t="shared" si="300"/>
        <v>6139870378.9303598</v>
      </c>
      <c r="AT544" s="240">
        <f t="shared" si="300"/>
        <v>6429135727.5234547</v>
      </c>
      <c r="AU544" s="240">
        <f t="shared" si="300"/>
        <v>6718401076.1165495</v>
      </c>
      <c r="AV544" s="240"/>
      <c r="AW544" s="240"/>
      <c r="AX544" s="240"/>
      <c r="AY544" s="240"/>
    </row>
    <row r="545" spans="2:51" s="214" customFormat="1" ht="15.75" hidden="1" customHeight="1" outlineLevel="1">
      <c r="B545" s="244"/>
      <c r="C545" s="386" t="s">
        <v>1045</v>
      </c>
      <c r="D545" s="260"/>
      <c r="E545" s="260"/>
      <c r="F545" s="260"/>
      <c r="G545" s="260"/>
      <c r="H545" s="260"/>
      <c r="I545" s="261"/>
      <c r="J545" s="261"/>
      <c r="K545" s="261"/>
      <c r="L545" s="261"/>
      <c r="M545" s="261">
        <v>716619.65</v>
      </c>
      <c r="N545" s="261" t="e">
        <f>N542+N544</f>
        <v>#REF!</v>
      </c>
      <c r="O545" s="261" t="e">
        <f>N545</f>
        <v>#REF!</v>
      </c>
      <c r="P545" s="261">
        <f t="shared" ref="P545:U545" si="301">P542+P544</f>
        <v>716620</v>
      </c>
      <c r="Q545" s="261">
        <f t="shared" si="301"/>
        <v>-193448016.69666666</v>
      </c>
      <c r="R545" s="261">
        <f t="shared" si="301"/>
        <v>-476711921.74164701</v>
      </c>
      <c r="S545" s="261">
        <f t="shared" si="301"/>
        <v>-334448016.69666666</v>
      </c>
      <c r="T545" s="261">
        <f t="shared" si="301"/>
        <v>-447274439.35240531</v>
      </c>
      <c r="U545" s="261">
        <f t="shared" si="301"/>
        <v>-447274439.35240531</v>
      </c>
      <c r="V545" s="261">
        <f t="shared" ref="V545:AU545" si="302">V542+V544</f>
        <v>-322293759.77676958</v>
      </c>
      <c r="W545" s="261">
        <f t="shared" si="302"/>
        <v>-33715822.632798731</v>
      </c>
      <c r="X545" s="261">
        <f t="shared" si="302"/>
        <v>268594941.14125681</v>
      </c>
      <c r="Y545" s="261">
        <f t="shared" si="302"/>
        <v>570123829.24844444</v>
      </c>
      <c r="Z545" s="261">
        <f t="shared" si="302"/>
        <v>871599115.50487208</v>
      </c>
      <c r="AA545" s="261">
        <f t="shared" si="302"/>
        <v>1172996166.8920794</v>
      </c>
      <c r="AB545" s="261">
        <f t="shared" si="302"/>
        <v>1473789269.5710576</v>
      </c>
      <c r="AC545" s="261">
        <f t="shared" si="302"/>
        <v>1775897517.2121334</v>
      </c>
      <c r="AD545" s="261">
        <f t="shared" si="302"/>
        <v>2078067764.853209</v>
      </c>
      <c r="AE545" s="261">
        <f t="shared" si="302"/>
        <v>2372971443.7411346</v>
      </c>
      <c r="AF545" s="261">
        <f t="shared" si="302"/>
        <v>2662639486.4390602</v>
      </c>
      <c r="AG545" s="261">
        <f t="shared" si="302"/>
        <v>2952369529.1369858</v>
      </c>
      <c r="AH545" s="261">
        <f t="shared" si="302"/>
        <v>3242161571.8349113</v>
      </c>
      <c r="AI545" s="261">
        <f t="shared" si="302"/>
        <v>3532015614.5328369</v>
      </c>
      <c r="AJ545" s="261">
        <f t="shared" si="302"/>
        <v>3821931657.2307625</v>
      </c>
      <c r="AK545" s="261">
        <f t="shared" si="302"/>
        <v>4111909699.928688</v>
      </c>
      <c r="AL545" s="261">
        <f t="shared" si="302"/>
        <v>4401949742.6266136</v>
      </c>
      <c r="AM545" s="261">
        <f t="shared" si="302"/>
        <v>4691683635.9648857</v>
      </c>
      <c r="AN545" s="261">
        <f t="shared" si="302"/>
        <v>4981320984.5579805</v>
      </c>
      <c r="AO545" s="261">
        <f t="shared" si="302"/>
        <v>5271020333.1510754</v>
      </c>
      <c r="AP545" s="261">
        <f t="shared" si="302"/>
        <v>5560781681.7441702</v>
      </c>
      <c r="AQ545" s="261">
        <f t="shared" si="302"/>
        <v>5850605030.337265</v>
      </c>
      <c r="AR545" s="261">
        <f t="shared" si="302"/>
        <v>6139870378.9303598</v>
      </c>
      <c r="AS545" s="261">
        <f t="shared" si="302"/>
        <v>6429135727.5234547</v>
      </c>
      <c r="AT545" s="261">
        <f t="shared" si="302"/>
        <v>6718401076.1165495</v>
      </c>
      <c r="AU545" s="261">
        <f t="shared" si="302"/>
        <v>7010972377.8304348</v>
      </c>
      <c r="AV545" s="261"/>
      <c r="AW545" s="261"/>
      <c r="AX545" s="261"/>
      <c r="AY545" s="261"/>
    </row>
    <row r="546" spans="2:51" s="214" customFormat="1" ht="15.75" customHeight="1" collapsed="1">
      <c r="B546" s="244"/>
      <c r="C546" s="244"/>
      <c r="D546" s="244"/>
      <c r="E546" s="244"/>
      <c r="F546" s="244"/>
      <c r="G546" s="244"/>
      <c r="H546" s="244"/>
      <c r="I546" s="244"/>
      <c r="J546" s="244"/>
      <c r="K546" s="279"/>
      <c r="L546" s="279"/>
      <c r="M546" s="215"/>
    </row>
    <row r="547" spans="2:51">
      <c r="B547" s="215"/>
      <c r="C547" s="356"/>
      <c r="D547" s="242"/>
      <c r="E547" s="243"/>
      <c r="F547" s="243"/>
      <c r="G547" s="243"/>
      <c r="H547" s="243"/>
      <c r="I547" s="242"/>
      <c r="J547" s="240"/>
      <c r="K547" s="240"/>
      <c r="L547" s="240"/>
      <c r="M547" s="640"/>
      <c r="X547" s="577"/>
      <c r="Y547" s="577"/>
      <c r="Z547" s="577"/>
      <c r="AA547" s="577"/>
      <c r="AB547" s="577"/>
      <c r="AC547" s="577"/>
      <c r="AD547" s="577"/>
      <c r="AE547" s="577"/>
      <c r="AF547" s="577"/>
      <c r="AG547" s="577"/>
      <c r="AH547" s="577"/>
      <c r="AI547" s="577"/>
      <c r="AJ547" s="577"/>
      <c r="AK547" s="577"/>
      <c r="AL547" s="577"/>
      <c r="AM547" s="577"/>
      <c r="AN547" s="577"/>
      <c r="AO547" s="577"/>
      <c r="AP547" s="577"/>
      <c r="AQ547" s="577"/>
      <c r="AR547" s="577"/>
      <c r="AS547" s="577"/>
      <c r="AT547" s="577"/>
      <c r="AU547" s="577"/>
      <c r="AV547" s="577"/>
      <c r="AW547" s="577"/>
      <c r="AX547" s="577"/>
      <c r="AY547" s="577"/>
    </row>
    <row r="548" spans="2:51">
      <c r="B548" s="244"/>
      <c r="C548" s="227"/>
      <c r="D548" s="227"/>
      <c r="E548" s="227"/>
      <c r="F548" s="227"/>
      <c r="G548" s="227"/>
      <c r="H548" s="227"/>
      <c r="I548" s="227"/>
      <c r="J548" s="227"/>
      <c r="K548" s="252"/>
      <c r="L548" s="252"/>
      <c r="M548" s="640"/>
      <c r="X548" s="577"/>
      <c r="Y548" s="577"/>
      <c r="Z548" s="577"/>
      <c r="AA548" s="577"/>
      <c r="AB548" s="577"/>
      <c r="AC548" s="577"/>
      <c r="AD548" s="577"/>
      <c r="AE548" s="577"/>
      <c r="AF548" s="577"/>
      <c r="AG548" s="577"/>
      <c r="AH548" s="577"/>
      <c r="AI548" s="577"/>
      <c r="AJ548" s="577"/>
      <c r="AK548" s="577"/>
      <c r="AL548" s="577"/>
      <c r="AM548" s="577"/>
      <c r="AN548" s="577"/>
      <c r="AO548" s="577"/>
      <c r="AP548" s="577"/>
      <c r="AQ548" s="577"/>
      <c r="AR548" s="577"/>
      <c r="AS548" s="577"/>
      <c r="AT548" s="577"/>
      <c r="AU548" s="577"/>
      <c r="AV548" s="577"/>
      <c r="AW548" s="577"/>
      <c r="AX548" s="577"/>
      <c r="AY548" s="577"/>
    </row>
    <row r="549" spans="2:51">
      <c r="B549" s="244"/>
      <c r="C549" s="227"/>
      <c r="D549" s="227"/>
      <c r="E549" s="227"/>
      <c r="F549" s="227"/>
      <c r="G549" s="227"/>
      <c r="H549" s="227"/>
      <c r="I549" s="227"/>
      <c r="J549" s="227"/>
      <c r="K549" s="252"/>
      <c r="L549" s="252"/>
      <c r="M549" s="428"/>
      <c r="X549" s="577"/>
      <c r="Y549" s="577"/>
      <c r="Z549" s="577"/>
      <c r="AA549" s="577"/>
      <c r="AB549" s="577"/>
      <c r="AC549" s="577"/>
      <c r="AD549" s="577"/>
      <c r="AE549" s="577"/>
      <c r="AF549" s="577"/>
      <c r="AG549" s="577"/>
      <c r="AH549" s="577"/>
      <c r="AI549" s="577"/>
      <c r="AJ549" s="577"/>
      <c r="AK549" s="577"/>
      <c r="AL549" s="577"/>
      <c r="AM549" s="577"/>
      <c r="AN549" s="577"/>
      <c r="AO549" s="577"/>
      <c r="AP549" s="577"/>
      <c r="AQ549" s="577"/>
      <c r="AR549" s="577"/>
      <c r="AS549" s="577"/>
      <c r="AT549" s="577"/>
      <c r="AU549" s="577"/>
      <c r="AV549" s="577"/>
      <c r="AW549" s="577"/>
      <c r="AX549" s="577"/>
      <c r="AY549" s="577"/>
    </row>
    <row r="550" spans="2:51">
      <c r="B550" s="244"/>
      <c r="C550" s="227"/>
      <c r="D550" s="227"/>
      <c r="E550" s="227"/>
      <c r="F550" s="227"/>
      <c r="G550" s="227"/>
      <c r="H550" s="227"/>
      <c r="I550" s="227"/>
      <c r="J550" s="227"/>
      <c r="K550" s="252"/>
      <c r="L550" s="252"/>
      <c r="M550" s="640"/>
      <c r="X550" s="577"/>
      <c r="Y550" s="577"/>
      <c r="Z550" s="577"/>
      <c r="AA550" s="577"/>
      <c r="AB550" s="577"/>
      <c r="AC550" s="577"/>
      <c r="AD550" s="577"/>
      <c r="AE550" s="577"/>
      <c r="AF550" s="577"/>
      <c r="AG550" s="577"/>
      <c r="AH550" s="577"/>
      <c r="AI550" s="577"/>
      <c r="AJ550" s="577"/>
      <c r="AK550" s="577"/>
      <c r="AL550" s="577"/>
      <c r="AM550" s="577"/>
      <c r="AN550" s="577"/>
      <c r="AO550" s="577"/>
      <c r="AP550" s="577"/>
      <c r="AQ550" s="577"/>
      <c r="AR550" s="577"/>
      <c r="AS550" s="577"/>
      <c r="AT550" s="577"/>
      <c r="AU550" s="577"/>
      <c r="AV550" s="577"/>
      <c r="AW550" s="577"/>
      <c r="AX550" s="577"/>
      <c r="AY550" s="577"/>
    </row>
    <row r="551" spans="2:51">
      <c r="B551" s="244"/>
      <c r="C551" s="227"/>
      <c r="D551" s="227"/>
      <c r="E551" s="227"/>
      <c r="F551" s="227"/>
      <c r="G551" s="227"/>
      <c r="H551" s="227"/>
      <c r="I551" s="227"/>
      <c r="J551" s="227"/>
      <c r="K551" s="252"/>
      <c r="L551" s="252"/>
      <c r="M551" s="185"/>
      <c r="X551" s="577"/>
      <c r="Y551" s="577"/>
      <c r="Z551" s="577"/>
      <c r="AA551" s="577"/>
      <c r="AB551" s="577"/>
      <c r="AC551" s="577"/>
      <c r="AD551" s="577"/>
      <c r="AE551" s="577"/>
      <c r="AF551" s="577"/>
      <c r="AG551" s="577"/>
      <c r="AH551" s="577"/>
      <c r="AI551" s="577"/>
      <c r="AJ551" s="577"/>
      <c r="AK551" s="577"/>
      <c r="AL551" s="577"/>
      <c r="AM551" s="577"/>
      <c r="AN551" s="577"/>
      <c r="AO551" s="577"/>
      <c r="AP551" s="577"/>
      <c r="AQ551" s="577"/>
      <c r="AR551" s="577"/>
      <c r="AS551" s="577"/>
      <c r="AT551" s="577"/>
      <c r="AU551" s="577"/>
      <c r="AV551" s="577"/>
      <c r="AW551" s="577"/>
      <c r="AX551" s="577"/>
      <c r="AY551" s="577"/>
    </row>
    <row r="552" spans="2:51" ht="27">
      <c r="B552" s="244"/>
      <c r="C552" s="366" t="s">
        <v>835</v>
      </c>
      <c r="I552" s="227"/>
      <c r="J552" s="227"/>
      <c r="K552" s="226"/>
      <c r="L552" s="228"/>
      <c r="M552" s="368"/>
      <c r="N552" s="228"/>
      <c r="O552" s="228"/>
      <c r="P552" s="228"/>
      <c r="Q552" s="228"/>
      <c r="R552" s="228"/>
      <c r="S552" s="228"/>
      <c r="T552" s="228"/>
      <c r="U552" s="228"/>
      <c r="V552" s="228"/>
      <c r="W552" s="228"/>
      <c r="X552" s="228"/>
      <c r="Y552" s="228"/>
      <c r="Z552" s="228"/>
      <c r="AA552" s="228"/>
      <c r="AB552" s="228"/>
      <c r="AC552" s="228"/>
      <c r="AD552" s="228"/>
      <c r="AE552" s="228"/>
      <c r="AF552" s="228"/>
      <c r="AG552" s="228"/>
      <c r="AH552" s="228"/>
      <c r="AI552" s="228"/>
      <c r="AJ552" s="228"/>
      <c r="AK552" s="228"/>
      <c r="AL552" s="228"/>
      <c r="AM552" s="228"/>
      <c r="AN552" s="228"/>
      <c r="AO552" s="228"/>
      <c r="AP552" s="228"/>
      <c r="AQ552" s="228"/>
      <c r="AR552" s="228"/>
      <c r="AS552" s="228"/>
      <c r="AT552" s="228"/>
      <c r="AU552" s="228"/>
      <c r="AV552" s="228"/>
      <c r="AW552" s="228"/>
      <c r="AX552" s="228"/>
      <c r="AY552" s="228"/>
    </row>
    <row r="553" spans="2:51" ht="27">
      <c r="B553" s="244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  <c r="AA553" s="229"/>
      <c r="AB553" s="229"/>
      <c r="AC553" s="229"/>
      <c r="AD553" s="229"/>
      <c r="AE553" s="229"/>
      <c r="AF553" s="229"/>
      <c r="AG553" s="229"/>
      <c r="AH553" s="229"/>
      <c r="AI553" s="229"/>
      <c r="AJ553" s="229"/>
      <c r="AK553" s="229"/>
      <c r="AL553" s="229"/>
      <c r="AM553" s="229"/>
      <c r="AN553" s="229"/>
      <c r="AO553" s="229"/>
      <c r="AP553" s="229"/>
      <c r="AQ553" s="229"/>
      <c r="AR553" s="229"/>
      <c r="AS553" s="229"/>
      <c r="AT553" s="229"/>
      <c r="AU553" s="229"/>
      <c r="AV553" s="229"/>
      <c r="AW553" s="229"/>
      <c r="AX553" s="229"/>
      <c r="AY553" s="229"/>
    </row>
    <row r="554" spans="2:51">
      <c r="B554" s="244"/>
      <c r="C554" s="169"/>
      <c r="I554" s="227"/>
      <c r="J554" s="227"/>
      <c r="K554" s="226"/>
      <c r="L554" s="228"/>
      <c r="M554" s="368"/>
      <c r="N554" s="228"/>
      <c r="O554" s="228"/>
      <c r="P554" s="228"/>
      <c r="Q554" s="228"/>
      <c r="R554" s="228"/>
      <c r="S554" s="228"/>
      <c r="T554" s="228"/>
      <c r="U554" s="228"/>
      <c r="V554" s="228"/>
      <c r="W554" s="228"/>
      <c r="X554" s="228"/>
      <c r="Y554" s="228"/>
      <c r="Z554" s="228"/>
      <c r="AA554" s="228"/>
      <c r="AB554" s="228"/>
      <c r="AC554" s="228"/>
      <c r="AD554" s="228"/>
      <c r="AE554" s="228"/>
      <c r="AF554" s="228"/>
      <c r="AG554" s="228"/>
      <c r="AH554" s="228"/>
      <c r="AI554" s="228"/>
      <c r="AJ554" s="228"/>
      <c r="AK554" s="228"/>
      <c r="AL554" s="228"/>
      <c r="AM554" s="228"/>
      <c r="AN554" s="228"/>
      <c r="AO554" s="228"/>
      <c r="AP554" s="228"/>
      <c r="AQ554" s="228"/>
      <c r="AR554" s="228"/>
      <c r="AS554" s="228"/>
      <c r="AT554" s="228"/>
      <c r="AU554" s="228"/>
      <c r="AV554" s="228"/>
      <c r="AW554" s="228"/>
      <c r="AX554" s="228"/>
      <c r="AY554" s="228"/>
    </row>
    <row r="555" spans="2:51">
      <c r="B555" s="214"/>
      <c r="C555" s="313" t="s">
        <v>835</v>
      </c>
      <c r="I555" s="227"/>
      <c r="J555" s="230"/>
      <c r="K555" s="231"/>
      <c r="L555" s="232"/>
      <c r="M555" s="232"/>
      <c r="N555" s="232"/>
      <c r="O555" s="232"/>
      <c r="P555" s="232"/>
      <c r="Q555" s="232"/>
      <c r="R555" s="232"/>
      <c r="S555" s="232"/>
      <c r="T555" s="232"/>
      <c r="U555" s="232"/>
      <c r="V555" s="232"/>
      <c r="W555" s="232"/>
      <c r="X555" s="232"/>
      <c r="Y555" s="232"/>
      <c r="Z555" s="232"/>
      <c r="AA555" s="232"/>
      <c r="AB555" s="232"/>
      <c r="AC555" s="232"/>
      <c r="AD555" s="232"/>
      <c r="AE555" s="232"/>
      <c r="AF555" s="232"/>
      <c r="AG555" s="232"/>
      <c r="AH555" s="232"/>
      <c r="AI555" s="232"/>
      <c r="AJ555" s="232"/>
      <c r="AK555" s="232"/>
      <c r="AL555" s="232"/>
      <c r="AM555" s="232"/>
      <c r="AN555" s="232"/>
      <c r="AO555" s="232"/>
      <c r="AP555" s="232"/>
      <c r="AQ555" s="232"/>
      <c r="AR555" s="232"/>
      <c r="AS555" s="232"/>
      <c r="AT555" s="232"/>
      <c r="AU555" s="232"/>
      <c r="AV555" s="232"/>
      <c r="AW555" s="232"/>
      <c r="AX555" s="232"/>
      <c r="AY555" s="232"/>
    </row>
    <row r="556" spans="2:51">
      <c r="B556" s="214"/>
      <c r="C556" s="348"/>
      <c r="D556" s="233"/>
      <c r="E556" s="233"/>
      <c r="F556" s="233"/>
      <c r="G556" s="233"/>
      <c r="H556" s="233"/>
      <c r="I556" s="174"/>
      <c r="J556" s="174"/>
      <c r="K556" s="174"/>
      <c r="L556" s="174"/>
      <c r="M556" s="1300"/>
      <c r="N556" s="1300"/>
      <c r="O556" s="175">
        <v>-3</v>
      </c>
      <c r="P556" s="175">
        <f>O556+1</f>
        <v>-2</v>
      </c>
      <c r="Q556" s="175">
        <f>P556+1</f>
        <v>-1</v>
      </c>
      <c r="R556" s="175">
        <f>Q556+2</f>
        <v>1</v>
      </c>
      <c r="S556" s="175">
        <f>$S$8</f>
        <v>0</v>
      </c>
      <c r="T556" s="175">
        <f>$T$8</f>
        <v>0</v>
      </c>
      <c r="U556" s="175" t="str">
        <f>$U$7</f>
        <v>Revised</v>
      </c>
      <c r="V556" s="175">
        <f>R556+1</f>
        <v>2</v>
      </c>
      <c r="W556" s="175">
        <f t="shared" ref="W556:AU556" si="303">V556+1</f>
        <v>3</v>
      </c>
      <c r="X556" s="175">
        <f t="shared" si="303"/>
        <v>4</v>
      </c>
      <c r="Y556" s="175">
        <f t="shared" si="303"/>
        <v>5</v>
      </c>
      <c r="Z556" s="175">
        <f t="shared" si="303"/>
        <v>6</v>
      </c>
      <c r="AA556" s="175">
        <f t="shared" si="303"/>
        <v>7</v>
      </c>
      <c r="AB556" s="175">
        <f t="shared" si="303"/>
        <v>8</v>
      </c>
      <c r="AC556" s="175">
        <f t="shared" si="303"/>
        <v>9</v>
      </c>
      <c r="AD556" s="175">
        <f t="shared" si="303"/>
        <v>10</v>
      </c>
      <c r="AE556" s="175">
        <f t="shared" si="303"/>
        <v>11</v>
      </c>
      <c r="AF556" s="175">
        <f t="shared" si="303"/>
        <v>12</v>
      </c>
      <c r="AG556" s="175">
        <f t="shared" si="303"/>
        <v>13</v>
      </c>
      <c r="AH556" s="175">
        <f t="shared" si="303"/>
        <v>14</v>
      </c>
      <c r="AI556" s="175">
        <f t="shared" si="303"/>
        <v>15</v>
      </c>
      <c r="AJ556" s="175">
        <f t="shared" si="303"/>
        <v>16</v>
      </c>
      <c r="AK556" s="175">
        <f t="shared" si="303"/>
        <v>17</v>
      </c>
      <c r="AL556" s="175">
        <f t="shared" si="303"/>
        <v>18</v>
      </c>
      <c r="AM556" s="175">
        <f t="shared" si="303"/>
        <v>19</v>
      </c>
      <c r="AN556" s="175">
        <f t="shared" si="303"/>
        <v>20</v>
      </c>
      <c r="AO556" s="175">
        <f t="shared" si="303"/>
        <v>21</v>
      </c>
      <c r="AP556" s="175">
        <f t="shared" si="303"/>
        <v>22</v>
      </c>
      <c r="AQ556" s="175">
        <f t="shared" si="303"/>
        <v>23</v>
      </c>
      <c r="AR556" s="175">
        <f t="shared" si="303"/>
        <v>24</v>
      </c>
      <c r="AS556" s="175">
        <f t="shared" si="303"/>
        <v>25</v>
      </c>
      <c r="AT556" s="175">
        <f t="shared" si="303"/>
        <v>26</v>
      </c>
      <c r="AU556" s="175">
        <f t="shared" si="303"/>
        <v>27</v>
      </c>
      <c r="AV556" s="174"/>
      <c r="AW556" s="174"/>
      <c r="AX556" s="174"/>
      <c r="AY556" s="174"/>
    </row>
    <row r="557" spans="2:51">
      <c r="B557" s="214"/>
      <c r="C557" s="349"/>
      <c r="D557" s="234"/>
      <c r="E557" s="234"/>
      <c r="F557" s="234"/>
      <c r="G557" s="234"/>
      <c r="H557" s="234"/>
      <c r="I557" s="176"/>
      <c r="J557" s="176"/>
      <c r="K557" s="176"/>
      <c r="L557" s="176"/>
      <c r="M557" s="758"/>
      <c r="N557" s="758"/>
      <c r="O557" s="872"/>
      <c r="P557" s="758"/>
      <c r="Q557" s="758"/>
      <c r="R557" s="758"/>
      <c r="S557" s="758"/>
      <c r="T557" s="758"/>
      <c r="U557" s="758"/>
      <c r="V557" s="758"/>
      <c r="W557" s="758"/>
      <c r="X557" s="758"/>
      <c r="Y557" s="758"/>
      <c r="Z557" s="758"/>
      <c r="AA557" s="758"/>
      <c r="AB557" s="758"/>
      <c r="AC557" s="758"/>
      <c r="AD557" s="758"/>
      <c r="AE557" s="758"/>
      <c r="AF557" s="758"/>
      <c r="AG557" s="758"/>
      <c r="AH557" s="758"/>
      <c r="AI557" s="758"/>
      <c r="AJ557" s="758"/>
      <c r="AK557" s="758"/>
      <c r="AL557" s="758"/>
      <c r="AM557" s="758"/>
      <c r="AN557" s="758"/>
      <c r="AO557" s="758"/>
      <c r="AP557" s="758"/>
      <c r="AQ557" s="758"/>
      <c r="AR557" s="758"/>
      <c r="AS557" s="758"/>
      <c r="AT557" s="758"/>
      <c r="AU557" s="758"/>
      <c r="AV557" s="872"/>
      <c r="AW557" s="872"/>
      <c r="AX557" s="872"/>
      <c r="AY557" s="872"/>
    </row>
    <row r="558" spans="2:51">
      <c r="B558" s="242"/>
      <c r="C558" s="359"/>
      <c r="D558" s="260"/>
      <c r="E558" s="235"/>
      <c r="F558" s="235"/>
      <c r="G558" s="235"/>
      <c r="H558" s="235"/>
      <c r="I558" s="178"/>
      <c r="J558" s="178"/>
      <c r="K558" s="245"/>
      <c r="L558" s="245"/>
      <c r="M558" s="178" t="s">
        <v>499</v>
      </c>
      <c r="N558" s="178" t="s">
        <v>499</v>
      </c>
      <c r="O558" s="245" t="str">
        <f>O512</f>
        <v>($)</v>
      </c>
      <c r="P558" s="245" t="str">
        <f>P512</f>
        <v>($)</v>
      </c>
      <c r="Q558" s="245" t="str">
        <f>Q512</f>
        <v>($)</v>
      </c>
      <c r="R558" s="245" t="str">
        <f>R512</f>
        <v>($)</v>
      </c>
      <c r="S558" s="178" t="str">
        <f>R558</f>
        <v>($)</v>
      </c>
      <c r="T558" s="178" t="str">
        <f>S558</f>
        <v>($)</v>
      </c>
      <c r="U558" s="178" t="str">
        <f>T558</f>
        <v>($)</v>
      </c>
      <c r="V558" s="245" t="str">
        <f>V512</f>
        <v>($)</v>
      </c>
      <c r="W558" s="245" t="str">
        <f>W512</f>
        <v>($)</v>
      </c>
      <c r="X558" s="245" t="str">
        <f t="shared" ref="X558:AU558" si="304">X512</f>
        <v>($)</v>
      </c>
      <c r="Y558" s="245" t="str">
        <f t="shared" si="304"/>
        <v>($)</v>
      </c>
      <c r="Z558" s="245" t="str">
        <f t="shared" si="304"/>
        <v>($)</v>
      </c>
      <c r="AA558" s="245" t="str">
        <f t="shared" si="304"/>
        <v>($)</v>
      </c>
      <c r="AB558" s="245" t="str">
        <f t="shared" si="304"/>
        <v>($)</v>
      </c>
      <c r="AC558" s="245" t="str">
        <f t="shared" si="304"/>
        <v>($)</v>
      </c>
      <c r="AD558" s="245" t="str">
        <f t="shared" si="304"/>
        <v>($)</v>
      </c>
      <c r="AE558" s="245" t="str">
        <f t="shared" si="304"/>
        <v>($)</v>
      </c>
      <c r="AF558" s="245" t="str">
        <f t="shared" si="304"/>
        <v>($)</v>
      </c>
      <c r="AG558" s="245" t="str">
        <f t="shared" si="304"/>
        <v>($)</v>
      </c>
      <c r="AH558" s="245" t="str">
        <f t="shared" si="304"/>
        <v>($)</v>
      </c>
      <c r="AI558" s="245" t="str">
        <f t="shared" si="304"/>
        <v>($)</v>
      </c>
      <c r="AJ558" s="245" t="str">
        <f t="shared" si="304"/>
        <v>($)</v>
      </c>
      <c r="AK558" s="245" t="str">
        <f t="shared" si="304"/>
        <v>($)</v>
      </c>
      <c r="AL558" s="245" t="str">
        <f t="shared" si="304"/>
        <v>($)</v>
      </c>
      <c r="AM558" s="245" t="str">
        <f t="shared" si="304"/>
        <v>($)</v>
      </c>
      <c r="AN558" s="245" t="str">
        <f t="shared" si="304"/>
        <v>($)</v>
      </c>
      <c r="AO558" s="245" t="str">
        <f t="shared" si="304"/>
        <v>($)</v>
      </c>
      <c r="AP558" s="245" t="str">
        <f t="shared" si="304"/>
        <v>($)</v>
      </c>
      <c r="AQ558" s="245" t="str">
        <f t="shared" si="304"/>
        <v>($)</v>
      </c>
      <c r="AR558" s="245" t="str">
        <f t="shared" si="304"/>
        <v>($)</v>
      </c>
      <c r="AS558" s="245" t="str">
        <f t="shared" si="304"/>
        <v>($)</v>
      </c>
      <c r="AT558" s="245" t="str">
        <f t="shared" si="304"/>
        <v>($)</v>
      </c>
      <c r="AU558" s="245" t="str">
        <f t="shared" si="304"/>
        <v>($)</v>
      </c>
      <c r="AV558" s="245"/>
      <c r="AW558" s="245"/>
      <c r="AX558" s="245"/>
      <c r="AY558" s="245"/>
    </row>
    <row r="559" spans="2:51">
      <c r="B559" s="214"/>
      <c r="C559" s="242"/>
      <c r="D559" s="242"/>
      <c r="E559" s="242"/>
      <c r="F559" s="242"/>
      <c r="G559" s="242"/>
      <c r="H559" s="242"/>
      <c r="I559" s="23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>
        <f t="shared" si="287"/>
        <v>0</v>
      </c>
      <c r="V559" s="257"/>
      <c r="W559" s="257"/>
      <c r="X559" s="257"/>
      <c r="Y559" s="257"/>
      <c r="Z559" s="257"/>
      <c r="AA559" s="257"/>
      <c r="AB559" s="257"/>
      <c r="AC559" s="257"/>
      <c r="AD559" s="257"/>
      <c r="AE559" s="257"/>
      <c r="AF559" s="257"/>
      <c r="AG559" s="257"/>
      <c r="AH559" s="257"/>
      <c r="AI559" s="257"/>
      <c r="AJ559" s="257"/>
      <c r="AK559" s="257"/>
      <c r="AL559" s="257"/>
      <c r="AM559" s="257"/>
      <c r="AN559" s="257"/>
      <c r="AO559" s="257"/>
      <c r="AP559" s="257"/>
      <c r="AQ559" s="257"/>
      <c r="AR559" s="257"/>
      <c r="AS559" s="257"/>
      <c r="AT559" s="257"/>
      <c r="AU559" s="257"/>
      <c r="AV559" s="257"/>
      <c r="AW559" s="257"/>
      <c r="AX559" s="257"/>
      <c r="AY559" s="257"/>
    </row>
    <row r="560" spans="2:51" s="214" customFormat="1" ht="11.25">
      <c r="C560" s="242" t="s">
        <v>1046</v>
      </c>
      <c r="D560" s="215"/>
      <c r="E560" s="271"/>
      <c r="F560" s="243"/>
      <c r="G560" s="243"/>
      <c r="H560" s="243"/>
      <c r="I560" s="246"/>
      <c r="J560" s="246"/>
      <c r="K560" s="246"/>
      <c r="L560" s="246"/>
      <c r="M560" s="246"/>
      <c r="N560" s="246">
        <v>0</v>
      </c>
      <c r="O560" s="246"/>
      <c r="P560" s="246"/>
      <c r="Q560" s="246">
        <f>Q412</f>
        <v>0</v>
      </c>
      <c r="R560" s="246">
        <f>R412</f>
        <v>99958572.842530459</v>
      </c>
      <c r="S560" s="246"/>
      <c r="T560" s="246">
        <f>T412</f>
        <v>112577334.71458274</v>
      </c>
      <c r="U560" s="246">
        <f t="shared" si="287"/>
        <v>112577334.71458274</v>
      </c>
      <c r="V560" s="246">
        <f t="shared" ref="V560:AU560" si="305">V412</f>
        <v>576699759.83441806</v>
      </c>
      <c r="W560" s="246">
        <f t="shared" si="305"/>
        <v>665765364.19076073</v>
      </c>
      <c r="X560" s="246">
        <f t="shared" si="305"/>
        <v>665765364.19076073</v>
      </c>
      <c r="Y560" s="246">
        <f t="shared" si="305"/>
        <v>665765364.19076073</v>
      </c>
      <c r="Z560" s="246">
        <f t="shared" si="305"/>
        <v>665765364.19076073</v>
      </c>
      <c r="AA560" s="246">
        <f t="shared" si="305"/>
        <v>665765364.19076073</v>
      </c>
      <c r="AB560" s="246">
        <f t="shared" si="305"/>
        <v>672276639.76016223</v>
      </c>
      <c r="AC560" s="246">
        <f t="shared" si="305"/>
        <v>672276639.76016223</v>
      </c>
      <c r="AD560" s="246">
        <f t="shared" si="305"/>
        <v>672276639.76016223</v>
      </c>
      <c r="AE560" s="246">
        <f t="shared" si="305"/>
        <v>672276639.76016223</v>
      </c>
      <c r="AF560" s="246">
        <f t="shared" si="305"/>
        <v>672276639.76016223</v>
      </c>
      <c r="AG560" s="246">
        <f t="shared" si="305"/>
        <v>672276639.76016223</v>
      </c>
      <c r="AH560" s="246">
        <f t="shared" si="305"/>
        <v>672276639.76016223</v>
      </c>
      <c r="AI560" s="246">
        <f t="shared" si="305"/>
        <v>672276639.76016223</v>
      </c>
      <c r="AJ560" s="246">
        <f t="shared" si="305"/>
        <v>672276639.76016223</v>
      </c>
      <c r="AK560" s="246">
        <f t="shared" si="305"/>
        <v>672276639.76016223</v>
      </c>
      <c r="AL560" s="246">
        <f t="shared" si="305"/>
        <v>672276639.76016223</v>
      </c>
      <c r="AM560" s="246">
        <f t="shared" si="305"/>
        <v>672276639.76016223</v>
      </c>
      <c r="AN560" s="246">
        <f t="shared" si="305"/>
        <v>672276639.76016223</v>
      </c>
      <c r="AO560" s="246">
        <f t="shared" si="305"/>
        <v>672276639.76016223</v>
      </c>
      <c r="AP560" s="246">
        <f t="shared" si="305"/>
        <v>672276639.76016223</v>
      </c>
      <c r="AQ560" s="246">
        <f t="shared" si="305"/>
        <v>672276639.76016223</v>
      </c>
      <c r="AR560" s="246">
        <f t="shared" si="305"/>
        <v>672276639.76016223</v>
      </c>
      <c r="AS560" s="246">
        <f t="shared" si="305"/>
        <v>672276639.76016223</v>
      </c>
      <c r="AT560" s="246">
        <f t="shared" si="305"/>
        <v>672276639.76016223</v>
      </c>
      <c r="AU560" s="246">
        <f t="shared" si="305"/>
        <v>672276639.76016223</v>
      </c>
      <c r="AV560" s="246"/>
      <c r="AW560" s="246"/>
      <c r="AX560" s="246"/>
      <c r="AY560" s="246"/>
    </row>
    <row r="561" spans="3:51" s="214" customFormat="1" ht="11.25">
      <c r="C561" s="242" t="s">
        <v>1962</v>
      </c>
      <c r="D561" s="215"/>
      <c r="E561" s="215"/>
      <c r="F561" s="215"/>
      <c r="G561" s="215"/>
      <c r="H561" s="215"/>
      <c r="I561" s="246"/>
      <c r="J561" s="246"/>
      <c r="K561" s="246"/>
      <c r="L561" s="246"/>
      <c r="M561" s="246"/>
      <c r="N561" s="246">
        <v>0</v>
      </c>
      <c r="O561" s="246"/>
      <c r="P561" s="246"/>
      <c r="Q561" s="246">
        <f>Q415+Q421+Q424</f>
        <v>0</v>
      </c>
      <c r="R561" s="246">
        <f>-(R238)</f>
        <v>-48424486.350510791</v>
      </c>
      <c r="S561" s="246"/>
      <c r="T561" s="246">
        <f>-(T238)</f>
        <v>-48424486.350510791</v>
      </c>
      <c r="U561" s="246">
        <f t="shared" si="287"/>
        <v>-48424486.350510791</v>
      </c>
      <c r="V561" s="246">
        <f t="shared" ref="V561:AU561" si="306">-(V238)</f>
        <v>-140239313.52920443</v>
      </c>
      <c r="W561" s="246">
        <f t="shared" si="306"/>
        <v>-159928281.81126541</v>
      </c>
      <c r="X561" s="246">
        <f t="shared" si="306"/>
        <v>-159928281.81126541</v>
      </c>
      <c r="Y561" s="246">
        <f t="shared" si="306"/>
        <v>-159928281.81126541</v>
      </c>
      <c r="Z561" s="246">
        <f t="shared" si="306"/>
        <v>-159928281.81126541</v>
      </c>
      <c r="AA561" s="246">
        <f t="shared" si="306"/>
        <v>-159928281.81126541</v>
      </c>
      <c r="AB561" s="246">
        <f t="shared" si="306"/>
        <v>-159928281.81126541</v>
      </c>
      <c r="AC561" s="246">
        <f t="shared" si="306"/>
        <v>-159928281.81126541</v>
      </c>
      <c r="AD561" s="246">
        <f t="shared" si="306"/>
        <v>-159928281.81126541</v>
      </c>
      <c r="AE561" s="246">
        <f t="shared" si="306"/>
        <v>-159928281.81126541</v>
      </c>
      <c r="AF561" s="246">
        <f t="shared" si="306"/>
        <v>-159928281.81126541</v>
      </c>
      <c r="AG561" s="246">
        <f t="shared" si="306"/>
        <v>-159928281.81126541</v>
      </c>
      <c r="AH561" s="246">
        <f t="shared" si="306"/>
        <v>-159928281.81126541</v>
      </c>
      <c r="AI561" s="246">
        <f t="shared" si="306"/>
        <v>-159928281.81126541</v>
      </c>
      <c r="AJ561" s="246">
        <f t="shared" si="306"/>
        <v>-159928281.81126541</v>
      </c>
      <c r="AK561" s="246">
        <f t="shared" si="306"/>
        <v>-159928281.81126541</v>
      </c>
      <c r="AL561" s="246">
        <f t="shared" si="306"/>
        <v>-159928281.81126541</v>
      </c>
      <c r="AM561" s="246">
        <f t="shared" si="306"/>
        <v>-159928281.81126541</v>
      </c>
      <c r="AN561" s="246">
        <f t="shared" si="306"/>
        <v>-159928281.81126541</v>
      </c>
      <c r="AO561" s="246">
        <f t="shared" si="306"/>
        <v>-159928281.81126541</v>
      </c>
      <c r="AP561" s="246">
        <f t="shared" si="306"/>
        <v>-159928281.81126541</v>
      </c>
      <c r="AQ561" s="246">
        <f t="shared" si="306"/>
        <v>-159928281.81126541</v>
      </c>
      <c r="AR561" s="246">
        <f t="shared" si="306"/>
        <v>-159928281.81126541</v>
      </c>
      <c r="AS561" s="246">
        <f t="shared" si="306"/>
        <v>-159928281.81126541</v>
      </c>
      <c r="AT561" s="246">
        <f t="shared" si="306"/>
        <v>-159928281.81126541</v>
      </c>
      <c r="AU561" s="246">
        <f t="shared" si="306"/>
        <v>-159928281.81126541</v>
      </c>
      <c r="AV561" s="246"/>
      <c r="AW561" s="246"/>
      <c r="AX561" s="246"/>
      <c r="AY561" s="246"/>
    </row>
    <row r="562" spans="3:51" s="214" customFormat="1" ht="11.25">
      <c r="C562" s="242" t="s">
        <v>1963</v>
      </c>
      <c r="D562" s="215"/>
      <c r="E562" s="215"/>
      <c r="F562" s="215"/>
      <c r="G562" s="215"/>
      <c r="H562" s="215"/>
      <c r="I562" s="246"/>
      <c r="J562" s="246"/>
      <c r="K562" s="246"/>
      <c r="L562" s="246"/>
      <c r="M562" s="246"/>
      <c r="N562" s="246">
        <v>0</v>
      </c>
      <c r="O562" s="246"/>
      <c r="P562" s="246"/>
      <c r="Q562" s="246">
        <f>Q416+Q422+Q425</f>
        <v>0</v>
      </c>
      <c r="R562" s="246">
        <f>-(R241+R240)</f>
        <v>-11284560</v>
      </c>
      <c r="S562" s="246"/>
      <c r="T562" s="246">
        <f>-(T241+T240)</f>
        <v>-11284560</v>
      </c>
      <c r="U562" s="246">
        <f t="shared" si="287"/>
        <v>-11284560</v>
      </c>
      <c r="V562" s="246">
        <f t="shared" ref="V562:AU562" si="307">-(V241+V240)</f>
        <v>-11284560</v>
      </c>
      <c r="W562" s="246">
        <f t="shared" si="307"/>
        <v>-11284560</v>
      </c>
      <c r="X562" s="246">
        <f t="shared" si="307"/>
        <v>-11284560</v>
      </c>
      <c r="Y562" s="246">
        <f t="shared" si="307"/>
        <v>-11284560</v>
      </c>
      <c r="Z562" s="246">
        <f t="shared" si="307"/>
        <v>-11284560</v>
      </c>
      <c r="AA562" s="246">
        <f t="shared" si="307"/>
        <v>-11284560</v>
      </c>
      <c r="AB562" s="246">
        <f t="shared" si="307"/>
        <v>-11284560</v>
      </c>
      <c r="AC562" s="246">
        <f t="shared" si="307"/>
        <v>-11284560</v>
      </c>
      <c r="AD562" s="246">
        <f t="shared" si="307"/>
        <v>-11284560</v>
      </c>
      <c r="AE562" s="246">
        <f t="shared" si="307"/>
        <v>-11284560</v>
      </c>
      <c r="AF562" s="246">
        <f t="shared" si="307"/>
        <v>-11284560</v>
      </c>
      <c r="AG562" s="246">
        <f t="shared" si="307"/>
        <v>-11284560</v>
      </c>
      <c r="AH562" s="246">
        <f t="shared" si="307"/>
        <v>-11284560</v>
      </c>
      <c r="AI562" s="246">
        <f t="shared" si="307"/>
        <v>-11284560</v>
      </c>
      <c r="AJ562" s="246">
        <f t="shared" si="307"/>
        <v>-11284560</v>
      </c>
      <c r="AK562" s="246">
        <f t="shared" si="307"/>
        <v>-11284560</v>
      </c>
      <c r="AL562" s="246">
        <f t="shared" si="307"/>
        <v>-11284560</v>
      </c>
      <c r="AM562" s="246">
        <f t="shared" si="307"/>
        <v>-11284560</v>
      </c>
      <c r="AN562" s="246">
        <f t="shared" si="307"/>
        <v>-11284560</v>
      </c>
      <c r="AO562" s="246">
        <f t="shared" si="307"/>
        <v>-11284560</v>
      </c>
      <c r="AP562" s="246">
        <f t="shared" si="307"/>
        <v>-11284560</v>
      </c>
      <c r="AQ562" s="246">
        <f t="shared" si="307"/>
        <v>-11284560</v>
      </c>
      <c r="AR562" s="246">
        <f t="shared" si="307"/>
        <v>-11284560</v>
      </c>
      <c r="AS562" s="246">
        <f t="shared" si="307"/>
        <v>-11284560</v>
      </c>
      <c r="AT562" s="246">
        <f t="shared" si="307"/>
        <v>-11284560</v>
      </c>
      <c r="AU562" s="246">
        <f t="shared" si="307"/>
        <v>-11284560</v>
      </c>
      <c r="AV562" s="246"/>
      <c r="AW562" s="246"/>
      <c r="AX562" s="246"/>
      <c r="AY562" s="246"/>
    </row>
    <row r="563" spans="3:51" s="1208" customFormat="1" ht="11.25">
      <c r="C563" s="380" t="s">
        <v>184</v>
      </c>
      <c r="D563" s="743"/>
      <c r="E563" s="743"/>
      <c r="F563" s="743"/>
      <c r="G563" s="743"/>
      <c r="H563" s="743"/>
      <c r="I563" s="258"/>
      <c r="J563" s="258"/>
      <c r="K563" s="258"/>
      <c r="L563" s="258"/>
      <c r="M563" s="258"/>
      <c r="N563" s="258"/>
      <c r="O563" s="258"/>
      <c r="P563" s="258"/>
      <c r="Q563" s="258"/>
      <c r="R563" s="258"/>
      <c r="S563" s="258"/>
      <c r="T563" s="258"/>
      <c r="U563" s="258">
        <f t="shared" si="287"/>
        <v>0</v>
      </c>
      <c r="V563" s="258"/>
      <c r="W563" s="258"/>
      <c r="X563" s="258"/>
      <c r="Y563" s="258"/>
      <c r="Z563" s="258"/>
      <c r="AA563" s="258"/>
      <c r="AB563" s="258"/>
      <c r="AC563" s="258"/>
      <c r="AD563" s="258"/>
      <c r="AE563" s="258"/>
      <c r="AF563" s="258"/>
      <c r="AG563" s="258"/>
      <c r="AH563" s="258"/>
      <c r="AI563" s="258"/>
      <c r="AJ563" s="258"/>
      <c r="AK563" s="258"/>
      <c r="AL563" s="258"/>
      <c r="AM563" s="258"/>
      <c r="AN563" s="258"/>
      <c r="AO563" s="258"/>
      <c r="AP563" s="258"/>
      <c r="AQ563" s="258"/>
      <c r="AR563" s="258"/>
      <c r="AS563" s="258"/>
      <c r="AT563" s="258"/>
      <c r="AU563" s="258"/>
      <c r="AV563" s="258"/>
      <c r="AW563" s="258"/>
      <c r="AX563" s="258"/>
      <c r="AY563" s="258"/>
    </row>
    <row r="564" spans="3:51" s="214" customFormat="1" ht="11.25">
      <c r="C564" s="371"/>
      <c r="D564" s="215"/>
      <c r="E564" s="215"/>
      <c r="F564" s="215"/>
      <c r="G564" s="215"/>
      <c r="H564" s="215"/>
      <c r="I564" s="246"/>
      <c r="J564" s="246"/>
      <c r="K564" s="246"/>
      <c r="L564" s="246"/>
      <c r="M564" s="246"/>
      <c r="N564" s="246"/>
      <c r="O564" s="246"/>
      <c r="P564" s="246"/>
      <c r="Q564" s="246"/>
      <c r="R564" s="246"/>
      <c r="S564" s="246"/>
      <c r="T564" s="246"/>
      <c r="U564" s="246">
        <f t="shared" si="287"/>
        <v>0</v>
      </c>
      <c r="V564" s="246"/>
      <c r="W564" s="246"/>
      <c r="X564" s="246"/>
      <c r="Y564" s="246"/>
      <c r="Z564" s="246"/>
      <c r="AA564" s="246"/>
      <c r="AB564" s="246"/>
      <c r="AC564" s="246"/>
      <c r="AD564" s="246"/>
      <c r="AE564" s="246"/>
      <c r="AF564" s="246"/>
      <c r="AG564" s="246"/>
      <c r="AH564" s="246"/>
      <c r="AI564" s="246"/>
      <c r="AJ564" s="246"/>
      <c r="AK564" s="246"/>
      <c r="AL564" s="246"/>
      <c r="AM564" s="246"/>
      <c r="AN564" s="246"/>
      <c r="AO564" s="246"/>
      <c r="AP564" s="246"/>
      <c r="AQ564" s="246"/>
      <c r="AR564" s="246"/>
      <c r="AS564" s="246"/>
      <c r="AT564" s="246"/>
      <c r="AU564" s="246"/>
      <c r="AV564" s="246"/>
      <c r="AW564" s="246"/>
      <c r="AX564" s="246"/>
      <c r="AY564" s="246"/>
    </row>
    <row r="565" spans="3:51" s="214" customFormat="1" ht="11.25">
      <c r="C565" s="371" t="s">
        <v>1047</v>
      </c>
      <c r="D565" s="215"/>
      <c r="E565" s="215"/>
      <c r="F565" s="215"/>
      <c r="G565" s="215"/>
      <c r="H565" s="215"/>
      <c r="I565" s="246"/>
      <c r="J565" s="246"/>
      <c r="K565" s="246"/>
      <c r="L565" s="246"/>
      <c r="M565" s="246"/>
      <c r="N565" s="246"/>
      <c r="O565" s="246"/>
      <c r="P565" s="246"/>
      <c r="Q565" s="246"/>
      <c r="R565" s="246">
        <f>20892*0.35</f>
        <v>7312.2</v>
      </c>
      <c r="S565" s="246"/>
      <c r="T565" s="246">
        <f>20892*0.35</f>
        <v>7312.2</v>
      </c>
      <c r="U565" s="246">
        <f t="shared" si="287"/>
        <v>7312.2</v>
      </c>
      <c r="V565" s="246">
        <f t="shared" ref="V565:AU565" si="308">20892*0.35</f>
        <v>7312.2</v>
      </c>
      <c r="W565" s="246">
        <f t="shared" si="308"/>
        <v>7312.2</v>
      </c>
      <c r="X565" s="246">
        <f t="shared" si="308"/>
        <v>7312.2</v>
      </c>
      <c r="Y565" s="246">
        <f t="shared" si="308"/>
        <v>7312.2</v>
      </c>
      <c r="Z565" s="246">
        <f t="shared" si="308"/>
        <v>7312.2</v>
      </c>
      <c r="AA565" s="246">
        <f t="shared" si="308"/>
        <v>7312.2</v>
      </c>
      <c r="AB565" s="246">
        <f t="shared" si="308"/>
        <v>7312.2</v>
      </c>
      <c r="AC565" s="246">
        <f t="shared" si="308"/>
        <v>7312.2</v>
      </c>
      <c r="AD565" s="246">
        <f t="shared" si="308"/>
        <v>7312.2</v>
      </c>
      <c r="AE565" s="246">
        <f t="shared" si="308"/>
        <v>7312.2</v>
      </c>
      <c r="AF565" s="246">
        <f t="shared" si="308"/>
        <v>7312.2</v>
      </c>
      <c r="AG565" s="246">
        <f t="shared" si="308"/>
        <v>7312.2</v>
      </c>
      <c r="AH565" s="246">
        <f t="shared" si="308"/>
        <v>7312.2</v>
      </c>
      <c r="AI565" s="246">
        <f t="shared" si="308"/>
        <v>7312.2</v>
      </c>
      <c r="AJ565" s="246">
        <f t="shared" si="308"/>
        <v>7312.2</v>
      </c>
      <c r="AK565" s="246">
        <f t="shared" si="308"/>
        <v>7312.2</v>
      </c>
      <c r="AL565" s="246">
        <f t="shared" si="308"/>
        <v>7312.2</v>
      </c>
      <c r="AM565" s="246">
        <f t="shared" si="308"/>
        <v>7312.2</v>
      </c>
      <c r="AN565" s="246">
        <f t="shared" si="308"/>
        <v>7312.2</v>
      </c>
      <c r="AO565" s="246">
        <f t="shared" si="308"/>
        <v>7312.2</v>
      </c>
      <c r="AP565" s="246">
        <f t="shared" si="308"/>
        <v>7312.2</v>
      </c>
      <c r="AQ565" s="246">
        <f t="shared" si="308"/>
        <v>7312.2</v>
      </c>
      <c r="AR565" s="246">
        <f t="shared" si="308"/>
        <v>7312.2</v>
      </c>
      <c r="AS565" s="246">
        <f t="shared" si="308"/>
        <v>7312.2</v>
      </c>
      <c r="AT565" s="246">
        <f t="shared" si="308"/>
        <v>7312.2</v>
      </c>
      <c r="AU565" s="246">
        <f t="shared" si="308"/>
        <v>7312.2</v>
      </c>
      <c r="AV565" s="246"/>
      <c r="AW565" s="246"/>
      <c r="AX565" s="246"/>
      <c r="AY565" s="246"/>
    </row>
    <row r="566" spans="3:51" s="214" customFormat="1" ht="11.25">
      <c r="C566" s="371"/>
      <c r="D566" s="215"/>
      <c r="E566" s="215"/>
      <c r="F566" s="215"/>
      <c r="G566" s="215"/>
      <c r="H566" s="215"/>
      <c r="I566" s="246"/>
      <c r="J566" s="246"/>
      <c r="K566" s="246"/>
      <c r="L566" s="246"/>
      <c r="M566" s="246"/>
      <c r="N566" s="246"/>
      <c r="O566" s="246"/>
      <c r="P566" s="246"/>
      <c r="Q566" s="246"/>
      <c r="R566" s="246"/>
      <c r="S566" s="246"/>
      <c r="T566" s="246"/>
      <c r="U566" s="246">
        <f t="shared" si="287"/>
        <v>0</v>
      </c>
      <c r="V566" s="246"/>
      <c r="W566" s="246"/>
      <c r="X566" s="246"/>
      <c r="Y566" s="246"/>
      <c r="Z566" s="246"/>
      <c r="AA566" s="246"/>
      <c r="AB566" s="246"/>
      <c r="AC566" s="246"/>
      <c r="AD566" s="246"/>
      <c r="AE566" s="246"/>
      <c r="AF566" s="246"/>
      <c r="AG566" s="246"/>
      <c r="AH566" s="246"/>
      <c r="AI566" s="246"/>
      <c r="AJ566" s="246"/>
      <c r="AK566" s="246"/>
      <c r="AL566" s="246"/>
      <c r="AM566" s="246"/>
      <c r="AN566" s="246"/>
      <c r="AO566" s="246"/>
      <c r="AP566" s="246"/>
      <c r="AQ566" s="246"/>
      <c r="AR566" s="246"/>
      <c r="AS566" s="246"/>
      <c r="AT566" s="246"/>
      <c r="AU566" s="246"/>
      <c r="AV566" s="246"/>
      <c r="AW566" s="246"/>
      <c r="AX566" s="246"/>
      <c r="AY566" s="246"/>
    </row>
    <row r="567" spans="3:51" s="214" customFormat="1" ht="11.25">
      <c r="C567" s="380" t="s">
        <v>1048</v>
      </c>
      <c r="D567" s="262"/>
      <c r="E567" s="262"/>
      <c r="F567" s="262"/>
      <c r="G567" s="262"/>
      <c r="H567" s="262"/>
      <c r="I567" s="262"/>
      <c r="J567" s="263"/>
      <c r="K567" s="263"/>
      <c r="L567" s="263"/>
      <c r="M567" s="215"/>
      <c r="U567" s="214">
        <f t="shared" si="287"/>
        <v>0</v>
      </c>
    </row>
    <row r="568" spans="3:51" s="214" customFormat="1" ht="11.25">
      <c r="C568" s="353" t="s">
        <v>1049</v>
      </c>
      <c r="D568" s="262"/>
      <c r="E568" s="262"/>
      <c r="F568" s="262"/>
      <c r="G568" s="262"/>
      <c r="H568" s="262"/>
      <c r="I568" s="262"/>
      <c r="J568" s="263"/>
      <c r="K568" s="263"/>
      <c r="L568" s="263"/>
      <c r="M568" s="215"/>
      <c r="R568" s="1242">
        <v>0.1924576757258554</v>
      </c>
      <c r="S568" s="1242"/>
      <c r="T568" s="1242">
        <v>0.1924576757258554</v>
      </c>
      <c r="U568" s="1242">
        <f t="shared" si="287"/>
        <v>0.1924576757258554</v>
      </c>
      <c r="V568" s="1242">
        <v>0.1924576757258554</v>
      </c>
      <c r="W568" s="1242">
        <v>0.1924576757258554</v>
      </c>
      <c r="X568" s="1242">
        <v>0.1924576757258554</v>
      </c>
      <c r="Y568" s="1242">
        <v>0.1924576757258554</v>
      </c>
      <c r="Z568" s="1242">
        <v>0.1924576757258554</v>
      </c>
      <c r="AA568" s="1242">
        <v>0.1924576757258554</v>
      </c>
      <c r="AB568" s="1242">
        <v>0.1924576757258554</v>
      </c>
      <c r="AC568" s="1242">
        <v>0.1924576757258554</v>
      </c>
      <c r="AD568" s="1242">
        <v>0.1924576757258554</v>
      </c>
      <c r="AE568" s="1242">
        <v>0.1924576757258554</v>
      </c>
      <c r="AF568" s="1242">
        <v>0.1924576757258554</v>
      </c>
      <c r="AG568" s="1242">
        <v>0.1924576757258554</v>
      </c>
      <c r="AH568" s="1242">
        <v>0.1924576757258554</v>
      </c>
      <c r="AI568" s="1242">
        <v>0.1924576757258554</v>
      </c>
      <c r="AJ568" s="1242">
        <v>0.1924576757258554</v>
      </c>
      <c r="AK568" s="1242">
        <v>0.1924576757258554</v>
      </c>
      <c r="AL568" s="1242">
        <v>0.1924576757258554</v>
      </c>
      <c r="AM568" s="1242">
        <v>0.1924576757258554</v>
      </c>
      <c r="AN568" s="1242">
        <v>0.1924576757258554</v>
      </c>
      <c r="AO568" s="1242">
        <v>0.1924576757258554</v>
      </c>
      <c r="AP568" s="1242">
        <v>0.1924576757258554</v>
      </c>
      <c r="AQ568" s="1242">
        <v>0.1924576757258554</v>
      </c>
      <c r="AR568" s="1242">
        <v>0.1924576757258554</v>
      </c>
      <c r="AS568" s="1242">
        <v>0.1924576757258554</v>
      </c>
      <c r="AT568" s="1242">
        <v>0.1924576757258554</v>
      </c>
      <c r="AU568" s="1242">
        <v>0.1924576757258554</v>
      </c>
    </row>
    <row r="569" spans="3:51" s="214" customFormat="1" ht="11.25">
      <c r="C569" s="353" t="s">
        <v>1967</v>
      </c>
      <c r="D569" s="262"/>
      <c r="E569" s="262"/>
      <c r="F569" s="262"/>
      <c r="G569" s="262"/>
      <c r="H569" s="262"/>
      <c r="I569" s="262"/>
      <c r="J569" s="263"/>
      <c r="K569" s="263"/>
      <c r="L569" s="263"/>
      <c r="M569" s="215"/>
      <c r="R569" s="1242">
        <f>-7699000/R561</f>
        <v>0.15898981239103613</v>
      </c>
      <c r="S569" s="1242"/>
      <c r="T569" s="1242">
        <f>-7699000/T561</f>
        <v>0.15898981239103613</v>
      </c>
      <c r="U569" s="1242">
        <f t="shared" si="287"/>
        <v>0.15898981239103613</v>
      </c>
      <c r="V569" s="1242">
        <f t="shared" ref="V569:AU569" si="309">-7699000/V561</f>
        <v>5.4899013737661415E-2</v>
      </c>
      <c r="W569" s="1242">
        <f t="shared" si="309"/>
        <v>4.8140328357217925E-2</v>
      </c>
      <c r="X569" s="1242">
        <f t="shared" si="309"/>
        <v>4.8140328357217925E-2</v>
      </c>
      <c r="Y569" s="1242">
        <f t="shared" si="309"/>
        <v>4.8140328357217925E-2</v>
      </c>
      <c r="Z569" s="1242">
        <f t="shared" si="309"/>
        <v>4.8140328357217925E-2</v>
      </c>
      <c r="AA569" s="1242">
        <f t="shared" si="309"/>
        <v>4.8140328357217925E-2</v>
      </c>
      <c r="AB569" s="1242">
        <f t="shared" si="309"/>
        <v>4.8140328357217925E-2</v>
      </c>
      <c r="AC569" s="1242">
        <f t="shared" si="309"/>
        <v>4.8140328357217925E-2</v>
      </c>
      <c r="AD569" s="1242">
        <f t="shared" si="309"/>
        <v>4.8140328357217925E-2</v>
      </c>
      <c r="AE569" s="1242">
        <f t="shared" si="309"/>
        <v>4.8140328357217925E-2</v>
      </c>
      <c r="AF569" s="1242">
        <f t="shared" si="309"/>
        <v>4.8140328357217925E-2</v>
      </c>
      <c r="AG569" s="1242">
        <f t="shared" si="309"/>
        <v>4.8140328357217925E-2</v>
      </c>
      <c r="AH569" s="1242">
        <f t="shared" si="309"/>
        <v>4.8140328357217925E-2</v>
      </c>
      <c r="AI569" s="1242">
        <f t="shared" si="309"/>
        <v>4.8140328357217925E-2</v>
      </c>
      <c r="AJ569" s="1242">
        <f t="shared" si="309"/>
        <v>4.8140328357217925E-2</v>
      </c>
      <c r="AK569" s="1242">
        <f t="shared" si="309"/>
        <v>4.8140328357217925E-2</v>
      </c>
      <c r="AL569" s="1242">
        <f t="shared" si="309"/>
        <v>4.8140328357217925E-2</v>
      </c>
      <c r="AM569" s="1242">
        <f t="shared" si="309"/>
        <v>4.8140328357217925E-2</v>
      </c>
      <c r="AN569" s="1242">
        <f t="shared" si="309"/>
        <v>4.8140328357217925E-2</v>
      </c>
      <c r="AO569" s="1242">
        <f t="shared" si="309"/>
        <v>4.8140328357217925E-2</v>
      </c>
      <c r="AP569" s="1242">
        <f t="shared" si="309"/>
        <v>4.8140328357217925E-2</v>
      </c>
      <c r="AQ569" s="1242">
        <f t="shared" si="309"/>
        <v>4.8140328357217925E-2</v>
      </c>
      <c r="AR569" s="1242">
        <f t="shared" si="309"/>
        <v>4.8140328357217925E-2</v>
      </c>
      <c r="AS569" s="1242">
        <f t="shared" si="309"/>
        <v>4.8140328357217925E-2</v>
      </c>
      <c r="AT569" s="1242">
        <f t="shared" si="309"/>
        <v>4.8140328357217925E-2</v>
      </c>
      <c r="AU569" s="1242">
        <f t="shared" si="309"/>
        <v>4.8140328357217925E-2</v>
      </c>
    </row>
    <row r="570" spans="3:51" s="214" customFormat="1" ht="11.25">
      <c r="C570" s="353" t="s">
        <v>1969</v>
      </c>
      <c r="D570" s="262"/>
      <c r="E570" s="262"/>
      <c r="F570" s="262"/>
      <c r="G570" s="262"/>
      <c r="H570" s="262"/>
      <c r="I570" s="262"/>
      <c r="J570" s="263"/>
      <c r="K570" s="263"/>
      <c r="L570" s="263"/>
      <c r="M570" s="215"/>
      <c r="R570" s="1242">
        <f>24930000/-(R561+R562+R239+R241)</f>
        <v>0.51005184912536317</v>
      </c>
      <c r="S570" s="1242"/>
      <c r="T570" s="1242">
        <f>24930000/-(T561+T562+T239+T241)</f>
        <v>0.51005184912536317</v>
      </c>
      <c r="U570" s="1242">
        <f t="shared" si="287"/>
        <v>0.51005184912536317</v>
      </c>
      <c r="V570" s="1242">
        <f t="shared" ref="V570:AU570" si="310">24930000/-(V561+V562+V239+V241)</f>
        <v>0.18160331700790194</v>
      </c>
      <c r="W570" s="1242">
        <f t="shared" si="310"/>
        <v>0.1594898805206835</v>
      </c>
      <c r="X570" s="1242">
        <f t="shared" si="310"/>
        <v>0.1594898805206835</v>
      </c>
      <c r="Y570" s="1242">
        <f t="shared" si="310"/>
        <v>0.1594898805206835</v>
      </c>
      <c r="Z570" s="1242">
        <f t="shared" si="310"/>
        <v>0.1594898805206835</v>
      </c>
      <c r="AA570" s="1242">
        <f t="shared" si="310"/>
        <v>0.1594898805206835</v>
      </c>
      <c r="AB570" s="1242">
        <f t="shared" si="310"/>
        <v>0.1594898805206835</v>
      </c>
      <c r="AC570" s="1242">
        <f t="shared" si="310"/>
        <v>0.1594898805206835</v>
      </c>
      <c r="AD570" s="1242">
        <f t="shared" si="310"/>
        <v>0.1594898805206835</v>
      </c>
      <c r="AE570" s="1242">
        <f t="shared" si="310"/>
        <v>0.1594898805206835</v>
      </c>
      <c r="AF570" s="1242">
        <f t="shared" si="310"/>
        <v>0.1594898805206835</v>
      </c>
      <c r="AG570" s="1242">
        <f t="shared" si="310"/>
        <v>0.1594898805206835</v>
      </c>
      <c r="AH570" s="1242">
        <f t="shared" si="310"/>
        <v>0.1594898805206835</v>
      </c>
      <c r="AI570" s="1242">
        <f t="shared" si="310"/>
        <v>0.1594898805206835</v>
      </c>
      <c r="AJ570" s="1242">
        <f t="shared" si="310"/>
        <v>0.1594898805206835</v>
      </c>
      <c r="AK570" s="1242">
        <f t="shared" si="310"/>
        <v>0.1594898805206835</v>
      </c>
      <c r="AL570" s="1242">
        <f t="shared" si="310"/>
        <v>0.1594898805206835</v>
      </c>
      <c r="AM570" s="1242">
        <f t="shared" si="310"/>
        <v>0.1594898805206835</v>
      </c>
      <c r="AN570" s="1242">
        <f t="shared" si="310"/>
        <v>0.1594898805206835</v>
      </c>
      <c r="AO570" s="1242">
        <f t="shared" si="310"/>
        <v>0.1594898805206835</v>
      </c>
      <c r="AP570" s="1242">
        <f t="shared" si="310"/>
        <v>0.1594898805206835</v>
      </c>
      <c r="AQ570" s="1242">
        <f t="shared" si="310"/>
        <v>0.1594898805206835</v>
      </c>
      <c r="AR570" s="1242">
        <f t="shared" si="310"/>
        <v>0.1594898805206835</v>
      </c>
      <c r="AS570" s="1242">
        <f t="shared" si="310"/>
        <v>0.1594898805206835</v>
      </c>
      <c r="AT570" s="1242">
        <f t="shared" si="310"/>
        <v>0.1594898805206835</v>
      </c>
      <c r="AU570" s="1242">
        <f t="shared" si="310"/>
        <v>0.1594898805206835</v>
      </c>
    </row>
    <row r="571" spans="3:51" s="214" customFormat="1" ht="11.25">
      <c r="C571" s="353" t="s">
        <v>1964</v>
      </c>
      <c r="D571" s="262"/>
      <c r="E571" s="262"/>
      <c r="F571" s="262"/>
      <c r="G571" s="262"/>
      <c r="H571" s="262"/>
      <c r="I571" s="262"/>
      <c r="J571" s="263"/>
      <c r="K571" s="263"/>
      <c r="L571" s="263"/>
      <c r="M571" s="215"/>
      <c r="R571" s="1242">
        <f>992600/-R561</f>
        <v>2.0497894243322826E-2</v>
      </c>
      <c r="S571" s="1242"/>
      <c r="T571" s="1242">
        <f>992600/-T561</f>
        <v>2.0497894243322826E-2</v>
      </c>
      <c r="U571" s="1242">
        <f t="shared" si="287"/>
        <v>2.0497894243322826E-2</v>
      </c>
      <c r="V571" s="1242">
        <f t="shared" ref="V571:AU571" si="311">992600/-V561</f>
        <v>7.0779011606705699E-3</v>
      </c>
      <c r="W571" s="1242">
        <f t="shared" si="311"/>
        <v>6.2065320077119776E-3</v>
      </c>
      <c r="X571" s="1242">
        <f t="shared" si="311"/>
        <v>6.2065320077119776E-3</v>
      </c>
      <c r="Y571" s="1242">
        <f t="shared" si="311"/>
        <v>6.2065320077119776E-3</v>
      </c>
      <c r="Z571" s="1242">
        <f t="shared" si="311"/>
        <v>6.2065320077119776E-3</v>
      </c>
      <c r="AA571" s="1242">
        <f t="shared" si="311"/>
        <v>6.2065320077119776E-3</v>
      </c>
      <c r="AB571" s="1242">
        <f t="shared" si="311"/>
        <v>6.2065320077119776E-3</v>
      </c>
      <c r="AC571" s="1242">
        <f t="shared" si="311"/>
        <v>6.2065320077119776E-3</v>
      </c>
      <c r="AD571" s="1242">
        <f t="shared" si="311"/>
        <v>6.2065320077119776E-3</v>
      </c>
      <c r="AE571" s="1242">
        <f t="shared" si="311"/>
        <v>6.2065320077119776E-3</v>
      </c>
      <c r="AF571" s="1242">
        <f t="shared" si="311"/>
        <v>6.2065320077119776E-3</v>
      </c>
      <c r="AG571" s="1242">
        <f t="shared" si="311"/>
        <v>6.2065320077119776E-3</v>
      </c>
      <c r="AH571" s="1242">
        <f t="shared" si="311"/>
        <v>6.2065320077119776E-3</v>
      </c>
      <c r="AI571" s="1242">
        <f t="shared" si="311"/>
        <v>6.2065320077119776E-3</v>
      </c>
      <c r="AJ571" s="1242">
        <f t="shared" si="311"/>
        <v>6.2065320077119776E-3</v>
      </c>
      <c r="AK571" s="1242">
        <f t="shared" si="311"/>
        <v>6.2065320077119776E-3</v>
      </c>
      <c r="AL571" s="1242">
        <f t="shared" si="311"/>
        <v>6.2065320077119776E-3</v>
      </c>
      <c r="AM571" s="1242">
        <f t="shared" si="311"/>
        <v>6.2065320077119776E-3</v>
      </c>
      <c r="AN571" s="1242">
        <f t="shared" si="311"/>
        <v>6.2065320077119776E-3</v>
      </c>
      <c r="AO571" s="1242">
        <f t="shared" si="311"/>
        <v>6.2065320077119776E-3</v>
      </c>
      <c r="AP571" s="1242">
        <f t="shared" si="311"/>
        <v>6.2065320077119776E-3</v>
      </c>
      <c r="AQ571" s="1242">
        <f t="shared" si="311"/>
        <v>6.2065320077119776E-3</v>
      </c>
      <c r="AR571" s="1242">
        <f t="shared" si="311"/>
        <v>6.2065320077119776E-3</v>
      </c>
      <c r="AS571" s="1242">
        <f t="shared" si="311"/>
        <v>6.2065320077119776E-3</v>
      </c>
      <c r="AT571" s="1242">
        <f t="shared" si="311"/>
        <v>6.2065320077119776E-3</v>
      </c>
      <c r="AU571" s="1242">
        <f t="shared" si="311"/>
        <v>6.2065320077119776E-3</v>
      </c>
    </row>
    <row r="572" spans="3:51" s="214" customFormat="1" ht="11.25">
      <c r="C572" s="353"/>
      <c r="D572" s="262"/>
      <c r="E572" s="262"/>
      <c r="F572" s="262"/>
      <c r="G572" s="262"/>
      <c r="H572" s="262"/>
      <c r="I572" s="262"/>
      <c r="J572" s="263"/>
      <c r="K572" s="263"/>
      <c r="L572" s="263"/>
      <c r="M572" s="215"/>
      <c r="R572" s="1242"/>
      <c r="S572" s="1242"/>
      <c r="T572" s="1242"/>
      <c r="U572" s="1242">
        <f t="shared" si="287"/>
        <v>0</v>
      </c>
      <c r="V572" s="1242"/>
      <c r="W572" s="1242"/>
      <c r="X572" s="1242"/>
      <c r="Y572" s="1242"/>
      <c r="Z572" s="1242"/>
      <c r="AA572" s="1242"/>
      <c r="AB572" s="1242"/>
      <c r="AC572" s="1242"/>
      <c r="AD572" s="1242"/>
      <c r="AE572" s="1242"/>
      <c r="AF572" s="1242"/>
      <c r="AG572" s="1242"/>
      <c r="AH572" s="1242"/>
      <c r="AI572" s="1242"/>
      <c r="AJ572" s="1242"/>
      <c r="AK572" s="1242"/>
      <c r="AL572" s="1242"/>
      <c r="AM572" s="1242"/>
      <c r="AN572" s="1242"/>
      <c r="AO572" s="1242"/>
      <c r="AP572" s="1242"/>
      <c r="AQ572" s="1242"/>
      <c r="AR572" s="1242"/>
      <c r="AS572" s="1242"/>
      <c r="AT572" s="1242"/>
      <c r="AU572" s="1242"/>
    </row>
    <row r="573" spans="3:51" s="214" customFormat="1" ht="11.25">
      <c r="C573" s="380" t="s">
        <v>1050</v>
      </c>
      <c r="D573" s="262"/>
      <c r="E573" s="262"/>
      <c r="F573" s="262"/>
      <c r="G573" s="262"/>
      <c r="H573" s="262"/>
      <c r="I573" s="262"/>
      <c r="J573" s="263"/>
      <c r="K573" s="263"/>
      <c r="L573" s="263"/>
      <c r="M573" s="215"/>
      <c r="R573" s="1242"/>
      <c r="S573" s="1242"/>
      <c r="T573" s="1242"/>
      <c r="U573" s="1242">
        <f t="shared" si="287"/>
        <v>0</v>
      </c>
      <c r="V573" s="1242"/>
      <c r="W573" s="1242"/>
      <c r="X573" s="1242"/>
      <c r="Y573" s="1242"/>
      <c r="Z573" s="1242"/>
      <c r="AA573" s="1242"/>
      <c r="AB573" s="1242"/>
      <c r="AC573" s="1242"/>
      <c r="AD573" s="1242"/>
      <c r="AE573" s="1242"/>
      <c r="AF573" s="1242"/>
      <c r="AG573" s="1242"/>
      <c r="AH573" s="1242"/>
      <c r="AI573" s="1242"/>
      <c r="AJ573" s="1242"/>
      <c r="AK573" s="1242"/>
      <c r="AL573" s="1242"/>
      <c r="AM573" s="1242"/>
      <c r="AN573" s="1242"/>
      <c r="AO573" s="1242"/>
      <c r="AP573" s="1242"/>
      <c r="AQ573" s="1242"/>
      <c r="AR573" s="1242"/>
      <c r="AS573" s="1242"/>
      <c r="AT573" s="1242"/>
      <c r="AU573" s="1242"/>
    </row>
    <row r="574" spans="3:51" s="214" customFormat="1" ht="11.25">
      <c r="C574" s="1247" t="s">
        <v>1965</v>
      </c>
      <c r="D574" s="262"/>
      <c r="E574" s="262"/>
      <c r="F574" s="262"/>
      <c r="G574" s="262"/>
      <c r="H574" s="262"/>
      <c r="I574" s="262"/>
      <c r="J574" s="263"/>
      <c r="K574" s="263"/>
      <c r="L574" s="263"/>
      <c r="M574" s="215"/>
      <c r="R574" s="1242"/>
      <c r="S574" s="1242"/>
      <c r="T574" s="1242"/>
      <c r="U574" s="1242">
        <f t="shared" si="287"/>
        <v>0</v>
      </c>
      <c r="V574" s="1242"/>
      <c r="W574" s="1242"/>
      <c r="X574" s="1242"/>
      <c r="Y574" s="1242"/>
      <c r="Z574" s="1242"/>
      <c r="AA574" s="1242"/>
      <c r="AB574" s="1242"/>
      <c r="AC574" s="1242"/>
      <c r="AD574" s="1242"/>
      <c r="AE574" s="1242"/>
      <c r="AF574" s="1242"/>
      <c r="AG574" s="1242"/>
      <c r="AH574" s="1242"/>
      <c r="AI574" s="1242"/>
      <c r="AJ574" s="1242"/>
      <c r="AK574" s="1242"/>
      <c r="AL574" s="1242"/>
      <c r="AM574" s="1242"/>
      <c r="AN574" s="1242"/>
      <c r="AO574" s="1242"/>
      <c r="AP574" s="1242"/>
      <c r="AQ574" s="1242"/>
      <c r="AR574" s="1242"/>
      <c r="AS574" s="1242"/>
      <c r="AT574" s="1242"/>
      <c r="AU574" s="1242"/>
    </row>
    <row r="575" spans="3:51" s="214" customFormat="1" ht="11.25">
      <c r="C575" s="353" t="s">
        <v>1961</v>
      </c>
      <c r="D575" s="262"/>
      <c r="E575" s="262"/>
      <c r="F575" s="262"/>
      <c r="G575" s="262"/>
      <c r="H575" s="262"/>
      <c r="I575" s="262"/>
      <c r="J575" s="263"/>
      <c r="K575" s="263"/>
      <c r="L575" s="263"/>
      <c r="M575" s="215"/>
      <c r="R575" s="1243">
        <v>18.37</v>
      </c>
      <c r="S575" s="1243"/>
      <c r="T575" s="1243">
        <v>18.37</v>
      </c>
      <c r="U575" s="1243">
        <f t="shared" si="287"/>
        <v>18.37</v>
      </c>
      <c r="V575" s="1243">
        <v>18.37</v>
      </c>
      <c r="W575" s="1243">
        <v>18.37</v>
      </c>
      <c r="X575" s="1243">
        <v>18.37</v>
      </c>
      <c r="Y575" s="1243">
        <v>18.37</v>
      </c>
      <c r="Z575" s="1243">
        <v>18.37</v>
      </c>
      <c r="AA575" s="1243">
        <v>18.37</v>
      </c>
      <c r="AB575" s="1243">
        <v>18.37</v>
      </c>
      <c r="AC575" s="1243">
        <v>18.37</v>
      </c>
      <c r="AD575" s="1243">
        <v>18.37</v>
      </c>
      <c r="AE575" s="1243">
        <v>18.37</v>
      </c>
      <c r="AF575" s="1243">
        <v>18.37</v>
      </c>
      <c r="AG575" s="1243">
        <v>18.37</v>
      </c>
      <c r="AH575" s="1243">
        <v>18.37</v>
      </c>
      <c r="AI575" s="1243">
        <v>18.37</v>
      </c>
      <c r="AJ575" s="1243">
        <v>18.37</v>
      </c>
      <c r="AK575" s="1243">
        <v>18.37</v>
      </c>
      <c r="AL575" s="1243">
        <v>18.37</v>
      </c>
      <c r="AM575" s="1243">
        <v>18.37</v>
      </c>
      <c r="AN575" s="1243">
        <v>18.37</v>
      </c>
      <c r="AO575" s="1243">
        <v>18.37</v>
      </c>
      <c r="AP575" s="1243">
        <v>18.37</v>
      </c>
      <c r="AQ575" s="1243">
        <v>18.37</v>
      </c>
      <c r="AR575" s="1243">
        <v>18.37</v>
      </c>
      <c r="AS575" s="1243">
        <v>18.37</v>
      </c>
      <c r="AT575" s="1243">
        <v>18.37</v>
      </c>
      <c r="AU575" s="1243">
        <v>18.37</v>
      </c>
    </row>
    <row r="576" spans="3:51" s="873" customFormat="1" ht="11.25">
      <c r="C576" s="874" t="s">
        <v>1051</v>
      </c>
      <c r="D576" s="875"/>
      <c r="E576" s="875"/>
      <c r="F576" s="875"/>
      <c r="G576" s="875"/>
      <c r="H576" s="875"/>
      <c r="I576" s="875"/>
      <c r="J576" s="875"/>
      <c r="K576" s="875"/>
      <c r="L576" s="875"/>
      <c r="M576" s="1196"/>
      <c r="R576" s="1243">
        <f>-R575/365*R$562</f>
        <v>567937.9923287672</v>
      </c>
      <c r="S576" s="1243"/>
      <c r="T576" s="1243">
        <f>-T575/365*T$562</f>
        <v>567937.9923287672</v>
      </c>
      <c r="U576" s="1243">
        <f t="shared" si="287"/>
        <v>567937.9923287672</v>
      </c>
      <c r="V576" s="1243">
        <f t="shared" ref="V576:AU576" si="312">-V575/365*V$562</f>
        <v>567937.9923287672</v>
      </c>
      <c r="W576" s="1243">
        <f t="shared" si="312"/>
        <v>567937.9923287672</v>
      </c>
      <c r="X576" s="1243">
        <f t="shared" si="312"/>
        <v>567937.9923287672</v>
      </c>
      <c r="Y576" s="1243">
        <f t="shared" si="312"/>
        <v>567937.9923287672</v>
      </c>
      <c r="Z576" s="1243">
        <f t="shared" si="312"/>
        <v>567937.9923287672</v>
      </c>
      <c r="AA576" s="1243">
        <f t="shared" si="312"/>
        <v>567937.9923287672</v>
      </c>
      <c r="AB576" s="1243">
        <f t="shared" si="312"/>
        <v>567937.9923287672</v>
      </c>
      <c r="AC576" s="1243">
        <f t="shared" si="312"/>
        <v>567937.9923287672</v>
      </c>
      <c r="AD576" s="1243">
        <f t="shared" si="312"/>
        <v>567937.9923287672</v>
      </c>
      <c r="AE576" s="1243">
        <f t="shared" si="312"/>
        <v>567937.9923287672</v>
      </c>
      <c r="AF576" s="1243">
        <f t="shared" si="312"/>
        <v>567937.9923287672</v>
      </c>
      <c r="AG576" s="1243">
        <f t="shared" si="312"/>
        <v>567937.9923287672</v>
      </c>
      <c r="AH576" s="1243">
        <f t="shared" si="312"/>
        <v>567937.9923287672</v>
      </c>
      <c r="AI576" s="1243">
        <f t="shared" si="312"/>
        <v>567937.9923287672</v>
      </c>
      <c r="AJ576" s="1243">
        <f t="shared" si="312"/>
        <v>567937.9923287672</v>
      </c>
      <c r="AK576" s="1243">
        <f t="shared" si="312"/>
        <v>567937.9923287672</v>
      </c>
      <c r="AL576" s="1243">
        <f t="shared" si="312"/>
        <v>567937.9923287672</v>
      </c>
      <c r="AM576" s="1243">
        <f t="shared" si="312"/>
        <v>567937.9923287672</v>
      </c>
      <c r="AN576" s="1243">
        <f t="shared" si="312"/>
        <v>567937.9923287672</v>
      </c>
      <c r="AO576" s="1243">
        <f t="shared" si="312"/>
        <v>567937.9923287672</v>
      </c>
      <c r="AP576" s="1243">
        <f t="shared" si="312"/>
        <v>567937.9923287672</v>
      </c>
      <c r="AQ576" s="1243">
        <f t="shared" si="312"/>
        <v>567937.9923287672</v>
      </c>
      <c r="AR576" s="1243">
        <f t="shared" si="312"/>
        <v>567937.9923287672</v>
      </c>
      <c r="AS576" s="1243">
        <f t="shared" si="312"/>
        <v>567937.9923287672</v>
      </c>
      <c r="AT576" s="1243">
        <f t="shared" si="312"/>
        <v>567937.9923287672</v>
      </c>
      <c r="AU576" s="1243">
        <f t="shared" si="312"/>
        <v>567937.9923287672</v>
      </c>
    </row>
    <row r="577" spans="2:51" s="873" customFormat="1" ht="11.25">
      <c r="C577" s="1258" t="s">
        <v>1052</v>
      </c>
      <c r="D577" s="875"/>
      <c r="E577" s="875"/>
      <c r="F577" s="875"/>
      <c r="G577" s="875"/>
      <c r="H577" s="875"/>
      <c r="I577" s="875"/>
      <c r="J577" s="875"/>
      <c r="K577" s="875"/>
      <c r="L577" s="875"/>
      <c r="M577" s="1196"/>
      <c r="R577" s="1243">
        <f>SUM(R575:R576)</f>
        <v>567956.36232876719</v>
      </c>
      <c r="S577" s="1243"/>
      <c r="T577" s="1243">
        <f>SUM(T575:T576)</f>
        <v>567956.36232876719</v>
      </c>
      <c r="U577" s="1243">
        <f t="shared" si="287"/>
        <v>567956.36232876719</v>
      </c>
      <c r="V577" s="1243">
        <f t="shared" ref="V577:AU577" si="313">SUM(V575:V576)</f>
        <v>567956.36232876719</v>
      </c>
      <c r="W577" s="1243">
        <f t="shared" si="313"/>
        <v>567956.36232876719</v>
      </c>
      <c r="X577" s="1243">
        <f t="shared" si="313"/>
        <v>567956.36232876719</v>
      </c>
      <c r="Y577" s="1243">
        <f t="shared" si="313"/>
        <v>567956.36232876719</v>
      </c>
      <c r="Z577" s="1243">
        <f t="shared" si="313"/>
        <v>567956.36232876719</v>
      </c>
      <c r="AA577" s="1243">
        <f t="shared" si="313"/>
        <v>567956.36232876719</v>
      </c>
      <c r="AB577" s="1243">
        <f t="shared" si="313"/>
        <v>567956.36232876719</v>
      </c>
      <c r="AC577" s="1243">
        <f t="shared" si="313"/>
        <v>567956.36232876719</v>
      </c>
      <c r="AD577" s="1243">
        <f t="shared" si="313"/>
        <v>567956.36232876719</v>
      </c>
      <c r="AE577" s="1243">
        <f t="shared" si="313"/>
        <v>567956.36232876719</v>
      </c>
      <c r="AF577" s="1243">
        <f t="shared" si="313"/>
        <v>567956.36232876719</v>
      </c>
      <c r="AG577" s="1243">
        <f t="shared" si="313"/>
        <v>567956.36232876719</v>
      </c>
      <c r="AH577" s="1243">
        <f t="shared" si="313"/>
        <v>567956.36232876719</v>
      </c>
      <c r="AI577" s="1243">
        <f t="shared" si="313"/>
        <v>567956.36232876719</v>
      </c>
      <c r="AJ577" s="1243">
        <f t="shared" si="313"/>
        <v>567956.36232876719</v>
      </c>
      <c r="AK577" s="1243">
        <f t="shared" si="313"/>
        <v>567956.36232876719</v>
      </c>
      <c r="AL577" s="1243">
        <f t="shared" si="313"/>
        <v>567956.36232876719</v>
      </c>
      <c r="AM577" s="1243">
        <f t="shared" si="313"/>
        <v>567956.36232876719</v>
      </c>
      <c r="AN577" s="1243">
        <f t="shared" si="313"/>
        <v>567956.36232876719</v>
      </c>
      <c r="AO577" s="1243">
        <f t="shared" si="313"/>
        <v>567956.36232876719</v>
      </c>
      <c r="AP577" s="1243">
        <f t="shared" si="313"/>
        <v>567956.36232876719</v>
      </c>
      <c r="AQ577" s="1243">
        <f t="shared" si="313"/>
        <v>567956.36232876719</v>
      </c>
      <c r="AR577" s="1243">
        <f t="shared" si="313"/>
        <v>567956.36232876719</v>
      </c>
      <c r="AS577" s="1243">
        <f t="shared" si="313"/>
        <v>567956.36232876719</v>
      </c>
      <c r="AT577" s="1243">
        <f t="shared" si="313"/>
        <v>567956.36232876719</v>
      </c>
      <c r="AU577" s="1243">
        <f t="shared" si="313"/>
        <v>567956.36232876719</v>
      </c>
    </row>
    <row r="578" spans="2:51" s="873" customFormat="1" ht="11.25">
      <c r="C578" s="874"/>
      <c r="D578" s="875"/>
      <c r="E578" s="875"/>
      <c r="F578" s="875"/>
      <c r="G578" s="875"/>
      <c r="H578" s="875"/>
      <c r="I578" s="875"/>
      <c r="J578" s="875"/>
      <c r="K578" s="875"/>
      <c r="L578" s="875"/>
      <c r="M578" s="1196"/>
      <c r="R578" s="1243"/>
      <c r="S578" s="1243"/>
      <c r="T578" s="1243"/>
      <c r="U578" s="1243">
        <f t="shared" si="287"/>
        <v>0</v>
      </c>
      <c r="V578" s="1243"/>
      <c r="W578" s="1243"/>
      <c r="X578" s="1243"/>
      <c r="Y578" s="1243"/>
      <c r="Z578" s="1243"/>
      <c r="AA578" s="1243"/>
      <c r="AB578" s="1243"/>
      <c r="AC578" s="1243"/>
      <c r="AD578" s="1243"/>
      <c r="AE578" s="1243"/>
      <c r="AF578" s="1243"/>
      <c r="AG578" s="1243"/>
      <c r="AH578" s="1243"/>
      <c r="AI578" s="1243"/>
      <c r="AJ578" s="1243"/>
      <c r="AK578" s="1243"/>
      <c r="AL578" s="1243"/>
      <c r="AM578" s="1243"/>
      <c r="AN578" s="1243"/>
      <c r="AO578" s="1243"/>
      <c r="AP578" s="1243"/>
      <c r="AQ578" s="1243"/>
      <c r="AR578" s="1243"/>
      <c r="AS578" s="1243"/>
      <c r="AT578" s="1243"/>
      <c r="AU578" s="1243"/>
    </row>
    <row r="579" spans="2:51" s="873" customFormat="1" ht="11.25">
      <c r="C579" s="874" t="s">
        <v>1968</v>
      </c>
      <c r="D579" s="875"/>
      <c r="E579" s="875"/>
      <c r="F579" s="875"/>
      <c r="G579" s="875"/>
      <c r="H579" s="875"/>
      <c r="I579" s="875"/>
      <c r="J579" s="875"/>
      <c r="K579" s="875"/>
      <c r="L579" s="875"/>
      <c r="M579" s="1196"/>
      <c r="R579" s="1243">
        <f>415/35%</f>
        <v>1185.7142857142858</v>
      </c>
      <c r="S579" s="1243"/>
      <c r="T579" s="1243">
        <f>415/35%</f>
        <v>1185.7142857142858</v>
      </c>
      <c r="U579" s="1243">
        <f t="shared" si="287"/>
        <v>1185.7142857142858</v>
      </c>
      <c r="V579" s="1243">
        <f t="shared" ref="V579:AU579" si="314">415/35%</f>
        <v>1185.7142857142858</v>
      </c>
      <c r="W579" s="1243">
        <f t="shared" si="314"/>
        <v>1185.7142857142858</v>
      </c>
      <c r="X579" s="1243">
        <f t="shared" si="314"/>
        <v>1185.7142857142858</v>
      </c>
      <c r="Y579" s="1243">
        <f t="shared" si="314"/>
        <v>1185.7142857142858</v>
      </c>
      <c r="Z579" s="1243">
        <f t="shared" si="314"/>
        <v>1185.7142857142858</v>
      </c>
      <c r="AA579" s="1243">
        <f t="shared" si="314"/>
        <v>1185.7142857142858</v>
      </c>
      <c r="AB579" s="1243">
        <f t="shared" si="314"/>
        <v>1185.7142857142858</v>
      </c>
      <c r="AC579" s="1243">
        <f t="shared" si="314"/>
        <v>1185.7142857142858</v>
      </c>
      <c r="AD579" s="1243">
        <f t="shared" si="314"/>
        <v>1185.7142857142858</v>
      </c>
      <c r="AE579" s="1243">
        <f t="shared" si="314"/>
        <v>1185.7142857142858</v>
      </c>
      <c r="AF579" s="1243">
        <f t="shared" si="314"/>
        <v>1185.7142857142858</v>
      </c>
      <c r="AG579" s="1243">
        <f t="shared" si="314"/>
        <v>1185.7142857142858</v>
      </c>
      <c r="AH579" s="1243">
        <f t="shared" si="314"/>
        <v>1185.7142857142858</v>
      </c>
      <c r="AI579" s="1243">
        <f t="shared" si="314"/>
        <v>1185.7142857142858</v>
      </c>
      <c r="AJ579" s="1243">
        <f t="shared" si="314"/>
        <v>1185.7142857142858</v>
      </c>
      <c r="AK579" s="1243">
        <f t="shared" si="314"/>
        <v>1185.7142857142858</v>
      </c>
      <c r="AL579" s="1243">
        <f t="shared" si="314"/>
        <v>1185.7142857142858</v>
      </c>
      <c r="AM579" s="1243">
        <f t="shared" si="314"/>
        <v>1185.7142857142858</v>
      </c>
      <c r="AN579" s="1243">
        <f t="shared" si="314"/>
        <v>1185.7142857142858</v>
      </c>
      <c r="AO579" s="1243">
        <f t="shared" si="314"/>
        <v>1185.7142857142858</v>
      </c>
      <c r="AP579" s="1243">
        <f t="shared" si="314"/>
        <v>1185.7142857142858</v>
      </c>
      <c r="AQ579" s="1243">
        <f t="shared" si="314"/>
        <v>1185.7142857142858</v>
      </c>
      <c r="AR579" s="1243">
        <f t="shared" si="314"/>
        <v>1185.7142857142858</v>
      </c>
      <c r="AS579" s="1243">
        <f t="shared" si="314"/>
        <v>1185.7142857142858</v>
      </c>
      <c r="AT579" s="1243">
        <f t="shared" si="314"/>
        <v>1185.7142857142858</v>
      </c>
      <c r="AU579" s="1243">
        <f t="shared" si="314"/>
        <v>1185.7142857142858</v>
      </c>
    </row>
    <row r="580" spans="2:51" s="873" customFormat="1" ht="11.25">
      <c r="C580" s="1258" t="s">
        <v>1054</v>
      </c>
      <c r="D580" s="875"/>
      <c r="E580" s="875"/>
      <c r="F580" s="875"/>
      <c r="G580" s="875"/>
      <c r="H580" s="875"/>
      <c r="I580" s="875"/>
      <c r="J580" s="875"/>
      <c r="K580" s="875"/>
      <c r="L580" s="875"/>
      <c r="M580" s="1196"/>
      <c r="R580" s="1243"/>
      <c r="S580" s="1243"/>
      <c r="T580" s="1243"/>
      <c r="U580" s="1243">
        <f t="shared" si="287"/>
        <v>0</v>
      </c>
      <c r="V580" s="1243"/>
      <c r="W580" s="1243"/>
      <c r="X580" s="1243"/>
      <c r="Y580" s="1243"/>
      <c r="Z580" s="1243"/>
      <c r="AA580" s="1243"/>
      <c r="AB580" s="1243"/>
      <c r="AC580" s="1243"/>
      <c r="AD580" s="1243"/>
      <c r="AE580" s="1243"/>
      <c r="AF580" s="1243"/>
      <c r="AG580" s="1243"/>
      <c r="AH580" s="1243"/>
      <c r="AI580" s="1243"/>
      <c r="AJ580" s="1243"/>
      <c r="AK580" s="1243"/>
      <c r="AL580" s="1243"/>
      <c r="AM580" s="1243"/>
      <c r="AN580" s="1243"/>
      <c r="AO580" s="1243"/>
      <c r="AP580" s="1243"/>
      <c r="AQ580" s="1243"/>
      <c r="AR580" s="1243"/>
      <c r="AS580" s="1243"/>
      <c r="AT580" s="1243"/>
      <c r="AU580" s="1243"/>
    </row>
    <row r="581" spans="2:51" s="873" customFormat="1" ht="11.25">
      <c r="C581" s="874" t="s">
        <v>1050</v>
      </c>
      <c r="D581" s="875"/>
      <c r="E581" s="875"/>
      <c r="F581" s="875"/>
      <c r="G581" s="875"/>
      <c r="H581" s="875"/>
      <c r="I581" s="875"/>
      <c r="J581" s="875"/>
      <c r="K581" s="875"/>
      <c r="L581" s="875"/>
      <c r="M581" s="1196"/>
      <c r="R581" s="1243">
        <f>R570*-R561</f>
        <v>24698998.806023937</v>
      </c>
      <c r="S581" s="1243"/>
      <c r="T581" s="1243">
        <f>T570*-T561</f>
        <v>24698998.806023937</v>
      </c>
      <c r="U581" s="1243">
        <f t="shared" si="287"/>
        <v>24698998.806023937</v>
      </c>
      <c r="V581" s="1243">
        <f t="shared" ref="V581:AU581" si="315">V570*-V561</f>
        <v>25467924.511814665</v>
      </c>
      <c r="W581" s="1243">
        <f t="shared" si="315"/>
        <v>25506942.557956919</v>
      </c>
      <c r="X581" s="1243">
        <f t="shared" si="315"/>
        <v>25506942.557956919</v>
      </c>
      <c r="Y581" s="1243">
        <f t="shared" si="315"/>
        <v>25506942.557956919</v>
      </c>
      <c r="Z581" s="1243">
        <f t="shared" si="315"/>
        <v>25506942.557956919</v>
      </c>
      <c r="AA581" s="1243">
        <f t="shared" si="315"/>
        <v>25506942.557956919</v>
      </c>
      <c r="AB581" s="1243">
        <f t="shared" si="315"/>
        <v>25506942.557956919</v>
      </c>
      <c r="AC581" s="1243">
        <f t="shared" si="315"/>
        <v>25506942.557956919</v>
      </c>
      <c r="AD581" s="1243">
        <f t="shared" si="315"/>
        <v>25506942.557956919</v>
      </c>
      <c r="AE581" s="1243">
        <f t="shared" si="315"/>
        <v>25506942.557956919</v>
      </c>
      <c r="AF581" s="1243">
        <f t="shared" si="315"/>
        <v>25506942.557956919</v>
      </c>
      <c r="AG581" s="1243">
        <f t="shared" si="315"/>
        <v>25506942.557956919</v>
      </c>
      <c r="AH581" s="1243">
        <f t="shared" si="315"/>
        <v>25506942.557956919</v>
      </c>
      <c r="AI581" s="1243">
        <f t="shared" si="315"/>
        <v>25506942.557956919</v>
      </c>
      <c r="AJ581" s="1243">
        <f t="shared" si="315"/>
        <v>25506942.557956919</v>
      </c>
      <c r="AK581" s="1243">
        <f t="shared" si="315"/>
        <v>25506942.557956919</v>
      </c>
      <c r="AL581" s="1243">
        <f t="shared" si="315"/>
        <v>25506942.557956919</v>
      </c>
      <c r="AM581" s="1243">
        <f t="shared" si="315"/>
        <v>25506942.557956919</v>
      </c>
      <c r="AN581" s="1243">
        <f t="shared" si="315"/>
        <v>25506942.557956919</v>
      </c>
      <c r="AO581" s="1243">
        <f t="shared" si="315"/>
        <v>25506942.557956919</v>
      </c>
      <c r="AP581" s="1243">
        <f t="shared" si="315"/>
        <v>25506942.557956919</v>
      </c>
      <c r="AQ581" s="1243">
        <f t="shared" si="315"/>
        <v>25506942.557956919</v>
      </c>
      <c r="AR581" s="1243">
        <f t="shared" si="315"/>
        <v>25506942.557956919</v>
      </c>
      <c r="AS581" s="1243">
        <f t="shared" si="315"/>
        <v>25506942.557956919</v>
      </c>
      <c r="AT581" s="1243">
        <f t="shared" si="315"/>
        <v>25506942.557956919</v>
      </c>
      <c r="AU581" s="1243">
        <f t="shared" si="315"/>
        <v>25506942.557956919</v>
      </c>
    </row>
    <row r="582" spans="2:51" s="873" customFormat="1" ht="11.25">
      <c r="C582" s="874" t="s">
        <v>1053</v>
      </c>
      <c r="D582" s="875"/>
      <c r="E582" s="875"/>
      <c r="F582" s="875"/>
      <c r="G582" s="875"/>
      <c r="H582" s="875"/>
      <c r="I582" s="875"/>
      <c r="J582" s="875"/>
      <c r="K582" s="875"/>
      <c r="L582" s="875"/>
      <c r="M582" s="1196"/>
      <c r="R582" s="1243">
        <f>R579*R565</f>
        <v>8670180</v>
      </c>
      <c r="S582" s="1243"/>
      <c r="T582" s="1243">
        <f>T579*T565</f>
        <v>8670180</v>
      </c>
      <c r="U582" s="1243">
        <f t="shared" si="287"/>
        <v>8670180</v>
      </c>
      <c r="V582" s="1243">
        <f t="shared" ref="V582:AU582" si="316">V579*V565</f>
        <v>8670180</v>
      </c>
      <c r="W582" s="1243">
        <f t="shared" si="316"/>
        <v>8670180</v>
      </c>
      <c r="X582" s="1243">
        <f t="shared" si="316"/>
        <v>8670180</v>
      </c>
      <c r="Y582" s="1243">
        <f t="shared" si="316"/>
        <v>8670180</v>
      </c>
      <c r="Z582" s="1243">
        <f t="shared" si="316"/>
        <v>8670180</v>
      </c>
      <c r="AA582" s="1243">
        <f t="shared" si="316"/>
        <v>8670180</v>
      </c>
      <c r="AB582" s="1243">
        <f t="shared" si="316"/>
        <v>8670180</v>
      </c>
      <c r="AC582" s="1243">
        <f t="shared" si="316"/>
        <v>8670180</v>
      </c>
      <c r="AD582" s="1243">
        <f t="shared" si="316"/>
        <v>8670180</v>
      </c>
      <c r="AE582" s="1243">
        <f t="shared" si="316"/>
        <v>8670180</v>
      </c>
      <c r="AF582" s="1243">
        <f t="shared" si="316"/>
        <v>8670180</v>
      </c>
      <c r="AG582" s="1243">
        <f t="shared" si="316"/>
        <v>8670180</v>
      </c>
      <c r="AH582" s="1243">
        <f t="shared" si="316"/>
        <v>8670180</v>
      </c>
      <c r="AI582" s="1243">
        <f t="shared" si="316"/>
        <v>8670180</v>
      </c>
      <c r="AJ582" s="1243">
        <f t="shared" si="316"/>
        <v>8670180</v>
      </c>
      <c r="AK582" s="1243">
        <f t="shared" si="316"/>
        <v>8670180</v>
      </c>
      <c r="AL582" s="1243">
        <f t="shared" si="316"/>
        <v>8670180</v>
      </c>
      <c r="AM582" s="1243">
        <f t="shared" si="316"/>
        <v>8670180</v>
      </c>
      <c r="AN582" s="1243">
        <f t="shared" si="316"/>
        <v>8670180</v>
      </c>
      <c r="AO582" s="1243">
        <f t="shared" si="316"/>
        <v>8670180</v>
      </c>
      <c r="AP582" s="1243">
        <f t="shared" si="316"/>
        <v>8670180</v>
      </c>
      <c r="AQ582" s="1243">
        <f t="shared" si="316"/>
        <v>8670180</v>
      </c>
      <c r="AR582" s="1243">
        <f t="shared" si="316"/>
        <v>8670180</v>
      </c>
      <c r="AS582" s="1243">
        <f t="shared" si="316"/>
        <v>8670180</v>
      </c>
      <c r="AT582" s="1243">
        <f t="shared" si="316"/>
        <v>8670180</v>
      </c>
      <c r="AU582" s="1243">
        <f t="shared" si="316"/>
        <v>8670180</v>
      </c>
    </row>
    <row r="583" spans="2:51" s="873" customFormat="1" ht="11.25">
      <c r="C583" s="874" t="s">
        <v>1055</v>
      </c>
      <c r="D583" s="875"/>
      <c r="E583" s="875"/>
      <c r="F583" s="875"/>
      <c r="G583" s="875"/>
      <c r="H583" s="875"/>
      <c r="I583" s="875"/>
      <c r="J583" s="875"/>
      <c r="K583" s="875"/>
      <c r="L583" s="875"/>
      <c r="M583" s="1196"/>
      <c r="R583" s="1243">
        <f t="shared" ref="R583:AU583" si="317">SUM(R581:R582)</f>
        <v>33369178.806023937</v>
      </c>
      <c r="S583" s="1243"/>
      <c r="T583" s="1243">
        <f>SUM(T581:T582)</f>
        <v>33369178.806023937</v>
      </c>
      <c r="U583" s="1243">
        <f t="shared" si="287"/>
        <v>33369178.806023937</v>
      </c>
      <c r="V583" s="1243">
        <f t="shared" si="317"/>
        <v>34138104.511814669</v>
      </c>
      <c r="W583" s="1243">
        <f t="shared" si="317"/>
        <v>34177122.557956919</v>
      </c>
      <c r="X583" s="1243">
        <f t="shared" si="317"/>
        <v>34177122.557956919</v>
      </c>
      <c r="Y583" s="1243">
        <f t="shared" si="317"/>
        <v>34177122.557956919</v>
      </c>
      <c r="Z583" s="1243">
        <f t="shared" si="317"/>
        <v>34177122.557956919</v>
      </c>
      <c r="AA583" s="1243">
        <f t="shared" si="317"/>
        <v>34177122.557956919</v>
      </c>
      <c r="AB583" s="1243">
        <f t="shared" si="317"/>
        <v>34177122.557956919</v>
      </c>
      <c r="AC583" s="1243">
        <f t="shared" si="317"/>
        <v>34177122.557956919</v>
      </c>
      <c r="AD583" s="1243">
        <f t="shared" si="317"/>
        <v>34177122.557956919</v>
      </c>
      <c r="AE583" s="1243">
        <f t="shared" si="317"/>
        <v>34177122.557956919</v>
      </c>
      <c r="AF583" s="1243">
        <f t="shared" si="317"/>
        <v>34177122.557956919</v>
      </c>
      <c r="AG583" s="1243">
        <f t="shared" si="317"/>
        <v>34177122.557956919</v>
      </c>
      <c r="AH583" s="1243">
        <f t="shared" si="317"/>
        <v>34177122.557956919</v>
      </c>
      <c r="AI583" s="1243">
        <f t="shared" si="317"/>
        <v>34177122.557956919</v>
      </c>
      <c r="AJ583" s="1243">
        <f t="shared" si="317"/>
        <v>34177122.557956919</v>
      </c>
      <c r="AK583" s="1243">
        <f t="shared" si="317"/>
        <v>34177122.557956919</v>
      </c>
      <c r="AL583" s="1243">
        <f t="shared" si="317"/>
        <v>34177122.557956919</v>
      </c>
      <c r="AM583" s="1243">
        <f t="shared" si="317"/>
        <v>34177122.557956919</v>
      </c>
      <c r="AN583" s="1243">
        <f t="shared" si="317"/>
        <v>34177122.557956919</v>
      </c>
      <c r="AO583" s="1243">
        <f t="shared" si="317"/>
        <v>34177122.557956919</v>
      </c>
      <c r="AP583" s="1243">
        <f t="shared" si="317"/>
        <v>34177122.557956919</v>
      </c>
      <c r="AQ583" s="1243">
        <f t="shared" si="317"/>
        <v>34177122.557956919</v>
      </c>
      <c r="AR583" s="1243">
        <f t="shared" si="317"/>
        <v>34177122.557956919</v>
      </c>
      <c r="AS583" s="1243">
        <f t="shared" si="317"/>
        <v>34177122.557956919</v>
      </c>
      <c r="AT583" s="1243">
        <f t="shared" si="317"/>
        <v>34177122.557956919</v>
      </c>
      <c r="AU583" s="1243">
        <f t="shared" si="317"/>
        <v>34177122.557956919</v>
      </c>
    </row>
    <row r="584" spans="2:51" s="1210" customFormat="1" ht="11.25">
      <c r="C584" s="1258" t="s">
        <v>1970</v>
      </c>
      <c r="D584" s="875"/>
      <c r="E584" s="875"/>
      <c r="F584" s="875"/>
      <c r="G584" s="875"/>
      <c r="H584" s="875"/>
      <c r="I584" s="875"/>
      <c r="J584" s="875"/>
      <c r="K584" s="875"/>
      <c r="L584" s="875"/>
      <c r="M584" s="1248"/>
      <c r="R584" s="1259">
        <f>R577+R583</f>
        <v>33937135.168352701</v>
      </c>
      <c r="S584" s="1259"/>
      <c r="T584" s="1259">
        <f>T577+T583</f>
        <v>33937135.168352701</v>
      </c>
      <c r="U584" s="1259">
        <f t="shared" si="287"/>
        <v>33937135.168352701</v>
      </c>
      <c r="V584" s="1259">
        <f t="shared" ref="V584:AU584" si="318">V577+V583</f>
        <v>34706060.874143437</v>
      </c>
      <c r="W584" s="1259">
        <f t="shared" si="318"/>
        <v>34745078.920285687</v>
      </c>
      <c r="X584" s="1259">
        <f t="shared" si="318"/>
        <v>34745078.920285687</v>
      </c>
      <c r="Y584" s="1259">
        <f t="shared" si="318"/>
        <v>34745078.920285687</v>
      </c>
      <c r="Z584" s="1259">
        <f t="shared" si="318"/>
        <v>34745078.920285687</v>
      </c>
      <c r="AA584" s="1259">
        <f t="shared" si="318"/>
        <v>34745078.920285687</v>
      </c>
      <c r="AB584" s="1259">
        <f t="shared" si="318"/>
        <v>34745078.920285687</v>
      </c>
      <c r="AC584" s="1259">
        <f t="shared" si="318"/>
        <v>34745078.920285687</v>
      </c>
      <c r="AD584" s="1259">
        <f t="shared" si="318"/>
        <v>34745078.920285687</v>
      </c>
      <c r="AE584" s="1259">
        <f t="shared" si="318"/>
        <v>34745078.920285687</v>
      </c>
      <c r="AF584" s="1259">
        <f t="shared" si="318"/>
        <v>34745078.920285687</v>
      </c>
      <c r="AG584" s="1259">
        <f t="shared" si="318"/>
        <v>34745078.920285687</v>
      </c>
      <c r="AH584" s="1259">
        <f t="shared" si="318"/>
        <v>34745078.920285687</v>
      </c>
      <c r="AI584" s="1259">
        <f t="shared" si="318"/>
        <v>34745078.920285687</v>
      </c>
      <c r="AJ584" s="1259">
        <f t="shared" si="318"/>
        <v>34745078.920285687</v>
      </c>
      <c r="AK584" s="1259">
        <f t="shared" si="318"/>
        <v>34745078.920285687</v>
      </c>
      <c r="AL584" s="1259">
        <f t="shared" si="318"/>
        <v>34745078.920285687</v>
      </c>
      <c r="AM584" s="1259">
        <f t="shared" si="318"/>
        <v>34745078.920285687</v>
      </c>
      <c r="AN584" s="1259">
        <f t="shared" si="318"/>
        <v>34745078.920285687</v>
      </c>
      <c r="AO584" s="1259">
        <f t="shared" si="318"/>
        <v>34745078.920285687</v>
      </c>
      <c r="AP584" s="1259">
        <f t="shared" si="318"/>
        <v>34745078.920285687</v>
      </c>
      <c r="AQ584" s="1259">
        <f t="shared" si="318"/>
        <v>34745078.920285687</v>
      </c>
      <c r="AR584" s="1259">
        <f t="shared" si="318"/>
        <v>34745078.920285687</v>
      </c>
      <c r="AS584" s="1259">
        <f t="shared" si="318"/>
        <v>34745078.920285687</v>
      </c>
      <c r="AT584" s="1259">
        <f t="shared" si="318"/>
        <v>34745078.920285687</v>
      </c>
      <c r="AU584" s="1259">
        <f t="shared" si="318"/>
        <v>34745078.920285687</v>
      </c>
    </row>
    <row r="585" spans="2:51" s="873" customFormat="1" ht="11.25">
      <c r="C585" s="877"/>
      <c r="D585" s="875"/>
      <c r="E585" s="875"/>
      <c r="F585" s="875"/>
      <c r="G585" s="875"/>
      <c r="H585" s="875"/>
      <c r="I585" s="875"/>
      <c r="J585" s="875"/>
      <c r="K585" s="875"/>
      <c r="L585" s="875"/>
      <c r="M585" s="1196"/>
      <c r="R585" s="1243"/>
      <c r="S585" s="1243"/>
      <c r="T585" s="1243"/>
      <c r="U585" s="1243">
        <f t="shared" si="287"/>
        <v>0</v>
      </c>
      <c r="V585" s="1243"/>
      <c r="W585" s="1243"/>
      <c r="X585" s="1243"/>
      <c r="Y585" s="1243"/>
      <c r="Z585" s="1243"/>
      <c r="AA585" s="1243"/>
      <c r="AB585" s="1243"/>
      <c r="AC585" s="1243"/>
      <c r="AD585" s="1243"/>
      <c r="AE585" s="1243"/>
      <c r="AF585" s="1243"/>
      <c r="AG585" s="1243"/>
      <c r="AH585" s="1243"/>
      <c r="AI585" s="1243"/>
      <c r="AJ585" s="1243"/>
      <c r="AK585" s="1243"/>
      <c r="AL585" s="1243"/>
      <c r="AM585" s="1243"/>
      <c r="AN585" s="1243"/>
      <c r="AO585" s="1243"/>
      <c r="AP585" s="1243"/>
      <c r="AQ585" s="1243"/>
      <c r="AR585" s="1243"/>
      <c r="AS585" s="1243"/>
      <c r="AT585" s="1243"/>
      <c r="AU585" s="1243"/>
    </row>
    <row r="586" spans="2:51" s="1210" customFormat="1" ht="11.25">
      <c r="C586" s="1260" t="s">
        <v>1057</v>
      </c>
      <c r="D586" s="875"/>
      <c r="E586" s="875"/>
      <c r="F586" s="875"/>
      <c r="G586" s="875"/>
      <c r="H586" s="875"/>
      <c r="I586" s="875"/>
      <c r="J586" s="875"/>
      <c r="K586" s="875"/>
      <c r="L586" s="875"/>
      <c r="M586" s="1248"/>
      <c r="R586" s="1259">
        <v>0</v>
      </c>
      <c r="S586" s="1259"/>
      <c r="T586" s="1259">
        <v>0</v>
      </c>
      <c r="U586" s="1259">
        <f t="shared" si="287"/>
        <v>0</v>
      </c>
      <c r="V586" s="1259">
        <v>0</v>
      </c>
      <c r="W586" s="1259">
        <v>0</v>
      </c>
      <c r="X586" s="1259">
        <v>0</v>
      </c>
      <c r="Y586" s="1259">
        <v>0</v>
      </c>
      <c r="Z586" s="1259">
        <v>0</v>
      </c>
      <c r="AA586" s="1259">
        <v>0</v>
      </c>
      <c r="AB586" s="1259">
        <v>0</v>
      </c>
      <c r="AC586" s="1259">
        <v>0</v>
      </c>
      <c r="AD586" s="1259">
        <v>0</v>
      </c>
      <c r="AE586" s="1259">
        <v>0</v>
      </c>
      <c r="AF586" s="1259">
        <v>0</v>
      </c>
      <c r="AG586" s="1259">
        <v>0</v>
      </c>
      <c r="AH586" s="1259">
        <v>0</v>
      </c>
      <c r="AI586" s="1259">
        <v>0</v>
      </c>
      <c r="AJ586" s="1259">
        <v>0</v>
      </c>
      <c r="AK586" s="1259">
        <v>0</v>
      </c>
      <c r="AL586" s="1259">
        <v>0</v>
      </c>
      <c r="AM586" s="1259">
        <v>0</v>
      </c>
      <c r="AN586" s="1259">
        <v>0</v>
      </c>
      <c r="AO586" s="1259">
        <v>0</v>
      </c>
      <c r="AP586" s="1259">
        <v>0</v>
      </c>
      <c r="AQ586" s="1259">
        <v>0</v>
      </c>
      <c r="AR586" s="1259">
        <v>0</v>
      </c>
      <c r="AS586" s="1259">
        <v>0</v>
      </c>
      <c r="AT586" s="1259">
        <v>0</v>
      </c>
      <c r="AU586" s="1259">
        <v>0</v>
      </c>
    </row>
    <row r="587" spans="2:51" s="873" customFormat="1" ht="11.25">
      <c r="C587" s="878"/>
      <c r="D587" s="875"/>
      <c r="E587" s="875"/>
      <c r="F587" s="875"/>
      <c r="G587" s="875"/>
      <c r="H587" s="875"/>
      <c r="I587" s="875"/>
      <c r="J587" s="875"/>
      <c r="K587" s="875"/>
      <c r="L587" s="875"/>
      <c r="M587" s="1196"/>
      <c r="U587" s="873">
        <f t="shared" si="287"/>
        <v>0</v>
      </c>
    </row>
    <row r="588" spans="2:51" s="214" customFormat="1" ht="11.25">
      <c r="B588" s="215"/>
      <c r="C588" s="380" t="s">
        <v>1058</v>
      </c>
      <c r="D588" s="215"/>
      <c r="E588" s="271"/>
      <c r="F588" s="243"/>
      <c r="G588" s="243"/>
      <c r="H588" s="243"/>
      <c r="I588" s="242"/>
      <c r="J588" s="269"/>
      <c r="K588" s="269"/>
      <c r="L588" s="269"/>
      <c r="M588" s="215"/>
      <c r="U588" s="214">
        <f t="shared" ref="U588:U651" si="319">T588</f>
        <v>0</v>
      </c>
    </row>
    <row r="589" spans="2:51" s="214" customFormat="1" ht="11.25">
      <c r="B589" s="215"/>
      <c r="C589" s="310" t="s">
        <v>1059</v>
      </c>
      <c r="D589" s="242"/>
      <c r="E589" s="243"/>
      <c r="F589" s="243"/>
      <c r="G589" s="243"/>
      <c r="H589" s="243"/>
      <c r="I589" s="269"/>
      <c r="J589" s="269"/>
      <c r="K589" s="269"/>
      <c r="L589" s="269"/>
      <c r="M589" s="269">
        <v>0</v>
      </c>
      <c r="N589" s="269">
        <f>M589</f>
        <v>0</v>
      </c>
      <c r="O589" s="269">
        <f>N589</f>
        <v>0</v>
      </c>
      <c r="P589" s="269">
        <v>0</v>
      </c>
      <c r="Q589" s="239">
        <v>0</v>
      </c>
      <c r="R589" s="269">
        <f>R560*R568</f>
        <v>19237794.598147023</v>
      </c>
      <c r="S589" s="269"/>
      <c r="T589" s="269">
        <f>T560*T568</f>
        <v>21666372.178580251</v>
      </c>
      <c r="U589" s="269">
        <f t="shared" si="319"/>
        <v>21666372.178580251</v>
      </c>
      <c r="V589" s="269">
        <f t="shared" ref="V589:AU589" si="320">V560*V568</f>
        <v>110990295.36939111</v>
      </c>
      <c r="W589" s="269">
        <f t="shared" si="320"/>
        <v>128131654.57093145</v>
      </c>
      <c r="X589" s="269">
        <f t="shared" si="320"/>
        <v>128131654.57093145</v>
      </c>
      <c r="Y589" s="269">
        <f t="shared" si="320"/>
        <v>128131654.57093145</v>
      </c>
      <c r="Z589" s="269">
        <f t="shared" si="320"/>
        <v>128131654.57093145</v>
      </c>
      <c r="AA589" s="269">
        <f t="shared" si="320"/>
        <v>128131654.57093145</v>
      </c>
      <c r="AB589" s="269">
        <f t="shared" si="320"/>
        <v>129384799.533029</v>
      </c>
      <c r="AC589" s="269">
        <f t="shared" si="320"/>
        <v>129384799.533029</v>
      </c>
      <c r="AD589" s="269">
        <f t="shared" si="320"/>
        <v>129384799.533029</v>
      </c>
      <c r="AE589" s="269">
        <f t="shared" si="320"/>
        <v>129384799.533029</v>
      </c>
      <c r="AF589" s="269">
        <f t="shared" si="320"/>
        <v>129384799.533029</v>
      </c>
      <c r="AG589" s="269">
        <f t="shared" si="320"/>
        <v>129384799.533029</v>
      </c>
      <c r="AH589" s="269">
        <f t="shared" si="320"/>
        <v>129384799.533029</v>
      </c>
      <c r="AI589" s="269">
        <f t="shared" si="320"/>
        <v>129384799.533029</v>
      </c>
      <c r="AJ589" s="269">
        <f t="shared" si="320"/>
        <v>129384799.533029</v>
      </c>
      <c r="AK589" s="269">
        <f t="shared" si="320"/>
        <v>129384799.533029</v>
      </c>
      <c r="AL589" s="269">
        <f t="shared" si="320"/>
        <v>129384799.533029</v>
      </c>
      <c r="AM589" s="269">
        <f t="shared" si="320"/>
        <v>129384799.533029</v>
      </c>
      <c r="AN589" s="269">
        <f t="shared" si="320"/>
        <v>129384799.533029</v>
      </c>
      <c r="AO589" s="269">
        <f t="shared" si="320"/>
        <v>129384799.533029</v>
      </c>
      <c r="AP589" s="269">
        <f t="shared" si="320"/>
        <v>129384799.533029</v>
      </c>
      <c r="AQ589" s="269">
        <f t="shared" si="320"/>
        <v>129384799.533029</v>
      </c>
      <c r="AR589" s="269">
        <f t="shared" si="320"/>
        <v>129384799.533029</v>
      </c>
      <c r="AS589" s="269">
        <f t="shared" si="320"/>
        <v>129384799.533029</v>
      </c>
      <c r="AT589" s="269">
        <f t="shared" si="320"/>
        <v>129384799.533029</v>
      </c>
      <c r="AU589" s="269">
        <f t="shared" si="320"/>
        <v>129384799.533029</v>
      </c>
      <c r="AV589" s="269"/>
      <c r="AW589" s="269"/>
      <c r="AX589" s="269"/>
      <c r="AY589" s="269"/>
    </row>
    <row r="590" spans="2:51" s="214" customFormat="1" ht="11.25">
      <c r="C590" s="310" t="s">
        <v>1050</v>
      </c>
      <c r="D590" s="215"/>
      <c r="E590" s="248"/>
      <c r="F590" s="248"/>
      <c r="G590" s="248"/>
      <c r="H590" s="248"/>
      <c r="I590" s="246"/>
      <c r="J590" s="246"/>
      <c r="K590" s="246"/>
      <c r="L590" s="246"/>
      <c r="M590" s="246">
        <v>0</v>
      </c>
      <c r="N590" s="246">
        <f>M590</f>
        <v>0</v>
      </c>
      <c r="O590" s="246">
        <f>N590</f>
        <v>0</v>
      </c>
      <c r="P590" s="246">
        <v>0</v>
      </c>
      <c r="Q590" s="246">
        <v>1091974.4692307692</v>
      </c>
      <c r="R590" s="269">
        <f>R584+R586</f>
        <v>33937135.168352701</v>
      </c>
      <c r="S590" s="269"/>
      <c r="T590" s="269">
        <f>T584+T586</f>
        <v>33937135.168352701</v>
      </c>
      <c r="U590" s="269">
        <f t="shared" si="319"/>
        <v>33937135.168352701</v>
      </c>
      <c r="V590" s="269">
        <f t="shared" ref="V590:AU590" si="321">V584+V586</f>
        <v>34706060.874143437</v>
      </c>
      <c r="W590" s="269">
        <f t="shared" si="321"/>
        <v>34745078.920285687</v>
      </c>
      <c r="X590" s="269">
        <f t="shared" si="321"/>
        <v>34745078.920285687</v>
      </c>
      <c r="Y590" s="269">
        <f t="shared" si="321"/>
        <v>34745078.920285687</v>
      </c>
      <c r="Z590" s="269">
        <f t="shared" si="321"/>
        <v>34745078.920285687</v>
      </c>
      <c r="AA590" s="269">
        <f t="shared" si="321"/>
        <v>34745078.920285687</v>
      </c>
      <c r="AB590" s="269">
        <f t="shared" si="321"/>
        <v>34745078.920285687</v>
      </c>
      <c r="AC590" s="269">
        <f t="shared" si="321"/>
        <v>34745078.920285687</v>
      </c>
      <c r="AD590" s="269">
        <f t="shared" si="321"/>
        <v>34745078.920285687</v>
      </c>
      <c r="AE590" s="269">
        <f t="shared" si="321"/>
        <v>34745078.920285687</v>
      </c>
      <c r="AF590" s="269">
        <f t="shared" si="321"/>
        <v>34745078.920285687</v>
      </c>
      <c r="AG590" s="269">
        <f t="shared" si="321"/>
        <v>34745078.920285687</v>
      </c>
      <c r="AH590" s="269">
        <f t="shared" si="321"/>
        <v>34745078.920285687</v>
      </c>
      <c r="AI590" s="269">
        <f t="shared" si="321"/>
        <v>34745078.920285687</v>
      </c>
      <c r="AJ590" s="269">
        <f t="shared" si="321"/>
        <v>34745078.920285687</v>
      </c>
      <c r="AK590" s="269">
        <f t="shared" si="321"/>
        <v>34745078.920285687</v>
      </c>
      <c r="AL590" s="269">
        <f t="shared" si="321"/>
        <v>34745078.920285687</v>
      </c>
      <c r="AM590" s="269">
        <f t="shared" si="321"/>
        <v>34745078.920285687</v>
      </c>
      <c r="AN590" s="269">
        <f t="shared" si="321"/>
        <v>34745078.920285687</v>
      </c>
      <c r="AO590" s="269">
        <f t="shared" si="321"/>
        <v>34745078.920285687</v>
      </c>
      <c r="AP590" s="269">
        <f t="shared" si="321"/>
        <v>34745078.920285687</v>
      </c>
      <c r="AQ590" s="269">
        <f t="shared" si="321"/>
        <v>34745078.920285687</v>
      </c>
      <c r="AR590" s="269">
        <f t="shared" si="321"/>
        <v>34745078.920285687</v>
      </c>
      <c r="AS590" s="269">
        <f t="shared" si="321"/>
        <v>34745078.920285687</v>
      </c>
      <c r="AT590" s="269">
        <f t="shared" si="321"/>
        <v>34745078.920285687</v>
      </c>
      <c r="AU590" s="269">
        <f t="shared" si="321"/>
        <v>34745078.920285687</v>
      </c>
      <c r="AV590" s="246"/>
      <c r="AW590" s="246"/>
      <c r="AX590" s="246"/>
      <c r="AY590" s="246"/>
    </row>
    <row r="591" spans="2:51" s="214" customFormat="1" ht="11.25">
      <c r="C591" s="310" t="s">
        <v>1960</v>
      </c>
      <c r="D591" s="215"/>
      <c r="E591" s="248"/>
      <c r="F591" s="248"/>
      <c r="G591" s="248"/>
      <c r="H591" s="248"/>
      <c r="I591" s="246"/>
      <c r="J591" s="246"/>
      <c r="K591" s="246"/>
      <c r="L591" s="246"/>
      <c r="M591" s="246"/>
      <c r="N591" s="246"/>
      <c r="O591" s="246"/>
      <c r="P591" s="246">
        <v>0</v>
      </c>
      <c r="Q591" s="246">
        <v>13078533.551282052</v>
      </c>
      <c r="R591" s="269">
        <f>Q591-(R267-R268)</f>
        <v>14116306.728816262</v>
      </c>
      <c r="S591" s="269"/>
      <c r="T591" s="269">
        <f>S591-(T267-T268)</f>
        <v>1037773.1775342096</v>
      </c>
      <c r="U591" s="269">
        <f t="shared" si="319"/>
        <v>1037773.1775342096</v>
      </c>
      <c r="V591" s="269">
        <f>R591-(V267-V268)</f>
        <v>14116306.728816262</v>
      </c>
      <c r="W591" s="269">
        <f t="shared" ref="W591:AU591" si="322">V591-(W267-W268)</f>
        <v>14116306.728816262</v>
      </c>
      <c r="X591" s="269">
        <f t="shared" si="322"/>
        <v>14116306.728816262</v>
      </c>
      <c r="Y591" s="269">
        <f t="shared" si="322"/>
        <v>14116306.728816262</v>
      </c>
      <c r="Z591" s="269">
        <f t="shared" si="322"/>
        <v>14116306.728816262</v>
      </c>
      <c r="AA591" s="269">
        <f t="shared" si="322"/>
        <v>14116306.728816262</v>
      </c>
      <c r="AB591" s="269">
        <f t="shared" si="322"/>
        <v>17422259.849606656</v>
      </c>
      <c r="AC591" s="269">
        <f t="shared" si="322"/>
        <v>20728212.970397051</v>
      </c>
      <c r="AD591" s="269">
        <f t="shared" si="322"/>
        <v>24034166.091187447</v>
      </c>
      <c r="AE591" s="269">
        <f t="shared" si="322"/>
        <v>27340119.211977843</v>
      </c>
      <c r="AF591" s="269">
        <f t="shared" si="322"/>
        <v>30646072.332768239</v>
      </c>
      <c r="AG591" s="269">
        <f t="shared" si="322"/>
        <v>33952025.453558639</v>
      </c>
      <c r="AH591" s="269">
        <f t="shared" si="322"/>
        <v>37257978.574349031</v>
      </c>
      <c r="AI591" s="269">
        <f t="shared" si="322"/>
        <v>40563931.695139423</v>
      </c>
      <c r="AJ591" s="269">
        <f t="shared" si="322"/>
        <v>43869884.815929815</v>
      </c>
      <c r="AK591" s="269">
        <f t="shared" si="322"/>
        <v>47175837.936720207</v>
      </c>
      <c r="AL591" s="269">
        <f t="shared" si="322"/>
        <v>50481791.057510599</v>
      </c>
      <c r="AM591" s="269">
        <f t="shared" si="322"/>
        <v>53787744.178300992</v>
      </c>
      <c r="AN591" s="269">
        <f t="shared" si="322"/>
        <v>57093697.299091384</v>
      </c>
      <c r="AO591" s="269">
        <f t="shared" si="322"/>
        <v>60399650.419881776</v>
      </c>
      <c r="AP591" s="269">
        <f t="shared" si="322"/>
        <v>63705603.540672168</v>
      </c>
      <c r="AQ591" s="269">
        <f t="shared" si="322"/>
        <v>67011556.66146256</v>
      </c>
      <c r="AR591" s="269">
        <f t="shared" si="322"/>
        <v>70317509.782252952</v>
      </c>
      <c r="AS591" s="269">
        <f t="shared" si="322"/>
        <v>73623462.903043345</v>
      </c>
      <c r="AT591" s="269">
        <f t="shared" si="322"/>
        <v>76929416.023833737</v>
      </c>
      <c r="AU591" s="269">
        <f t="shared" si="322"/>
        <v>76929416.023833737</v>
      </c>
      <c r="AV591" s="269">
        <f>AU591-(AV267-AV268)</f>
        <v>76929416.023833737</v>
      </c>
      <c r="AW591" s="246"/>
      <c r="AX591" s="246"/>
      <c r="AY591" s="246"/>
    </row>
    <row r="592" spans="2:51" s="214" customFormat="1" ht="11.25">
      <c r="C592" s="310" t="s">
        <v>1966</v>
      </c>
      <c r="D592" s="215"/>
      <c r="E592" s="248"/>
      <c r="F592" s="248"/>
      <c r="G592" s="248"/>
      <c r="H592" s="248"/>
      <c r="I592" s="246"/>
      <c r="J592" s="246"/>
      <c r="K592" s="246"/>
      <c r="L592" s="246"/>
      <c r="M592" s="246"/>
      <c r="N592" s="246"/>
      <c r="O592" s="246">
        <v>209282.11999999918</v>
      </c>
      <c r="P592" s="246">
        <f>P461</f>
        <v>209282.11999999918</v>
      </c>
      <c r="Q592" s="239">
        <v>7699357.7641025642</v>
      </c>
      <c r="R592" s="269">
        <f>-R569*R561</f>
        <v>7699000</v>
      </c>
      <c r="S592" s="269"/>
      <c r="T592" s="269">
        <f>-T569*T561</f>
        <v>7699000</v>
      </c>
      <c r="U592" s="269">
        <f t="shared" si="319"/>
        <v>7699000</v>
      </c>
      <c r="V592" s="269">
        <f t="shared" ref="V592:AU592" si="323">-V569*V561</f>
        <v>7699000</v>
      </c>
      <c r="W592" s="269">
        <f t="shared" si="323"/>
        <v>7699000</v>
      </c>
      <c r="X592" s="269">
        <f t="shared" si="323"/>
        <v>7699000</v>
      </c>
      <c r="Y592" s="269">
        <f t="shared" si="323"/>
        <v>7699000</v>
      </c>
      <c r="Z592" s="269">
        <f t="shared" si="323"/>
        <v>7699000</v>
      </c>
      <c r="AA592" s="269">
        <f t="shared" si="323"/>
        <v>7699000</v>
      </c>
      <c r="AB592" s="269">
        <f t="shared" si="323"/>
        <v>7699000</v>
      </c>
      <c r="AC592" s="269">
        <f t="shared" si="323"/>
        <v>7699000</v>
      </c>
      <c r="AD592" s="269">
        <f t="shared" si="323"/>
        <v>7699000</v>
      </c>
      <c r="AE592" s="269">
        <f t="shared" si="323"/>
        <v>7699000</v>
      </c>
      <c r="AF592" s="269">
        <f t="shared" si="323"/>
        <v>7699000</v>
      </c>
      <c r="AG592" s="269">
        <f t="shared" si="323"/>
        <v>7699000</v>
      </c>
      <c r="AH592" s="269">
        <f t="shared" si="323"/>
        <v>7699000</v>
      </c>
      <c r="AI592" s="269">
        <f t="shared" si="323"/>
        <v>7699000</v>
      </c>
      <c r="AJ592" s="269">
        <f t="shared" si="323"/>
        <v>7699000</v>
      </c>
      <c r="AK592" s="269">
        <f t="shared" si="323"/>
        <v>7699000</v>
      </c>
      <c r="AL592" s="269">
        <f t="shared" si="323"/>
        <v>7699000</v>
      </c>
      <c r="AM592" s="269">
        <f t="shared" si="323"/>
        <v>7699000</v>
      </c>
      <c r="AN592" s="269">
        <f t="shared" si="323"/>
        <v>7699000</v>
      </c>
      <c r="AO592" s="269">
        <f t="shared" si="323"/>
        <v>7699000</v>
      </c>
      <c r="AP592" s="269">
        <f t="shared" si="323"/>
        <v>7699000</v>
      </c>
      <c r="AQ592" s="269">
        <f t="shared" si="323"/>
        <v>7699000</v>
      </c>
      <c r="AR592" s="269">
        <f t="shared" si="323"/>
        <v>7699000</v>
      </c>
      <c r="AS592" s="269">
        <f t="shared" si="323"/>
        <v>7699000</v>
      </c>
      <c r="AT592" s="269">
        <f t="shared" si="323"/>
        <v>7699000</v>
      </c>
      <c r="AU592" s="269">
        <f t="shared" si="323"/>
        <v>7699000</v>
      </c>
      <c r="AV592" s="269"/>
      <c r="AW592" s="246"/>
      <c r="AX592" s="246"/>
      <c r="AY592" s="246"/>
    </row>
    <row r="593" spans="2:51" s="214" customFormat="1" ht="11.25">
      <c r="B593" s="242"/>
      <c r="C593" s="353" t="s">
        <v>1060</v>
      </c>
      <c r="D593" s="215"/>
      <c r="E593" s="215"/>
      <c r="F593" s="215"/>
      <c r="G593" s="215"/>
      <c r="H593" s="215"/>
      <c r="I593" s="269"/>
      <c r="J593" s="269"/>
      <c r="K593" s="269"/>
      <c r="L593" s="269"/>
      <c r="M593" s="269"/>
      <c r="N593" s="269"/>
      <c r="O593" s="269">
        <f>SUM(O589:O592)</f>
        <v>209282.11999999918</v>
      </c>
      <c r="P593" s="269">
        <f>SUM(P589:P592)</f>
        <v>209282.11999999918</v>
      </c>
      <c r="Q593" s="269">
        <f>SUM(Q589:Q592)</f>
        <v>21869865.784615386</v>
      </c>
      <c r="R593" s="269">
        <f>SUM(R589:R592)</f>
        <v>74990236.495315984</v>
      </c>
      <c r="S593" s="269"/>
      <c r="T593" s="269">
        <f>SUM(T589:T592)</f>
        <v>64340280.524467155</v>
      </c>
      <c r="U593" s="269">
        <f t="shared" si="319"/>
        <v>64340280.524467155</v>
      </c>
      <c r="V593" s="269">
        <f t="shared" ref="V593:AU593" si="324">SUM(V589:V592)</f>
        <v>167511662.97235084</v>
      </c>
      <c r="W593" s="269">
        <f t="shared" si="324"/>
        <v>184692040.22003341</v>
      </c>
      <c r="X593" s="269">
        <f t="shared" si="324"/>
        <v>184692040.22003341</v>
      </c>
      <c r="Y593" s="269">
        <f t="shared" si="324"/>
        <v>184692040.22003341</v>
      </c>
      <c r="Z593" s="269">
        <f t="shared" si="324"/>
        <v>184692040.22003341</v>
      </c>
      <c r="AA593" s="269">
        <f t="shared" si="324"/>
        <v>184692040.22003341</v>
      </c>
      <c r="AB593" s="269">
        <f t="shared" si="324"/>
        <v>189251138.30292135</v>
      </c>
      <c r="AC593" s="269">
        <f t="shared" si="324"/>
        <v>192557091.42371175</v>
      </c>
      <c r="AD593" s="269">
        <f t="shared" si="324"/>
        <v>195863044.54450214</v>
      </c>
      <c r="AE593" s="269">
        <f t="shared" si="324"/>
        <v>199168997.66529253</v>
      </c>
      <c r="AF593" s="269">
        <f t="shared" si="324"/>
        <v>202474950.78608292</v>
      </c>
      <c r="AG593" s="269">
        <f t="shared" si="324"/>
        <v>205780903.90687335</v>
      </c>
      <c r="AH593" s="269">
        <f t="shared" si="324"/>
        <v>209086857.02766371</v>
      </c>
      <c r="AI593" s="269">
        <f t="shared" si="324"/>
        <v>212392810.14845413</v>
      </c>
      <c r="AJ593" s="269">
        <f t="shared" si="324"/>
        <v>215698763.26924449</v>
      </c>
      <c r="AK593" s="269">
        <f t="shared" si="324"/>
        <v>219004716.39003491</v>
      </c>
      <c r="AL593" s="269">
        <f t="shared" si="324"/>
        <v>222310669.51082528</v>
      </c>
      <c r="AM593" s="269">
        <f t="shared" si="324"/>
        <v>225616622.6316157</v>
      </c>
      <c r="AN593" s="269">
        <f t="shared" si="324"/>
        <v>228922575.75240606</v>
      </c>
      <c r="AO593" s="269">
        <f t="shared" si="324"/>
        <v>232228528.87319648</v>
      </c>
      <c r="AP593" s="269">
        <f t="shared" si="324"/>
        <v>235534481.99398685</v>
      </c>
      <c r="AQ593" s="269">
        <f t="shared" si="324"/>
        <v>238840435.11477727</v>
      </c>
      <c r="AR593" s="269">
        <f t="shared" si="324"/>
        <v>242146388.23556763</v>
      </c>
      <c r="AS593" s="269">
        <f t="shared" si="324"/>
        <v>245452341.35635805</v>
      </c>
      <c r="AT593" s="269">
        <f t="shared" si="324"/>
        <v>248758294.47714841</v>
      </c>
      <c r="AU593" s="269">
        <f t="shared" si="324"/>
        <v>248758294.47714841</v>
      </c>
      <c r="AV593" s="269"/>
      <c r="AW593" s="269"/>
      <c r="AX593" s="269"/>
      <c r="AY593" s="269"/>
    </row>
    <row r="594" spans="2:51" s="214" customFormat="1" ht="11.25">
      <c r="B594" s="242"/>
      <c r="C594" s="310" t="s">
        <v>1061</v>
      </c>
      <c r="D594" s="242"/>
      <c r="E594" s="242"/>
      <c r="F594" s="242"/>
      <c r="G594" s="242"/>
      <c r="H594" s="242"/>
      <c r="I594" s="269"/>
      <c r="J594" s="269"/>
      <c r="K594" s="269"/>
      <c r="L594" s="269"/>
      <c r="M594" s="269"/>
      <c r="N594" s="269">
        <f>M594</f>
        <v>0</v>
      </c>
      <c r="O594" s="269">
        <v>2137613.96</v>
      </c>
      <c r="P594" s="269">
        <f>P482</f>
        <v>2137613.96</v>
      </c>
      <c r="Q594" s="269">
        <v>992598.01794871315</v>
      </c>
      <c r="R594" s="246">
        <f>-R561*R571</f>
        <v>992599.99999999988</v>
      </c>
      <c r="S594" s="246"/>
      <c r="T594" s="246">
        <f>-T561*T571</f>
        <v>992599.99999999988</v>
      </c>
      <c r="U594" s="246">
        <f t="shared" si="319"/>
        <v>992599.99999999988</v>
      </c>
      <c r="V594" s="246">
        <f t="shared" ref="V594:AU594" si="325">-V561*V571</f>
        <v>992600</v>
      </c>
      <c r="W594" s="246">
        <f t="shared" si="325"/>
        <v>992600</v>
      </c>
      <c r="X594" s="246">
        <f t="shared" si="325"/>
        <v>992600</v>
      </c>
      <c r="Y594" s="246">
        <f t="shared" si="325"/>
        <v>992600</v>
      </c>
      <c r="Z594" s="246">
        <f t="shared" si="325"/>
        <v>992600</v>
      </c>
      <c r="AA594" s="246">
        <f t="shared" si="325"/>
        <v>992600</v>
      </c>
      <c r="AB594" s="246">
        <f t="shared" si="325"/>
        <v>992600</v>
      </c>
      <c r="AC594" s="246">
        <f t="shared" si="325"/>
        <v>992600</v>
      </c>
      <c r="AD594" s="246">
        <f t="shared" si="325"/>
        <v>992600</v>
      </c>
      <c r="AE594" s="246">
        <f t="shared" si="325"/>
        <v>992600</v>
      </c>
      <c r="AF594" s="246">
        <f t="shared" si="325"/>
        <v>992600</v>
      </c>
      <c r="AG594" s="246">
        <f t="shared" si="325"/>
        <v>992600</v>
      </c>
      <c r="AH594" s="246">
        <f t="shared" si="325"/>
        <v>992600</v>
      </c>
      <c r="AI594" s="246">
        <f t="shared" si="325"/>
        <v>992600</v>
      </c>
      <c r="AJ594" s="246">
        <f t="shared" si="325"/>
        <v>992600</v>
      </c>
      <c r="AK594" s="246">
        <f t="shared" si="325"/>
        <v>992600</v>
      </c>
      <c r="AL594" s="246">
        <f t="shared" si="325"/>
        <v>992600</v>
      </c>
      <c r="AM594" s="246">
        <f t="shared" si="325"/>
        <v>992600</v>
      </c>
      <c r="AN594" s="246">
        <f t="shared" si="325"/>
        <v>992600</v>
      </c>
      <c r="AO594" s="246">
        <f t="shared" si="325"/>
        <v>992600</v>
      </c>
      <c r="AP594" s="246">
        <f t="shared" si="325"/>
        <v>992600</v>
      </c>
      <c r="AQ594" s="246">
        <f t="shared" si="325"/>
        <v>992600</v>
      </c>
      <c r="AR594" s="246">
        <f t="shared" si="325"/>
        <v>992600</v>
      </c>
      <c r="AS594" s="246">
        <f t="shared" si="325"/>
        <v>992600</v>
      </c>
      <c r="AT594" s="246">
        <f t="shared" si="325"/>
        <v>992600</v>
      </c>
      <c r="AU594" s="246">
        <f t="shared" si="325"/>
        <v>992600</v>
      </c>
      <c r="AV594" s="269"/>
      <c r="AW594" s="269"/>
      <c r="AX594" s="269"/>
      <c r="AY594" s="269"/>
    </row>
    <row r="595" spans="2:51" s="214" customFormat="1" ht="11.25">
      <c r="B595" s="242"/>
      <c r="C595" s="353" t="s">
        <v>1062</v>
      </c>
      <c r="D595" s="242"/>
      <c r="E595" s="242"/>
      <c r="F595" s="242"/>
      <c r="G595" s="242"/>
      <c r="H595" s="242"/>
      <c r="I595" s="246"/>
      <c r="J595" s="246"/>
      <c r="K595" s="246"/>
      <c r="L595" s="246"/>
      <c r="M595" s="246">
        <f t="shared" ref="M595:R595" si="326">SUM(M594)</f>
        <v>0</v>
      </c>
      <c r="N595" s="246">
        <f t="shared" si="326"/>
        <v>0</v>
      </c>
      <c r="O595" s="246">
        <f t="shared" si="326"/>
        <v>2137613.96</v>
      </c>
      <c r="P595" s="246">
        <f t="shared" si="326"/>
        <v>2137613.96</v>
      </c>
      <c r="Q595" s="246">
        <f t="shared" si="326"/>
        <v>992598.01794871315</v>
      </c>
      <c r="R595" s="246">
        <f t="shared" si="326"/>
        <v>992599.99999999988</v>
      </c>
      <c r="S595" s="246"/>
      <c r="T595" s="246">
        <f>SUM(T594)</f>
        <v>992599.99999999988</v>
      </c>
      <c r="U595" s="246">
        <f t="shared" si="319"/>
        <v>992599.99999999988</v>
      </c>
      <c r="V595" s="246">
        <f t="shared" ref="V595:AU595" si="327">SUM(V594)</f>
        <v>992600</v>
      </c>
      <c r="W595" s="246">
        <f t="shared" si="327"/>
        <v>992600</v>
      </c>
      <c r="X595" s="246">
        <f t="shared" si="327"/>
        <v>992600</v>
      </c>
      <c r="Y595" s="246">
        <f t="shared" si="327"/>
        <v>992600</v>
      </c>
      <c r="Z595" s="246">
        <f t="shared" si="327"/>
        <v>992600</v>
      </c>
      <c r="AA595" s="246">
        <f t="shared" si="327"/>
        <v>992600</v>
      </c>
      <c r="AB595" s="246">
        <f t="shared" si="327"/>
        <v>992600</v>
      </c>
      <c r="AC595" s="246">
        <f t="shared" si="327"/>
        <v>992600</v>
      </c>
      <c r="AD595" s="246">
        <f t="shared" si="327"/>
        <v>992600</v>
      </c>
      <c r="AE595" s="246">
        <f t="shared" si="327"/>
        <v>992600</v>
      </c>
      <c r="AF595" s="246">
        <f t="shared" si="327"/>
        <v>992600</v>
      </c>
      <c r="AG595" s="246">
        <f t="shared" si="327"/>
        <v>992600</v>
      </c>
      <c r="AH595" s="246">
        <f t="shared" si="327"/>
        <v>992600</v>
      </c>
      <c r="AI595" s="246">
        <f t="shared" si="327"/>
        <v>992600</v>
      </c>
      <c r="AJ595" s="246">
        <f t="shared" si="327"/>
        <v>992600</v>
      </c>
      <c r="AK595" s="246">
        <f t="shared" si="327"/>
        <v>992600</v>
      </c>
      <c r="AL595" s="246">
        <f t="shared" si="327"/>
        <v>992600</v>
      </c>
      <c r="AM595" s="246">
        <f t="shared" si="327"/>
        <v>992600</v>
      </c>
      <c r="AN595" s="246">
        <f t="shared" si="327"/>
        <v>992600</v>
      </c>
      <c r="AO595" s="246">
        <f t="shared" si="327"/>
        <v>992600</v>
      </c>
      <c r="AP595" s="246">
        <f t="shared" si="327"/>
        <v>992600</v>
      </c>
      <c r="AQ595" s="246">
        <f t="shared" si="327"/>
        <v>992600</v>
      </c>
      <c r="AR595" s="246">
        <f t="shared" si="327"/>
        <v>992600</v>
      </c>
      <c r="AS595" s="246">
        <f t="shared" si="327"/>
        <v>992600</v>
      </c>
      <c r="AT595" s="246">
        <f t="shared" si="327"/>
        <v>992600</v>
      </c>
      <c r="AU595" s="246">
        <f t="shared" si="327"/>
        <v>992600</v>
      </c>
      <c r="AV595" s="246"/>
      <c r="AW595" s="246"/>
      <c r="AX595" s="246"/>
      <c r="AY595" s="246"/>
    </row>
    <row r="596" spans="2:51" s="214" customFormat="1" ht="11.25">
      <c r="C596" s="331"/>
      <c r="D596" s="244"/>
      <c r="E596" s="244"/>
      <c r="F596" s="244"/>
      <c r="G596" s="244"/>
      <c r="H596" s="244"/>
      <c r="I596" s="242"/>
      <c r="J596" s="268"/>
      <c r="K596" s="268"/>
      <c r="L596" s="268"/>
      <c r="M596" s="215"/>
      <c r="U596" s="214">
        <f t="shared" si="319"/>
        <v>0</v>
      </c>
    </row>
    <row r="597" spans="2:51" s="214" customFormat="1" ht="11.25">
      <c r="B597" s="242"/>
      <c r="C597" s="380" t="s">
        <v>1063</v>
      </c>
      <c r="D597" s="242"/>
      <c r="E597" s="242"/>
      <c r="F597" s="242"/>
      <c r="G597" s="242"/>
      <c r="H597" s="242"/>
      <c r="I597" s="269"/>
      <c r="J597" s="269"/>
      <c r="K597" s="269"/>
      <c r="L597" s="269"/>
      <c r="M597" s="269">
        <f t="shared" ref="M597:R597" si="328">M593-M595</f>
        <v>0</v>
      </c>
      <c r="N597" s="269">
        <f t="shared" si="328"/>
        <v>0</v>
      </c>
      <c r="O597" s="269">
        <f t="shared" si="328"/>
        <v>-1928331.8400000008</v>
      </c>
      <c r="P597" s="269">
        <f t="shared" si="328"/>
        <v>-1928331.8400000008</v>
      </c>
      <c r="Q597" s="269">
        <f t="shared" si="328"/>
        <v>20877267.766666673</v>
      </c>
      <c r="R597" s="269">
        <f t="shared" si="328"/>
        <v>73997636.495315984</v>
      </c>
      <c r="S597" s="269"/>
      <c r="T597" s="269">
        <f>T593-T595</f>
        <v>63347680.524467155</v>
      </c>
      <c r="U597" s="269">
        <f t="shared" si="319"/>
        <v>63347680.524467155</v>
      </c>
      <c r="V597" s="269">
        <f t="shared" ref="V597:AU597" si="329">V593-V595</f>
        <v>166519062.97235084</v>
      </c>
      <c r="W597" s="269">
        <f t="shared" si="329"/>
        <v>183699440.22003341</v>
      </c>
      <c r="X597" s="269">
        <f t="shared" si="329"/>
        <v>183699440.22003341</v>
      </c>
      <c r="Y597" s="269">
        <f t="shared" si="329"/>
        <v>183699440.22003341</v>
      </c>
      <c r="Z597" s="269">
        <f t="shared" si="329"/>
        <v>183699440.22003341</v>
      </c>
      <c r="AA597" s="269">
        <f t="shared" si="329"/>
        <v>183699440.22003341</v>
      </c>
      <c r="AB597" s="269">
        <f t="shared" si="329"/>
        <v>188258538.30292135</v>
      </c>
      <c r="AC597" s="269">
        <f t="shared" si="329"/>
        <v>191564491.42371175</v>
      </c>
      <c r="AD597" s="269">
        <f t="shared" si="329"/>
        <v>194870444.54450214</v>
      </c>
      <c r="AE597" s="269">
        <f t="shared" si="329"/>
        <v>198176397.66529253</v>
      </c>
      <c r="AF597" s="269">
        <f t="shared" si="329"/>
        <v>201482350.78608292</v>
      </c>
      <c r="AG597" s="269">
        <f t="shared" si="329"/>
        <v>204788303.90687335</v>
      </c>
      <c r="AH597" s="269">
        <f t="shared" si="329"/>
        <v>208094257.02766371</v>
      </c>
      <c r="AI597" s="269">
        <f t="shared" si="329"/>
        <v>211400210.14845413</v>
      </c>
      <c r="AJ597" s="269">
        <f t="shared" si="329"/>
        <v>214706163.26924449</v>
      </c>
      <c r="AK597" s="269">
        <f t="shared" si="329"/>
        <v>218012116.39003491</v>
      </c>
      <c r="AL597" s="269">
        <f t="shared" si="329"/>
        <v>221318069.51082528</v>
      </c>
      <c r="AM597" s="269">
        <f t="shared" si="329"/>
        <v>224624022.6316157</v>
      </c>
      <c r="AN597" s="269">
        <f t="shared" si="329"/>
        <v>227929975.75240606</v>
      </c>
      <c r="AO597" s="269">
        <f t="shared" si="329"/>
        <v>231235928.87319648</v>
      </c>
      <c r="AP597" s="269">
        <f t="shared" si="329"/>
        <v>234541881.99398685</v>
      </c>
      <c r="AQ597" s="269">
        <f t="shared" si="329"/>
        <v>237847835.11477727</v>
      </c>
      <c r="AR597" s="269">
        <f t="shared" si="329"/>
        <v>241153788.23556763</v>
      </c>
      <c r="AS597" s="269">
        <f t="shared" si="329"/>
        <v>244459741.35635805</v>
      </c>
      <c r="AT597" s="269">
        <f t="shared" si="329"/>
        <v>247765694.47714841</v>
      </c>
      <c r="AU597" s="269">
        <f t="shared" si="329"/>
        <v>247765694.47714841</v>
      </c>
      <c r="AV597" s="269"/>
      <c r="AW597" s="269"/>
      <c r="AX597" s="269"/>
      <c r="AY597" s="269"/>
    </row>
    <row r="598" spans="2:51" s="1208" customFormat="1" ht="11.25">
      <c r="B598" s="380"/>
      <c r="C598" s="380" t="s">
        <v>1064</v>
      </c>
      <c r="D598" s="380"/>
      <c r="E598" s="380"/>
      <c r="F598" s="380"/>
      <c r="G598" s="380"/>
      <c r="H598" s="380"/>
      <c r="I598" s="1244"/>
      <c r="J598" s="1244"/>
      <c r="K598" s="1244"/>
      <c r="L598" s="1244"/>
      <c r="M598" s="1244"/>
      <c r="N598" s="1244">
        <f t="shared" ref="N598:AU598" si="330">N597-M597</f>
        <v>0</v>
      </c>
      <c r="O598" s="1244">
        <f t="shared" si="330"/>
        <v>-1928331.8400000008</v>
      </c>
      <c r="P598" s="1244">
        <f t="shared" si="330"/>
        <v>0</v>
      </c>
      <c r="Q598" s="1244">
        <f t="shared" si="330"/>
        <v>22805599.606666673</v>
      </c>
      <c r="R598" s="1244">
        <f t="shared" si="330"/>
        <v>53120368.728649311</v>
      </c>
      <c r="S598" s="1244"/>
      <c r="T598" s="1244">
        <f>T597-Q597</f>
        <v>42470412.757800482</v>
      </c>
      <c r="U598" s="1244">
        <f t="shared" si="319"/>
        <v>42470412.757800482</v>
      </c>
      <c r="V598" s="1244">
        <f>V597-R597</f>
        <v>92521426.477034852</v>
      </c>
      <c r="W598" s="1244">
        <f t="shared" si="330"/>
        <v>17180377.247682571</v>
      </c>
      <c r="X598" s="1244">
        <f t="shared" si="330"/>
        <v>0</v>
      </c>
      <c r="Y598" s="1244">
        <f t="shared" si="330"/>
        <v>0</v>
      </c>
      <c r="Z598" s="1244">
        <f t="shared" si="330"/>
        <v>0</v>
      </c>
      <c r="AA598" s="1244">
        <f t="shared" si="330"/>
        <v>0</v>
      </c>
      <c r="AB598" s="1244">
        <f t="shared" si="330"/>
        <v>4559098.0828879476</v>
      </c>
      <c r="AC598" s="1244">
        <f t="shared" si="330"/>
        <v>3305953.1207903922</v>
      </c>
      <c r="AD598" s="1244">
        <f t="shared" si="330"/>
        <v>3305953.1207903922</v>
      </c>
      <c r="AE598" s="1244">
        <f t="shared" si="330"/>
        <v>3305953.1207903922</v>
      </c>
      <c r="AF598" s="1244">
        <f t="shared" si="330"/>
        <v>3305953.1207903922</v>
      </c>
      <c r="AG598" s="1244">
        <f t="shared" si="330"/>
        <v>3305953.120790422</v>
      </c>
      <c r="AH598" s="1244">
        <f t="shared" si="330"/>
        <v>3305953.1207903624</v>
      </c>
      <c r="AI598" s="1244">
        <f t="shared" si="330"/>
        <v>3305953.120790422</v>
      </c>
      <c r="AJ598" s="1244">
        <f t="shared" si="330"/>
        <v>3305953.1207903624</v>
      </c>
      <c r="AK598" s="1244">
        <f t="shared" si="330"/>
        <v>3305953.120790422</v>
      </c>
      <c r="AL598" s="1244">
        <f t="shared" si="330"/>
        <v>3305953.1207903624</v>
      </c>
      <c r="AM598" s="1244">
        <f t="shared" si="330"/>
        <v>3305953.120790422</v>
      </c>
      <c r="AN598" s="1244">
        <f t="shared" si="330"/>
        <v>3305953.1207903624</v>
      </c>
      <c r="AO598" s="1244">
        <f t="shared" si="330"/>
        <v>3305953.120790422</v>
      </c>
      <c r="AP598" s="1244">
        <f t="shared" si="330"/>
        <v>3305953.1207903624</v>
      </c>
      <c r="AQ598" s="1244">
        <f t="shared" si="330"/>
        <v>3305953.120790422</v>
      </c>
      <c r="AR598" s="1244">
        <f t="shared" si="330"/>
        <v>3305953.1207903624</v>
      </c>
      <c r="AS598" s="1244">
        <f t="shared" si="330"/>
        <v>3305953.120790422</v>
      </c>
      <c r="AT598" s="1244">
        <f t="shared" si="330"/>
        <v>3305953.1207903624</v>
      </c>
      <c r="AU598" s="1244">
        <f t="shared" si="330"/>
        <v>0</v>
      </c>
      <c r="AV598" s="1244"/>
      <c r="AW598" s="1244"/>
      <c r="AX598" s="1244"/>
      <c r="AY598" s="1244"/>
    </row>
    <row r="599" spans="2:51" s="214" customFormat="1" ht="11.25">
      <c r="B599" s="242"/>
      <c r="C599" s="353" t="s">
        <v>1065</v>
      </c>
      <c r="D599" s="215"/>
      <c r="E599" s="293"/>
      <c r="F599" s="243"/>
      <c r="G599" s="243"/>
      <c r="H599" s="243"/>
      <c r="I599" s="243"/>
      <c r="J599" s="243"/>
      <c r="K599" s="243"/>
      <c r="L599" s="243"/>
      <c r="M599" s="243">
        <v>0</v>
      </c>
      <c r="N599" s="243">
        <f t="shared" ref="N599:AU599" si="331">M599</f>
        <v>0</v>
      </c>
      <c r="O599" s="243">
        <f t="shared" si="331"/>
        <v>0</v>
      </c>
      <c r="P599" s="243">
        <f t="shared" si="331"/>
        <v>0</v>
      </c>
      <c r="Q599" s="243">
        <f t="shared" si="331"/>
        <v>0</v>
      </c>
      <c r="R599" s="243">
        <f t="shared" si="331"/>
        <v>0</v>
      </c>
      <c r="S599" s="243"/>
      <c r="T599" s="243">
        <f t="shared" si="331"/>
        <v>0</v>
      </c>
      <c r="U599" s="243">
        <f t="shared" si="319"/>
        <v>0</v>
      </c>
      <c r="V599" s="243">
        <f>R599</f>
        <v>0</v>
      </c>
      <c r="W599" s="243">
        <f t="shared" si="331"/>
        <v>0</v>
      </c>
      <c r="X599" s="243">
        <f t="shared" si="331"/>
        <v>0</v>
      </c>
      <c r="Y599" s="243">
        <f t="shared" si="331"/>
        <v>0</v>
      </c>
      <c r="Z599" s="243">
        <f t="shared" si="331"/>
        <v>0</v>
      </c>
      <c r="AA599" s="243">
        <f t="shared" si="331"/>
        <v>0</v>
      </c>
      <c r="AB599" s="243">
        <f t="shared" si="331"/>
        <v>0</v>
      </c>
      <c r="AC599" s="243">
        <f t="shared" si="331"/>
        <v>0</v>
      </c>
      <c r="AD599" s="243">
        <f t="shared" si="331"/>
        <v>0</v>
      </c>
      <c r="AE599" s="243">
        <f t="shared" si="331"/>
        <v>0</v>
      </c>
      <c r="AF599" s="243">
        <f t="shared" si="331"/>
        <v>0</v>
      </c>
      <c r="AG599" s="243">
        <f t="shared" si="331"/>
        <v>0</v>
      </c>
      <c r="AH599" s="243">
        <f t="shared" si="331"/>
        <v>0</v>
      </c>
      <c r="AI599" s="243">
        <f t="shared" si="331"/>
        <v>0</v>
      </c>
      <c r="AJ599" s="243">
        <f t="shared" si="331"/>
        <v>0</v>
      </c>
      <c r="AK599" s="243">
        <f t="shared" si="331"/>
        <v>0</v>
      </c>
      <c r="AL599" s="243">
        <f t="shared" si="331"/>
        <v>0</v>
      </c>
      <c r="AM599" s="243">
        <f t="shared" si="331"/>
        <v>0</v>
      </c>
      <c r="AN599" s="243">
        <f t="shared" si="331"/>
        <v>0</v>
      </c>
      <c r="AO599" s="243">
        <f t="shared" si="331"/>
        <v>0</v>
      </c>
      <c r="AP599" s="243">
        <f t="shared" si="331"/>
        <v>0</v>
      </c>
      <c r="AQ599" s="243">
        <f t="shared" si="331"/>
        <v>0</v>
      </c>
      <c r="AR599" s="243">
        <f t="shared" si="331"/>
        <v>0</v>
      </c>
      <c r="AS599" s="243">
        <f t="shared" si="331"/>
        <v>0</v>
      </c>
      <c r="AT599" s="243">
        <f t="shared" si="331"/>
        <v>0</v>
      </c>
      <c r="AU599" s="243">
        <f t="shared" si="331"/>
        <v>0</v>
      </c>
      <c r="AV599" s="243"/>
      <c r="AW599" s="243"/>
      <c r="AX599" s="243"/>
      <c r="AY599" s="243"/>
    </row>
    <row r="600" spans="2:51" s="214" customFormat="1" ht="11.25">
      <c r="B600" s="242"/>
      <c r="C600" s="353"/>
      <c r="D600" s="215"/>
      <c r="E600" s="215"/>
      <c r="F600" s="243"/>
      <c r="G600" s="243"/>
      <c r="H600" s="243"/>
      <c r="I600" s="243"/>
      <c r="J600" s="243"/>
      <c r="K600" s="243"/>
      <c r="L600" s="243"/>
      <c r="M600" s="243"/>
      <c r="N600" s="243"/>
      <c r="O600" s="243"/>
      <c r="P600" s="243"/>
      <c r="Q600" s="243"/>
      <c r="R600" s="243"/>
      <c r="S600" s="243"/>
      <c r="T600" s="243"/>
      <c r="U600" s="243">
        <f t="shared" si="319"/>
        <v>0</v>
      </c>
      <c r="V600" s="243"/>
      <c r="W600" s="243"/>
      <c r="X600" s="243"/>
      <c r="Y600" s="243"/>
      <c r="Z600" s="243"/>
      <c r="AA600" s="243"/>
      <c r="AB600" s="243"/>
      <c r="AC600" s="243"/>
      <c r="AD600" s="243"/>
      <c r="AE600" s="243"/>
      <c r="AF600" s="243"/>
      <c r="AG600" s="243"/>
      <c r="AH600" s="243"/>
      <c r="AI600" s="243"/>
      <c r="AJ600" s="243"/>
      <c r="AK600" s="243"/>
      <c r="AL600" s="243"/>
      <c r="AM600" s="243"/>
      <c r="AN600" s="243"/>
      <c r="AO600" s="243"/>
      <c r="AP600" s="243"/>
      <c r="AQ600" s="243"/>
      <c r="AR600" s="243"/>
      <c r="AS600" s="243"/>
      <c r="AT600" s="243"/>
      <c r="AU600" s="243"/>
      <c r="AV600" s="243"/>
      <c r="AW600" s="243"/>
      <c r="AX600" s="243"/>
      <c r="AY600" s="243"/>
    </row>
    <row r="601" spans="2:51" s="214" customFormat="1" ht="11.25">
      <c r="B601" s="242"/>
      <c r="C601" s="353" t="s">
        <v>1066</v>
      </c>
      <c r="D601" s="242"/>
      <c r="E601" s="242"/>
      <c r="F601" s="242"/>
      <c r="G601" s="242"/>
      <c r="H601" s="242"/>
      <c r="I601" s="243"/>
      <c r="J601" s="243"/>
      <c r="K601" s="243"/>
      <c r="L601" s="243"/>
      <c r="M601" s="243">
        <v>0</v>
      </c>
      <c r="N601" s="243">
        <f t="shared" ref="N601:AU601" si="332">M601</f>
        <v>0</v>
      </c>
      <c r="O601" s="243">
        <f t="shared" si="332"/>
        <v>0</v>
      </c>
      <c r="P601" s="243">
        <f t="shared" si="332"/>
        <v>0</v>
      </c>
      <c r="Q601" s="243">
        <f t="shared" si="332"/>
        <v>0</v>
      </c>
      <c r="R601" s="243">
        <f t="shared" si="332"/>
        <v>0</v>
      </c>
      <c r="S601" s="243"/>
      <c r="T601" s="243">
        <f t="shared" si="332"/>
        <v>0</v>
      </c>
      <c r="U601" s="243">
        <f t="shared" si="319"/>
        <v>0</v>
      </c>
      <c r="V601" s="243">
        <f>R601</f>
        <v>0</v>
      </c>
      <c r="W601" s="243">
        <f t="shared" si="332"/>
        <v>0</v>
      </c>
      <c r="X601" s="243">
        <f t="shared" si="332"/>
        <v>0</v>
      </c>
      <c r="Y601" s="243">
        <f t="shared" si="332"/>
        <v>0</v>
      </c>
      <c r="Z601" s="243">
        <f t="shared" si="332"/>
        <v>0</v>
      </c>
      <c r="AA601" s="243">
        <f t="shared" si="332"/>
        <v>0</v>
      </c>
      <c r="AB601" s="243">
        <f t="shared" si="332"/>
        <v>0</v>
      </c>
      <c r="AC601" s="243">
        <f t="shared" si="332"/>
        <v>0</v>
      </c>
      <c r="AD601" s="243">
        <f t="shared" si="332"/>
        <v>0</v>
      </c>
      <c r="AE601" s="243">
        <f t="shared" si="332"/>
        <v>0</v>
      </c>
      <c r="AF601" s="243">
        <f t="shared" si="332"/>
        <v>0</v>
      </c>
      <c r="AG601" s="243">
        <f t="shared" si="332"/>
        <v>0</v>
      </c>
      <c r="AH601" s="243">
        <f t="shared" si="332"/>
        <v>0</v>
      </c>
      <c r="AI601" s="243">
        <f t="shared" si="332"/>
        <v>0</v>
      </c>
      <c r="AJ601" s="243">
        <f t="shared" si="332"/>
        <v>0</v>
      </c>
      <c r="AK601" s="243">
        <f t="shared" si="332"/>
        <v>0</v>
      </c>
      <c r="AL601" s="243">
        <f t="shared" si="332"/>
        <v>0</v>
      </c>
      <c r="AM601" s="243">
        <f t="shared" si="332"/>
        <v>0</v>
      </c>
      <c r="AN601" s="243">
        <f t="shared" si="332"/>
        <v>0</v>
      </c>
      <c r="AO601" s="243">
        <f t="shared" si="332"/>
        <v>0</v>
      </c>
      <c r="AP601" s="243">
        <f t="shared" si="332"/>
        <v>0</v>
      </c>
      <c r="AQ601" s="243">
        <f t="shared" si="332"/>
        <v>0</v>
      </c>
      <c r="AR601" s="243">
        <f t="shared" si="332"/>
        <v>0</v>
      </c>
      <c r="AS601" s="243">
        <f t="shared" si="332"/>
        <v>0</v>
      </c>
      <c r="AT601" s="243">
        <f t="shared" si="332"/>
        <v>0</v>
      </c>
      <c r="AU601" s="243">
        <f t="shared" si="332"/>
        <v>0</v>
      </c>
      <c r="AV601" s="243"/>
      <c r="AW601" s="243"/>
      <c r="AX601" s="243"/>
      <c r="AY601" s="243"/>
    </row>
    <row r="602" spans="2:51" s="214" customFormat="1" ht="11.25">
      <c r="B602" s="242"/>
      <c r="C602" s="353" t="s">
        <v>1971</v>
      </c>
      <c r="D602" s="215"/>
      <c r="E602" s="215"/>
      <c r="F602" s="243"/>
      <c r="G602" s="243"/>
      <c r="H602" s="243"/>
      <c r="I602" s="243"/>
      <c r="J602" s="243"/>
      <c r="K602" s="243"/>
      <c r="L602" s="243"/>
      <c r="M602" s="243">
        <v>0</v>
      </c>
      <c r="N602" s="243">
        <f>M602</f>
        <v>0</v>
      </c>
      <c r="O602" s="243">
        <f>N602</f>
        <v>0</v>
      </c>
      <c r="P602" s="243">
        <f>O602</f>
        <v>0</v>
      </c>
      <c r="Q602" s="243">
        <f>P602</f>
        <v>0</v>
      </c>
      <c r="R602" s="243">
        <f>1204238/-R561</f>
        <v>2.4868369099124113E-2</v>
      </c>
      <c r="S602" s="243"/>
      <c r="T602" s="243">
        <f>1204238/-T561</f>
        <v>2.4868369099124113E-2</v>
      </c>
      <c r="U602" s="243">
        <f t="shared" si="319"/>
        <v>2.4868369099124113E-2</v>
      </c>
      <c r="V602" s="243">
        <f t="shared" ref="V602:AU602" si="333">1204238/-V561</f>
        <v>8.587021497001416E-3</v>
      </c>
      <c r="W602" s="243">
        <f t="shared" si="333"/>
        <v>7.5298626757032599E-3</v>
      </c>
      <c r="X602" s="243">
        <f t="shared" si="333"/>
        <v>7.5298626757032599E-3</v>
      </c>
      <c r="Y602" s="243">
        <f t="shared" si="333"/>
        <v>7.5298626757032599E-3</v>
      </c>
      <c r="Z602" s="243">
        <f t="shared" si="333"/>
        <v>7.5298626757032599E-3</v>
      </c>
      <c r="AA602" s="243">
        <f t="shared" si="333"/>
        <v>7.5298626757032599E-3</v>
      </c>
      <c r="AB602" s="243">
        <f t="shared" si="333"/>
        <v>7.5298626757032599E-3</v>
      </c>
      <c r="AC602" s="243">
        <f t="shared" si="333"/>
        <v>7.5298626757032599E-3</v>
      </c>
      <c r="AD602" s="243">
        <f t="shared" si="333"/>
        <v>7.5298626757032599E-3</v>
      </c>
      <c r="AE602" s="243">
        <f t="shared" si="333"/>
        <v>7.5298626757032599E-3</v>
      </c>
      <c r="AF602" s="243">
        <f t="shared" si="333"/>
        <v>7.5298626757032599E-3</v>
      </c>
      <c r="AG602" s="243">
        <f t="shared" si="333"/>
        <v>7.5298626757032599E-3</v>
      </c>
      <c r="AH602" s="243">
        <f t="shared" si="333"/>
        <v>7.5298626757032599E-3</v>
      </c>
      <c r="AI602" s="243">
        <f t="shared" si="333"/>
        <v>7.5298626757032599E-3</v>
      </c>
      <c r="AJ602" s="243">
        <f t="shared" si="333"/>
        <v>7.5298626757032599E-3</v>
      </c>
      <c r="AK602" s="243">
        <f t="shared" si="333"/>
        <v>7.5298626757032599E-3</v>
      </c>
      <c r="AL602" s="243">
        <f t="shared" si="333"/>
        <v>7.5298626757032599E-3</v>
      </c>
      <c r="AM602" s="243">
        <f t="shared" si="333"/>
        <v>7.5298626757032599E-3</v>
      </c>
      <c r="AN602" s="243">
        <f t="shared" si="333"/>
        <v>7.5298626757032599E-3</v>
      </c>
      <c r="AO602" s="243">
        <f t="shared" si="333"/>
        <v>7.5298626757032599E-3</v>
      </c>
      <c r="AP602" s="243">
        <f t="shared" si="333"/>
        <v>7.5298626757032599E-3</v>
      </c>
      <c r="AQ602" s="243">
        <f t="shared" si="333"/>
        <v>7.5298626757032599E-3</v>
      </c>
      <c r="AR602" s="243">
        <f t="shared" si="333"/>
        <v>7.5298626757032599E-3</v>
      </c>
      <c r="AS602" s="243">
        <f t="shared" si="333"/>
        <v>7.5298626757032599E-3</v>
      </c>
      <c r="AT602" s="243">
        <f t="shared" si="333"/>
        <v>7.5298626757032599E-3</v>
      </c>
      <c r="AU602" s="243">
        <f t="shared" si="333"/>
        <v>7.5298626757032599E-3</v>
      </c>
      <c r="AV602" s="243"/>
      <c r="AW602" s="243"/>
      <c r="AX602" s="243"/>
      <c r="AY602" s="243"/>
    </row>
    <row r="603" spans="2:51" s="214" customFormat="1" ht="11.25">
      <c r="C603" s="353" t="s">
        <v>1959</v>
      </c>
      <c r="D603" s="215"/>
      <c r="E603" s="215"/>
      <c r="F603" s="215"/>
      <c r="G603" s="215"/>
      <c r="H603" s="215"/>
      <c r="I603" s="269"/>
      <c r="J603" s="269"/>
      <c r="K603" s="269"/>
      <c r="L603" s="269"/>
      <c r="M603" s="269"/>
      <c r="N603" s="269"/>
      <c r="O603" s="269"/>
      <c r="P603" s="269"/>
      <c r="Q603" s="269"/>
      <c r="R603" s="269"/>
      <c r="S603" s="269"/>
      <c r="T603" s="269"/>
      <c r="U603" s="269">
        <f t="shared" si="319"/>
        <v>0</v>
      </c>
      <c r="V603" s="269"/>
      <c r="W603" s="269"/>
      <c r="X603" s="269"/>
      <c r="Y603" s="269"/>
      <c r="Z603" s="269"/>
      <c r="AA603" s="269"/>
      <c r="AB603" s="269"/>
      <c r="AC603" s="269"/>
      <c r="AD603" s="269"/>
      <c r="AE603" s="269"/>
      <c r="AF603" s="269"/>
      <c r="AG603" s="269"/>
      <c r="AH603" s="269"/>
      <c r="AI603" s="269"/>
      <c r="AJ603" s="269"/>
      <c r="AK603" s="269"/>
      <c r="AL603" s="269"/>
      <c r="AM603" s="269"/>
      <c r="AN603" s="269"/>
      <c r="AO603" s="269"/>
      <c r="AP603" s="269"/>
      <c r="AQ603" s="269"/>
      <c r="AR603" s="269"/>
      <c r="AS603" s="269"/>
      <c r="AT603" s="269"/>
      <c r="AU603" s="269"/>
      <c r="AV603" s="269"/>
      <c r="AW603" s="269"/>
      <c r="AX603" s="269"/>
      <c r="AY603" s="269"/>
    </row>
    <row r="604" spans="2:51" s="214" customFormat="1" ht="11.25">
      <c r="C604" s="242" t="s">
        <v>1067</v>
      </c>
      <c r="D604" s="242"/>
      <c r="E604" s="242"/>
      <c r="F604" s="242"/>
      <c r="G604" s="242"/>
      <c r="H604" s="242"/>
      <c r="I604" s="269"/>
      <c r="J604" s="269"/>
      <c r="K604" s="269"/>
      <c r="L604" s="269"/>
      <c r="M604" s="269"/>
      <c r="N604" s="269">
        <f>SUM(N603:N603)</f>
        <v>0</v>
      </c>
      <c r="O604" s="269">
        <f>SUM(O603:O603)</f>
        <v>0</v>
      </c>
      <c r="P604" s="269">
        <v>0</v>
      </c>
      <c r="Q604" s="269">
        <v>0</v>
      </c>
      <c r="R604" s="269">
        <f>SUM(R603:R603)</f>
        <v>0</v>
      </c>
      <c r="S604" s="269"/>
      <c r="T604" s="269">
        <f>SUM(T603:T603)</f>
        <v>0</v>
      </c>
      <c r="U604" s="269">
        <f t="shared" si="319"/>
        <v>0</v>
      </c>
      <c r="V604" s="269">
        <f t="shared" ref="V604:AU604" si="334">SUM(V603:V603)</f>
        <v>0</v>
      </c>
      <c r="W604" s="269">
        <f t="shared" si="334"/>
        <v>0</v>
      </c>
      <c r="X604" s="269">
        <f t="shared" si="334"/>
        <v>0</v>
      </c>
      <c r="Y604" s="269">
        <f t="shared" si="334"/>
        <v>0</v>
      </c>
      <c r="Z604" s="269">
        <f t="shared" si="334"/>
        <v>0</v>
      </c>
      <c r="AA604" s="269">
        <f t="shared" si="334"/>
        <v>0</v>
      </c>
      <c r="AB604" s="269">
        <f t="shared" si="334"/>
        <v>0</v>
      </c>
      <c r="AC604" s="269">
        <f t="shared" si="334"/>
        <v>0</v>
      </c>
      <c r="AD604" s="269">
        <f t="shared" si="334"/>
        <v>0</v>
      </c>
      <c r="AE604" s="269">
        <f t="shared" si="334"/>
        <v>0</v>
      </c>
      <c r="AF604" s="269">
        <f t="shared" si="334"/>
        <v>0</v>
      </c>
      <c r="AG604" s="269">
        <f t="shared" si="334"/>
        <v>0</v>
      </c>
      <c r="AH604" s="269">
        <f t="shared" si="334"/>
        <v>0</v>
      </c>
      <c r="AI604" s="269">
        <f t="shared" si="334"/>
        <v>0</v>
      </c>
      <c r="AJ604" s="269">
        <f t="shared" si="334"/>
        <v>0</v>
      </c>
      <c r="AK604" s="269">
        <f t="shared" si="334"/>
        <v>0</v>
      </c>
      <c r="AL604" s="269">
        <f t="shared" si="334"/>
        <v>0</v>
      </c>
      <c r="AM604" s="269">
        <f t="shared" si="334"/>
        <v>0</v>
      </c>
      <c r="AN604" s="269">
        <f t="shared" si="334"/>
        <v>0</v>
      </c>
      <c r="AO604" s="269">
        <f t="shared" si="334"/>
        <v>0</v>
      </c>
      <c r="AP604" s="269">
        <f t="shared" si="334"/>
        <v>0</v>
      </c>
      <c r="AQ604" s="269">
        <f t="shared" si="334"/>
        <v>0</v>
      </c>
      <c r="AR604" s="269">
        <f t="shared" si="334"/>
        <v>0</v>
      </c>
      <c r="AS604" s="269">
        <f t="shared" si="334"/>
        <v>0</v>
      </c>
      <c r="AT604" s="269">
        <f t="shared" si="334"/>
        <v>0</v>
      </c>
      <c r="AU604" s="269">
        <f t="shared" si="334"/>
        <v>0</v>
      </c>
      <c r="AV604" s="269"/>
      <c r="AW604" s="269"/>
      <c r="AX604" s="269"/>
      <c r="AY604" s="269"/>
    </row>
    <row r="605" spans="2:51" s="1261" customFormat="1" ht="11.25">
      <c r="C605" s="390" t="s">
        <v>1068</v>
      </c>
      <c r="D605" s="740"/>
      <c r="E605" s="740"/>
      <c r="F605" s="740"/>
      <c r="G605" s="740"/>
      <c r="H605" s="740"/>
      <c r="I605" s="268"/>
      <c r="J605" s="268"/>
      <c r="K605" s="268"/>
      <c r="L605" s="268"/>
      <c r="M605" s="268"/>
      <c r="N605" s="268">
        <f t="shared" ref="N605:AU605" si="335">N604-M604</f>
        <v>0</v>
      </c>
      <c r="O605" s="268">
        <f t="shared" si="335"/>
        <v>0</v>
      </c>
      <c r="P605" s="268">
        <f t="shared" si="335"/>
        <v>0</v>
      </c>
      <c r="Q605" s="268">
        <f t="shared" si="335"/>
        <v>0</v>
      </c>
      <c r="R605" s="268">
        <f t="shared" si="335"/>
        <v>0</v>
      </c>
      <c r="S605" s="268"/>
      <c r="T605" s="268">
        <f t="shared" si="335"/>
        <v>0</v>
      </c>
      <c r="U605" s="268">
        <f t="shared" si="319"/>
        <v>0</v>
      </c>
      <c r="V605" s="268">
        <f>V604-R604</f>
        <v>0</v>
      </c>
      <c r="W605" s="268">
        <f t="shared" si="335"/>
        <v>0</v>
      </c>
      <c r="X605" s="268">
        <f t="shared" si="335"/>
        <v>0</v>
      </c>
      <c r="Y605" s="268">
        <f t="shared" si="335"/>
        <v>0</v>
      </c>
      <c r="Z605" s="268">
        <f t="shared" si="335"/>
        <v>0</v>
      </c>
      <c r="AA605" s="268">
        <f t="shared" si="335"/>
        <v>0</v>
      </c>
      <c r="AB605" s="268">
        <f t="shared" si="335"/>
        <v>0</v>
      </c>
      <c r="AC605" s="268">
        <f t="shared" si="335"/>
        <v>0</v>
      </c>
      <c r="AD605" s="268">
        <f t="shared" si="335"/>
        <v>0</v>
      </c>
      <c r="AE605" s="268">
        <f t="shared" si="335"/>
        <v>0</v>
      </c>
      <c r="AF605" s="268">
        <f t="shared" si="335"/>
        <v>0</v>
      </c>
      <c r="AG605" s="268">
        <f t="shared" si="335"/>
        <v>0</v>
      </c>
      <c r="AH605" s="268">
        <f t="shared" si="335"/>
        <v>0</v>
      </c>
      <c r="AI605" s="268">
        <f t="shared" si="335"/>
        <v>0</v>
      </c>
      <c r="AJ605" s="268">
        <f t="shared" si="335"/>
        <v>0</v>
      </c>
      <c r="AK605" s="268">
        <f t="shared" si="335"/>
        <v>0</v>
      </c>
      <c r="AL605" s="268">
        <f t="shared" si="335"/>
        <v>0</v>
      </c>
      <c r="AM605" s="268">
        <f t="shared" si="335"/>
        <v>0</v>
      </c>
      <c r="AN605" s="268">
        <f t="shared" si="335"/>
        <v>0</v>
      </c>
      <c r="AO605" s="268">
        <f t="shared" si="335"/>
        <v>0</v>
      </c>
      <c r="AP605" s="268">
        <f t="shared" si="335"/>
        <v>0</v>
      </c>
      <c r="AQ605" s="268">
        <f t="shared" si="335"/>
        <v>0</v>
      </c>
      <c r="AR605" s="268">
        <f t="shared" si="335"/>
        <v>0</v>
      </c>
      <c r="AS605" s="268">
        <f t="shared" si="335"/>
        <v>0</v>
      </c>
      <c r="AT605" s="268">
        <f t="shared" si="335"/>
        <v>0</v>
      </c>
      <c r="AU605" s="268">
        <f t="shared" si="335"/>
        <v>0</v>
      </c>
      <c r="AV605" s="268"/>
      <c r="AW605" s="268"/>
      <c r="AX605" s="268"/>
      <c r="AY605" s="268"/>
    </row>
    <row r="606" spans="2:51" s="214" customFormat="1" ht="11.25">
      <c r="C606" s="353" t="s">
        <v>1069</v>
      </c>
      <c r="D606" s="215"/>
      <c r="E606" s="248"/>
      <c r="F606" s="248"/>
      <c r="G606" s="248"/>
      <c r="H606" s="248"/>
      <c r="I606" s="269"/>
      <c r="J606" s="269"/>
      <c r="K606" s="269"/>
      <c r="L606" s="269"/>
      <c r="M606" s="269"/>
      <c r="N606" s="269">
        <f>N601*N560</f>
        <v>0</v>
      </c>
      <c r="O606" s="269"/>
      <c r="P606" s="269">
        <v>0</v>
      </c>
      <c r="Q606" s="269">
        <v>0</v>
      </c>
      <c r="R606" s="269">
        <f>R601*R560</f>
        <v>0</v>
      </c>
      <c r="S606" s="269"/>
      <c r="T606" s="269">
        <f>T601*T560</f>
        <v>0</v>
      </c>
      <c r="U606" s="269">
        <f t="shared" si="319"/>
        <v>0</v>
      </c>
      <c r="V606" s="269">
        <f t="shared" ref="V606:AU606" si="336">V601*V560</f>
        <v>0</v>
      </c>
      <c r="W606" s="269">
        <f t="shared" si="336"/>
        <v>0</v>
      </c>
      <c r="X606" s="269">
        <f t="shared" si="336"/>
        <v>0</v>
      </c>
      <c r="Y606" s="269">
        <f t="shared" si="336"/>
        <v>0</v>
      </c>
      <c r="Z606" s="269">
        <f t="shared" si="336"/>
        <v>0</v>
      </c>
      <c r="AA606" s="269">
        <f t="shared" si="336"/>
        <v>0</v>
      </c>
      <c r="AB606" s="269">
        <f t="shared" si="336"/>
        <v>0</v>
      </c>
      <c r="AC606" s="269">
        <f t="shared" si="336"/>
        <v>0</v>
      </c>
      <c r="AD606" s="269">
        <f t="shared" si="336"/>
        <v>0</v>
      </c>
      <c r="AE606" s="269">
        <f t="shared" si="336"/>
        <v>0</v>
      </c>
      <c r="AF606" s="269">
        <f t="shared" si="336"/>
        <v>0</v>
      </c>
      <c r="AG606" s="269">
        <f t="shared" si="336"/>
        <v>0</v>
      </c>
      <c r="AH606" s="269">
        <f t="shared" si="336"/>
        <v>0</v>
      </c>
      <c r="AI606" s="269">
        <f t="shared" si="336"/>
        <v>0</v>
      </c>
      <c r="AJ606" s="269">
        <f t="shared" si="336"/>
        <v>0</v>
      </c>
      <c r="AK606" s="269">
        <f t="shared" si="336"/>
        <v>0</v>
      </c>
      <c r="AL606" s="269">
        <f t="shared" si="336"/>
        <v>0</v>
      </c>
      <c r="AM606" s="269">
        <f t="shared" si="336"/>
        <v>0</v>
      </c>
      <c r="AN606" s="269">
        <f t="shared" si="336"/>
        <v>0</v>
      </c>
      <c r="AO606" s="269">
        <f t="shared" si="336"/>
        <v>0</v>
      </c>
      <c r="AP606" s="269">
        <f t="shared" si="336"/>
        <v>0</v>
      </c>
      <c r="AQ606" s="269">
        <f t="shared" si="336"/>
        <v>0</v>
      </c>
      <c r="AR606" s="269">
        <f t="shared" si="336"/>
        <v>0</v>
      </c>
      <c r="AS606" s="269">
        <f t="shared" si="336"/>
        <v>0</v>
      </c>
      <c r="AT606" s="269">
        <f t="shared" si="336"/>
        <v>0</v>
      </c>
      <c r="AU606" s="269">
        <f t="shared" si="336"/>
        <v>0</v>
      </c>
      <c r="AV606" s="269"/>
      <c r="AW606" s="269"/>
      <c r="AX606" s="269"/>
      <c r="AY606" s="269"/>
    </row>
    <row r="607" spans="2:51" s="214" customFormat="1" ht="11.25">
      <c r="C607" s="353" t="s">
        <v>1070</v>
      </c>
      <c r="D607" s="215"/>
      <c r="E607" s="249"/>
      <c r="F607" s="270"/>
      <c r="G607" s="270"/>
      <c r="H607" s="270"/>
      <c r="I607" s="269"/>
      <c r="J607" s="269"/>
      <c r="K607" s="269"/>
      <c r="L607" s="269"/>
      <c r="M607" s="269"/>
      <c r="N607" s="269">
        <f>N602*N560</f>
        <v>0</v>
      </c>
      <c r="O607" s="269"/>
      <c r="P607" s="269">
        <f>P483</f>
        <v>1262880.0900000001</v>
      </c>
      <c r="Q607" s="269">
        <v>1204238</v>
      </c>
      <c r="R607" s="269">
        <f>-R602*R561</f>
        <v>1204238</v>
      </c>
      <c r="S607" s="269"/>
      <c r="T607" s="269">
        <f>-T602*T561</f>
        <v>1204238</v>
      </c>
      <c r="U607" s="269">
        <f t="shared" si="319"/>
        <v>1204238</v>
      </c>
      <c r="V607" s="269">
        <f t="shared" ref="V607:AU607" si="337">-V602*V561</f>
        <v>1204238</v>
      </c>
      <c r="W607" s="269">
        <f t="shared" si="337"/>
        <v>1204238</v>
      </c>
      <c r="X607" s="269">
        <f t="shared" si="337"/>
        <v>1204238</v>
      </c>
      <c r="Y607" s="269">
        <f t="shared" si="337"/>
        <v>1204238</v>
      </c>
      <c r="Z607" s="269">
        <f t="shared" si="337"/>
        <v>1204238</v>
      </c>
      <c r="AA607" s="269">
        <f t="shared" si="337"/>
        <v>1204238</v>
      </c>
      <c r="AB607" s="269">
        <f t="shared" si="337"/>
        <v>1204238</v>
      </c>
      <c r="AC607" s="269">
        <f t="shared" si="337"/>
        <v>1204238</v>
      </c>
      <c r="AD607" s="269">
        <f t="shared" si="337"/>
        <v>1204238</v>
      </c>
      <c r="AE607" s="269">
        <f t="shared" si="337"/>
        <v>1204238</v>
      </c>
      <c r="AF607" s="269">
        <f t="shared" si="337"/>
        <v>1204238</v>
      </c>
      <c r="AG607" s="269">
        <f t="shared" si="337"/>
        <v>1204238</v>
      </c>
      <c r="AH607" s="269">
        <f t="shared" si="337"/>
        <v>1204238</v>
      </c>
      <c r="AI607" s="269">
        <f t="shared" si="337"/>
        <v>1204238</v>
      </c>
      <c r="AJ607" s="269">
        <f t="shared" si="337"/>
        <v>1204238</v>
      </c>
      <c r="AK607" s="269">
        <f t="shared" si="337"/>
        <v>1204238</v>
      </c>
      <c r="AL607" s="269">
        <f t="shared" si="337"/>
        <v>1204238</v>
      </c>
      <c r="AM607" s="269">
        <f t="shared" si="337"/>
        <v>1204238</v>
      </c>
      <c r="AN607" s="269">
        <f t="shared" si="337"/>
        <v>1204238</v>
      </c>
      <c r="AO607" s="269">
        <f t="shared" si="337"/>
        <v>1204238</v>
      </c>
      <c r="AP607" s="269">
        <f t="shared" si="337"/>
        <v>1204238</v>
      </c>
      <c r="AQ607" s="269">
        <f t="shared" si="337"/>
        <v>1204238</v>
      </c>
      <c r="AR607" s="269">
        <f t="shared" si="337"/>
        <v>1204238</v>
      </c>
      <c r="AS607" s="269">
        <f t="shared" si="337"/>
        <v>1204238</v>
      </c>
      <c r="AT607" s="269">
        <f t="shared" si="337"/>
        <v>1204238</v>
      </c>
      <c r="AU607" s="269">
        <f t="shared" si="337"/>
        <v>1204238</v>
      </c>
      <c r="AV607" s="269"/>
      <c r="AW607" s="269"/>
      <c r="AX607" s="269"/>
      <c r="AY607" s="269"/>
    </row>
    <row r="608" spans="2:51" s="214" customFormat="1" ht="11.25">
      <c r="B608" s="244"/>
      <c r="C608" s="242" t="s">
        <v>1071</v>
      </c>
      <c r="D608" s="356"/>
      <c r="E608" s="391"/>
      <c r="F608" s="271"/>
      <c r="G608" s="271"/>
      <c r="H608" s="271"/>
      <c r="I608" s="269"/>
      <c r="J608" s="269"/>
      <c r="K608" s="269"/>
      <c r="L608" s="269"/>
      <c r="M608" s="269"/>
      <c r="N608" s="269">
        <f>SUM(N606:N607)</f>
        <v>0</v>
      </c>
      <c r="O608" s="269"/>
      <c r="P608" s="269">
        <f>SUM(P606:P607)</f>
        <v>1262880.0900000001</v>
      </c>
      <c r="Q608" s="269">
        <f>SUM(Q606:Q607)</f>
        <v>1204238</v>
      </c>
      <c r="R608" s="269">
        <f>SUM(R606:R607)</f>
        <v>1204238</v>
      </c>
      <c r="S608" s="269"/>
      <c r="T608" s="269">
        <f>SUM(T606:T607)</f>
        <v>1204238</v>
      </c>
      <c r="U608" s="269">
        <f t="shared" si="319"/>
        <v>1204238</v>
      </c>
      <c r="V608" s="269">
        <f t="shared" ref="V608:AU608" si="338">SUM(V606:V607)</f>
        <v>1204238</v>
      </c>
      <c r="W608" s="269">
        <f t="shared" si="338"/>
        <v>1204238</v>
      </c>
      <c r="X608" s="269">
        <f t="shared" si="338"/>
        <v>1204238</v>
      </c>
      <c r="Y608" s="269">
        <f t="shared" si="338"/>
        <v>1204238</v>
      </c>
      <c r="Z608" s="269">
        <f t="shared" si="338"/>
        <v>1204238</v>
      </c>
      <c r="AA608" s="269">
        <f t="shared" si="338"/>
        <v>1204238</v>
      </c>
      <c r="AB608" s="269">
        <f t="shared" si="338"/>
        <v>1204238</v>
      </c>
      <c r="AC608" s="269">
        <f t="shared" si="338"/>
        <v>1204238</v>
      </c>
      <c r="AD608" s="269">
        <f t="shared" si="338"/>
        <v>1204238</v>
      </c>
      <c r="AE608" s="269">
        <f t="shared" si="338"/>
        <v>1204238</v>
      </c>
      <c r="AF608" s="269">
        <f t="shared" si="338"/>
        <v>1204238</v>
      </c>
      <c r="AG608" s="269">
        <f t="shared" si="338"/>
        <v>1204238</v>
      </c>
      <c r="AH608" s="269">
        <f t="shared" si="338"/>
        <v>1204238</v>
      </c>
      <c r="AI608" s="269">
        <f t="shared" si="338"/>
        <v>1204238</v>
      </c>
      <c r="AJ608" s="269">
        <f t="shared" si="338"/>
        <v>1204238</v>
      </c>
      <c r="AK608" s="269">
        <f t="shared" si="338"/>
        <v>1204238</v>
      </c>
      <c r="AL608" s="269">
        <f t="shared" si="338"/>
        <v>1204238</v>
      </c>
      <c r="AM608" s="269">
        <f t="shared" si="338"/>
        <v>1204238</v>
      </c>
      <c r="AN608" s="269">
        <f t="shared" si="338"/>
        <v>1204238</v>
      </c>
      <c r="AO608" s="269">
        <f t="shared" si="338"/>
        <v>1204238</v>
      </c>
      <c r="AP608" s="269">
        <f t="shared" si="338"/>
        <v>1204238</v>
      </c>
      <c r="AQ608" s="269">
        <f t="shared" si="338"/>
        <v>1204238</v>
      </c>
      <c r="AR608" s="269">
        <f t="shared" si="338"/>
        <v>1204238</v>
      </c>
      <c r="AS608" s="269">
        <f t="shared" si="338"/>
        <v>1204238</v>
      </c>
      <c r="AT608" s="269">
        <f t="shared" si="338"/>
        <v>1204238</v>
      </c>
      <c r="AU608" s="269">
        <f t="shared" si="338"/>
        <v>1204238</v>
      </c>
      <c r="AV608" s="269"/>
      <c r="AW608" s="269"/>
      <c r="AX608" s="269"/>
      <c r="AY608" s="269"/>
    </row>
    <row r="609" spans="2:51" s="1261" customFormat="1" ht="11.25">
      <c r="B609" s="1262"/>
      <c r="C609" s="390" t="s">
        <v>1072</v>
      </c>
      <c r="D609" s="1263"/>
      <c r="E609" s="1264"/>
      <c r="F609" s="370"/>
      <c r="G609" s="370"/>
      <c r="H609" s="370"/>
      <c r="I609" s="268"/>
      <c r="J609" s="268"/>
      <c r="K609" s="268"/>
      <c r="L609" s="268"/>
      <c r="M609" s="268"/>
      <c r="N609" s="268">
        <f>N608-M608</f>
        <v>0</v>
      </c>
      <c r="O609" s="268"/>
      <c r="P609" s="268">
        <v>0</v>
      </c>
      <c r="Q609" s="268">
        <f t="shared" ref="Q609:AU609" si="339">Q608-P608</f>
        <v>-58642.090000000084</v>
      </c>
      <c r="R609" s="268">
        <f t="shared" si="339"/>
        <v>0</v>
      </c>
      <c r="S609" s="268"/>
      <c r="T609" s="268">
        <f t="shared" si="339"/>
        <v>1204238</v>
      </c>
      <c r="U609" s="268">
        <f t="shared" si="319"/>
        <v>1204238</v>
      </c>
      <c r="V609" s="268">
        <f>V608-R608</f>
        <v>0</v>
      </c>
      <c r="W609" s="268">
        <f t="shared" si="339"/>
        <v>0</v>
      </c>
      <c r="X609" s="268">
        <f t="shared" si="339"/>
        <v>0</v>
      </c>
      <c r="Y609" s="268">
        <f t="shared" si="339"/>
        <v>0</v>
      </c>
      <c r="Z609" s="268">
        <f t="shared" si="339"/>
        <v>0</v>
      </c>
      <c r="AA609" s="268">
        <f t="shared" si="339"/>
        <v>0</v>
      </c>
      <c r="AB609" s="268">
        <f t="shared" si="339"/>
        <v>0</v>
      </c>
      <c r="AC609" s="268">
        <f t="shared" si="339"/>
        <v>0</v>
      </c>
      <c r="AD609" s="268">
        <f t="shared" si="339"/>
        <v>0</v>
      </c>
      <c r="AE609" s="268">
        <f t="shared" si="339"/>
        <v>0</v>
      </c>
      <c r="AF609" s="268">
        <f t="shared" si="339"/>
        <v>0</v>
      </c>
      <c r="AG609" s="268">
        <f t="shared" si="339"/>
        <v>0</v>
      </c>
      <c r="AH609" s="268">
        <f t="shared" si="339"/>
        <v>0</v>
      </c>
      <c r="AI609" s="268">
        <f t="shared" si="339"/>
        <v>0</v>
      </c>
      <c r="AJ609" s="268">
        <f t="shared" si="339"/>
        <v>0</v>
      </c>
      <c r="AK609" s="268">
        <f t="shared" si="339"/>
        <v>0</v>
      </c>
      <c r="AL609" s="268">
        <f t="shared" si="339"/>
        <v>0</v>
      </c>
      <c r="AM609" s="268">
        <f t="shared" si="339"/>
        <v>0</v>
      </c>
      <c r="AN609" s="268">
        <f t="shared" si="339"/>
        <v>0</v>
      </c>
      <c r="AO609" s="268">
        <f t="shared" si="339"/>
        <v>0</v>
      </c>
      <c r="AP609" s="268">
        <f t="shared" si="339"/>
        <v>0</v>
      </c>
      <c r="AQ609" s="268">
        <f t="shared" si="339"/>
        <v>0</v>
      </c>
      <c r="AR609" s="268">
        <f t="shared" si="339"/>
        <v>0</v>
      </c>
      <c r="AS609" s="268">
        <f t="shared" si="339"/>
        <v>0</v>
      </c>
      <c r="AT609" s="268">
        <f t="shared" si="339"/>
        <v>0</v>
      </c>
      <c r="AU609" s="268">
        <f t="shared" si="339"/>
        <v>0</v>
      </c>
      <c r="AV609" s="268"/>
      <c r="AW609" s="268"/>
      <c r="AX609" s="268"/>
      <c r="AY609" s="268"/>
    </row>
    <row r="610" spans="2:51" s="214" customFormat="1" ht="11.25">
      <c r="B610" s="244"/>
      <c r="C610" s="353" t="s">
        <v>1073</v>
      </c>
      <c r="D610" s="356"/>
      <c r="E610" s="391"/>
      <c r="F610" s="272"/>
      <c r="G610" s="272"/>
      <c r="H610" s="272"/>
      <c r="I610" s="269"/>
      <c r="J610" s="269"/>
      <c r="K610" s="269"/>
      <c r="L610" s="269"/>
      <c r="M610" s="269"/>
      <c r="N610" s="269">
        <f>N605-N609</f>
        <v>0</v>
      </c>
      <c r="O610" s="269"/>
      <c r="P610" s="269">
        <f>P605-P609</f>
        <v>0</v>
      </c>
      <c r="Q610" s="269">
        <f>Q605-Q609</f>
        <v>58642.090000000084</v>
      </c>
      <c r="R610" s="269">
        <f>R605-R609</f>
        <v>0</v>
      </c>
      <c r="S610" s="269"/>
      <c r="T610" s="269">
        <f>T605-T609</f>
        <v>-1204238</v>
      </c>
      <c r="U610" s="269">
        <f t="shared" si="319"/>
        <v>-1204238</v>
      </c>
      <c r="V610" s="269">
        <f t="shared" ref="V610:AU610" si="340">V605-V609</f>
        <v>0</v>
      </c>
      <c r="W610" s="269">
        <f t="shared" si="340"/>
        <v>0</v>
      </c>
      <c r="X610" s="269">
        <f t="shared" si="340"/>
        <v>0</v>
      </c>
      <c r="Y610" s="269">
        <f t="shared" si="340"/>
        <v>0</v>
      </c>
      <c r="Z610" s="269">
        <f t="shared" si="340"/>
        <v>0</v>
      </c>
      <c r="AA610" s="269">
        <f t="shared" si="340"/>
        <v>0</v>
      </c>
      <c r="AB610" s="269">
        <f t="shared" si="340"/>
        <v>0</v>
      </c>
      <c r="AC610" s="269">
        <f t="shared" si="340"/>
        <v>0</v>
      </c>
      <c r="AD610" s="269">
        <f t="shared" si="340"/>
        <v>0</v>
      </c>
      <c r="AE610" s="269">
        <f t="shared" si="340"/>
        <v>0</v>
      </c>
      <c r="AF610" s="269">
        <f t="shared" si="340"/>
        <v>0</v>
      </c>
      <c r="AG610" s="269">
        <f t="shared" si="340"/>
        <v>0</v>
      </c>
      <c r="AH610" s="269">
        <f t="shared" si="340"/>
        <v>0</v>
      </c>
      <c r="AI610" s="269">
        <f t="shared" si="340"/>
        <v>0</v>
      </c>
      <c r="AJ610" s="269">
        <f t="shared" si="340"/>
        <v>0</v>
      </c>
      <c r="AK610" s="269">
        <f t="shared" si="340"/>
        <v>0</v>
      </c>
      <c r="AL610" s="269">
        <f t="shared" si="340"/>
        <v>0</v>
      </c>
      <c r="AM610" s="269">
        <f t="shared" si="340"/>
        <v>0</v>
      </c>
      <c r="AN610" s="269">
        <f t="shared" si="340"/>
        <v>0</v>
      </c>
      <c r="AO610" s="269">
        <f t="shared" si="340"/>
        <v>0</v>
      </c>
      <c r="AP610" s="269">
        <f t="shared" si="340"/>
        <v>0</v>
      </c>
      <c r="AQ610" s="269">
        <f t="shared" si="340"/>
        <v>0</v>
      </c>
      <c r="AR610" s="269">
        <f t="shared" si="340"/>
        <v>0</v>
      </c>
      <c r="AS610" s="269">
        <f t="shared" si="340"/>
        <v>0</v>
      </c>
      <c r="AT610" s="269">
        <f t="shared" si="340"/>
        <v>0</v>
      </c>
      <c r="AU610" s="269">
        <f t="shared" si="340"/>
        <v>0</v>
      </c>
      <c r="AV610" s="269"/>
      <c r="AW610" s="269"/>
      <c r="AX610" s="269"/>
      <c r="AY610" s="269"/>
    </row>
    <row r="611" spans="2:51" s="214" customFormat="1" ht="11.25" collapsed="1">
      <c r="B611" s="242"/>
      <c r="C611" s="353"/>
      <c r="D611" s="242"/>
      <c r="E611" s="242"/>
      <c r="F611" s="242"/>
      <c r="G611" s="242"/>
      <c r="H611" s="242"/>
      <c r="I611" s="242"/>
      <c r="J611" s="242"/>
      <c r="K611" s="393"/>
      <c r="L611" s="393"/>
      <c r="M611" s="215"/>
    </row>
    <row r="612" spans="2:51" ht="15.75" customHeight="1">
      <c r="B612" s="244"/>
      <c r="C612" s="227"/>
      <c r="D612" s="227"/>
      <c r="E612" s="227"/>
      <c r="F612" s="227"/>
      <c r="G612" s="227"/>
      <c r="H612" s="227"/>
      <c r="I612" s="227"/>
      <c r="J612" s="227"/>
      <c r="K612" s="252"/>
      <c r="L612" s="252"/>
      <c r="M612" s="185"/>
      <c r="X612" s="577"/>
      <c r="Y612" s="577"/>
      <c r="Z612" s="577"/>
      <c r="AA612" s="577"/>
      <c r="AB612" s="577"/>
      <c r="AC612" s="577"/>
      <c r="AD612" s="577"/>
      <c r="AE612" s="577"/>
      <c r="AF612" s="577"/>
      <c r="AG612" s="577"/>
      <c r="AH612" s="577"/>
      <c r="AI612" s="577"/>
      <c r="AJ612" s="577"/>
      <c r="AK612" s="577"/>
      <c r="AL612" s="577"/>
      <c r="AM612" s="577"/>
      <c r="AN612" s="577"/>
      <c r="AO612" s="577"/>
      <c r="AP612" s="577"/>
      <c r="AQ612" s="577"/>
      <c r="AR612" s="577"/>
      <c r="AS612" s="577"/>
      <c r="AT612" s="577"/>
      <c r="AU612" s="577"/>
      <c r="AV612" s="577"/>
      <c r="AW612" s="577"/>
      <c r="AX612" s="577"/>
      <c r="AY612" s="577"/>
    </row>
    <row r="613" spans="2:51" ht="15.75" customHeight="1">
      <c r="B613" s="244"/>
      <c r="C613" s="227"/>
      <c r="D613" s="227"/>
      <c r="E613" s="227"/>
      <c r="F613" s="227"/>
      <c r="G613" s="227"/>
      <c r="H613" s="227"/>
      <c r="I613" s="227"/>
      <c r="J613" s="227"/>
      <c r="K613" s="252"/>
      <c r="L613" s="252"/>
      <c r="M613" s="185"/>
      <c r="X613" s="577"/>
      <c r="Y613" s="577"/>
      <c r="Z613" s="577"/>
      <c r="AA613" s="577"/>
      <c r="AB613" s="577"/>
      <c r="AC613" s="577"/>
      <c r="AD613" s="577"/>
      <c r="AE613" s="577"/>
      <c r="AF613" s="577"/>
      <c r="AG613" s="577"/>
      <c r="AH613" s="577"/>
      <c r="AI613" s="577"/>
      <c r="AJ613" s="577"/>
      <c r="AK613" s="577"/>
      <c r="AL613" s="577"/>
      <c r="AM613" s="577"/>
      <c r="AN613" s="577"/>
      <c r="AO613" s="577"/>
      <c r="AP613" s="577"/>
      <c r="AQ613" s="577"/>
      <c r="AR613" s="577"/>
      <c r="AS613" s="577"/>
      <c r="AT613" s="577"/>
      <c r="AU613" s="577"/>
      <c r="AV613" s="577"/>
      <c r="AW613" s="577"/>
      <c r="AX613" s="577"/>
      <c r="AY613" s="577"/>
    </row>
    <row r="614" spans="2:51" ht="27">
      <c r="B614" s="244"/>
      <c r="C614" s="366" t="s">
        <v>2091</v>
      </c>
      <c r="I614" s="227"/>
      <c r="J614" s="227"/>
      <c r="K614" s="226"/>
      <c r="L614" s="228"/>
      <c r="M614" s="368"/>
      <c r="N614" s="228"/>
      <c r="O614" s="228"/>
      <c r="P614" s="228"/>
      <c r="Q614" s="228"/>
      <c r="R614" s="228"/>
      <c r="S614" s="228"/>
      <c r="T614" s="228"/>
      <c r="U614" s="228"/>
      <c r="V614" s="228"/>
      <c r="W614" s="228"/>
      <c r="X614" s="228"/>
      <c r="Y614" s="228"/>
      <c r="Z614" s="228"/>
      <c r="AA614" s="228"/>
      <c r="AB614" s="228"/>
      <c r="AC614" s="228"/>
      <c r="AD614" s="228"/>
      <c r="AE614" s="228"/>
      <c r="AF614" s="228"/>
      <c r="AG614" s="228"/>
      <c r="AH614" s="228"/>
      <c r="AI614" s="228"/>
      <c r="AJ614" s="228"/>
      <c r="AK614" s="228"/>
      <c r="AL614" s="228"/>
      <c r="AM614" s="228"/>
      <c r="AN614" s="228"/>
      <c r="AO614" s="228"/>
      <c r="AP614" s="228"/>
      <c r="AQ614" s="228"/>
      <c r="AR614" s="228"/>
      <c r="AS614" s="228"/>
      <c r="AT614" s="228"/>
      <c r="AU614" s="228"/>
      <c r="AV614" s="228"/>
      <c r="AW614" s="228"/>
      <c r="AX614" s="228"/>
      <c r="AY614" s="228"/>
    </row>
    <row r="615" spans="2:51" ht="3" customHeight="1">
      <c r="B615" s="244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  <c r="AA615" s="229"/>
      <c r="AB615" s="229"/>
      <c r="AC615" s="229"/>
      <c r="AD615" s="229"/>
      <c r="AE615" s="229"/>
      <c r="AF615" s="229"/>
      <c r="AG615" s="229"/>
      <c r="AH615" s="229"/>
      <c r="AI615" s="229"/>
      <c r="AJ615" s="229"/>
      <c r="AK615" s="229"/>
      <c r="AL615" s="229"/>
      <c r="AM615" s="229"/>
      <c r="AN615" s="229"/>
      <c r="AO615" s="229"/>
      <c r="AP615" s="229"/>
      <c r="AQ615" s="229"/>
      <c r="AR615" s="229"/>
      <c r="AS615" s="229"/>
      <c r="AT615" s="229"/>
      <c r="AU615" s="229"/>
      <c r="AV615" s="229"/>
      <c r="AW615" s="229"/>
      <c r="AX615" s="229"/>
      <c r="AY615" s="229"/>
    </row>
    <row r="616" spans="2:51" ht="15.75" customHeight="1">
      <c r="B616" s="244"/>
      <c r="C616" s="169"/>
      <c r="I616" s="227"/>
      <c r="J616" s="227"/>
      <c r="K616" s="226"/>
      <c r="L616" s="228"/>
      <c r="M616" s="368"/>
      <c r="N616" s="228"/>
      <c r="O616" s="228"/>
      <c r="P616" s="228"/>
      <c r="Q616" s="228"/>
      <c r="R616" s="228"/>
      <c r="S616" s="228"/>
      <c r="T616" s="228"/>
      <c r="U616" s="228"/>
      <c r="V616" s="228"/>
      <c r="W616" s="228"/>
      <c r="X616" s="228"/>
      <c r="Y616" s="228"/>
      <c r="Z616" s="228"/>
      <c r="AA616" s="228"/>
      <c r="AB616" s="228"/>
      <c r="AC616" s="228"/>
      <c r="AD616" s="228"/>
      <c r="AE616" s="228"/>
      <c r="AF616" s="228"/>
      <c r="AG616" s="228"/>
      <c r="AH616" s="228"/>
      <c r="AI616" s="228"/>
      <c r="AJ616" s="228"/>
      <c r="AK616" s="228"/>
      <c r="AL616" s="228"/>
      <c r="AM616" s="228"/>
      <c r="AN616" s="228"/>
      <c r="AO616" s="228"/>
      <c r="AP616" s="228"/>
      <c r="AQ616" s="228"/>
      <c r="AR616" s="228"/>
      <c r="AS616" s="228"/>
      <c r="AT616" s="228"/>
      <c r="AU616" s="228"/>
      <c r="AV616" s="228"/>
      <c r="AW616" s="228"/>
      <c r="AX616" s="228"/>
      <c r="AY616" s="228"/>
    </row>
    <row r="617" spans="2:51" ht="4.5" customHeight="1">
      <c r="B617" s="244"/>
      <c r="C617" s="313"/>
      <c r="I617" s="227"/>
      <c r="J617" s="230"/>
      <c r="K617" s="231"/>
      <c r="L617" s="232"/>
      <c r="M617" s="231"/>
      <c r="N617" s="232"/>
      <c r="O617" s="232"/>
      <c r="P617" s="232"/>
      <c r="Q617" s="232"/>
      <c r="R617" s="232"/>
      <c r="S617" s="232"/>
      <c r="T617" s="232"/>
      <c r="U617" s="232"/>
      <c r="V617" s="232"/>
      <c r="W617" s="232"/>
      <c r="X617" s="232"/>
      <c r="Y617" s="232"/>
      <c r="Z617" s="232"/>
      <c r="AA617" s="232"/>
      <c r="AB617" s="232"/>
      <c r="AC617" s="232"/>
      <c r="AD617" s="232"/>
      <c r="AE617" s="232"/>
      <c r="AF617" s="232"/>
      <c r="AG617" s="232"/>
      <c r="AH617" s="232"/>
      <c r="AI617" s="232"/>
      <c r="AJ617" s="232"/>
      <c r="AK617" s="232"/>
      <c r="AL617" s="232"/>
      <c r="AM617" s="232"/>
      <c r="AN617" s="232"/>
      <c r="AO617" s="232"/>
      <c r="AP617" s="232"/>
      <c r="AQ617" s="232"/>
      <c r="AR617" s="232"/>
      <c r="AS617" s="232"/>
      <c r="AT617" s="232"/>
      <c r="AU617" s="232"/>
      <c r="AV617" s="232"/>
      <c r="AW617" s="232"/>
      <c r="AX617" s="232"/>
      <c r="AY617" s="232"/>
    </row>
    <row r="618" spans="2:51">
      <c r="B618" s="244"/>
      <c r="C618" s="348"/>
      <c r="D618" s="233"/>
      <c r="E618" s="233"/>
      <c r="F618" s="233"/>
      <c r="G618" s="233"/>
      <c r="H618" s="233"/>
      <c r="I618" s="174"/>
      <c r="J618" s="174"/>
      <c r="K618" s="174"/>
      <c r="L618" s="175"/>
      <c r="M618" s="1300"/>
      <c r="N618" s="1300"/>
      <c r="O618" s="175">
        <v>-3</v>
      </c>
      <c r="P618" s="175">
        <f>O618+1</f>
        <v>-2</v>
      </c>
      <c r="Q618" s="175">
        <f>P618+1</f>
        <v>-1</v>
      </c>
      <c r="R618" s="175">
        <f>Q618+2</f>
        <v>1</v>
      </c>
      <c r="S618" s="175">
        <f>$S$8</f>
        <v>0</v>
      </c>
      <c r="T618" s="175">
        <f>$T$8</f>
        <v>0</v>
      </c>
      <c r="U618" s="175" t="str">
        <f>$U$7</f>
        <v>Revised</v>
      </c>
      <c r="V618" s="175">
        <f>R618+1</f>
        <v>2</v>
      </c>
      <c r="W618" s="175">
        <f>V618+1</f>
        <v>3</v>
      </c>
      <c r="X618" s="175">
        <f t="shared" ref="X618:AU619" si="341">W618+1</f>
        <v>4</v>
      </c>
      <c r="Y618" s="175">
        <f t="shared" si="341"/>
        <v>5</v>
      </c>
      <c r="Z618" s="175">
        <f t="shared" si="341"/>
        <v>6</v>
      </c>
      <c r="AA618" s="175">
        <f t="shared" si="341"/>
        <v>7</v>
      </c>
      <c r="AB618" s="175">
        <f t="shared" si="341"/>
        <v>8</v>
      </c>
      <c r="AC618" s="175">
        <f t="shared" si="341"/>
        <v>9</v>
      </c>
      <c r="AD618" s="175">
        <f t="shared" si="341"/>
        <v>10</v>
      </c>
      <c r="AE618" s="175">
        <f t="shared" si="341"/>
        <v>11</v>
      </c>
      <c r="AF618" s="175">
        <f t="shared" si="341"/>
        <v>12</v>
      </c>
      <c r="AG618" s="175">
        <f t="shared" si="341"/>
        <v>13</v>
      </c>
      <c r="AH618" s="175">
        <f t="shared" si="341"/>
        <v>14</v>
      </c>
      <c r="AI618" s="175">
        <f t="shared" si="341"/>
        <v>15</v>
      </c>
      <c r="AJ618" s="175">
        <f t="shared" si="341"/>
        <v>16</v>
      </c>
      <c r="AK618" s="175">
        <f t="shared" si="341"/>
        <v>17</v>
      </c>
      <c r="AL618" s="175">
        <f t="shared" si="341"/>
        <v>18</v>
      </c>
      <c r="AM618" s="175">
        <f t="shared" si="341"/>
        <v>19</v>
      </c>
      <c r="AN618" s="175">
        <f t="shared" si="341"/>
        <v>20</v>
      </c>
      <c r="AO618" s="175">
        <f t="shared" si="341"/>
        <v>21</v>
      </c>
      <c r="AP618" s="175">
        <f t="shared" si="341"/>
        <v>22</v>
      </c>
      <c r="AQ618" s="175">
        <f t="shared" si="341"/>
        <v>23</v>
      </c>
      <c r="AR618" s="175">
        <f t="shared" si="341"/>
        <v>24</v>
      </c>
      <c r="AS618" s="175">
        <f t="shared" si="341"/>
        <v>25</v>
      </c>
      <c r="AT618" s="175">
        <f t="shared" si="341"/>
        <v>26</v>
      </c>
      <c r="AU618" s="175">
        <f t="shared" si="341"/>
        <v>27</v>
      </c>
      <c r="AV618" s="175"/>
      <c r="AW618" s="175"/>
      <c r="AX618" s="175"/>
      <c r="AY618" s="175"/>
    </row>
    <row r="619" spans="2:51">
      <c r="B619" s="244"/>
      <c r="C619" s="349"/>
      <c r="D619" s="234"/>
      <c r="E619" s="234"/>
      <c r="F619" s="234"/>
      <c r="G619" s="234"/>
      <c r="H619" s="234"/>
      <c r="I619" s="176"/>
      <c r="J619" s="176"/>
      <c r="K619" s="176"/>
      <c r="L619" s="176"/>
      <c r="M619" s="758"/>
      <c r="N619" s="758"/>
      <c r="O619" s="758"/>
      <c r="P619" s="758">
        <f>P8</f>
        <v>0</v>
      </c>
      <c r="Q619" s="758">
        <f>Q8</f>
        <v>0</v>
      </c>
      <c r="R619" s="758">
        <f>Q619+1</f>
        <v>1</v>
      </c>
      <c r="S619" s="758"/>
      <c r="T619" s="758"/>
      <c r="U619" s="758">
        <f>$U$8</f>
        <v>0</v>
      </c>
      <c r="V619" s="758">
        <f>R619+1</f>
        <v>2</v>
      </c>
      <c r="W619" s="758">
        <f>V619+1</f>
        <v>3</v>
      </c>
      <c r="X619" s="758">
        <f t="shared" si="341"/>
        <v>4</v>
      </c>
      <c r="Y619" s="758">
        <f t="shared" si="341"/>
        <v>5</v>
      </c>
      <c r="Z619" s="758">
        <f t="shared" si="341"/>
        <v>6</v>
      </c>
      <c r="AA619" s="758">
        <f t="shared" si="341"/>
        <v>7</v>
      </c>
      <c r="AB619" s="758">
        <f t="shared" si="341"/>
        <v>8</v>
      </c>
      <c r="AC619" s="758">
        <f t="shared" si="341"/>
        <v>9</v>
      </c>
      <c r="AD619" s="758">
        <f t="shared" si="341"/>
        <v>10</v>
      </c>
      <c r="AE619" s="758">
        <f t="shared" si="341"/>
        <v>11</v>
      </c>
      <c r="AF619" s="758">
        <f t="shared" si="341"/>
        <v>12</v>
      </c>
      <c r="AG619" s="758">
        <f t="shared" si="341"/>
        <v>13</v>
      </c>
      <c r="AH619" s="758">
        <f t="shared" si="341"/>
        <v>14</v>
      </c>
      <c r="AI619" s="758">
        <f t="shared" si="341"/>
        <v>15</v>
      </c>
      <c r="AJ619" s="758">
        <f t="shared" si="341"/>
        <v>16</v>
      </c>
      <c r="AK619" s="758">
        <f t="shared" si="341"/>
        <v>17</v>
      </c>
      <c r="AL619" s="758">
        <f t="shared" si="341"/>
        <v>18</v>
      </c>
      <c r="AM619" s="758">
        <f t="shared" si="341"/>
        <v>19</v>
      </c>
      <c r="AN619" s="758">
        <f t="shared" si="341"/>
        <v>20</v>
      </c>
      <c r="AO619" s="758">
        <f t="shared" si="341"/>
        <v>21</v>
      </c>
      <c r="AP619" s="758">
        <f t="shared" si="341"/>
        <v>22</v>
      </c>
      <c r="AQ619" s="758">
        <f t="shared" si="341"/>
        <v>23</v>
      </c>
      <c r="AR619" s="758">
        <f t="shared" si="341"/>
        <v>24</v>
      </c>
      <c r="AS619" s="758">
        <f t="shared" si="341"/>
        <v>25</v>
      </c>
      <c r="AT619" s="758">
        <f t="shared" si="341"/>
        <v>26</v>
      </c>
      <c r="AU619" s="758">
        <f t="shared" si="341"/>
        <v>27</v>
      </c>
      <c r="AV619" s="758"/>
      <c r="AW619" s="758"/>
      <c r="AX619" s="758"/>
      <c r="AY619" s="758"/>
    </row>
    <row r="620" spans="2:51">
      <c r="B620" s="244"/>
      <c r="C620" s="359"/>
      <c r="D620" s="260"/>
      <c r="E620" s="235"/>
      <c r="F620" s="235"/>
      <c r="G620" s="235"/>
      <c r="H620" s="235"/>
      <c r="I620" s="178"/>
      <c r="J620" s="178"/>
      <c r="K620" s="245"/>
      <c r="L620" s="245"/>
      <c r="M620" s="178" t="s">
        <v>499</v>
      </c>
      <c r="N620" s="178" t="s">
        <v>499</v>
      </c>
      <c r="O620" s="178" t="s">
        <v>499</v>
      </c>
      <c r="P620" s="178" t="str">
        <f t="shared" ref="P620:U620" si="342">O620</f>
        <v>($)</v>
      </c>
      <c r="Q620" s="178" t="str">
        <f t="shared" si="342"/>
        <v>($)</v>
      </c>
      <c r="R620" s="178" t="str">
        <f t="shared" si="342"/>
        <v>($)</v>
      </c>
      <c r="S620" s="178" t="str">
        <f t="shared" si="342"/>
        <v>($)</v>
      </c>
      <c r="T620" s="178" t="str">
        <f t="shared" si="342"/>
        <v>($)</v>
      </c>
      <c r="U620" s="178" t="str">
        <f t="shared" si="342"/>
        <v>($)</v>
      </c>
      <c r="V620" s="178" t="str">
        <f>R620</f>
        <v>($)</v>
      </c>
      <c r="W620" s="178" t="str">
        <f>V620</f>
        <v>($)</v>
      </c>
      <c r="X620" s="178" t="str">
        <f t="shared" ref="X620:AU620" si="343">W620</f>
        <v>($)</v>
      </c>
      <c r="Y620" s="178" t="str">
        <f t="shared" si="343"/>
        <v>($)</v>
      </c>
      <c r="Z620" s="178" t="str">
        <f t="shared" si="343"/>
        <v>($)</v>
      </c>
      <c r="AA620" s="178" t="str">
        <f t="shared" si="343"/>
        <v>($)</v>
      </c>
      <c r="AB620" s="178" t="str">
        <f t="shared" si="343"/>
        <v>($)</v>
      </c>
      <c r="AC620" s="178" t="str">
        <f t="shared" si="343"/>
        <v>($)</v>
      </c>
      <c r="AD620" s="178" t="str">
        <f t="shared" si="343"/>
        <v>($)</v>
      </c>
      <c r="AE620" s="178" t="str">
        <f t="shared" si="343"/>
        <v>($)</v>
      </c>
      <c r="AF620" s="178" t="str">
        <f t="shared" si="343"/>
        <v>($)</v>
      </c>
      <c r="AG620" s="178" t="str">
        <f t="shared" si="343"/>
        <v>($)</v>
      </c>
      <c r="AH620" s="178" t="str">
        <f t="shared" si="343"/>
        <v>($)</v>
      </c>
      <c r="AI620" s="178" t="str">
        <f t="shared" si="343"/>
        <v>($)</v>
      </c>
      <c r="AJ620" s="178" t="str">
        <f t="shared" si="343"/>
        <v>($)</v>
      </c>
      <c r="AK620" s="178" t="str">
        <f t="shared" si="343"/>
        <v>($)</v>
      </c>
      <c r="AL620" s="178" t="str">
        <f t="shared" si="343"/>
        <v>($)</v>
      </c>
      <c r="AM620" s="178" t="str">
        <f t="shared" si="343"/>
        <v>($)</v>
      </c>
      <c r="AN620" s="178" t="str">
        <f t="shared" si="343"/>
        <v>($)</v>
      </c>
      <c r="AO620" s="178" t="str">
        <f t="shared" si="343"/>
        <v>($)</v>
      </c>
      <c r="AP620" s="178" t="str">
        <f t="shared" si="343"/>
        <v>($)</v>
      </c>
      <c r="AQ620" s="178" t="str">
        <f t="shared" si="343"/>
        <v>($)</v>
      </c>
      <c r="AR620" s="178" t="str">
        <f t="shared" si="343"/>
        <v>($)</v>
      </c>
      <c r="AS620" s="178" t="str">
        <f t="shared" si="343"/>
        <v>($)</v>
      </c>
      <c r="AT620" s="178" t="str">
        <f t="shared" si="343"/>
        <v>($)</v>
      </c>
      <c r="AU620" s="178" t="str">
        <f t="shared" si="343"/>
        <v>($)</v>
      </c>
      <c r="AV620" s="178"/>
      <c r="AW620" s="178"/>
      <c r="AX620" s="178"/>
      <c r="AY620" s="178"/>
    </row>
    <row r="621" spans="2:51" ht="15.75" customHeight="1">
      <c r="B621" s="244"/>
      <c r="C621" s="237"/>
      <c r="D621" s="237"/>
      <c r="E621" s="237"/>
      <c r="F621" s="237"/>
      <c r="G621" s="237"/>
      <c r="H621" s="237"/>
      <c r="I621" s="627"/>
      <c r="J621" s="273"/>
      <c r="K621" s="273"/>
      <c r="L621" s="273"/>
      <c r="M621" s="185"/>
      <c r="U621" s="577">
        <f t="shared" si="319"/>
        <v>0</v>
      </c>
      <c r="X621" s="577"/>
      <c r="Y621" s="577"/>
      <c r="Z621" s="577"/>
      <c r="AA621" s="577"/>
      <c r="AB621" s="577"/>
      <c r="AC621" s="577"/>
      <c r="AD621" s="577"/>
      <c r="AE621" s="577"/>
      <c r="AF621" s="577"/>
      <c r="AG621" s="577"/>
      <c r="AH621" s="577"/>
      <c r="AI621" s="577"/>
      <c r="AJ621" s="577"/>
      <c r="AK621" s="577"/>
      <c r="AL621" s="577"/>
      <c r="AM621" s="577"/>
      <c r="AN621" s="577"/>
      <c r="AO621" s="577"/>
      <c r="AP621" s="577"/>
      <c r="AQ621" s="577"/>
      <c r="AR621" s="577"/>
      <c r="AS621" s="577"/>
      <c r="AT621" s="577"/>
      <c r="AU621" s="577"/>
      <c r="AV621" s="577"/>
      <c r="AW621" s="577"/>
      <c r="AX621" s="577"/>
      <c r="AY621" s="577"/>
    </row>
    <row r="622" spans="2:51" s="214" customFormat="1" ht="14.25" customHeight="1">
      <c r="B622" s="244"/>
      <c r="C622" s="380" t="s">
        <v>1048</v>
      </c>
      <c r="D622" s="242"/>
      <c r="E622" s="242"/>
      <c r="F622" s="242"/>
      <c r="G622" s="242"/>
      <c r="H622" s="242"/>
      <c r="I622" s="275"/>
      <c r="J622" s="246"/>
      <c r="K622" s="246"/>
      <c r="L622" s="246"/>
      <c r="M622" s="215"/>
      <c r="U622" s="214">
        <f t="shared" si="319"/>
        <v>0</v>
      </c>
    </row>
    <row r="623" spans="2:51" s="214" customFormat="1" ht="14.25" customHeight="1">
      <c r="B623" s="244"/>
      <c r="C623" s="380" t="s">
        <v>1074</v>
      </c>
      <c r="D623" s="242"/>
      <c r="E623" s="242"/>
      <c r="F623" s="242"/>
      <c r="G623" s="242"/>
      <c r="H623" s="242"/>
      <c r="I623" s="275"/>
      <c r="J623" s="246"/>
      <c r="K623" s="246"/>
      <c r="L623" s="246"/>
      <c r="M623" s="215"/>
      <c r="U623" s="214">
        <f t="shared" si="319"/>
        <v>0</v>
      </c>
    </row>
    <row r="624" spans="2:51" s="214" customFormat="1" ht="14.25" customHeight="1">
      <c r="B624" s="244"/>
      <c r="C624" s="353" t="s">
        <v>1075</v>
      </c>
      <c r="D624" s="242"/>
      <c r="F624" s="242"/>
      <c r="G624" s="242"/>
      <c r="H624" s="242"/>
      <c r="I624" s="275"/>
      <c r="J624" s="246"/>
      <c r="K624" s="246"/>
      <c r="L624" s="246"/>
      <c r="M624" s="215"/>
      <c r="P624" s="1276">
        <v>0.09</v>
      </c>
      <c r="Q624" s="336">
        <f>P624</f>
        <v>0.09</v>
      </c>
      <c r="R624" s="336">
        <f>Q624</f>
        <v>0.09</v>
      </c>
      <c r="S624" s="336"/>
      <c r="T624" s="336">
        <f>S624</f>
        <v>0</v>
      </c>
      <c r="U624" s="336">
        <f t="shared" si="319"/>
        <v>0</v>
      </c>
      <c r="V624" s="336">
        <f>R624</f>
        <v>0.09</v>
      </c>
      <c r="W624" s="336"/>
      <c r="X624" s="336"/>
      <c r="Y624" s="336"/>
      <c r="Z624" s="336"/>
      <c r="AA624" s="336"/>
      <c r="AB624" s="336"/>
      <c r="AC624" s="336"/>
      <c r="AD624" s="336"/>
      <c r="AE624" s="336"/>
      <c r="AF624" s="336"/>
      <c r="AG624" s="336"/>
      <c r="AH624" s="336"/>
      <c r="AI624" s="336"/>
      <c r="AJ624" s="336"/>
      <c r="AK624" s="336"/>
      <c r="AL624" s="336"/>
      <c r="AM624" s="336"/>
      <c r="AN624" s="336"/>
      <c r="AO624" s="336"/>
      <c r="AP624" s="336"/>
      <c r="AQ624" s="336"/>
      <c r="AR624" s="336"/>
      <c r="AS624" s="336"/>
      <c r="AT624" s="336"/>
      <c r="AU624" s="336"/>
    </row>
    <row r="625" spans="2:51" s="214" customFormat="1" ht="14.25" customHeight="1">
      <c r="B625" s="244"/>
      <c r="C625" s="353" t="s">
        <v>1076</v>
      </c>
      <c r="D625" s="242"/>
      <c r="F625" s="242"/>
      <c r="G625" s="242"/>
      <c r="H625" s="242"/>
      <c r="I625" s="275"/>
      <c r="J625" s="246"/>
      <c r="K625" s="246"/>
      <c r="L625" s="246"/>
      <c r="M625" s="215"/>
      <c r="P625" s="1276">
        <v>0.87</v>
      </c>
      <c r="Q625" s="336">
        <f t="shared" ref="Q625:T627" si="344">P625</f>
        <v>0.87</v>
      </c>
      <c r="R625" s="336">
        <f t="shared" si="344"/>
        <v>0.87</v>
      </c>
      <c r="S625" s="336"/>
      <c r="T625" s="336">
        <f t="shared" si="344"/>
        <v>0</v>
      </c>
      <c r="U625" s="336">
        <f t="shared" si="319"/>
        <v>0</v>
      </c>
      <c r="V625" s="336">
        <f>R625</f>
        <v>0.87</v>
      </c>
      <c r="W625" s="336"/>
      <c r="X625" s="336"/>
      <c r="Y625" s="336"/>
      <c r="Z625" s="336"/>
      <c r="AA625" s="336"/>
      <c r="AB625" s="336"/>
      <c r="AC625" s="336"/>
      <c r="AD625" s="336"/>
      <c r="AE625" s="336"/>
      <c r="AF625" s="336"/>
      <c r="AG625" s="336"/>
      <c r="AH625" s="336"/>
      <c r="AI625" s="336"/>
      <c r="AJ625" s="336"/>
      <c r="AK625" s="336"/>
      <c r="AL625" s="336"/>
      <c r="AM625" s="336"/>
      <c r="AN625" s="336"/>
      <c r="AO625" s="336"/>
      <c r="AP625" s="336"/>
      <c r="AQ625" s="336"/>
      <c r="AR625" s="336"/>
      <c r="AS625" s="336"/>
      <c r="AT625" s="336"/>
      <c r="AU625" s="336"/>
    </row>
    <row r="626" spans="2:51" s="214" customFormat="1" ht="14.25" customHeight="1">
      <c r="B626" s="244"/>
      <c r="C626" s="353" t="s">
        <v>1077</v>
      </c>
      <c r="D626" s="242"/>
      <c r="F626" s="242"/>
      <c r="G626" s="242"/>
      <c r="H626" s="242"/>
      <c r="I626" s="275"/>
      <c r="J626" s="246"/>
      <c r="K626" s="246"/>
      <c r="L626" s="246"/>
      <c r="M626" s="215"/>
      <c r="P626" s="1276">
        <v>0.01</v>
      </c>
      <c r="Q626" s="336">
        <f t="shared" si="344"/>
        <v>0.01</v>
      </c>
      <c r="R626" s="336">
        <f t="shared" si="344"/>
        <v>0.01</v>
      </c>
      <c r="S626" s="336"/>
      <c r="T626" s="336">
        <f t="shared" si="344"/>
        <v>0</v>
      </c>
      <c r="U626" s="336">
        <f t="shared" si="319"/>
        <v>0</v>
      </c>
      <c r="V626" s="336">
        <f>R626</f>
        <v>0.01</v>
      </c>
      <c r="W626" s="336"/>
      <c r="X626" s="336"/>
      <c r="Y626" s="336"/>
      <c r="Z626" s="336"/>
      <c r="AA626" s="336"/>
      <c r="AB626" s="336"/>
      <c r="AC626" s="336"/>
      <c r="AD626" s="336"/>
      <c r="AE626" s="336"/>
      <c r="AF626" s="336"/>
      <c r="AG626" s="336"/>
      <c r="AH626" s="336"/>
      <c r="AI626" s="336"/>
      <c r="AJ626" s="336"/>
      <c r="AK626" s="336"/>
      <c r="AL626" s="336"/>
      <c r="AM626" s="336"/>
      <c r="AN626" s="336"/>
      <c r="AO626" s="336"/>
      <c r="AP626" s="336"/>
      <c r="AQ626" s="336"/>
      <c r="AR626" s="336"/>
      <c r="AS626" s="336"/>
      <c r="AT626" s="336"/>
      <c r="AU626" s="336"/>
    </row>
    <row r="627" spans="2:51" s="214" customFormat="1" ht="14.25" customHeight="1">
      <c r="B627" s="244"/>
      <c r="C627" s="353" t="s">
        <v>1078</v>
      </c>
      <c r="D627" s="242"/>
      <c r="F627" s="242"/>
      <c r="G627" s="242"/>
      <c r="H627" s="242"/>
      <c r="I627" s="275"/>
      <c r="J627" s="246"/>
      <c r="K627" s="246"/>
      <c r="L627" s="246"/>
      <c r="M627" s="215"/>
      <c r="P627" s="1276">
        <v>0.03</v>
      </c>
      <c r="Q627" s="336">
        <f t="shared" si="344"/>
        <v>0.03</v>
      </c>
      <c r="R627" s="336">
        <f t="shared" si="344"/>
        <v>0.03</v>
      </c>
      <c r="S627" s="336"/>
      <c r="T627" s="336">
        <f t="shared" si="344"/>
        <v>0</v>
      </c>
      <c r="U627" s="336">
        <f t="shared" si="319"/>
        <v>0</v>
      </c>
      <c r="V627" s="336">
        <f>R627</f>
        <v>0.03</v>
      </c>
      <c r="W627" s="336"/>
      <c r="X627" s="336"/>
      <c r="Y627" s="336"/>
      <c r="Z627" s="336"/>
      <c r="AA627" s="336"/>
      <c r="AB627" s="336"/>
      <c r="AC627" s="336"/>
      <c r="AD627" s="336"/>
      <c r="AE627" s="336"/>
      <c r="AF627" s="336"/>
      <c r="AG627" s="336"/>
      <c r="AH627" s="336"/>
      <c r="AI627" s="336"/>
      <c r="AJ627" s="336"/>
      <c r="AK627" s="336"/>
      <c r="AL627" s="336"/>
      <c r="AM627" s="336"/>
      <c r="AN627" s="336"/>
      <c r="AO627" s="336"/>
      <c r="AP627" s="336"/>
      <c r="AQ627" s="336"/>
      <c r="AR627" s="336"/>
      <c r="AS627" s="336"/>
      <c r="AT627" s="336"/>
      <c r="AU627" s="336"/>
    </row>
    <row r="628" spans="2:51" s="214" customFormat="1" ht="14.25" customHeight="1">
      <c r="B628" s="244"/>
      <c r="C628" s="371" t="s">
        <v>1079</v>
      </c>
      <c r="D628" s="242"/>
      <c r="E628" s="242"/>
      <c r="F628" s="242"/>
      <c r="G628" s="242"/>
      <c r="H628" s="242"/>
      <c r="I628" s="275"/>
      <c r="J628" s="246"/>
      <c r="K628" s="246"/>
      <c r="L628" s="246"/>
      <c r="M628" s="215"/>
      <c r="U628" s="214">
        <f t="shared" si="319"/>
        <v>0</v>
      </c>
    </row>
    <row r="629" spans="2:51" s="214" customFormat="1" ht="14.25" customHeight="1">
      <c r="B629" s="244"/>
      <c r="C629" s="353" t="s">
        <v>1075</v>
      </c>
      <c r="D629" s="242"/>
      <c r="E629" s="242"/>
      <c r="F629" s="242"/>
      <c r="G629" s="242"/>
      <c r="H629" s="242"/>
      <c r="I629" s="275"/>
      <c r="J629" s="246"/>
      <c r="K629" s="246"/>
      <c r="L629" s="246"/>
      <c r="M629" s="215"/>
      <c r="P629" s="214">
        <v>2.5000000000000001E-2</v>
      </c>
      <c r="Q629" s="214">
        <f>P629</f>
        <v>2.5000000000000001E-2</v>
      </c>
      <c r="R629" s="214">
        <f t="shared" ref="R629:AJ632" si="345">Q629</f>
        <v>2.5000000000000001E-2</v>
      </c>
      <c r="T629" s="214">
        <f t="shared" si="345"/>
        <v>0</v>
      </c>
      <c r="U629" s="214">
        <f t="shared" si="319"/>
        <v>0</v>
      </c>
      <c r="V629" s="214">
        <f>R629</f>
        <v>2.5000000000000001E-2</v>
      </c>
      <c r="W629" s="214">
        <f t="shared" si="345"/>
        <v>2.5000000000000001E-2</v>
      </c>
      <c r="X629" s="214">
        <f t="shared" si="345"/>
        <v>2.5000000000000001E-2</v>
      </c>
      <c r="Y629" s="214">
        <f t="shared" si="345"/>
        <v>2.5000000000000001E-2</v>
      </c>
      <c r="Z629" s="214">
        <f t="shared" si="345"/>
        <v>2.5000000000000001E-2</v>
      </c>
      <c r="AA629" s="214">
        <f t="shared" si="345"/>
        <v>2.5000000000000001E-2</v>
      </c>
      <c r="AB629" s="214">
        <f t="shared" si="345"/>
        <v>2.5000000000000001E-2</v>
      </c>
      <c r="AC629" s="214">
        <f t="shared" si="345"/>
        <v>2.5000000000000001E-2</v>
      </c>
      <c r="AD629" s="214">
        <f t="shared" si="345"/>
        <v>2.5000000000000001E-2</v>
      </c>
      <c r="AE629" s="214">
        <f t="shared" si="345"/>
        <v>2.5000000000000001E-2</v>
      </c>
      <c r="AF629" s="214">
        <f t="shared" si="345"/>
        <v>2.5000000000000001E-2</v>
      </c>
      <c r="AG629" s="214">
        <f t="shared" si="345"/>
        <v>2.5000000000000001E-2</v>
      </c>
      <c r="AH629" s="214">
        <f t="shared" si="345"/>
        <v>2.5000000000000001E-2</v>
      </c>
      <c r="AI629" s="214">
        <f t="shared" si="345"/>
        <v>2.5000000000000001E-2</v>
      </c>
      <c r="AJ629" s="214">
        <f t="shared" si="345"/>
        <v>2.5000000000000001E-2</v>
      </c>
      <c r="AK629" s="214">
        <f t="shared" ref="AJ629:AU632" si="346">AJ629</f>
        <v>2.5000000000000001E-2</v>
      </c>
      <c r="AL629" s="214">
        <f t="shared" si="346"/>
        <v>2.5000000000000001E-2</v>
      </c>
      <c r="AM629" s="214">
        <f t="shared" si="346"/>
        <v>2.5000000000000001E-2</v>
      </c>
      <c r="AN629" s="214">
        <f t="shared" si="346"/>
        <v>2.5000000000000001E-2</v>
      </c>
      <c r="AO629" s="214">
        <f t="shared" si="346"/>
        <v>2.5000000000000001E-2</v>
      </c>
      <c r="AP629" s="214">
        <f t="shared" si="346"/>
        <v>2.5000000000000001E-2</v>
      </c>
      <c r="AQ629" s="214">
        <f t="shared" si="346"/>
        <v>2.5000000000000001E-2</v>
      </c>
      <c r="AR629" s="214">
        <f t="shared" si="346"/>
        <v>2.5000000000000001E-2</v>
      </c>
      <c r="AS629" s="214">
        <f t="shared" si="346"/>
        <v>2.5000000000000001E-2</v>
      </c>
      <c r="AT629" s="214">
        <f t="shared" si="346"/>
        <v>2.5000000000000001E-2</v>
      </c>
      <c r="AU629" s="214">
        <f t="shared" si="346"/>
        <v>2.5000000000000001E-2</v>
      </c>
    </row>
    <row r="630" spans="2:51" s="214" customFormat="1" ht="14.25" customHeight="1">
      <c r="B630" s="244"/>
      <c r="C630" s="353" t="s">
        <v>1076</v>
      </c>
      <c r="D630" s="242"/>
      <c r="E630" s="242"/>
      <c r="F630" s="242"/>
      <c r="G630" s="242"/>
      <c r="H630" s="242"/>
      <c r="I630" s="275"/>
      <c r="J630" s="246"/>
      <c r="K630" s="246"/>
      <c r="L630" s="246"/>
      <c r="M630" s="215"/>
      <c r="P630" s="214">
        <v>0.1</v>
      </c>
      <c r="Q630" s="214">
        <f>P630</f>
        <v>0.1</v>
      </c>
      <c r="R630" s="214">
        <f t="shared" si="345"/>
        <v>0.1</v>
      </c>
      <c r="T630" s="214">
        <f t="shared" si="345"/>
        <v>0</v>
      </c>
      <c r="U630" s="214">
        <f t="shared" si="319"/>
        <v>0</v>
      </c>
      <c r="V630" s="214">
        <f>R630</f>
        <v>0.1</v>
      </c>
      <c r="W630" s="214">
        <f t="shared" si="345"/>
        <v>0.1</v>
      </c>
      <c r="X630" s="214">
        <f t="shared" si="345"/>
        <v>0.1</v>
      </c>
      <c r="Y630" s="214">
        <f t="shared" si="345"/>
        <v>0.1</v>
      </c>
      <c r="Z630" s="214">
        <f t="shared" si="345"/>
        <v>0.1</v>
      </c>
      <c r="AA630" s="214">
        <f t="shared" si="345"/>
        <v>0.1</v>
      </c>
      <c r="AB630" s="214">
        <f t="shared" si="345"/>
        <v>0.1</v>
      </c>
      <c r="AC630" s="214">
        <f t="shared" si="345"/>
        <v>0.1</v>
      </c>
      <c r="AD630" s="214">
        <f t="shared" si="345"/>
        <v>0.1</v>
      </c>
      <c r="AE630" s="214">
        <f t="shared" si="345"/>
        <v>0.1</v>
      </c>
      <c r="AF630" s="214">
        <f t="shared" si="345"/>
        <v>0.1</v>
      </c>
      <c r="AG630" s="214">
        <f t="shared" si="345"/>
        <v>0.1</v>
      </c>
      <c r="AH630" s="214">
        <f t="shared" si="345"/>
        <v>0.1</v>
      </c>
      <c r="AI630" s="214">
        <f t="shared" si="345"/>
        <v>0.1</v>
      </c>
      <c r="AJ630" s="214">
        <f t="shared" si="346"/>
        <v>0.1</v>
      </c>
      <c r="AK630" s="214">
        <f t="shared" si="346"/>
        <v>0.1</v>
      </c>
      <c r="AL630" s="214">
        <f t="shared" si="346"/>
        <v>0.1</v>
      </c>
      <c r="AM630" s="214">
        <f t="shared" si="346"/>
        <v>0.1</v>
      </c>
      <c r="AN630" s="214">
        <f t="shared" si="346"/>
        <v>0.1</v>
      </c>
      <c r="AO630" s="214">
        <f t="shared" si="346"/>
        <v>0.1</v>
      </c>
      <c r="AP630" s="214">
        <f t="shared" si="346"/>
        <v>0.1</v>
      </c>
      <c r="AQ630" s="214">
        <f t="shared" si="346"/>
        <v>0.1</v>
      </c>
      <c r="AR630" s="214">
        <f t="shared" si="346"/>
        <v>0.1</v>
      </c>
      <c r="AS630" s="214">
        <f t="shared" si="346"/>
        <v>0.1</v>
      </c>
      <c r="AT630" s="214">
        <f t="shared" si="346"/>
        <v>0.1</v>
      </c>
      <c r="AU630" s="214">
        <f t="shared" si="346"/>
        <v>0.1</v>
      </c>
    </row>
    <row r="631" spans="2:51" s="214" customFormat="1" ht="14.25" customHeight="1">
      <c r="B631" s="244"/>
      <c r="C631" s="353" t="s">
        <v>1077</v>
      </c>
      <c r="D631" s="242"/>
      <c r="E631" s="242"/>
      <c r="F631" s="242"/>
      <c r="G631" s="242"/>
      <c r="H631" s="242"/>
      <c r="I631" s="275"/>
      <c r="J631" s="246"/>
      <c r="K631" s="246"/>
      <c r="L631" s="246"/>
      <c r="M631" s="215"/>
      <c r="P631" s="214">
        <v>0.16664999999999999</v>
      </c>
      <c r="Q631" s="214">
        <f>P631</f>
        <v>0.16664999999999999</v>
      </c>
      <c r="R631" s="214">
        <f t="shared" si="345"/>
        <v>0.16664999999999999</v>
      </c>
      <c r="T631" s="214">
        <f t="shared" si="345"/>
        <v>0</v>
      </c>
      <c r="U631" s="214">
        <f t="shared" si="319"/>
        <v>0</v>
      </c>
      <c r="V631" s="214">
        <f>R631</f>
        <v>0.16664999999999999</v>
      </c>
      <c r="W631" s="214">
        <f t="shared" si="345"/>
        <v>0.16664999999999999</v>
      </c>
      <c r="X631" s="214">
        <f t="shared" si="345"/>
        <v>0.16664999999999999</v>
      </c>
      <c r="Y631" s="214">
        <f t="shared" si="345"/>
        <v>0.16664999999999999</v>
      </c>
      <c r="Z631" s="214">
        <f t="shared" si="345"/>
        <v>0.16664999999999999</v>
      </c>
      <c r="AA631" s="214">
        <f t="shared" si="345"/>
        <v>0.16664999999999999</v>
      </c>
      <c r="AB631" s="214">
        <f t="shared" si="345"/>
        <v>0.16664999999999999</v>
      </c>
      <c r="AC631" s="214">
        <f t="shared" si="345"/>
        <v>0.16664999999999999</v>
      </c>
      <c r="AD631" s="214">
        <f t="shared" si="345"/>
        <v>0.16664999999999999</v>
      </c>
      <c r="AE631" s="214">
        <f t="shared" si="345"/>
        <v>0.16664999999999999</v>
      </c>
      <c r="AF631" s="214">
        <f t="shared" si="345"/>
        <v>0.16664999999999999</v>
      </c>
      <c r="AG631" s="214">
        <f t="shared" si="345"/>
        <v>0.16664999999999999</v>
      </c>
      <c r="AH631" s="214">
        <f t="shared" si="345"/>
        <v>0.16664999999999999</v>
      </c>
      <c r="AI631" s="214">
        <f t="shared" si="345"/>
        <v>0.16664999999999999</v>
      </c>
      <c r="AJ631" s="214">
        <f t="shared" si="345"/>
        <v>0.16664999999999999</v>
      </c>
      <c r="AK631" s="214">
        <f t="shared" si="346"/>
        <v>0.16664999999999999</v>
      </c>
      <c r="AL631" s="214">
        <f t="shared" si="346"/>
        <v>0.16664999999999999</v>
      </c>
      <c r="AM631" s="214">
        <f t="shared" si="346"/>
        <v>0.16664999999999999</v>
      </c>
      <c r="AN631" s="214">
        <f t="shared" si="346"/>
        <v>0.16664999999999999</v>
      </c>
      <c r="AO631" s="214">
        <f t="shared" si="346"/>
        <v>0.16664999999999999</v>
      </c>
      <c r="AP631" s="214">
        <f t="shared" si="346"/>
        <v>0.16664999999999999</v>
      </c>
      <c r="AQ631" s="214">
        <f t="shared" si="346"/>
        <v>0.16664999999999999</v>
      </c>
      <c r="AR631" s="214">
        <f t="shared" si="346"/>
        <v>0.16664999999999999</v>
      </c>
      <c r="AS631" s="214">
        <f t="shared" si="346"/>
        <v>0.16664999999999999</v>
      </c>
      <c r="AT631" s="214">
        <f t="shared" si="346"/>
        <v>0.16664999999999999</v>
      </c>
      <c r="AU631" s="214">
        <f t="shared" si="346"/>
        <v>0.16664999999999999</v>
      </c>
    </row>
    <row r="632" spans="2:51" s="214" customFormat="1" ht="14.25" customHeight="1">
      <c r="B632" s="244"/>
      <c r="C632" s="353" t="s">
        <v>1078</v>
      </c>
      <c r="D632" s="242"/>
      <c r="E632" s="242"/>
      <c r="F632" s="242"/>
      <c r="G632" s="242"/>
      <c r="H632" s="242"/>
      <c r="I632" s="275"/>
      <c r="J632" s="246"/>
      <c r="K632" s="246"/>
      <c r="L632" s="246"/>
      <c r="M632" s="215"/>
      <c r="P632" s="214">
        <v>0</v>
      </c>
      <c r="Q632" s="214">
        <f>P632</f>
        <v>0</v>
      </c>
      <c r="R632" s="214">
        <f t="shared" si="345"/>
        <v>0</v>
      </c>
      <c r="T632" s="214">
        <f t="shared" si="345"/>
        <v>0</v>
      </c>
      <c r="U632" s="214">
        <f t="shared" si="319"/>
        <v>0</v>
      </c>
      <c r="V632" s="214">
        <f>R632</f>
        <v>0</v>
      </c>
      <c r="W632" s="214">
        <f t="shared" si="345"/>
        <v>0</v>
      </c>
      <c r="X632" s="214">
        <f t="shared" si="345"/>
        <v>0</v>
      </c>
      <c r="Y632" s="214">
        <f t="shared" si="345"/>
        <v>0</v>
      </c>
      <c r="Z632" s="214">
        <f t="shared" si="345"/>
        <v>0</v>
      </c>
      <c r="AA632" s="214">
        <f t="shared" si="345"/>
        <v>0</v>
      </c>
      <c r="AB632" s="214">
        <f t="shared" si="345"/>
        <v>0</v>
      </c>
      <c r="AC632" s="214">
        <f t="shared" si="345"/>
        <v>0</v>
      </c>
      <c r="AD632" s="214">
        <f t="shared" si="345"/>
        <v>0</v>
      </c>
      <c r="AE632" s="214">
        <f t="shared" si="345"/>
        <v>0</v>
      </c>
      <c r="AF632" s="214">
        <f t="shared" si="345"/>
        <v>0</v>
      </c>
      <c r="AG632" s="214">
        <f t="shared" si="345"/>
        <v>0</v>
      </c>
      <c r="AH632" s="214">
        <f t="shared" si="345"/>
        <v>0</v>
      </c>
      <c r="AI632" s="214">
        <f t="shared" si="345"/>
        <v>0</v>
      </c>
      <c r="AJ632" s="214">
        <f t="shared" si="345"/>
        <v>0</v>
      </c>
      <c r="AK632" s="214">
        <f t="shared" si="346"/>
        <v>0</v>
      </c>
      <c r="AL632" s="214">
        <f t="shared" si="346"/>
        <v>0</v>
      </c>
      <c r="AM632" s="214">
        <f t="shared" si="346"/>
        <v>0</v>
      </c>
      <c r="AN632" s="214">
        <f t="shared" si="346"/>
        <v>0</v>
      </c>
      <c r="AO632" s="214">
        <f t="shared" si="346"/>
        <v>0</v>
      </c>
      <c r="AP632" s="214">
        <f t="shared" si="346"/>
        <v>0</v>
      </c>
      <c r="AQ632" s="214">
        <f t="shared" si="346"/>
        <v>0</v>
      </c>
      <c r="AR632" s="214">
        <f t="shared" si="346"/>
        <v>0</v>
      </c>
      <c r="AS632" s="214">
        <f t="shared" si="346"/>
        <v>0</v>
      </c>
      <c r="AT632" s="214">
        <f t="shared" si="346"/>
        <v>0</v>
      </c>
      <c r="AU632" s="214">
        <f t="shared" si="346"/>
        <v>0</v>
      </c>
    </row>
    <row r="633" spans="2:51" s="1208" customFormat="1" ht="15.75" customHeight="1">
      <c r="C633" s="380" t="s">
        <v>1080</v>
      </c>
      <c r="D633" s="380"/>
      <c r="E633" s="380"/>
      <c r="F633" s="380"/>
      <c r="G633" s="380"/>
      <c r="H633" s="380"/>
      <c r="I633" s="1244"/>
      <c r="J633" s="1244"/>
      <c r="K633" s="1244"/>
      <c r="L633" s="1244"/>
      <c r="M633" s="1244">
        <f t="shared" ref="M633:AU633" si="347">SUM(M634:M637)</f>
        <v>0</v>
      </c>
      <c r="N633" s="1244">
        <f t="shared" si="347"/>
        <v>0</v>
      </c>
      <c r="O633" s="1244">
        <f t="shared" si="347"/>
        <v>0</v>
      </c>
      <c r="P633" s="1244"/>
      <c r="Q633" s="1244">
        <f>194300395-23000000</f>
        <v>171300395</v>
      </c>
      <c r="R633" s="1244">
        <f>288711000-23853000</f>
        <v>264858000</v>
      </c>
      <c r="S633" s="1244">
        <v>141000000</v>
      </c>
      <c r="T633" s="1244">
        <f>256584315-141000000</f>
        <v>115584315</v>
      </c>
      <c r="U633" s="1244">
        <v>256584315</v>
      </c>
      <c r="V633" s="1244">
        <v>31999000</v>
      </c>
      <c r="W633" s="1244">
        <f t="shared" si="347"/>
        <v>0</v>
      </c>
      <c r="X633" s="1244">
        <f t="shared" si="347"/>
        <v>0</v>
      </c>
      <c r="Y633" s="1244">
        <f t="shared" si="347"/>
        <v>0</v>
      </c>
      <c r="Z633" s="1244">
        <f t="shared" si="347"/>
        <v>0</v>
      </c>
      <c r="AA633" s="1244">
        <f t="shared" si="347"/>
        <v>0</v>
      </c>
      <c r="AB633" s="1244">
        <f t="shared" si="347"/>
        <v>0</v>
      </c>
      <c r="AC633" s="1244">
        <f t="shared" si="347"/>
        <v>0</v>
      </c>
      <c r="AD633" s="1244">
        <f t="shared" si="347"/>
        <v>0</v>
      </c>
      <c r="AE633" s="1244">
        <f t="shared" si="347"/>
        <v>0</v>
      </c>
      <c r="AF633" s="1244">
        <f t="shared" si="347"/>
        <v>0</v>
      </c>
      <c r="AG633" s="1244">
        <f t="shared" si="347"/>
        <v>0</v>
      </c>
      <c r="AH633" s="1244">
        <f t="shared" si="347"/>
        <v>0</v>
      </c>
      <c r="AI633" s="1244">
        <f t="shared" si="347"/>
        <v>0</v>
      </c>
      <c r="AJ633" s="1244">
        <f t="shared" si="347"/>
        <v>0</v>
      </c>
      <c r="AK633" s="1244">
        <f t="shared" si="347"/>
        <v>0</v>
      </c>
      <c r="AL633" s="1244">
        <f t="shared" si="347"/>
        <v>0</v>
      </c>
      <c r="AM633" s="1244">
        <f t="shared" si="347"/>
        <v>0</v>
      </c>
      <c r="AN633" s="1244">
        <f t="shared" si="347"/>
        <v>0</v>
      </c>
      <c r="AO633" s="1244">
        <f t="shared" si="347"/>
        <v>0</v>
      </c>
      <c r="AP633" s="1244">
        <f t="shared" si="347"/>
        <v>0</v>
      </c>
      <c r="AQ633" s="1244">
        <f t="shared" si="347"/>
        <v>0</v>
      </c>
      <c r="AR633" s="1244">
        <f t="shared" si="347"/>
        <v>0</v>
      </c>
      <c r="AS633" s="1244">
        <f t="shared" si="347"/>
        <v>0</v>
      </c>
      <c r="AT633" s="1244">
        <f t="shared" si="347"/>
        <v>0</v>
      </c>
      <c r="AU633" s="1244">
        <f t="shared" si="347"/>
        <v>0</v>
      </c>
      <c r="AV633" s="1244"/>
      <c r="AW633" s="1244"/>
      <c r="AX633" s="1244"/>
      <c r="AY633" s="1244"/>
    </row>
    <row r="634" spans="2:51" s="214" customFormat="1" ht="15.75" customHeight="1">
      <c r="C634" s="371" t="s">
        <v>725</v>
      </c>
      <c r="D634" s="242"/>
      <c r="E634" s="242"/>
      <c r="F634" s="242"/>
      <c r="G634" s="242"/>
      <c r="H634" s="242"/>
      <c r="I634" s="269"/>
      <c r="J634" s="269"/>
      <c r="K634" s="269"/>
      <c r="L634" s="269"/>
      <c r="M634" s="269"/>
      <c r="N634" s="1276"/>
      <c r="O634" s="269"/>
      <c r="P634" s="269">
        <v>115413340.77214804</v>
      </c>
      <c r="Q634" s="269"/>
      <c r="R634" s="269"/>
      <c r="S634" s="269"/>
      <c r="T634" s="269"/>
      <c r="U634" s="269">
        <f t="shared" si="319"/>
        <v>0</v>
      </c>
      <c r="V634" s="269">
        <v>0</v>
      </c>
      <c r="W634" s="269">
        <v>0</v>
      </c>
      <c r="X634" s="269">
        <v>0</v>
      </c>
      <c r="Y634" s="269">
        <v>0</v>
      </c>
      <c r="Z634" s="269">
        <v>0</v>
      </c>
      <c r="AA634" s="269">
        <v>0</v>
      </c>
      <c r="AB634" s="269">
        <v>0</v>
      </c>
      <c r="AC634" s="269">
        <v>0</v>
      </c>
      <c r="AD634" s="269">
        <v>0</v>
      </c>
      <c r="AE634" s="269">
        <v>0</v>
      </c>
      <c r="AF634" s="269">
        <v>0</v>
      </c>
      <c r="AG634" s="269">
        <v>0</v>
      </c>
      <c r="AH634" s="269">
        <v>0</v>
      </c>
      <c r="AI634" s="269">
        <v>0</v>
      </c>
      <c r="AJ634" s="269">
        <v>0</v>
      </c>
      <c r="AK634" s="269">
        <v>0</v>
      </c>
      <c r="AL634" s="269">
        <v>0</v>
      </c>
      <c r="AM634" s="269">
        <v>0</v>
      </c>
      <c r="AN634" s="269">
        <v>0</v>
      </c>
      <c r="AO634" s="269">
        <v>0</v>
      </c>
      <c r="AP634" s="269">
        <v>0</v>
      </c>
      <c r="AQ634" s="269">
        <v>0</v>
      </c>
      <c r="AR634" s="269">
        <v>0</v>
      </c>
      <c r="AS634" s="269">
        <v>0</v>
      </c>
      <c r="AT634" s="269">
        <v>0</v>
      </c>
      <c r="AU634" s="269">
        <v>0</v>
      </c>
      <c r="AV634" s="269"/>
      <c r="AW634" s="269"/>
      <c r="AX634" s="269"/>
      <c r="AY634" s="269"/>
    </row>
    <row r="635" spans="2:51" s="214" customFormat="1" ht="15.75" customHeight="1">
      <c r="C635" s="371" t="s">
        <v>726</v>
      </c>
      <c r="D635" s="242"/>
      <c r="E635" s="242"/>
      <c r="F635" s="242"/>
      <c r="G635" s="242"/>
      <c r="H635" s="242"/>
      <c r="I635" s="269"/>
      <c r="J635" s="269"/>
      <c r="K635" s="269"/>
      <c r="L635" s="269"/>
      <c r="M635" s="269"/>
      <c r="N635" s="1276"/>
      <c r="O635" s="269"/>
      <c r="P635" s="269">
        <v>55050493.895633928</v>
      </c>
      <c r="Q635" s="269"/>
      <c r="R635" s="269"/>
      <c r="S635" s="269"/>
      <c r="T635" s="269"/>
      <c r="U635" s="269">
        <f t="shared" si="319"/>
        <v>0</v>
      </c>
      <c r="V635" s="269">
        <v>0</v>
      </c>
      <c r="W635" s="269">
        <v>0</v>
      </c>
      <c r="X635" s="269">
        <v>0</v>
      </c>
      <c r="Y635" s="269">
        <v>0</v>
      </c>
      <c r="Z635" s="269">
        <v>0</v>
      </c>
      <c r="AA635" s="269">
        <v>0</v>
      </c>
      <c r="AB635" s="269">
        <v>0</v>
      </c>
      <c r="AC635" s="269">
        <v>0</v>
      </c>
      <c r="AD635" s="269">
        <v>0</v>
      </c>
      <c r="AE635" s="269">
        <v>0</v>
      </c>
      <c r="AF635" s="269">
        <v>0</v>
      </c>
      <c r="AG635" s="269">
        <v>0</v>
      </c>
      <c r="AH635" s="269">
        <v>0</v>
      </c>
      <c r="AI635" s="269">
        <v>0</v>
      </c>
      <c r="AJ635" s="269">
        <v>0</v>
      </c>
      <c r="AK635" s="269">
        <v>0</v>
      </c>
      <c r="AL635" s="269">
        <v>0</v>
      </c>
      <c r="AM635" s="269">
        <v>0</v>
      </c>
      <c r="AN635" s="269">
        <v>0</v>
      </c>
      <c r="AO635" s="269">
        <v>0</v>
      </c>
      <c r="AP635" s="269">
        <v>0</v>
      </c>
      <c r="AQ635" s="269">
        <v>0</v>
      </c>
      <c r="AR635" s="269">
        <v>0</v>
      </c>
      <c r="AS635" s="269">
        <v>0</v>
      </c>
      <c r="AT635" s="269">
        <v>0</v>
      </c>
      <c r="AU635" s="269">
        <v>0</v>
      </c>
      <c r="AV635" s="269"/>
      <c r="AW635" s="269"/>
      <c r="AX635" s="269"/>
      <c r="AY635" s="269"/>
    </row>
    <row r="636" spans="2:51" s="214" customFormat="1" ht="15.75" customHeight="1">
      <c r="C636" s="371" t="s">
        <v>727</v>
      </c>
      <c r="D636" s="242"/>
      <c r="E636" s="242"/>
      <c r="F636" s="242"/>
      <c r="G636" s="242"/>
      <c r="H636" s="242"/>
      <c r="I636" s="269"/>
      <c r="J636" s="269"/>
      <c r="K636" s="269"/>
      <c r="L636" s="269"/>
      <c r="M636" s="269"/>
      <c r="N636" s="1276"/>
      <c r="O636" s="269"/>
      <c r="P636" s="269">
        <v>70012693.872000009</v>
      </c>
      <c r="Q636" s="269"/>
      <c r="R636" s="269"/>
      <c r="S636" s="269"/>
      <c r="T636" s="269"/>
      <c r="U636" s="269">
        <f t="shared" si="319"/>
        <v>0</v>
      </c>
      <c r="V636" s="269">
        <v>0</v>
      </c>
      <c r="W636" s="269">
        <v>0</v>
      </c>
      <c r="X636" s="269">
        <v>0</v>
      </c>
      <c r="Y636" s="269">
        <v>0</v>
      </c>
      <c r="Z636" s="269">
        <v>0</v>
      </c>
      <c r="AA636" s="269">
        <v>0</v>
      </c>
      <c r="AB636" s="269">
        <v>0</v>
      </c>
      <c r="AC636" s="269">
        <v>0</v>
      </c>
      <c r="AD636" s="269">
        <v>0</v>
      </c>
      <c r="AE636" s="269">
        <v>0</v>
      </c>
      <c r="AF636" s="269">
        <v>0</v>
      </c>
      <c r="AG636" s="269">
        <v>0</v>
      </c>
      <c r="AH636" s="269">
        <v>0</v>
      </c>
      <c r="AI636" s="269">
        <v>0</v>
      </c>
      <c r="AJ636" s="269">
        <v>0</v>
      </c>
      <c r="AK636" s="269">
        <v>0</v>
      </c>
      <c r="AL636" s="269">
        <v>0</v>
      </c>
      <c r="AM636" s="269">
        <v>0</v>
      </c>
      <c r="AN636" s="269">
        <v>0</v>
      </c>
      <c r="AO636" s="269">
        <v>0</v>
      </c>
      <c r="AP636" s="269">
        <v>0</v>
      </c>
      <c r="AQ636" s="269">
        <v>0</v>
      </c>
      <c r="AR636" s="269">
        <v>0</v>
      </c>
      <c r="AS636" s="269">
        <v>0</v>
      </c>
      <c r="AT636" s="269">
        <v>0</v>
      </c>
      <c r="AU636" s="269">
        <v>0</v>
      </c>
      <c r="AV636" s="269"/>
      <c r="AW636" s="269"/>
      <c r="AX636" s="269"/>
      <c r="AY636" s="269"/>
    </row>
    <row r="637" spans="2:51" s="214" customFormat="1" ht="15.75" customHeight="1">
      <c r="C637" s="371" t="s">
        <v>728</v>
      </c>
      <c r="D637" s="242"/>
      <c r="E637" s="242"/>
      <c r="F637" s="242"/>
      <c r="G637" s="242"/>
      <c r="H637" s="242"/>
      <c r="I637" s="269"/>
      <c r="J637" s="269"/>
      <c r="K637" s="269"/>
      <c r="L637" s="269"/>
      <c r="M637" s="269"/>
      <c r="N637" s="1276"/>
      <c r="O637" s="269"/>
      <c r="P637" s="269">
        <v>0</v>
      </c>
      <c r="Q637" s="269"/>
      <c r="R637" s="269"/>
      <c r="S637" s="269"/>
      <c r="T637" s="269"/>
      <c r="U637" s="269">
        <f t="shared" si="319"/>
        <v>0</v>
      </c>
      <c r="V637" s="269">
        <v>0</v>
      </c>
      <c r="W637" s="269">
        <v>0</v>
      </c>
      <c r="X637" s="269">
        <v>0</v>
      </c>
      <c r="Y637" s="269">
        <v>0</v>
      </c>
      <c r="Z637" s="269">
        <v>0</v>
      </c>
      <c r="AA637" s="269">
        <v>0</v>
      </c>
      <c r="AB637" s="269">
        <v>0</v>
      </c>
      <c r="AC637" s="269">
        <v>0</v>
      </c>
      <c r="AD637" s="269">
        <v>0</v>
      </c>
      <c r="AE637" s="269">
        <v>0</v>
      </c>
      <c r="AF637" s="269">
        <v>0</v>
      </c>
      <c r="AG637" s="269">
        <v>0</v>
      </c>
      <c r="AH637" s="269">
        <v>0</v>
      </c>
      <c r="AI637" s="269">
        <v>0</v>
      </c>
      <c r="AJ637" s="269">
        <v>0</v>
      </c>
      <c r="AK637" s="269">
        <v>0</v>
      </c>
      <c r="AL637" s="269">
        <v>0</v>
      </c>
      <c r="AM637" s="269">
        <v>0</v>
      </c>
      <c r="AN637" s="269">
        <v>0</v>
      </c>
      <c r="AO637" s="269">
        <v>0</v>
      </c>
      <c r="AP637" s="269">
        <v>0</v>
      </c>
      <c r="AQ637" s="269">
        <v>0</v>
      </c>
      <c r="AR637" s="269">
        <v>0</v>
      </c>
      <c r="AS637" s="269">
        <v>0</v>
      </c>
      <c r="AT637" s="269">
        <v>0</v>
      </c>
      <c r="AU637" s="269">
        <v>0</v>
      </c>
      <c r="AV637" s="269"/>
      <c r="AW637" s="269"/>
      <c r="AX637" s="269"/>
      <c r="AY637" s="269"/>
    </row>
    <row r="638" spans="2:51" s="214" customFormat="1" ht="14.25" customHeight="1">
      <c r="B638" s="244"/>
      <c r="C638" s="186" t="s">
        <v>1081</v>
      </c>
      <c r="D638" s="242"/>
      <c r="E638" s="242"/>
      <c r="F638" s="242"/>
      <c r="G638" s="242"/>
      <c r="H638" s="242"/>
      <c r="I638" s="275"/>
      <c r="J638" s="246"/>
      <c r="K638" s="246"/>
      <c r="L638" s="246"/>
      <c r="M638" s="215"/>
      <c r="U638" s="214">
        <f t="shared" si="319"/>
        <v>0</v>
      </c>
    </row>
    <row r="639" spans="2:51" s="214" customFormat="1" ht="14.25" customHeight="1">
      <c r="B639" s="244"/>
      <c r="C639" s="371" t="s">
        <v>1082</v>
      </c>
      <c r="D639" s="242"/>
      <c r="E639" s="242"/>
      <c r="F639" s="242"/>
      <c r="G639" s="242"/>
      <c r="H639" s="242"/>
      <c r="I639" s="275"/>
      <c r="J639" s="246"/>
      <c r="K639" s="246"/>
      <c r="L639" s="246"/>
      <c r="M639" s="215">
        <v>10</v>
      </c>
      <c r="N639" s="214">
        <f>M639</f>
        <v>10</v>
      </c>
      <c r="O639" s="214">
        <f t="shared" ref="O639:AU639" si="348">N639</f>
        <v>10</v>
      </c>
      <c r="P639" s="214">
        <f t="shared" si="348"/>
        <v>10</v>
      </c>
      <c r="Q639" s="214">
        <f t="shared" si="348"/>
        <v>10</v>
      </c>
      <c r="R639" s="214">
        <f t="shared" si="348"/>
        <v>10</v>
      </c>
      <c r="T639" s="214">
        <f t="shared" si="348"/>
        <v>0</v>
      </c>
      <c r="U639" s="214">
        <f t="shared" si="319"/>
        <v>0</v>
      </c>
      <c r="V639" s="214">
        <f>R639</f>
        <v>10</v>
      </c>
      <c r="W639" s="214">
        <f t="shared" si="348"/>
        <v>10</v>
      </c>
      <c r="X639" s="214">
        <f t="shared" si="348"/>
        <v>10</v>
      </c>
      <c r="Y639" s="214">
        <f t="shared" si="348"/>
        <v>10</v>
      </c>
      <c r="Z639" s="214">
        <f t="shared" si="348"/>
        <v>10</v>
      </c>
      <c r="AA639" s="214">
        <f t="shared" si="348"/>
        <v>10</v>
      </c>
      <c r="AB639" s="214">
        <f t="shared" si="348"/>
        <v>10</v>
      </c>
      <c r="AC639" s="214">
        <f t="shared" si="348"/>
        <v>10</v>
      </c>
      <c r="AD639" s="214">
        <f t="shared" si="348"/>
        <v>10</v>
      </c>
      <c r="AE639" s="214">
        <f t="shared" si="348"/>
        <v>10</v>
      </c>
      <c r="AF639" s="214">
        <f t="shared" si="348"/>
        <v>10</v>
      </c>
      <c r="AG639" s="214">
        <f t="shared" si="348"/>
        <v>10</v>
      </c>
      <c r="AH639" s="214">
        <f t="shared" si="348"/>
        <v>10</v>
      </c>
      <c r="AI639" s="214">
        <f t="shared" si="348"/>
        <v>10</v>
      </c>
      <c r="AJ639" s="214">
        <f t="shared" si="348"/>
        <v>10</v>
      </c>
      <c r="AK639" s="214">
        <f t="shared" si="348"/>
        <v>10</v>
      </c>
      <c r="AL639" s="214">
        <f t="shared" si="348"/>
        <v>10</v>
      </c>
      <c r="AM639" s="214">
        <f t="shared" si="348"/>
        <v>10</v>
      </c>
      <c r="AN639" s="214">
        <f t="shared" si="348"/>
        <v>10</v>
      </c>
      <c r="AO639" s="214">
        <f t="shared" si="348"/>
        <v>10</v>
      </c>
      <c r="AP639" s="214">
        <f t="shared" si="348"/>
        <v>10</v>
      </c>
      <c r="AQ639" s="214">
        <f t="shared" si="348"/>
        <v>10</v>
      </c>
      <c r="AR639" s="214">
        <f t="shared" si="348"/>
        <v>10</v>
      </c>
      <c r="AS639" s="214">
        <f t="shared" si="348"/>
        <v>10</v>
      </c>
      <c r="AT639" s="214">
        <f t="shared" si="348"/>
        <v>10</v>
      </c>
      <c r="AU639" s="214">
        <f t="shared" si="348"/>
        <v>10</v>
      </c>
    </row>
    <row r="640" spans="2:51" s="214" customFormat="1" ht="14.25" customHeight="1">
      <c r="B640" s="244"/>
      <c r="C640" s="380" t="s">
        <v>1083</v>
      </c>
      <c r="D640" s="242"/>
      <c r="E640" s="242"/>
      <c r="F640" s="242"/>
      <c r="G640" s="242"/>
      <c r="H640" s="242"/>
      <c r="I640" s="275"/>
      <c r="J640" s="246"/>
      <c r="K640" s="246"/>
      <c r="L640" s="246"/>
      <c r="M640" s="215"/>
      <c r="U640" s="214">
        <f t="shared" si="319"/>
        <v>0</v>
      </c>
    </row>
    <row r="641" spans="2:21" s="214" customFormat="1" ht="14.25" customHeight="1">
      <c r="B641" s="244"/>
      <c r="C641" s="371" t="s">
        <v>1084</v>
      </c>
      <c r="D641" s="242"/>
      <c r="E641" s="242"/>
      <c r="F641" s="242"/>
      <c r="G641" s="242"/>
      <c r="H641" s="242"/>
      <c r="I641" s="275"/>
      <c r="J641" s="246"/>
      <c r="K641" s="246"/>
      <c r="L641" s="246"/>
      <c r="M641" s="215" t="s">
        <v>1085</v>
      </c>
      <c r="N641" s="214" t="s">
        <v>1086</v>
      </c>
      <c r="U641" s="214">
        <f t="shared" si="319"/>
        <v>0</v>
      </c>
    </row>
    <row r="642" spans="2:21" s="214" customFormat="1" ht="14.25" customHeight="1">
      <c r="B642" s="244"/>
      <c r="C642" s="353" t="s">
        <v>1087</v>
      </c>
      <c r="D642" s="242"/>
      <c r="E642" s="242"/>
      <c r="F642" s="242"/>
      <c r="G642" s="242"/>
      <c r="H642" s="242"/>
      <c r="I642" s="275"/>
      <c r="J642" s="246"/>
      <c r="K642" s="246"/>
      <c r="L642" s="246"/>
      <c r="M642" s="1196">
        <v>552356.54776431911</v>
      </c>
      <c r="N642" s="1311">
        <f>M642/SUM($M$642,$M$644,$M$645,$M$646,$M$647)</f>
        <v>2.938471803688671E-2</v>
      </c>
      <c r="U642" s="214">
        <f t="shared" si="319"/>
        <v>0</v>
      </c>
    </row>
    <row r="643" spans="2:21" s="214" customFormat="1" ht="14.25" customHeight="1">
      <c r="B643" s="244"/>
      <c r="C643" s="353" t="s">
        <v>1088</v>
      </c>
      <c r="D643" s="242"/>
      <c r="E643" s="242"/>
      <c r="F643" s="242"/>
      <c r="G643" s="242"/>
      <c r="H643" s="242"/>
      <c r="I643" s="275"/>
      <c r="J643" s="246"/>
      <c r="K643" s="246"/>
      <c r="L643" s="246"/>
      <c r="M643" s="1196">
        <v>32562.202155399416</v>
      </c>
      <c r="N643" s="1312"/>
      <c r="U643" s="214">
        <f t="shared" si="319"/>
        <v>0</v>
      </c>
    </row>
    <row r="644" spans="2:21" s="214" customFormat="1" ht="14.25" customHeight="1">
      <c r="B644" s="244"/>
      <c r="C644" s="353" t="s">
        <v>1089</v>
      </c>
      <c r="D644" s="242"/>
      <c r="E644" s="242"/>
      <c r="F644" s="242"/>
      <c r="G644" s="242"/>
      <c r="H644" s="242"/>
      <c r="I644" s="275"/>
      <c r="J644" s="246"/>
      <c r="K644" s="246"/>
      <c r="L644" s="246"/>
      <c r="M644" s="1196">
        <v>8396460.7776393369</v>
      </c>
      <c r="N644" s="1312">
        <f>M644/SUM($M$642,$M$644,$M$645,$M$646,$M$647)</f>
        <v>0.44668182799198897</v>
      </c>
      <c r="U644" s="214">
        <f t="shared" si="319"/>
        <v>0</v>
      </c>
    </row>
    <row r="645" spans="2:21" s="214" customFormat="1" ht="14.25" customHeight="1">
      <c r="B645" s="244"/>
      <c r="C645" s="353" t="s">
        <v>1090</v>
      </c>
      <c r="D645" s="242"/>
      <c r="E645" s="242"/>
      <c r="F645" s="242"/>
      <c r="G645" s="242"/>
      <c r="H645" s="242"/>
      <c r="I645" s="275"/>
      <c r="J645" s="246"/>
      <c r="K645" s="246"/>
      <c r="L645" s="246"/>
      <c r="M645" s="1196">
        <v>8734410.7054279875</v>
      </c>
      <c r="N645" s="1312">
        <f>M645/SUM($M$642,$M$644,$M$645,$M$646,$M$647)</f>
        <v>0.46466036627283314</v>
      </c>
      <c r="U645" s="214">
        <f t="shared" si="319"/>
        <v>0</v>
      </c>
    </row>
    <row r="646" spans="2:21" s="214" customFormat="1" ht="14.25" customHeight="1">
      <c r="B646" s="244"/>
      <c r="C646" s="353" t="s">
        <v>1091</v>
      </c>
      <c r="D646" s="242"/>
      <c r="E646" s="242"/>
      <c r="F646" s="242"/>
      <c r="G646" s="242"/>
      <c r="H646" s="242"/>
      <c r="I646" s="275"/>
      <c r="J646" s="246"/>
      <c r="K646" s="246"/>
      <c r="L646" s="246"/>
      <c r="M646" s="1196">
        <v>397963.63951651257</v>
      </c>
      <c r="N646" s="1312">
        <f>M646/SUM($M$642,$M$644,$M$645,$M$646,$M$647)</f>
        <v>2.1171197089014313E-2</v>
      </c>
      <c r="U646" s="214">
        <f t="shared" si="319"/>
        <v>0</v>
      </c>
    </row>
    <row r="647" spans="2:21" s="214" customFormat="1" ht="14.25" customHeight="1">
      <c r="B647" s="244"/>
      <c r="C647" s="353" t="s">
        <v>1092</v>
      </c>
      <c r="D647" s="242"/>
      <c r="E647" s="242"/>
      <c r="F647" s="242"/>
      <c r="G647" s="242"/>
      <c r="H647" s="242"/>
      <c r="I647" s="275"/>
      <c r="J647" s="246"/>
      <c r="K647" s="246"/>
      <c r="L647" s="246"/>
      <c r="M647" s="1196">
        <v>716216.80132560921</v>
      </c>
      <c r="N647" s="1313">
        <f>M647/SUM($M$642,$M$644,$M$645,$M$646,$M$647)</f>
        <v>3.8101890609276927E-2</v>
      </c>
      <c r="U647" s="214">
        <f t="shared" si="319"/>
        <v>0</v>
      </c>
    </row>
    <row r="648" spans="2:21" s="214" customFormat="1" ht="14.25" customHeight="1">
      <c r="B648" s="244"/>
      <c r="C648" s="353" t="s">
        <v>1093</v>
      </c>
      <c r="D648" s="242"/>
      <c r="E648" s="242"/>
      <c r="F648" s="242"/>
      <c r="G648" s="242"/>
      <c r="H648" s="242"/>
      <c r="I648" s="275"/>
      <c r="J648" s="246"/>
      <c r="K648" s="246"/>
      <c r="L648" s="246"/>
      <c r="M648" s="1196">
        <v>53840415.333265036</v>
      </c>
      <c r="U648" s="214">
        <f t="shared" si="319"/>
        <v>0</v>
      </c>
    </row>
    <row r="649" spans="2:21" s="214" customFormat="1" ht="14.25" customHeight="1">
      <c r="B649" s="244"/>
      <c r="C649" s="353" t="s">
        <v>1094</v>
      </c>
      <c r="D649" s="242"/>
      <c r="E649" s="242"/>
      <c r="F649" s="242"/>
      <c r="G649" s="242"/>
      <c r="H649" s="242"/>
      <c r="I649" s="275"/>
      <c r="J649" s="246"/>
      <c r="K649" s="246"/>
      <c r="L649" s="246"/>
      <c r="M649" s="1196">
        <v>54838982.287959963</v>
      </c>
      <c r="U649" s="214">
        <f t="shared" si="319"/>
        <v>0</v>
      </c>
    </row>
    <row r="650" spans="2:21" s="214" customFormat="1" ht="14.25" customHeight="1">
      <c r="B650" s="244"/>
      <c r="C650" s="371" t="s">
        <v>1095</v>
      </c>
      <c r="D650" s="242"/>
      <c r="E650" s="242"/>
      <c r="F650" s="242"/>
      <c r="G650" s="242"/>
      <c r="H650" s="242"/>
      <c r="I650" s="275"/>
      <c r="J650" s="246"/>
      <c r="K650" s="246"/>
      <c r="L650" s="246"/>
      <c r="M650" s="1196"/>
      <c r="U650" s="214">
        <f t="shared" si="319"/>
        <v>0</v>
      </c>
    </row>
    <row r="651" spans="2:21" s="214" customFormat="1" ht="14.25" customHeight="1">
      <c r="B651" s="244"/>
      <c r="C651" s="353" t="s">
        <v>1089</v>
      </c>
      <c r="D651" s="242"/>
      <c r="E651" s="242"/>
      <c r="F651" s="242"/>
      <c r="G651" s="242"/>
      <c r="H651" s="242"/>
      <c r="I651" s="275"/>
      <c r="J651" s="246"/>
      <c r="K651" s="246"/>
      <c r="L651" s="246"/>
      <c r="M651" s="637">
        <v>0.05</v>
      </c>
      <c r="U651" s="214">
        <f t="shared" si="319"/>
        <v>0</v>
      </c>
    </row>
    <row r="652" spans="2:21" s="214" customFormat="1" ht="14.25" customHeight="1">
      <c r="B652" s="244"/>
      <c r="C652" s="353" t="s">
        <v>1090</v>
      </c>
      <c r="D652" s="242"/>
      <c r="E652" s="242"/>
      <c r="F652" s="242"/>
      <c r="G652" s="242"/>
      <c r="H652" s="242"/>
      <c r="I652" s="275"/>
      <c r="J652" s="246"/>
      <c r="K652" s="246"/>
      <c r="L652" s="246"/>
      <c r="M652" s="637">
        <v>0.2</v>
      </c>
      <c r="U652" s="214">
        <f t="shared" ref="U652:U715" si="349">T652</f>
        <v>0</v>
      </c>
    </row>
    <row r="653" spans="2:21" s="214" customFormat="1" ht="14.25" customHeight="1">
      <c r="B653" s="244"/>
      <c r="C653" s="353" t="s">
        <v>1091</v>
      </c>
      <c r="D653" s="242"/>
      <c r="E653" s="242"/>
      <c r="F653" s="242"/>
      <c r="G653" s="242"/>
      <c r="H653" s="242"/>
      <c r="I653" s="275"/>
      <c r="J653" s="246"/>
      <c r="K653" s="246"/>
      <c r="L653" s="246"/>
      <c r="M653" s="637">
        <f>M652</f>
        <v>0.2</v>
      </c>
      <c r="U653" s="214">
        <f t="shared" si="349"/>
        <v>0</v>
      </c>
    </row>
    <row r="654" spans="2:21" s="214" customFormat="1" ht="14.25" customHeight="1">
      <c r="B654" s="244"/>
      <c r="C654" s="353" t="s">
        <v>1092</v>
      </c>
      <c r="D654" s="242"/>
      <c r="E654" s="242"/>
      <c r="F654" s="242"/>
      <c r="G654" s="242"/>
      <c r="H654" s="242"/>
      <c r="I654" s="275"/>
      <c r="J654" s="246"/>
      <c r="K654" s="246"/>
      <c r="L654" s="246"/>
      <c r="M654" s="637">
        <v>0.33</v>
      </c>
      <c r="U654" s="214">
        <f t="shared" si="349"/>
        <v>0</v>
      </c>
    </row>
    <row r="655" spans="2:21" s="214" customFormat="1" ht="14.25" customHeight="1">
      <c r="B655" s="244"/>
      <c r="C655" s="353" t="s">
        <v>1094</v>
      </c>
      <c r="D655" s="242"/>
      <c r="E655" s="242"/>
      <c r="F655" s="242"/>
      <c r="G655" s="242"/>
      <c r="H655" s="242"/>
      <c r="I655" s="275"/>
      <c r="J655" s="246"/>
      <c r="K655" s="246"/>
      <c r="L655" s="246"/>
      <c r="M655" s="1314">
        <f>1/5</f>
        <v>0.2</v>
      </c>
      <c r="U655" s="214">
        <f t="shared" si="349"/>
        <v>0</v>
      </c>
    </row>
    <row r="656" spans="2:21" s="214" customFormat="1" ht="14.25" customHeight="1">
      <c r="B656" s="244"/>
      <c r="C656" s="371" t="s">
        <v>1096</v>
      </c>
      <c r="D656" s="242"/>
      <c r="E656" s="242"/>
      <c r="F656" s="242"/>
      <c r="G656" s="242"/>
      <c r="H656" s="242"/>
      <c r="I656" s="275"/>
      <c r="J656" s="246"/>
      <c r="K656" s="246"/>
      <c r="L656" s="246"/>
      <c r="M656" s="1196">
        <f>SUM(M657:M659)</f>
        <v>76072637.609999999</v>
      </c>
      <c r="U656" s="214">
        <f t="shared" si="349"/>
        <v>0</v>
      </c>
    </row>
    <row r="657" spans="2:47" s="214" customFormat="1" ht="14.25" customHeight="1">
      <c r="B657" s="244"/>
      <c r="C657" s="353" t="s">
        <v>1097</v>
      </c>
      <c r="D657" s="242"/>
      <c r="E657" s="242"/>
      <c r="F657" s="242"/>
      <c r="G657" s="242"/>
      <c r="H657" s="242"/>
      <c r="I657" s="275"/>
      <c r="J657" s="246"/>
      <c r="K657" s="246"/>
      <c r="L657" s="246"/>
      <c r="M657" s="1196">
        <v>23175751</v>
      </c>
      <c r="N657" s="1315">
        <f>M657/M656</f>
        <v>0.30465291763399394</v>
      </c>
      <c r="U657" s="214">
        <f t="shared" si="349"/>
        <v>0</v>
      </c>
    </row>
    <row r="658" spans="2:47" s="214" customFormat="1" ht="14.25" customHeight="1">
      <c r="B658" s="244"/>
      <c r="C658" s="353" t="s">
        <v>1098</v>
      </c>
      <c r="D658" s="242"/>
      <c r="E658" s="242"/>
      <c r="F658" s="242"/>
      <c r="G658" s="242"/>
      <c r="H658" s="242"/>
      <c r="I658" s="275"/>
      <c r="J658" s="246"/>
      <c r="K658" s="246"/>
      <c r="L658" s="246"/>
      <c r="M658" s="1196">
        <v>52132913.969999999</v>
      </c>
      <c r="U658" s="214">
        <f t="shared" si="349"/>
        <v>0</v>
      </c>
    </row>
    <row r="659" spans="2:47" s="214" customFormat="1" ht="14.25" customHeight="1">
      <c r="B659" s="244"/>
      <c r="C659" s="353" t="s">
        <v>1099</v>
      </c>
      <c r="D659" s="242"/>
      <c r="E659" s="242"/>
      <c r="F659" s="242"/>
      <c r="G659" s="242"/>
      <c r="H659" s="242"/>
      <c r="I659" s="275"/>
      <c r="J659" s="246"/>
      <c r="K659" s="246"/>
      <c r="L659" s="246"/>
      <c r="M659" s="1196">
        <v>763972.64</v>
      </c>
      <c r="U659" s="214">
        <f t="shared" si="349"/>
        <v>0</v>
      </c>
    </row>
    <row r="660" spans="2:47" s="214" customFormat="1" ht="14.25" customHeight="1">
      <c r="B660" s="244"/>
      <c r="C660" s="371" t="s">
        <v>1100</v>
      </c>
      <c r="D660" s="242"/>
      <c r="E660" s="242"/>
      <c r="F660" s="242"/>
      <c r="G660" s="242"/>
      <c r="H660" s="242"/>
      <c r="I660" s="275"/>
      <c r="J660" s="246"/>
      <c r="K660" s="246"/>
      <c r="L660" s="246"/>
      <c r="M660" s="1196">
        <v>75731544.939999998</v>
      </c>
      <c r="U660" s="214">
        <f t="shared" si="349"/>
        <v>0</v>
      </c>
    </row>
    <row r="661" spans="2:47" s="214" customFormat="1" ht="14.25" customHeight="1">
      <c r="B661" s="244"/>
      <c r="C661" s="242"/>
      <c r="D661" s="242"/>
      <c r="E661" s="242"/>
      <c r="F661" s="242"/>
      <c r="G661" s="242"/>
      <c r="H661" s="242"/>
      <c r="I661" s="275"/>
      <c r="J661" s="246"/>
      <c r="K661" s="246"/>
      <c r="L661" s="246"/>
      <c r="M661" s="215"/>
      <c r="U661" s="214">
        <f t="shared" si="349"/>
        <v>0</v>
      </c>
    </row>
    <row r="662" spans="2:47" s="1208" customFormat="1" ht="14.25" customHeight="1">
      <c r="B662" s="1245"/>
      <c r="C662" s="380" t="s">
        <v>1074</v>
      </c>
      <c r="D662" s="380"/>
      <c r="E662" s="380"/>
      <c r="F662" s="380"/>
      <c r="G662" s="380"/>
      <c r="H662" s="380"/>
      <c r="I662" s="1246"/>
      <c r="J662" s="258"/>
      <c r="K662" s="258"/>
      <c r="L662" s="258"/>
      <c r="M662" s="743"/>
      <c r="U662" s="1208">
        <f t="shared" si="349"/>
        <v>0</v>
      </c>
    </row>
    <row r="663" spans="2:47" s="1208" customFormat="1" ht="14.25" customHeight="1">
      <c r="B663" s="1245"/>
      <c r="C663" s="1247" t="s">
        <v>1085</v>
      </c>
      <c r="D663" s="380"/>
      <c r="E663" s="380"/>
      <c r="F663" s="380"/>
      <c r="G663" s="380"/>
      <c r="H663" s="380"/>
      <c r="I663" s="1246"/>
      <c r="J663" s="258"/>
      <c r="K663" s="258"/>
      <c r="L663" s="258"/>
      <c r="M663" s="1248">
        <f>SUM(M664:M667)</f>
        <v>0</v>
      </c>
      <c r="N663" s="1248">
        <f t="shared" ref="N663:AU663" si="350">SUM(N664:N667)</f>
        <v>0</v>
      </c>
      <c r="O663" s="1248">
        <f t="shared" si="350"/>
        <v>0</v>
      </c>
      <c r="P663" s="1248">
        <f t="shared" si="350"/>
        <v>0</v>
      </c>
      <c r="Q663" s="1248">
        <f t="shared" si="350"/>
        <v>0</v>
      </c>
      <c r="R663" s="1248">
        <f t="shared" si="350"/>
        <v>436158395</v>
      </c>
      <c r="S663" s="1248"/>
      <c r="T663" s="1248">
        <f>SUM(T664:T667)</f>
        <v>264858000</v>
      </c>
      <c r="U663" s="1248">
        <f t="shared" si="349"/>
        <v>264858000</v>
      </c>
      <c r="V663" s="1248">
        <f t="shared" si="350"/>
        <v>468157395</v>
      </c>
      <c r="W663" s="1248">
        <f t="shared" si="350"/>
        <v>468157395</v>
      </c>
      <c r="X663" s="1248">
        <f t="shared" si="350"/>
        <v>468157395</v>
      </c>
      <c r="Y663" s="1248">
        <f t="shared" si="350"/>
        <v>468157395</v>
      </c>
      <c r="Z663" s="1248">
        <f t="shared" si="350"/>
        <v>468157395</v>
      </c>
      <c r="AA663" s="1248">
        <f t="shared" si="350"/>
        <v>468157395</v>
      </c>
      <c r="AB663" s="1248">
        <f t="shared" si="350"/>
        <v>468157395</v>
      </c>
      <c r="AC663" s="1248">
        <f t="shared" si="350"/>
        <v>468157395</v>
      </c>
      <c r="AD663" s="1248">
        <f t="shared" si="350"/>
        <v>468157395</v>
      </c>
      <c r="AE663" s="1248">
        <f t="shared" si="350"/>
        <v>468157395</v>
      </c>
      <c r="AF663" s="1248">
        <f t="shared" si="350"/>
        <v>468157395</v>
      </c>
      <c r="AG663" s="1248">
        <f t="shared" si="350"/>
        <v>468157395</v>
      </c>
      <c r="AH663" s="1248">
        <f t="shared" si="350"/>
        <v>468157395</v>
      </c>
      <c r="AI663" s="1248">
        <f t="shared" si="350"/>
        <v>468157395</v>
      </c>
      <c r="AJ663" s="1248">
        <f t="shared" si="350"/>
        <v>468157395</v>
      </c>
      <c r="AK663" s="1248">
        <f t="shared" si="350"/>
        <v>468157395</v>
      </c>
      <c r="AL663" s="1248">
        <f t="shared" si="350"/>
        <v>468157395</v>
      </c>
      <c r="AM663" s="1248">
        <f t="shared" si="350"/>
        <v>468157395</v>
      </c>
      <c r="AN663" s="1248">
        <f t="shared" si="350"/>
        <v>468157395</v>
      </c>
      <c r="AO663" s="1248">
        <f t="shared" si="350"/>
        <v>468157395</v>
      </c>
      <c r="AP663" s="1248">
        <f t="shared" si="350"/>
        <v>468157395</v>
      </c>
      <c r="AQ663" s="1248">
        <f t="shared" si="350"/>
        <v>468157395</v>
      </c>
      <c r="AR663" s="1248">
        <f t="shared" si="350"/>
        <v>468157395</v>
      </c>
      <c r="AS663" s="1248">
        <f t="shared" si="350"/>
        <v>468157395</v>
      </c>
      <c r="AT663" s="1248">
        <f t="shared" si="350"/>
        <v>468157395</v>
      </c>
      <c r="AU663" s="1248">
        <f t="shared" si="350"/>
        <v>468157395</v>
      </c>
    </row>
    <row r="664" spans="2:47" s="214" customFormat="1" ht="14.25" customHeight="1">
      <c r="B664" s="244"/>
      <c r="C664" s="353" t="s">
        <v>1075</v>
      </c>
      <c r="D664" s="242"/>
      <c r="E664" s="242"/>
      <c r="F664" s="242"/>
      <c r="G664" s="242"/>
      <c r="H664" s="242"/>
      <c r="I664" s="275"/>
      <c r="J664" s="246"/>
      <c r="K664" s="246"/>
      <c r="L664" s="246"/>
      <c r="M664" s="1196">
        <v>0</v>
      </c>
      <c r="N664" s="1196">
        <f>M664+N679-N684</f>
        <v>0</v>
      </c>
      <c r="O664" s="873">
        <f>N664</f>
        <v>0</v>
      </c>
      <c r="P664" s="1196">
        <f t="shared" ref="P664:AU667" si="351">O664+P679-P684</f>
        <v>0</v>
      </c>
      <c r="Q664" s="1196">
        <f t="shared" si="351"/>
        <v>0</v>
      </c>
      <c r="R664" s="1196">
        <f>Q664+R679-R684</f>
        <v>39254255.549999997</v>
      </c>
      <c r="S664" s="1196"/>
      <c r="T664" s="1196">
        <f>S664+T679-T684</f>
        <v>23837220</v>
      </c>
      <c r="U664" s="1196">
        <f t="shared" si="349"/>
        <v>23837220</v>
      </c>
      <c r="V664" s="1196">
        <f>R664+V679-V684</f>
        <v>42134165.549999997</v>
      </c>
      <c r="W664" s="1196">
        <f t="shared" si="351"/>
        <v>42134165.549999997</v>
      </c>
      <c r="X664" s="1196">
        <f t="shared" si="351"/>
        <v>42134165.549999997</v>
      </c>
      <c r="Y664" s="1196">
        <f t="shared" si="351"/>
        <v>42134165.549999997</v>
      </c>
      <c r="Z664" s="1196">
        <f t="shared" si="351"/>
        <v>42134165.549999997</v>
      </c>
      <c r="AA664" s="1196">
        <f t="shared" si="351"/>
        <v>42134165.549999997</v>
      </c>
      <c r="AB664" s="1196">
        <f t="shared" si="351"/>
        <v>42134165.549999997</v>
      </c>
      <c r="AC664" s="1196">
        <f t="shared" si="351"/>
        <v>42134165.549999997</v>
      </c>
      <c r="AD664" s="1196">
        <f t="shared" si="351"/>
        <v>42134165.549999997</v>
      </c>
      <c r="AE664" s="1196">
        <f t="shared" si="351"/>
        <v>42134165.549999997</v>
      </c>
      <c r="AF664" s="1196">
        <f t="shared" si="351"/>
        <v>42134165.549999997</v>
      </c>
      <c r="AG664" s="1196">
        <f t="shared" si="351"/>
        <v>42134165.549999997</v>
      </c>
      <c r="AH664" s="1196">
        <f t="shared" si="351"/>
        <v>42134165.549999997</v>
      </c>
      <c r="AI664" s="1196">
        <f t="shared" si="351"/>
        <v>42134165.549999997</v>
      </c>
      <c r="AJ664" s="1196">
        <f t="shared" si="351"/>
        <v>42134165.549999997</v>
      </c>
      <c r="AK664" s="1196">
        <f t="shared" si="351"/>
        <v>42134165.549999997</v>
      </c>
      <c r="AL664" s="1196">
        <f t="shared" si="351"/>
        <v>42134165.549999997</v>
      </c>
      <c r="AM664" s="1196">
        <f t="shared" si="351"/>
        <v>42134165.549999997</v>
      </c>
      <c r="AN664" s="1196">
        <f t="shared" si="351"/>
        <v>42134165.549999997</v>
      </c>
      <c r="AO664" s="1196">
        <f t="shared" si="351"/>
        <v>42134165.549999997</v>
      </c>
      <c r="AP664" s="1196">
        <f t="shared" si="351"/>
        <v>42134165.549999997</v>
      </c>
      <c r="AQ664" s="1196">
        <f t="shared" si="351"/>
        <v>42134165.549999997</v>
      </c>
      <c r="AR664" s="1196">
        <f t="shared" si="351"/>
        <v>42134165.549999997</v>
      </c>
      <c r="AS664" s="1196">
        <f t="shared" si="351"/>
        <v>42134165.549999997</v>
      </c>
      <c r="AT664" s="1196">
        <f t="shared" si="351"/>
        <v>42134165.549999997</v>
      </c>
      <c r="AU664" s="1196">
        <f t="shared" si="351"/>
        <v>42134165.549999997</v>
      </c>
    </row>
    <row r="665" spans="2:47" s="214" customFormat="1" ht="14.25" customHeight="1">
      <c r="B665" s="244"/>
      <c r="C665" s="353" t="s">
        <v>1076</v>
      </c>
      <c r="D665" s="242"/>
      <c r="E665" s="242"/>
      <c r="F665" s="242"/>
      <c r="G665" s="242"/>
      <c r="H665" s="242"/>
      <c r="I665" s="275"/>
      <c r="J665" s="246"/>
      <c r="K665" s="246"/>
      <c r="L665" s="246"/>
      <c r="M665" s="1196">
        <v>0</v>
      </c>
      <c r="N665" s="1196">
        <f>M665+N680-N685</f>
        <v>0</v>
      </c>
      <c r="O665" s="873">
        <f>N665</f>
        <v>0</v>
      </c>
      <c r="P665" s="1196">
        <f t="shared" si="351"/>
        <v>0</v>
      </c>
      <c r="Q665" s="1196">
        <f t="shared" si="351"/>
        <v>0</v>
      </c>
      <c r="R665" s="1196">
        <f t="shared" si="351"/>
        <v>379457803.64999998</v>
      </c>
      <c r="S665" s="1196"/>
      <c r="T665" s="1196">
        <f t="shared" si="351"/>
        <v>230426460</v>
      </c>
      <c r="U665" s="1196">
        <f t="shared" si="349"/>
        <v>230426460</v>
      </c>
      <c r="V665" s="1196">
        <f>R665+V680-V685</f>
        <v>407296933.64999998</v>
      </c>
      <c r="W665" s="1196">
        <f t="shared" si="351"/>
        <v>407296933.64999998</v>
      </c>
      <c r="X665" s="1196">
        <f t="shared" si="351"/>
        <v>407296933.64999998</v>
      </c>
      <c r="Y665" s="1196">
        <f t="shared" si="351"/>
        <v>407296933.64999998</v>
      </c>
      <c r="Z665" s="1196">
        <f t="shared" si="351"/>
        <v>407296933.64999998</v>
      </c>
      <c r="AA665" s="1196">
        <f t="shared" si="351"/>
        <v>407296933.64999998</v>
      </c>
      <c r="AB665" s="1196">
        <f t="shared" si="351"/>
        <v>407296933.64999998</v>
      </c>
      <c r="AC665" s="1196">
        <f t="shared" si="351"/>
        <v>407296933.64999998</v>
      </c>
      <c r="AD665" s="1196">
        <f t="shared" si="351"/>
        <v>407296933.64999998</v>
      </c>
      <c r="AE665" s="1196">
        <f t="shared" si="351"/>
        <v>407296933.64999998</v>
      </c>
      <c r="AF665" s="1196">
        <f t="shared" si="351"/>
        <v>407296933.64999998</v>
      </c>
      <c r="AG665" s="1196">
        <f t="shared" si="351"/>
        <v>407296933.64999998</v>
      </c>
      <c r="AH665" s="1196">
        <f t="shared" si="351"/>
        <v>407296933.64999998</v>
      </c>
      <c r="AI665" s="1196">
        <f t="shared" si="351"/>
        <v>407296933.64999998</v>
      </c>
      <c r="AJ665" s="1196">
        <f t="shared" si="351"/>
        <v>407296933.64999998</v>
      </c>
      <c r="AK665" s="1196">
        <f t="shared" si="351"/>
        <v>407296933.64999998</v>
      </c>
      <c r="AL665" s="1196">
        <f t="shared" si="351"/>
        <v>407296933.64999998</v>
      </c>
      <c r="AM665" s="1196">
        <f t="shared" si="351"/>
        <v>407296933.64999998</v>
      </c>
      <c r="AN665" s="1196">
        <f t="shared" si="351"/>
        <v>407296933.64999998</v>
      </c>
      <c r="AO665" s="1196">
        <f t="shared" si="351"/>
        <v>407296933.64999998</v>
      </c>
      <c r="AP665" s="1196">
        <f t="shared" si="351"/>
        <v>407296933.64999998</v>
      </c>
      <c r="AQ665" s="1196">
        <f t="shared" si="351"/>
        <v>407296933.64999998</v>
      </c>
      <c r="AR665" s="1196">
        <f t="shared" si="351"/>
        <v>407296933.64999998</v>
      </c>
      <c r="AS665" s="1196">
        <f t="shared" si="351"/>
        <v>407296933.64999998</v>
      </c>
      <c r="AT665" s="1196">
        <f t="shared" si="351"/>
        <v>407296933.64999998</v>
      </c>
      <c r="AU665" s="1196">
        <f t="shared" si="351"/>
        <v>407296933.64999998</v>
      </c>
    </row>
    <row r="666" spans="2:47" s="214" customFormat="1" ht="14.25" customHeight="1">
      <c r="B666" s="244"/>
      <c r="C666" s="353" t="s">
        <v>1077</v>
      </c>
      <c r="D666" s="242"/>
      <c r="E666" s="242"/>
      <c r="F666" s="242"/>
      <c r="G666" s="242"/>
      <c r="H666" s="242"/>
      <c r="I666" s="275"/>
      <c r="J666" s="246"/>
      <c r="K666" s="246"/>
      <c r="L666" s="246"/>
      <c r="M666" s="1196">
        <v>0</v>
      </c>
      <c r="N666" s="1196">
        <f>M666+N681-N686</f>
        <v>0</v>
      </c>
      <c r="O666" s="873">
        <f>N666</f>
        <v>0</v>
      </c>
      <c r="P666" s="1196">
        <f t="shared" si="351"/>
        <v>0</v>
      </c>
      <c r="Q666" s="1196">
        <f t="shared" si="351"/>
        <v>0</v>
      </c>
      <c r="R666" s="1196">
        <f t="shared" si="351"/>
        <v>4361583.95</v>
      </c>
      <c r="S666" s="1196"/>
      <c r="T666" s="1196">
        <f t="shared" si="351"/>
        <v>2648580</v>
      </c>
      <c r="U666" s="1196">
        <f t="shared" si="349"/>
        <v>2648580</v>
      </c>
      <c r="V666" s="1196">
        <f>R666+V681-V686</f>
        <v>4681573.95</v>
      </c>
      <c r="W666" s="1196">
        <f t="shared" si="351"/>
        <v>4681573.95</v>
      </c>
      <c r="X666" s="1196">
        <f t="shared" si="351"/>
        <v>4681573.95</v>
      </c>
      <c r="Y666" s="1196">
        <f t="shared" si="351"/>
        <v>4681573.95</v>
      </c>
      <c r="Z666" s="1196">
        <f t="shared" si="351"/>
        <v>4681573.95</v>
      </c>
      <c r="AA666" s="1196">
        <f t="shared" si="351"/>
        <v>4681573.95</v>
      </c>
      <c r="AB666" s="1196">
        <f t="shared" si="351"/>
        <v>4681573.95</v>
      </c>
      <c r="AC666" s="1196">
        <f t="shared" si="351"/>
        <v>4681573.95</v>
      </c>
      <c r="AD666" s="1196">
        <f t="shared" si="351"/>
        <v>4681573.95</v>
      </c>
      <c r="AE666" s="1196">
        <f t="shared" si="351"/>
        <v>4681573.95</v>
      </c>
      <c r="AF666" s="1196">
        <f t="shared" si="351"/>
        <v>4681573.95</v>
      </c>
      <c r="AG666" s="1196">
        <f t="shared" si="351"/>
        <v>4681573.95</v>
      </c>
      <c r="AH666" s="1196">
        <f t="shared" si="351"/>
        <v>4681573.95</v>
      </c>
      <c r="AI666" s="1196">
        <f t="shared" si="351"/>
        <v>4681573.95</v>
      </c>
      <c r="AJ666" s="1196">
        <f t="shared" si="351"/>
        <v>4681573.95</v>
      </c>
      <c r="AK666" s="1196">
        <f t="shared" si="351"/>
        <v>4681573.95</v>
      </c>
      <c r="AL666" s="1196">
        <f t="shared" si="351"/>
        <v>4681573.95</v>
      </c>
      <c r="AM666" s="1196">
        <f t="shared" si="351"/>
        <v>4681573.95</v>
      </c>
      <c r="AN666" s="1196">
        <f t="shared" si="351"/>
        <v>4681573.95</v>
      </c>
      <c r="AO666" s="1196">
        <f t="shared" si="351"/>
        <v>4681573.95</v>
      </c>
      <c r="AP666" s="1196">
        <f t="shared" si="351"/>
        <v>4681573.95</v>
      </c>
      <c r="AQ666" s="1196">
        <f t="shared" si="351"/>
        <v>4681573.95</v>
      </c>
      <c r="AR666" s="1196">
        <f t="shared" si="351"/>
        <v>4681573.95</v>
      </c>
      <c r="AS666" s="1196">
        <f t="shared" si="351"/>
        <v>4681573.95</v>
      </c>
      <c r="AT666" s="1196">
        <f t="shared" si="351"/>
        <v>4681573.95</v>
      </c>
      <c r="AU666" s="1196">
        <f t="shared" si="351"/>
        <v>4681573.95</v>
      </c>
    </row>
    <row r="667" spans="2:47" s="214" customFormat="1" ht="14.25" customHeight="1">
      <c r="B667" s="244"/>
      <c r="C667" s="353" t="s">
        <v>1078</v>
      </c>
      <c r="D667" s="242"/>
      <c r="E667" s="242"/>
      <c r="F667" s="242"/>
      <c r="G667" s="242"/>
      <c r="H667" s="242"/>
      <c r="I667" s="275"/>
      <c r="J667" s="246"/>
      <c r="K667" s="246"/>
      <c r="L667" s="246"/>
      <c r="M667" s="1196">
        <v>0</v>
      </c>
      <c r="N667" s="1196">
        <f>M667+N682-N687</f>
        <v>0</v>
      </c>
      <c r="O667" s="873">
        <f>N667</f>
        <v>0</v>
      </c>
      <c r="P667" s="1196">
        <f t="shared" si="351"/>
        <v>0</v>
      </c>
      <c r="Q667" s="1196">
        <f t="shared" si="351"/>
        <v>0</v>
      </c>
      <c r="R667" s="1196">
        <f t="shared" si="351"/>
        <v>13084751.85</v>
      </c>
      <c r="S667" s="1196"/>
      <c r="T667" s="1196">
        <f t="shared" si="351"/>
        <v>7945740</v>
      </c>
      <c r="U667" s="1196">
        <f t="shared" si="349"/>
        <v>7945740</v>
      </c>
      <c r="V667" s="1196">
        <f>R667+V682-V687</f>
        <v>14044721.85</v>
      </c>
      <c r="W667" s="1196">
        <f t="shared" si="351"/>
        <v>14044721.85</v>
      </c>
      <c r="X667" s="1196">
        <f t="shared" si="351"/>
        <v>14044721.85</v>
      </c>
      <c r="Y667" s="1196">
        <f t="shared" si="351"/>
        <v>14044721.85</v>
      </c>
      <c r="Z667" s="1196">
        <f t="shared" si="351"/>
        <v>14044721.85</v>
      </c>
      <c r="AA667" s="1196">
        <f t="shared" si="351"/>
        <v>14044721.85</v>
      </c>
      <c r="AB667" s="1196">
        <f t="shared" si="351"/>
        <v>14044721.85</v>
      </c>
      <c r="AC667" s="1196">
        <f t="shared" si="351"/>
        <v>14044721.85</v>
      </c>
      <c r="AD667" s="1196">
        <f t="shared" si="351"/>
        <v>14044721.85</v>
      </c>
      <c r="AE667" s="1196">
        <f t="shared" si="351"/>
        <v>14044721.85</v>
      </c>
      <c r="AF667" s="1196">
        <f t="shared" si="351"/>
        <v>14044721.85</v>
      </c>
      <c r="AG667" s="1196">
        <f t="shared" si="351"/>
        <v>14044721.85</v>
      </c>
      <c r="AH667" s="1196">
        <f t="shared" si="351"/>
        <v>14044721.85</v>
      </c>
      <c r="AI667" s="1196">
        <f t="shared" si="351"/>
        <v>14044721.85</v>
      </c>
      <c r="AJ667" s="1196">
        <f t="shared" si="351"/>
        <v>14044721.85</v>
      </c>
      <c r="AK667" s="1196">
        <f t="shared" si="351"/>
        <v>14044721.85</v>
      </c>
      <c r="AL667" s="1196">
        <f t="shared" si="351"/>
        <v>14044721.85</v>
      </c>
      <c r="AM667" s="1196">
        <f t="shared" si="351"/>
        <v>14044721.85</v>
      </c>
      <c r="AN667" s="1196">
        <f t="shared" si="351"/>
        <v>14044721.85</v>
      </c>
      <c r="AO667" s="1196">
        <f t="shared" si="351"/>
        <v>14044721.85</v>
      </c>
      <c r="AP667" s="1196">
        <f t="shared" si="351"/>
        <v>14044721.85</v>
      </c>
      <c r="AQ667" s="1196">
        <f t="shared" si="351"/>
        <v>14044721.85</v>
      </c>
      <c r="AR667" s="1196">
        <f t="shared" si="351"/>
        <v>14044721.85</v>
      </c>
      <c r="AS667" s="1196">
        <f t="shared" si="351"/>
        <v>14044721.85</v>
      </c>
      <c r="AT667" s="1196">
        <f t="shared" si="351"/>
        <v>14044721.85</v>
      </c>
      <c r="AU667" s="1196">
        <f t="shared" si="351"/>
        <v>14044721.85</v>
      </c>
    </row>
    <row r="668" spans="2:47" s="1208" customFormat="1" ht="14.25" customHeight="1">
      <c r="B668" s="1245"/>
      <c r="C668" s="1247" t="s">
        <v>1101</v>
      </c>
      <c r="D668" s="380"/>
      <c r="E668" s="380"/>
      <c r="F668" s="380"/>
      <c r="G668" s="380"/>
      <c r="H668" s="380"/>
      <c r="I668" s="1246"/>
      <c r="J668" s="258"/>
      <c r="K668" s="258"/>
      <c r="L668" s="258"/>
      <c r="M668" s="1248">
        <f t="shared" ref="M668:AU668" si="352">SUM(M669:M672)</f>
        <v>0</v>
      </c>
      <c r="N668" s="1248">
        <f t="shared" si="352"/>
        <v>0</v>
      </c>
      <c r="O668" s="1248">
        <f t="shared" si="352"/>
        <v>0</v>
      </c>
      <c r="P668" s="1248">
        <f t="shared" si="352"/>
        <v>0</v>
      </c>
      <c r="Q668" s="1248">
        <f t="shared" si="352"/>
        <v>171300395</v>
      </c>
      <c r="R668" s="1248">
        <f t="shared" si="352"/>
        <v>264858000</v>
      </c>
      <c r="S668" s="1248"/>
      <c r="T668" s="1248">
        <f>SUM(T669:T672)</f>
        <v>0</v>
      </c>
      <c r="U668" s="1248">
        <f t="shared" si="349"/>
        <v>0</v>
      </c>
      <c r="V668" s="1248">
        <f t="shared" si="352"/>
        <v>31999000</v>
      </c>
      <c r="W668" s="1248">
        <f t="shared" si="352"/>
        <v>0</v>
      </c>
      <c r="X668" s="1248">
        <f t="shared" si="352"/>
        <v>0</v>
      </c>
      <c r="Y668" s="1248">
        <f t="shared" si="352"/>
        <v>0</v>
      </c>
      <c r="Z668" s="1248">
        <f t="shared" si="352"/>
        <v>0</v>
      </c>
      <c r="AA668" s="1248">
        <f t="shared" si="352"/>
        <v>0</v>
      </c>
      <c r="AB668" s="1248">
        <f t="shared" si="352"/>
        <v>0</v>
      </c>
      <c r="AC668" s="1248">
        <f t="shared" si="352"/>
        <v>0</v>
      </c>
      <c r="AD668" s="1248">
        <f t="shared" si="352"/>
        <v>0</v>
      </c>
      <c r="AE668" s="1248">
        <f t="shared" si="352"/>
        <v>0</v>
      </c>
      <c r="AF668" s="1248">
        <f t="shared" si="352"/>
        <v>0</v>
      </c>
      <c r="AG668" s="1248">
        <f t="shared" si="352"/>
        <v>0</v>
      </c>
      <c r="AH668" s="1248">
        <f t="shared" si="352"/>
        <v>0</v>
      </c>
      <c r="AI668" s="1248">
        <f t="shared" si="352"/>
        <v>0</v>
      </c>
      <c r="AJ668" s="1248">
        <f t="shared" si="352"/>
        <v>0</v>
      </c>
      <c r="AK668" s="1248">
        <f t="shared" si="352"/>
        <v>0</v>
      </c>
      <c r="AL668" s="1248">
        <f t="shared" si="352"/>
        <v>0</v>
      </c>
      <c r="AM668" s="1248">
        <f t="shared" si="352"/>
        <v>0</v>
      </c>
      <c r="AN668" s="1248">
        <f t="shared" si="352"/>
        <v>0</v>
      </c>
      <c r="AO668" s="1248">
        <f t="shared" si="352"/>
        <v>0</v>
      </c>
      <c r="AP668" s="1248">
        <f t="shared" si="352"/>
        <v>0</v>
      </c>
      <c r="AQ668" s="1248">
        <f t="shared" si="352"/>
        <v>0</v>
      </c>
      <c r="AR668" s="1248">
        <f t="shared" si="352"/>
        <v>0</v>
      </c>
      <c r="AS668" s="1248">
        <f t="shared" si="352"/>
        <v>0</v>
      </c>
      <c r="AT668" s="1248">
        <f t="shared" si="352"/>
        <v>0</v>
      </c>
      <c r="AU668" s="1248">
        <f t="shared" si="352"/>
        <v>0</v>
      </c>
    </row>
    <row r="669" spans="2:47" s="214" customFormat="1" ht="14.25" customHeight="1">
      <c r="B669" s="244"/>
      <c r="C669" s="353" t="s">
        <v>1075</v>
      </c>
      <c r="D669" s="242"/>
      <c r="E669" s="242"/>
      <c r="F669" s="242"/>
      <c r="G669" s="242"/>
      <c r="H669" s="242"/>
      <c r="I669" s="275"/>
      <c r="J669" s="246"/>
      <c r="K669" s="246"/>
      <c r="L669" s="246"/>
      <c r="M669" s="222"/>
      <c r="N669" s="222">
        <f>N$633*N624</f>
        <v>0</v>
      </c>
      <c r="O669" s="222">
        <f>SUM(M669:N669)</f>
        <v>0</v>
      </c>
      <c r="P669" s="222">
        <f t="shared" ref="P669:AU669" si="353">P$633*P624</f>
        <v>0</v>
      </c>
      <c r="Q669" s="222">
        <f t="shared" si="353"/>
        <v>15417035.549999999</v>
      </c>
      <c r="R669" s="222">
        <f t="shared" si="353"/>
        <v>23837220</v>
      </c>
      <c r="S669" s="222"/>
      <c r="T669" s="222">
        <f>T$633*T624</f>
        <v>0</v>
      </c>
      <c r="U669" s="222">
        <f t="shared" si="349"/>
        <v>0</v>
      </c>
      <c r="V669" s="222">
        <f t="shared" si="353"/>
        <v>2879910</v>
      </c>
      <c r="W669" s="222">
        <f t="shared" si="353"/>
        <v>0</v>
      </c>
      <c r="X669" s="222">
        <f t="shared" si="353"/>
        <v>0</v>
      </c>
      <c r="Y669" s="222">
        <f t="shared" si="353"/>
        <v>0</v>
      </c>
      <c r="Z669" s="222">
        <f t="shared" si="353"/>
        <v>0</v>
      </c>
      <c r="AA669" s="222">
        <f t="shared" si="353"/>
        <v>0</v>
      </c>
      <c r="AB669" s="222">
        <f t="shared" si="353"/>
        <v>0</v>
      </c>
      <c r="AC669" s="222">
        <f t="shared" si="353"/>
        <v>0</v>
      </c>
      <c r="AD669" s="222">
        <f t="shared" si="353"/>
        <v>0</v>
      </c>
      <c r="AE669" s="222">
        <f t="shared" si="353"/>
        <v>0</v>
      </c>
      <c r="AF669" s="222">
        <f t="shared" si="353"/>
        <v>0</v>
      </c>
      <c r="AG669" s="222">
        <f t="shared" si="353"/>
        <v>0</v>
      </c>
      <c r="AH669" s="222">
        <f t="shared" si="353"/>
        <v>0</v>
      </c>
      <c r="AI669" s="222">
        <f t="shared" si="353"/>
        <v>0</v>
      </c>
      <c r="AJ669" s="222">
        <f t="shared" si="353"/>
        <v>0</v>
      </c>
      <c r="AK669" s="222">
        <f t="shared" si="353"/>
        <v>0</v>
      </c>
      <c r="AL669" s="222">
        <f t="shared" si="353"/>
        <v>0</v>
      </c>
      <c r="AM669" s="222">
        <f t="shared" si="353"/>
        <v>0</v>
      </c>
      <c r="AN669" s="222">
        <f t="shared" si="353"/>
        <v>0</v>
      </c>
      <c r="AO669" s="222">
        <f t="shared" si="353"/>
        <v>0</v>
      </c>
      <c r="AP669" s="222">
        <f t="shared" si="353"/>
        <v>0</v>
      </c>
      <c r="AQ669" s="222">
        <f t="shared" si="353"/>
        <v>0</v>
      </c>
      <c r="AR669" s="222">
        <f t="shared" si="353"/>
        <v>0</v>
      </c>
      <c r="AS669" s="222">
        <f t="shared" si="353"/>
        <v>0</v>
      </c>
      <c r="AT669" s="222">
        <f t="shared" si="353"/>
        <v>0</v>
      </c>
      <c r="AU669" s="222">
        <f t="shared" si="353"/>
        <v>0</v>
      </c>
    </row>
    <row r="670" spans="2:47" s="214" customFormat="1" ht="14.25" customHeight="1">
      <c r="B670" s="244"/>
      <c r="C670" s="353" t="s">
        <v>1076</v>
      </c>
      <c r="D670" s="242"/>
      <c r="E670" s="242"/>
      <c r="F670" s="242"/>
      <c r="G670" s="242"/>
      <c r="H670" s="242"/>
      <c r="I670" s="275"/>
      <c r="J670" s="246"/>
      <c r="K670" s="246"/>
      <c r="L670" s="246"/>
      <c r="M670" s="222"/>
      <c r="N670" s="222">
        <f>N$633*N625</f>
        <v>0</v>
      </c>
      <c r="O670" s="222">
        <f>SUM(M670:N670)</f>
        <v>0</v>
      </c>
      <c r="P670" s="222">
        <f t="shared" ref="P670:AU670" si="354">P$633*P625</f>
        <v>0</v>
      </c>
      <c r="Q670" s="222">
        <f t="shared" si="354"/>
        <v>149031343.65000001</v>
      </c>
      <c r="R670" s="222">
        <f t="shared" si="354"/>
        <v>230426460</v>
      </c>
      <c r="S670" s="222"/>
      <c r="T670" s="222">
        <f>T$633*T625</f>
        <v>0</v>
      </c>
      <c r="U670" s="222">
        <f t="shared" si="349"/>
        <v>0</v>
      </c>
      <c r="V670" s="222">
        <f t="shared" si="354"/>
        <v>27839130</v>
      </c>
      <c r="W670" s="222">
        <f t="shared" si="354"/>
        <v>0</v>
      </c>
      <c r="X670" s="222">
        <f t="shared" si="354"/>
        <v>0</v>
      </c>
      <c r="Y670" s="222">
        <f t="shared" si="354"/>
        <v>0</v>
      </c>
      <c r="Z670" s="222">
        <f t="shared" si="354"/>
        <v>0</v>
      </c>
      <c r="AA670" s="222">
        <f t="shared" si="354"/>
        <v>0</v>
      </c>
      <c r="AB670" s="222">
        <f t="shared" si="354"/>
        <v>0</v>
      </c>
      <c r="AC670" s="222">
        <f t="shared" si="354"/>
        <v>0</v>
      </c>
      <c r="AD670" s="222">
        <f t="shared" si="354"/>
        <v>0</v>
      </c>
      <c r="AE670" s="222">
        <f t="shared" si="354"/>
        <v>0</v>
      </c>
      <c r="AF670" s="222">
        <f t="shared" si="354"/>
        <v>0</v>
      </c>
      <c r="AG670" s="222">
        <f t="shared" si="354"/>
        <v>0</v>
      </c>
      <c r="AH670" s="222">
        <f t="shared" si="354"/>
        <v>0</v>
      </c>
      <c r="AI670" s="222">
        <f t="shared" si="354"/>
        <v>0</v>
      </c>
      <c r="AJ670" s="222">
        <f t="shared" si="354"/>
        <v>0</v>
      </c>
      <c r="AK670" s="222">
        <f t="shared" si="354"/>
        <v>0</v>
      </c>
      <c r="AL670" s="222">
        <f t="shared" si="354"/>
        <v>0</v>
      </c>
      <c r="AM670" s="222">
        <f t="shared" si="354"/>
        <v>0</v>
      </c>
      <c r="AN670" s="222">
        <f t="shared" si="354"/>
        <v>0</v>
      </c>
      <c r="AO670" s="222">
        <f t="shared" si="354"/>
        <v>0</v>
      </c>
      <c r="AP670" s="222">
        <f t="shared" si="354"/>
        <v>0</v>
      </c>
      <c r="AQ670" s="222">
        <f t="shared" si="354"/>
        <v>0</v>
      </c>
      <c r="AR670" s="222">
        <f t="shared" si="354"/>
        <v>0</v>
      </c>
      <c r="AS670" s="222">
        <f t="shared" si="354"/>
        <v>0</v>
      </c>
      <c r="AT670" s="222">
        <f t="shared" si="354"/>
        <v>0</v>
      </c>
      <c r="AU670" s="222">
        <f t="shared" si="354"/>
        <v>0</v>
      </c>
    </row>
    <row r="671" spans="2:47" s="214" customFormat="1" ht="14.25" customHeight="1">
      <c r="B671" s="244"/>
      <c r="C671" s="353" t="s">
        <v>1077</v>
      </c>
      <c r="D671" s="242"/>
      <c r="E671" s="242"/>
      <c r="F671" s="242"/>
      <c r="G671" s="242"/>
      <c r="H671" s="242"/>
      <c r="I671" s="275"/>
      <c r="J671" s="246"/>
      <c r="K671" s="246"/>
      <c r="L671" s="246"/>
      <c r="M671" s="222"/>
      <c r="N671" s="222">
        <f>N$633*N626</f>
        <v>0</v>
      </c>
      <c r="O671" s="222">
        <f>SUM(M671:N671)</f>
        <v>0</v>
      </c>
      <c r="P671" s="222">
        <f t="shared" ref="P671:AU671" si="355">P$633*P626</f>
        <v>0</v>
      </c>
      <c r="Q671" s="222">
        <f t="shared" si="355"/>
        <v>1713003.95</v>
      </c>
      <c r="R671" s="222">
        <f t="shared" si="355"/>
        <v>2648580</v>
      </c>
      <c r="S671" s="222"/>
      <c r="T671" s="222">
        <f>T$633*T626</f>
        <v>0</v>
      </c>
      <c r="U671" s="222">
        <f t="shared" si="349"/>
        <v>0</v>
      </c>
      <c r="V671" s="222">
        <f t="shared" si="355"/>
        <v>319990</v>
      </c>
      <c r="W671" s="222">
        <f t="shared" si="355"/>
        <v>0</v>
      </c>
      <c r="X671" s="222">
        <f t="shared" si="355"/>
        <v>0</v>
      </c>
      <c r="Y671" s="222">
        <f t="shared" si="355"/>
        <v>0</v>
      </c>
      <c r="Z671" s="222">
        <f t="shared" si="355"/>
        <v>0</v>
      </c>
      <c r="AA671" s="222">
        <f t="shared" si="355"/>
        <v>0</v>
      </c>
      <c r="AB671" s="222">
        <f t="shared" si="355"/>
        <v>0</v>
      </c>
      <c r="AC671" s="222">
        <f t="shared" si="355"/>
        <v>0</v>
      </c>
      <c r="AD671" s="222">
        <f t="shared" si="355"/>
        <v>0</v>
      </c>
      <c r="AE671" s="222">
        <f t="shared" si="355"/>
        <v>0</v>
      </c>
      <c r="AF671" s="222">
        <f t="shared" si="355"/>
        <v>0</v>
      </c>
      <c r="AG671" s="222">
        <f t="shared" si="355"/>
        <v>0</v>
      </c>
      <c r="AH671" s="222">
        <f t="shared" si="355"/>
        <v>0</v>
      </c>
      <c r="AI671" s="222">
        <f t="shared" si="355"/>
        <v>0</v>
      </c>
      <c r="AJ671" s="222">
        <f t="shared" si="355"/>
        <v>0</v>
      </c>
      <c r="AK671" s="222">
        <f t="shared" si="355"/>
        <v>0</v>
      </c>
      <c r="AL671" s="222">
        <f t="shared" si="355"/>
        <v>0</v>
      </c>
      <c r="AM671" s="222">
        <f t="shared" si="355"/>
        <v>0</v>
      </c>
      <c r="AN671" s="222">
        <f t="shared" si="355"/>
        <v>0</v>
      </c>
      <c r="AO671" s="222">
        <f t="shared" si="355"/>
        <v>0</v>
      </c>
      <c r="AP671" s="222">
        <f t="shared" si="355"/>
        <v>0</v>
      </c>
      <c r="AQ671" s="222">
        <f t="shared" si="355"/>
        <v>0</v>
      </c>
      <c r="AR671" s="222">
        <f t="shared" si="355"/>
        <v>0</v>
      </c>
      <c r="AS671" s="222">
        <f t="shared" si="355"/>
        <v>0</v>
      </c>
      <c r="AT671" s="222">
        <f t="shared" si="355"/>
        <v>0</v>
      </c>
      <c r="AU671" s="222">
        <f t="shared" si="355"/>
        <v>0</v>
      </c>
    </row>
    <row r="672" spans="2:47" s="214" customFormat="1" ht="14.25" customHeight="1">
      <c r="B672" s="244"/>
      <c r="C672" s="353" t="s">
        <v>1078</v>
      </c>
      <c r="D672" s="242"/>
      <c r="E672" s="242"/>
      <c r="F672" s="242"/>
      <c r="G672" s="242"/>
      <c r="H672" s="242"/>
      <c r="I672" s="275"/>
      <c r="J672" s="246"/>
      <c r="K672" s="246"/>
      <c r="L672" s="246"/>
      <c r="M672" s="222"/>
      <c r="N672" s="222">
        <v>0</v>
      </c>
      <c r="O672" s="222">
        <v>0</v>
      </c>
      <c r="P672" s="222">
        <v>0</v>
      </c>
      <c r="Q672" s="222">
        <f>Q$633*Q627</f>
        <v>5139011.8499999996</v>
      </c>
      <c r="R672" s="222">
        <f>R$633*R627</f>
        <v>7945740</v>
      </c>
      <c r="S672" s="222"/>
      <c r="T672" s="222">
        <f>T$633*T627</f>
        <v>0</v>
      </c>
      <c r="U672" s="222">
        <f t="shared" si="349"/>
        <v>0</v>
      </c>
      <c r="V672" s="222">
        <f>V$633*V627</f>
        <v>959970</v>
      </c>
      <c r="W672" s="222">
        <f t="shared" ref="W672:AU672" si="356">W$633*W627</f>
        <v>0</v>
      </c>
      <c r="X672" s="222">
        <f t="shared" si="356"/>
        <v>0</v>
      </c>
      <c r="Y672" s="222">
        <f t="shared" si="356"/>
        <v>0</v>
      </c>
      <c r="Z672" s="222">
        <f t="shared" si="356"/>
        <v>0</v>
      </c>
      <c r="AA672" s="222">
        <f t="shared" si="356"/>
        <v>0</v>
      </c>
      <c r="AB672" s="222">
        <f t="shared" si="356"/>
        <v>0</v>
      </c>
      <c r="AC672" s="222">
        <f t="shared" si="356"/>
        <v>0</v>
      </c>
      <c r="AD672" s="222">
        <f t="shared" si="356"/>
        <v>0</v>
      </c>
      <c r="AE672" s="222">
        <f t="shared" si="356"/>
        <v>0</v>
      </c>
      <c r="AF672" s="222">
        <f t="shared" si="356"/>
        <v>0</v>
      </c>
      <c r="AG672" s="222">
        <f t="shared" si="356"/>
        <v>0</v>
      </c>
      <c r="AH672" s="222">
        <f t="shared" si="356"/>
        <v>0</v>
      </c>
      <c r="AI672" s="222">
        <f t="shared" si="356"/>
        <v>0</v>
      </c>
      <c r="AJ672" s="222">
        <f t="shared" si="356"/>
        <v>0</v>
      </c>
      <c r="AK672" s="222">
        <f t="shared" si="356"/>
        <v>0</v>
      </c>
      <c r="AL672" s="222">
        <f t="shared" si="356"/>
        <v>0</v>
      </c>
      <c r="AM672" s="222">
        <f t="shared" si="356"/>
        <v>0</v>
      </c>
      <c r="AN672" s="222">
        <f t="shared" si="356"/>
        <v>0</v>
      </c>
      <c r="AO672" s="222">
        <f t="shared" si="356"/>
        <v>0</v>
      </c>
      <c r="AP672" s="222">
        <f t="shared" si="356"/>
        <v>0</v>
      </c>
      <c r="AQ672" s="222">
        <f t="shared" si="356"/>
        <v>0</v>
      </c>
      <c r="AR672" s="222">
        <f t="shared" si="356"/>
        <v>0</v>
      </c>
      <c r="AS672" s="222">
        <f t="shared" si="356"/>
        <v>0</v>
      </c>
      <c r="AT672" s="222">
        <f t="shared" si="356"/>
        <v>0</v>
      </c>
      <c r="AU672" s="222">
        <f t="shared" si="356"/>
        <v>0</v>
      </c>
    </row>
    <row r="673" spans="2:47" s="1208" customFormat="1" ht="14.25" customHeight="1">
      <c r="B673" s="1245"/>
      <c r="C673" s="1247" t="s">
        <v>1093</v>
      </c>
      <c r="D673" s="380"/>
      <c r="E673" s="380"/>
      <c r="F673" s="380"/>
      <c r="G673" s="380"/>
      <c r="H673" s="380"/>
      <c r="I673" s="1246"/>
      <c r="J673" s="258"/>
      <c r="K673" s="258"/>
      <c r="L673" s="258"/>
      <c r="M673" s="1248">
        <f t="shared" ref="M673:AU673" si="357">SUM(M674:M677)</f>
        <v>0</v>
      </c>
      <c r="N673" s="1248">
        <f t="shared" si="357"/>
        <v>0</v>
      </c>
      <c r="O673" s="1248">
        <f t="shared" si="357"/>
        <v>0</v>
      </c>
      <c r="P673" s="1248">
        <f t="shared" si="357"/>
        <v>0</v>
      </c>
      <c r="Q673" s="1248">
        <f t="shared" si="357"/>
        <v>171300395</v>
      </c>
      <c r="R673" s="1248">
        <f t="shared" si="357"/>
        <v>0</v>
      </c>
      <c r="S673" s="1248"/>
      <c r="T673" s="1248">
        <f>SUM(T674:T677)</f>
        <v>-264858000</v>
      </c>
      <c r="U673" s="1248">
        <f t="shared" si="349"/>
        <v>-264858000</v>
      </c>
      <c r="V673" s="1248">
        <f t="shared" si="357"/>
        <v>0</v>
      </c>
      <c r="W673" s="1248">
        <f t="shared" si="357"/>
        <v>0</v>
      </c>
      <c r="X673" s="1248">
        <f t="shared" si="357"/>
        <v>0</v>
      </c>
      <c r="Y673" s="1248">
        <f t="shared" si="357"/>
        <v>0</v>
      </c>
      <c r="Z673" s="1248">
        <f t="shared" si="357"/>
        <v>0</v>
      </c>
      <c r="AA673" s="1248">
        <f t="shared" si="357"/>
        <v>0</v>
      </c>
      <c r="AB673" s="1248">
        <f t="shared" si="357"/>
        <v>0</v>
      </c>
      <c r="AC673" s="1248">
        <f t="shared" si="357"/>
        <v>0</v>
      </c>
      <c r="AD673" s="1248">
        <f t="shared" si="357"/>
        <v>0</v>
      </c>
      <c r="AE673" s="1248">
        <f t="shared" si="357"/>
        <v>0</v>
      </c>
      <c r="AF673" s="1248">
        <f t="shared" si="357"/>
        <v>0</v>
      </c>
      <c r="AG673" s="1248">
        <f t="shared" si="357"/>
        <v>0</v>
      </c>
      <c r="AH673" s="1248">
        <f t="shared" si="357"/>
        <v>0</v>
      </c>
      <c r="AI673" s="1248">
        <f t="shared" si="357"/>
        <v>0</v>
      </c>
      <c r="AJ673" s="1248">
        <f t="shared" si="357"/>
        <v>0</v>
      </c>
      <c r="AK673" s="1248">
        <f t="shared" si="357"/>
        <v>0</v>
      </c>
      <c r="AL673" s="1248">
        <f t="shared" si="357"/>
        <v>0</v>
      </c>
      <c r="AM673" s="1248">
        <f t="shared" si="357"/>
        <v>0</v>
      </c>
      <c r="AN673" s="1248">
        <f t="shared" si="357"/>
        <v>0</v>
      </c>
      <c r="AO673" s="1248">
        <f t="shared" si="357"/>
        <v>0</v>
      </c>
      <c r="AP673" s="1248">
        <f t="shared" si="357"/>
        <v>0</v>
      </c>
      <c r="AQ673" s="1248">
        <f t="shared" si="357"/>
        <v>0</v>
      </c>
      <c r="AR673" s="1248">
        <f t="shared" si="357"/>
        <v>0</v>
      </c>
      <c r="AS673" s="1248">
        <f t="shared" si="357"/>
        <v>0</v>
      </c>
      <c r="AT673" s="1248">
        <f t="shared" si="357"/>
        <v>0</v>
      </c>
      <c r="AU673" s="1248">
        <f t="shared" si="357"/>
        <v>0</v>
      </c>
    </row>
    <row r="674" spans="2:47" s="214" customFormat="1" ht="14.25" customHeight="1">
      <c r="B674" s="244"/>
      <c r="C674" s="353" t="s">
        <v>1075</v>
      </c>
      <c r="D674" s="242"/>
      <c r="E674" s="242"/>
      <c r="F674" s="242"/>
      <c r="G674" s="242"/>
      <c r="H674" s="242"/>
      <c r="I674" s="275"/>
      <c r="J674" s="246"/>
      <c r="K674" s="246"/>
      <c r="L674" s="246"/>
      <c r="M674" s="215">
        <v>0</v>
      </c>
      <c r="N674" s="216">
        <f>M674+N669-N679</f>
        <v>0</v>
      </c>
      <c r="O674" s="216">
        <f>N674</f>
        <v>0</v>
      </c>
      <c r="P674" s="216">
        <f t="shared" ref="P674:AU677" si="358">O674+P669-P679</f>
        <v>0</v>
      </c>
      <c r="Q674" s="216">
        <f t="shared" si="358"/>
        <v>15417035.549999999</v>
      </c>
      <c r="R674" s="216">
        <f t="shared" si="358"/>
        <v>0</v>
      </c>
      <c r="S674" s="216"/>
      <c r="T674" s="216">
        <f t="shared" si="358"/>
        <v>-23837220</v>
      </c>
      <c r="U674" s="216">
        <f t="shared" si="349"/>
        <v>-23837220</v>
      </c>
      <c r="V674" s="216">
        <f>R674+V669-V679</f>
        <v>0</v>
      </c>
      <c r="W674" s="216">
        <f t="shared" si="358"/>
        <v>0</v>
      </c>
      <c r="X674" s="216">
        <f t="shared" si="358"/>
        <v>0</v>
      </c>
      <c r="Y674" s="216">
        <f t="shared" si="358"/>
        <v>0</v>
      </c>
      <c r="Z674" s="216">
        <f t="shared" si="358"/>
        <v>0</v>
      </c>
      <c r="AA674" s="216">
        <f t="shared" si="358"/>
        <v>0</v>
      </c>
      <c r="AB674" s="216">
        <f t="shared" si="358"/>
        <v>0</v>
      </c>
      <c r="AC674" s="216">
        <f t="shared" si="358"/>
        <v>0</v>
      </c>
      <c r="AD674" s="216">
        <f t="shared" si="358"/>
        <v>0</v>
      </c>
      <c r="AE674" s="216">
        <f t="shared" si="358"/>
        <v>0</v>
      </c>
      <c r="AF674" s="216">
        <f t="shared" si="358"/>
        <v>0</v>
      </c>
      <c r="AG674" s="216">
        <f t="shared" si="358"/>
        <v>0</v>
      </c>
      <c r="AH674" s="216">
        <f t="shared" si="358"/>
        <v>0</v>
      </c>
      <c r="AI674" s="216">
        <f t="shared" si="358"/>
        <v>0</v>
      </c>
      <c r="AJ674" s="216">
        <f t="shared" si="358"/>
        <v>0</v>
      </c>
      <c r="AK674" s="216">
        <f t="shared" si="358"/>
        <v>0</v>
      </c>
      <c r="AL674" s="216">
        <f t="shared" si="358"/>
        <v>0</v>
      </c>
      <c r="AM674" s="216">
        <f t="shared" si="358"/>
        <v>0</v>
      </c>
      <c r="AN674" s="216">
        <f t="shared" si="358"/>
        <v>0</v>
      </c>
      <c r="AO674" s="216">
        <f t="shared" si="358"/>
        <v>0</v>
      </c>
      <c r="AP674" s="216">
        <f t="shared" si="358"/>
        <v>0</v>
      </c>
      <c r="AQ674" s="216">
        <f t="shared" si="358"/>
        <v>0</v>
      </c>
      <c r="AR674" s="216">
        <f t="shared" si="358"/>
        <v>0</v>
      </c>
      <c r="AS674" s="216">
        <f t="shared" si="358"/>
        <v>0</v>
      </c>
      <c r="AT674" s="216">
        <f t="shared" si="358"/>
        <v>0</v>
      </c>
      <c r="AU674" s="216">
        <f t="shared" si="358"/>
        <v>0</v>
      </c>
    </row>
    <row r="675" spans="2:47" s="214" customFormat="1" ht="14.25" customHeight="1">
      <c r="B675" s="244"/>
      <c r="C675" s="353" t="s">
        <v>1076</v>
      </c>
      <c r="D675" s="242"/>
      <c r="E675" s="242"/>
      <c r="F675" s="242"/>
      <c r="G675" s="242"/>
      <c r="H675" s="242"/>
      <c r="I675" s="275"/>
      <c r="J675" s="246"/>
      <c r="K675" s="246"/>
      <c r="L675" s="246"/>
      <c r="M675" s="1196">
        <v>0</v>
      </c>
      <c r="N675" s="216">
        <f>M675+N670-N680</f>
        <v>0</v>
      </c>
      <c r="O675" s="216">
        <f>N675</f>
        <v>0</v>
      </c>
      <c r="P675" s="216">
        <f t="shared" si="358"/>
        <v>0</v>
      </c>
      <c r="Q675" s="216">
        <f t="shared" si="358"/>
        <v>149031343.65000001</v>
      </c>
      <c r="R675" s="216">
        <f t="shared" si="358"/>
        <v>0</v>
      </c>
      <c r="S675" s="216"/>
      <c r="T675" s="216">
        <f t="shared" si="358"/>
        <v>-230426460</v>
      </c>
      <c r="U675" s="216">
        <f t="shared" si="349"/>
        <v>-230426460</v>
      </c>
      <c r="V675" s="216">
        <f>R675+V670-V680</f>
        <v>0</v>
      </c>
      <c r="W675" s="216">
        <f t="shared" si="358"/>
        <v>0</v>
      </c>
      <c r="X675" s="216">
        <f t="shared" si="358"/>
        <v>0</v>
      </c>
      <c r="Y675" s="216">
        <f t="shared" si="358"/>
        <v>0</v>
      </c>
      <c r="Z675" s="216">
        <f t="shared" si="358"/>
        <v>0</v>
      </c>
      <c r="AA675" s="216">
        <f t="shared" si="358"/>
        <v>0</v>
      </c>
      <c r="AB675" s="216">
        <f t="shared" si="358"/>
        <v>0</v>
      </c>
      <c r="AC675" s="216">
        <f t="shared" si="358"/>
        <v>0</v>
      </c>
      <c r="AD675" s="216">
        <f t="shared" si="358"/>
        <v>0</v>
      </c>
      <c r="AE675" s="216">
        <f t="shared" si="358"/>
        <v>0</v>
      </c>
      <c r="AF675" s="216">
        <f t="shared" si="358"/>
        <v>0</v>
      </c>
      <c r="AG675" s="216">
        <f t="shared" si="358"/>
        <v>0</v>
      </c>
      <c r="AH675" s="216">
        <f t="shared" si="358"/>
        <v>0</v>
      </c>
      <c r="AI675" s="216">
        <f t="shared" si="358"/>
        <v>0</v>
      </c>
      <c r="AJ675" s="216">
        <f t="shared" si="358"/>
        <v>0</v>
      </c>
      <c r="AK675" s="216">
        <f t="shared" si="358"/>
        <v>0</v>
      </c>
      <c r="AL675" s="216">
        <f t="shared" si="358"/>
        <v>0</v>
      </c>
      <c r="AM675" s="216">
        <f t="shared" si="358"/>
        <v>0</v>
      </c>
      <c r="AN675" s="216">
        <f t="shared" si="358"/>
        <v>0</v>
      </c>
      <c r="AO675" s="216">
        <f t="shared" si="358"/>
        <v>0</v>
      </c>
      <c r="AP675" s="216">
        <f t="shared" si="358"/>
        <v>0</v>
      </c>
      <c r="AQ675" s="216">
        <f t="shared" si="358"/>
        <v>0</v>
      </c>
      <c r="AR675" s="216">
        <f t="shared" si="358"/>
        <v>0</v>
      </c>
      <c r="AS675" s="216">
        <f t="shared" si="358"/>
        <v>0</v>
      </c>
      <c r="AT675" s="216">
        <f t="shared" si="358"/>
        <v>0</v>
      </c>
      <c r="AU675" s="216">
        <f t="shared" si="358"/>
        <v>0</v>
      </c>
    </row>
    <row r="676" spans="2:47" s="214" customFormat="1" ht="14.25" customHeight="1">
      <c r="B676" s="244"/>
      <c r="C676" s="353" t="s">
        <v>1077</v>
      </c>
      <c r="D676" s="242"/>
      <c r="E676" s="242"/>
      <c r="F676" s="242"/>
      <c r="G676" s="242"/>
      <c r="H676" s="242"/>
      <c r="I676" s="275"/>
      <c r="J676" s="246"/>
      <c r="K676" s="246"/>
      <c r="L676" s="246"/>
      <c r="M676" s="1196">
        <v>0</v>
      </c>
      <c r="N676" s="216">
        <f>M676+N671-N681</f>
        <v>0</v>
      </c>
      <c r="O676" s="216">
        <f>N676</f>
        <v>0</v>
      </c>
      <c r="P676" s="216">
        <f t="shared" si="358"/>
        <v>0</v>
      </c>
      <c r="Q676" s="216">
        <f t="shared" si="358"/>
        <v>1713003.95</v>
      </c>
      <c r="R676" s="216">
        <f t="shared" si="358"/>
        <v>0</v>
      </c>
      <c r="S676" s="216"/>
      <c r="T676" s="216">
        <f t="shared" si="358"/>
        <v>-2648580</v>
      </c>
      <c r="U676" s="216">
        <f t="shared" si="349"/>
        <v>-2648580</v>
      </c>
      <c r="V676" s="216">
        <f>R676+V671-V681</f>
        <v>0</v>
      </c>
      <c r="W676" s="216">
        <f t="shared" si="358"/>
        <v>0</v>
      </c>
      <c r="X676" s="216">
        <f t="shared" si="358"/>
        <v>0</v>
      </c>
      <c r="Y676" s="216">
        <f t="shared" si="358"/>
        <v>0</v>
      </c>
      <c r="Z676" s="216">
        <f t="shared" si="358"/>
        <v>0</v>
      </c>
      <c r="AA676" s="216">
        <f t="shared" si="358"/>
        <v>0</v>
      </c>
      <c r="AB676" s="216">
        <f t="shared" si="358"/>
        <v>0</v>
      </c>
      <c r="AC676" s="216">
        <f t="shared" si="358"/>
        <v>0</v>
      </c>
      <c r="AD676" s="216">
        <f t="shared" si="358"/>
        <v>0</v>
      </c>
      <c r="AE676" s="216">
        <f t="shared" si="358"/>
        <v>0</v>
      </c>
      <c r="AF676" s="216">
        <f t="shared" si="358"/>
        <v>0</v>
      </c>
      <c r="AG676" s="216">
        <f t="shared" si="358"/>
        <v>0</v>
      </c>
      <c r="AH676" s="216">
        <f t="shared" si="358"/>
        <v>0</v>
      </c>
      <c r="AI676" s="216">
        <f t="shared" si="358"/>
        <v>0</v>
      </c>
      <c r="AJ676" s="216">
        <f t="shared" si="358"/>
        <v>0</v>
      </c>
      <c r="AK676" s="216">
        <f t="shared" si="358"/>
        <v>0</v>
      </c>
      <c r="AL676" s="216">
        <f t="shared" si="358"/>
        <v>0</v>
      </c>
      <c r="AM676" s="216">
        <f t="shared" si="358"/>
        <v>0</v>
      </c>
      <c r="AN676" s="216">
        <f t="shared" si="358"/>
        <v>0</v>
      </c>
      <c r="AO676" s="216">
        <f t="shared" si="358"/>
        <v>0</v>
      </c>
      <c r="AP676" s="216">
        <f t="shared" si="358"/>
        <v>0</v>
      </c>
      <c r="AQ676" s="216">
        <f t="shared" si="358"/>
        <v>0</v>
      </c>
      <c r="AR676" s="216">
        <f t="shared" si="358"/>
        <v>0</v>
      </c>
      <c r="AS676" s="216">
        <f t="shared" si="358"/>
        <v>0</v>
      </c>
      <c r="AT676" s="216">
        <f t="shared" si="358"/>
        <v>0</v>
      </c>
      <c r="AU676" s="216">
        <f t="shared" si="358"/>
        <v>0</v>
      </c>
    </row>
    <row r="677" spans="2:47" s="214" customFormat="1" ht="14.25" customHeight="1">
      <c r="B677" s="244"/>
      <c r="C677" s="353" t="s">
        <v>1078</v>
      </c>
      <c r="D677" s="242"/>
      <c r="E677" s="242"/>
      <c r="F677" s="242"/>
      <c r="G677" s="242"/>
      <c r="H677" s="242"/>
      <c r="I677" s="275"/>
      <c r="J677" s="246"/>
      <c r="K677" s="246"/>
      <c r="L677" s="246"/>
      <c r="M677" s="1196">
        <v>0</v>
      </c>
      <c r="N677" s="216">
        <f>M677+N672-N682</f>
        <v>0</v>
      </c>
      <c r="O677" s="216">
        <f>N677</f>
        <v>0</v>
      </c>
      <c r="P677" s="216">
        <f t="shared" si="358"/>
        <v>0</v>
      </c>
      <c r="Q677" s="216">
        <f t="shared" si="358"/>
        <v>5139011.8499999996</v>
      </c>
      <c r="R677" s="216">
        <f t="shared" si="358"/>
        <v>0</v>
      </c>
      <c r="S677" s="216"/>
      <c r="T677" s="216">
        <f t="shared" si="358"/>
        <v>-7945740</v>
      </c>
      <c r="U677" s="216">
        <f t="shared" si="349"/>
        <v>-7945740</v>
      </c>
      <c r="V677" s="216">
        <f>R677+V672-V682</f>
        <v>0</v>
      </c>
      <c r="W677" s="216">
        <f t="shared" si="358"/>
        <v>0</v>
      </c>
      <c r="X677" s="216">
        <f t="shared" si="358"/>
        <v>0</v>
      </c>
      <c r="Y677" s="216">
        <f t="shared" si="358"/>
        <v>0</v>
      </c>
      <c r="Z677" s="216">
        <f t="shared" si="358"/>
        <v>0</v>
      </c>
      <c r="AA677" s="216">
        <f t="shared" si="358"/>
        <v>0</v>
      </c>
      <c r="AB677" s="216">
        <f t="shared" si="358"/>
        <v>0</v>
      </c>
      <c r="AC677" s="216">
        <f t="shared" si="358"/>
        <v>0</v>
      </c>
      <c r="AD677" s="216">
        <f t="shared" si="358"/>
        <v>0</v>
      </c>
      <c r="AE677" s="216">
        <f t="shared" si="358"/>
        <v>0</v>
      </c>
      <c r="AF677" s="216">
        <f t="shared" si="358"/>
        <v>0</v>
      </c>
      <c r="AG677" s="216">
        <f t="shared" si="358"/>
        <v>0</v>
      </c>
      <c r="AH677" s="216">
        <f t="shared" si="358"/>
        <v>0</v>
      </c>
      <c r="AI677" s="216">
        <f t="shared" si="358"/>
        <v>0</v>
      </c>
      <c r="AJ677" s="216">
        <f t="shared" si="358"/>
        <v>0</v>
      </c>
      <c r="AK677" s="216">
        <f t="shared" si="358"/>
        <v>0</v>
      </c>
      <c r="AL677" s="216">
        <f t="shared" si="358"/>
        <v>0</v>
      </c>
      <c r="AM677" s="216">
        <f t="shared" si="358"/>
        <v>0</v>
      </c>
      <c r="AN677" s="216">
        <f t="shared" si="358"/>
        <v>0</v>
      </c>
      <c r="AO677" s="216">
        <f t="shared" si="358"/>
        <v>0</v>
      </c>
      <c r="AP677" s="216">
        <f t="shared" si="358"/>
        <v>0</v>
      </c>
      <c r="AQ677" s="216">
        <f t="shared" si="358"/>
        <v>0</v>
      </c>
      <c r="AR677" s="216">
        <f t="shared" si="358"/>
        <v>0</v>
      </c>
      <c r="AS677" s="216">
        <f t="shared" si="358"/>
        <v>0</v>
      </c>
      <c r="AT677" s="216">
        <f t="shared" si="358"/>
        <v>0</v>
      </c>
      <c r="AU677" s="216">
        <f t="shared" si="358"/>
        <v>0</v>
      </c>
    </row>
    <row r="678" spans="2:47" s="1208" customFormat="1" ht="14.25" customHeight="1">
      <c r="B678" s="1245"/>
      <c r="C678" s="1247" t="s">
        <v>1004</v>
      </c>
      <c r="D678" s="380"/>
      <c r="E678" s="380"/>
      <c r="F678" s="380"/>
      <c r="G678" s="380"/>
      <c r="H678" s="380"/>
      <c r="I678" s="1246"/>
      <c r="J678" s="258"/>
      <c r="K678" s="258"/>
      <c r="L678" s="258"/>
      <c r="M678" s="1248">
        <f t="shared" ref="M678:AU678" si="359">SUM(M679:M682)</f>
        <v>0</v>
      </c>
      <c r="N678" s="1248">
        <f t="shared" si="359"/>
        <v>0</v>
      </c>
      <c r="O678" s="1248">
        <f t="shared" si="359"/>
        <v>0</v>
      </c>
      <c r="P678" s="1248">
        <f t="shared" si="359"/>
        <v>0</v>
      </c>
      <c r="Q678" s="1248">
        <f t="shared" si="359"/>
        <v>0</v>
      </c>
      <c r="R678" s="1248">
        <f t="shared" si="359"/>
        <v>436158395</v>
      </c>
      <c r="S678" s="1248"/>
      <c r="T678" s="1248">
        <f>SUM(T679:T682)</f>
        <v>264858000</v>
      </c>
      <c r="U678" s="1248">
        <f t="shared" si="349"/>
        <v>264858000</v>
      </c>
      <c r="V678" s="1248">
        <f t="shared" si="359"/>
        <v>31999000</v>
      </c>
      <c r="W678" s="1248">
        <f t="shared" si="359"/>
        <v>0</v>
      </c>
      <c r="X678" s="1248">
        <f t="shared" si="359"/>
        <v>0</v>
      </c>
      <c r="Y678" s="1248">
        <f t="shared" si="359"/>
        <v>0</v>
      </c>
      <c r="Z678" s="1248">
        <f t="shared" si="359"/>
        <v>0</v>
      </c>
      <c r="AA678" s="1248">
        <f t="shared" si="359"/>
        <v>0</v>
      </c>
      <c r="AB678" s="1248">
        <f t="shared" si="359"/>
        <v>0</v>
      </c>
      <c r="AC678" s="1248">
        <f t="shared" si="359"/>
        <v>0</v>
      </c>
      <c r="AD678" s="1248">
        <f t="shared" si="359"/>
        <v>0</v>
      </c>
      <c r="AE678" s="1248">
        <f t="shared" si="359"/>
        <v>0</v>
      </c>
      <c r="AF678" s="1248">
        <f t="shared" si="359"/>
        <v>0</v>
      </c>
      <c r="AG678" s="1248">
        <f t="shared" si="359"/>
        <v>0</v>
      </c>
      <c r="AH678" s="1248">
        <f t="shared" si="359"/>
        <v>0</v>
      </c>
      <c r="AI678" s="1248">
        <f t="shared" si="359"/>
        <v>0</v>
      </c>
      <c r="AJ678" s="1248">
        <f t="shared" si="359"/>
        <v>0</v>
      </c>
      <c r="AK678" s="1248">
        <f t="shared" si="359"/>
        <v>0</v>
      </c>
      <c r="AL678" s="1248">
        <f t="shared" si="359"/>
        <v>0</v>
      </c>
      <c r="AM678" s="1248">
        <f t="shared" si="359"/>
        <v>0</v>
      </c>
      <c r="AN678" s="1248">
        <f t="shared" si="359"/>
        <v>0</v>
      </c>
      <c r="AO678" s="1248">
        <f t="shared" si="359"/>
        <v>0</v>
      </c>
      <c r="AP678" s="1248">
        <f t="shared" si="359"/>
        <v>0</v>
      </c>
      <c r="AQ678" s="1248">
        <f t="shared" si="359"/>
        <v>0</v>
      </c>
      <c r="AR678" s="1248">
        <f t="shared" si="359"/>
        <v>0</v>
      </c>
      <c r="AS678" s="1248">
        <f t="shared" si="359"/>
        <v>0</v>
      </c>
      <c r="AT678" s="1248">
        <f t="shared" si="359"/>
        <v>0</v>
      </c>
      <c r="AU678" s="1248">
        <f t="shared" si="359"/>
        <v>0</v>
      </c>
    </row>
    <row r="679" spans="2:47" s="214" customFormat="1" ht="14.25" customHeight="1">
      <c r="B679" s="244"/>
      <c r="C679" s="353" t="s">
        <v>1075</v>
      </c>
      <c r="D679" s="242"/>
      <c r="E679" s="242"/>
      <c r="F679" s="242"/>
      <c r="G679" s="242"/>
      <c r="H679" s="242"/>
      <c r="I679" s="275"/>
      <c r="J679" s="246"/>
      <c r="K679" s="246"/>
      <c r="L679" s="246"/>
      <c r="M679" s="215">
        <v>0</v>
      </c>
      <c r="N679" s="214">
        <v>0</v>
      </c>
      <c r="O679" s="215">
        <v>0</v>
      </c>
      <c r="P679" s="214">
        <v>0</v>
      </c>
      <c r="Q679" s="215">
        <v>0</v>
      </c>
      <c r="R679" s="216">
        <f>SUM(P669:R669)</f>
        <v>39254255.549999997</v>
      </c>
      <c r="S679" s="216"/>
      <c r="T679" s="216">
        <f>SUM(R669:T669)</f>
        <v>23837220</v>
      </c>
      <c r="U679" s="216">
        <f t="shared" si="349"/>
        <v>23837220</v>
      </c>
      <c r="V679" s="216">
        <f>SUM(V669)</f>
        <v>2879910</v>
      </c>
      <c r="W679" s="215">
        <v>0</v>
      </c>
      <c r="X679" s="215">
        <v>0</v>
      </c>
      <c r="Y679" s="215">
        <v>0</v>
      </c>
      <c r="Z679" s="215">
        <v>0</v>
      </c>
      <c r="AA679" s="215">
        <v>0</v>
      </c>
      <c r="AB679" s="215">
        <v>0</v>
      </c>
      <c r="AC679" s="215">
        <v>0</v>
      </c>
      <c r="AD679" s="215">
        <v>0</v>
      </c>
      <c r="AE679" s="215">
        <v>0</v>
      </c>
      <c r="AF679" s="215">
        <v>0</v>
      </c>
      <c r="AG679" s="215">
        <v>0</v>
      </c>
      <c r="AH679" s="215">
        <v>0</v>
      </c>
      <c r="AI679" s="215">
        <v>0</v>
      </c>
      <c r="AJ679" s="215">
        <v>0</v>
      </c>
      <c r="AK679" s="215">
        <v>0</v>
      </c>
      <c r="AL679" s="215">
        <v>0</v>
      </c>
      <c r="AM679" s="215">
        <v>0</v>
      </c>
      <c r="AN679" s="215">
        <v>0</v>
      </c>
      <c r="AO679" s="215">
        <v>0</v>
      </c>
      <c r="AP679" s="215">
        <v>0</v>
      </c>
      <c r="AQ679" s="215">
        <v>0</v>
      </c>
      <c r="AR679" s="215">
        <v>0</v>
      </c>
      <c r="AS679" s="215">
        <v>0</v>
      </c>
      <c r="AT679" s="215">
        <v>0</v>
      </c>
      <c r="AU679" s="215">
        <v>0</v>
      </c>
    </row>
    <row r="680" spans="2:47" s="214" customFormat="1" ht="14.25" customHeight="1">
      <c r="B680" s="244"/>
      <c r="C680" s="353" t="s">
        <v>1076</v>
      </c>
      <c r="D680" s="242"/>
      <c r="E680" s="242"/>
      <c r="F680" s="242"/>
      <c r="G680" s="242"/>
      <c r="H680" s="242"/>
      <c r="I680" s="275"/>
      <c r="J680" s="246"/>
      <c r="K680" s="246"/>
      <c r="L680" s="246"/>
      <c r="M680" s="215">
        <v>0</v>
      </c>
      <c r="N680" s="214">
        <v>0</v>
      </c>
      <c r="O680" s="215">
        <v>0</v>
      </c>
      <c r="P680" s="214">
        <v>0</v>
      </c>
      <c r="Q680" s="215">
        <v>0</v>
      </c>
      <c r="R680" s="216">
        <f>SUM(P670:R670)</f>
        <v>379457803.64999998</v>
      </c>
      <c r="S680" s="216"/>
      <c r="T680" s="216">
        <f>SUM(R670:T670)</f>
        <v>230426460</v>
      </c>
      <c r="U680" s="216">
        <f t="shared" si="349"/>
        <v>230426460</v>
      </c>
      <c r="V680" s="216">
        <f>SUM(V670)</f>
        <v>27839130</v>
      </c>
      <c r="W680" s="215">
        <v>0</v>
      </c>
      <c r="X680" s="215">
        <v>0</v>
      </c>
      <c r="Y680" s="215">
        <v>0</v>
      </c>
      <c r="Z680" s="215">
        <v>0</v>
      </c>
      <c r="AA680" s="215">
        <v>0</v>
      </c>
      <c r="AB680" s="215">
        <v>0</v>
      </c>
      <c r="AC680" s="215">
        <v>0</v>
      </c>
      <c r="AD680" s="215">
        <v>0</v>
      </c>
      <c r="AE680" s="215">
        <v>0</v>
      </c>
      <c r="AF680" s="215">
        <v>0</v>
      </c>
      <c r="AG680" s="215">
        <v>0</v>
      </c>
      <c r="AH680" s="215">
        <v>0</v>
      </c>
      <c r="AI680" s="215">
        <v>0</v>
      </c>
      <c r="AJ680" s="215">
        <v>0</v>
      </c>
      <c r="AK680" s="215">
        <v>0</v>
      </c>
      <c r="AL680" s="215">
        <v>0</v>
      </c>
      <c r="AM680" s="215">
        <v>0</v>
      </c>
      <c r="AN680" s="215">
        <v>0</v>
      </c>
      <c r="AO680" s="215">
        <v>0</v>
      </c>
      <c r="AP680" s="215">
        <v>0</v>
      </c>
      <c r="AQ680" s="215">
        <v>0</v>
      </c>
      <c r="AR680" s="215">
        <v>0</v>
      </c>
      <c r="AS680" s="215">
        <v>0</v>
      </c>
      <c r="AT680" s="215">
        <v>0</v>
      </c>
      <c r="AU680" s="215">
        <v>0</v>
      </c>
    </row>
    <row r="681" spans="2:47" s="214" customFormat="1" ht="14.25" customHeight="1">
      <c r="B681" s="244"/>
      <c r="C681" s="353" t="s">
        <v>1077</v>
      </c>
      <c r="D681" s="242"/>
      <c r="E681" s="242"/>
      <c r="F681" s="242"/>
      <c r="G681" s="242"/>
      <c r="H681" s="242"/>
      <c r="I681" s="275"/>
      <c r="J681" s="246"/>
      <c r="K681" s="246"/>
      <c r="L681" s="246"/>
      <c r="M681" s="215">
        <v>0</v>
      </c>
      <c r="N681" s="214">
        <v>0</v>
      </c>
      <c r="O681" s="215">
        <v>0</v>
      </c>
      <c r="P681" s="214">
        <v>0</v>
      </c>
      <c r="Q681" s="215">
        <v>0</v>
      </c>
      <c r="R681" s="216">
        <f>SUM(P671:R671)</f>
        <v>4361583.95</v>
      </c>
      <c r="S681" s="216"/>
      <c r="T681" s="216">
        <f>SUM(R671:T671)</f>
        <v>2648580</v>
      </c>
      <c r="U681" s="216">
        <f t="shared" si="349"/>
        <v>2648580</v>
      </c>
      <c r="V681" s="216">
        <f>SUM(V671)</f>
        <v>319990</v>
      </c>
      <c r="W681" s="215">
        <v>0</v>
      </c>
      <c r="X681" s="215">
        <v>0</v>
      </c>
      <c r="Y681" s="215">
        <v>0</v>
      </c>
      <c r="Z681" s="215">
        <v>0</v>
      </c>
      <c r="AA681" s="215">
        <v>0</v>
      </c>
      <c r="AB681" s="215">
        <v>0</v>
      </c>
      <c r="AC681" s="215">
        <v>0</v>
      </c>
      <c r="AD681" s="215">
        <v>0</v>
      </c>
      <c r="AE681" s="215">
        <v>0</v>
      </c>
      <c r="AF681" s="215">
        <v>0</v>
      </c>
      <c r="AG681" s="215">
        <v>0</v>
      </c>
      <c r="AH681" s="215">
        <v>0</v>
      </c>
      <c r="AI681" s="215">
        <v>0</v>
      </c>
      <c r="AJ681" s="215">
        <v>0</v>
      </c>
      <c r="AK681" s="215">
        <v>0</v>
      </c>
      <c r="AL681" s="215">
        <v>0</v>
      </c>
      <c r="AM681" s="215">
        <v>0</v>
      </c>
      <c r="AN681" s="215">
        <v>0</v>
      </c>
      <c r="AO681" s="215">
        <v>0</v>
      </c>
      <c r="AP681" s="215">
        <v>0</v>
      </c>
      <c r="AQ681" s="215">
        <v>0</v>
      </c>
      <c r="AR681" s="215">
        <v>0</v>
      </c>
      <c r="AS681" s="215">
        <v>0</v>
      </c>
      <c r="AT681" s="215">
        <v>0</v>
      </c>
      <c r="AU681" s="215">
        <v>0</v>
      </c>
    </row>
    <row r="682" spans="2:47" s="214" customFormat="1" ht="14.25" customHeight="1">
      <c r="B682" s="244"/>
      <c r="C682" s="353" t="s">
        <v>1078</v>
      </c>
      <c r="D682" s="242"/>
      <c r="E682" s="242"/>
      <c r="F682" s="242"/>
      <c r="G682" s="242"/>
      <c r="H682" s="242"/>
      <c r="I682" s="275"/>
      <c r="J682" s="246"/>
      <c r="K682" s="246"/>
      <c r="L682" s="246"/>
      <c r="M682" s="215">
        <v>0</v>
      </c>
      <c r="N682" s="214">
        <v>0</v>
      </c>
      <c r="O682" s="215">
        <v>0</v>
      </c>
      <c r="P682" s="214">
        <v>0</v>
      </c>
      <c r="Q682" s="215">
        <v>0</v>
      </c>
      <c r="R682" s="216">
        <f>SUM(P672:R672)</f>
        <v>13084751.85</v>
      </c>
      <c r="S682" s="216"/>
      <c r="T682" s="216">
        <f>SUM(R672:T672)</f>
        <v>7945740</v>
      </c>
      <c r="U682" s="216">
        <f t="shared" si="349"/>
        <v>7945740</v>
      </c>
      <c r="V682" s="216">
        <f>SUM(V672)</f>
        <v>959970</v>
      </c>
      <c r="W682" s="215">
        <v>0</v>
      </c>
      <c r="X682" s="215">
        <v>0</v>
      </c>
      <c r="Y682" s="215">
        <v>0</v>
      </c>
      <c r="Z682" s="215">
        <v>0</v>
      </c>
      <c r="AA682" s="215">
        <v>0</v>
      </c>
      <c r="AB682" s="215">
        <v>0</v>
      </c>
      <c r="AC682" s="215">
        <v>0</v>
      </c>
      <c r="AD682" s="215">
        <v>0</v>
      </c>
      <c r="AE682" s="215">
        <v>0</v>
      </c>
      <c r="AF682" s="215">
        <v>0</v>
      </c>
      <c r="AG682" s="215">
        <v>0</v>
      </c>
      <c r="AH682" s="215">
        <v>0</v>
      </c>
      <c r="AI682" s="215">
        <v>0</v>
      </c>
      <c r="AJ682" s="215">
        <v>0</v>
      </c>
      <c r="AK682" s="215">
        <v>0</v>
      </c>
      <c r="AL682" s="215">
        <v>0</v>
      </c>
      <c r="AM682" s="215">
        <v>0</v>
      </c>
      <c r="AN682" s="215">
        <v>0</v>
      </c>
      <c r="AO682" s="215">
        <v>0</v>
      </c>
      <c r="AP682" s="215">
        <v>0</v>
      </c>
      <c r="AQ682" s="215">
        <v>0</v>
      </c>
      <c r="AR682" s="215">
        <v>0</v>
      </c>
      <c r="AS682" s="215">
        <v>0</v>
      </c>
      <c r="AT682" s="215">
        <v>0</v>
      </c>
      <c r="AU682" s="215">
        <v>0</v>
      </c>
    </row>
    <row r="683" spans="2:47" s="1208" customFormat="1" ht="14.25" customHeight="1">
      <c r="B683" s="1245"/>
      <c r="C683" s="1247" t="s">
        <v>1102</v>
      </c>
      <c r="D683" s="380"/>
      <c r="E683" s="380"/>
      <c r="F683" s="380"/>
      <c r="G683" s="380"/>
      <c r="H683" s="380"/>
      <c r="I683" s="1246"/>
      <c r="J683" s="258"/>
      <c r="K683" s="258"/>
      <c r="L683" s="258"/>
      <c r="M683" s="1248">
        <f t="shared" ref="M683:AU683" si="360">SUM(M684:M687)</f>
        <v>0</v>
      </c>
      <c r="N683" s="1248">
        <f t="shared" si="360"/>
        <v>0</v>
      </c>
      <c r="O683" s="1248">
        <f t="shared" si="360"/>
        <v>0</v>
      </c>
      <c r="P683" s="1248">
        <f t="shared" si="360"/>
        <v>0</v>
      </c>
      <c r="Q683" s="1248">
        <f t="shared" si="360"/>
        <v>0</v>
      </c>
      <c r="R683" s="1248">
        <f t="shared" si="360"/>
        <v>0</v>
      </c>
      <c r="S683" s="1248"/>
      <c r="T683" s="1248">
        <f>SUM(T684:T687)</f>
        <v>0</v>
      </c>
      <c r="U683" s="1248">
        <f t="shared" si="349"/>
        <v>0</v>
      </c>
      <c r="V683" s="1248">
        <f t="shared" si="360"/>
        <v>0</v>
      </c>
      <c r="W683" s="1248">
        <f t="shared" si="360"/>
        <v>0</v>
      </c>
      <c r="X683" s="1248">
        <f t="shared" si="360"/>
        <v>0</v>
      </c>
      <c r="Y683" s="1248">
        <f t="shared" si="360"/>
        <v>0</v>
      </c>
      <c r="Z683" s="1248">
        <f t="shared" si="360"/>
        <v>0</v>
      </c>
      <c r="AA683" s="1248">
        <f t="shared" si="360"/>
        <v>0</v>
      </c>
      <c r="AB683" s="1248">
        <f t="shared" si="360"/>
        <v>0</v>
      </c>
      <c r="AC683" s="1248">
        <f t="shared" si="360"/>
        <v>0</v>
      </c>
      <c r="AD683" s="1248">
        <f t="shared" si="360"/>
        <v>0</v>
      </c>
      <c r="AE683" s="1248">
        <f t="shared" si="360"/>
        <v>0</v>
      </c>
      <c r="AF683" s="1248">
        <f t="shared" si="360"/>
        <v>0</v>
      </c>
      <c r="AG683" s="1248">
        <f t="shared" si="360"/>
        <v>0</v>
      </c>
      <c r="AH683" s="1248">
        <f t="shared" si="360"/>
        <v>0</v>
      </c>
      <c r="AI683" s="1248">
        <f t="shared" si="360"/>
        <v>0</v>
      </c>
      <c r="AJ683" s="1248">
        <f t="shared" si="360"/>
        <v>0</v>
      </c>
      <c r="AK683" s="1248">
        <f t="shared" si="360"/>
        <v>0</v>
      </c>
      <c r="AL683" s="1248">
        <f t="shared" si="360"/>
        <v>0</v>
      </c>
      <c r="AM683" s="1248">
        <f t="shared" si="360"/>
        <v>0</v>
      </c>
      <c r="AN683" s="1248">
        <f t="shared" si="360"/>
        <v>0</v>
      </c>
      <c r="AO683" s="1248">
        <f t="shared" si="360"/>
        <v>0</v>
      </c>
      <c r="AP683" s="1248">
        <f t="shared" si="360"/>
        <v>0</v>
      </c>
      <c r="AQ683" s="1248">
        <f t="shared" si="360"/>
        <v>0</v>
      </c>
      <c r="AR683" s="1248">
        <f t="shared" si="360"/>
        <v>0</v>
      </c>
      <c r="AS683" s="1248">
        <f t="shared" si="360"/>
        <v>0</v>
      </c>
      <c r="AT683" s="1248">
        <f t="shared" si="360"/>
        <v>0</v>
      </c>
      <c r="AU683" s="1248">
        <f t="shared" si="360"/>
        <v>0</v>
      </c>
    </row>
    <row r="684" spans="2:47" s="214" customFormat="1" ht="14.25" customHeight="1">
      <c r="B684" s="244"/>
      <c r="C684" s="353" t="s">
        <v>1075</v>
      </c>
      <c r="D684" s="242"/>
      <c r="E684" s="242"/>
      <c r="F684" s="242"/>
      <c r="G684" s="242"/>
      <c r="H684" s="242"/>
      <c r="I684" s="275"/>
      <c r="J684" s="246"/>
      <c r="K684" s="246"/>
      <c r="L684" s="246"/>
      <c r="M684" s="215"/>
      <c r="N684" s="873"/>
      <c r="O684" s="873"/>
      <c r="P684" s="873"/>
      <c r="Q684" s="873"/>
      <c r="R684" s="873"/>
      <c r="S684" s="873"/>
      <c r="T684" s="873"/>
      <c r="U684" s="873">
        <f t="shared" si="349"/>
        <v>0</v>
      </c>
      <c r="V684" s="873"/>
      <c r="W684" s="873"/>
      <c r="X684" s="873"/>
      <c r="Y684" s="873"/>
      <c r="Z684" s="873"/>
      <c r="AA684" s="873"/>
      <c r="AB684" s="873"/>
      <c r="AC684" s="873"/>
      <c r="AD684" s="873"/>
      <c r="AE684" s="873"/>
      <c r="AF684" s="873"/>
      <c r="AG684" s="873"/>
      <c r="AH684" s="873"/>
      <c r="AI684" s="873"/>
      <c r="AJ684" s="873"/>
      <c r="AK684" s="873"/>
      <c r="AL684" s="873"/>
      <c r="AM684" s="873"/>
      <c r="AN684" s="873"/>
      <c r="AO684" s="873"/>
      <c r="AP684" s="873"/>
      <c r="AQ684" s="873"/>
      <c r="AR684" s="873"/>
      <c r="AS684" s="873"/>
      <c r="AT684" s="873"/>
      <c r="AU684" s="873"/>
    </row>
    <row r="685" spans="2:47" s="214" customFormat="1" ht="14.25" customHeight="1">
      <c r="B685" s="244"/>
      <c r="C685" s="353" t="s">
        <v>1076</v>
      </c>
      <c r="D685" s="242"/>
      <c r="E685" s="242"/>
      <c r="F685" s="242"/>
      <c r="G685" s="242"/>
      <c r="H685" s="242"/>
      <c r="I685" s="275"/>
      <c r="J685" s="246"/>
      <c r="K685" s="246"/>
      <c r="L685" s="246"/>
      <c r="M685" s="1196"/>
      <c r="N685" s="873"/>
      <c r="O685" s="873"/>
      <c r="P685" s="873"/>
      <c r="Q685" s="873"/>
      <c r="R685" s="873"/>
      <c r="S685" s="873"/>
      <c r="T685" s="873"/>
      <c r="U685" s="873">
        <f t="shared" si="349"/>
        <v>0</v>
      </c>
      <c r="V685" s="873"/>
      <c r="W685" s="873"/>
      <c r="X685" s="873"/>
      <c r="Y685" s="873"/>
      <c r="Z685" s="873"/>
      <c r="AA685" s="873"/>
      <c r="AB685" s="873"/>
      <c r="AC685" s="873"/>
      <c r="AD685" s="873"/>
      <c r="AE685" s="873"/>
      <c r="AF685" s="873"/>
      <c r="AG685" s="873"/>
      <c r="AH685" s="873"/>
      <c r="AI685" s="873"/>
      <c r="AJ685" s="873"/>
      <c r="AK685" s="873"/>
      <c r="AL685" s="873"/>
      <c r="AM685" s="873"/>
      <c r="AN685" s="873"/>
      <c r="AO685" s="873"/>
      <c r="AP685" s="873"/>
      <c r="AQ685" s="873"/>
      <c r="AR685" s="873"/>
      <c r="AS685" s="873"/>
      <c r="AT685" s="873"/>
      <c r="AU685" s="873"/>
    </row>
    <row r="686" spans="2:47" s="214" customFormat="1" ht="14.25" customHeight="1">
      <c r="B686" s="244"/>
      <c r="C686" s="353" t="s">
        <v>1077</v>
      </c>
      <c r="D686" s="242"/>
      <c r="E686" s="242"/>
      <c r="F686" s="242"/>
      <c r="G686" s="242"/>
      <c r="H686" s="242"/>
      <c r="I686" s="275"/>
      <c r="J686" s="246"/>
      <c r="K686" s="246"/>
      <c r="L686" s="246"/>
      <c r="M686" s="1196"/>
      <c r="N686" s="873"/>
      <c r="O686" s="873"/>
      <c r="P686" s="873"/>
      <c r="Q686" s="873"/>
      <c r="R686" s="873"/>
      <c r="S686" s="873"/>
      <c r="T686" s="873"/>
      <c r="U686" s="873">
        <f t="shared" si="349"/>
        <v>0</v>
      </c>
      <c r="V686" s="873"/>
      <c r="W686" s="873"/>
      <c r="X686" s="873"/>
      <c r="Y686" s="873"/>
      <c r="Z686" s="873"/>
      <c r="AA686" s="873"/>
      <c r="AB686" s="873"/>
      <c r="AC686" s="873"/>
      <c r="AD686" s="873"/>
      <c r="AE686" s="873"/>
      <c r="AF686" s="873"/>
      <c r="AG686" s="873"/>
      <c r="AH686" s="873"/>
      <c r="AI686" s="873"/>
      <c r="AJ686" s="873"/>
      <c r="AK686" s="873"/>
      <c r="AL686" s="873"/>
      <c r="AM686" s="873"/>
      <c r="AN686" s="873"/>
      <c r="AO686" s="873"/>
      <c r="AP686" s="873"/>
      <c r="AQ686" s="873"/>
      <c r="AR686" s="873"/>
      <c r="AS686" s="873"/>
      <c r="AT686" s="873"/>
      <c r="AU686" s="873"/>
    </row>
    <row r="687" spans="2:47" s="214" customFormat="1" ht="14.25" customHeight="1">
      <c r="B687" s="244"/>
      <c r="C687" s="353" t="s">
        <v>1078</v>
      </c>
      <c r="D687" s="242"/>
      <c r="E687" s="242"/>
      <c r="F687" s="242"/>
      <c r="G687" s="242"/>
      <c r="H687" s="242"/>
      <c r="I687" s="275"/>
      <c r="J687" s="246"/>
      <c r="K687" s="246"/>
      <c r="L687" s="246"/>
      <c r="M687" s="1196"/>
      <c r="N687" s="873"/>
      <c r="O687" s="873"/>
      <c r="P687" s="873"/>
      <c r="Q687" s="873"/>
      <c r="R687" s="873"/>
      <c r="S687" s="873"/>
      <c r="T687" s="873"/>
      <c r="U687" s="873">
        <f t="shared" si="349"/>
        <v>0</v>
      </c>
      <c r="V687" s="873"/>
      <c r="W687" s="873"/>
      <c r="X687" s="873"/>
      <c r="Y687" s="873"/>
      <c r="Z687" s="873"/>
      <c r="AA687" s="873"/>
      <c r="AB687" s="873"/>
      <c r="AC687" s="873"/>
      <c r="AD687" s="873"/>
      <c r="AE687" s="873"/>
      <c r="AF687" s="873"/>
      <c r="AG687" s="873"/>
      <c r="AH687" s="873"/>
      <c r="AI687" s="873"/>
      <c r="AJ687" s="873"/>
      <c r="AK687" s="873"/>
      <c r="AL687" s="873"/>
      <c r="AM687" s="873"/>
      <c r="AN687" s="873"/>
      <c r="AO687" s="873"/>
      <c r="AP687" s="873"/>
      <c r="AQ687" s="873"/>
      <c r="AR687" s="873"/>
      <c r="AS687" s="873"/>
      <c r="AT687" s="873"/>
      <c r="AU687" s="873"/>
    </row>
    <row r="688" spans="2:47" s="1208" customFormat="1" ht="14.25" customHeight="1">
      <c r="B688" s="1245"/>
      <c r="C688" s="1247" t="s">
        <v>186</v>
      </c>
      <c r="D688" s="380"/>
      <c r="E688" s="380"/>
      <c r="F688" s="380"/>
      <c r="G688" s="380"/>
      <c r="H688" s="380"/>
      <c r="I688" s="1246"/>
      <c r="J688" s="258"/>
      <c r="K688" s="258"/>
      <c r="L688" s="258"/>
      <c r="M688" s="1248">
        <f t="shared" ref="M688:AU688" si="361">SUM(M689:M692)</f>
        <v>0</v>
      </c>
      <c r="N688" s="1248">
        <f t="shared" si="361"/>
        <v>0</v>
      </c>
      <c r="O688" s="1248">
        <f t="shared" si="361"/>
        <v>0</v>
      </c>
      <c r="P688" s="1248">
        <f t="shared" si="361"/>
        <v>0</v>
      </c>
      <c r="Q688" s="1248">
        <f t="shared" si="361"/>
        <v>0</v>
      </c>
      <c r="R688" s="1248">
        <f t="shared" si="361"/>
        <v>27614013.540517498</v>
      </c>
      <c r="S688" s="1248"/>
      <c r="T688" s="1248">
        <f>SUM(T689:T692)</f>
        <v>0</v>
      </c>
      <c r="U688" s="1248">
        <f t="shared" si="349"/>
        <v>0</v>
      </c>
      <c r="V688" s="1248">
        <f t="shared" si="361"/>
        <v>39653994.719017506</v>
      </c>
      <c r="W688" s="1248">
        <f t="shared" si="361"/>
        <v>42563231.802517503</v>
      </c>
      <c r="X688" s="1248">
        <f t="shared" si="361"/>
        <v>42563231.802517503</v>
      </c>
      <c r="Y688" s="1248">
        <f t="shared" si="361"/>
        <v>42563231.802517503</v>
      </c>
      <c r="Z688" s="1248">
        <f t="shared" si="361"/>
        <v>42563231.802517503</v>
      </c>
      <c r="AA688" s="1248">
        <f t="shared" si="361"/>
        <v>42110861.256645001</v>
      </c>
      <c r="AB688" s="1248">
        <f t="shared" si="361"/>
        <v>41783047.503750004</v>
      </c>
      <c r="AC688" s="1248">
        <f t="shared" si="361"/>
        <v>41783047.503750004</v>
      </c>
      <c r="AD688" s="1248">
        <f t="shared" si="361"/>
        <v>41783047.503750004</v>
      </c>
      <c r="AE688" s="1248">
        <f t="shared" si="361"/>
        <v>18142503.138749942</v>
      </c>
      <c r="AF688" s="1248">
        <f t="shared" si="361"/>
        <v>1053354.1387499999</v>
      </c>
      <c r="AG688" s="1248">
        <f t="shared" si="361"/>
        <v>1053354.1387499999</v>
      </c>
      <c r="AH688" s="1248">
        <f t="shared" si="361"/>
        <v>1053354.1387499999</v>
      </c>
      <c r="AI688" s="1248">
        <f t="shared" si="361"/>
        <v>1053354.1387499999</v>
      </c>
      <c r="AJ688" s="1248">
        <f t="shared" si="361"/>
        <v>1053354.1387499999</v>
      </c>
      <c r="AK688" s="1248">
        <f t="shared" si="361"/>
        <v>1053354.1387499999</v>
      </c>
      <c r="AL688" s="1248">
        <f t="shared" si="361"/>
        <v>1053354.1387499999</v>
      </c>
      <c r="AM688" s="1248">
        <f t="shared" si="361"/>
        <v>1053354.1387499999</v>
      </c>
      <c r="AN688" s="1248">
        <f t="shared" si="361"/>
        <v>1053354.1387499999</v>
      </c>
      <c r="AO688" s="1248">
        <f t="shared" si="361"/>
        <v>1053354.1387499999</v>
      </c>
      <c r="AP688" s="1248">
        <f t="shared" si="361"/>
        <v>1053354.1387499999</v>
      </c>
      <c r="AQ688" s="1248">
        <f t="shared" si="361"/>
        <v>1053354.1387499999</v>
      </c>
      <c r="AR688" s="1248">
        <f t="shared" si="361"/>
        <v>1053354.1387499999</v>
      </c>
      <c r="AS688" s="1248">
        <f t="shared" si="361"/>
        <v>1053354.1387499999</v>
      </c>
      <c r="AT688" s="1248">
        <f t="shared" si="361"/>
        <v>1053354.1387499999</v>
      </c>
      <c r="AU688" s="1248">
        <f t="shared" si="361"/>
        <v>1053354.1387499999</v>
      </c>
    </row>
    <row r="689" spans="2:47" s="214" customFormat="1" ht="14.25" customHeight="1">
      <c r="B689" s="244"/>
      <c r="C689" s="353" t="s">
        <v>1075</v>
      </c>
      <c r="D689" s="242"/>
      <c r="E689" s="242"/>
      <c r="F689" s="242"/>
      <c r="G689" s="242"/>
      <c r="H689" s="242"/>
      <c r="I689" s="275"/>
      <c r="J689" s="246"/>
      <c r="K689" s="246"/>
      <c r="L689" s="246"/>
      <c r="M689" s="1196">
        <v>0</v>
      </c>
      <c r="N689" s="1196">
        <v>0</v>
      </c>
      <c r="O689" s="1196">
        <v>0</v>
      </c>
      <c r="P689" s="1196">
        <v>0</v>
      </c>
      <c r="Q689" s="1196">
        <v>0</v>
      </c>
      <c r="R689" s="1196">
        <f>(SUM(P$633:Q$633)+R$633*1/2)*R629*R624</f>
        <v>683391.13874999993</v>
      </c>
      <c r="S689" s="1196"/>
      <c r="T689" s="1196">
        <f>(SUM(R$633:S$633)+T$633*1/2)*T629*T624</f>
        <v>0</v>
      </c>
      <c r="U689" s="1196">
        <f t="shared" si="349"/>
        <v>0</v>
      </c>
      <c r="V689" s="1196">
        <f>MIN(R704,R664*V629)</f>
        <v>981356.38874999993</v>
      </c>
      <c r="W689" s="1196">
        <f t="shared" ref="W689:AU692" si="362">MIN(V704,V664*W629)</f>
        <v>1053354.1387499999</v>
      </c>
      <c r="X689" s="1196">
        <f t="shared" si="362"/>
        <v>1053354.1387499999</v>
      </c>
      <c r="Y689" s="1196">
        <f t="shared" si="362"/>
        <v>1053354.1387499999</v>
      </c>
      <c r="Z689" s="1196">
        <f t="shared" si="362"/>
        <v>1053354.1387499999</v>
      </c>
      <c r="AA689" s="1196">
        <f t="shared" si="362"/>
        <v>1053354.1387499999</v>
      </c>
      <c r="AB689" s="1196">
        <f t="shared" si="362"/>
        <v>1053354.1387499999</v>
      </c>
      <c r="AC689" s="1196">
        <f t="shared" si="362"/>
        <v>1053354.1387499999</v>
      </c>
      <c r="AD689" s="1196">
        <f t="shared" si="362"/>
        <v>1053354.1387499999</v>
      </c>
      <c r="AE689" s="1196">
        <f t="shared" si="362"/>
        <v>1053354.1387499999</v>
      </c>
      <c r="AF689" s="1196">
        <f t="shared" si="362"/>
        <v>1053354.1387499999</v>
      </c>
      <c r="AG689" s="1196">
        <f t="shared" si="362"/>
        <v>1053354.1387499999</v>
      </c>
      <c r="AH689" s="1196">
        <f t="shared" si="362"/>
        <v>1053354.1387499999</v>
      </c>
      <c r="AI689" s="1196">
        <f t="shared" si="362"/>
        <v>1053354.1387499999</v>
      </c>
      <c r="AJ689" s="1196">
        <f t="shared" si="362"/>
        <v>1053354.1387499999</v>
      </c>
      <c r="AK689" s="1196">
        <f t="shared" si="362"/>
        <v>1053354.1387499999</v>
      </c>
      <c r="AL689" s="1196">
        <f t="shared" si="362"/>
        <v>1053354.1387499999</v>
      </c>
      <c r="AM689" s="1196">
        <f t="shared" si="362"/>
        <v>1053354.1387499999</v>
      </c>
      <c r="AN689" s="1196">
        <f t="shared" si="362"/>
        <v>1053354.1387499999</v>
      </c>
      <c r="AO689" s="1196">
        <f t="shared" si="362"/>
        <v>1053354.1387499999</v>
      </c>
      <c r="AP689" s="1196">
        <f t="shared" si="362"/>
        <v>1053354.1387499999</v>
      </c>
      <c r="AQ689" s="1196">
        <f t="shared" si="362"/>
        <v>1053354.1387499999</v>
      </c>
      <c r="AR689" s="1196">
        <f t="shared" si="362"/>
        <v>1053354.1387499999</v>
      </c>
      <c r="AS689" s="1196">
        <f t="shared" si="362"/>
        <v>1053354.1387499999</v>
      </c>
      <c r="AT689" s="1196">
        <f t="shared" si="362"/>
        <v>1053354.1387499999</v>
      </c>
      <c r="AU689" s="1196">
        <f t="shared" si="362"/>
        <v>1053354.1387499999</v>
      </c>
    </row>
    <row r="690" spans="2:47" s="214" customFormat="1" ht="14.25" customHeight="1">
      <c r="B690" s="244"/>
      <c r="C690" s="353" t="s">
        <v>1076</v>
      </c>
      <c r="D690" s="242"/>
      <c r="E690" s="242"/>
      <c r="F690" s="242"/>
      <c r="G690" s="242"/>
      <c r="H690" s="242"/>
      <c r="I690" s="275"/>
      <c r="J690" s="246"/>
      <c r="K690" s="246"/>
      <c r="L690" s="246"/>
      <c r="M690" s="1196">
        <v>0</v>
      </c>
      <c r="N690" s="1196">
        <v>0</v>
      </c>
      <c r="O690" s="1196">
        <v>0</v>
      </c>
      <c r="P690" s="1196">
        <v>0</v>
      </c>
      <c r="Q690" s="1196">
        <v>0</v>
      </c>
      <c r="R690" s="1196">
        <f>(SUM(P$633:Q$633)+R$633*1/2)*R630*R625</f>
        <v>26424457.364999998</v>
      </c>
      <c r="S690" s="1196"/>
      <c r="T690" s="1196">
        <f>(SUM(R$633:S$633)+T$633*1/2)*T630*T625</f>
        <v>0</v>
      </c>
      <c r="U690" s="1196">
        <f t="shared" si="349"/>
        <v>0</v>
      </c>
      <c r="V690" s="1196">
        <f>MIN(R705,R665*V630)</f>
        <v>37945780.365000002</v>
      </c>
      <c r="W690" s="1196">
        <f t="shared" si="362"/>
        <v>40729693.365000002</v>
      </c>
      <c r="X690" s="1196">
        <f t="shared" si="362"/>
        <v>40729693.365000002</v>
      </c>
      <c r="Y690" s="1196">
        <f t="shared" si="362"/>
        <v>40729693.365000002</v>
      </c>
      <c r="Z690" s="1196">
        <f t="shared" si="362"/>
        <v>40729693.365000002</v>
      </c>
      <c r="AA690" s="1196">
        <f t="shared" si="362"/>
        <v>40729693.365000002</v>
      </c>
      <c r="AB690" s="1196">
        <f t="shared" si="362"/>
        <v>40729693.365000002</v>
      </c>
      <c r="AC690" s="1196">
        <f t="shared" si="362"/>
        <v>40729693.365000002</v>
      </c>
      <c r="AD690" s="1196">
        <f t="shared" si="362"/>
        <v>40729693.365000002</v>
      </c>
      <c r="AE690" s="1196">
        <f t="shared" si="362"/>
        <v>17089148.99999994</v>
      </c>
      <c r="AF690" s="1196">
        <f t="shared" si="362"/>
        <v>0</v>
      </c>
      <c r="AG690" s="1196">
        <f t="shared" si="362"/>
        <v>0</v>
      </c>
      <c r="AH690" s="1196">
        <f t="shared" si="362"/>
        <v>0</v>
      </c>
      <c r="AI690" s="1196">
        <f t="shared" si="362"/>
        <v>0</v>
      </c>
      <c r="AJ690" s="1196">
        <f t="shared" si="362"/>
        <v>0</v>
      </c>
      <c r="AK690" s="1196">
        <f t="shared" si="362"/>
        <v>0</v>
      </c>
      <c r="AL690" s="1196">
        <f t="shared" si="362"/>
        <v>0</v>
      </c>
      <c r="AM690" s="1196">
        <f t="shared" si="362"/>
        <v>0</v>
      </c>
      <c r="AN690" s="1196">
        <f t="shared" si="362"/>
        <v>0</v>
      </c>
      <c r="AO690" s="1196">
        <f t="shared" si="362"/>
        <v>0</v>
      </c>
      <c r="AP690" s="1196">
        <f t="shared" si="362"/>
        <v>0</v>
      </c>
      <c r="AQ690" s="1196">
        <f t="shared" si="362"/>
        <v>0</v>
      </c>
      <c r="AR690" s="1196">
        <f t="shared" si="362"/>
        <v>0</v>
      </c>
      <c r="AS690" s="1196">
        <f t="shared" si="362"/>
        <v>0</v>
      </c>
      <c r="AT690" s="1196">
        <f t="shared" si="362"/>
        <v>0</v>
      </c>
      <c r="AU690" s="1196">
        <f t="shared" si="362"/>
        <v>0</v>
      </c>
    </row>
    <row r="691" spans="2:47" s="214" customFormat="1" ht="14.25" customHeight="1">
      <c r="B691" s="244"/>
      <c r="C691" s="353" t="s">
        <v>1077</v>
      </c>
      <c r="D691" s="242"/>
      <c r="E691" s="242"/>
      <c r="F691" s="242"/>
      <c r="G691" s="242"/>
      <c r="H691" s="242"/>
      <c r="I691" s="275"/>
      <c r="J691" s="246"/>
      <c r="K691" s="246"/>
      <c r="L691" s="246"/>
      <c r="M691" s="1196">
        <v>0</v>
      </c>
      <c r="N691" s="1196">
        <v>0</v>
      </c>
      <c r="O691" s="1196">
        <v>0</v>
      </c>
      <c r="P691" s="1196">
        <v>0</v>
      </c>
      <c r="Q691" s="1196">
        <v>0</v>
      </c>
      <c r="R691" s="1196">
        <f>(SUM(P$633:Q$633)+R$633*1/2)*R631*R626</f>
        <v>506165.03676749999</v>
      </c>
      <c r="S691" s="1196"/>
      <c r="T691" s="1196">
        <f>(SUM(R$633:S$633)+T$633*1/2)*T631*T626</f>
        <v>0</v>
      </c>
      <c r="U691" s="1196">
        <f t="shared" si="349"/>
        <v>0</v>
      </c>
      <c r="V691" s="1196">
        <f>MIN(R706,R666*V631)</f>
        <v>726857.96526750003</v>
      </c>
      <c r="W691" s="1196">
        <f t="shared" si="362"/>
        <v>780184.29876749997</v>
      </c>
      <c r="X691" s="1196">
        <f t="shared" si="362"/>
        <v>780184.29876749997</v>
      </c>
      <c r="Y691" s="1196">
        <f t="shared" si="362"/>
        <v>780184.29876749997</v>
      </c>
      <c r="Z691" s="1196">
        <f t="shared" si="362"/>
        <v>780184.29876749997</v>
      </c>
      <c r="AA691" s="1196">
        <f t="shared" si="362"/>
        <v>327813.75289500039</v>
      </c>
      <c r="AB691" s="1196">
        <f t="shared" si="362"/>
        <v>0</v>
      </c>
      <c r="AC691" s="1196">
        <f t="shared" si="362"/>
        <v>0</v>
      </c>
      <c r="AD691" s="1196">
        <f t="shared" si="362"/>
        <v>0</v>
      </c>
      <c r="AE691" s="1196">
        <f t="shared" si="362"/>
        <v>0</v>
      </c>
      <c r="AF691" s="1196">
        <f t="shared" si="362"/>
        <v>0</v>
      </c>
      <c r="AG691" s="1196">
        <f t="shared" si="362"/>
        <v>0</v>
      </c>
      <c r="AH691" s="1196">
        <f t="shared" si="362"/>
        <v>0</v>
      </c>
      <c r="AI691" s="1196">
        <f t="shared" si="362"/>
        <v>0</v>
      </c>
      <c r="AJ691" s="1196">
        <f t="shared" si="362"/>
        <v>0</v>
      </c>
      <c r="AK691" s="1196">
        <f t="shared" si="362"/>
        <v>0</v>
      </c>
      <c r="AL691" s="1196">
        <f t="shared" si="362"/>
        <v>0</v>
      </c>
      <c r="AM691" s="1196">
        <f t="shared" si="362"/>
        <v>0</v>
      </c>
      <c r="AN691" s="1196">
        <f t="shared" si="362"/>
        <v>0</v>
      </c>
      <c r="AO691" s="1196">
        <f t="shared" si="362"/>
        <v>0</v>
      </c>
      <c r="AP691" s="1196">
        <f t="shared" si="362"/>
        <v>0</v>
      </c>
      <c r="AQ691" s="1196">
        <f t="shared" si="362"/>
        <v>0</v>
      </c>
      <c r="AR691" s="1196">
        <f t="shared" si="362"/>
        <v>0</v>
      </c>
      <c r="AS691" s="1196">
        <f t="shared" si="362"/>
        <v>0</v>
      </c>
      <c r="AT691" s="1196">
        <f t="shared" si="362"/>
        <v>0</v>
      </c>
      <c r="AU691" s="1196">
        <f t="shared" si="362"/>
        <v>0</v>
      </c>
    </row>
    <row r="692" spans="2:47" s="214" customFormat="1" ht="14.25" customHeight="1">
      <c r="B692" s="244"/>
      <c r="C692" s="353" t="s">
        <v>1078</v>
      </c>
      <c r="D692" s="242"/>
      <c r="E692" s="242"/>
      <c r="F692" s="242"/>
      <c r="G692" s="242"/>
      <c r="H692" s="242"/>
      <c r="I692" s="275"/>
      <c r="J692" s="246"/>
      <c r="K692" s="246"/>
      <c r="L692" s="246"/>
      <c r="M692" s="1196">
        <v>0</v>
      </c>
      <c r="N692" s="1196">
        <v>0</v>
      </c>
      <c r="O692" s="1196">
        <v>0</v>
      </c>
      <c r="P692" s="1196">
        <v>0</v>
      </c>
      <c r="Q692" s="1196">
        <v>0</v>
      </c>
      <c r="R692" s="1196">
        <f>(SUM(P$633:Q$633)+R$633*1/2)*R632*R627</f>
        <v>0</v>
      </c>
      <c r="S692" s="1196"/>
      <c r="T692" s="1196">
        <f>(SUM(R$633:S$633)+T$633*1/2)*T632*T627</f>
        <v>0</v>
      </c>
      <c r="U692" s="1196">
        <f t="shared" si="349"/>
        <v>0</v>
      </c>
      <c r="V692" s="1196">
        <f>MIN(R707,R667*V632)</f>
        <v>0</v>
      </c>
      <c r="W692" s="1196">
        <f t="shared" si="362"/>
        <v>0</v>
      </c>
      <c r="X692" s="1196">
        <f t="shared" si="362"/>
        <v>0</v>
      </c>
      <c r="Y692" s="1196">
        <f t="shared" si="362"/>
        <v>0</v>
      </c>
      <c r="Z692" s="1196">
        <f t="shared" si="362"/>
        <v>0</v>
      </c>
      <c r="AA692" s="1196">
        <f t="shared" si="362"/>
        <v>0</v>
      </c>
      <c r="AB692" s="1196">
        <f t="shared" si="362"/>
        <v>0</v>
      </c>
      <c r="AC692" s="1196">
        <f t="shared" si="362"/>
        <v>0</v>
      </c>
      <c r="AD692" s="1196">
        <f t="shared" si="362"/>
        <v>0</v>
      </c>
      <c r="AE692" s="1196">
        <f t="shared" si="362"/>
        <v>0</v>
      </c>
      <c r="AF692" s="1196">
        <f t="shared" si="362"/>
        <v>0</v>
      </c>
      <c r="AG692" s="1196">
        <f t="shared" si="362"/>
        <v>0</v>
      </c>
      <c r="AH692" s="1196">
        <f t="shared" si="362"/>
        <v>0</v>
      </c>
      <c r="AI692" s="1196">
        <f t="shared" si="362"/>
        <v>0</v>
      </c>
      <c r="AJ692" s="1196">
        <f t="shared" si="362"/>
        <v>0</v>
      </c>
      <c r="AK692" s="1196">
        <f t="shared" si="362"/>
        <v>0</v>
      </c>
      <c r="AL692" s="1196">
        <f t="shared" si="362"/>
        <v>0</v>
      </c>
      <c r="AM692" s="1196">
        <f t="shared" si="362"/>
        <v>0</v>
      </c>
      <c r="AN692" s="1196">
        <f t="shared" si="362"/>
        <v>0</v>
      </c>
      <c r="AO692" s="1196">
        <f t="shared" si="362"/>
        <v>0</v>
      </c>
      <c r="AP692" s="1196">
        <f t="shared" si="362"/>
        <v>0</v>
      </c>
      <c r="AQ692" s="1196">
        <f t="shared" si="362"/>
        <v>0</v>
      </c>
      <c r="AR692" s="1196">
        <f t="shared" si="362"/>
        <v>0</v>
      </c>
      <c r="AS692" s="1196">
        <f t="shared" si="362"/>
        <v>0</v>
      </c>
      <c r="AT692" s="1196">
        <f t="shared" si="362"/>
        <v>0</v>
      </c>
      <c r="AU692" s="1196">
        <f t="shared" si="362"/>
        <v>0</v>
      </c>
    </row>
    <row r="693" spans="2:47" s="1208" customFormat="1" ht="14.25" customHeight="1">
      <c r="B693" s="1245"/>
      <c r="C693" s="1247" t="s">
        <v>1103</v>
      </c>
      <c r="D693" s="380"/>
      <c r="E693" s="380"/>
      <c r="F693" s="380"/>
      <c r="G693" s="380"/>
      <c r="H693" s="380"/>
      <c r="I693" s="1246"/>
      <c r="J693" s="258"/>
      <c r="K693" s="258"/>
      <c r="L693" s="258"/>
      <c r="M693" s="1248">
        <f t="shared" ref="M693:AU693" si="363">SUM(M694:M697)</f>
        <v>0</v>
      </c>
      <c r="N693" s="1248">
        <f t="shared" si="363"/>
        <v>0</v>
      </c>
      <c r="O693" s="1248">
        <f t="shared" si="363"/>
        <v>0</v>
      </c>
      <c r="P693" s="1248">
        <f t="shared" si="363"/>
        <v>0</v>
      </c>
      <c r="Q693" s="1248">
        <f t="shared" si="363"/>
        <v>0</v>
      </c>
      <c r="R693" s="1248">
        <f t="shared" si="363"/>
        <v>0</v>
      </c>
      <c r="S693" s="1248"/>
      <c r="T693" s="1248">
        <f>SUM(T694:T697)</f>
        <v>0</v>
      </c>
      <c r="U693" s="1248">
        <f t="shared" si="349"/>
        <v>0</v>
      </c>
      <c r="V693" s="1248">
        <f t="shared" si="363"/>
        <v>0</v>
      </c>
      <c r="W693" s="1248">
        <f t="shared" si="363"/>
        <v>0</v>
      </c>
      <c r="X693" s="1248">
        <f t="shared" si="363"/>
        <v>0</v>
      </c>
      <c r="Y693" s="1248">
        <f t="shared" si="363"/>
        <v>0</v>
      </c>
      <c r="Z693" s="1248">
        <f t="shared" si="363"/>
        <v>0</v>
      </c>
      <c r="AA693" s="1248">
        <f t="shared" si="363"/>
        <v>0</v>
      </c>
      <c r="AB693" s="1248">
        <f t="shared" si="363"/>
        <v>0</v>
      </c>
      <c r="AC693" s="1248">
        <f t="shared" si="363"/>
        <v>0</v>
      </c>
      <c r="AD693" s="1248">
        <f t="shared" si="363"/>
        <v>0</v>
      </c>
      <c r="AE693" s="1248">
        <f t="shared" si="363"/>
        <v>0</v>
      </c>
      <c r="AF693" s="1248">
        <f t="shared" si="363"/>
        <v>0</v>
      </c>
      <c r="AG693" s="1248">
        <f t="shared" si="363"/>
        <v>0</v>
      </c>
      <c r="AH693" s="1248">
        <f t="shared" si="363"/>
        <v>0</v>
      </c>
      <c r="AI693" s="1248">
        <f t="shared" si="363"/>
        <v>0</v>
      </c>
      <c r="AJ693" s="1248">
        <f t="shared" si="363"/>
        <v>0</v>
      </c>
      <c r="AK693" s="1248">
        <f t="shared" si="363"/>
        <v>0</v>
      </c>
      <c r="AL693" s="1248">
        <f t="shared" si="363"/>
        <v>0</v>
      </c>
      <c r="AM693" s="1248">
        <f t="shared" si="363"/>
        <v>0</v>
      </c>
      <c r="AN693" s="1248">
        <f t="shared" si="363"/>
        <v>0</v>
      </c>
      <c r="AO693" s="1248">
        <f t="shared" si="363"/>
        <v>0</v>
      </c>
      <c r="AP693" s="1248">
        <f t="shared" si="363"/>
        <v>0</v>
      </c>
      <c r="AQ693" s="1248">
        <f t="shared" si="363"/>
        <v>0</v>
      </c>
      <c r="AR693" s="1248">
        <f t="shared" si="363"/>
        <v>0</v>
      </c>
      <c r="AS693" s="1248">
        <f t="shared" si="363"/>
        <v>0</v>
      </c>
      <c r="AT693" s="1248">
        <f t="shared" si="363"/>
        <v>0</v>
      </c>
      <c r="AU693" s="1248">
        <f t="shared" si="363"/>
        <v>0</v>
      </c>
    </row>
    <row r="694" spans="2:47" s="214" customFormat="1" ht="14.25" customHeight="1">
      <c r="B694" s="244"/>
      <c r="C694" s="353" t="s">
        <v>1075</v>
      </c>
      <c r="D694" s="242"/>
      <c r="E694" s="242"/>
      <c r="F694" s="242"/>
      <c r="G694" s="242"/>
      <c r="H694" s="242"/>
      <c r="I694" s="275"/>
      <c r="J694" s="246"/>
      <c r="K694" s="246"/>
      <c r="L694" s="246"/>
      <c r="M694" s="215"/>
      <c r="U694" s="214">
        <f t="shared" si="349"/>
        <v>0</v>
      </c>
    </row>
    <row r="695" spans="2:47" s="214" customFormat="1" ht="14.25" customHeight="1">
      <c r="B695" s="244"/>
      <c r="C695" s="353" t="s">
        <v>1076</v>
      </c>
      <c r="D695" s="242"/>
      <c r="E695" s="242"/>
      <c r="F695" s="242"/>
      <c r="G695" s="242"/>
      <c r="H695" s="242"/>
      <c r="I695" s="275"/>
      <c r="J695" s="246"/>
      <c r="K695" s="246"/>
      <c r="L695" s="246"/>
      <c r="M695" s="1196"/>
      <c r="N695" s="873"/>
      <c r="O695" s="873"/>
      <c r="P695" s="873"/>
      <c r="Q695" s="873"/>
      <c r="R695" s="873"/>
      <c r="S695" s="873"/>
      <c r="T695" s="873"/>
      <c r="U695" s="873">
        <f t="shared" si="349"/>
        <v>0</v>
      </c>
      <c r="V695" s="873"/>
      <c r="W695" s="873"/>
      <c r="X695" s="873"/>
      <c r="Y695" s="873"/>
      <c r="Z695" s="873"/>
      <c r="AA695" s="873"/>
      <c r="AB695" s="873"/>
      <c r="AC695" s="873"/>
      <c r="AD695" s="873"/>
      <c r="AE695" s="873"/>
      <c r="AF695" s="873"/>
      <c r="AG695" s="873"/>
      <c r="AH695" s="873"/>
      <c r="AI695" s="873"/>
      <c r="AJ695" s="873"/>
      <c r="AK695" s="873"/>
      <c r="AL695" s="873"/>
      <c r="AM695" s="873"/>
      <c r="AN695" s="873"/>
      <c r="AO695" s="873"/>
      <c r="AP695" s="873"/>
      <c r="AQ695" s="873"/>
      <c r="AR695" s="873"/>
      <c r="AS695" s="873"/>
      <c r="AT695" s="873"/>
      <c r="AU695" s="873"/>
    </row>
    <row r="696" spans="2:47" s="214" customFormat="1" ht="14.25" customHeight="1">
      <c r="B696" s="244"/>
      <c r="C696" s="353" t="s">
        <v>1077</v>
      </c>
      <c r="D696" s="242"/>
      <c r="E696" s="242"/>
      <c r="F696" s="242"/>
      <c r="G696" s="242"/>
      <c r="H696" s="242"/>
      <c r="I696" s="275"/>
      <c r="J696" s="246"/>
      <c r="K696" s="246"/>
      <c r="L696" s="246"/>
      <c r="M696" s="1196"/>
      <c r="N696" s="873"/>
      <c r="O696" s="873"/>
      <c r="P696" s="873"/>
      <c r="Q696" s="873"/>
      <c r="R696" s="873"/>
      <c r="S696" s="873"/>
      <c r="T696" s="873"/>
      <c r="U696" s="873">
        <f t="shared" si="349"/>
        <v>0</v>
      </c>
      <c r="V696" s="873"/>
      <c r="W696" s="873"/>
      <c r="X696" s="873"/>
      <c r="Y696" s="873"/>
      <c r="Z696" s="873"/>
      <c r="AA696" s="873"/>
      <c r="AB696" s="873"/>
      <c r="AC696" s="873"/>
      <c r="AD696" s="873"/>
      <c r="AE696" s="873"/>
      <c r="AF696" s="873"/>
      <c r="AG696" s="873"/>
      <c r="AH696" s="873"/>
      <c r="AI696" s="873"/>
      <c r="AJ696" s="873"/>
      <c r="AK696" s="873"/>
      <c r="AL696" s="873"/>
      <c r="AM696" s="873"/>
      <c r="AN696" s="873"/>
      <c r="AO696" s="873"/>
      <c r="AP696" s="873"/>
      <c r="AQ696" s="873"/>
      <c r="AR696" s="873"/>
      <c r="AS696" s="873"/>
      <c r="AT696" s="873"/>
      <c r="AU696" s="873"/>
    </row>
    <row r="697" spans="2:47" s="214" customFormat="1" ht="14.25" customHeight="1">
      <c r="B697" s="244"/>
      <c r="C697" s="353" t="s">
        <v>1078</v>
      </c>
      <c r="D697" s="242"/>
      <c r="E697" s="242"/>
      <c r="F697" s="242"/>
      <c r="G697" s="242"/>
      <c r="H697" s="242"/>
      <c r="I697" s="275"/>
      <c r="J697" s="246"/>
      <c r="K697" s="246"/>
      <c r="L697" s="246"/>
      <c r="M697" s="1196"/>
      <c r="N697" s="873"/>
      <c r="O697" s="873"/>
      <c r="P697" s="873"/>
      <c r="Q697" s="873"/>
      <c r="R697" s="873"/>
      <c r="S697" s="873"/>
      <c r="T697" s="873"/>
      <c r="U697" s="873">
        <f t="shared" si="349"/>
        <v>0</v>
      </c>
      <c r="V697" s="873"/>
      <c r="W697" s="873"/>
      <c r="X697" s="873"/>
      <c r="Y697" s="873"/>
      <c r="Z697" s="873"/>
      <c r="AA697" s="873"/>
      <c r="AB697" s="873"/>
      <c r="AC697" s="873"/>
      <c r="AD697" s="873"/>
      <c r="AE697" s="873"/>
      <c r="AF697" s="873"/>
      <c r="AG697" s="873"/>
      <c r="AH697" s="873"/>
      <c r="AI697" s="873"/>
      <c r="AJ697" s="873"/>
      <c r="AK697" s="873"/>
      <c r="AL697" s="873"/>
      <c r="AM697" s="873"/>
      <c r="AN697" s="873"/>
      <c r="AO697" s="873"/>
      <c r="AP697" s="873"/>
      <c r="AQ697" s="873"/>
      <c r="AR697" s="873"/>
      <c r="AS697" s="873"/>
      <c r="AT697" s="873"/>
      <c r="AU697" s="873"/>
    </row>
    <row r="698" spans="2:47" s="1208" customFormat="1" ht="14.25" customHeight="1">
      <c r="B698" s="1245"/>
      <c r="C698" s="1247" t="s">
        <v>1104</v>
      </c>
      <c r="D698" s="380"/>
      <c r="E698" s="380"/>
      <c r="F698" s="380"/>
      <c r="G698" s="380"/>
      <c r="H698" s="380"/>
      <c r="I698" s="1246"/>
      <c r="J698" s="258"/>
      <c r="K698" s="258"/>
      <c r="L698" s="258"/>
      <c r="M698" s="1248">
        <f t="shared" ref="M698:AU698" si="364">SUM(M699:M702)</f>
        <v>0</v>
      </c>
      <c r="N698" s="1248">
        <f t="shared" si="364"/>
        <v>0</v>
      </c>
      <c r="O698" s="1248">
        <f t="shared" si="364"/>
        <v>0</v>
      </c>
      <c r="P698" s="1248">
        <f t="shared" si="364"/>
        <v>0</v>
      </c>
      <c r="Q698" s="1248">
        <f t="shared" si="364"/>
        <v>0</v>
      </c>
      <c r="R698" s="1248">
        <f t="shared" si="364"/>
        <v>27614013.540517498</v>
      </c>
      <c r="S698" s="1248"/>
      <c r="T698" s="1248">
        <f>SUM(T699:T702)</f>
        <v>0</v>
      </c>
      <c r="U698" s="1248">
        <f t="shared" si="349"/>
        <v>0</v>
      </c>
      <c r="V698" s="1248">
        <f t="shared" si="364"/>
        <v>67268008.259535015</v>
      </c>
      <c r="W698" s="1248">
        <f t="shared" si="364"/>
        <v>109831240.0620525</v>
      </c>
      <c r="X698" s="1248">
        <f t="shared" si="364"/>
        <v>152394471.86457002</v>
      </c>
      <c r="Y698" s="1248">
        <f t="shared" si="364"/>
        <v>194957703.66708753</v>
      </c>
      <c r="Z698" s="1248">
        <f t="shared" si="364"/>
        <v>237520935.46960503</v>
      </c>
      <c r="AA698" s="1248">
        <f t="shared" si="364"/>
        <v>279631796.72625005</v>
      </c>
      <c r="AB698" s="1248">
        <f t="shared" si="364"/>
        <v>321414844.23000002</v>
      </c>
      <c r="AC698" s="1248">
        <f t="shared" si="364"/>
        <v>363197891.73374999</v>
      </c>
      <c r="AD698" s="1248">
        <f t="shared" si="364"/>
        <v>404980939.23750001</v>
      </c>
      <c r="AE698" s="1248">
        <f t="shared" si="364"/>
        <v>423123442.37624997</v>
      </c>
      <c r="AF698" s="1248">
        <f t="shared" si="364"/>
        <v>424176796.51499999</v>
      </c>
      <c r="AG698" s="1248">
        <f t="shared" si="364"/>
        <v>425230150.65374994</v>
      </c>
      <c r="AH698" s="1248">
        <f t="shared" si="364"/>
        <v>426283504.79249996</v>
      </c>
      <c r="AI698" s="1248">
        <f t="shared" si="364"/>
        <v>427336858.93124998</v>
      </c>
      <c r="AJ698" s="1248">
        <f t="shared" si="364"/>
        <v>428390213.06999999</v>
      </c>
      <c r="AK698" s="1248">
        <f t="shared" si="364"/>
        <v>429443567.20874995</v>
      </c>
      <c r="AL698" s="1248">
        <f t="shared" si="364"/>
        <v>430496921.34749997</v>
      </c>
      <c r="AM698" s="1248">
        <f t="shared" si="364"/>
        <v>431550275.48624998</v>
      </c>
      <c r="AN698" s="1248">
        <f t="shared" si="364"/>
        <v>432603629.62499994</v>
      </c>
      <c r="AO698" s="1248">
        <f t="shared" si="364"/>
        <v>433656983.76374996</v>
      </c>
      <c r="AP698" s="1248">
        <f t="shared" si="364"/>
        <v>434710337.90249997</v>
      </c>
      <c r="AQ698" s="1248">
        <f t="shared" si="364"/>
        <v>435763692.04124999</v>
      </c>
      <c r="AR698" s="1248">
        <f t="shared" si="364"/>
        <v>436817046.18000001</v>
      </c>
      <c r="AS698" s="1248">
        <f t="shared" si="364"/>
        <v>437870400.31874996</v>
      </c>
      <c r="AT698" s="1248">
        <f t="shared" si="364"/>
        <v>438923754.45749998</v>
      </c>
      <c r="AU698" s="1248">
        <f t="shared" si="364"/>
        <v>439977108.59625</v>
      </c>
    </row>
    <row r="699" spans="2:47" s="214" customFormat="1" ht="14.25" customHeight="1">
      <c r="B699" s="244"/>
      <c r="C699" s="353" t="s">
        <v>1075</v>
      </c>
      <c r="D699" s="242"/>
      <c r="E699" s="242"/>
      <c r="F699" s="242"/>
      <c r="G699" s="242"/>
      <c r="H699" s="242"/>
      <c r="I699" s="275"/>
      <c r="J699" s="246"/>
      <c r="K699" s="246"/>
      <c r="L699" s="246"/>
      <c r="M699" s="215">
        <v>0</v>
      </c>
      <c r="N699" s="873">
        <f>M699+N689-N694</f>
        <v>0</v>
      </c>
      <c r="O699" s="873">
        <f>N699</f>
        <v>0</v>
      </c>
      <c r="P699" s="873">
        <f t="shared" ref="P699:AU702" si="365">O699+P689-P694</f>
        <v>0</v>
      </c>
      <c r="Q699" s="873">
        <f t="shared" si="365"/>
        <v>0</v>
      </c>
      <c r="R699" s="873">
        <f t="shared" si="365"/>
        <v>683391.13874999993</v>
      </c>
      <c r="S699" s="873"/>
      <c r="T699" s="873">
        <f t="shared" si="365"/>
        <v>0</v>
      </c>
      <c r="U699" s="873">
        <f t="shared" si="349"/>
        <v>0</v>
      </c>
      <c r="V699" s="873">
        <f>R699+V689-V694</f>
        <v>1664747.5274999999</v>
      </c>
      <c r="W699" s="873">
        <f t="shared" si="365"/>
        <v>2718101.6662499998</v>
      </c>
      <c r="X699" s="873">
        <f t="shared" si="365"/>
        <v>3771455.8049999997</v>
      </c>
      <c r="Y699" s="873">
        <f t="shared" si="365"/>
        <v>4824809.9437499996</v>
      </c>
      <c r="Z699" s="873">
        <f t="shared" si="365"/>
        <v>5878164.0824999996</v>
      </c>
      <c r="AA699" s="873">
        <f t="shared" si="365"/>
        <v>6931518.2212499995</v>
      </c>
      <c r="AB699" s="873">
        <f t="shared" si="365"/>
        <v>7984872.3599999994</v>
      </c>
      <c r="AC699" s="873">
        <f t="shared" si="365"/>
        <v>9038226.4987499993</v>
      </c>
      <c r="AD699" s="873">
        <f t="shared" si="365"/>
        <v>10091580.637499999</v>
      </c>
      <c r="AE699" s="873">
        <f t="shared" si="365"/>
        <v>11144934.776249999</v>
      </c>
      <c r="AF699" s="873">
        <f t="shared" si="365"/>
        <v>12198288.914999999</v>
      </c>
      <c r="AG699" s="873">
        <f t="shared" si="365"/>
        <v>13251643.053749999</v>
      </c>
      <c r="AH699" s="873">
        <f t="shared" si="365"/>
        <v>14304997.192499999</v>
      </c>
      <c r="AI699" s="873">
        <f t="shared" si="365"/>
        <v>15358351.331249999</v>
      </c>
      <c r="AJ699" s="873">
        <f t="shared" si="365"/>
        <v>16411705.469999999</v>
      </c>
      <c r="AK699" s="873">
        <f t="shared" si="365"/>
        <v>17465059.608750001</v>
      </c>
      <c r="AL699" s="873">
        <f t="shared" si="365"/>
        <v>18518413.747500002</v>
      </c>
      <c r="AM699" s="873">
        <f t="shared" si="365"/>
        <v>19571767.886250004</v>
      </c>
      <c r="AN699" s="873">
        <f t="shared" si="365"/>
        <v>20625122.025000006</v>
      </c>
      <c r="AO699" s="873">
        <f t="shared" si="365"/>
        <v>21678476.163750008</v>
      </c>
      <c r="AP699" s="873">
        <f t="shared" si="365"/>
        <v>22731830.30250001</v>
      </c>
      <c r="AQ699" s="873">
        <f t="shared" si="365"/>
        <v>23785184.441250011</v>
      </c>
      <c r="AR699" s="873">
        <f t="shared" si="365"/>
        <v>24838538.580000013</v>
      </c>
      <c r="AS699" s="873">
        <f t="shared" si="365"/>
        <v>25891892.718750015</v>
      </c>
      <c r="AT699" s="873">
        <f t="shared" si="365"/>
        <v>26945246.857500017</v>
      </c>
      <c r="AU699" s="873">
        <f t="shared" si="365"/>
        <v>27998600.996250018</v>
      </c>
    </row>
    <row r="700" spans="2:47" s="214" customFormat="1" ht="14.25" customHeight="1">
      <c r="B700" s="244"/>
      <c r="C700" s="353" t="s">
        <v>1076</v>
      </c>
      <c r="D700" s="242"/>
      <c r="E700" s="242"/>
      <c r="F700" s="242"/>
      <c r="G700" s="242"/>
      <c r="H700" s="242"/>
      <c r="I700" s="275"/>
      <c r="J700" s="246"/>
      <c r="K700" s="246"/>
      <c r="L700" s="246"/>
      <c r="M700" s="1196">
        <v>0</v>
      </c>
      <c r="N700" s="873">
        <f>M700+N690-N695</f>
        <v>0</v>
      </c>
      <c r="O700" s="873">
        <f>N700</f>
        <v>0</v>
      </c>
      <c r="P700" s="873">
        <f t="shared" si="365"/>
        <v>0</v>
      </c>
      <c r="Q700" s="873">
        <f t="shared" si="365"/>
        <v>0</v>
      </c>
      <c r="R700" s="873">
        <f t="shared" si="365"/>
        <v>26424457.364999998</v>
      </c>
      <c r="S700" s="873"/>
      <c r="T700" s="873">
        <f t="shared" si="365"/>
        <v>0</v>
      </c>
      <c r="U700" s="873">
        <f t="shared" si="349"/>
        <v>0</v>
      </c>
      <c r="V700" s="873">
        <f>R700+V690-V695</f>
        <v>64370237.730000004</v>
      </c>
      <c r="W700" s="873">
        <f t="shared" si="365"/>
        <v>105099931.095</v>
      </c>
      <c r="X700" s="873">
        <f t="shared" si="365"/>
        <v>145829624.46000001</v>
      </c>
      <c r="Y700" s="873">
        <f t="shared" si="365"/>
        <v>186559317.82500002</v>
      </c>
      <c r="Z700" s="873">
        <f t="shared" si="365"/>
        <v>227289011.19000003</v>
      </c>
      <c r="AA700" s="873">
        <f t="shared" si="365"/>
        <v>268018704.55500004</v>
      </c>
      <c r="AB700" s="873">
        <f t="shared" si="365"/>
        <v>308748397.92000002</v>
      </c>
      <c r="AC700" s="873">
        <f t="shared" si="365"/>
        <v>349478091.28500003</v>
      </c>
      <c r="AD700" s="873">
        <f t="shared" si="365"/>
        <v>390207784.65000004</v>
      </c>
      <c r="AE700" s="873">
        <f t="shared" si="365"/>
        <v>407296933.64999998</v>
      </c>
      <c r="AF700" s="873">
        <f t="shared" si="365"/>
        <v>407296933.64999998</v>
      </c>
      <c r="AG700" s="873">
        <f t="shared" si="365"/>
        <v>407296933.64999998</v>
      </c>
      <c r="AH700" s="873">
        <f t="shared" si="365"/>
        <v>407296933.64999998</v>
      </c>
      <c r="AI700" s="873">
        <f t="shared" si="365"/>
        <v>407296933.64999998</v>
      </c>
      <c r="AJ700" s="873">
        <f t="shared" si="365"/>
        <v>407296933.64999998</v>
      </c>
      <c r="AK700" s="873">
        <f t="shared" si="365"/>
        <v>407296933.64999998</v>
      </c>
      <c r="AL700" s="873">
        <f t="shared" si="365"/>
        <v>407296933.64999998</v>
      </c>
      <c r="AM700" s="873">
        <f t="shared" si="365"/>
        <v>407296933.64999998</v>
      </c>
      <c r="AN700" s="873">
        <f t="shared" si="365"/>
        <v>407296933.64999998</v>
      </c>
      <c r="AO700" s="873">
        <f t="shared" si="365"/>
        <v>407296933.64999998</v>
      </c>
      <c r="AP700" s="873">
        <f t="shared" si="365"/>
        <v>407296933.64999998</v>
      </c>
      <c r="AQ700" s="873">
        <f t="shared" si="365"/>
        <v>407296933.64999998</v>
      </c>
      <c r="AR700" s="873">
        <f t="shared" si="365"/>
        <v>407296933.64999998</v>
      </c>
      <c r="AS700" s="873">
        <f t="shared" si="365"/>
        <v>407296933.64999998</v>
      </c>
      <c r="AT700" s="873">
        <f t="shared" si="365"/>
        <v>407296933.64999998</v>
      </c>
      <c r="AU700" s="873">
        <f t="shared" si="365"/>
        <v>407296933.64999998</v>
      </c>
    </row>
    <row r="701" spans="2:47" s="214" customFormat="1" ht="14.25" customHeight="1">
      <c r="B701" s="244"/>
      <c r="C701" s="353" t="s">
        <v>1077</v>
      </c>
      <c r="D701" s="242"/>
      <c r="E701" s="242"/>
      <c r="F701" s="242"/>
      <c r="G701" s="242"/>
      <c r="H701" s="242"/>
      <c r="I701" s="275"/>
      <c r="J701" s="246"/>
      <c r="K701" s="246"/>
      <c r="L701" s="246"/>
      <c r="M701" s="1196">
        <v>0</v>
      </c>
      <c r="N701" s="873">
        <f>M701+N691-N696</f>
        <v>0</v>
      </c>
      <c r="O701" s="873">
        <f>N701</f>
        <v>0</v>
      </c>
      <c r="P701" s="873">
        <f t="shared" si="365"/>
        <v>0</v>
      </c>
      <c r="Q701" s="873">
        <f t="shared" si="365"/>
        <v>0</v>
      </c>
      <c r="R701" s="873">
        <f t="shared" si="365"/>
        <v>506165.03676749999</v>
      </c>
      <c r="S701" s="873"/>
      <c r="T701" s="873">
        <f t="shared" si="365"/>
        <v>0</v>
      </c>
      <c r="U701" s="873">
        <f t="shared" si="349"/>
        <v>0</v>
      </c>
      <c r="V701" s="873">
        <f>R701+V691-V696</f>
        <v>1233023.0020349999</v>
      </c>
      <c r="W701" s="873">
        <f t="shared" si="365"/>
        <v>2013207.3008025</v>
      </c>
      <c r="X701" s="873">
        <f t="shared" si="365"/>
        <v>2793391.5995700001</v>
      </c>
      <c r="Y701" s="873">
        <f t="shared" si="365"/>
        <v>3573575.8983375002</v>
      </c>
      <c r="Z701" s="873">
        <f t="shared" si="365"/>
        <v>4353760.1971049998</v>
      </c>
      <c r="AA701" s="873">
        <f t="shared" si="365"/>
        <v>4681573.95</v>
      </c>
      <c r="AB701" s="873">
        <f t="shared" si="365"/>
        <v>4681573.95</v>
      </c>
      <c r="AC701" s="873">
        <f t="shared" si="365"/>
        <v>4681573.95</v>
      </c>
      <c r="AD701" s="873">
        <f t="shared" si="365"/>
        <v>4681573.95</v>
      </c>
      <c r="AE701" s="873">
        <f t="shared" si="365"/>
        <v>4681573.95</v>
      </c>
      <c r="AF701" s="873">
        <f t="shared" si="365"/>
        <v>4681573.95</v>
      </c>
      <c r="AG701" s="873">
        <f t="shared" si="365"/>
        <v>4681573.95</v>
      </c>
      <c r="AH701" s="873">
        <f t="shared" si="365"/>
        <v>4681573.95</v>
      </c>
      <c r="AI701" s="873">
        <f t="shared" si="365"/>
        <v>4681573.95</v>
      </c>
      <c r="AJ701" s="873">
        <f t="shared" si="365"/>
        <v>4681573.95</v>
      </c>
      <c r="AK701" s="873">
        <f t="shared" si="365"/>
        <v>4681573.95</v>
      </c>
      <c r="AL701" s="873">
        <f t="shared" si="365"/>
        <v>4681573.95</v>
      </c>
      <c r="AM701" s="873">
        <f t="shared" si="365"/>
        <v>4681573.95</v>
      </c>
      <c r="AN701" s="873">
        <f t="shared" si="365"/>
        <v>4681573.95</v>
      </c>
      <c r="AO701" s="873">
        <f t="shared" si="365"/>
        <v>4681573.95</v>
      </c>
      <c r="AP701" s="873">
        <f t="shared" si="365"/>
        <v>4681573.95</v>
      </c>
      <c r="AQ701" s="873">
        <f t="shared" si="365"/>
        <v>4681573.95</v>
      </c>
      <c r="AR701" s="873">
        <f t="shared" si="365"/>
        <v>4681573.95</v>
      </c>
      <c r="AS701" s="873">
        <f t="shared" si="365"/>
        <v>4681573.95</v>
      </c>
      <c r="AT701" s="873">
        <f t="shared" si="365"/>
        <v>4681573.95</v>
      </c>
      <c r="AU701" s="873">
        <f t="shared" si="365"/>
        <v>4681573.95</v>
      </c>
    </row>
    <row r="702" spans="2:47" s="214" customFormat="1" ht="14.25" customHeight="1">
      <c r="B702" s="244"/>
      <c r="C702" s="353" t="s">
        <v>1078</v>
      </c>
      <c r="D702" s="242"/>
      <c r="E702" s="242"/>
      <c r="F702" s="242"/>
      <c r="G702" s="242"/>
      <c r="H702" s="242"/>
      <c r="I702" s="275"/>
      <c r="J702" s="246"/>
      <c r="K702" s="246"/>
      <c r="L702" s="246"/>
      <c r="M702" s="1196">
        <v>0</v>
      </c>
      <c r="N702" s="873">
        <f>M702+N692-N697</f>
        <v>0</v>
      </c>
      <c r="O702" s="873">
        <f>N702</f>
        <v>0</v>
      </c>
      <c r="P702" s="873">
        <f t="shared" si="365"/>
        <v>0</v>
      </c>
      <c r="Q702" s="873">
        <f t="shared" si="365"/>
        <v>0</v>
      </c>
      <c r="R702" s="873">
        <f t="shared" si="365"/>
        <v>0</v>
      </c>
      <c r="S702" s="873"/>
      <c r="T702" s="873">
        <f t="shared" si="365"/>
        <v>0</v>
      </c>
      <c r="U702" s="873">
        <f t="shared" si="349"/>
        <v>0</v>
      </c>
      <c r="V702" s="873">
        <f>R702+V692-V697</f>
        <v>0</v>
      </c>
      <c r="W702" s="873">
        <f t="shared" si="365"/>
        <v>0</v>
      </c>
      <c r="X702" s="873">
        <f t="shared" si="365"/>
        <v>0</v>
      </c>
      <c r="Y702" s="873">
        <f t="shared" si="365"/>
        <v>0</v>
      </c>
      <c r="Z702" s="873">
        <f t="shared" si="365"/>
        <v>0</v>
      </c>
      <c r="AA702" s="873">
        <f t="shared" si="365"/>
        <v>0</v>
      </c>
      <c r="AB702" s="873">
        <f t="shared" si="365"/>
        <v>0</v>
      </c>
      <c r="AC702" s="873">
        <f t="shared" si="365"/>
        <v>0</v>
      </c>
      <c r="AD702" s="873">
        <f t="shared" si="365"/>
        <v>0</v>
      </c>
      <c r="AE702" s="873">
        <f t="shared" si="365"/>
        <v>0</v>
      </c>
      <c r="AF702" s="873">
        <f t="shared" si="365"/>
        <v>0</v>
      </c>
      <c r="AG702" s="873">
        <f t="shared" si="365"/>
        <v>0</v>
      </c>
      <c r="AH702" s="873">
        <f t="shared" si="365"/>
        <v>0</v>
      </c>
      <c r="AI702" s="873">
        <f t="shared" si="365"/>
        <v>0</v>
      </c>
      <c r="AJ702" s="873">
        <f t="shared" si="365"/>
        <v>0</v>
      </c>
      <c r="AK702" s="873">
        <f t="shared" si="365"/>
        <v>0</v>
      </c>
      <c r="AL702" s="873">
        <f t="shared" si="365"/>
        <v>0</v>
      </c>
      <c r="AM702" s="873">
        <f t="shared" si="365"/>
        <v>0</v>
      </c>
      <c r="AN702" s="873">
        <f t="shared" si="365"/>
        <v>0</v>
      </c>
      <c r="AO702" s="873">
        <f t="shared" si="365"/>
        <v>0</v>
      </c>
      <c r="AP702" s="873">
        <f t="shared" si="365"/>
        <v>0</v>
      </c>
      <c r="AQ702" s="873">
        <f t="shared" si="365"/>
        <v>0</v>
      </c>
      <c r="AR702" s="873">
        <f t="shared" si="365"/>
        <v>0</v>
      </c>
      <c r="AS702" s="873">
        <f t="shared" si="365"/>
        <v>0</v>
      </c>
      <c r="AT702" s="873">
        <f t="shared" si="365"/>
        <v>0</v>
      </c>
      <c r="AU702" s="873">
        <f t="shared" si="365"/>
        <v>0</v>
      </c>
    </row>
    <row r="703" spans="2:47" s="1208" customFormat="1" ht="14.25" customHeight="1">
      <c r="B703" s="1245"/>
      <c r="C703" s="1247" t="s">
        <v>1005</v>
      </c>
      <c r="D703" s="380"/>
      <c r="E703" s="380"/>
      <c r="F703" s="380"/>
      <c r="G703" s="380"/>
      <c r="H703" s="380"/>
      <c r="I703" s="1246"/>
      <c r="J703" s="258"/>
      <c r="K703" s="258"/>
      <c r="L703" s="258"/>
      <c r="M703" s="1248">
        <f t="shared" ref="M703:AU703" si="366">SUM(M704:M707)</f>
        <v>0</v>
      </c>
      <c r="N703" s="1248">
        <f t="shared" si="366"/>
        <v>0</v>
      </c>
      <c r="O703" s="1248">
        <f t="shared" si="366"/>
        <v>0</v>
      </c>
      <c r="P703" s="1248">
        <f t="shared" si="366"/>
        <v>0</v>
      </c>
      <c r="Q703" s="1248">
        <f t="shared" si="366"/>
        <v>0</v>
      </c>
      <c r="R703" s="1248">
        <f t="shared" si="366"/>
        <v>408544381.45948249</v>
      </c>
      <c r="S703" s="1248"/>
      <c r="T703" s="1248">
        <f>SUM(T704:T707)</f>
        <v>264858000</v>
      </c>
      <c r="U703" s="1248">
        <f t="shared" si="349"/>
        <v>264858000</v>
      </c>
      <c r="V703" s="1248">
        <f t="shared" si="366"/>
        <v>400889386.74046499</v>
      </c>
      <c r="W703" s="1248">
        <f t="shared" si="366"/>
        <v>358326154.93794751</v>
      </c>
      <c r="X703" s="1248">
        <f t="shared" si="366"/>
        <v>315762923.13542998</v>
      </c>
      <c r="Y703" s="1248">
        <f t="shared" si="366"/>
        <v>273199691.33291245</v>
      </c>
      <c r="Z703" s="1248">
        <f t="shared" si="366"/>
        <v>230636459.53039494</v>
      </c>
      <c r="AA703" s="1248">
        <f t="shared" si="366"/>
        <v>188525598.27374992</v>
      </c>
      <c r="AB703" s="1248">
        <f t="shared" si="366"/>
        <v>146742550.76999995</v>
      </c>
      <c r="AC703" s="1248">
        <f t="shared" si="366"/>
        <v>104959503.26624994</v>
      </c>
      <c r="AD703" s="1248">
        <f t="shared" si="366"/>
        <v>63176455.762499936</v>
      </c>
      <c r="AE703" s="1248">
        <f t="shared" si="366"/>
        <v>45033952.623750001</v>
      </c>
      <c r="AF703" s="1248">
        <f t="shared" si="366"/>
        <v>43980598.484999999</v>
      </c>
      <c r="AG703" s="1248">
        <f t="shared" si="366"/>
        <v>42927244.346249998</v>
      </c>
      <c r="AH703" s="1248">
        <f t="shared" si="366"/>
        <v>41873890.207499996</v>
      </c>
      <c r="AI703" s="1248">
        <f t="shared" si="366"/>
        <v>40820536.068750001</v>
      </c>
      <c r="AJ703" s="1248">
        <f t="shared" si="366"/>
        <v>39767181.93</v>
      </c>
      <c r="AK703" s="1248">
        <f t="shared" si="366"/>
        <v>38713827.791249998</v>
      </c>
      <c r="AL703" s="1248">
        <f t="shared" si="366"/>
        <v>37660473.652499996</v>
      </c>
      <c r="AM703" s="1248">
        <f t="shared" si="366"/>
        <v>36607119.513749994</v>
      </c>
      <c r="AN703" s="1248">
        <f t="shared" si="366"/>
        <v>35553765.374999993</v>
      </c>
      <c r="AO703" s="1248">
        <f t="shared" si="366"/>
        <v>34500411.236249991</v>
      </c>
      <c r="AP703" s="1248">
        <f t="shared" si="366"/>
        <v>33447057.097499989</v>
      </c>
      <c r="AQ703" s="1248">
        <f t="shared" si="366"/>
        <v>32393702.958749987</v>
      </c>
      <c r="AR703" s="1248">
        <f t="shared" si="366"/>
        <v>31340348.819999985</v>
      </c>
      <c r="AS703" s="1248">
        <f t="shared" si="366"/>
        <v>30286994.681249984</v>
      </c>
      <c r="AT703" s="1248">
        <f t="shared" si="366"/>
        <v>29233640.542499982</v>
      </c>
      <c r="AU703" s="1248">
        <f t="shared" si="366"/>
        <v>28180286.40374998</v>
      </c>
    </row>
    <row r="704" spans="2:47" s="214" customFormat="1" ht="14.25" customHeight="1">
      <c r="B704" s="244"/>
      <c r="C704" s="353" t="s">
        <v>1075</v>
      </c>
      <c r="D704" s="242"/>
      <c r="E704" s="242"/>
      <c r="F704" s="242"/>
      <c r="G704" s="242"/>
      <c r="H704" s="242"/>
      <c r="I704" s="275"/>
      <c r="J704" s="246"/>
      <c r="K704" s="246"/>
      <c r="L704" s="246"/>
      <c r="M704" s="1196">
        <f>M664-M699</f>
        <v>0</v>
      </c>
      <c r="N704" s="1196">
        <f>N664-N699</f>
        <v>0</v>
      </c>
      <c r="O704" s="1196">
        <f t="shared" ref="O704:AU707" si="367">O664-O699</f>
        <v>0</v>
      </c>
      <c r="P704" s="1196">
        <f t="shared" si="367"/>
        <v>0</v>
      </c>
      <c r="Q704" s="1196">
        <f t="shared" si="367"/>
        <v>0</v>
      </c>
      <c r="R704" s="1196">
        <f>R664-R699</f>
        <v>38570864.411249995</v>
      </c>
      <c r="S704" s="1196"/>
      <c r="T704" s="1196">
        <f>T664-T699</f>
        <v>23837220</v>
      </c>
      <c r="U704" s="1196">
        <f t="shared" si="349"/>
        <v>23837220</v>
      </c>
      <c r="V704" s="1196">
        <f t="shared" si="367"/>
        <v>40469418.022499993</v>
      </c>
      <c r="W704" s="1196">
        <f t="shared" si="367"/>
        <v>39416063.883749999</v>
      </c>
      <c r="X704" s="1196">
        <f t="shared" si="367"/>
        <v>38362709.744999997</v>
      </c>
      <c r="Y704" s="1196">
        <f t="shared" si="367"/>
        <v>37309355.606249996</v>
      </c>
      <c r="Z704" s="1196">
        <f t="shared" si="367"/>
        <v>36256001.467500001</v>
      </c>
      <c r="AA704" s="1196">
        <f t="shared" si="367"/>
        <v>35202647.328749999</v>
      </c>
      <c r="AB704" s="1196">
        <f t="shared" si="367"/>
        <v>34149293.189999998</v>
      </c>
      <c r="AC704" s="1196">
        <f t="shared" si="367"/>
        <v>33095939.051249996</v>
      </c>
      <c r="AD704" s="1196">
        <f t="shared" si="367"/>
        <v>32042584.912499998</v>
      </c>
      <c r="AE704" s="1196">
        <f t="shared" si="367"/>
        <v>30989230.77375</v>
      </c>
      <c r="AF704" s="1196">
        <f t="shared" si="367"/>
        <v>29935876.634999998</v>
      </c>
      <c r="AG704" s="1196">
        <f t="shared" si="367"/>
        <v>28882522.496249996</v>
      </c>
      <c r="AH704" s="1196">
        <f t="shared" si="367"/>
        <v>27829168.357499998</v>
      </c>
      <c r="AI704" s="1196">
        <f t="shared" si="367"/>
        <v>26775814.21875</v>
      </c>
      <c r="AJ704" s="1196">
        <f t="shared" si="367"/>
        <v>25722460.079999998</v>
      </c>
      <c r="AK704" s="1196">
        <f t="shared" si="367"/>
        <v>24669105.941249996</v>
      </c>
      <c r="AL704" s="1196">
        <f t="shared" si="367"/>
        <v>23615751.802499995</v>
      </c>
      <c r="AM704" s="1196">
        <f t="shared" si="367"/>
        <v>22562397.663749993</v>
      </c>
      <c r="AN704" s="1196">
        <f t="shared" si="367"/>
        <v>21509043.524999991</v>
      </c>
      <c r="AO704" s="1196">
        <f t="shared" si="367"/>
        <v>20455689.386249989</v>
      </c>
      <c r="AP704" s="1196">
        <f t="shared" si="367"/>
        <v>19402335.247499987</v>
      </c>
      <c r="AQ704" s="1196">
        <f t="shared" si="367"/>
        <v>18348981.108749986</v>
      </c>
      <c r="AR704" s="1196">
        <f t="shared" si="367"/>
        <v>17295626.969999984</v>
      </c>
      <c r="AS704" s="1196">
        <f t="shared" si="367"/>
        <v>16242272.831249982</v>
      </c>
      <c r="AT704" s="1196">
        <f t="shared" si="367"/>
        <v>15188918.69249998</v>
      </c>
      <c r="AU704" s="1196">
        <f t="shared" si="367"/>
        <v>14135564.553749979</v>
      </c>
    </row>
    <row r="705" spans="2:47" s="214" customFormat="1" ht="14.25" customHeight="1">
      <c r="B705" s="244"/>
      <c r="C705" s="353" t="s">
        <v>1076</v>
      </c>
      <c r="D705" s="242"/>
      <c r="E705" s="242"/>
      <c r="F705" s="242"/>
      <c r="G705" s="242"/>
      <c r="H705" s="242"/>
      <c r="I705" s="275"/>
      <c r="J705" s="246"/>
      <c r="K705" s="246"/>
      <c r="L705" s="246"/>
      <c r="M705" s="1196">
        <f t="shared" ref="M705:N707" si="368">M665-M700</f>
        <v>0</v>
      </c>
      <c r="N705" s="1196">
        <f t="shared" si="368"/>
        <v>0</v>
      </c>
      <c r="O705" s="1196">
        <f t="shared" si="367"/>
        <v>0</v>
      </c>
      <c r="P705" s="1196">
        <f t="shared" si="367"/>
        <v>0</v>
      </c>
      <c r="Q705" s="1196">
        <f t="shared" si="367"/>
        <v>0</v>
      </c>
      <c r="R705" s="1196">
        <f t="shared" si="367"/>
        <v>353033346.28499997</v>
      </c>
      <c r="S705" s="1196"/>
      <c r="T705" s="1196">
        <f>T665-T700</f>
        <v>230426460</v>
      </c>
      <c r="U705" s="1196">
        <f t="shared" si="349"/>
        <v>230426460</v>
      </c>
      <c r="V705" s="1196">
        <f t="shared" si="367"/>
        <v>342926695.91999996</v>
      </c>
      <c r="W705" s="1196">
        <f t="shared" si="367"/>
        <v>302197002.55499995</v>
      </c>
      <c r="X705" s="1196">
        <f t="shared" si="367"/>
        <v>261467309.18999997</v>
      </c>
      <c r="Y705" s="1196">
        <f t="shared" si="367"/>
        <v>220737615.82499996</v>
      </c>
      <c r="Z705" s="1196">
        <f t="shared" si="367"/>
        <v>180007922.45999995</v>
      </c>
      <c r="AA705" s="1196">
        <f t="shared" si="367"/>
        <v>139278229.09499994</v>
      </c>
      <c r="AB705" s="1196">
        <f t="shared" si="367"/>
        <v>98548535.729999959</v>
      </c>
      <c r="AC705" s="1196">
        <f t="shared" si="367"/>
        <v>57818842.36499995</v>
      </c>
      <c r="AD705" s="1196">
        <f t="shared" si="367"/>
        <v>17089148.99999994</v>
      </c>
      <c r="AE705" s="1196">
        <f t="shared" si="367"/>
        <v>0</v>
      </c>
      <c r="AF705" s="1196">
        <f t="shared" si="367"/>
        <v>0</v>
      </c>
      <c r="AG705" s="1196">
        <f t="shared" si="367"/>
        <v>0</v>
      </c>
      <c r="AH705" s="1196">
        <f t="shared" si="367"/>
        <v>0</v>
      </c>
      <c r="AI705" s="1196">
        <f t="shared" si="367"/>
        <v>0</v>
      </c>
      <c r="AJ705" s="1196">
        <f t="shared" si="367"/>
        <v>0</v>
      </c>
      <c r="AK705" s="1196">
        <f t="shared" si="367"/>
        <v>0</v>
      </c>
      <c r="AL705" s="1196">
        <f t="shared" si="367"/>
        <v>0</v>
      </c>
      <c r="AM705" s="1196">
        <f t="shared" si="367"/>
        <v>0</v>
      </c>
      <c r="AN705" s="1196">
        <f t="shared" si="367"/>
        <v>0</v>
      </c>
      <c r="AO705" s="1196">
        <f t="shared" si="367"/>
        <v>0</v>
      </c>
      <c r="AP705" s="1196">
        <f t="shared" si="367"/>
        <v>0</v>
      </c>
      <c r="AQ705" s="1196">
        <f t="shared" si="367"/>
        <v>0</v>
      </c>
      <c r="AR705" s="1196">
        <f t="shared" si="367"/>
        <v>0</v>
      </c>
      <c r="AS705" s="1196">
        <f t="shared" si="367"/>
        <v>0</v>
      </c>
      <c r="AT705" s="1196">
        <f t="shared" si="367"/>
        <v>0</v>
      </c>
      <c r="AU705" s="1196">
        <f t="shared" si="367"/>
        <v>0</v>
      </c>
    </row>
    <row r="706" spans="2:47" s="214" customFormat="1" ht="14.25" customHeight="1">
      <c r="B706" s="244"/>
      <c r="C706" s="353" t="s">
        <v>1077</v>
      </c>
      <c r="D706" s="242"/>
      <c r="E706" s="242"/>
      <c r="F706" s="242"/>
      <c r="G706" s="242"/>
      <c r="H706" s="242"/>
      <c r="I706" s="275"/>
      <c r="J706" s="246"/>
      <c r="K706" s="246"/>
      <c r="L706" s="246"/>
      <c r="M706" s="1196">
        <f t="shared" si="368"/>
        <v>0</v>
      </c>
      <c r="N706" s="1196">
        <f t="shared" si="368"/>
        <v>0</v>
      </c>
      <c r="O706" s="1196">
        <f t="shared" si="367"/>
        <v>0</v>
      </c>
      <c r="P706" s="1196">
        <f t="shared" si="367"/>
        <v>0</v>
      </c>
      <c r="Q706" s="1196">
        <f t="shared" si="367"/>
        <v>0</v>
      </c>
      <c r="R706" s="1196">
        <f t="shared" si="367"/>
        <v>3855418.9132325002</v>
      </c>
      <c r="S706" s="1196"/>
      <c r="T706" s="1196">
        <f>T666-T701</f>
        <v>2648580</v>
      </c>
      <c r="U706" s="1196">
        <f t="shared" si="349"/>
        <v>2648580</v>
      </c>
      <c r="V706" s="1196">
        <f t="shared" si="367"/>
        <v>3448550.9479650003</v>
      </c>
      <c r="W706" s="1196">
        <f t="shared" si="367"/>
        <v>2668366.6491975002</v>
      </c>
      <c r="X706" s="1196">
        <f t="shared" si="367"/>
        <v>1888182.3504300001</v>
      </c>
      <c r="Y706" s="1196">
        <f t="shared" si="367"/>
        <v>1107998.0516625</v>
      </c>
      <c r="Z706" s="1196">
        <f t="shared" si="367"/>
        <v>327813.75289500039</v>
      </c>
      <c r="AA706" s="1196">
        <f t="shared" si="367"/>
        <v>0</v>
      </c>
      <c r="AB706" s="1196">
        <f t="shared" si="367"/>
        <v>0</v>
      </c>
      <c r="AC706" s="1196">
        <f t="shared" si="367"/>
        <v>0</v>
      </c>
      <c r="AD706" s="1196">
        <f t="shared" si="367"/>
        <v>0</v>
      </c>
      <c r="AE706" s="1196">
        <f t="shared" si="367"/>
        <v>0</v>
      </c>
      <c r="AF706" s="1196">
        <f t="shared" si="367"/>
        <v>0</v>
      </c>
      <c r="AG706" s="1196">
        <f t="shared" si="367"/>
        <v>0</v>
      </c>
      <c r="AH706" s="1196">
        <f t="shared" si="367"/>
        <v>0</v>
      </c>
      <c r="AI706" s="1196">
        <f t="shared" si="367"/>
        <v>0</v>
      </c>
      <c r="AJ706" s="1196">
        <f t="shared" si="367"/>
        <v>0</v>
      </c>
      <c r="AK706" s="1196">
        <f t="shared" si="367"/>
        <v>0</v>
      </c>
      <c r="AL706" s="1196">
        <f t="shared" si="367"/>
        <v>0</v>
      </c>
      <c r="AM706" s="1196">
        <f t="shared" si="367"/>
        <v>0</v>
      </c>
      <c r="AN706" s="1196">
        <f t="shared" si="367"/>
        <v>0</v>
      </c>
      <c r="AO706" s="1196">
        <f t="shared" si="367"/>
        <v>0</v>
      </c>
      <c r="AP706" s="1196">
        <f t="shared" si="367"/>
        <v>0</v>
      </c>
      <c r="AQ706" s="1196">
        <f t="shared" si="367"/>
        <v>0</v>
      </c>
      <c r="AR706" s="1196">
        <f t="shared" si="367"/>
        <v>0</v>
      </c>
      <c r="AS706" s="1196">
        <f t="shared" si="367"/>
        <v>0</v>
      </c>
      <c r="AT706" s="1196">
        <f t="shared" si="367"/>
        <v>0</v>
      </c>
      <c r="AU706" s="1196">
        <f t="shared" si="367"/>
        <v>0</v>
      </c>
    </row>
    <row r="707" spans="2:47" s="214" customFormat="1" ht="14.25" customHeight="1">
      <c r="B707" s="244"/>
      <c r="C707" s="353" t="s">
        <v>1078</v>
      </c>
      <c r="D707" s="242"/>
      <c r="E707" s="242"/>
      <c r="F707" s="242"/>
      <c r="G707" s="242"/>
      <c r="H707" s="242"/>
      <c r="I707" s="275"/>
      <c r="J707" s="246"/>
      <c r="K707" s="246"/>
      <c r="L707" s="246"/>
      <c r="M707" s="1196">
        <f t="shared" si="368"/>
        <v>0</v>
      </c>
      <c r="N707" s="1196">
        <f t="shared" si="368"/>
        <v>0</v>
      </c>
      <c r="O707" s="1196">
        <f t="shared" si="367"/>
        <v>0</v>
      </c>
      <c r="P707" s="1196">
        <f t="shared" si="367"/>
        <v>0</v>
      </c>
      <c r="Q707" s="1196">
        <f t="shared" si="367"/>
        <v>0</v>
      </c>
      <c r="R707" s="1196">
        <f t="shared" si="367"/>
        <v>13084751.85</v>
      </c>
      <c r="S707" s="1196"/>
      <c r="T707" s="1196">
        <f>T667-T702</f>
        <v>7945740</v>
      </c>
      <c r="U707" s="1196">
        <f t="shared" si="349"/>
        <v>7945740</v>
      </c>
      <c r="V707" s="1196">
        <f t="shared" si="367"/>
        <v>14044721.85</v>
      </c>
      <c r="W707" s="1196">
        <f t="shared" si="367"/>
        <v>14044721.85</v>
      </c>
      <c r="X707" s="1196">
        <f t="shared" si="367"/>
        <v>14044721.85</v>
      </c>
      <c r="Y707" s="1196">
        <f t="shared" si="367"/>
        <v>14044721.85</v>
      </c>
      <c r="Z707" s="1196">
        <f t="shared" si="367"/>
        <v>14044721.85</v>
      </c>
      <c r="AA707" s="1196">
        <f t="shared" si="367"/>
        <v>14044721.85</v>
      </c>
      <c r="AB707" s="1196">
        <f t="shared" si="367"/>
        <v>14044721.85</v>
      </c>
      <c r="AC707" s="1196">
        <f t="shared" si="367"/>
        <v>14044721.85</v>
      </c>
      <c r="AD707" s="1196">
        <f t="shared" si="367"/>
        <v>14044721.85</v>
      </c>
      <c r="AE707" s="1196">
        <f t="shared" si="367"/>
        <v>14044721.85</v>
      </c>
      <c r="AF707" s="1196">
        <f t="shared" si="367"/>
        <v>14044721.85</v>
      </c>
      <c r="AG707" s="1196">
        <f t="shared" si="367"/>
        <v>14044721.85</v>
      </c>
      <c r="AH707" s="1196">
        <f t="shared" si="367"/>
        <v>14044721.85</v>
      </c>
      <c r="AI707" s="1196">
        <f t="shared" si="367"/>
        <v>14044721.85</v>
      </c>
      <c r="AJ707" s="1196">
        <f t="shared" si="367"/>
        <v>14044721.85</v>
      </c>
      <c r="AK707" s="1196">
        <f t="shared" si="367"/>
        <v>14044721.85</v>
      </c>
      <c r="AL707" s="1196">
        <f t="shared" si="367"/>
        <v>14044721.85</v>
      </c>
      <c r="AM707" s="1196">
        <f t="shared" si="367"/>
        <v>14044721.85</v>
      </c>
      <c r="AN707" s="1196">
        <f t="shared" si="367"/>
        <v>14044721.85</v>
      </c>
      <c r="AO707" s="1196">
        <f t="shared" si="367"/>
        <v>14044721.85</v>
      </c>
      <c r="AP707" s="1196">
        <f t="shared" si="367"/>
        <v>14044721.85</v>
      </c>
      <c r="AQ707" s="1196">
        <f t="shared" si="367"/>
        <v>14044721.85</v>
      </c>
      <c r="AR707" s="1196">
        <f t="shared" si="367"/>
        <v>14044721.85</v>
      </c>
      <c r="AS707" s="1196">
        <f t="shared" si="367"/>
        <v>14044721.85</v>
      </c>
      <c r="AT707" s="1196">
        <f t="shared" si="367"/>
        <v>14044721.85</v>
      </c>
      <c r="AU707" s="1196">
        <f t="shared" si="367"/>
        <v>14044721.85</v>
      </c>
    </row>
    <row r="708" spans="2:47" s="214" customFormat="1" ht="15.75" customHeight="1">
      <c r="B708" s="244"/>
      <c r="C708" s="242"/>
      <c r="D708" s="242"/>
      <c r="E708" s="242"/>
      <c r="F708" s="246"/>
      <c r="G708" s="221"/>
      <c r="H708" s="221"/>
      <c r="I708" s="277"/>
      <c r="J708" s="244"/>
      <c r="K708" s="246"/>
      <c r="L708" s="246"/>
      <c r="M708" s="215"/>
      <c r="U708" s="214">
        <f t="shared" si="349"/>
        <v>0</v>
      </c>
      <c r="AE708" s="873"/>
    </row>
    <row r="709" spans="2:47" s="1208" customFormat="1" ht="14.25" customHeight="1">
      <c r="B709" s="1245"/>
      <c r="C709" s="380" t="s">
        <v>1081</v>
      </c>
      <c r="D709" s="380"/>
      <c r="E709" s="380"/>
      <c r="F709" s="380"/>
      <c r="G709" s="380"/>
      <c r="H709" s="380"/>
      <c r="I709" s="1246"/>
      <c r="J709" s="258"/>
      <c r="K709" s="258"/>
      <c r="L709" s="258"/>
      <c r="M709" s="743"/>
      <c r="U709" s="1208">
        <f t="shared" si="349"/>
        <v>0</v>
      </c>
    </row>
    <row r="710" spans="2:47" s="214" customFormat="1" ht="14.25" customHeight="1">
      <c r="B710" s="244"/>
      <c r="C710" s="371" t="s">
        <v>1085</v>
      </c>
      <c r="D710" s="242"/>
      <c r="E710" s="242"/>
      <c r="F710" s="242"/>
      <c r="G710" s="242"/>
      <c r="H710" s="242"/>
      <c r="I710" s="275"/>
      <c r="J710" s="246"/>
      <c r="K710" s="246"/>
      <c r="L710" s="246"/>
      <c r="M710" s="215">
        <v>0</v>
      </c>
      <c r="N710" s="214">
        <f>M710+N713-N714</f>
        <v>0</v>
      </c>
      <c r="O710" s="214">
        <f>N710</f>
        <v>0</v>
      </c>
      <c r="P710" s="214">
        <f t="shared" ref="P710:AU710" si="369">O710+P713-P714</f>
        <v>0</v>
      </c>
      <c r="Q710" s="214">
        <f t="shared" si="369"/>
        <v>0</v>
      </c>
      <c r="R710" s="214">
        <f t="shared" si="369"/>
        <v>0</v>
      </c>
      <c r="T710" s="214">
        <f t="shared" si="369"/>
        <v>0</v>
      </c>
      <c r="U710" s="214">
        <f t="shared" si="349"/>
        <v>0</v>
      </c>
      <c r="V710" s="214">
        <f>R710+V713-V714</f>
        <v>0</v>
      </c>
      <c r="W710" s="214">
        <f t="shared" si="369"/>
        <v>0</v>
      </c>
      <c r="X710" s="873">
        <f t="shared" si="369"/>
        <v>2000000</v>
      </c>
      <c r="Y710" s="873">
        <f t="shared" si="369"/>
        <v>4000000</v>
      </c>
      <c r="Z710" s="873">
        <f t="shared" si="369"/>
        <v>6000000</v>
      </c>
      <c r="AA710" s="873">
        <f t="shared" si="369"/>
        <v>8000000</v>
      </c>
      <c r="AB710" s="873">
        <f t="shared" si="369"/>
        <v>10000000</v>
      </c>
      <c r="AC710" s="873">
        <f t="shared" si="369"/>
        <v>12000000</v>
      </c>
      <c r="AD710" s="873">
        <f t="shared" si="369"/>
        <v>14000000</v>
      </c>
      <c r="AE710" s="873">
        <f t="shared" si="369"/>
        <v>16000000</v>
      </c>
      <c r="AF710" s="873">
        <f t="shared" si="369"/>
        <v>18000000</v>
      </c>
      <c r="AG710" s="873">
        <f t="shared" si="369"/>
        <v>20000000</v>
      </c>
      <c r="AH710" s="873">
        <f t="shared" si="369"/>
        <v>22000000</v>
      </c>
      <c r="AI710" s="873">
        <f t="shared" si="369"/>
        <v>24000000</v>
      </c>
      <c r="AJ710" s="873">
        <f t="shared" si="369"/>
        <v>26000000</v>
      </c>
      <c r="AK710" s="873">
        <f t="shared" si="369"/>
        <v>28000000</v>
      </c>
      <c r="AL710" s="873">
        <f t="shared" si="369"/>
        <v>30000000</v>
      </c>
      <c r="AM710" s="873">
        <f t="shared" si="369"/>
        <v>32000000</v>
      </c>
      <c r="AN710" s="873">
        <f t="shared" si="369"/>
        <v>34000000</v>
      </c>
      <c r="AO710" s="873">
        <f t="shared" si="369"/>
        <v>36000000</v>
      </c>
      <c r="AP710" s="873">
        <f t="shared" si="369"/>
        <v>38000000</v>
      </c>
      <c r="AQ710" s="873">
        <f t="shared" si="369"/>
        <v>40000000</v>
      </c>
      <c r="AR710" s="873">
        <f t="shared" si="369"/>
        <v>42000000</v>
      </c>
      <c r="AS710" s="873">
        <f t="shared" si="369"/>
        <v>44000000</v>
      </c>
      <c r="AT710" s="873">
        <f t="shared" si="369"/>
        <v>46000000</v>
      </c>
      <c r="AU710" s="873">
        <f t="shared" si="369"/>
        <v>48000000</v>
      </c>
    </row>
    <row r="711" spans="2:47" s="214" customFormat="1" ht="14.25" customHeight="1">
      <c r="B711" s="244"/>
      <c r="C711" s="371" t="s">
        <v>1101</v>
      </c>
      <c r="D711" s="242"/>
      <c r="E711" s="242"/>
      <c r="F711" s="242"/>
      <c r="G711" s="242"/>
      <c r="H711" s="242"/>
      <c r="I711" s="275"/>
      <c r="J711" s="246"/>
      <c r="K711" s="246"/>
      <c r="L711" s="246"/>
      <c r="M711" s="215"/>
      <c r="U711" s="214">
        <f t="shared" si="349"/>
        <v>0</v>
      </c>
      <c r="X711" s="1196">
        <v>2000000</v>
      </c>
      <c r="Y711" s="1196">
        <v>2000000</v>
      </c>
      <c r="Z711" s="1196">
        <v>2000000</v>
      </c>
      <c r="AA711" s="1196">
        <v>2000000</v>
      </c>
      <c r="AB711" s="1196">
        <v>2000000</v>
      </c>
      <c r="AC711" s="1196">
        <v>2000000</v>
      </c>
      <c r="AD711" s="1196">
        <v>2000000</v>
      </c>
      <c r="AE711" s="1196">
        <v>2000000</v>
      </c>
      <c r="AF711" s="1196">
        <v>2000000</v>
      </c>
      <c r="AG711" s="1196">
        <v>2000000</v>
      </c>
      <c r="AH711" s="1196">
        <v>2000000</v>
      </c>
      <c r="AI711" s="1196">
        <v>2000000</v>
      </c>
      <c r="AJ711" s="1196">
        <v>2000000</v>
      </c>
      <c r="AK711" s="1196">
        <v>2000000</v>
      </c>
      <c r="AL711" s="1196">
        <v>2000000</v>
      </c>
      <c r="AM711" s="1196">
        <v>2000000</v>
      </c>
      <c r="AN711" s="1196">
        <v>2000000</v>
      </c>
      <c r="AO711" s="1196">
        <v>2000000</v>
      </c>
      <c r="AP711" s="1196">
        <v>2000000</v>
      </c>
      <c r="AQ711" s="1196">
        <v>2000000</v>
      </c>
      <c r="AR711" s="1196">
        <v>2000000</v>
      </c>
      <c r="AS711" s="1196">
        <v>2000000</v>
      </c>
      <c r="AT711" s="1196">
        <v>2000000</v>
      </c>
      <c r="AU711" s="1196">
        <v>2000000</v>
      </c>
    </row>
    <row r="712" spans="2:47" s="214" customFormat="1" ht="14.25" customHeight="1">
      <c r="B712" s="244"/>
      <c r="C712" s="371" t="s">
        <v>1093</v>
      </c>
      <c r="D712" s="242"/>
      <c r="E712" s="242"/>
      <c r="F712" s="242"/>
      <c r="G712" s="242"/>
      <c r="H712" s="242"/>
      <c r="I712" s="275"/>
      <c r="J712" s="246"/>
      <c r="K712" s="246"/>
      <c r="L712" s="246"/>
      <c r="M712" s="215">
        <v>0</v>
      </c>
      <c r="N712" s="214">
        <f>M712+N711-N713</f>
        <v>0</v>
      </c>
      <c r="O712" s="214">
        <f>N712</f>
        <v>0</v>
      </c>
      <c r="P712" s="214">
        <f t="shared" ref="P712:AU712" si="370">O712+P711-P713</f>
        <v>0</v>
      </c>
      <c r="Q712" s="214">
        <f t="shared" si="370"/>
        <v>0</v>
      </c>
      <c r="R712" s="214">
        <f t="shared" si="370"/>
        <v>0</v>
      </c>
      <c r="T712" s="214">
        <f t="shared" si="370"/>
        <v>0</v>
      </c>
      <c r="U712" s="214">
        <f t="shared" si="349"/>
        <v>0</v>
      </c>
      <c r="V712" s="214">
        <f>R712+V711-V713</f>
        <v>0</v>
      </c>
      <c r="W712" s="214">
        <f t="shared" si="370"/>
        <v>0</v>
      </c>
      <c r="X712" s="873">
        <v>0</v>
      </c>
      <c r="Y712" s="873">
        <f t="shared" si="370"/>
        <v>0</v>
      </c>
      <c r="Z712" s="873">
        <f t="shared" si="370"/>
        <v>0</v>
      </c>
      <c r="AA712" s="873">
        <f t="shared" si="370"/>
        <v>0</v>
      </c>
      <c r="AB712" s="873">
        <f t="shared" si="370"/>
        <v>0</v>
      </c>
      <c r="AC712" s="873">
        <f t="shared" si="370"/>
        <v>0</v>
      </c>
      <c r="AD712" s="873">
        <f t="shared" si="370"/>
        <v>0</v>
      </c>
      <c r="AE712" s="873">
        <f t="shared" si="370"/>
        <v>0</v>
      </c>
      <c r="AF712" s="873">
        <f t="shared" si="370"/>
        <v>0</v>
      </c>
      <c r="AG712" s="873">
        <f t="shared" si="370"/>
        <v>0</v>
      </c>
      <c r="AH712" s="873">
        <f t="shared" si="370"/>
        <v>0</v>
      </c>
      <c r="AI712" s="873">
        <f t="shared" si="370"/>
        <v>0</v>
      </c>
      <c r="AJ712" s="873">
        <f t="shared" si="370"/>
        <v>0</v>
      </c>
      <c r="AK712" s="873">
        <f t="shared" si="370"/>
        <v>0</v>
      </c>
      <c r="AL712" s="873">
        <f t="shared" si="370"/>
        <v>0</v>
      </c>
      <c r="AM712" s="873">
        <f t="shared" si="370"/>
        <v>0</v>
      </c>
      <c r="AN712" s="873">
        <f t="shared" si="370"/>
        <v>0</v>
      </c>
      <c r="AO712" s="873">
        <f t="shared" si="370"/>
        <v>0</v>
      </c>
      <c r="AP712" s="873">
        <f t="shared" si="370"/>
        <v>0</v>
      </c>
      <c r="AQ712" s="873">
        <f t="shared" si="370"/>
        <v>0</v>
      </c>
      <c r="AR712" s="873">
        <f t="shared" si="370"/>
        <v>0</v>
      </c>
      <c r="AS712" s="873">
        <f t="shared" si="370"/>
        <v>0</v>
      </c>
      <c r="AT712" s="873">
        <f t="shared" si="370"/>
        <v>0</v>
      </c>
      <c r="AU712" s="873">
        <f t="shared" si="370"/>
        <v>0</v>
      </c>
    </row>
    <row r="713" spans="2:47" s="214" customFormat="1" ht="14.25" customHeight="1">
      <c r="B713" s="244"/>
      <c r="C713" s="371" t="s">
        <v>1004</v>
      </c>
      <c r="D713" s="242"/>
      <c r="E713" s="242"/>
      <c r="F713" s="242"/>
      <c r="G713" s="242"/>
      <c r="H713" s="242"/>
      <c r="I713" s="275"/>
      <c r="J713" s="246"/>
      <c r="K713" s="246"/>
      <c r="L713" s="246"/>
      <c r="M713" s="215"/>
      <c r="U713" s="214">
        <f t="shared" si="349"/>
        <v>0</v>
      </c>
      <c r="X713" s="873">
        <f>X711</f>
        <v>2000000</v>
      </c>
      <c r="Y713" s="873">
        <f t="shared" ref="Y713:AU713" si="371">Y711</f>
        <v>2000000</v>
      </c>
      <c r="Z713" s="873">
        <f t="shared" si="371"/>
        <v>2000000</v>
      </c>
      <c r="AA713" s="873">
        <f t="shared" si="371"/>
        <v>2000000</v>
      </c>
      <c r="AB713" s="873">
        <f t="shared" si="371"/>
        <v>2000000</v>
      </c>
      <c r="AC713" s="873">
        <f t="shared" si="371"/>
        <v>2000000</v>
      </c>
      <c r="AD713" s="873">
        <f t="shared" si="371"/>
        <v>2000000</v>
      </c>
      <c r="AE713" s="873">
        <f t="shared" si="371"/>
        <v>2000000</v>
      </c>
      <c r="AF713" s="873">
        <f t="shared" si="371"/>
        <v>2000000</v>
      </c>
      <c r="AG713" s="873">
        <f t="shared" si="371"/>
        <v>2000000</v>
      </c>
      <c r="AH713" s="873">
        <f t="shared" si="371"/>
        <v>2000000</v>
      </c>
      <c r="AI713" s="873">
        <f t="shared" si="371"/>
        <v>2000000</v>
      </c>
      <c r="AJ713" s="873">
        <f t="shared" si="371"/>
        <v>2000000</v>
      </c>
      <c r="AK713" s="873">
        <f t="shared" si="371"/>
        <v>2000000</v>
      </c>
      <c r="AL713" s="873">
        <f t="shared" si="371"/>
        <v>2000000</v>
      </c>
      <c r="AM713" s="873">
        <f t="shared" si="371"/>
        <v>2000000</v>
      </c>
      <c r="AN713" s="873">
        <f t="shared" si="371"/>
        <v>2000000</v>
      </c>
      <c r="AO713" s="873">
        <f t="shared" si="371"/>
        <v>2000000</v>
      </c>
      <c r="AP713" s="873">
        <f t="shared" si="371"/>
        <v>2000000</v>
      </c>
      <c r="AQ713" s="873">
        <f t="shared" si="371"/>
        <v>2000000</v>
      </c>
      <c r="AR713" s="873">
        <f t="shared" si="371"/>
        <v>2000000</v>
      </c>
      <c r="AS713" s="873">
        <f t="shared" si="371"/>
        <v>2000000</v>
      </c>
      <c r="AT713" s="873">
        <f t="shared" si="371"/>
        <v>2000000</v>
      </c>
      <c r="AU713" s="873">
        <f t="shared" si="371"/>
        <v>2000000</v>
      </c>
    </row>
    <row r="714" spans="2:47" s="214" customFormat="1" ht="14.25" customHeight="1">
      <c r="B714" s="244"/>
      <c r="C714" s="371" t="s">
        <v>1102</v>
      </c>
      <c r="D714" s="242"/>
      <c r="E714" s="242"/>
      <c r="F714" s="242"/>
      <c r="G714" s="242"/>
      <c r="H714" s="242"/>
      <c r="I714" s="275"/>
      <c r="J714" s="246"/>
      <c r="K714" s="246"/>
      <c r="L714" s="246"/>
      <c r="M714" s="215"/>
      <c r="U714" s="214">
        <f t="shared" si="349"/>
        <v>0</v>
      </c>
      <c r="X714" s="873"/>
      <c r="Y714" s="873"/>
      <c r="Z714" s="873"/>
      <c r="AA714" s="873"/>
      <c r="AB714" s="873"/>
      <c r="AC714" s="873"/>
      <c r="AD714" s="873"/>
      <c r="AE714" s="873"/>
      <c r="AF714" s="873"/>
      <c r="AG714" s="873"/>
      <c r="AH714" s="873"/>
      <c r="AI714" s="873"/>
      <c r="AJ714" s="873"/>
      <c r="AK714" s="873"/>
      <c r="AL714" s="873"/>
      <c r="AM714" s="873"/>
      <c r="AN714" s="873"/>
      <c r="AO714" s="873"/>
      <c r="AP714" s="873"/>
      <c r="AQ714" s="873"/>
      <c r="AR714" s="873"/>
      <c r="AS714" s="873"/>
      <c r="AT714" s="873"/>
      <c r="AU714" s="873"/>
    </row>
    <row r="715" spans="2:47" s="214" customFormat="1" ht="14.25" customHeight="1">
      <c r="B715" s="244"/>
      <c r="C715" s="371" t="s">
        <v>186</v>
      </c>
      <c r="D715" s="242"/>
      <c r="E715" s="242"/>
      <c r="F715" s="242"/>
      <c r="G715" s="242"/>
      <c r="H715" s="242"/>
      <c r="I715" s="275"/>
      <c r="J715" s="246"/>
      <c r="K715" s="246"/>
      <c r="L715" s="246"/>
      <c r="M715" s="215">
        <v>0</v>
      </c>
      <c r="N715" s="214">
        <f>MIN(M718,1/N639*M710)</f>
        <v>0</v>
      </c>
      <c r="O715" s="214">
        <f>SUM(M715:N715)</f>
        <v>0</v>
      </c>
      <c r="P715" s="214">
        <f t="shared" ref="P715:AU715" si="372">MIN(O718,1/P639*O710)</f>
        <v>0</v>
      </c>
      <c r="Q715" s="214">
        <f t="shared" si="372"/>
        <v>0</v>
      </c>
      <c r="R715" s="214">
        <f t="shared" si="372"/>
        <v>0</v>
      </c>
      <c r="T715" s="214" t="e">
        <f t="shared" si="372"/>
        <v>#DIV/0!</v>
      </c>
      <c r="U715" s="214" t="e">
        <f t="shared" si="349"/>
        <v>#DIV/0!</v>
      </c>
      <c r="V715" s="214">
        <f>MIN(R718,1/V639*R710)</f>
        <v>0</v>
      </c>
      <c r="W715" s="214">
        <f t="shared" si="372"/>
        <v>0</v>
      </c>
      <c r="X715" s="873">
        <f t="shared" si="372"/>
        <v>0</v>
      </c>
      <c r="Y715" s="873">
        <f t="shared" si="372"/>
        <v>200000</v>
      </c>
      <c r="Z715" s="873">
        <f t="shared" si="372"/>
        <v>400000</v>
      </c>
      <c r="AA715" s="873">
        <f t="shared" si="372"/>
        <v>600000</v>
      </c>
      <c r="AB715" s="873">
        <f t="shared" si="372"/>
        <v>800000</v>
      </c>
      <c r="AC715" s="873">
        <f t="shared" si="372"/>
        <v>1000000</v>
      </c>
      <c r="AD715" s="873">
        <f t="shared" si="372"/>
        <v>1200000</v>
      </c>
      <c r="AE715" s="873">
        <f t="shared" si="372"/>
        <v>1400000</v>
      </c>
      <c r="AF715" s="873">
        <f t="shared" si="372"/>
        <v>1600000</v>
      </c>
      <c r="AG715" s="873">
        <f t="shared" si="372"/>
        <v>1800000</v>
      </c>
      <c r="AH715" s="873">
        <f t="shared" si="372"/>
        <v>2000000</v>
      </c>
      <c r="AI715" s="873">
        <f t="shared" si="372"/>
        <v>2200000</v>
      </c>
      <c r="AJ715" s="873">
        <f t="shared" si="372"/>
        <v>2400000</v>
      </c>
      <c r="AK715" s="873">
        <f t="shared" si="372"/>
        <v>2600000</v>
      </c>
      <c r="AL715" s="873">
        <f t="shared" si="372"/>
        <v>2800000</v>
      </c>
      <c r="AM715" s="873">
        <f t="shared" si="372"/>
        <v>3000000</v>
      </c>
      <c r="AN715" s="873">
        <f t="shared" si="372"/>
        <v>3200000</v>
      </c>
      <c r="AO715" s="873">
        <f t="shared" si="372"/>
        <v>3400000</v>
      </c>
      <c r="AP715" s="873">
        <f t="shared" si="372"/>
        <v>3600000</v>
      </c>
      <c r="AQ715" s="873">
        <f t="shared" si="372"/>
        <v>3800000</v>
      </c>
      <c r="AR715" s="873">
        <f t="shared" si="372"/>
        <v>2000000</v>
      </c>
      <c r="AS715" s="873">
        <f t="shared" si="372"/>
        <v>2000000</v>
      </c>
      <c r="AT715" s="873">
        <f t="shared" si="372"/>
        <v>2000000</v>
      </c>
      <c r="AU715" s="873">
        <f t="shared" si="372"/>
        <v>2000000</v>
      </c>
    </row>
    <row r="716" spans="2:47" s="214" customFormat="1" ht="14.25" customHeight="1">
      <c r="B716" s="244"/>
      <c r="C716" s="371" t="s">
        <v>1103</v>
      </c>
      <c r="D716" s="242"/>
      <c r="E716" s="242"/>
      <c r="F716" s="242"/>
      <c r="G716" s="242"/>
      <c r="H716" s="242"/>
      <c r="I716" s="275"/>
      <c r="J716" s="246"/>
      <c r="K716" s="246"/>
      <c r="L716" s="246"/>
      <c r="M716" s="215"/>
      <c r="U716" s="214">
        <f t="shared" ref="U716:U779" si="373">T716</f>
        <v>0</v>
      </c>
      <c r="X716" s="873"/>
      <c r="Y716" s="873"/>
      <c r="Z716" s="873"/>
      <c r="AA716" s="873"/>
      <c r="AB716" s="873"/>
      <c r="AC716" s="873"/>
      <c r="AD716" s="873"/>
      <c r="AE716" s="873"/>
      <c r="AF716" s="873"/>
      <c r="AG716" s="873"/>
      <c r="AH716" s="873"/>
      <c r="AI716" s="873"/>
      <c r="AJ716" s="873"/>
      <c r="AK716" s="873"/>
      <c r="AL716" s="873"/>
      <c r="AM716" s="873"/>
      <c r="AN716" s="873"/>
      <c r="AO716" s="873"/>
      <c r="AP716" s="873"/>
      <c r="AQ716" s="873"/>
      <c r="AR716" s="873"/>
      <c r="AS716" s="873"/>
      <c r="AT716" s="873"/>
      <c r="AU716" s="873"/>
    </row>
    <row r="717" spans="2:47" s="214" customFormat="1" ht="14.25" customHeight="1">
      <c r="B717" s="244"/>
      <c r="C717" s="371" t="s">
        <v>1104</v>
      </c>
      <c r="D717" s="242"/>
      <c r="E717" s="242"/>
      <c r="F717" s="242"/>
      <c r="G717" s="242"/>
      <c r="H717" s="242"/>
      <c r="I717" s="275"/>
      <c r="J717" s="246"/>
      <c r="K717" s="246"/>
      <c r="L717" s="246"/>
      <c r="M717" s="215">
        <v>0</v>
      </c>
      <c r="N717" s="214">
        <f>M717+N715-N716</f>
        <v>0</v>
      </c>
      <c r="O717" s="214">
        <f>N717</f>
        <v>0</v>
      </c>
      <c r="P717" s="214">
        <f t="shared" ref="P717:AU717" si="374">O717+P715-P716</f>
        <v>0</v>
      </c>
      <c r="Q717" s="214">
        <f t="shared" si="374"/>
        <v>0</v>
      </c>
      <c r="R717" s="214">
        <f t="shared" si="374"/>
        <v>0</v>
      </c>
      <c r="T717" s="214" t="e">
        <f t="shared" si="374"/>
        <v>#DIV/0!</v>
      </c>
      <c r="U717" s="214" t="e">
        <f t="shared" si="373"/>
        <v>#DIV/0!</v>
      </c>
      <c r="V717" s="214">
        <f>R717+V715-V716</f>
        <v>0</v>
      </c>
      <c r="W717" s="214">
        <f t="shared" si="374"/>
        <v>0</v>
      </c>
      <c r="X717" s="873">
        <f t="shared" si="374"/>
        <v>0</v>
      </c>
      <c r="Y717" s="873">
        <f t="shared" si="374"/>
        <v>200000</v>
      </c>
      <c r="Z717" s="873">
        <f t="shared" si="374"/>
        <v>600000</v>
      </c>
      <c r="AA717" s="873">
        <f t="shared" si="374"/>
        <v>1200000</v>
      </c>
      <c r="AB717" s="873">
        <f t="shared" si="374"/>
        <v>2000000</v>
      </c>
      <c r="AC717" s="873">
        <f t="shared" si="374"/>
        <v>3000000</v>
      </c>
      <c r="AD717" s="873">
        <f t="shared" si="374"/>
        <v>4200000</v>
      </c>
      <c r="AE717" s="873">
        <f t="shared" si="374"/>
        <v>5600000</v>
      </c>
      <c r="AF717" s="873">
        <f t="shared" si="374"/>
        <v>7200000</v>
      </c>
      <c r="AG717" s="873">
        <f t="shared" si="374"/>
        <v>9000000</v>
      </c>
      <c r="AH717" s="873">
        <f t="shared" si="374"/>
        <v>11000000</v>
      </c>
      <c r="AI717" s="873">
        <f t="shared" si="374"/>
        <v>13200000</v>
      </c>
      <c r="AJ717" s="873">
        <f t="shared" si="374"/>
        <v>15600000</v>
      </c>
      <c r="AK717" s="873">
        <f t="shared" si="374"/>
        <v>18200000</v>
      </c>
      <c r="AL717" s="873">
        <f t="shared" si="374"/>
        <v>21000000</v>
      </c>
      <c r="AM717" s="873">
        <f t="shared" si="374"/>
        <v>24000000</v>
      </c>
      <c r="AN717" s="873">
        <f t="shared" si="374"/>
        <v>27200000</v>
      </c>
      <c r="AO717" s="873">
        <f t="shared" si="374"/>
        <v>30600000</v>
      </c>
      <c r="AP717" s="873">
        <f t="shared" si="374"/>
        <v>34200000</v>
      </c>
      <c r="AQ717" s="873">
        <f t="shared" si="374"/>
        <v>38000000</v>
      </c>
      <c r="AR717" s="873">
        <f t="shared" si="374"/>
        <v>40000000</v>
      </c>
      <c r="AS717" s="873">
        <f t="shared" si="374"/>
        <v>42000000</v>
      </c>
      <c r="AT717" s="873">
        <f t="shared" si="374"/>
        <v>44000000</v>
      </c>
      <c r="AU717" s="873">
        <f t="shared" si="374"/>
        <v>46000000</v>
      </c>
    </row>
    <row r="718" spans="2:47" s="214" customFormat="1" ht="14.25" customHeight="1">
      <c r="B718" s="244"/>
      <c r="C718" s="371" t="s">
        <v>1005</v>
      </c>
      <c r="D718" s="242"/>
      <c r="E718" s="242"/>
      <c r="F718" s="242"/>
      <c r="G718" s="242"/>
      <c r="H718" s="242"/>
      <c r="I718" s="275"/>
      <c r="J718" s="246"/>
      <c r="K718" s="246"/>
      <c r="L718" s="246"/>
      <c r="M718" s="215">
        <f>M710-M717</f>
        <v>0</v>
      </c>
      <c r="N718" s="214">
        <f>N710-N717</f>
        <v>0</v>
      </c>
      <c r="O718" s="214">
        <f t="shared" ref="O718:AU718" si="375">O710-O717</f>
        <v>0</v>
      </c>
      <c r="P718" s="214">
        <f t="shared" si="375"/>
        <v>0</v>
      </c>
      <c r="Q718" s="214">
        <f t="shared" si="375"/>
        <v>0</v>
      </c>
      <c r="R718" s="214">
        <f t="shared" si="375"/>
        <v>0</v>
      </c>
      <c r="T718" s="214" t="e">
        <f>T710-T717</f>
        <v>#DIV/0!</v>
      </c>
      <c r="U718" s="214" t="e">
        <f t="shared" si="373"/>
        <v>#DIV/0!</v>
      </c>
      <c r="V718" s="214">
        <f t="shared" si="375"/>
        <v>0</v>
      </c>
      <c r="W718" s="214">
        <f t="shared" si="375"/>
        <v>0</v>
      </c>
      <c r="X718" s="873">
        <f t="shared" si="375"/>
        <v>2000000</v>
      </c>
      <c r="Y718" s="873">
        <f t="shared" si="375"/>
        <v>3800000</v>
      </c>
      <c r="Z718" s="873">
        <f t="shared" si="375"/>
        <v>5400000</v>
      </c>
      <c r="AA718" s="873">
        <f t="shared" si="375"/>
        <v>6800000</v>
      </c>
      <c r="AB718" s="873">
        <f t="shared" si="375"/>
        <v>8000000</v>
      </c>
      <c r="AC718" s="873">
        <f t="shared" si="375"/>
        <v>9000000</v>
      </c>
      <c r="AD718" s="873">
        <f t="shared" si="375"/>
        <v>9800000</v>
      </c>
      <c r="AE718" s="873">
        <f t="shared" si="375"/>
        <v>10400000</v>
      </c>
      <c r="AF718" s="873">
        <f t="shared" si="375"/>
        <v>10800000</v>
      </c>
      <c r="AG718" s="873">
        <f t="shared" si="375"/>
        <v>11000000</v>
      </c>
      <c r="AH718" s="873">
        <f t="shared" si="375"/>
        <v>11000000</v>
      </c>
      <c r="AI718" s="873">
        <f t="shared" si="375"/>
        <v>10800000</v>
      </c>
      <c r="AJ718" s="873">
        <f t="shared" si="375"/>
        <v>10400000</v>
      </c>
      <c r="AK718" s="873">
        <f t="shared" si="375"/>
        <v>9800000</v>
      </c>
      <c r="AL718" s="873">
        <f t="shared" si="375"/>
        <v>9000000</v>
      </c>
      <c r="AM718" s="873">
        <f t="shared" si="375"/>
        <v>8000000</v>
      </c>
      <c r="AN718" s="873">
        <f t="shared" si="375"/>
        <v>6800000</v>
      </c>
      <c r="AO718" s="873">
        <f t="shared" si="375"/>
        <v>5400000</v>
      </c>
      <c r="AP718" s="873">
        <f t="shared" si="375"/>
        <v>3800000</v>
      </c>
      <c r="AQ718" s="873">
        <f t="shared" si="375"/>
        <v>2000000</v>
      </c>
      <c r="AR718" s="873">
        <f t="shared" si="375"/>
        <v>2000000</v>
      </c>
      <c r="AS718" s="873">
        <f t="shared" si="375"/>
        <v>2000000</v>
      </c>
      <c r="AT718" s="873">
        <f t="shared" si="375"/>
        <v>2000000</v>
      </c>
      <c r="AU718" s="873">
        <f t="shared" si="375"/>
        <v>2000000</v>
      </c>
    </row>
    <row r="719" spans="2:47" s="214" customFormat="1" ht="14.25" customHeight="1">
      <c r="B719" s="244"/>
      <c r="C719" s="371"/>
      <c r="D719" s="242"/>
      <c r="E719" s="242"/>
      <c r="F719" s="242"/>
      <c r="G719" s="242"/>
      <c r="H719" s="242"/>
      <c r="I719" s="275"/>
      <c r="J719" s="246"/>
      <c r="K719" s="246"/>
      <c r="L719" s="246"/>
      <c r="M719" s="215"/>
      <c r="N719" s="215"/>
      <c r="O719" s="215"/>
      <c r="P719" s="215"/>
      <c r="Q719" s="215"/>
      <c r="R719" s="215"/>
      <c r="S719" s="215"/>
      <c r="T719" s="215"/>
      <c r="U719" s="215">
        <f t="shared" si="373"/>
        <v>0</v>
      </c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215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</row>
    <row r="720" spans="2:47" s="214" customFormat="1" ht="14.25" customHeight="1">
      <c r="B720" s="244"/>
      <c r="C720" s="380" t="s">
        <v>1083</v>
      </c>
      <c r="D720" s="242"/>
      <c r="E720" s="242"/>
      <c r="F720" s="242"/>
      <c r="G720" s="242"/>
      <c r="H720" s="242"/>
      <c r="I720" s="275"/>
      <c r="J720" s="246"/>
      <c r="K720" s="246"/>
      <c r="L720" s="246"/>
      <c r="M720" s="215"/>
      <c r="N720" s="215"/>
      <c r="O720" s="215"/>
      <c r="P720" s="215"/>
      <c r="Q720" s="215"/>
      <c r="R720" s="215"/>
      <c r="S720" s="215"/>
      <c r="T720" s="215"/>
      <c r="U720" s="215">
        <f t="shared" si="373"/>
        <v>0</v>
      </c>
      <c r="V720" s="215"/>
      <c r="W720" s="215"/>
      <c r="X720" s="215"/>
      <c r="Y720" s="215"/>
      <c r="Z720" s="215"/>
      <c r="AA720" s="215"/>
      <c r="AB720" s="215"/>
      <c r="AC720" s="215"/>
      <c r="AD720" s="215"/>
      <c r="AE720" s="215"/>
      <c r="AF720" s="215"/>
      <c r="AG720" s="215"/>
      <c r="AH720" s="215"/>
      <c r="AI720" s="215"/>
      <c r="AJ720" s="215"/>
      <c r="AK720" s="215"/>
      <c r="AL720" s="215"/>
      <c r="AM720" s="215"/>
      <c r="AN720" s="215"/>
      <c r="AO720" s="215"/>
      <c r="AP720" s="215"/>
      <c r="AQ720" s="215"/>
      <c r="AR720" s="215"/>
      <c r="AS720" s="215"/>
      <c r="AT720" s="215"/>
      <c r="AU720" s="215"/>
    </row>
    <row r="721" spans="2:47" s="1208" customFormat="1" ht="14.25" customHeight="1">
      <c r="B721" s="1245"/>
      <c r="C721" s="1247" t="s">
        <v>1085</v>
      </c>
      <c r="D721" s="380"/>
      <c r="E721" s="380"/>
      <c r="F721" s="380"/>
      <c r="G721" s="380"/>
      <c r="H721" s="380"/>
      <c r="I721" s="1246"/>
      <c r="J721" s="258"/>
      <c r="K721" s="258"/>
      <c r="L721" s="258"/>
      <c r="M721" s="1248">
        <f>SUM(M722:M727)</f>
        <v>77937183.590000018</v>
      </c>
      <c r="N721" s="1248">
        <f t="shared" ref="N721:AU721" si="376">SUM(N722:N727)</f>
        <v>77937183.590000018</v>
      </c>
      <c r="O721" s="1248">
        <f t="shared" si="376"/>
        <v>77937183.590000018</v>
      </c>
      <c r="P721" s="1248">
        <f t="shared" si="376"/>
        <v>77937183.590000018</v>
      </c>
      <c r="Q721" s="1248">
        <f t="shared" si="376"/>
        <v>77937183.590000018</v>
      </c>
      <c r="R721" s="1248">
        <f t="shared" si="376"/>
        <v>77937183.590000018</v>
      </c>
      <c r="S721" s="1248"/>
      <c r="T721" s="1248">
        <f>SUM(T722:T727)</f>
        <v>0</v>
      </c>
      <c r="U721" s="1248">
        <f t="shared" si="373"/>
        <v>0</v>
      </c>
      <c r="V721" s="1248">
        <f t="shared" si="376"/>
        <v>77937183.590000018</v>
      </c>
      <c r="W721" s="1248">
        <f t="shared" si="376"/>
        <v>77937183.590000018</v>
      </c>
      <c r="X721" s="1248">
        <f t="shared" si="376"/>
        <v>77937183.590000018</v>
      </c>
      <c r="Y721" s="1248">
        <f t="shared" si="376"/>
        <v>77937183.590000018</v>
      </c>
      <c r="Z721" s="1248">
        <f t="shared" si="376"/>
        <v>77937183.590000018</v>
      </c>
      <c r="AA721" s="1248">
        <f t="shared" si="376"/>
        <v>77937183.590000018</v>
      </c>
      <c r="AB721" s="1248">
        <f t="shared" si="376"/>
        <v>77937183.590000018</v>
      </c>
      <c r="AC721" s="1248">
        <f t="shared" si="376"/>
        <v>77937183.590000018</v>
      </c>
      <c r="AD721" s="1248">
        <f t="shared" si="376"/>
        <v>77937183.590000018</v>
      </c>
      <c r="AE721" s="1248">
        <f t="shared" si="376"/>
        <v>77937183.590000018</v>
      </c>
      <c r="AF721" s="1248">
        <f t="shared" si="376"/>
        <v>77937183.590000018</v>
      </c>
      <c r="AG721" s="1248">
        <f t="shared" si="376"/>
        <v>77937183.590000018</v>
      </c>
      <c r="AH721" s="1248">
        <f t="shared" si="376"/>
        <v>77937183.590000018</v>
      </c>
      <c r="AI721" s="1248">
        <f t="shared" si="376"/>
        <v>77937183.590000018</v>
      </c>
      <c r="AJ721" s="1248">
        <f t="shared" si="376"/>
        <v>77937183.590000018</v>
      </c>
      <c r="AK721" s="1248">
        <f t="shared" si="376"/>
        <v>77937183.590000018</v>
      </c>
      <c r="AL721" s="1248">
        <f t="shared" si="376"/>
        <v>77937183.590000018</v>
      </c>
      <c r="AM721" s="1248">
        <f t="shared" si="376"/>
        <v>77937183.590000018</v>
      </c>
      <c r="AN721" s="1248">
        <f t="shared" si="376"/>
        <v>77937183.590000018</v>
      </c>
      <c r="AO721" s="1248">
        <f t="shared" si="376"/>
        <v>77937183.590000018</v>
      </c>
      <c r="AP721" s="1248">
        <f t="shared" si="376"/>
        <v>77937183.590000018</v>
      </c>
      <c r="AQ721" s="1248">
        <f t="shared" si="376"/>
        <v>77937183.590000018</v>
      </c>
      <c r="AR721" s="1248">
        <f t="shared" si="376"/>
        <v>77937183.590000018</v>
      </c>
      <c r="AS721" s="1248">
        <f t="shared" si="376"/>
        <v>77937183.590000018</v>
      </c>
      <c r="AT721" s="1248">
        <f t="shared" si="376"/>
        <v>77937183.590000018</v>
      </c>
      <c r="AU721" s="1248">
        <f t="shared" si="376"/>
        <v>77937183.590000018</v>
      </c>
    </row>
    <row r="722" spans="2:47" s="214" customFormat="1" ht="14.25" customHeight="1">
      <c r="B722" s="244"/>
      <c r="C722" s="353" t="s">
        <v>1087</v>
      </c>
      <c r="D722" s="242"/>
      <c r="E722" s="242"/>
      <c r="F722" s="242"/>
      <c r="G722" s="242"/>
      <c r="H722" s="242"/>
      <c r="I722" s="275"/>
      <c r="J722" s="246"/>
      <c r="K722" s="246"/>
      <c r="L722" s="246"/>
      <c r="M722" s="1196">
        <f>M$656*N642</f>
        <v>2235373.0064921132</v>
      </c>
      <c r="N722" s="1196">
        <f t="shared" ref="N722:N727" si="377">M722+N743-N750</f>
        <v>2235373.0064921132</v>
      </c>
      <c r="O722" s="1196">
        <f t="shared" ref="O722:O727" si="378">N722</f>
        <v>2235373.0064921132</v>
      </c>
      <c r="P722" s="1196">
        <f t="shared" ref="P722:AU727" si="379">O722+P743-P750</f>
        <v>2235373.0064921132</v>
      </c>
      <c r="Q722" s="1196">
        <f t="shared" si="379"/>
        <v>2235373.0064921132</v>
      </c>
      <c r="R722" s="1196">
        <f t="shared" si="379"/>
        <v>2235373.0064921132</v>
      </c>
      <c r="S722" s="1196"/>
      <c r="T722" s="1196">
        <f t="shared" si="379"/>
        <v>0</v>
      </c>
      <c r="U722" s="1196">
        <f t="shared" si="373"/>
        <v>0</v>
      </c>
      <c r="V722" s="1196">
        <f t="shared" ref="V722:V727" si="380">R722+V743-V750</f>
        <v>2235373.0064921132</v>
      </c>
      <c r="W722" s="1196">
        <f t="shared" si="379"/>
        <v>2235373.0064921132</v>
      </c>
      <c r="X722" s="1196">
        <f t="shared" si="379"/>
        <v>2235373.0064921132</v>
      </c>
      <c r="Y722" s="1196">
        <f t="shared" si="379"/>
        <v>2235373.0064921132</v>
      </c>
      <c r="Z722" s="1196">
        <f t="shared" si="379"/>
        <v>2235373.0064921132</v>
      </c>
      <c r="AA722" s="1196">
        <f t="shared" si="379"/>
        <v>2235373.0064921132</v>
      </c>
      <c r="AB722" s="1196">
        <f t="shared" si="379"/>
        <v>2235373.0064921132</v>
      </c>
      <c r="AC722" s="1196">
        <f t="shared" si="379"/>
        <v>2235373.0064921132</v>
      </c>
      <c r="AD722" s="1196">
        <f t="shared" si="379"/>
        <v>2235373.0064921132</v>
      </c>
      <c r="AE722" s="1196">
        <f t="shared" si="379"/>
        <v>2235373.0064921132</v>
      </c>
      <c r="AF722" s="1196">
        <f t="shared" si="379"/>
        <v>2235373.0064921132</v>
      </c>
      <c r="AG722" s="1196">
        <f t="shared" si="379"/>
        <v>2235373.0064921132</v>
      </c>
      <c r="AH722" s="1196">
        <f t="shared" si="379"/>
        <v>2235373.0064921132</v>
      </c>
      <c r="AI722" s="1196">
        <f t="shared" si="379"/>
        <v>2235373.0064921132</v>
      </c>
      <c r="AJ722" s="1196">
        <f t="shared" si="379"/>
        <v>2235373.0064921132</v>
      </c>
      <c r="AK722" s="1196">
        <f t="shared" si="379"/>
        <v>2235373.0064921132</v>
      </c>
      <c r="AL722" s="1196">
        <f t="shared" si="379"/>
        <v>2235373.0064921132</v>
      </c>
      <c r="AM722" s="1196">
        <f t="shared" si="379"/>
        <v>2235373.0064921132</v>
      </c>
      <c r="AN722" s="1196">
        <f t="shared" si="379"/>
        <v>2235373.0064921132</v>
      </c>
      <c r="AO722" s="1196">
        <f t="shared" si="379"/>
        <v>2235373.0064921132</v>
      </c>
      <c r="AP722" s="1196">
        <f t="shared" si="379"/>
        <v>2235373.0064921132</v>
      </c>
      <c r="AQ722" s="1196">
        <f t="shared" si="379"/>
        <v>2235373.0064921132</v>
      </c>
      <c r="AR722" s="1196">
        <f t="shared" si="379"/>
        <v>2235373.0064921132</v>
      </c>
      <c r="AS722" s="1196">
        <f t="shared" si="379"/>
        <v>2235373.0064921132</v>
      </c>
      <c r="AT722" s="1196">
        <f t="shared" si="379"/>
        <v>2235373.0064921132</v>
      </c>
      <c r="AU722" s="1196">
        <f t="shared" si="379"/>
        <v>2235373.0064921132</v>
      </c>
    </row>
    <row r="723" spans="2:47" s="214" customFormat="1" ht="14.25" customHeight="1">
      <c r="B723" s="244"/>
      <c r="C723" s="353" t="s">
        <v>1089</v>
      </c>
      <c r="D723" s="242"/>
      <c r="E723" s="242"/>
      <c r="F723" s="242"/>
      <c r="G723" s="242"/>
      <c r="H723" s="242"/>
      <c r="I723" s="275"/>
      <c r="J723" s="246"/>
      <c r="K723" s="246"/>
      <c r="L723" s="246"/>
      <c r="M723" s="1196">
        <f>M$656*N644</f>
        <v>33980264.827806927</v>
      </c>
      <c r="N723" s="1196">
        <f t="shared" si="377"/>
        <v>33980264.827806927</v>
      </c>
      <c r="O723" s="1196">
        <f t="shared" si="378"/>
        <v>33980264.827806927</v>
      </c>
      <c r="P723" s="1196">
        <f t="shared" si="379"/>
        <v>33980264.827806927</v>
      </c>
      <c r="Q723" s="1196">
        <f t="shared" si="379"/>
        <v>33980264.827806927</v>
      </c>
      <c r="R723" s="1196">
        <f t="shared" si="379"/>
        <v>33980264.827806927</v>
      </c>
      <c r="S723" s="1196"/>
      <c r="T723" s="1196">
        <f t="shared" si="379"/>
        <v>0</v>
      </c>
      <c r="U723" s="1196">
        <f t="shared" si="373"/>
        <v>0</v>
      </c>
      <c r="V723" s="1196">
        <f t="shared" si="380"/>
        <v>33980264.827806927</v>
      </c>
      <c r="W723" s="1196">
        <f t="shared" si="379"/>
        <v>33980264.827806927</v>
      </c>
      <c r="X723" s="1196">
        <f t="shared" si="379"/>
        <v>33980264.827806927</v>
      </c>
      <c r="Y723" s="1196">
        <f t="shared" si="379"/>
        <v>33980264.827806927</v>
      </c>
      <c r="Z723" s="1196">
        <f t="shared" si="379"/>
        <v>33980264.827806927</v>
      </c>
      <c r="AA723" s="1196">
        <f t="shared" si="379"/>
        <v>33980264.827806927</v>
      </c>
      <c r="AB723" s="1196">
        <f t="shared" si="379"/>
        <v>33980264.827806927</v>
      </c>
      <c r="AC723" s="1196">
        <f t="shared" si="379"/>
        <v>33980264.827806927</v>
      </c>
      <c r="AD723" s="1196">
        <f t="shared" si="379"/>
        <v>33980264.827806927</v>
      </c>
      <c r="AE723" s="1196">
        <f t="shared" si="379"/>
        <v>33980264.827806927</v>
      </c>
      <c r="AF723" s="1196">
        <f t="shared" si="379"/>
        <v>33980264.827806927</v>
      </c>
      <c r="AG723" s="1196">
        <f t="shared" si="379"/>
        <v>33980264.827806927</v>
      </c>
      <c r="AH723" s="1196">
        <f t="shared" si="379"/>
        <v>33980264.827806927</v>
      </c>
      <c r="AI723" s="1196">
        <f t="shared" si="379"/>
        <v>33980264.827806927</v>
      </c>
      <c r="AJ723" s="1196">
        <f t="shared" si="379"/>
        <v>33980264.827806927</v>
      </c>
      <c r="AK723" s="1196">
        <f t="shared" si="379"/>
        <v>33980264.827806927</v>
      </c>
      <c r="AL723" s="1196">
        <f t="shared" si="379"/>
        <v>33980264.827806927</v>
      </c>
      <c r="AM723" s="1196">
        <f t="shared" si="379"/>
        <v>33980264.827806927</v>
      </c>
      <c r="AN723" s="1196">
        <f t="shared" si="379"/>
        <v>33980264.827806927</v>
      </c>
      <c r="AO723" s="1196">
        <f t="shared" si="379"/>
        <v>33980264.827806927</v>
      </c>
      <c r="AP723" s="1196">
        <f t="shared" si="379"/>
        <v>33980264.827806927</v>
      </c>
      <c r="AQ723" s="1196">
        <f t="shared" si="379"/>
        <v>33980264.827806927</v>
      </c>
      <c r="AR723" s="1196">
        <f t="shared" si="379"/>
        <v>33980264.827806927</v>
      </c>
      <c r="AS723" s="1196">
        <f t="shared" si="379"/>
        <v>33980264.827806927</v>
      </c>
      <c r="AT723" s="1196">
        <f t="shared" si="379"/>
        <v>33980264.827806927</v>
      </c>
      <c r="AU723" s="1196">
        <f t="shared" si="379"/>
        <v>33980264.827806927</v>
      </c>
    </row>
    <row r="724" spans="2:47" s="214" customFormat="1" ht="14.25" customHeight="1">
      <c r="B724" s="244"/>
      <c r="C724" s="353" t="s">
        <v>1090</v>
      </c>
      <c r="D724" s="242"/>
      <c r="E724" s="242"/>
      <c r="F724" s="242"/>
      <c r="G724" s="242"/>
      <c r="H724" s="242"/>
      <c r="I724" s="275"/>
      <c r="J724" s="246"/>
      <c r="K724" s="246"/>
      <c r="L724" s="246"/>
      <c r="M724" s="1196">
        <f>M$656*N645</f>
        <v>35347939.655203104</v>
      </c>
      <c r="N724" s="1196">
        <f t="shared" si="377"/>
        <v>35347939.655203104</v>
      </c>
      <c r="O724" s="1196">
        <f t="shared" si="378"/>
        <v>35347939.655203104</v>
      </c>
      <c r="P724" s="1196">
        <f t="shared" si="379"/>
        <v>35347939.655203104</v>
      </c>
      <c r="Q724" s="1196">
        <f t="shared" si="379"/>
        <v>35347939.655203104</v>
      </c>
      <c r="R724" s="1196">
        <f t="shared" si="379"/>
        <v>35347939.655203104</v>
      </c>
      <c r="S724" s="1196"/>
      <c r="T724" s="1196">
        <f t="shared" si="379"/>
        <v>0</v>
      </c>
      <c r="U724" s="1196">
        <f t="shared" si="373"/>
        <v>0</v>
      </c>
      <c r="V724" s="1196">
        <f t="shared" si="380"/>
        <v>35347939.655203104</v>
      </c>
      <c r="W724" s="1196">
        <f t="shared" si="379"/>
        <v>35347939.655203104</v>
      </c>
      <c r="X724" s="1196">
        <f t="shared" si="379"/>
        <v>35347939.655203104</v>
      </c>
      <c r="Y724" s="1196">
        <f t="shared" si="379"/>
        <v>35347939.655203104</v>
      </c>
      <c r="Z724" s="1196">
        <f t="shared" si="379"/>
        <v>35347939.655203104</v>
      </c>
      <c r="AA724" s="1196">
        <f t="shared" si="379"/>
        <v>35347939.655203104</v>
      </c>
      <c r="AB724" s="1196">
        <f t="shared" si="379"/>
        <v>35347939.655203104</v>
      </c>
      <c r="AC724" s="1196">
        <f t="shared" si="379"/>
        <v>35347939.655203104</v>
      </c>
      <c r="AD724" s="1196">
        <f t="shared" si="379"/>
        <v>35347939.655203104</v>
      </c>
      <c r="AE724" s="1196">
        <f t="shared" si="379"/>
        <v>35347939.655203104</v>
      </c>
      <c r="AF724" s="1196">
        <f t="shared" si="379"/>
        <v>35347939.655203104</v>
      </c>
      <c r="AG724" s="1196">
        <f t="shared" si="379"/>
        <v>35347939.655203104</v>
      </c>
      <c r="AH724" s="1196">
        <f t="shared" si="379"/>
        <v>35347939.655203104</v>
      </c>
      <c r="AI724" s="1196">
        <f t="shared" si="379"/>
        <v>35347939.655203104</v>
      </c>
      <c r="AJ724" s="1196">
        <f t="shared" si="379"/>
        <v>35347939.655203104</v>
      </c>
      <c r="AK724" s="1196">
        <f t="shared" si="379"/>
        <v>35347939.655203104</v>
      </c>
      <c r="AL724" s="1196">
        <f t="shared" si="379"/>
        <v>35347939.655203104</v>
      </c>
      <c r="AM724" s="1196">
        <f t="shared" si="379"/>
        <v>35347939.655203104</v>
      </c>
      <c r="AN724" s="1196">
        <f t="shared" si="379"/>
        <v>35347939.655203104</v>
      </c>
      <c r="AO724" s="1196">
        <f t="shared" si="379"/>
        <v>35347939.655203104</v>
      </c>
      <c r="AP724" s="1196">
        <f t="shared" si="379"/>
        <v>35347939.655203104</v>
      </c>
      <c r="AQ724" s="1196">
        <f t="shared" si="379"/>
        <v>35347939.655203104</v>
      </c>
      <c r="AR724" s="1196">
        <f t="shared" si="379"/>
        <v>35347939.655203104</v>
      </c>
      <c r="AS724" s="1196">
        <f t="shared" si="379"/>
        <v>35347939.655203104</v>
      </c>
      <c r="AT724" s="1196">
        <f t="shared" si="379"/>
        <v>35347939.655203104</v>
      </c>
      <c r="AU724" s="1196">
        <f t="shared" si="379"/>
        <v>35347939.655203104</v>
      </c>
    </row>
    <row r="725" spans="2:47" s="214" customFormat="1" ht="14.25" customHeight="1">
      <c r="B725" s="244"/>
      <c r="C725" s="353" t="s">
        <v>1091</v>
      </c>
      <c r="D725" s="242"/>
      <c r="E725" s="242"/>
      <c r="F725" s="242"/>
      <c r="G725" s="242"/>
      <c r="H725" s="242"/>
      <c r="I725" s="275"/>
      <c r="J725" s="246"/>
      <c r="K725" s="246"/>
      <c r="L725" s="246"/>
      <c r="M725" s="1196">
        <f>M$656*N646</f>
        <v>1610548.8039224728</v>
      </c>
      <c r="N725" s="1196">
        <f t="shared" si="377"/>
        <v>1610548.8039224728</v>
      </c>
      <c r="O725" s="1196">
        <f t="shared" si="378"/>
        <v>1610548.8039224728</v>
      </c>
      <c r="P725" s="1196">
        <f t="shared" si="379"/>
        <v>1610548.8039224728</v>
      </c>
      <c r="Q725" s="1196">
        <f t="shared" si="379"/>
        <v>1610548.8039224728</v>
      </c>
      <c r="R725" s="1196">
        <f t="shared" si="379"/>
        <v>1610548.8039224728</v>
      </c>
      <c r="S725" s="1196"/>
      <c r="T725" s="1196">
        <f t="shared" si="379"/>
        <v>0</v>
      </c>
      <c r="U725" s="1196">
        <f t="shared" si="373"/>
        <v>0</v>
      </c>
      <c r="V725" s="1196">
        <f t="shared" si="380"/>
        <v>1610548.8039224728</v>
      </c>
      <c r="W725" s="1196">
        <f t="shared" si="379"/>
        <v>1610548.8039224728</v>
      </c>
      <c r="X725" s="1196">
        <f t="shared" si="379"/>
        <v>1610548.8039224728</v>
      </c>
      <c r="Y725" s="1196">
        <f t="shared" si="379"/>
        <v>1610548.8039224728</v>
      </c>
      <c r="Z725" s="1196">
        <f t="shared" si="379"/>
        <v>1610548.8039224728</v>
      </c>
      <c r="AA725" s="1196">
        <f t="shared" si="379"/>
        <v>1610548.8039224728</v>
      </c>
      <c r="AB725" s="1196">
        <f t="shared" si="379"/>
        <v>1610548.8039224728</v>
      </c>
      <c r="AC725" s="1196">
        <f t="shared" si="379"/>
        <v>1610548.8039224728</v>
      </c>
      <c r="AD725" s="1196">
        <f t="shared" si="379"/>
        <v>1610548.8039224728</v>
      </c>
      <c r="AE725" s="1196">
        <f t="shared" si="379"/>
        <v>1610548.8039224728</v>
      </c>
      <c r="AF725" s="1196">
        <f t="shared" si="379"/>
        <v>1610548.8039224728</v>
      </c>
      <c r="AG725" s="1196">
        <f t="shared" si="379"/>
        <v>1610548.8039224728</v>
      </c>
      <c r="AH725" s="1196">
        <f t="shared" si="379"/>
        <v>1610548.8039224728</v>
      </c>
      <c r="AI725" s="1196">
        <f t="shared" si="379"/>
        <v>1610548.8039224728</v>
      </c>
      <c r="AJ725" s="1196">
        <f t="shared" si="379"/>
        <v>1610548.8039224728</v>
      </c>
      <c r="AK725" s="1196">
        <f t="shared" si="379"/>
        <v>1610548.8039224728</v>
      </c>
      <c r="AL725" s="1196">
        <f t="shared" si="379"/>
        <v>1610548.8039224728</v>
      </c>
      <c r="AM725" s="1196">
        <f t="shared" si="379"/>
        <v>1610548.8039224728</v>
      </c>
      <c r="AN725" s="1196">
        <f t="shared" si="379"/>
        <v>1610548.8039224728</v>
      </c>
      <c r="AO725" s="1196">
        <f t="shared" si="379"/>
        <v>1610548.8039224728</v>
      </c>
      <c r="AP725" s="1196">
        <f t="shared" si="379"/>
        <v>1610548.8039224728</v>
      </c>
      <c r="AQ725" s="1196">
        <f t="shared" si="379"/>
        <v>1610548.8039224728</v>
      </c>
      <c r="AR725" s="1196">
        <f t="shared" si="379"/>
        <v>1610548.8039224728</v>
      </c>
      <c r="AS725" s="1196">
        <f t="shared" si="379"/>
        <v>1610548.8039224728</v>
      </c>
      <c r="AT725" s="1196">
        <f t="shared" si="379"/>
        <v>1610548.8039224728</v>
      </c>
      <c r="AU725" s="1196">
        <f t="shared" si="379"/>
        <v>1610548.8039224728</v>
      </c>
    </row>
    <row r="726" spans="2:47" s="214" customFormat="1" ht="14.25" customHeight="1">
      <c r="B726" s="244"/>
      <c r="C726" s="353" t="s">
        <v>1092</v>
      </c>
      <c r="D726" s="242"/>
      <c r="E726" s="242"/>
      <c r="F726" s="242"/>
      <c r="G726" s="242"/>
      <c r="H726" s="242"/>
      <c r="I726" s="275"/>
      <c r="J726" s="246"/>
      <c r="K726" s="246"/>
      <c r="L726" s="246"/>
      <c r="M726" s="1196">
        <f>M$656*N647</f>
        <v>2898511.3165753856</v>
      </c>
      <c r="N726" s="1196">
        <f t="shared" si="377"/>
        <v>2898511.3165753856</v>
      </c>
      <c r="O726" s="1196">
        <f t="shared" si="378"/>
        <v>2898511.3165753856</v>
      </c>
      <c r="P726" s="1196">
        <f t="shared" si="379"/>
        <v>2898511.3165753856</v>
      </c>
      <c r="Q726" s="1196">
        <f t="shared" si="379"/>
        <v>2898511.3165753856</v>
      </c>
      <c r="R726" s="1196">
        <f t="shared" si="379"/>
        <v>2898511.3165753856</v>
      </c>
      <c r="S726" s="1196"/>
      <c r="T726" s="1196">
        <f t="shared" si="379"/>
        <v>0</v>
      </c>
      <c r="U726" s="1196">
        <f t="shared" si="373"/>
        <v>0</v>
      </c>
      <c r="V726" s="1196">
        <f t="shared" si="380"/>
        <v>2898511.3165753856</v>
      </c>
      <c r="W726" s="1196">
        <f t="shared" si="379"/>
        <v>2898511.3165753856</v>
      </c>
      <c r="X726" s="1196">
        <f t="shared" si="379"/>
        <v>2898511.3165753856</v>
      </c>
      <c r="Y726" s="1196">
        <f t="shared" si="379"/>
        <v>2898511.3165753856</v>
      </c>
      <c r="Z726" s="1196">
        <f t="shared" si="379"/>
        <v>2898511.3165753856</v>
      </c>
      <c r="AA726" s="1196">
        <f t="shared" si="379"/>
        <v>2898511.3165753856</v>
      </c>
      <c r="AB726" s="1196">
        <f t="shared" si="379"/>
        <v>2898511.3165753856</v>
      </c>
      <c r="AC726" s="1196">
        <f t="shared" si="379"/>
        <v>2898511.3165753856</v>
      </c>
      <c r="AD726" s="1196">
        <f t="shared" si="379"/>
        <v>2898511.3165753856</v>
      </c>
      <c r="AE726" s="1196">
        <f t="shared" si="379"/>
        <v>2898511.3165753856</v>
      </c>
      <c r="AF726" s="1196">
        <f t="shared" si="379"/>
        <v>2898511.3165753856</v>
      </c>
      <c r="AG726" s="1196">
        <f t="shared" si="379"/>
        <v>2898511.3165753856</v>
      </c>
      <c r="AH726" s="1196">
        <f t="shared" si="379"/>
        <v>2898511.3165753856</v>
      </c>
      <c r="AI726" s="1196">
        <f t="shared" si="379"/>
        <v>2898511.3165753856</v>
      </c>
      <c r="AJ726" s="1196">
        <f t="shared" si="379"/>
        <v>2898511.3165753856</v>
      </c>
      <c r="AK726" s="1196">
        <f t="shared" si="379"/>
        <v>2898511.3165753856</v>
      </c>
      <c r="AL726" s="1196">
        <f t="shared" si="379"/>
        <v>2898511.3165753856</v>
      </c>
      <c r="AM726" s="1196">
        <f t="shared" si="379"/>
        <v>2898511.3165753856</v>
      </c>
      <c r="AN726" s="1196">
        <f t="shared" si="379"/>
        <v>2898511.3165753856</v>
      </c>
      <c r="AO726" s="1196">
        <f t="shared" si="379"/>
        <v>2898511.3165753856</v>
      </c>
      <c r="AP726" s="1196">
        <f t="shared" si="379"/>
        <v>2898511.3165753856</v>
      </c>
      <c r="AQ726" s="1196">
        <f t="shared" si="379"/>
        <v>2898511.3165753856</v>
      </c>
      <c r="AR726" s="1196">
        <f t="shared" si="379"/>
        <v>2898511.3165753856</v>
      </c>
      <c r="AS726" s="1196">
        <f t="shared" si="379"/>
        <v>2898511.3165753856</v>
      </c>
      <c r="AT726" s="1196">
        <f t="shared" si="379"/>
        <v>2898511.3165753856</v>
      </c>
      <c r="AU726" s="1196">
        <f t="shared" si="379"/>
        <v>2898511.3165753856</v>
      </c>
    </row>
    <row r="727" spans="2:47" s="214" customFormat="1" ht="14.25" customHeight="1">
      <c r="B727" s="244"/>
      <c r="C727" s="353" t="s">
        <v>1094</v>
      </c>
      <c r="D727" s="242"/>
      <c r="E727" s="242"/>
      <c r="F727" s="242"/>
      <c r="G727" s="242"/>
      <c r="H727" s="242"/>
      <c r="I727" s="275"/>
      <c r="J727" s="246"/>
      <c r="K727" s="246"/>
      <c r="L727" s="246"/>
      <c r="M727" s="1196">
        <v>1864545.98</v>
      </c>
      <c r="N727" s="1196">
        <f t="shared" si="377"/>
        <v>1864545.98</v>
      </c>
      <c r="O727" s="1196">
        <f t="shared" si="378"/>
        <v>1864545.98</v>
      </c>
      <c r="P727" s="1196">
        <f t="shared" si="379"/>
        <v>1864545.98</v>
      </c>
      <c r="Q727" s="1196">
        <f t="shared" si="379"/>
        <v>1864545.98</v>
      </c>
      <c r="R727" s="1196">
        <f t="shared" si="379"/>
        <v>1864545.98</v>
      </c>
      <c r="S727" s="1196"/>
      <c r="T727" s="1196">
        <f t="shared" si="379"/>
        <v>0</v>
      </c>
      <c r="U727" s="1196">
        <f t="shared" si="373"/>
        <v>0</v>
      </c>
      <c r="V727" s="1196">
        <f t="shared" si="380"/>
        <v>1864545.98</v>
      </c>
      <c r="W727" s="1196">
        <f t="shared" si="379"/>
        <v>1864545.98</v>
      </c>
      <c r="X727" s="1196">
        <f t="shared" si="379"/>
        <v>1864545.98</v>
      </c>
      <c r="Y727" s="1196">
        <f t="shared" si="379"/>
        <v>1864545.98</v>
      </c>
      <c r="Z727" s="1196">
        <f t="shared" si="379"/>
        <v>1864545.98</v>
      </c>
      <c r="AA727" s="1196">
        <f t="shared" si="379"/>
        <v>1864545.98</v>
      </c>
      <c r="AB727" s="1196">
        <f t="shared" si="379"/>
        <v>1864545.98</v>
      </c>
      <c r="AC727" s="1196">
        <f t="shared" si="379"/>
        <v>1864545.98</v>
      </c>
      <c r="AD727" s="1196">
        <f t="shared" si="379"/>
        <v>1864545.98</v>
      </c>
      <c r="AE727" s="1196">
        <f t="shared" si="379"/>
        <v>1864545.98</v>
      </c>
      <c r="AF727" s="1196">
        <f t="shared" si="379"/>
        <v>1864545.98</v>
      </c>
      <c r="AG727" s="1196">
        <f t="shared" si="379"/>
        <v>1864545.98</v>
      </c>
      <c r="AH727" s="1196">
        <f t="shared" si="379"/>
        <v>1864545.98</v>
      </c>
      <c r="AI727" s="1196">
        <f t="shared" si="379"/>
        <v>1864545.98</v>
      </c>
      <c r="AJ727" s="1196">
        <f t="shared" si="379"/>
        <v>1864545.98</v>
      </c>
      <c r="AK727" s="1196">
        <f t="shared" si="379"/>
        <v>1864545.98</v>
      </c>
      <c r="AL727" s="1196">
        <f t="shared" si="379"/>
        <v>1864545.98</v>
      </c>
      <c r="AM727" s="1196">
        <f t="shared" si="379"/>
        <v>1864545.98</v>
      </c>
      <c r="AN727" s="1196">
        <f t="shared" si="379"/>
        <v>1864545.98</v>
      </c>
      <c r="AO727" s="1196">
        <f t="shared" si="379"/>
        <v>1864545.98</v>
      </c>
      <c r="AP727" s="1196">
        <f t="shared" si="379"/>
        <v>1864545.98</v>
      </c>
      <c r="AQ727" s="1196">
        <f t="shared" si="379"/>
        <v>1864545.98</v>
      </c>
      <c r="AR727" s="1196">
        <f t="shared" si="379"/>
        <v>1864545.98</v>
      </c>
      <c r="AS727" s="1196">
        <f t="shared" si="379"/>
        <v>1864545.98</v>
      </c>
      <c r="AT727" s="1196">
        <f t="shared" si="379"/>
        <v>1864545.98</v>
      </c>
      <c r="AU727" s="1196">
        <f t="shared" si="379"/>
        <v>1864545.98</v>
      </c>
    </row>
    <row r="728" spans="2:47" s="1208" customFormat="1" ht="14.25" hidden="1" customHeight="1" outlineLevel="1">
      <c r="B728" s="1245"/>
      <c r="C728" s="1247" t="s">
        <v>1101</v>
      </c>
      <c r="D728" s="380"/>
      <c r="E728" s="380"/>
      <c r="F728" s="380"/>
      <c r="G728" s="380"/>
      <c r="H728" s="380"/>
      <c r="I728" s="1246"/>
      <c r="J728" s="258"/>
      <c r="K728" s="258"/>
      <c r="L728" s="258"/>
      <c r="M728" s="1248">
        <f t="shared" ref="M728:AU728" si="381">SUM(M729:M734)</f>
        <v>0</v>
      </c>
      <c r="N728" s="1248">
        <f t="shared" si="381"/>
        <v>0</v>
      </c>
      <c r="O728" s="1248">
        <f t="shared" si="381"/>
        <v>0</v>
      </c>
      <c r="P728" s="1248">
        <f t="shared" si="381"/>
        <v>0</v>
      </c>
      <c r="Q728" s="1248">
        <f t="shared" si="381"/>
        <v>0</v>
      </c>
      <c r="R728" s="1248">
        <f t="shared" si="381"/>
        <v>0</v>
      </c>
      <c r="S728" s="1248"/>
      <c r="T728" s="1248">
        <f>SUM(T729:T734)</f>
        <v>0</v>
      </c>
      <c r="U728" s="1248">
        <f t="shared" si="373"/>
        <v>0</v>
      </c>
      <c r="V728" s="1248">
        <f t="shared" si="381"/>
        <v>0</v>
      </c>
      <c r="W728" s="1248">
        <f t="shared" si="381"/>
        <v>0</v>
      </c>
      <c r="X728" s="1248">
        <f t="shared" si="381"/>
        <v>0</v>
      </c>
      <c r="Y728" s="1248">
        <f t="shared" si="381"/>
        <v>0</v>
      </c>
      <c r="Z728" s="1248">
        <f t="shared" si="381"/>
        <v>0</v>
      </c>
      <c r="AA728" s="1248">
        <f t="shared" si="381"/>
        <v>0</v>
      </c>
      <c r="AB728" s="1248">
        <f t="shared" si="381"/>
        <v>0</v>
      </c>
      <c r="AC728" s="1248">
        <f t="shared" si="381"/>
        <v>0</v>
      </c>
      <c r="AD728" s="1248">
        <f t="shared" si="381"/>
        <v>0</v>
      </c>
      <c r="AE728" s="1248">
        <f t="shared" si="381"/>
        <v>0</v>
      </c>
      <c r="AF728" s="1248">
        <f t="shared" si="381"/>
        <v>0</v>
      </c>
      <c r="AG728" s="1248">
        <f t="shared" si="381"/>
        <v>0</v>
      </c>
      <c r="AH728" s="1248">
        <f t="shared" si="381"/>
        <v>0</v>
      </c>
      <c r="AI728" s="1248">
        <f t="shared" si="381"/>
        <v>0</v>
      </c>
      <c r="AJ728" s="1248">
        <f t="shared" si="381"/>
        <v>0</v>
      </c>
      <c r="AK728" s="1248">
        <f t="shared" si="381"/>
        <v>0</v>
      </c>
      <c r="AL728" s="1248">
        <f t="shared" si="381"/>
        <v>0</v>
      </c>
      <c r="AM728" s="1248">
        <f t="shared" si="381"/>
        <v>0</v>
      </c>
      <c r="AN728" s="1248">
        <f t="shared" si="381"/>
        <v>0</v>
      </c>
      <c r="AO728" s="1248">
        <f t="shared" si="381"/>
        <v>0</v>
      </c>
      <c r="AP728" s="1248">
        <f t="shared" si="381"/>
        <v>0</v>
      </c>
      <c r="AQ728" s="1248">
        <f t="shared" si="381"/>
        <v>0</v>
      </c>
      <c r="AR728" s="1248">
        <f t="shared" si="381"/>
        <v>0</v>
      </c>
      <c r="AS728" s="1248">
        <f t="shared" si="381"/>
        <v>0</v>
      </c>
      <c r="AT728" s="1248">
        <f t="shared" si="381"/>
        <v>0</v>
      </c>
      <c r="AU728" s="1248">
        <f t="shared" si="381"/>
        <v>0</v>
      </c>
    </row>
    <row r="729" spans="2:47" s="214" customFormat="1" ht="14.25" hidden="1" customHeight="1" outlineLevel="1">
      <c r="B729" s="244"/>
      <c r="C729" s="353" t="s">
        <v>1087</v>
      </c>
      <c r="D729" s="242"/>
      <c r="E729" s="242"/>
      <c r="F729" s="242"/>
      <c r="G729" s="242"/>
      <c r="H729" s="242"/>
      <c r="I729" s="275"/>
      <c r="J729" s="246"/>
      <c r="K729" s="246"/>
      <c r="L729" s="246"/>
      <c r="M729" s="215"/>
      <c r="N729" s="215"/>
      <c r="O729" s="215"/>
      <c r="P729" s="215"/>
      <c r="Q729" s="215"/>
      <c r="R729" s="215"/>
      <c r="S729" s="215"/>
      <c r="T729" s="215"/>
      <c r="U729" s="215">
        <f t="shared" si="373"/>
        <v>0</v>
      </c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215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</row>
    <row r="730" spans="2:47" s="214" customFormat="1" ht="14.25" hidden="1" customHeight="1" outlineLevel="1">
      <c r="B730" s="244"/>
      <c r="C730" s="353" t="s">
        <v>1089</v>
      </c>
      <c r="D730" s="242"/>
      <c r="E730" s="242"/>
      <c r="F730" s="242"/>
      <c r="G730" s="242"/>
      <c r="H730" s="242"/>
      <c r="I730" s="275"/>
      <c r="J730" s="246"/>
      <c r="K730" s="246"/>
      <c r="L730" s="246"/>
      <c r="M730" s="215"/>
      <c r="N730" s="215"/>
      <c r="O730" s="215"/>
      <c r="P730" s="215"/>
      <c r="Q730" s="215"/>
      <c r="R730" s="215"/>
      <c r="S730" s="215"/>
      <c r="T730" s="215"/>
      <c r="U730" s="215">
        <f t="shared" si="373"/>
        <v>0</v>
      </c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215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</row>
    <row r="731" spans="2:47" s="214" customFormat="1" ht="14.25" hidden="1" customHeight="1" outlineLevel="1">
      <c r="B731" s="244"/>
      <c r="C731" s="353" t="s">
        <v>1090</v>
      </c>
      <c r="D731" s="242"/>
      <c r="E731" s="242"/>
      <c r="F731" s="242"/>
      <c r="G731" s="242"/>
      <c r="H731" s="242"/>
      <c r="I731" s="275"/>
      <c r="J731" s="246"/>
      <c r="K731" s="246"/>
      <c r="L731" s="246"/>
      <c r="M731" s="215"/>
      <c r="N731" s="215"/>
      <c r="O731" s="215"/>
      <c r="P731" s="215"/>
      <c r="Q731" s="215"/>
      <c r="R731" s="215"/>
      <c r="S731" s="215"/>
      <c r="T731" s="215"/>
      <c r="U731" s="215">
        <f t="shared" si="373"/>
        <v>0</v>
      </c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215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</row>
    <row r="732" spans="2:47" s="214" customFormat="1" ht="14.25" hidden="1" customHeight="1" outlineLevel="1">
      <c r="B732" s="244"/>
      <c r="C732" s="353" t="s">
        <v>1091</v>
      </c>
      <c r="D732" s="242"/>
      <c r="E732" s="242"/>
      <c r="F732" s="242"/>
      <c r="G732" s="242"/>
      <c r="H732" s="242"/>
      <c r="I732" s="275"/>
      <c r="J732" s="246"/>
      <c r="K732" s="246"/>
      <c r="L732" s="246"/>
      <c r="M732" s="215"/>
      <c r="N732" s="215"/>
      <c r="O732" s="215"/>
      <c r="P732" s="215"/>
      <c r="Q732" s="215"/>
      <c r="R732" s="215"/>
      <c r="S732" s="215"/>
      <c r="T732" s="215"/>
      <c r="U732" s="215">
        <f t="shared" si="373"/>
        <v>0</v>
      </c>
      <c r="V732" s="215"/>
      <c r="W732" s="215"/>
      <c r="X732" s="215"/>
      <c r="Y732" s="215"/>
      <c r="Z732" s="215"/>
      <c r="AA732" s="215"/>
      <c r="AB732" s="215"/>
      <c r="AC732" s="215"/>
      <c r="AD732" s="215"/>
      <c r="AE732" s="215"/>
      <c r="AF732" s="215"/>
      <c r="AG732" s="215"/>
      <c r="AH732" s="215"/>
      <c r="AI732" s="215"/>
      <c r="AJ732" s="215"/>
      <c r="AK732" s="215"/>
      <c r="AL732" s="215"/>
      <c r="AM732" s="215"/>
      <c r="AN732" s="215"/>
      <c r="AO732" s="215"/>
      <c r="AP732" s="215"/>
      <c r="AQ732" s="215"/>
      <c r="AR732" s="215"/>
      <c r="AS732" s="215"/>
      <c r="AT732" s="215"/>
      <c r="AU732" s="215"/>
    </row>
    <row r="733" spans="2:47" s="214" customFormat="1" ht="14.25" hidden="1" customHeight="1" outlineLevel="1">
      <c r="B733" s="244"/>
      <c r="C733" s="353" t="s">
        <v>1092</v>
      </c>
      <c r="D733" s="242"/>
      <c r="E733" s="242"/>
      <c r="F733" s="242"/>
      <c r="G733" s="242"/>
      <c r="H733" s="242"/>
      <c r="I733" s="275"/>
      <c r="J733" s="246"/>
      <c r="K733" s="246"/>
      <c r="L733" s="246"/>
      <c r="M733" s="215"/>
      <c r="N733" s="215"/>
      <c r="O733" s="215"/>
      <c r="P733" s="215"/>
      <c r="Q733" s="215"/>
      <c r="R733" s="215"/>
      <c r="S733" s="215"/>
      <c r="T733" s="215"/>
      <c r="U733" s="215">
        <f t="shared" si="373"/>
        <v>0</v>
      </c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215"/>
      <c r="AH733" s="215"/>
      <c r="AI733" s="215"/>
      <c r="AJ733" s="215"/>
      <c r="AK733" s="215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</row>
    <row r="734" spans="2:47" s="214" customFormat="1" ht="14.25" hidden="1" customHeight="1" outlineLevel="1">
      <c r="B734" s="244"/>
      <c r="C734" s="353" t="s">
        <v>1094</v>
      </c>
      <c r="D734" s="242"/>
      <c r="E734" s="242"/>
      <c r="F734" s="242"/>
      <c r="G734" s="242"/>
      <c r="H734" s="242"/>
      <c r="I734" s="275"/>
      <c r="J734" s="246"/>
      <c r="K734" s="246"/>
      <c r="L734" s="246"/>
      <c r="M734" s="215"/>
      <c r="N734" s="215"/>
      <c r="O734" s="215"/>
      <c r="P734" s="215"/>
      <c r="Q734" s="215"/>
      <c r="R734" s="215"/>
      <c r="S734" s="215"/>
      <c r="T734" s="215"/>
      <c r="U734" s="215">
        <f t="shared" si="373"/>
        <v>0</v>
      </c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15"/>
      <c r="AH734" s="215"/>
      <c r="AI734" s="215"/>
      <c r="AJ734" s="215"/>
      <c r="AK734" s="215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</row>
    <row r="735" spans="2:47" s="1208" customFormat="1" ht="14.25" hidden="1" customHeight="1" outlineLevel="1">
      <c r="B735" s="1245"/>
      <c r="C735" s="1247" t="s">
        <v>1093</v>
      </c>
      <c r="D735" s="380"/>
      <c r="E735" s="380"/>
      <c r="F735" s="380"/>
      <c r="G735" s="380"/>
      <c r="H735" s="380"/>
      <c r="I735" s="1246"/>
      <c r="J735" s="258"/>
      <c r="K735" s="258"/>
      <c r="L735" s="258"/>
      <c r="M735" s="1248">
        <f t="shared" ref="M735:AU735" si="382">SUM(M736:M741)</f>
        <v>0</v>
      </c>
      <c r="N735" s="1248">
        <f t="shared" si="382"/>
        <v>0</v>
      </c>
      <c r="O735" s="1248">
        <f t="shared" si="382"/>
        <v>0</v>
      </c>
      <c r="P735" s="1248">
        <f t="shared" si="382"/>
        <v>0</v>
      </c>
      <c r="Q735" s="1248">
        <f t="shared" si="382"/>
        <v>0</v>
      </c>
      <c r="R735" s="1248">
        <f t="shared" si="382"/>
        <v>0</v>
      </c>
      <c r="S735" s="1248"/>
      <c r="T735" s="1248">
        <f>SUM(T736:T741)</f>
        <v>0</v>
      </c>
      <c r="U735" s="1248">
        <f t="shared" si="373"/>
        <v>0</v>
      </c>
      <c r="V735" s="1248">
        <f t="shared" si="382"/>
        <v>0</v>
      </c>
      <c r="W735" s="1248">
        <f t="shared" si="382"/>
        <v>0</v>
      </c>
      <c r="X735" s="1248">
        <f t="shared" si="382"/>
        <v>0</v>
      </c>
      <c r="Y735" s="1248">
        <f t="shared" si="382"/>
        <v>0</v>
      </c>
      <c r="Z735" s="1248">
        <f t="shared" si="382"/>
        <v>0</v>
      </c>
      <c r="AA735" s="1248">
        <f t="shared" si="382"/>
        <v>0</v>
      </c>
      <c r="AB735" s="1248">
        <f t="shared" si="382"/>
        <v>0</v>
      </c>
      <c r="AC735" s="1248">
        <f t="shared" si="382"/>
        <v>0</v>
      </c>
      <c r="AD735" s="1248">
        <f t="shared" si="382"/>
        <v>0</v>
      </c>
      <c r="AE735" s="1248">
        <f t="shared" si="382"/>
        <v>0</v>
      </c>
      <c r="AF735" s="1248">
        <f t="shared" si="382"/>
        <v>0</v>
      </c>
      <c r="AG735" s="1248">
        <f t="shared" si="382"/>
        <v>0</v>
      </c>
      <c r="AH735" s="1248">
        <f t="shared" si="382"/>
        <v>0</v>
      </c>
      <c r="AI735" s="1248">
        <f t="shared" si="382"/>
        <v>0</v>
      </c>
      <c r="AJ735" s="1248">
        <f t="shared" si="382"/>
        <v>0</v>
      </c>
      <c r="AK735" s="1248">
        <f t="shared" si="382"/>
        <v>0</v>
      </c>
      <c r="AL735" s="1248">
        <f t="shared" si="382"/>
        <v>0</v>
      </c>
      <c r="AM735" s="1248">
        <f t="shared" si="382"/>
        <v>0</v>
      </c>
      <c r="AN735" s="1248">
        <f t="shared" si="382"/>
        <v>0</v>
      </c>
      <c r="AO735" s="1248">
        <f t="shared" si="382"/>
        <v>0</v>
      </c>
      <c r="AP735" s="1248">
        <f t="shared" si="382"/>
        <v>0</v>
      </c>
      <c r="AQ735" s="1248">
        <f t="shared" si="382"/>
        <v>0</v>
      </c>
      <c r="AR735" s="1248">
        <f t="shared" si="382"/>
        <v>0</v>
      </c>
      <c r="AS735" s="1248">
        <f t="shared" si="382"/>
        <v>0</v>
      </c>
      <c r="AT735" s="1248">
        <f t="shared" si="382"/>
        <v>0</v>
      </c>
      <c r="AU735" s="1248">
        <f t="shared" si="382"/>
        <v>0</v>
      </c>
    </row>
    <row r="736" spans="2:47" s="214" customFormat="1" ht="14.25" hidden="1" customHeight="1" outlineLevel="1">
      <c r="B736" s="244"/>
      <c r="C736" s="353" t="s">
        <v>1087</v>
      </c>
      <c r="D736" s="242"/>
      <c r="E736" s="242"/>
      <c r="F736" s="242"/>
      <c r="G736" s="242"/>
      <c r="H736" s="242"/>
      <c r="I736" s="275"/>
      <c r="J736" s="246"/>
      <c r="K736" s="246"/>
      <c r="L736" s="246"/>
      <c r="M736" s="215"/>
      <c r="N736" s="215"/>
      <c r="O736" s="215"/>
      <c r="P736" s="215"/>
      <c r="Q736" s="215"/>
      <c r="R736" s="215"/>
      <c r="S736" s="215"/>
      <c r="T736" s="215"/>
      <c r="U736" s="215">
        <f t="shared" si="373"/>
        <v>0</v>
      </c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15"/>
      <c r="AH736" s="215"/>
      <c r="AI736" s="215"/>
      <c r="AJ736" s="215"/>
      <c r="AK736" s="215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</row>
    <row r="737" spans="2:47" s="214" customFormat="1" ht="14.25" hidden="1" customHeight="1" outlineLevel="1">
      <c r="B737" s="244"/>
      <c r="C737" s="353" t="s">
        <v>1089</v>
      </c>
      <c r="D737" s="242"/>
      <c r="E737" s="242"/>
      <c r="F737" s="242"/>
      <c r="G737" s="242"/>
      <c r="H737" s="242"/>
      <c r="I737" s="275"/>
      <c r="J737" s="246"/>
      <c r="K737" s="246"/>
      <c r="L737" s="246"/>
      <c r="M737" s="215"/>
      <c r="N737" s="215"/>
      <c r="O737" s="215"/>
      <c r="P737" s="215"/>
      <c r="Q737" s="215"/>
      <c r="R737" s="215"/>
      <c r="S737" s="215"/>
      <c r="T737" s="215"/>
      <c r="U737" s="215">
        <f t="shared" si="373"/>
        <v>0</v>
      </c>
      <c r="V737" s="215"/>
      <c r="W737" s="215"/>
      <c r="X737" s="215"/>
      <c r="Y737" s="215"/>
      <c r="Z737" s="215"/>
      <c r="AA737" s="215"/>
      <c r="AB737" s="215"/>
      <c r="AC737" s="215"/>
      <c r="AD737" s="215"/>
      <c r="AE737" s="215"/>
      <c r="AF737" s="215"/>
      <c r="AG737" s="215"/>
      <c r="AH737" s="215"/>
      <c r="AI737" s="215"/>
      <c r="AJ737" s="215"/>
      <c r="AK737" s="215"/>
      <c r="AL737" s="215"/>
      <c r="AM737" s="215"/>
      <c r="AN737" s="215"/>
      <c r="AO737" s="215"/>
      <c r="AP737" s="215"/>
      <c r="AQ737" s="215"/>
      <c r="AR737" s="215"/>
      <c r="AS737" s="215"/>
      <c r="AT737" s="215"/>
      <c r="AU737" s="215"/>
    </row>
    <row r="738" spans="2:47" s="214" customFormat="1" ht="14.25" hidden="1" customHeight="1" outlineLevel="1">
      <c r="B738" s="244"/>
      <c r="C738" s="353" t="s">
        <v>1090</v>
      </c>
      <c r="D738" s="242"/>
      <c r="E738" s="242"/>
      <c r="F738" s="242"/>
      <c r="G738" s="242"/>
      <c r="H738" s="242"/>
      <c r="I738" s="275"/>
      <c r="J738" s="246"/>
      <c r="K738" s="246"/>
      <c r="L738" s="246"/>
      <c r="M738" s="215"/>
      <c r="N738" s="215"/>
      <c r="O738" s="215"/>
      <c r="P738" s="215"/>
      <c r="Q738" s="215"/>
      <c r="R738" s="215"/>
      <c r="S738" s="215"/>
      <c r="T738" s="215"/>
      <c r="U738" s="215">
        <f t="shared" si="373"/>
        <v>0</v>
      </c>
      <c r="V738" s="215"/>
      <c r="W738" s="215"/>
      <c r="X738" s="215"/>
      <c r="Y738" s="215"/>
      <c r="Z738" s="215"/>
      <c r="AA738" s="215"/>
      <c r="AB738" s="215"/>
      <c r="AC738" s="215"/>
      <c r="AD738" s="215"/>
      <c r="AE738" s="215"/>
      <c r="AF738" s="215"/>
      <c r="AG738" s="215"/>
      <c r="AH738" s="215"/>
      <c r="AI738" s="215"/>
      <c r="AJ738" s="215"/>
      <c r="AK738" s="215"/>
      <c r="AL738" s="215"/>
      <c r="AM738" s="215"/>
      <c r="AN738" s="215"/>
      <c r="AO738" s="215"/>
      <c r="AP738" s="215"/>
      <c r="AQ738" s="215"/>
      <c r="AR738" s="215"/>
      <c r="AS738" s="215"/>
      <c r="AT738" s="215"/>
      <c r="AU738" s="215"/>
    </row>
    <row r="739" spans="2:47" s="214" customFormat="1" ht="14.25" hidden="1" customHeight="1" outlineLevel="1">
      <c r="B739" s="244"/>
      <c r="C739" s="353" t="s">
        <v>1091</v>
      </c>
      <c r="D739" s="242"/>
      <c r="E739" s="242"/>
      <c r="F739" s="242"/>
      <c r="G739" s="242"/>
      <c r="H739" s="242"/>
      <c r="I739" s="275"/>
      <c r="J739" s="246"/>
      <c r="K739" s="246"/>
      <c r="L739" s="246"/>
      <c r="M739" s="215"/>
      <c r="N739" s="215"/>
      <c r="O739" s="215"/>
      <c r="P739" s="215"/>
      <c r="Q739" s="215"/>
      <c r="R739" s="215"/>
      <c r="S739" s="215"/>
      <c r="T739" s="215"/>
      <c r="U739" s="215">
        <f t="shared" si="373"/>
        <v>0</v>
      </c>
      <c r="V739" s="215"/>
      <c r="W739" s="215"/>
      <c r="X739" s="215"/>
      <c r="Y739" s="215"/>
      <c r="Z739" s="215"/>
      <c r="AA739" s="215"/>
      <c r="AB739" s="215"/>
      <c r="AC739" s="215"/>
      <c r="AD739" s="215"/>
      <c r="AE739" s="215"/>
      <c r="AF739" s="215"/>
      <c r="AG739" s="215"/>
      <c r="AH739" s="215"/>
      <c r="AI739" s="215"/>
      <c r="AJ739" s="215"/>
      <c r="AK739" s="215"/>
      <c r="AL739" s="215"/>
      <c r="AM739" s="215"/>
      <c r="AN739" s="215"/>
      <c r="AO739" s="215"/>
      <c r="AP739" s="215"/>
      <c r="AQ739" s="215"/>
      <c r="AR739" s="215"/>
      <c r="AS739" s="215"/>
      <c r="AT739" s="215"/>
      <c r="AU739" s="215"/>
    </row>
    <row r="740" spans="2:47" s="214" customFormat="1" ht="14.25" hidden="1" customHeight="1" outlineLevel="1">
      <c r="B740" s="244"/>
      <c r="C740" s="353" t="s">
        <v>1092</v>
      </c>
      <c r="D740" s="242"/>
      <c r="E740" s="242"/>
      <c r="F740" s="242"/>
      <c r="G740" s="242"/>
      <c r="H740" s="242"/>
      <c r="I740" s="275"/>
      <c r="J740" s="246"/>
      <c r="K740" s="246"/>
      <c r="L740" s="246"/>
      <c r="M740" s="215"/>
      <c r="N740" s="215"/>
      <c r="O740" s="215"/>
      <c r="P740" s="215"/>
      <c r="Q740" s="215"/>
      <c r="R740" s="215"/>
      <c r="S740" s="215"/>
      <c r="T740" s="215"/>
      <c r="U740" s="215">
        <f t="shared" si="373"/>
        <v>0</v>
      </c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215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</row>
    <row r="741" spans="2:47" s="214" customFormat="1" ht="14.25" hidden="1" customHeight="1" outlineLevel="1">
      <c r="B741" s="244"/>
      <c r="C741" s="353" t="s">
        <v>1094</v>
      </c>
      <c r="D741" s="242"/>
      <c r="E741" s="242"/>
      <c r="F741" s="242"/>
      <c r="G741" s="242"/>
      <c r="H741" s="242"/>
      <c r="I741" s="275"/>
      <c r="J741" s="246"/>
      <c r="K741" s="246"/>
      <c r="L741" s="246"/>
      <c r="M741" s="215"/>
      <c r="N741" s="215"/>
      <c r="O741" s="215"/>
      <c r="P741" s="215"/>
      <c r="Q741" s="215"/>
      <c r="R741" s="215"/>
      <c r="S741" s="215"/>
      <c r="T741" s="215"/>
      <c r="U741" s="215">
        <f t="shared" si="373"/>
        <v>0</v>
      </c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215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</row>
    <row r="742" spans="2:47" s="1208" customFormat="1" ht="14.25" hidden="1" customHeight="1" outlineLevel="1">
      <c r="B742" s="1245"/>
      <c r="C742" s="1247" t="s">
        <v>1004</v>
      </c>
      <c r="D742" s="380"/>
      <c r="E742" s="380"/>
      <c r="F742" s="380"/>
      <c r="G742" s="380"/>
      <c r="H742" s="380"/>
      <c r="I742" s="1246"/>
      <c r="J742" s="258"/>
      <c r="K742" s="258"/>
      <c r="L742" s="258"/>
      <c r="M742" s="1248">
        <f t="shared" ref="M742:AU742" si="383">SUM(M743:M748)</f>
        <v>0</v>
      </c>
      <c r="N742" s="1248">
        <f t="shared" si="383"/>
        <v>0</v>
      </c>
      <c r="O742" s="1248">
        <f t="shared" si="383"/>
        <v>0</v>
      </c>
      <c r="P742" s="1248">
        <f t="shared" si="383"/>
        <v>0</v>
      </c>
      <c r="Q742" s="1248">
        <f t="shared" si="383"/>
        <v>0</v>
      </c>
      <c r="R742" s="1248">
        <f t="shared" si="383"/>
        <v>0</v>
      </c>
      <c r="S742" s="1248"/>
      <c r="T742" s="1248">
        <f>SUM(T743:T748)</f>
        <v>0</v>
      </c>
      <c r="U742" s="1248">
        <f t="shared" si="373"/>
        <v>0</v>
      </c>
      <c r="V742" s="1248">
        <f t="shared" si="383"/>
        <v>0</v>
      </c>
      <c r="W742" s="1248">
        <f t="shared" si="383"/>
        <v>0</v>
      </c>
      <c r="X742" s="1248">
        <f t="shared" si="383"/>
        <v>0</v>
      </c>
      <c r="Y742" s="1248">
        <f t="shared" si="383"/>
        <v>0</v>
      </c>
      <c r="Z742" s="1248">
        <f t="shared" si="383"/>
        <v>0</v>
      </c>
      <c r="AA742" s="1248">
        <f t="shared" si="383"/>
        <v>0</v>
      </c>
      <c r="AB742" s="1248">
        <f t="shared" si="383"/>
        <v>0</v>
      </c>
      <c r="AC742" s="1248">
        <f t="shared" si="383"/>
        <v>0</v>
      </c>
      <c r="AD742" s="1248">
        <f t="shared" si="383"/>
        <v>0</v>
      </c>
      <c r="AE742" s="1248">
        <f t="shared" si="383"/>
        <v>0</v>
      </c>
      <c r="AF742" s="1248">
        <f t="shared" si="383"/>
        <v>0</v>
      </c>
      <c r="AG742" s="1248">
        <f t="shared" si="383"/>
        <v>0</v>
      </c>
      <c r="AH742" s="1248">
        <f t="shared" si="383"/>
        <v>0</v>
      </c>
      <c r="AI742" s="1248">
        <f t="shared" si="383"/>
        <v>0</v>
      </c>
      <c r="AJ742" s="1248">
        <f t="shared" si="383"/>
        <v>0</v>
      </c>
      <c r="AK742" s="1248">
        <f t="shared" si="383"/>
        <v>0</v>
      </c>
      <c r="AL742" s="1248">
        <f t="shared" si="383"/>
        <v>0</v>
      </c>
      <c r="AM742" s="1248">
        <f t="shared" si="383"/>
        <v>0</v>
      </c>
      <c r="AN742" s="1248">
        <f t="shared" si="383"/>
        <v>0</v>
      </c>
      <c r="AO742" s="1248">
        <f t="shared" si="383"/>
        <v>0</v>
      </c>
      <c r="AP742" s="1248">
        <f t="shared" si="383"/>
        <v>0</v>
      </c>
      <c r="AQ742" s="1248">
        <f t="shared" si="383"/>
        <v>0</v>
      </c>
      <c r="AR742" s="1248">
        <f t="shared" si="383"/>
        <v>0</v>
      </c>
      <c r="AS742" s="1248">
        <f t="shared" si="383"/>
        <v>0</v>
      </c>
      <c r="AT742" s="1248">
        <f t="shared" si="383"/>
        <v>0</v>
      </c>
      <c r="AU742" s="1248">
        <f t="shared" si="383"/>
        <v>0</v>
      </c>
    </row>
    <row r="743" spans="2:47" s="214" customFormat="1" ht="14.25" hidden="1" customHeight="1" outlineLevel="1">
      <c r="B743" s="244"/>
      <c r="C743" s="353" t="s">
        <v>1087</v>
      </c>
      <c r="D743" s="242"/>
      <c r="E743" s="242"/>
      <c r="F743" s="242"/>
      <c r="G743" s="242"/>
      <c r="H743" s="242"/>
      <c r="I743" s="275"/>
      <c r="J743" s="246"/>
      <c r="K743" s="246"/>
      <c r="L743" s="246"/>
      <c r="M743" s="215"/>
      <c r="N743" s="215"/>
      <c r="O743" s="215"/>
      <c r="P743" s="215"/>
      <c r="Q743" s="215"/>
      <c r="R743" s="215"/>
      <c r="S743" s="215"/>
      <c r="T743" s="215"/>
      <c r="U743" s="215">
        <f t="shared" si="373"/>
        <v>0</v>
      </c>
      <c r="V743" s="215"/>
      <c r="W743" s="215"/>
      <c r="X743" s="215"/>
      <c r="Y743" s="215"/>
      <c r="Z743" s="215"/>
      <c r="AA743" s="215"/>
      <c r="AB743" s="215"/>
      <c r="AC743" s="215"/>
      <c r="AD743" s="215"/>
      <c r="AE743" s="215"/>
      <c r="AF743" s="215"/>
      <c r="AG743" s="215"/>
      <c r="AH743" s="215"/>
      <c r="AI743" s="215"/>
      <c r="AJ743" s="215"/>
      <c r="AK743" s="215"/>
      <c r="AL743" s="215"/>
      <c r="AM743" s="215"/>
      <c r="AN743" s="215"/>
      <c r="AO743" s="215"/>
      <c r="AP743" s="215"/>
      <c r="AQ743" s="215"/>
      <c r="AR743" s="215"/>
      <c r="AS743" s="215"/>
      <c r="AT743" s="215"/>
      <c r="AU743" s="215"/>
    </row>
    <row r="744" spans="2:47" s="214" customFormat="1" ht="14.25" hidden="1" customHeight="1" outlineLevel="1">
      <c r="B744" s="244"/>
      <c r="C744" s="353" t="s">
        <v>1089</v>
      </c>
      <c r="D744" s="242"/>
      <c r="E744" s="242"/>
      <c r="F744" s="242"/>
      <c r="G744" s="242"/>
      <c r="H744" s="242"/>
      <c r="I744" s="275"/>
      <c r="J744" s="246"/>
      <c r="K744" s="246"/>
      <c r="L744" s="246"/>
      <c r="M744" s="215"/>
      <c r="N744" s="215"/>
      <c r="O744" s="215"/>
      <c r="P744" s="215"/>
      <c r="Q744" s="215"/>
      <c r="R744" s="215"/>
      <c r="S744" s="215"/>
      <c r="T744" s="215"/>
      <c r="U744" s="215">
        <f t="shared" si="373"/>
        <v>0</v>
      </c>
      <c r="V744" s="215"/>
      <c r="W744" s="215"/>
      <c r="X744" s="215"/>
      <c r="Y744" s="215"/>
      <c r="Z744" s="215"/>
      <c r="AA744" s="215"/>
      <c r="AB744" s="215"/>
      <c r="AC744" s="215"/>
      <c r="AD744" s="215"/>
      <c r="AE744" s="215"/>
      <c r="AF744" s="215"/>
      <c r="AG744" s="215"/>
      <c r="AH744" s="215"/>
      <c r="AI744" s="215"/>
      <c r="AJ744" s="215"/>
      <c r="AK744" s="215"/>
      <c r="AL744" s="215"/>
      <c r="AM744" s="215"/>
      <c r="AN744" s="215"/>
      <c r="AO744" s="215"/>
      <c r="AP744" s="215"/>
      <c r="AQ744" s="215"/>
      <c r="AR744" s="215"/>
      <c r="AS744" s="215"/>
      <c r="AT744" s="215"/>
      <c r="AU744" s="215"/>
    </row>
    <row r="745" spans="2:47" s="214" customFormat="1" ht="14.25" hidden="1" customHeight="1" outlineLevel="1">
      <c r="B745" s="244"/>
      <c r="C745" s="353" t="s">
        <v>1090</v>
      </c>
      <c r="D745" s="242"/>
      <c r="E745" s="242"/>
      <c r="F745" s="242"/>
      <c r="G745" s="242"/>
      <c r="H745" s="242"/>
      <c r="I745" s="275"/>
      <c r="J745" s="246"/>
      <c r="K745" s="246"/>
      <c r="L745" s="246"/>
      <c r="M745" s="215"/>
      <c r="N745" s="215"/>
      <c r="O745" s="215"/>
      <c r="P745" s="215"/>
      <c r="Q745" s="215"/>
      <c r="R745" s="215"/>
      <c r="S745" s="215"/>
      <c r="T745" s="215"/>
      <c r="U745" s="215">
        <f t="shared" si="373"/>
        <v>0</v>
      </c>
      <c r="V745" s="215"/>
      <c r="W745" s="215"/>
      <c r="X745" s="215"/>
      <c r="Y745" s="215"/>
      <c r="Z745" s="215"/>
      <c r="AA745" s="215"/>
      <c r="AB745" s="215"/>
      <c r="AC745" s="215"/>
      <c r="AD745" s="215"/>
      <c r="AE745" s="215"/>
      <c r="AF745" s="215"/>
      <c r="AG745" s="215"/>
      <c r="AH745" s="215"/>
      <c r="AI745" s="215"/>
      <c r="AJ745" s="215"/>
      <c r="AK745" s="215"/>
      <c r="AL745" s="215"/>
      <c r="AM745" s="215"/>
      <c r="AN745" s="215"/>
      <c r="AO745" s="215"/>
      <c r="AP745" s="215"/>
      <c r="AQ745" s="215"/>
      <c r="AR745" s="215"/>
      <c r="AS745" s="215"/>
      <c r="AT745" s="215"/>
      <c r="AU745" s="215"/>
    </row>
    <row r="746" spans="2:47" s="214" customFormat="1" ht="14.25" hidden="1" customHeight="1" outlineLevel="1">
      <c r="B746" s="244"/>
      <c r="C746" s="353" t="s">
        <v>1091</v>
      </c>
      <c r="D746" s="242"/>
      <c r="E746" s="242"/>
      <c r="F746" s="242"/>
      <c r="G746" s="242"/>
      <c r="H746" s="242"/>
      <c r="I746" s="275"/>
      <c r="J746" s="246"/>
      <c r="K746" s="246"/>
      <c r="L746" s="246"/>
      <c r="M746" s="215"/>
      <c r="N746" s="215"/>
      <c r="O746" s="215"/>
      <c r="P746" s="215"/>
      <c r="Q746" s="215"/>
      <c r="R746" s="215"/>
      <c r="S746" s="215"/>
      <c r="T746" s="215"/>
      <c r="U746" s="215">
        <f t="shared" si="373"/>
        <v>0</v>
      </c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215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</row>
    <row r="747" spans="2:47" s="214" customFormat="1" ht="14.25" hidden="1" customHeight="1" outlineLevel="1">
      <c r="B747" s="244"/>
      <c r="C747" s="353" t="s">
        <v>1092</v>
      </c>
      <c r="D747" s="242"/>
      <c r="E747" s="242"/>
      <c r="F747" s="242"/>
      <c r="G747" s="242"/>
      <c r="H747" s="242"/>
      <c r="I747" s="275"/>
      <c r="J747" s="246"/>
      <c r="K747" s="246"/>
      <c r="L747" s="246"/>
      <c r="M747" s="215"/>
      <c r="N747" s="215"/>
      <c r="O747" s="215"/>
      <c r="P747" s="215"/>
      <c r="Q747" s="215"/>
      <c r="R747" s="215"/>
      <c r="S747" s="215"/>
      <c r="T747" s="215"/>
      <c r="U747" s="215">
        <f t="shared" si="373"/>
        <v>0</v>
      </c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215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</row>
    <row r="748" spans="2:47" s="214" customFormat="1" ht="14.25" hidden="1" customHeight="1" outlineLevel="1">
      <c r="B748" s="244"/>
      <c r="C748" s="353" t="s">
        <v>1094</v>
      </c>
      <c r="D748" s="242"/>
      <c r="E748" s="242"/>
      <c r="F748" s="242"/>
      <c r="G748" s="242"/>
      <c r="H748" s="242"/>
      <c r="I748" s="275"/>
      <c r="J748" s="246"/>
      <c r="K748" s="246"/>
      <c r="L748" s="246"/>
      <c r="M748" s="215"/>
      <c r="N748" s="215"/>
      <c r="O748" s="215"/>
      <c r="P748" s="215"/>
      <c r="Q748" s="215"/>
      <c r="R748" s="215"/>
      <c r="S748" s="215"/>
      <c r="T748" s="215"/>
      <c r="U748" s="215">
        <f t="shared" si="373"/>
        <v>0</v>
      </c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215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</row>
    <row r="749" spans="2:47" s="1208" customFormat="1" ht="14.25" hidden="1" customHeight="1" outlineLevel="1">
      <c r="B749" s="1245"/>
      <c r="C749" s="1247" t="s">
        <v>1102</v>
      </c>
      <c r="D749" s="380"/>
      <c r="E749" s="380"/>
      <c r="F749" s="380"/>
      <c r="G749" s="380"/>
      <c r="H749" s="380"/>
      <c r="I749" s="1246"/>
      <c r="J749" s="258"/>
      <c r="K749" s="258"/>
      <c r="L749" s="258"/>
      <c r="M749" s="1248">
        <f t="shared" ref="M749:AU749" si="384">SUM(M750:M755)</f>
        <v>0</v>
      </c>
      <c r="N749" s="1248">
        <f t="shared" si="384"/>
        <v>0</v>
      </c>
      <c r="O749" s="1248">
        <f t="shared" si="384"/>
        <v>0</v>
      </c>
      <c r="P749" s="1248">
        <f t="shared" si="384"/>
        <v>0</v>
      </c>
      <c r="Q749" s="1248">
        <f t="shared" si="384"/>
        <v>0</v>
      </c>
      <c r="R749" s="1248">
        <f t="shared" si="384"/>
        <v>0</v>
      </c>
      <c r="S749" s="1248"/>
      <c r="T749" s="1248">
        <f>SUM(T750:T755)</f>
        <v>0</v>
      </c>
      <c r="U749" s="1248">
        <f t="shared" si="373"/>
        <v>0</v>
      </c>
      <c r="V749" s="1248">
        <f t="shared" si="384"/>
        <v>0</v>
      </c>
      <c r="W749" s="1248">
        <f t="shared" si="384"/>
        <v>0</v>
      </c>
      <c r="X749" s="1248">
        <f t="shared" si="384"/>
        <v>0</v>
      </c>
      <c r="Y749" s="1248">
        <f t="shared" si="384"/>
        <v>0</v>
      </c>
      <c r="Z749" s="1248">
        <f t="shared" si="384"/>
        <v>0</v>
      </c>
      <c r="AA749" s="1248">
        <f t="shared" si="384"/>
        <v>0</v>
      </c>
      <c r="AB749" s="1248">
        <f t="shared" si="384"/>
        <v>0</v>
      </c>
      <c r="AC749" s="1248">
        <f t="shared" si="384"/>
        <v>0</v>
      </c>
      <c r="AD749" s="1248">
        <f t="shared" si="384"/>
        <v>0</v>
      </c>
      <c r="AE749" s="1248">
        <f t="shared" si="384"/>
        <v>0</v>
      </c>
      <c r="AF749" s="1248">
        <f t="shared" si="384"/>
        <v>0</v>
      </c>
      <c r="AG749" s="1248">
        <f t="shared" si="384"/>
        <v>0</v>
      </c>
      <c r="AH749" s="1248">
        <f t="shared" si="384"/>
        <v>0</v>
      </c>
      <c r="AI749" s="1248">
        <f t="shared" si="384"/>
        <v>0</v>
      </c>
      <c r="AJ749" s="1248">
        <f t="shared" si="384"/>
        <v>0</v>
      </c>
      <c r="AK749" s="1248">
        <f t="shared" si="384"/>
        <v>0</v>
      </c>
      <c r="AL749" s="1248">
        <f t="shared" si="384"/>
        <v>0</v>
      </c>
      <c r="AM749" s="1248">
        <f t="shared" si="384"/>
        <v>0</v>
      </c>
      <c r="AN749" s="1248">
        <f t="shared" si="384"/>
        <v>0</v>
      </c>
      <c r="AO749" s="1248">
        <f t="shared" si="384"/>
        <v>0</v>
      </c>
      <c r="AP749" s="1248">
        <f t="shared" si="384"/>
        <v>0</v>
      </c>
      <c r="AQ749" s="1248">
        <f t="shared" si="384"/>
        <v>0</v>
      </c>
      <c r="AR749" s="1248">
        <f t="shared" si="384"/>
        <v>0</v>
      </c>
      <c r="AS749" s="1248">
        <f t="shared" si="384"/>
        <v>0</v>
      </c>
      <c r="AT749" s="1248">
        <f t="shared" si="384"/>
        <v>0</v>
      </c>
      <c r="AU749" s="1248">
        <f t="shared" si="384"/>
        <v>0</v>
      </c>
    </row>
    <row r="750" spans="2:47" s="214" customFormat="1" ht="14.25" hidden="1" customHeight="1" outlineLevel="1">
      <c r="B750" s="244"/>
      <c r="C750" s="353" t="s">
        <v>1087</v>
      </c>
      <c r="D750" s="242"/>
      <c r="E750" s="242"/>
      <c r="F750" s="242"/>
      <c r="G750" s="242"/>
      <c r="H750" s="242"/>
      <c r="I750" s="275"/>
      <c r="J750" s="246"/>
      <c r="K750" s="246"/>
      <c r="L750" s="246"/>
      <c r="M750" s="215"/>
      <c r="N750" s="215"/>
      <c r="O750" s="215"/>
      <c r="P750" s="215"/>
      <c r="Q750" s="215"/>
      <c r="R750" s="215"/>
      <c r="S750" s="215"/>
      <c r="T750" s="215"/>
      <c r="U750" s="215">
        <f t="shared" si="373"/>
        <v>0</v>
      </c>
      <c r="V750" s="215"/>
      <c r="W750" s="215"/>
      <c r="X750" s="215"/>
      <c r="Y750" s="215"/>
      <c r="Z750" s="215"/>
      <c r="AA750" s="215"/>
      <c r="AB750" s="215"/>
      <c r="AC750" s="215"/>
      <c r="AD750" s="215"/>
      <c r="AE750" s="215"/>
      <c r="AF750" s="215"/>
      <c r="AG750" s="215"/>
      <c r="AH750" s="215"/>
      <c r="AI750" s="215"/>
      <c r="AJ750" s="215"/>
      <c r="AK750" s="215"/>
      <c r="AL750" s="215"/>
      <c r="AM750" s="215"/>
      <c r="AN750" s="215"/>
      <c r="AO750" s="215"/>
      <c r="AP750" s="215"/>
      <c r="AQ750" s="215"/>
      <c r="AR750" s="215"/>
      <c r="AS750" s="215"/>
      <c r="AT750" s="215"/>
      <c r="AU750" s="215"/>
    </row>
    <row r="751" spans="2:47" s="214" customFormat="1" ht="14.25" hidden="1" customHeight="1" outlineLevel="1">
      <c r="B751" s="244"/>
      <c r="C751" s="353" t="s">
        <v>1089</v>
      </c>
      <c r="D751" s="242"/>
      <c r="E751" s="242"/>
      <c r="F751" s="242"/>
      <c r="G751" s="242"/>
      <c r="H751" s="242"/>
      <c r="I751" s="275"/>
      <c r="J751" s="246"/>
      <c r="K751" s="246"/>
      <c r="L751" s="246"/>
      <c r="M751" s="215"/>
      <c r="N751" s="215"/>
      <c r="O751" s="215"/>
      <c r="P751" s="215"/>
      <c r="Q751" s="215"/>
      <c r="R751" s="215"/>
      <c r="S751" s="215"/>
      <c r="T751" s="215"/>
      <c r="U751" s="215">
        <f t="shared" si="373"/>
        <v>0</v>
      </c>
      <c r="V751" s="215"/>
      <c r="W751" s="215"/>
      <c r="X751" s="215"/>
      <c r="Y751" s="215"/>
      <c r="Z751" s="215"/>
      <c r="AA751" s="215"/>
      <c r="AB751" s="215"/>
      <c r="AC751" s="215"/>
      <c r="AD751" s="215"/>
      <c r="AE751" s="215"/>
      <c r="AF751" s="215"/>
      <c r="AG751" s="215"/>
      <c r="AH751" s="215"/>
      <c r="AI751" s="215"/>
      <c r="AJ751" s="215"/>
      <c r="AK751" s="215"/>
      <c r="AL751" s="215"/>
      <c r="AM751" s="215"/>
      <c r="AN751" s="215"/>
      <c r="AO751" s="215"/>
      <c r="AP751" s="215"/>
      <c r="AQ751" s="215"/>
      <c r="AR751" s="215"/>
      <c r="AS751" s="215"/>
      <c r="AT751" s="215"/>
      <c r="AU751" s="215"/>
    </row>
    <row r="752" spans="2:47" s="214" customFormat="1" ht="14.25" hidden="1" customHeight="1" outlineLevel="1">
      <c r="B752" s="244"/>
      <c r="C752" s="353" t="s">
        <v>1090</v>
      </c>
      <c r="D752" s="242"/>
      <c r="E752" s="242"/>
      <c r="F752" s="242"/>
      <c r="G752" s="242"/>
      <c r="H752" s="242"/>
      <c r="I752" s="275"/>
      <c r="J752" s="246"/>
      <c r="K752" s="246"/>
      <c r="L752" s="246"/>
      <c r="M752" s="215"/>
      <c r="N752" s="215"/>
      <c r="O752" s="215"/>
      <c r="P752" s="215"/>
      <c r="Q752" s="215"/>
      <c r="R752" s="215"/>
      <c r="S752" s="215"/>
      <c r="T752" s="215"/>
      <c r="U752" s="215">
        <f t="shared" si="373"/>
        <v>0</v>
      </c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215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</row>
    <row r="753" spans="2:47" s="214" customFormat="1" ht="14.25" hidden="1" customHeight="1" outlineLevel="1">
      <c r="B753" s="244"/>
      <c r="C753" s="353" t="s">
        <v>1091</v>
      </c>
      <c r="D753" s="242"/>
      <c r="E753" s="242"/>
      <c r="F753" s="242"/>
      <c r="G753" s="242"/>
      <c r="H753" s="242"/>
      <c r="I753" s="275"/>
      <c r="J753" s="246"/>
      <c r="K753" s="246"/>
      <c r="L753" s="246"/>
      <c r="M753" s="215"/>
      <c r="N753" s="215"/>
      <c r="O753" s="215"/>
      <c r="P753" s="215"/>
      <c r="Q753" s="215"/>
      <c r="R753" s="215"/>
      <c r="S753" s="215"/>
      <c r="T753" s="215"/>
      <c r="U753" s="215">
        <f t="shared" si="373"/>
        <v>0</v>
      </c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215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</row>
    <row r="754" spans="2:47" s="214" customFormat="1" ht="14.25" hidden="1" customHeight="1" outlineLevel="1">
      <c r="B754" s="244"/>
      <c r="C754" s="353" t="s">
        <v>1092</v>
      </c>
      <c r="D754" s="242"/>
      <c r="E754" s="242"/>
      <c r="F754" s="242"/>
      <c r="G754" s="242"/>
      <c r="H754" s="242"/>
      <c r="I754" s="275"/>
      <c r="J754" s="246"/>
      <c r="K754" s="246"/>
      <c r="L754" s="246"/>
      <c r="M754" s="215"/>
      <c r="N754" s="215"/>
      <c r="O754" s="215"/>
      <c r="P754" s="215"/>
      <c r="Q754" s="215"/>
      <c r="R754" s="215"/>
      <c r="S754" s="215"/>
      <c r="T754" s="215"/>
      <c r="U754" s="215">
        <f t="shared" si="373"/>
        <v>0</v>
      </c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215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</row>
    <row r="755" spans="2:47" s="214" customFormat="1" ht="14.25" hidden="1" customHeight="1" outlineLevel="1">
      <c r="B755" s="244"/>
      <c r="C755" s="353" t="s">
        <v>1094</v>
      </c>
      <c r="D755" s="242"/>
      <c r="E755" s="242"/>
      <c r="F755" s="242"/>
      <c r="G755" s="242"/>
      <c r="H755" s="242"/>
      <c r="I755" s="275"/>
      <c r="J755" s="246"/>
      <c r="K755" s="246"/>
      <c r="L755" s="246"/>
      <c r="M755" s="215"/>
      <c r="N755" s="215"/>
      <c r="O755" s="215"/>
      <c r="P755" s="215"/>
      <c r="Q755" s="215"/>
      <c r="R755" s="215"/>
      <c r="S755" s="215"/>
      <c r="T755" s="215"/>
      <c r="U755" s="215">
        <f t="shared" si="373"/>
        <v>0</v>
      </c>
      <c r="V755" s="215"/>
      <c r="W755" s="215"/>
      <c r="X755" s="215"/>
      <c r="Y755" s="215"/>
      <c r="Z755" s="215"/>
      <c r="AA755" s="215"/>
      <c r="AB755" s="215"/>
      <c r="AC755" s="215"/>
      <c r="AD755" s="215"/>
      <c r="AE755" s="215"/>
      <c r="AF755" s="215"/>
      <c r="AG755" s="215"/>
      <c r="AH755" s="215"/>
      <c r="AI755" s="215"/>
      <c r="AJ755" s="215"/>
      <c r="AK755" s="215"/>
      <c r="AL755" s="215"/>
      <c r="AM755" s="215"/>
      <c r="AN755" s="215"/>
      <c r="AO755" s="215"/>
      <c r="AP755" s="215"/>
      <c r="AQ755" s="215"/>
      <c r="AR755" s="215"/>
      <c r="AS755" s="215"/>
      <c r="AT755" s="215"/>
      <c r="AU755" s="215"/>
    </row>
    <row r="756" spans="2:47" s="1208" customFormat="1" ht="14.25" customHeight="1" collapsed="1">
      <c r="B756" s="1245"/>
      <c r="C756" s="1247" t="s">
        <v>186</v>
      </c>
      <c r="D756" s="380"/>
      <c r="E756" s="380"/>
      <c r="F756" s="380"/>
      <c r="G756" s="380"/>
      <c r="H756" s="380"/>
      <c r="I756" s="1246"/>
      <c r="J756" s="258"/>
      <c r="K756" s="258"/>
      <c r="L756" s="258"/>
      <c r="M756" s="1248">
        <f t="shared" ref="M756:AU756" si="385">SUM(M757:M762)</f>
        <v>0</v>
      </c>
      <c r="N756" s="1248">
        <f t="shared" si="385"/>
        <v>3060914.7858699858</v>
      </c>
      <c r="O756" s="1248"/>
      <c r="P756" s="1248">
        <f t="shared" si="385"/>
        <v>3060914.7858699858</v>
      </c>
      <c r="Q756" s="1248">
        <f t="shared" si="385"/>
        <v>10047219.667685339</v>
      </c>
      <c r="R756" s="1248">
        <f t="shared" si="385"/>
        <v>10420128.86368534</v>
      </c>
      <c r="S756" s="1248"/>
      <c r="T756" s="1248">
        <f>SUM(T757:T762)</f>
        <v>0</v>
      </c>
      <c r="U756" s="1248">
        <f t="shared" si="373"/>
        <v>0</v>
      </c>
      <c r="V756" s="1248">
        <f t="shared" si="385"/>
        <v>9853311.3478538319</v>
      </c>
      <c r="W756" s="1248">
        <f t="shared" si="385"/>
        <v>9463620.1292154621</v>
      </c>
      <c r="X756" s="1248">
        <f t="shared" si="385"/>
        <v>4794102.0079321302</v>
      </c>
      <c r="Y756" s="1248">
        <f t="shared" si="385"/>
        <v>2071922.4373903465</v>
      </c>
      <c r="Z756" s="1248">
        <f t="shared" si="385"/>
        <v>1699013.2413903465</v>
      </c>
      <c r="AA756" s="1248">
        <f t="shared" si="385"/>
        <v>1699013.2413903465</v>
      </c>
      <c r="AB756" s="1248">
        <f t="shared" si="385"/>
        <v>1699013.2413903465</v>
      </c>
      <c r="AC756" s="1248">
        <f t="shared" si="385"/>
        <v>1699013.2413903465</v>
      </c>
      <c r="AD756" s="1248">
        <f t="shared" si="385"/>
        <v>1699013.2413903465</v>
      </c>
      <c r="AE756" s="1248">
        <f t="shared" si="385"/>
        <v>1699013.2413903465</v>
      </c>
      <c r="AF756" s="1248">
        <f t="shared" si="385"/>
        <v>1699013.2413903465</v>
      </c>
      <c r="AG756" s="1248">
        <f t="shared" si="385"/>
        <v>1699013.2413903465</v>
      </c>
      <c r="AH756" s="1248">
        <f t="shared" si="385"/>
        <v>1699013.2413903465</v>
      </c>
      <c r="AI756" s="1248">
        <f t="shared" si="385"/>
        <v>1699013.2413903465</v>
      </c>
      <c r="AJ756" s="1248">
        <f t="shared" si="385"/>
        <v>1699013.2413903465</v>
      </c>
      <c r="AK756" s="1248">
        <f t="shared" si="385"/>
        <v>1699013.2413903465</v>
      </c>
      <c r="AL756" s="1248">
        <f t="shared" si="385"/>
        <v>1699013.2413903465</v>
      </c>
      <c r="AM756" s="1248">
        <f t="shared" si="385"/>
        <v>511434.66186334565</v>
      </c>
      <c r="AN756" s="1248">
        <f t="shared" si="385"/>
        <v>0</v>
      </c>
      <c r="AO756" s="1248">
        <f t="shared" si="385"/>
        <v>0</v>
      </c>
      <c r="AP756" s="1248">
        <f t="shared" si="385"/>
        <v>0</v>
      </c>
      <c r="AQ756" s="1248">
        <f t="shared" si="385"/>
        <v>0</v>
      </c>
      <c r="AR756" s="1248">
        <f t="shared" si="385"/>
        <v>0</v>
      </c>
      <c r="AS756" s="1248">
        <f t="shared" si="385"/>
        <v>0</v>
      </c>
      <c r="AT756" s="1248">
        <f t="shared" si="385"/>
        <v>0</v>
      </c>
      <c r="AU756" s="1248">
        <f t="shared" si="385"/>
        <v>0</v>
      </c>
    </row>
    <row r="757" spans="2:47" s="214" customFormat="1" ht="14.25" customHeight="1">
      <c r="B757" s="244"/>
      <c r="C757" s="353" t="s">
        <v>1087</v>
      </c>
      <c r="D757" s="242"/>
      <c r="E757" s="242"/>
      <c r="F757" s="242"/>
      <c r="G757" s="242"/>
      <c r="H757" s="242"/>
      <c r="I757" s="275"/>
      <c r="J757" s="246"/>
      <c r="K757" s="246"/>
      <c r="L757" s="246"/>
      <c r="M757" s="215"/>
      <c r="N757" s="215"/>
      <c r="O757" s="1196"/>
      <c r="P757" s="215"/>
      <c r="Q757" s="215"/>
      <c r="R757" s="215"/>
      <c r="S757" s="215"/>
      <c r="T757" s="215"/>
      <c r="U757" s="215">
        <f t="shared" si="373"/>
        <v>0</v>
      </c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215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</row>
    <row r="758" spans="2:47" s="214" customFormat="1" ht="14.25" customHeight="1">
      <c r="B758" s="244"/>
      <c r="C758" s="353" t="s">
        <v>1089</v>
      </c>
      <c r="D758" s="242"/>
      <c r="E758" s="242"/>
      <c r="F758" s="242"/>
      <c r="G758" s="242"/>
      <c r="H758" s="242"/>
      <c r="I758" s="275"/>
      <c r="J758" s="246"/>
      <c r="K758" s="246"/>
      <c r="L758" s="246"/>
      <c r="M758" s="215"/>
      <c r="N758" s="1196">
        <f>MIN(M723*$M651,M779)*$N$657</f>
        <v>517609.34108835831</v>
      </c>
      <c r="O758" s="1196"/>
      <c r="P758" s="1196">
        <f>MIN(O723*$M651,O779)*$N$657</f>
        <v>517609.34108835831</v>
      </c>
      <c r="Q758" s="1196">
        <f>MIN(P723*$M651,P779)</f>
        <v>1699013.2413903465</v>
      </c>
      <c r="R758" s="1196">
        <f t="shared" ref="R758:AU762" si="386">MIN(Q723*$M651,Q779)</f>
        <v>1699013.2413903465</v>
      </c>
      <c r="S758" s="1196"/>
      <c r="T758" s="1196">
        <f t="shared" si="386"/>
        <v>0</v>
      </c>
      <c r="U758" s="1196">
        <f t="shared" si="373"/>
        <v>0</v>
      </c>
      <c r="V758" s="1196">
        <f>MIN(R723*$M651,R779)</f>
        <v>1699013.2413903465</v>
      </c>
      <c r="W758" s="1196">
        <f t="shared" si="386"/>
        <v>1699013.2413903465</v>
      </c>
      <c r="X758" s="1196">
        <f t="shared" si="386"/>
        <v>1699013.2413903465</v>
      </c>
      <c r="Y758" s="1196">
        <f t="shared" si="386"/>
        <v>1699013.2413903465</v>
      </c>
      <c r="Z758" s="1196">
        <f t="shared" si="386"/>
        <v>1699013.2413903465</v>
      </c>
      <c r="AA758" s="1196">
        <f t="shared" si="386"/>
        <v>1699013.2413903465</v>
      </c>
      <c r="AB758" s="1196">
        <f t="shared" si="386"/>
        <v>1699013.2413903465</v>
      </c>
      <c r="AC758" s="1196">
        <f t="shared" si="386"/>
        <v>1699013.2413903465</v>
      </c>
      <c r="AD758" s="1196">
        <f t="shared" si="386"/>
        <v>1699013.2413903465</v>
      </c>
      <c r="AE758" s="1196">
        <f t="shared" si="386"/>
        <v>1699013.2413903465</v>
      </c>
      <c r="AF758" s="1196">
        <f t="shared" si="386"/>
        <v>1699013.2413903465</v>
      </c>
      <c r="AG758" s="1196">
        <f t="shared" si="386"/>
        <v>1699013.2413903465</v>
      </c>
      <c r="AH758" s="1196">
        <f t="shared" si="386"/>
        <v>1699013.2413903465</v>
      </c>
      <c r="AI758" s="1196">
        <f t="shared" si="386"/>
        <v>1699013.2413903465</v>
      </c>
      <c r="AJ758" s="1196">
        <f t="shared" si="386"/>
        <v>1699013.2413903465</v>
      </c>
      <c r="AK758" s="1196">
        <f t="shared" si="386"/>
        <v>1699013.2413903465</v>
      </c>
      <c r="AL758" s="1196">
        <f t="shared" si="386"/>
        <v>1699013.2413903465</v>
      </c>
      <c r="AM758" s="1196">
        <f t="shared" si="386"/>
        <v>511434.66186334565</v>
      </c>
      <c r="AN758" s="1196">
        <f t="shared" si="386"/>
        <v>0</v>
      </c>
      <c r="AO758" s="1196">
        <f t="shared" si="386"/>
        <v>0</v>
      </c>
      <c r="AP758" s="1196">
        <f t="shared" si="386"/>
        <v>0</v>
      </c>
      <c r="AQ758" s="1196">
        <f t="shared" si="386"/>
        <v>0</v>
      </c>
      <c r="AR758" s="1196">
        <f t="shared" si="386"/>
        <v>0</v>
      </c>
      <c r="AS758" s="1196">
        <f t="shared" si="386"/>
        <v>0</v>
      </c>
      <c r="AT758" s="1196">
        <f t="shared" si="386"/>
        <v>0</v>
      </c>
      <c r="AU758" s="1196">
        <f t="shared" si="386"/>
        <v>0</v>
      </c>
    </row>
    <row r="759" spans="2:47" s="214" customFormat="1" ht="14.25" customHeight="1">
      <c r="B759" s="244"/>
      <c r="C759" s="353" t="s">
        <v>1090</v>
      </c>
      <c r="D759" s="242"/>
      <c r="E759" s="242"/>
      <c r="F759" s="242"/>
      <c r="G759" s="242"/>
      <c r="H759" s="242"/>
      <c r="I759" s="275"/>
      <c r="J759" s="246"/>
      <c r="K759" s="246"/>
      <c r="L759" s="246"/>
      <c r="M759" s="215"/>
      <c r="N759" s="1196">
        <f t="shared" ref="N759:P761" si="387">MIN(M724*$M652,M780)*$N$657</f>
        <v>2153770.5896615959</v>
      </c>
      <c r="O759" s="1196"/>
      <c r="P759" s="1196">
        <f t="shared" si="387"/>
        <v>2153770.5896615959</v>
      </c>
      <c r="Q759" s="1196">
        <f>MIN(P724*$M652,P780)</f>
        <v>7069587.9310406214</v>
      </c>
      <c r="R759" s="1196">
        <f t="shared" si="386"/>
        <v>7069587.9310406214</v>
      </c>
      <c r="S759" s="1196"/>
      <c r="T759" s="1196">
        <f t="shared" si="386"/>
        <v>0</v>
      </c>
      <c r="U759" s="1196">
        <f t="shared" si="373"/>
        <v>0</v>
      </c>
      <c r="V759" s="1196">
        <f>MIN(R724*$M652,R780)</f>
        <v>7069587.9310406214</v>
      </c>
      <c r="W759" s="1196">
        <f t="shared" si="386"/>
        <v>7069587.9310406214</v>
      </c>
      <c r="X759" s="1196">
        <f t="shared" si="386"/>
        <v>2603554.5067422464</v>
      </c>
      <c r="Y759" s="1196">
        <f t="shared" si="386"/>
        <v>0</v>
      </c>
      <c r="Z759" s="1196">
        <f t="shared" si="386"/>
        <v>0</v>
      </c>
      <c r="AA759" s="1196">
        <f t="shared" si="386"/>
        <v>0</v>
      </c>
      <c r="AB759" s="1196">
        <f t="shared" si="386"/>
        <v>0</v>
      </c>
      <c r="AC759" s="1196">
        <f t="shared" si="386"/>
        <v>0</v>
      </c>
      <c r="AD759" s="1196">
        <f t="shared" si="386"/>
        <v>0</v>
      </c>
      <c r="AE759" s="1196">
        <f t="shared" si="386"/>
        <v>0</v>
      </c>
      <c r="AF759" s="1196">
        <f t="shared" si="386"/>
        <v>0</v>
      </c>
      <c r="AG759" s="1196">
        <f t="shared" si="386"/>
        <v>0</v>
      </c>
      <c r="AH759" s="1196">
        <f t="shared" si="386"/>
        <v>0</v>
      </c>
      <c r="AI759" s="1196">
        <f t="shared" si="386"/>
        <v>0</v>
      </c>
      <c r="AJ759" s="1196">
        <f t="shared" si="386"/>
        <v>0</v>
      </c>
      <c r="AK759" s="1196">
        <f t="shared" si="386"/>
        <v>0</v>
      </c>
      <c r="AL759" s="1196">
        <f t="shared" si="386"/>
        <v>0</v>
      </c>
      <c r="AM759" s="1196">
        <f t="shared" si="386"/>
        <v>0</v>
      </c>
      <c r="AN759" s="1196">
        <f t="shared" si="386"/>
        <v>0</v>
      </c>
      <c r="AO759" s="1196">
        <f t="shared" si="386"/>
        <v>0</v>
      </c>
      <c r="AP759" s="1196">
        <f t="shared" si="386"/>
        <v>0</v>
      </c>
      <c r="AQ759" s="1196">
        <f t="shared" si="386"/>
        <v>0</v>
      </c>
      <c r="AR759" s="1196">
        <f t="shared" si="386"/>
        <v>0</v>
      </c>
      <c r="AS759" s="1196">
        <f t="shared" si="386"/>
        <v>0</v>
      </c>
      <c r="AT759" s="1196">
        <f t="shared" si="386"/>
        <v>0</v>
      </c>
      <c r="AU759" s="1196">
        <f t="shared" si="386"/>
        <v>0</v>
      </c>
    </row>
    <row r="760" spans="2:47" s="214" customFormat="1" ht="14.25" customHeight="1">
      <c r="B760" s="244"/>
      <c r="C760" s="353" t="s">
        <v>1091</v>
      </c>
      <c r="D760" s="242"/>
      <c r="E760" s="242"/>
      <c r="F760" s="242"/>
      <c r="G760" s="242"/>
      <c r="H760" s="242"/>
      <c r="I760" s="275"/>
      <c r="J760" s="246"/>
      <c r="K760" s="246"/>
      <c r="L760" s="246"/>
      <c r="M760" s="215"/>
      <c r="N760" s="1196">
        <f t="shared" si="387"/>
        <v>98131.678421384117</v>
      </c>
      <c r="O760" s="1196"/>
      <c r="P760" s="1196">
        <f t="shared" si="387"/>
        <v>98131.678421384117</v>
      </c>
      <c r="Q760" s="1196">
        <f>MIN(P725*$M653,P781)</f>
        <v>322109.76078449457</v>
      </c>
      <c r="R760" s="1196">
        <f t="shared" si="386"/>
        <v>322109.76078449457</v>
      </c>
      <c r="S760" s="1196"/>
      <c r="T760" s="1196">
        <f t="shared" si="386"/>
        <v>0</v>
      </c>
      <c r="U760" s="1196">
        <f t="shared" si="373"/>
        <v>0</v>
      </c>
      <c r="V760" s="1196">
        <f>MIN(R725*$M653,R781)</f>
        <v>322109.76078449457</v>
      </c>
      <c r="W760" s="1196">
        <f t="shared" si="386"/>
        <v>322109.76078449457</v>
      </c>
      <c r="X760" s="1196">
        <f t="shared" si="386"/>
        <v>118625.06379953795</v>
      </c>
      <c r="Y760" s="1196">
        <f t="shared" si="386"/>
        <v>0</v>
      </c>
      <c r="Z760" s="1196">
        <f t="shared" si="386"/>
        <v>0</v>
      </c>
      <c r="AA760" s="1196">
        <f t="shared" si="386"/>
        <v>0</v>
      </c>
      <c r="AB760" s="1196">
        <f t="shared" si="386"/>
        <v>0</v>
      </c>
      <c r="AC760" s="1196">
        <f t="shared" si="386"/>
        <v>0</v>
      </c>
      <c r="AD760" s="1196">
        <f t="shared" si="386"/>
        <v>0</v>
      </c>
      <c r="AE760" s="1196">
        <f t="shared" si="386"/>
        <v>0</v>
      </c>
      <c r="AF760" s="1196">
        <f t="shared" si="386"/>
        <v>0</v>
      </c>
      <c r="AG760" s="1196">
        <f t="shared" si="386"/>
        <v>0</v>
      </c>
      <c r="AH760" s="1196">
        <f t="shared" si="386"/>
        <v>0</v>
      </c>
      <c r="AI760" s="1196">
        <f t="shared" si="386"/>
        <v>0</v>
      </c>
      <c r="AJ760" s="1196">
        <f t="shared" si="386"/>
        <v>0</v>
      </c>
      <c r="AK760" s="1196">
        <f t="shared" si="386"/>
        <v>0</v>
      </c>
      <c r="AL760" s="1196">
        <f t="shared" si="386"/>
        <v>0</v>
      </c>
      <c r="AM760" s="1196">
        <f t="shared" si="386"/>
        <v>0</v>
      </c>
      <c r="AN760" s="1196">
        <f t="shared" si="386"/>
        <v>0</v>
      </c>
      <c r="AO760" s="1196">
        <f t="shared" si="386"/>
        <v>0</v>
      </c>
      <c r="AP760" s="1196">
        <f t="shared" si="386"/>
        <v>0</v>
      </c>
      <c r="AQ760" s="1196">
        <f t="shared" si="386"/>
        <v>0</v>
      </c>
      <c r="AR760" s="1196">
        <f t="shared" si="386"/>
        <v>0</v>
      </c>
      <c r="AS760" s="1196">
        <f t="shared" si="386"/>
        <v>0</v>
      </c>
      <c r="AT760" s="1196">
        <f t="shared" si="386"/>
        <v>0</v>
      </c>
      <c r="AU760" s="1196">
        <f t="shared" si="386"/>
        <v>0</v>
      </c>
    </row>
    <row r="761" spans="2:47" s="214" customFormat="1" ht="14.25" customHeight="1">
      <c r="B761" s="244"/>
      <c r="C761" s="353" t="s">
        <v>1092</v>
      </c>
      <c r="D761" s="242"/>
      <c r="E761" s="242"/>
      <c r="F761" s="242"/>
      <c r="G761" s="242"/>
      <c r="H761" s="242"/>
      <c r="I761" s="275"/>
      <c r="J761" s="246"/>
      <c r="K761" s="246"/>
      <c r="L761" s="246"/>
      <c r="M761" s="215"/>
      <c r="N761" s="1196">
        <f t="shared" si="387"/>
        <v>291403.17669864732</v>
      </c>
      <c r="O761" s="1196"/>
      <c r="P761" s="1196">
        <f t="shared" si="387"/>
        <v>291403.17669864732</v>
      </c>
      <c r="Q761" s="1196">
        <f>MIN(P726*$M654,P782)</f>
        <v>956508.73446987732</v>
      </c>
      <c r="R761" s="1196">
        <f t="shared" si="386"/>
        <v>956508.73446987732</v>
      </c>
      <c r="S761" s="1196"/>
      <c r="T761" s="1196">
        <f t="shared" si="386"/>
        <v>0</v>
      </c>
      <c r="U761" s="1196">
        <f t="shared" si="373"/>
        <v>0</v>
      </c>
      <c r="V761" s="1196">
        <f>MIN(R726*$M654,R782)</f>
        <v>389691.21863836981</v>
      </c>
      <c r="W761" s="1196">
        <f t="shared" si="386"/>
        <v>0</v>
      </c>
      <c r="X761" s="1196">
        <f t="shared" si="386"/>
        <v>0</v>
      </c>
      <c r="Y761" s="1196">
        <f t="shared" si="386"/>
        <v>0</v>
      </c>
      <c r="Z761" s="1196">
        <f t="shared" si="386"/>
        <v>0</v>
      </c>
      <c r="AA761" s="1196">
        <f t="shared" si="386"/>
        <v>0</v>
      </c>
      <c r="AB761" s="1196">
        <f t="shared" si="386"/>
        <v>0</v>
      </c>
      <c r="AC761" s="1196">
        <f t="shared" si="386"/>
        <v>0</v>
      </c>
      <c r="AD761" s="1196">
        <f t="shared" si="386"/>
        <v>0</v>
      </c>
      <c r="AE761" s="1196">
        <f t="shared" si="386"/>
        <v>0</v>
      </c>
      <c r="AF761" s="1196">
        <f t="shared" si="386"/>
        <v>0</v>
      </c>
      <c r="AG761" s="1196">
        <f t="shared" si="386"/>
        <v>0</v>
      </c>
      <c r="AH761" s="1196">
        <f t="shared" si="386"/>
        <v>0</v>
      </c>
      <c r="AI761" s="1196">
        <f t="shared" si="386"/>
        <v>0</v>
      </c>
      <c r="AJ761" s="1196">
        <f t="shared" si="386"/>
        <v>0</v>
      </c>
      <c r="AK761" s="1196">
        <f t="shared" si="386"/>
        <v>0</v>
      </c>
      <c r="AL761" s="1196">
        <f t="shared" si="386"/>
        <v>0</v>
      </c>
      <c r="AM761" s="1196">
        <f t="shared" si="386"/>
        <v>0</v>
      </c>
      <c r="AN761" s="1196">
        <f t="shared" si="386"/>
        <v>0</v>
      </c>
      <c r="AO761" s="1196">
        <f t="shared" si="386"/>
        <v>0</v>
      </c>
      <c r="AP761" s="1196">
        <f t="shared" si="386"/>
        <v>0</v>
      </c>
      <c r="AQ761" s="1196">
        <f t="shared" si="386"/>
        <v>0</v>
      </c>
      <c r="AR761" s="1196">
        <f t="shared" si="386"/>
        <v>0</v>
      </c>
      <c r="AS761" s="1196">
        <f t="shared" si="386"/>
        <v>0</v>
      </c>
      <c r="AT761" s="1196">
        <f t="shared" si="386"/>
        <v>0</v>
      </c>
      <c r="AU761" s="1196">
        <f t="shared" si="386"/>
        <v>0</v>
      </c>
    </row>
    <row r="762" spans="2:47" s="214" customFormat="1" ht="14.25" customHeight="1">
      <c r="B762" s="244"/>
      <c r="C762" s="353" t="s">
        <v>1094</v>
      </c>
      <c r="D762" s="242"/>
      <c r="E762" s="242"/>
      <c r="F762" s="242"/>
      <c r="G762" s="242"/>
      <c r="H762" s="242"/>
      <c r="I762" s="275"/>
      <c r="J762" s="246"/>
      <c r="K762" s="246"/>
      <c r="L762" s="246"/>
      <c r="M762" s="215"/>
      <c r="N762" s="1196"/>
      <c r="O762" s="1196"/>
      <c r="P762" s="1196"/>
      <c r="Q762" s="1196"/>
      <c r="R762" s="1196">
        <f t="shared" si="386"/>
        <v>372909.196</v>
      </c>
      <c r="S762" s="1196"/>
      <c r="T762" s="1196">
        <f t="shared" si="386"/>
        <v>0</v>
      </c>
      <c r="U762" s="1196">
        <f t="shared" si="373"/>
        <v>0</v>
      </c>
      <c r="V762" s="1196">
        <f>MIN(R727*$M655,R783)</f>
        <v>372909.196</v>
      </c>
      <c r="W762" s="1196">
        <f t="shared" si="386"/>
        <v>372909.196</v>
      </c>
      <c r="X762" s="1196">
        <f t="shared" si="386"/>
        <v>372909.196</v>
      </c>
      <c r="Y762" s="1196">
        <f t="shared" si="386"/>
        <v>372909.196</v>
      </c>
      <c r="Z762" s="1196">
        <f t="shared" si="386"/>
        <v>0</v>
      </c>
      <c r="AA762" s="1196">
        <f t="shared" si="386"/>
        <v>0</v>
      </c>
      <c r="AB762" s="1196">
        <f t="shared" si="386"/>
        <v>0</v>
      </c>
      <c r="AC762" s="1196">
        <f t="shared" si="386"/>
        <v>0</v>
      </c>
      <c r="AD762" s="1196">
        <f t="shared" si="386"/>
        <v>0</v>
      </c>
      <c r="AE762" s="1196">
        <f t="shared" si="386"/>
        <v>0</v>
      </c>
      <c r="AF762" s="1196">
        <f t="shared" si="386"/>
        <v>0</v>
      </c>
      <c r="AG762" s="1196">
        <f t="shared" si="386"/>
        <v>0</v>
      </c>
      <c r="AH762" s="1196">
        <f t="shared" si="386"/>
        <v>0</v>
      </c>
      <c r="AI762" s="1196">
        <f t="shared" si="386"/>
        <v>0</v>
      </c>
      <c r="AJ762" s="1196">
        <f t="shared" si="386"/>
        <v>0</v>
      </c>
      <c r="AK762" s="1196">
        <f t="shared" si="386"/>
        <v>0</v>
      </c>
      <c r="AL762" s="1196">
        <f t="shared" si="386"/>
        <v>0</v>
      </c>
      <c r="AM762" s="1196">
        <f t="shared" si="386"/>
        <v>0</v>
      </c>
      <c r="AN762" s="1196">
        <f t="shared" si="386"/>
        <v>0</v>
      </c>
      <c r="AO762" s="1196">
        <f t="shared" si="386"/>
        <v>0</v>
      </c>
      <c r="AP762" s="1196">
        <f t="shared" si="386"/>
        <v>0</v>
      </c>
      <c r="AQ762" s="1196">
        <f t="shared" si="386"/>
        <v>0</v>
      </c>
      <c r="AR762" s="1196">
        <f t="shared" si="386"/>
        <v>0</v>
      </c>
      <c r="AS762" s="1196">
        <f t="shared" si="386"/>
        <v>0</v>
      </c>
      <c r="AT762" s="1196">
        <f t="shared" si="386"/>
        <v>0</v>
      </c>
      <c r="AU762" s="1196">
        <f t="shared" si="386"/>
        <v>0</v>
      </c>
    </row>
    <row r="763" spans="2:47" s="1208" customFormat="1" ht="14.25" hidden="1" customHeight="1" outlineLevel="1">
      <c r="B763" s="1245"/>
      <c r="C763" s="1247" t="s">
        <v>1103</v>
      </c>
      <c r="D763" s="380"/>
      <c r="E763" s="380"/>
      <c r="F763" s="380"/>
      <c r="G763" s="380"/>
      <c r="H763" s="380"/>
      <c r="I763" s="1246"/>
      <c r="J763" s="258"/>
      <c r="K763" s="258"/>
      <c r="L763" s="258"/>
      <c r="M763" s="1248">
        <f t="shared" ref="M763:AU763" si="388">SUM(M764:M769)</f>
        <v>0</v>
      </c>
      <c r="N763" s="1248">
        <f t="shared" si="388"/>
        <v>0</v>
      </c>
      <c r="O763" s="1248"/>
      <c r="P763" s="1248">
        <f t="shared" si="388"/>
        <v>0</v>
      </c>
      <c r="Q763" s="1248">
        <f t="shared" si="388"/>
        <v>0</v>
      </c>
      <c r="R763" s="1248">
        <f t="shared" si="388"/>
        <v>0</v>
      </c>
      <c r="S763" s="1248"/>
      <c r="T763" s="1248">
        <f>SUM(T764:T769)</f>
        <v>0</v>
      </c>
      <c r="U763" s="1248">
        <f t="shared" si="373"/>
        <v>0</v>
      </c>
      <c r="V763" s="1248">
        <f t="shared" si="388"/>
        <v>0</v>
      </c>
      <c r="W763" s="1248">
        <f t="shared" si="388"/>
        <v>0</v>
      </c>
      <c r="X763" s="1248">
        <f t="shared" si="388"/>
        <v>0</v>
      </c>
      <c r="Y763" s="1248">
        <f t="shared" si="388"/>
        <v>0</v>
      </c>
      <c r="Z763" s="1248">
        <f t="shared" si="388"/>
        <v>0</v>
      </c>
      <c r="AA763" s="1248">
        <f t="shared" si="388"/>
        <v>0</v>
      </c>
      <c r="AB763" s="1248">
        <f t="shared" si="388"/>
        <v>0</v>
      </c>
      <c r="AC763" s="1248">
        <f t="shared" si="388"/>
        <v>0</v>
      </c>
      <c r="AD763" s="1248">
        <f t="shared" si="388"/>
        <v>0</v>
      </c>
      <c r="AE763" s="1248">
        <f t="shared" si="388"/>
        <v>0</v>
      </c>
      <c r="AF763" s="1248">
        <f t="shared" si="388"/>
        <v>0</v>
      </c>
      <c r="AG763" s="1248">
        <f t="shared" si="388"/>
        <v>0</v>
      </c>
      <c r="AH763" s="1248">
        <f t="shared" si="388"/>
        <v>0</v>
      </c>
      <c r="AI763" s="1248">
        <f t="shared" si="388"/>
        <v>0</v>
      </c>
      <c r="AJ763" s="1248">
        <f t="shared" si="388"/>
        <v>0</v>
      </c>
      <c r="AK763" s="1248">
        <f t="shared" si="388"/>
        <v>0</v>
      </c>
      <c r="AL763" s="1248">
        <f t="shared" si="388"/>
        <v>0</v>
      </c>
      <c r="AM763" s="1248">
        <f t="shared" si="388"/>
        <v>0</v>
      </c>
      <c r="AN763" s="1248">
        <f t="shared" si="388"/>
        <v>0</v>
      </c>
      <c r="AO763" s="1248">
        <f t="shared" si="388"/>
        <v>0</v>
      </c>
      <c r="AP763" s="1248">
        <f t="shared" si="388"/>
        <v>0</v>
      </c>
      <c r="AQ763" s="1248">
        <f t="shared" si="388"/>
        <v>0</v>
      </c>
      <c r="AR763" s="1248">
        <f t="shared" si="388"/>
        <v>0</v>
      </c>
      <c r="AS763" s="1248">
        <f t="shared" si="388"/>
        <v>0</v>
      </c>
      <c r="AT763" s="1248">
        <f t="shared" si="388"/>
        <v>0</v>
      </c>
      <c r="AU763" s="1248">
        <f t="shared" si="388"/>
        <v>0</v>
      </c>
    </row>
    <row r="764" spans="2:47" s="214" customFormat="1" ht="14.25" hidden="1" customHeight="1" outlineLevel="1">
      <c r="B764" s="244"/>
      <c r="C764" s="353" t="s">
        <v>1087</v>
      </c>
      <c r="D764" s="242"/>
      <c r="E764" s="242"/>
      <c r="F764" s="242"/>
      <c r="G764" s="242"/>
      <c r="H764" s="242"/>
      <c r="I764" s="275"/>
      <c r="J764" s="246"/>
      <c r="K764" s="246"/>
      <c r="L764" s="246"/>
      <c r="M764" s="215"/>
      <c r="N764" s="215"/>
      <c r="O764" s="215"/>
      <c r="P764" s="215"/>
      <c r="Q764" s="215"/>
      <c r="R764" s="215"/>
      <c r="S764" s="215"/>
      <c r="T764" s="215"/>
      <c r="U764" s="215">
        <f t="shared" si="373"/>
        <v>0</v>
      </c>
      <c r="V764" s="215"/>
      <c r="W764" s="215"/>
      <c r="X764" s="215"/>
      <c r="Y764" s="215"/>
      <c r="Z764" s="215"/>
      <c r="AA764" s="215"/>
      <c r="AB764" s="215"/>
      <c r="AC764" s="215"/>
      <c r="AD764" s="215"/>
      <c r="AE764" s="215"/>
      <c r="AF764" s="215"/>
      <c r="AG764" s="215"/>
      <c r="AH764" s="215"/>
      <c r="AI764" s="215"/>
      <c r="AJ764" s="215"/>
      <c r="AK764" s="215"/>
      <c r="AL764" s="215"/>
      <c r="AM764" s="215"/>
      <c r="AN764" s="215"/>
      <c r="AO764" s="215"/>
      <c r="AP764" s="215"/>
      <c r="AQ764" s="215"/>
      <c r="AR764" s="215"/>
      <c r="AS764" s="215"/>
      <c r="AT764" s="215"/>
      <c r="AU764" s="215"/>
    </row>
    <row r="765" spans="2:47" s="214" customFormat="1" ht="14.25" hidden="1" customHeight="1" outlineLevel="1">
      <c r="B765" s="244"/>
      <c r="C765" s="353" t="s">
        <v>1089</v>
      </c>
      <c r="D765" s="242"/>
      <c r="E765" s="242"/>
      <c r="F765" s="242"/>
      <c r="G765" s="242"/>
      <c r="H765" s="242"/>
      <c r="I765" s="275"/>
      <c r="J765" s="246"/>
      <c r="K765" s="246"/>
      <c r="L765" s="246"/>
      <c r="M765" s="215"/>
      <c r="N765" s="215"/>
      <c r="O765" s="215"/>
      <c r="P765" s="215"/>
      <c r="Q765" s="215"/>
      <c r="R765" s="215"/>
      <c r="S765" s="215"/>
      <c r="T765" s="215"/>
      <c r="U765" s="215">
        <f t="shared" si="373"/>
        <v>0</v>
      </c>
      <c r="V765" s="215"/>
      <c r="W765" s="215"/>
      <c r="X765" s="215"/>
      <c r="Y765" s="215"/>
      <c r="Z765" s="215"/>
      <c r="AA765" s="215"/>
      <c r="AB765" s="215"/>
      <c r="AC765" s="215"/>
      <c r="AD765" s="215"/>
      <c r="AE765" s="215"/>
      <c r="AF765" s="215"/>
      <c r="AG765" s="215"/>
      <c r="AH765" s="215"/>
      <c r="AI765" s="215"/>
      <c r="AJ765" s="215"/>
      <c r="AK765" s="215"/>
      <c r="AL765" s="215"/>
      <c r="AM765" s="215"/>
      <c r="AN765" s="215"/>
      <c r="AO765" s="215"/>
      <c r="AP765" s="215"/>
      <c r="AQ765" s="215"/>
      <c r="AR765" s="215"/>
      <c r="AS765" s="215"/>
      <c r="AT765" s="215"/>
      <c r="AU765" s="215"/>
    </row>
    <row r="766" spans="2:47" s="214" customFormat="1" ht="14.25" hidden="1" customHeight="1" outlineLevel="1">
      <c r="B766" s="244"/>
      <c r="C766" s="353" t="s">
        <v>1090</v>
      </c>
      <c r="D766" s="242"/>
      <c r="E766" s="242"/>
      <c r="F766" s="242"/>
      <c r="G766" s="242"/>
      <c r="H766" s="242"/>
      <c r="I766" s="275"/>
      <c r="J766" s="246"/>
      <c r="K766" s="246"/>
      <c r="L766" s="246"/>
      <c r="M766" s="215"/>
      <c r="N766" s="215"/>
      <c r="O766" s="215"/>
      <c r="P766" s="215"/>
      <c r="Q766" s="215"/>
      <c r="R766" s="215"/>
      <c r="S766" s="215"/>
      <c r="T766" s="215"/>
      <c r="U766" s="215">
        <f t="shared" si="373"/>
        <v>0</v>
      </c>
      <c r="V766" s="215"/>
      <c r="W766" s="215"/>
      <c r="X766" s="215"/>
      <c r="Y766" s="215"/>
      <c r="Z766" s="215"/>
      <c r="AA766" s="215"/>
      <c r="AB766" s="215"/>
      <c r="AC766" s="215"/>
      <c r="AD766" s="215"/>
      <c r="AE766" s="215"/>
      <c r="AF766" s="215"/>
      <c r="AG766" s="215"/>
      <c r="AH766" s="215"/>
      <c r="AI766" s="215"/>
      <c r="AJ766" s="215"/>
      <c r="AK766" s="215"/>
      <c r="AL766" s="215"/>
      <c r="AM766" s="215"/>
      <c r="AN766" s="215"/>
      <c r="AO766" s="215"/>
      <c r="AP766" s="215"/>
      <c r="AQ766" s="215"/>
      <c r="AR766" s="215"/>
      <c r="AS766" s="215"/>
      <c r="AT766" s="215"/>
      <c r="AU766" s="215"/>
    </row>
    <row r="767" spans="2:47" s="214" customFormat="1" ht="14.25" hidden="1" customHeight="1" outlineLevel="1">
      <c r="B767" s="244"/>
      <c r="C767" s="353" t="s">
        <v>1091</v>
      </c>
      <c r="D767" s="242"/>
      <c r="E767" s="242"/>
      <c r="F767" s="242"/>
      <c r="G767" s="242"/>
      <c r="H767" s="242"/>
      <c r="I767" s="275"/>
      <c r="J767" s="246"/>
      <c r="K767" s="246"/>
      <c r="L767" s="246"/>
      <c r="M767" s="215"/>
      <c r="N767" s="215"/>
      <c r="O767" s="215"/>
      <c r="P767" s="215"/>
      <c r="Q767" s="215"/>
      <c r="R767" s="215"/>
      <c r="S767" s="215"/>
      <c r="T767" s="215"/>
      <c r="U767" s="215">
        <f t="shared" si="373"/>
        <v>0</v>
      </c>
      <c r="V767" s="215"/>
      <c r="W767" s="215"/>
      <c r="X767" s="215"/>
      <c r="Y767" s="215"/>
      <c r="Z767" s="215"/>
      <c r="AA767" s="215"/>
      <c r="AB767" s="215"/>
      <c r="AC767" s="215"/>
      <c r="AD767" s="215"/>
      <c r="AE767" s="215"/>
      <c r="AF767" s="215"/>
      <c r="AG767" s="215"/>
      <c r="AH767" s="215"/>
      <c r="AI767" s="215"/>
      <c r="AJ767" s="215"/>
      <c r="AK767" s="215"/>
      <c r="AL767" s="215"/>
      <c r="AM767" s="215"/>
      <c r="AN767" s="215"/>
      <c r="AO767" s="215"/>
      <c r="AP767" s="215"/>
      <c r="AQ767" s="215"/>
      <c r="AR767" s="215"/>
      <c r="AS767" s="215"/>
      <c r="AT767" s="215"/>
      <c r="AU767" s="215"/>
    </row>
    <row r="768" spans="2:47" s="214" customFormat="1" ht="14.25" hidden="1" customHeight="1" outlineLevel="1">
      <c r="B768" s="244"/>
      <c r="C768" s="353" t="s">
        <v>1092</v>
      </c>
      <c r="D768" s="242"/>
      <c r="E768" s="242"/>
      <c r="F768" s="242"/>
      <c r="G768" s="242"/>
      <c r="H768" s="242"/>
      <c r="I768" s="275"/>
      <c r="J768" s="246"/>
      <c r="K768" s="246"/>
      <c r="L768" s="246"/>
      <c r="M768" s="215"/>
      <c r="N768" s="215"/>
      <c r="O768" s="215"/>
      <c r="P768" s="215"/>
      <c r="Q768" s="215"/>
      <c r="R768" s="215"/>
      <c r="S768" s="215"/>
      <c r="T768" s="215"/>
      <c r="U768" s="215">
        <f t="shared" si="373"/>
        <v>0</v>
      </c>
      <c r="V768" s="215"/>
      <c r="W768" s="215"/>
      <c r="X768" s="215"/>
      <c r="Y768" s="215"/>
      <c r="Z768" s="215"/>
      <c r="AA768" s="215"/>
      <c r="AB768" s="215"/>
      <c r="AC768" s="215"/>
      <c r="AD768" s="215"/>
      <c r="AE768" s="215"/>
      <c r="AF768" s="215"/>
      <c r="AG768" s="215"/>
      <c r="AH768" s="215"/>
      <c r="AI768" s="215"/>
      <c r="AJ768" s="215"/>
      <c r="AK768" s="215"/>
      <c r="AL768" s="215"/>
      <c r="AM768" s="215"/>
      <c r="AN768" s="215"/>
      <c r="AO768" s="215"/>
      <c r="AP768" s="215"/>
      <c r="AQ768" s="215"/>
      <c r="AR768" s="215"/>
      <c r="AS768" s="215"/>
      <c r="AT768" s="215"/>
      <c r="AU768" s="215"/>
    </row>
    <row r="769" spans="2:47" s="214" customFormat="1" ht="14.25" hidden="1" customHeight="1" outlineLevel="1">
      <c r="B769" s="244"/>
      <c r="C769" s="353" t="s">
        <v>1094</v>
      </c>
      <c r="D769" s="242"/>
      <c r="E769" s="242"/>
      <c r="F769" s="242"/>
      <c r="G769" s="242"/>
      <c r="H769" s="242"/>
      <c r="I769" s="275"/>
      <c r="J769" s="246"/>
      <c r="K769" s="246"/>
      <c r="L769" s="246"/>
      <c r="M769" s="215"/>
      <c r="N769" s="215"/>
      <c r="O769" s="215"/>
      <c r="P769" s="215"/>
      <c r="Q769" s="215"/>
      <c r="R769" s="215"/>
      <c r="S769" s="215"/>
      <c r="T769" s="215"/>
      <c r="U769" s="215">
        <f t="shared" si="373"/>
        <v>0</v>
      </c>
      <c r="V769" s="215"/>
      <c r="W769" s="215"/>
      <c r="X769" s="215"/>
      <c r="Y769" s="215"/>
      <c r="Z769" s="215"/>
      <c r="AA769" s="215"/>
      <c r="AB769" s="215"/>
      <c r="AC769" s="215"/>
      <c r="AD769" s="215"/>
      <c r="AE769" s="215"/>
      <c r="AF769" s="215"/>
      <c r="AG769" s="215"/>
      <c r="AH769" s="215"/>
      <c r="AI769" s="215"/>
      <c r="AJ769" s="215"/>
      <c r="AK769" s="215"/>
      <c r="AL769" s="215"/>
      <c r="AM769" s="215"/>
      <c r="AN769" s="215"/>
      <c r="AO769" s="215"/>
      <c r="AP769" s="215"/>
      <c r="AQ769" s="215"/>
      <c r="AR769" s="215"/>
      <c r="AS769" s="215"/>
      <c r="AT769" s="215"/>
      <c r="AU769" s="215"/>
    </row>
    <row r="770" spans="2:47" s="1208" customFormat="1" ht="14.25" customHeight="1" collapsed="1">
      <c r="B770" s="1245"/>
      <c r="C770" s="1247" t="s">
        <v>1104</v>
      </c>
      <c r="D770" s="380"/>
      <c r="E770" s="380"/>
      <c r="F770" s="380"/>
      <c r="G770" s="380"/>
      <c r="H770" s="380"/>
      <c r="I770" s="1246"/>
      <c r="J770" s="258"/>
      <c r="K770" s="258"/>
      <c r="L770" s="258"/>
      <c r="M770" s="1248">
        <f t="shared" ref="M770:AU770" si="389">SUM(M771:M776)</f>
        <v>341092.66999999946</v>
      </c>
      <c r="N770" s="1248">
        <f t="shared" si="389"/>
        <v>3402007.4558699853</v>
      </c>
      <c r="O770" s="1248">
        <f t="shared" si="389"/>
        <v>3402007.4558699853</v>
      </c>
      <c r="P770" s="1248">
        <f t="shared" si="389"/>
        <v>6462922.2417399697</v>
      </c>
      <c r="Q770" s="1248">
        <f t="shared" si="389"/>
        <v>16510141.909425311</v>
      </c>
      <c r="R770" s="1248">
        <f t="shared" si="389"/>
        <v>26930270.773110647</v>
      </c>
      <c r="S770" s="1248"/>
      <c r="T770" s="1248">
        <f>SUM(T771:T776)</f>
        <v>0</v>
      </c>
      <c r="U770" s="1248">
        <f t="shared" si="373"/>
        <v>0</v>
      </c>
      <c r="V770" s="1248">
        <f t="shared" si="389"/>
        <v>36783582.120964475</v>
      </c>
      <c r="W770" s="1248">
        <f t="shared" si="389"/>
        <v>46247202.250179946</v>
      </c>
      <c r="X770" s="1248">
        <f t="shared" si="389"/>
        <v>51041304.25811208</v>
      </c>
      <c r="Y770" s="1248">
        <f t="shared" si="389"/>
        <v>53113226.695502423</v>
      </c>
      <c r="Z770" s="1248">
        <f t="shared" si="389"/>
        <v>54812239.93689277</v>
      </c>
      <c r="AA770" s="1248">
        <f t="shared" si="389"/>
        <v>56511253.178283118</v>
      </c>
      <c r="AB770" s="1248">
        <f t="shared" si="389"/>
        <v>58210266.419673465</v>
      </c>
      <c r="AC770" s="1248">
        <f t="shared" si="389"/>
        <v>59909279.661063813</v>
      </c>
      <c r="AD770" s="1248">
        <f t="shared" si="389"/>
        <v>61608292.90245416</v>
      </c>
      <c r="AE770" s="1248">
        <f t="shared" si="389"/>
        <v>63307306.143844508</v>
      </c>
      <c r="AF770" s="1248">
        <f t="shared" si="389"/>
        <v>65006319.385234855</v>
      </c>
      <c r="AG770" s="1248">
        <f t="shared" si="389"/>
        <v>66705332.626625203</v>
      </c>
      <c r="AH770" s="1248">
        <f t="shared" si="389"/>
        <v>68404345.868015558</v>
      </c>
      <c r="AI770" s="1248">
        <f t="shared" si="389"/>
        <v>70103359.109405905</v>
      </c>
      <c r="AJ770" s="1248">
        <f t="shared" si="389"/>
        <v>71802372.350796252</v>
      </c>
      <c r="AK770" s="1248">
        <f t="shared" si="389"/>
        <v>73501385.592186585</v>
      </c>
      <c r="AL770" s="1248">
        <f t="shared" si="389"/>
        <v>75200398.833576933</v>
      </c>
      <c r="AM770" s="1248">
        <f t="shared" si="389"/>
        <v>75711833.495440289</v>
      </c>
      <c r="AN770" s="1248">
        <f t="shared" si="389"/>
        <v>75711833.495440289</v>
      </c>
      <c r="AO770" s="1248">
        <f t="shared" si="389"/>
        <v>75711833.495440289</v>
      </c>
      <c r="AP770" s="1248">
        <f t="shared" si="389"/>
        <v>75711833.495440289</v>
      </c>
      <c r="AQ770" s="1248">
        <f t="shared" si="389"/>
        <v>75711833.495440289</v>
      </c>
      <c r="AR770" s="1248">
        <f t="shared" si="389"/>
        <v>75711833.495440289</v>
      </c>
      <c r="AS770" s="1248">
        <f t="shared" si="389"/>
        <v>75711833.495440289</v>
      </c>
      <c r="AT770" s="1248">
        <f t="shared" si="389"/>
        <v>75711833.495440289</v>
      </c>
      <c r="AU770" s="1248">
        <f t="shared" si="389"/>
        <v>75711833.495440289</v>
      </c>
    </row>
    <row r="771" spans="2:47" s="214" customFormat="1" ht="14.25" customHeight="1">
      <c r="B771" s="244"/>
      <c r="C771" s="353" t="s">
        <v>1087</v>
      </c>
      <c r="D771" s="242"/>
      <c r="E771" s="242"/>
      <c r="F771" s="242"/>
      <c r="G771" s="242"/>
      <c r="H771" s="242"/>
      <c r="I771" s="275"/>
      <c r="J771" s="246"/>
      <c r="K771" s="246"/>
      <c r="L771" s="246"/>
      <c r="M771" s="1196">
        <f t="shared" ref="M771:M776" si="390">M722-M778</f>
        <v>10022.911932399031</v>
      </c>
      <c r="N771" s="1196">
        <f t="shared" ref="N771:N776" si="391">M771+N757-N764</f>
        <v>10022.911932399031</v>
      </c>
      <c r="O771" s="1196">
        <f t="shared" ref="O771:O776" si="392">N771</f>
        <v>10022.911932399031</v>
      </c>
      <c r="P771" s="1196">
        <f t="shared" ref="P771:AU776" si="393">O771+P757-P764</f>
        <v>10022.911932399031</v>
      </c>
      <c r="Q771" s="1196">
        <f t="shared" si="393"/>
        <v>10022.911932399031</v>
      </c>
      <c r="R771" s="1196">
        <f t="shared" si="393"/>
        <v>10022.911932399031</v>
      </c>
      <c r="S771" s="1196"/>
      <c r="T771" s="1196">
        <f t="shared" si="393"/>
        <v>0</v>
      </c>
      <c r="U771" s="1196">
        <f t="shared" si="373"/>
        <v>0</v>
      </c>
      <c r="V771" s="1196">
        <f t="shared" ref="V771:V776" si="394">R771+V757-V764</f>
        <v>10022.911932399031</v>
      </c>
      <c r="W771" s="1196">
        <f t="shared" si="393"/>
        <v>10022.911932399031</v>
      </c>
      <c r="X771" s="1196">
        <f t="shared" si="393"/>
        <v>10022.911932399031</v>
      </c>
      <c r="Y771" s="1196">
        <f t="shared" si="393"/>
        <v>10022.911932399031</v>
      </c>
      <c r="Z771" s="1196">
        <f t="shared" si="393"/>
        <v>10022.911932399031</v>
      </c>
      <c r="AA771" s="1196">
        <f t="shared" si="393"/>
        <v>10022.911932399031</v>
      </c>
      <c r="AB771" s="1196">
        <f t="shared" si="393"/>
        <v>10022.911932399031</v>
      </c>
      <c r="AC771" s="1196">
        <f t="shared" si="393"/>
        <v>10022.911932399031</v>
      </c>
      <c r="AD771" s="1196">
        <f t="shared" si="393"/>
        <v>10022.911932399031</v>
      </c>
      <c r="AE771" s="1196">
        <f t="shared" si="393"/>
        <v>10022.911932399031</v>
      </c>
      <c r="AF771" s="1196">
        <f t="shared" si="393"/>
        <v>10022.911932399031</v>
      </c>
      <c r="AG771" s="1196">
        <f t="shared" si="393"/>
        <v>10022.911932399031</v>
      </c>
      <c r="AH771" s="1196">
        <f t="shared" si="393"/>
        <v>10022.911932399031</v>
      </c>
      <c r="AI771" s="1196">
        <f t="shared" si="393"/>
        <v>10022.911932399031</v>
      </c>
      <c r="AJ771" s="1196">
        <f t="shared" si="393"/>
        <v>10022.911932399031</v>
      </c>
      <c r="AK771" s="1196">
        <f t="shared" si="393"/>
        <v>10022.911932399031</v>
      </c>
      <c r="AL771" s="1196">
        <f t="shared" si="393"/>
        <v>10022.911932399031</v>
      </c>
      <c r="AM771" s="1196">
        <f t="shared" si="393"/>
        <v>10022.911932399031</v>
      </c>
      <c r="AN771" s="1196">
        <f t="shared" si="393"/>
        <v>10022.911932399031</v>
      </c>
      <c r="AO771" s="1196">
        <f t="shared" si="393"/>
        <v>10022.911932399031</v>
      </c>
      <c r="AP771" s="1196">
        <f t="shared" si="393"/>
        <v>10022.911932399031</v>
      </c>
      <c r="AQ771" s="1196">
        <f t="shared" si="393"/>
        <v>10022.911932399031</v>
      </c>
      <c r="AR771" s="1196">
        <f t="shared" si="393"/>
        <v>10022.911932399031</v>
      </c>
      <c r="AS771" s="1196">
        <f t="shared" si="393"/>
        <v>10022.911932399031</v>
      </c>
      <c r="AT771" s="1196">
        <f t="shared" si="393"/>
        <v>10022.911932399031</v>
      </c>
      <c r="AU771" s="1196">
        <f t="shared" si="393"/>
        <v>10022.911932399031</v>
      </c>
    </row>
    <row r="772" spans="2:47" s="214" customFormat="1" ht="14.25" customHeight="1">
      <c r="B772" s="244"/>
      <c r="C772" s="353" t="s">
        <v>1089</v>
      </c>
      <c r="D772" s="242"/>
      <c r="E772" s="242"/>
      <c r="F772" s="242"/>
      <c r="G772" s="242"/>
      <c r="H772" s="242"/>
      <c r="I772" s="275"/>
      <c r="J772" s="246"/>
      <c r="K772" s="246"/>
      <c r="L772" s="246"/>
      <c r="M772" s="1196">
        <f t="shared" si="390"/>
        <v>152359.89735026658</v>
      </c>
      <c r="N772" s="1196">
        <f t="shared" si="391"/>
        <v>669969.23843862489</v>
      </c>
      <c r="O772" s="1196">
        <f t="shared" si="392"/>
        <v>669969.23843862489</v>
      </c>
      <c r="P772" s="1196">
        <f t="shared" si="393"/>
        <v>1187578.5795269832</v>
      </c>
      <c r="Q772" s="1196">
        <f t="shared" si="393"/>
        <v>2886591.8209173298</v>
      </c>
      <c r="R772" s="1196">
        <f t="shared" si="393"/>
        <v>4585605.0623076763</v>
      </c>
      <c r="S772" s="1196"/>
      <c r="T772" s="1196">
        <f t="shared" si="393"/>
        <v>0</v>
      </c>
      <c r="U772" s="1196">
        <f t="shared" si="373"/>
        <v>0</v>
      </c>
      <c r="V772" s="1196">
        <f t="shared" si="394"/>
        <v>6284618.3036980228</v>
      </c>
      <c r="W772" s="1196">
        <f t="shared" si="393"/>
        <v>7983631.5450883694</v>
      </c>
      <c r="X772" s="1196">
        <f t="shared" si="393"/>
        <v>9682644.7864787169</v>
      </c>
      <c r="Y772" s="1196">
        <f t="shared" si="393"/>
        <v>11381658.027869064</v>
      </c>
      <c r="Z772" s="1196">
        <f t="shared" si="393"/>
        <v>13080671.269259412</v>
      </c>
      <c r="AA772" s="1196">
        <f t="shared" si="393"/>
        <v>14779684.510649759</v>
      </c>
      <c r="AB772" s="1196">
        <f t="shared" si="393"/>
        <v>16478697.752040107</v>
      </c>
      <c r="AC772" s="1196">
        <f t="shared" si="393"/>
        <v>18177710.993430454</v>
      </c>
      <c r="AD772" s="1196">
        <f t="shared" si="393"/>
        <v>19876724.234820802</v>
      </c>
      <c r="AE772" s="1196">
        <f t="shared" si="393"/>
        <v>21575737.476211149</v>
      </c>
      <c r="AF772" s="1196">
        <f t="shared" si="393"/>
        <v>23274750.717601497</v>
      </c>
      <c r="AG772" s="1196">
        <f t="shared" si="393"/>
        <v>24973763.958991844</v>
      </c>
      <c r="AH772" s="1196">
        <f t="shared" si="393"/>
        <v>26672777.200382192</v>
      </c>
      <c r="AI772" s="1196">
        <f t="shared" si="393"/>
        <v>28371790.441772539</v>
      </c>
      <c r="AJ772" s="1196">
        <f t="shared" si="393"/>
        <v>30070803.683162887</v>
      </c>
      <c r="AK772" s="1196">
        <f t="shared" si="393"/>
        <v>31769816.924553234</v>
      </c>
      <c r="AL772" s="1196">
        <f t="shared" si="393"/>
        <v>33468830.165943582</v>
      </c>
      <c r="AM772" s="1196">
        <f t="shared" si="393"/>
        <v>33980264.827806927</v>
      </c>
      <c r="AN772" s="1196">
        <f t="shared" si="393"/>
        <v>33980264.827806927</v>
      </c>
      <c r="AO772" s="1196">
        <f t="shared" si="393"/>
        <v>33980264.827806927</v>
      </c>
      <c r="AP772" s="1196">
        <f t="shared" si="393"/>
        <v>33980264.827806927</v>
      </c>
      <c r="AQ772" s="1196">
        <f t="shared" si="393"/>
        <v>33980264.827806927</v>
      </c>
      <c r="AR772" s="1196">
        <f t="shared" si="393"/>
        <v>33980264.827806927</v>
      </c>
      <c r="AS772" s="1196">
        <f t="shared" si="393"/>
        <v>33980264.827806927</v>
      </c>
      <c r="AT772" s="1196">
        <f t="shared" si="393"/>
        <v>33980264.827806927</v>
      </c>
      <c r="AU772" s="1196">
        <f t="shared" si="393"/>
        <v>33980264.827806927</v>
      </c>
    </row>
    <row r="773" spans="2:47" s="214" customFormat="1" ht="14.25" customHeight="1">
      <c r="B773" s="244"/>
      <c r="C773" s="353" t="s">
        <v>1090</v>
      </c>
      <c r="D773" s="242"/>
      <c r="E773" s="242"/>
      <c r="F773" s="242"/>
      <c r="G773" s="242"/>
      <c r="H773" s="242"/>
      <c r="I773" s="275"/>
      <c r="J773" s="246"/>
      <c r="K773" s="246"/>
      <c r="L773" s="246"/>
      <c r="M773" s="1196">
        <f t="shared" si="390"/>
        <v>158492.24497517943</v>
      </c>
      <c r="N773" s="1196">
        <f t="shared" si="391"/>
        <v>2312262.8346367753</v>
      </c>
      <c r="O773" s="1196">
        <f t="shared" si="392"/>
        <v>2312262.8346367753</v>
      </c>
      <c r="P773" s="1196">
        <f t="shared" si="393"/>
        <v>4466033.4242983712</v>
      </c>
      <c r="Q773" s="1196">
        <f t="shared" si="393"/>
        <v>11535621.355338993</v>
      </c>
      <c r="R773" s="1196">
        <f t="shared" si="393"/>
        <v>18605209.286379613</v>
      </c>
      <c r="S773" s="1196"/>
      <c r="T773" s="1196">
        <f t="shared" si="393"/>
        <v>0</v>
      </c>
      <c r="U773" s="1196">
        <f t="shared" si="373"/>
        <v>0</v>
      </c>
      <c r="V773" s="1196">
        <f t="shared" si="394"/>
        <v>25674797.217420235</v>
      </c>
      <c r="W773" s="1196">
        <f t="shared" si="393"/>
        <v>32744385.148460858</v>
      </c>
      <c r="X773" s="1196">
        <f t="shared" si="393"/>
        <v>35347939.655203104</v>
      </c>
      <c r="Y773" s="1196">
        <f t="shared" si="393"/>
        <v>35347939.655203104</v>
      </c>
      <c r="Z773" s="1196">
        <f t="shared" si="393"/>
        <v>35347939.655203104</v>
      </c>
      <c r="AA773" s="1196">
        <f t="shared" si="393"/>
        <v>35347939.655203104</v>
      </c>
      <c r="AB773" s="1196">
        <f t="shared" si="393"/>
        <v>35347939.655203104</v>
      </c>
      <c r="AC773" s="1196">
        <f t="shared" si="393"/>
        <v>35347939.655203104</v>
      </c>
      <c r="AD773" s="1196">
        <f t="shared" si="393"/>
        <v>35347939.655203104</v>
      </c>
      <c r="AE773" s="1196">
        <f t="shared" si="393"/>
        <v>35347939.655203104</v>
      </c>
      <c r="AF773" s="1196">
        <f t="shared" si="393"/>
        <v>35347939.655203104</v>
      </c>
      <c r="AG773" s="1196">
        <f t="shared" si="393"/>
        <v>35347939.655203104</v>
      </c>
      <c r="AH773" s="1196">
        <f t="shared" si="393"/>
        <v>35347939.655203104</v>
      </c>
      <c r="AI773" s="1196">
        <f t="shared" si="393"/>
        <v>35347939.655203104</v>
      </c>
      <c r="AJ773" s="1196">
        <f t="shared" si="393"/>
        <v>35347939.655203104</v>
      </c>
      <c r="AK773" s="1196">
        <f t="shared" si="393"/>
        <v>35347939.655203104</v>
      </c>
      <c r="AL773" s="1196">
        <f t="shared" si="393"/>
        <v>35347939.655203104</v>
      </c>
      <c r="AM773" s="1196">
        <f t="shared" si="393"/>
        <v>35347939.655203104</v>
      </c>
      <c r="AN773" s="1196">
        <f t="shared" si="393"/>
        <v>35347939.655203104</v>
      </c>
      <c r="AO773" s="1196">
        <f t="shared" si="393"/>
        <v>35347939.655203104</v>
      </c>
      <c r="AP773" s="1196">
        <f t="shared" si="393"/>
        <v>35347939.655203104</v>
      </c>
      <c r="AQ773" s="1196">
        <f t="shared" si="393"/>
        <v>35347939.655203104</v>
      </c>
      <c r="AR773" s="1196">
        <f t="shared" si="393"/>
        <v>35347939.655203104</v>
      </c>
      <c r="AS773" s="1196">
        <f t="shared" si="393"/>
        <v>35347939.655203104</v>
      </c>
      <c r="AT773" s="1196">
        <f t="shared" si="393"/>
        <v>35347939.655203104</v>
      </c>
      <c r="AU773" s="1196">
        <f t="shared" si="393"/>
        <v>35347939.655203104</v>
      </c>
    </row>
    <row r="774" spans="2:47" s="214" customFormat="1" ht="14.25" customHeight="1">
      <c r="B774" s="244"/>
      <c r="C774" s="353" t="s">
        <v>1091</v>
      </c>
      <c r="D774" s="242"/>
      <c r="E774" s="242"/>
      <c r="F774" s="242"/>
      <c r="G774" s="242"/>
      <c r="H774" s="242"/>
      <c r="I774" s="275"/>
      <c r="J774" s="246"/>
      <c r="K774" s="246"/>
      <c r="L774" s="246"/>
      <c r="M774" s="1196">
        <f t="shared" si="390"/>
        <v>7221.3401421881281</v>
      </c>
      <c r="N774" s="1196">
        <f t="shared" si="391"/>
        <v>105353.01856357224</v>
      </c>
      <c r="O774" s="1196">
        <f t="shared" si="392"/>
        <v>105353.01856357224</v>
      </c>
      <c r="P774" s="1196">
        <f t="shared" si="393"/>
        <v>203484.69698495636</v>
      </c>
      <c r="Q774" s="1196">
        <f t="shared" si="393"/>
        <v>525594.45776945096</v>
      </c>
      <c r="R774" s="1196">
        <f t="shared" si="393"/>
        <v>847704.21855394554</v>
      </c>
      <c r="S774" s="1196"/>
      <c r="T774" s="1196">
        <f t="shared" si="393"/>
        <v>0</v>
      </c>
      <c r="U774" s="1196">
        <f t="shared" si="373"/>
        <v>0</v>
      </c>
      <c r="V774" s="1196">
        <f t="shared" si="394"/>
        <v>1169813.9793384401</v>
      </c>
      <c r="W774" s="1196">
        <f t="shared" si="393"/>
        <v>1491923.7401229348</v>
      </c>
      <c r="X774" s="1196">
        <f t="shared" si="393"/>
        <v>1610548.8039224728</v>
      </c>
      <c r="Y774" s="1196">
        <f t="shared" si="393"/>
        <v>1610548.8039224728</v>
      </c>
      <c r="Z774" s="1196">
        <f t="shared" si="393"/>
        <v>1610548.8039224728</v>
      </c>
      <c r="AA774" s="1196">
        <f t="shared" si="393"/>
        <v>1610548.8039224728</v>
      </c>
      <c r="AB774" s="1196">
        <f t="shared" si="393"/>
        <v>1610548.8039224728</v>
      </c>
      <c r="AC774" s="1196">
        <f t="shared" si="393"/>
        <v>1610548.8039224728</v>
      </c>
      <c r="AD774" s="1196">
        <f t="shared" si="393"/>
        <v>1610548.8039224728</v>
      </c>
      <c r="AE774" s="1196">
        <f t="shared" si="393"/>
        <v>1610548.8039224728</v>
      </c>
      <c r="AF774" s="1196">
        <f t="shared" si="393"/>
        <v>1610548.8039224728</v>
      </c>
      <c r="AG774" s="1196">
        <f t="shared" si="393"/>
        <v>1610548.8039224728</v>
      </c>
      <c r="AH774" s="1196">
        <f t="shared" si="393"/>
        <v>1610548.8039224728</v>
      </c>
      <c r="AI774" s="1196">
        <f t="shared" si="393"/>
        <v>1610548.8039224728</v>
      </c>
      <c r="AJ774" s="1196">
        <f t="shared" si="393"/>
        <v>1610548.8039224728</v>
      </c>
      <c r="AK774" s="1196">
        <f t="shared" si="393"/>
        <v>1610548.8039224728</v>
      </c>
      <c r="AL774" s="1196">
        <f t="shared" si="393"/>
        <v>1610548.8039224728</v>
      </c>
      <c r="AM774" s="1196">
        <f t="shared" si="393"/>
        <v>1610548.8039224728</v>
      </c>
      <c r="AN774" s="1196">
        <f t="shared" si="393"/>
        <v>1610548.8039224728</v>
      </c>
      <c r="AO774" s="1196">
        <f t="shared" si="393"/>
        <v>1610548.8039224728</v>
      </c>
      <c r="AP774" s="1196">
        <f t="shared" si="393"/>
        <v>1610548.8039224728</v>
      </c>
      <c r="AQ774" s="1196">
        <f t="shared" si="393"/>
        <v>1610548.8039224728</v>
      </c>
      <c r="AR774" s="1196">
        <f t="shared" si="393"/>
        <v>1610548.8039224728</v>
      </c>
      <c r="AS774" s="1196">
        <f t="shared" si="393"/>
        <v>1610548.8039224728</v>
      </c>
      <c r="AT774" s="1196">
        <f t="shared" si="393"/>
        <v>1610548.8039224728</v>
      </c>
      <c r="AU774" s="1196">
        <f t="shared" si="393"/>
        <v>1610548.8039224728</v>
      </c>
    </row>
    <row r="775" spans="2:47" s="214" customFormat="1" ht="14.25" customHeight="1">
      <c r="B775" s="244"/>
      <c r="C775" s="353" t="s">
        <v>1092</v>
      </c>
      <c r="D775" s="242"/>
      <c r="E775" s="242"/>
      <c r="F775" s="242"/>
      <c r="G775" s="242"/>
      <c r="H775" s="242"/>
      <c r="I775" s="275"/>
      <c r="J775" s="246"/>
      <c r="K775" s="246"/>
      <c r="L775" s="246"/>
      <c r="M775" s="1196">
        <f t="shared" si="390"/>
        <v>12996.275599966291</v>
      </c>
      <c r="N775" s="1196">
        <f t="shared" si="391"/>
        <v>304399.45229861361</v>
      </c>
      <c r="O775" s="1196">
        <f t="shared" si="392"/>
        <v>304399.45229861361</v>
      </c>
      <c r="P775" s="1196">
        <f t="shared" si="393"/>
        <v>595802.62899726094</v>
      </c>
      <c r="Q775" s="1196">
        <f t="shared" si="393"/>
        <v>1552311.3634671383</v>
      </c>
      <c r="R775" s="1196">
        <f t="shared" si="393"/>
        <v>2508820.0979370158</v>
      </c>
      <c r="S775" s="1196"/>
      <c r="T775" s="1196">
        <f t="shared" si="393"/>
        <v>0</v>
      </c>
      <c r="U775" s="1196">
        <f t="shared" si="373"/>
        <v>0</v>
      </c>
      <c r="V775" s="1196">
        <f t="shared" si="394"/>
        <v>2898511.3165753856</v>
      </c>
      <c r="W775" s="1196">
        <f t="shared" si="393"/>
        <v>2898511.3165753856</v>
      </c>
      <c r="X775" s="1196">
        <f t="shared" si="393"/>
        <v>2898511.3165753856</v>
      </c>
      <c r="Y775" s="1196">
        <f t="shared" si="393"/>
        <v>2898511.3165753856</v>
      </c>
      <c r="Z775" s="1196">
        <f t="shared" si="393"/>
        <v>2898511.3165753856</v>
      </c>
      <c r="AA775" s="1196">
        <f t="shared" si="393"/>
        <v>2898511.3165753856</v>
      </c>
      <c r="AB775" s="1196">
        <f t="shared" si="393"/>
        <v>2898511.3165753856</v>
      </c>
      <c r="AC775" s="1196">
        <f t="shared" si="393"/>
        <v>2898511.3165753856</v>
      </c>
      <c r="AD775" s="1196">
        <f t="shared" si="393"/>
        <v>2898511.3165753856</v>
      </c>
      <c r="AE775" s="1196">
        <f t="shared" si="393"/>
        <v>2898511.3165753856</v>
      </c>
      <c r="AF775" s="1196">
        <f t="shared" si="393"/>
        <v>2898511.3165753856</v>
      </c>
      <c r="AG775" s="1196">
        <f t="shared" si="393"/>
        <v>2898511.3165753856</v>
      </c>
      <c r="AH775" s="1196">
        <f t="shared" si="393"/>
        <v>2898511.3165753856</v>
      </c>
      <c r="AI775" s="1196">
        <f t="shared" si="393"/>
        <v>2898511.3165753856</v>
      </c>
      <c r="AJ775" s="1196">
        <f t="shared" si="393"/>
        <v>2898511.3165753856</v>
      </c>
      <c r="AK775" s="1196">
        <f t="shared" si="393"/>
        <v>2898511.3165753856</v>
      </c>
      <c r="AL775" s="1196">
        <f t="shared" si="393"/>
        <v>2898511.3165753856</v>
      </c>
      <c r="AM775" s="1196">
        <f t="shared" si="393"/>
        <v>2898511.3165753856</v>
      </c>
      <c r="AN775" s="1196">
        <f t="shared" si="393"/>
        <v>2898511.3165753856</v>
      </c>
      <c r="AO775" s="1196">
        <f t="shared" si="393"/>
        <v>2898511.3165753856</v>
      </c>
      <c r="AP775" s="1196">
        <f t="shared" si="393"/>
        <v>2898511.3165753856</v>
      </c>
      <c r="AQ775" s="1196">
        <f t="shared" si="393"/>
        <v>2898511.3165753856</v>
      </c>
      <c r="AR775" s="1196">
        <f t="shared" si="393"/>
        <v>2898511.3165753856</v>
      </c>
      <c r="AS775" s="1196">
        <f t="shared" si="393"/>
        <v>2898511.3165753856</v>
      </c>
      <c r="AT775" s="1196">
        <f t="shared" si="393"/>
        <v>2898511.3165753856</v>
      </c>
      <c r="AU775" s="1196">
        <f t="shared" si="393"/>
        <v>2898511.3165753856</v>
      </c>
    </row>
    <row r="776" spans="2:47" s="214" customFormat="1" ht="14.25" customHeight="1">
      <c r="B776" s="244"/>
      <c r="C776" s="353" t="s">
        <v>1094</v>
      </c>
      <c r="D776" s="242"/>
      <c r="E776" s="242"/>
      <c r="F776" s="242"/>
      <c r="G776" s="242"/>
      <c r="H776" s="242"/>
      <c r="I776" s="275"/>
      <c r="J776" s="246"/>
      <c r="K776" s="246"/>
      <c r="L776" s="246"/>
      <c r="M776" s="1196">
        <f t="shared" si="390"/>
        <v>0</v>
      </c>
      <c r="N776" s="1196">
        <f t="shared" si="391"/>
        <v>0</v>
      </c>
      <c r="O776" s="1196">
        <f t="shared" si="392"/>
        <v>0</v>
      </c>
      <c r="P776" s="1196">
        <f t="shared" si="393"/>
        <v>0</v>
      </c>
      <c r="Q776" s="1196">
        <f t="shared" si="393"/>
        <v>0</v>
      </c>
      <c r="R776" s="1196">
        <f t="shared" si="393"/>
        <v>372909.196</v>
      </c>
      <c r="S776" s="1196"/>
      <c r="T776" s="1196">
        <f t="shared" si="393"/>
        <v>0</v>
      </c>
      <c r="U776" s="1196">
        <f t="shared" si="373"/>
        <v>0</v>
      </c>
      <c r="V776" s="1196">
        <f t="shared" si="394"/>
        <v>745818.39199999999</v>
      </c>
      <c r="W776" s="1196">
        <f t="shared" si="393"/>
        <v>1118727.588</v>
      </c>
      <c r="X776" s="1196">
        <f t="shared" si="393"/>
        <v>1491636.784</v>
      </c>
      <c r="Y776" s="1196">
        <f t="shared" si="393"/>
        <v>1864545.98</v>
      </c>
      <c r="Z776" s="1196">
        <f t="shared" si="393"/>
        <v>1864545.98</v>
      </c>
      <c r="AA776" s="1196">
        <f t="shared" si="393"/>
        <v>1864545.98</v>
      </c>
      <c r="AB776" s="1196">
        <f t="shared" si="393"/>
        <v>1864545.98</v>
      </c>
      <c r="AC776" s="1196">
        <f t="shared" si="393"/>
        <v>1864545.98</v>
      </c>
      <c r="AD776" s="1196">
        <f t="shared" si="393"/>
        <v>1864545.98</v>
      </c>
      <c r="AE776" s="1196">
        <f t="shared" si="393"/>
        <v>1864545.98</v>
      </c>
      <c r="AF776" s="1196">
        <f t="shared" si="393"/>
        <v>1864545.98</v>
      </c>
      <c r="AG776" s="1196">
        <f t="shared" si="393"/>
        <v>1864545.98</v>
      </c>
      <c r="AH776" s="1196">
        <f t="shared" si="393"/>
        <v>1864545.98</v>
      </c>
      <c r="AI776" s="1196">
        <f t="shared" si="393"/>
        <v>1864545.98</v>
      </c>
      <c r="AJ776" s="1196">
        <f t="shared" si="393"/>
        <v>1864545.98</v>
      </c>
      <c r="AK776" s="1196">
        <f t="shared" si="393"/>
        <v>1864545.98</v>
      </c>
      <c r="AL776" s="1196">
        <f t="shared" si="393"/>
        <v>1864545.98</v>
      </c>
      <c r="AM776" s="1196">
        <f t="shared" si="393"/>
        <v>1864545.98</v>
      </c>
      <c r="AN776" s="1196">
        <f t="shared" si="393"/>
        <v>1864545.98</v>
      </c>
      <c r="AO776" s="1196">
        <f t="shared" si="393"/>
        <v>1864545.98</v>
      </c>
      <c r="AP776" s="1196">
        <f t="shared" si="393"/>
        <v>1864545.98</v>
      </c>
      <c r="AQ776" s="1196">
        <f t="shared" si="393"/>
        <v>1864545.98</v>
      </c>
      <c r="AR776" s="1196">
        <f t="shared" si="393"/>
        <v>1864545.98</v>
      </c>
      <c r="AS776" s="1196">
        <f t="shared" si="393"/>
        <v>1864545.98</v>
      </c>
      <c r="AT776" s="1196">
        <f t="shared" si="393"/>
        <v>1864545.98</v>
      </c>
      <c r="AU776" s="1196">
        <f t="shared" si="393"/>
        <v>1864545.98</v>
      </c>
    </row>
    <row r="777" spans="2:47" s="1208" customFormat="1" ht="14.25" customHeight="1">
      <c r="B777" s="1245"/>
      <c r="C777" s="1247" t="s">
        <v>1005</v>
      </c>
      <c r="D777" s="380"/>
      <c r="E777" s="380"/>
      <c r="F777" s="380"/>
      <c r="G777" s="380"/>
      <c r="H777" s="380"/>
      <c r="I777" s="1246"/>
      <c r="J777" s="258"/>
      <c r="K777" s="258"/>
      <c r="L777" s="258"/>
      <c r="M777" s="1248">
        <f t="shared" ref="M777:AU777" si="395">SUM(M778:M783)</f>
        <v>77596090.920000002</v>
      </c>
      <c r="N777" s="1248">
        <f t="shared" si="395"/>
        <v>74535176.134130016</v>
      </c>
      <c r="O777" s="1248">
        <f t="shared" si="395"/>
        <v>74535176.134130016</v>
      </c>
      <c r="P777" s="1248">
        <f t="shared" si="395"/>
        <v>71474261.34826003</v>
      </c>
      <c r="Q777" s="1248">
        <f t="shared" si="395"/>
        <v>61427041.680574693</v>
      </c>
      <c r="R777" s="1248">
        <f t="shared" si="395"/>
        <v>51006912.816889353</v>
      </c>
      <c r="S777" s="1248"/>
      <c r="T777" s="1248">
        <f>SUM(T778:T783)</f>
        <v>0</v>
      </c>
      <c r="U777" s="1248">
        <f t="shared" si="373"/>
        <v>0</v>
      </c>
      <c r="V777" s="1248">
        <f t="shared" si="395"/>
        <v>41153601.469035514</v>
      </c>
      <c r="W777" s="1248">
        <f t="shared" si="395"/>
        <v>31689981.339820057</v>
      </c>
      <c r="X777" s="1248">
        <f t="shared" si="395"/>
        <v>26895879.331887923</v>
      </c>
      <c r="Y777" s="1248">
        <f t="shared" si="395"/>
        <v>24823956.894497577</v>
      </c>
      <c r="Z777" s="1248">
        <f t="shared" si="395"/>
        <v>23124943.65310723</v>
      </c>
      <c r="AA777" s="1248">
        <f t="shared" si="395"/>
        <v>21425930.411716882</v>
      </c>
      <c r="AB777" s="1248">
        <f t="shared" si="395"/>
        <v>19726917.170326535</v>
      </c>
      <c r="AC777" s="1248">
        <f t="shared" si="395"/>
        <v>18027903.928936187</v>
      </c>
      <c r="AD777" s="1248">
        <f t="shared" si="395"/>
        <v>16328890.68754584</v>
      </c>
      <c r="AE777" s="1248">
        <f t="shared" si="395"/>
        <v>14629877.446155492</v>
      </c>
      <c r="AF777" s="1248">
        <f t="shared" si="395"/>
        <v>12930864.204765145</v>
      </c>
      <c r="AG777" s="1248">
        <f t="shared" si="395"/>
        <v>11231850.963374797</v>
      </c>
      <c r="AH777" s="1248">
        <f t="shared" si="395"/>
        <v>9532837.7219844498</v>
      </c>
      <c r="AI777" s="1248">
        <f t="shared" si="395"/>
        <v>7833824.4805941023</v>
      </c>
      <c r="AJ777" s="1248">
        <f t="shared" si="395"/>
        <v>6134811.2392037548</v>
      </c>
      <c r="AK777" s="1248">
        <f t="shared" si="395"/>
        <v>4435797.9978134073</v>
      </c>
      <c r="AL777" s="1248">
        <f t="shared" si="395"/>
        <v>2736784.7564230599</v>
      </c>
      <c r="AM777" s="1248">
        <f t="shared" si="395"/>
        <v>2225350.0945597142</v>
      </c>
      <c r="AN777" s="1248">
        <f t="shared" si="395"/>
        <v>2225350.0945597142</v>
      </c>
      <c r="AO777" s="1248">
        <f t="shared" si="395"/>
        <v>2225350.0945597142</v>
      </c>
      <c r="AP777" s="1248">
        <f t="shared" si="395"/>
        <v>2225350.0945597142</v>
      </c>
      <c r="AQ777" s="1248">
        <f t="shared" si="395"/>
        <v>2225350.0945597142</v>
      </c>
      <c r="AR777" s="1248">
        <f t="shared" si="395"/>
        <v>2225350.0945597142</v>
      </c>
      <c r="AS777" s="1248">
        <f t="shared" si="395"/>
        <v>2225350.0945597142</v>
      </c>
      <c r="AT777" s="1248">
        <f t="shared" si="395"/>
        <v>2225350.0945597142</v>
      </c>
      <c r="AU777" s="1248">
        <f t="shared" si="395"/>
        <v>2225350.0945597142</v>
      </c>
    </row>
    <row r="778" spans="2:47" s="214" customFormat="1" ht="14.25" customHeight="1">
      <c r="B778" s="244"/>
      <c r="C778" s="353" t="s">
        <v>1087</v>
      </c>
      <c r="D778" s="242"/>
      <c r="E778" s="242"/>
      <c r="F778" s="242"/>
      <c r="G778" s="242"/>
      <c r="H778" s="242"/>
      <c r="I778" s="275"/>
      <c r="J778" s="246"/>
      <c r="K778" s="246"/>
      <c r="L778" s="246"/>
      <c r="M778" s="1196">
        <f>M$660*N642</f>
        <v>2225350.0945597142</v>
      </c>
      <c r="N778" s="1196">
        <f t="shared" ref="N778:AU783" si="396">N722-N771</f>
        <v>2225350.0945597142</v>
      </c>
      <c r="O778" s="1196">
        <f t="shared" si="396"/>
        <v>2225350.0945597142</v>
      </c>
      <c r="P778" s="1196">
        <f t="shared" si="396"/>
        <v>2225350.0945597142</v>
      </c>
      <c r="Q778" s="1196">
        <f t="shared" si="396"/>
        <v>2225350.0945597142</v>
      </c>
      <c r="R778" s="1196">
        <f t="shared" si="396"/>
        <v>2225350.0945597142</v>
      </c>
      <c r="S778" s="1196"/>
      <c r="T778" s="1196">
        <f t="shared" ref="T778:T783" si="397">T722-T771</f>
        <v>0</v>
      </c>
      <c r="U778" s="1196">
        <f t="shared" si="373"/>
        <v>0</v>
      </c>
      <c r="V778" s="1196">
        <f t="shared" si="396"/>
        <v>2225350.0945597142</v>
      </c>
      <c r="W778" s="1196">
        <f t="shared" si="396"/>
        <v>2225350.0945597142</v>
      </c>
      <c r="X778" s="1196">
        <f t="shared" si="396"/>
        <v>2225350.0945597142</v>
      </c>
      <c r="Y778" s="1196">
        <f t="shared" si="396"/>
        <v>2225350.0945597142</v>
      </c>
      <c r="Z778" s="1196">
        <f t="shared" si="396"/>
        <v>2225350.0945597142</v>
      </c>
      <c r="AA778" s="1196">
        <f t="shared" si="396"/>
        <v>2225350.0945597142</v>
      </c>
      <c r="AB778" s="1196">
        <f t="shared" si="396"/>
        <v>2225350.0945597142</v>
      </c>
      <c r="AC778" s="1196">
        <f t="shared" si="396"/>
        <v>2225350.0945597142</v>
      </c>
      <c r="AD778" s="1196">
        <f t="shared" si="396"/>
        <v>2225350.0945597142</v>
      </c>
      <c r="AE778" s="1196">
        <f t="shared" si="396"/>
        <v>2225350.0945597142</v>
      </c>
      <c r="AF778" s="1196">
        <f t="shared" si="396"/>
        <v>2225350.0945597142</v>
      </c>
      <c r="AG778" s="1196">
        <f t="shared" si="396"/>
        <v>2225350.0945597142</v>
      </c>
      <c r="AH778" s="1196">
        <f t="shared" si="396"/>
        <v>2225350.0945597142</v>
      </c>
      <c r="AI778" s="1196">
        <f t="shared" si="396"/>
        <v>2225350.0945597142</v>
      </c>
      <c r="AJ778" s="1196">
        <f t="shared" si="396"/>
        <v>2225350.0945597142</v>
      </c>
      <c r="AK778" s="1196">
        <f t="shared" si="396"/>
        <v>2225350.0945597142</v>
      </c>
      <c r="AL778" s="1196">
        <f t="shared" si="396"/>
        <v>2225350.0945597142</v>
      </c>
      <c r="AM778" s="1196">
        <f t="shared" si="396"/>
        <v>2225350.0945597142</v>
      </c>
      <c r="AN778" s="1196">
        <f t="shared" si="396"/>
        <v>2225350.0945597142</v>
      </c>
      <c r="AO778" s="1196">
        <f t="shared" si="396"/>
        <v>2225350.0945597142</v>
      </c>
      <c r="AP778" s="1196">
        <f t="shared" si="396"/>
        <v>2225350.0945597142</v>
      </c>
      <c r="AQ778" s="1196">
        <f t="shared" si="396"/>
        <v>2225350.0945597142</v>
      </c>
      <c r="AR778" s="1196">
        <f t="shared" si="396"/>
        <v>2225350.0945597142</v>
      </c>
      <c r="AS778" s="1196">
        <f t="shared" si="396"/>
        <v>2225350.0945597142</v>
      </c>
      <c r="AT778" s="1196">
        <f t="shared" si="396"/>
        <v>2225350.0945597142</v>
      </c>
      <c r="AU778" s="1196">
        <f t="shared" si="396"/>
        <v>2225350.0945597142</v>
      </c>
    </row>
    <row r="779" spans="2:47" s="214" customFormat="1" ht="14.25" customHeight="1">
      <c r="B779" s="244"/>
      <c r="C779" s="353" t="s">
        <v>1089</v>
      </c>
      <c r="D779" s="242"/>
      <c r="E779" s="242"/>
      <c r="F779" s="242"/>
      <c r="G779" s="242"/>
      <c r="H779" s="242"/>
      <c r="I779" s="275"/>
      <c r="J779" s="246"/>
      <c r="K779" s="246"/>
      <c r="L779" s="246"/>
      <c r="M779" s="1196">
        <f>M$660*N644</f>
        <v>33827904.930456661</v>
      </c>
      <c r="N779" s="1196">
        <f t="shared" si="396"/>
        <v>33310295.589368302</v>
      </c>
      <c r="O779" s="1196">
        <f t="shared" si="396"/>
        <v>33310295.589368302</v>
      </c>
      <c r="P779" s="1196">
        <f t="shared" si="396"/>
        <v>32792686.248279944</v>
      </c>
      <c r="Q779" s="1196">
        <f t="shared" si="396"/>
        <v>31093673.006889597</v>
      </c>
      <c r="R779" s="1196">
        <f t="shared" si="396"/>
        <v>29394659.765499249</v>
      </c>
      <c r="S779" s="1196"/>
      <c r="T779" s="1196">
        <f t="shared" si="397"/>
        <v>0</v>
      </c>
      <c r="U779" s="1196">
        <f t="shared" si="373"/>
        <v>0</v>
      </c>
      <c r="V779" s="1196">
        <f t="shared" si="396"/>
        <v>27695646.524108905</v>
      </c>
      <c r="W779" s="1196">
        <f t="shared" si="396"/>
        <v>25996633.282718558</v>
      </c>
      <c r="X779" s="1196">
        <f t="shared" si="396"/>
        <v>24297620.04132821</v>
      </c>
      <c r="Y779" s="1196">
        <f t="shared" si="396"/>
        <v>22598606.799937863</v>
      </c>
      <c r="Z779" s="1196">
        <f t="shared" si="396"/>
        <v>20899593.558547515</v>
      </c>
      <c r="AA779" s="1196">
        <f t="shared" si="396"/>
        <v>19200580.317157168</v>
      </c>
      <c r="AB779" s="1196">
        <f t="shared" si="396"/>
        <v>17501567.07576682</v>
      </c>
      <c r="AC779" s="1196">
        <f t="shared" si="396"/>
        <v>15802553.834376473</v>
      </c>
      <c r="AD779" s="1196">
        <f t="shared" si="396"/>
        <v>14103540.592986125</v>
      </c>
      <c r="AE779" s="1196">
        <f t="shared" si="396"/>
        <v>12404527.351595778</v>
      </c>
      <c r="AF779" s="1196">
        <f t="shared" si="396"/>
        <v>10705514.110205431</v>
      </c>
      <c r="AG779" s="1196">
        <f t="shared" si="396"/>
        <v>9006500.8688150831</v>
      </c>
      <c r="AH779" s="1196">
        <f t="shared" si="396"/>
        <v>7307487.6274247356</v>
      </c>
      <c r="AI779" s="1196">
        <f t="shared" si="396"/>
        <v>5608474.3860343881</v>
      </c>
      <c r="AJ779" s="1196">
        <f t="shared" si="396"/>
        <v>3909461.1446440406</v>
      </c>
      <c r="AK779" s="1196">
        <f t="shared" si="396"/>
        <v>2210447.9032536931</v>
      </c>
      <c r="AL779" s="1196">
        <f t="shared" si="396"/>
        <v>511434.66186334565</v>
      </c>
      <c r="AM779" s="1196">
        <f t="shared" si="396"/>
        <v>0</v>
      </c>
      <c r="AN779" s="1196">
        <f t="shared" si="396"/>
        <v>0</v>
      </c>
      <c r="AO779" s="1196">
        <f t="shared" si="396"/>
        <v>0</v>
      </c>
      <c r="AP779" s="1196">
        <f t="shared" si="396"/>
        <v>0</v>
      </c>
      <c r="AQ779" s="1196">
        <f t="shared" si="396"/>
        <v>0</v>
      </c>
      <c r="AR779" s="1196">
        <f t="shared" si="396"/>
        <v>0</v>
      </c>
      <c r="AS779" s="1196">
        <f t="shared" si="396"/>
        <v>0</v>
      </c>
      <c r="AT779" s="1196">
        <f t="shared" si="396"/>
        <v>0</v>
      </c>
      <c r="AU779" s="1196">
        <f t="shared" si="396"/>
        <v>0</v>
      </c>
    </row>
    <row r="780" spans="2:47" s="214" customFormat="1" ht="14.25" customHeight="1">
      <c r="B780" s="244"/>
      <c r="C780" s="353" t="s">
        <v>1090</v>
      </c>
      <c r="D780" s="242"/>
      <c r="E780" s="242"/>
      <c r="F780" s="242"/>
      <c r="G780" s="242"/>
      <c r="H780" s="242"/>
      <c r="I780" s="275"/>
      <c r="J780" s="246"/>
      <c r="K780" s="246"/>
      <c r="L780" s="246"/>
      <c r="M780" s="1196">
        <f>M$660*N645</f>
        <v>35189447.410227925</v>
      </c>
      <c r="N780" s="1196">
        <f t="shared" si="396"/>
        <v>33035676.82056633</v>
      </c>
      <c r="O780" s="1196">
        <f t="shared" si="396"/>
        <v>33035676.82056633</v>
      </c>
      <c r="P780" s="1196">
        <f t="shared" si="396"/>
        <v>30881906.230904732</v>
      </c>
      <c r="Q780" s="1196">
        <f t="shared" si="396"/>
        <v>23812318.299864113</v>
      </c>
      <c r="R780" s="1196">
        <f t="shared" si="396"/>
        <v>16742730.368823491</v>
      </c>
      <c r="S780" s="1196"/>
      <c r="T780" s="1196">
        <f t="shared" si="397"/>
        <v>0</v>
      </c>
      <c r="U780" s="1196">
        <f t="shared" ref="U780:U839" si="398">T780</f>
        <v>0</v>
      </c>
      <c r="V780" s="1196">
        <f t="shared" si="396"/>
        <v>9673142.4377828687</v>
      </c>
      <c r="W780" s="1196">
        <f t="shared" si="396"/>
        <v>2603554.5067422464</v>
      </c>
      <c r="X780" s="1196">
        <f t="shared" si="396"/>
        <v>0</v>
      </c>
      <c r="Y780" s="1196">
        <f t="shared" si="396"/>
        <v>0</v>
      </c>
      <c r="Z780" s="1196">
        <f t="shared" si="396"/>
        <v>0</v>
      </c>
      <c r="AA780" s="1196">
        <f t="shared" si="396"/>
        <v>0</v>
      </c>
      <c r="AB780" s="1196">
        <f t="shared" si="396"/>
        <v>0</v>
      </c>
      <c r="AC780" s="1196">
        <f t="shared" si="396"/>
        <v>0</v>
      </c>
      <c r="AD780" s="1196">
        <f t="shared" si="396"/>
        <v>0</v>
      </c>
      <c r="AE780" s="1196">
        <f t="shared" si="396"/>
        <v>0</v>
      </c>
      <c r="AF780" s="1196">
        <f t="shared" si="396"/>
        <v>0</v>
      </c>
      <c r="AG780" s="1196">
        <f t="shared" si="396"/>
        <v>0</v>
      </c>
      <c r="AH780" s="1196">
        <f t="shared" si="396"/>
        <v>0</v>
      </c>
      <c r="AI780" s="1196">
        <f t="shared" si="396"/>
        <v>0</v>
      </c>
      <c r="AJ780" s="1196">
        <f t="shared" si="396"/>
        <v>0</v>
      </c>
      <c r="AK780" s="1196">
        <f t="shared" si="396"/>
        <v>0</v>
      </c>
      <c r="AL780" s="1196">
        <f t="shared" si="396"/>
        <v>0</v>
      </c>
      <c r="AM780" s="1196">
        <f t="shared" si="396"/>
        <v>0</v>
      </c>
      <c r="AN780" s="1196">
        <f t="shared" si="396"/>
        <v>0</v>
      </c>
      <c r="AO780" s="1196">
        <f t="shared" si="396"/>
        <v>0</v>
      </c>
      <c r="AP780" s="1196">
        <f t="shared" si="396"/>
        <v>0</v>
      </c>
      <c r="AQ780" s="1196">
        <f t="shared" si="396"/>
        <v>0</v>
      </c>
      <c r="AR780" s="1196">
        <f t="shared" si="396"/>
        <v>0</v>
      </c>
      <c r="AS780" s="1196">
        <f t="shared" si="396"/>
        <v>0</v>
      </c>
      <c r="AT780" s="1196">
        <f t="shared" si="396"/>
        <v>0</v>
      </c>
      <c r="AU780" s="1196">
        <f t="shared" si="396"/>
        <v>0</v>
      </c>
    </row>
    <row r="781" spans="2:47" s="214" customFormat="1" ht="14.25" customHeight="1">
      <c r="B781" s="244"/>
      <c r="C781" s="353" t="s">
        <v>1091</v>
      </c>
      <c r="D781" s="242"/>
      <c r="E781" s="242"/>
      <c r="F781" s="242"/>
      <c r="G781" s="242"/>
      <c r="H781" s="242"/>
      <c r="I781" s="275"/>
      <c r="J781" s="246"/>
      <c r="K781" s="246"/>
      <c r="L781" s="246"/>
      <c r="M781" s="1196">
        <f>M$660*N646</f>
        <v>1603327.4637802846</v>
      </c>
      <c r="N781" s="1196">
        <f t="shared" si="396"/>
        <v>1505195.7853589004</v>
      </c>
      <c r="O781" s="1196">
        <f t="shared" si="396"/>
        <v>1505195.7853589004</v>
      </c>
      <c r="P781" s="1196">
        <f t="shared" si="396"/>
        <v>1407064.1069375165</v>
      </c>
      <c r="Q781" s="1196">
        <f t="shared" si="396"/>
        <v>1084954.3461530218</v>
      </c>
      <c r="R781" s="1196">
        <f t="shared" si="396"/>
        <v>762844.58536852722</v>
      </c>
      <c r="S781" s="1196"/>
      <c r="T781" s="1196">
        <f t="shared" si="397"/>
        <v>0</v>
      </c>
      <c r="U781" s="1196">
        <f t="shared" si="398"/>
        <v>0</v>
      </c>
      <c r="V781" s="1196">
        <f t="shared" si="396"/>
        <v>440734.82458403264</v>
      </c>
      <c r="W781" s="1196">
        <f t="shared" si="396"/>
        <v>118625.06379953795</v>
      </c>
      <c r="X781" s="1196">
        <f t="shared" si="396"/>
        <v>0</v>
      </c>
      <c r="Y781" s="1196">
        <f t="shared" si="396"/>
        <v>0</v>
      </c>
      <c r="Z781" s="1196">
        <f t="shared" si="396"/>
        <v>0</v>
      </c>
      <c r="AA781" s="1196">
        <f t="shared" si="396"/>
        <v>0</v>
      </c>
      <c r="AB781" s="1196">
        <f t="shared" si="396"/>
        <v>0</v>
      </c>
      <c r="AC781" s="1196">
        <f t="shared" si="396"/>
        <v>0</v>
      </c>
      <c r="AD781" s="1196">
        <f t="shared" si="396"/>
        <v>0</v>
      </c>
      <c r="AE781" s="1196">
        <f t="shared" si="396"/>
        <v>0</v>
      </c>
      <c r="AF781" s="1196">
        <f t="shared" si="396"/>
        <v>0</v>
      </c>
      <c r="AG781" s="1196">
        <f t="shared" si="396"/>
        <v>0</v>
      </c>
      <c r="AH781" s="1196">
        <f t="shared" si="396"/>
        <v>0</v>
      </c>
      <c r="AI781" s="1196">
        <f t="shared" si="396"/>
        <v>0</v>
      </c>
      <c r="AJ781" s="1196">
        <f t="shared" si="396"/>
        <v>0</v>
      </c>
      <c r="AK781" s="1196">
        <f t="shared" si="396"/>
        <v>0</v>
      </c>
      <c r="AL781" s="1196">
        <f t="shared" si="396"/>
        <v>0</v>
      </c>
      <c r="AM781" s="1196">
        <f t="shared" si="396"/>
        <v>0</v>
      </c>
      <c r="AN781" s="1196">
        <f t="shared" si="396"/>
        <v>0</v>
      </c>
      <c r="AO781" s="1196">
        <f t="shared" si="396"/>
        <v>0</v>
      </c>
      <c r="AP781" s="1196">
        <f t="shared" si="396"/>
        <v>0</v>
      </c>
      <c r="AQ781" s="1196">
        <f t="shared" si="396"/>
        <v>0</v>
      </c>
      <c r="AR781" s="1196">
        <f t="shared" si="396"/>
        <v>0</v>
      </c>
      <c r="AS781" s="1196">
        <f t="shared" si="396"/>
        <v>0</v>
      </c>
      <c r="AT781" s="1196">
        <f t="shared" si="396"/>
        <v>0</v>
      </c>
      <c r="AU781" s="1196">
        <f t="shared" si="396"/>
        <v>0</v>
      </c>
    </row>
    <row r="782" spans="2:47" s="214" customFormat="1" ht="14.25" customHeight="1">
      <c r="B782" s="244"/>
      <c r="C782" s="353" t="s">
        <v>1092</v>
      </c>
      <c r="D782" s="242"/>
      <c r="E782" s="242"/>
      <c r="F782" s="242"/>
      <c r="G782" s="242"/>
      <c r="H782" s="242"/>
      <c r="I782" s="275"/>
      <c r="J782" s="246"/>
      <c r="K782" s="246"/>
      <c r="L782" s="246"/>
      <c r="M782" s="1196">
        <f>M$660*N647</f>
        <v>2885515.0409754193</v>
      </c>
      <c r="N782" s="1196">
        <f t="shared" si="396"/>
        <v>2594111.8642767719</v>
      </c>
      <c r="O782" s="1196">
        <f t="shared" si="396"/>
        <v>2594111.8642767719</v>
      </c>
      <c r="P782" s="1196">
        <f t="shared" si="396"/>
        <v>2302708.6875781249</v>
      </c>
      <c r="Q782" s="1196">
        <f t="shared" si="396"/>
        <v>1346199.9531082474</v>
      </c>
      <c r="R782" s="1196">
        <f t="shared" si="396"/>
        <v>389691.21863836981</v>
      </c>
      <c r="S782" s="1196"/>
      <c r="T782" s="1196">
        <f t="shared" si="397"/>
        <v>0</v>
      </c>
      <c r="U782" s="1196">
        <f t="shared" si="398"/>
        <v>0</v>
      </c>
      <c r="V782" s="1196">
        <f t="shared" si="396"/>
        <v>0</v>
      </c>
      <c r="W782" s="1196">
        <f t="shared" si="396"/>
        <v>0</v>
      </c>
      <c r="X782" s="1196">
        <f t="shared" si="396"/>
        <v>0</v>
      </c>
      <c r="Y782" s="1196">
        <f t="shared" si="396"/>
        <v>0</v>
      </c>
      <c r="Z782" s="1196">
        <f t="shared" si="396"/>
        <v>0</v>
      </c>
      <c r="AA782" s="1196">
        <f t="shared" si="396"/>
        <v>0</v>
      </c>
      <c r="AB782" s="1196">
        <f t="shared" si="396"/>
        <v>0</v>
      </c>
      <c r="AC782" s="1196">
        <f t="shared" si="396"/>
        <v>0</v>
      </c>
      <c r="AD782" s="1196">
        <f t="shared" si="396"/>
        <v>0</v>
      </c>
      <c r="AE782" s="1196">
        <f t="shared" si="396"/>
        <v>0</v>
      </c>
      <c r="AF782" s="1196">
        <f t="shared" si="396"/>
        <v>0</v>
      </c>
      <c r="AG782" s="1196">
        <f t="shared" si="396"/>
        <v>0</v>
      </c>
      <c r="AH782" s="1196">
        <f t="shared" si="396"/>
        <v>0</v>
      </c>
      <c r="AI782" s="1196">
        <f t="shared" si="396"/>
        <v>0</v>
      </c>
      <c r="AJ782" s="1196">
        <f t="shared" si="396"/>
        <v>0</v>
      </c>
      <c r="AK782" s="1196">
        <f t="shared" si="396"/>
        <v>0</v>
      </c>
      <c r="AL782" s="1196">
        <f t="shared" si="396"/>
        <v>0</v>
      </c>
      <c r="AM782" s="1196">
        <f t="shared" si="396"/>
        <v>0</v>
      </c>
      <c r="AN782" s="1196">
        <f t="shared" si="396"/>
        <v>0</v>
      </c>
      <c r="AO782" s="1196">
        <f t="shared" si="396"/>
        <v>0</v>
      </c>
      <c r="AP782" s="1196">
        <f t="shared" si="396"/>
        <v>0</v>
      </c>
      <c r="AQ782" s="1196">
        <f t="shared" si="396"/>
        <v>0</v>
      </c>
      <c r="AR782" s="1196">
        <f t="shared" si="396"/>
        <v>0</v>
      </c>
      <c r="AS782" s="1196">
        <f t="shared" si="396"/>
        <v>0</v>
      </c>
      <c r="AT782" s="1196">
        <f t="shared" si="396"/>
        <v>0</v>
      </c>
      <c r="AU782" s="1196">
        <f t="shared" si="396"/>
        <v>0</v>
      </c>
    </row>
    <row r="783" spans="2:47" s="214" customFormat="1" ht="14.25" customHeight="1">
      <c r="B783" s="244"/>
      <c r="C783" s="353" t="s">
        <v>1094</v>
      </c>
      <c r="D783" s="242"/>
      <c r="E783" s="242"/>
      <c r="F783" s="242"/>
      <c r="G783" s="242"/>
      <c r="H783" s="242"/>
      <c r="I783" s="275"/>
      <c r="J783" s="246"/>
      <c r="K783" s="246"/>
      <c r="L783" s="246"/>
      <c r="M783" s="1196">
        <v>1864545.98</v>
      </c>
      <c r="N783" s="1196">
        <f t="shared" si="396"/>
        <v>1864545.98</v>
      </c>
      <c r="O783" s="1196">
        <f t="shared" si="396"/>
        <v>1864545.98</v>
      </c>
      <c r="P783" s="1196">
        <f t="shared" si="396"/>
        <v>1864545.98</v>
      </c>
      <c r="Q783" s="1196">
        <f t="shared" si="396"/>
        <v>1864545.98</v>
      </c>
      <c r="R783" s="1196">
        <f t="shared" si="396"/>
        <v>1491636.784</v>
      </c>
      <c r="S783" s="1196"/>
      <c r="T783" s="1196">
        <f t="shared" si="397"/>
        <v>0</v>
      </c>
      <c r="U783" s="1196">
        <f t="shared" si="398"/>
        <v>0</v>
      </c>
      <c r="V783" s="1196">
        <f t="shared" si="396"/>
        <v>1118727.588</v>
      </c>
      <c r="W783" s="1196">
        <f t="shared" si="396"/>
        <v>745818.39199999999</v>
      </c>
      <c r="X783" s="1196">
        <f t="shared" si="396"/>
        <v>372909.196</v>
      </c>
      <c r="Y783" s="1196">
        <f t="shared" si="396"/>
        <v>0</v>
      </c>
      <c r="Z783" s="1196">
        <f t="shared" si="396"/>
        <v>0</v>
      </c>
      <c r="AA783" s="1196">
        <f t="shared" si="396"/>
        <v>0</v>
      </c>
      <c r="AB783" s="1196">
        <f t="shared" si="396"/>
        <v>0</v>
      </c>
      <c r="AC783" s="1196">
        <f t="shared" si="396"/>
        <v>0</v>
      </c>
      <c r="AD783" s="1196">
        <f t="shared" si="396"/>
        <v>0</v>
      </c>
      <c r="AE783" s="1196">
        <f t="shared" si="396"/>
        <v>0</v>
      </c>
      <c r="AF783" s="1196">
        <f t="shared" si="396"/>
        <v>0</v>
      </c>
      <c r="AG783" s="1196">
        <f t="shared" si="396"/>
        <v>0</v>
      </c>
      <c r="AH783" s="1196">
        <f t="shared" si="396"/>
        <v>0</v>
      </c>
      <c r="AI783" s="1196">
        <f t="shared" si="396"/>
        <v>0</v>
      </c>
      <c r="AJ783" s="1196">
        <f t="shared" si="396"/>
        <v>0</v>
      </c>
      <c r="AK783" s="1196">
        <f t="shared" si="396"/>
        <v>0</v>
      </c>
      <c r="AL783" s="1196">
        <f t="shared" si="396"/>
        <v>0</v>
      </c>
      <c r="AM783" s="1196">
        <f t="shared" si="396"/>
        <v>0</v>
      </c>
      <c r="AN783" s="1196">
        <f t="shared" si="396"/>
        <v>0</v>
      </c>
      <c r="AO783" s="1196">
        <f t="shared" si="396"/>
        <v>0</v>
      </c>
      <c r="AP783" s="1196">
        <f t="shared" si="396"/>
        <v>0</v>
      </c>
      <c r="AQ783" s="1196">
        <f t="shared" si="396"/>
        <v>0</v>
      </c>
      <c r="AR783" s="1196">
        <f t="shared" si="396"/>
        <v>0</v>
      </c>
      <c r="AS783" s="1196">
        <f t="shared" si="396"/>
        <v>0</v>
      </c>
      <c r="AT783" s="1196">
        <f t="shared" si="396"/>
        <v>0</v>
      </c>
      <c r="AU783" s="1196">
        <f t="shared" si="396"/>
        <v>0</v>
      </c>
    </row>
    <row r="784" spans="2:47" s="214" customFormat="1" ht="15.75" customHeight="1">
      <c r="B784" s="244"/>
      <c r="C784" s="242"/>
      <c r="D784" s="242"/>
      <c r="E784" s="242"/>
      <c r="F784" s="246"/>
      <c r="G784" s="221"/>
      <c r="H784" s="221"/>
      <c r="I784" s="277"/>
      <c r="J784" s="244"/>
      <c r="K784" s="246"/>
      <c r="L784" s="246"/>
      <c r="M784" s="215"/>
      <c r="U784" s="214">
        <f t="shared" si="398"/>
        <v>0</v>
      </c>
    </row>
    <row r="785" spans="2:51" s="214" customFormat="1" ht="15.75" customHeight="1">
      <c r="B785" s="244"/>
      <c r="C785" s="244" t="s">
        <v>186</v>
      </c>
      <c r="D785" s="244"/>
      <c r="E785" s="244"/>
      <c r="F785" s="244"/>
      <c r="G785" s="244"/>
      <c r="H785" s="244"/>
      <c r="I785" s="239"/>
      <c r="J785" s="239"/>
      <c r="K785" s="239"/>
      <c r="L785" s="239"/>
      <c r="M785" s="239">
        <f>M688+M715+M756</f>
        <v>0</v>
      </c>
      <c r="N785" s="239">
        <f t="shared" ref="N785:AU785" si="399">N688+N715+N756</f>
        <v>3060914.7858699858</v>
      </c>
      <c r="O785" s="239">
        <f t="shared" si="399"/>
        <v>0</v>
      </c>
      <c r="P785" s="239">
        <f t="shared" si="399"/>
        <v>3060914.7858699858</v>
      </c>
      <c r="Q785" s="239">
        <f t="shared" si="399"/>
        <v>10047219.667685339</v>
      </c>
      <c r="R785" s="239">
        <f t="shared" si="399"/>
        <v>38034142.404202834</v>
      </c>
      <c r="S785" s="239"/>
      <c r="T785" s="239">
        <f>R785</f>
        <v>38034142.404202834</v>
      </c>
      <c r="U785" s="239">
        <f t="shared" si="398"/>
        <v>38034142.404202834</v>
      </c>
      <c r="V785" s="239">
        <f t="shared" si="399"/>
        <v>49507306.066871338</v>
      </c>
      <c r="W785" s="239">
        <f t="shared" si="399"/>
        <v>52026851.931732967</v>
      </c>
      <c r="X785" s="239">
        <f t="shared" si="399"/>
        <v>47357333.81044963</v>
      </c>
      <c r="Y785" s="239">
        <f t="shared" si="399"/>
        <v>44835154.239907853</v>
      </c>
      <c r="Z785" s="239">
        <f t="shared" si="399"/>
        <v>44662245.043907851</v>
      </c>
      <c r="AA785" s="239">
        <f t="shared" si="399"/>
        <v>44409874.498035349</v>
      </c>
      <c r="AB785" s="239">
        <f t="shared" si="399"/>
        <v>44282060.745140351</v>
      </c>
      <c r="AC785" s="239">
        <f t="shared" si="399"/>
        <v>44482060.745140351</v>
      </c>
      <c r="AD785" s="239">
        <f t="shared" si="399"/>
        <v>44682060.745140351</v>
      </c>
      <c r="AE785" s="239">
        <f t="shared" si="399"/>
        <v>21241516.38014029</v>
      </c>
      <c r="AF785" s="239">
        <f t="shared" si="399"/>
        <v>4352367.3801403465</v>
      </c>
      <c r="AG785" s="239">
        <f t="shared" si="399"/>
        <v>4552367.3801403465</v>
      </c>
      <c r="AH785" s="239">
        <f t="shared" si="399"/>
        <v>4752367.3801403465</v>
      </c>
      <c r="AI785" s="239">
        <f t="shared" si="399"/>
        <v>4952367.3801403465</v>
      </c>
      <c r="AJ785" s="239">
        <f t="shared" si="399"/>
        <v>5152367.3801403465</v>
      </c>
      <c r="AK785" s="239">
        <f t="shared" si="399"/>
        <v>5352367.3801403465</v>
      </c>
      <c r="AL785" s="239">
        <f t="shared" si="399"/>
        <v>5552367.3801403465</v>
      </c>
      <c r="AM785" s="239">
        <f t="shared" si="399"/>
        <v>4564788.8006133456</v>
      </c>
      <c r="AN785" s="239">
        <f t="shared" si="399"/>
        <v>4253354.1387499999</v>
      </c>
      <c r="AO785" s="239">
        <f t="shared" si="399"/>
        <v>4453354.1387499999</v>
      </c>
      <c r="AP785" s="239">
        <f t="shared" si="399"/>
        <v>4653354.1387499999</v>
      </c>
      <c r="AQ785" s="239">
        <f t="shared" si="399"/>
        <v>4853354.1387499999</v>
      </c>
      <c r="AR785" s="239">
        <f t="shared" si="399"/>
        <v>3053354.1387499999</v>
      </c>
      <c r="AS785" s="239">
        <f t="shared" si="399"/>
        <v>3053354.1387499999</v>
      </c>
      <c r="AT785" s="239">
        <f t="shared" si="399"/>
        <v>3053354.1387499999</v>
      </c>
      <c r="AU785" s="239">
        <f t="shared" si="399"/>
        <v>3053354.1387499999</v>
      </c>
      <c r="AV785" s="239"/>
      <c r="AW785" s="239"/>
      <c r="AX785" s="239"/>
      <c r="AY785" s="239"/>
    </row>
    <row r="786" spans="2:51" s="214" customFormat="1" ht="15.75" customHeight="1">
      <c r="B786" s="244"/>
      <c r="C786" s="244" t="s">
        <v>1093</v>
      </c>
      <c r="D786" s="244"/>
      <c r="E786" s="244"/>
      <c r="F786" s="244"/>
      <c r="G786" s="244"/>
      <c r="H786" s="244"/>
      <c r="I786" s="239"/>
      <c r="J786" s="239"/>
      <c r="K786" s="239"/>
      <c r="L786" s="239"/>
      <c r="M786" s="239">
        <f t="shared" ref="M786:AU786" si="400">M673+M712</f>
        <v>0</v>
      </c>
      <c r="N786" s="239">
        <f t="shared" si="400"/>
        <v>0</v>
      </c>
      <c r="O786" s="239">
        <f t="shared" si="400"/>
        <v>0</v>
      </c>
      <c r="P786" s="239">
        <f t="shared" si="400"/>
        <v>0</v>
      </c>
      <c r="Q786" s="239">
        <f>Q673+Q712</f>
        <v>171300395</v>
      </c>
      <c r="R786" s="239">
        <f t="shared" si="400"/>
        <v>0</v>
      </c>
      <c r="S786" s="239"/>
      <c r="T786" s="239">
        <f>T673+T712</f>
        <v>-264858000</v>
      </c>
      <c r="U786" s="239">
        <f t="shared" si="398"/>
        <v>-264858000</v>
      </c>
      <c r="V786" s="239">
        <f t="shared" si="400"/>
        <v>0</v>
      </c>
      <c r="W786" s="239">
        <f t="shared" si="400"/>
        <v>0</v>
      </c>
      <c r="X786" s="239">
        <f t="shared" si="400"/>
        <v>0</v>
      </c>
      <c r="Y786" s="239">
        <f t="shared" si="400"/>
        <v>0</v>
      </c>
      <c r="Z786" s="239">
        <f t="shared" si="400"/>
        <v>0</v>
      </c>
      <c r="AA786" s="239">
        <f t="shared" si="400"/>
        <v>0</v>
      </c>
      <c r="AB786" s="239">
        <f t="shared" si="400"/>
        <v>0</v>
      </c>
      <c r="AC786" s="239">
        <f t="shared" si="400"/>
        <v>0</v>
      </c>
      <c r="AD786" s="239">
        <f t="shared" si="400"/>
        <v>0</v>
      </c>
      <c r="AE786" s="239">
        <f t="shared" si="400"/>
        <v>0</v>
      </c>
      <c r="AF786" s="239">
        <f t="shared" si="400"/>
        <v>0</v>
      </c>
      <c r="AG786" s="239">
        <f t="shared" si="400"/>
        <v>0</v>
      </c>
      <c r="AH786" s="239">
        <f t="shared" si="400"/>
        <v>0</v>
      </c>
      <c r="AI786" s="239">
        <f t="shared" si="400"/>
        <v>0</v>
      </c>
      <c r="AJ786" s="239">
        <f t="shared" si="400"/>
        <v>0</v>
      </c>
      <c r="AK786" s="239">
        <f t="shared" si="400"/>
        <v>0</v>
      </c>
      <c r="AL786" s="239">
        <f t="shared" si="400"/>
        <v>0</v>
      </c>
      <c r="AM786" s="239">
        <f t="shared" si="400"/>
        <v>0</v>
      </c>
      <c r="AN786" s="239">
        <f t="shared" si="400"/>
        <v>0</v>
      </c>
      <c r="AO786" s="239">
        <f t="shared" si="400"/>
        <v>0</v>
      </c>
      <c r="AP786" s="239">
        <f t="shared" si="400"/>
        <v>0</v>
      </c>
      <c r="AQ786" s="239">
        <f t="shared" si="400"/>
        <v>0</v>
      </c>
      <c r="AR786" s="239">
        <f t="shared" si="400"/>
        <v>0</v>
      </c>
      <c r="AS786" s="239">
        <f t="shared" si="400"/>
        <v>0</v>
      </c>
      <c r="AT786" s="239">
        <f t="shared" si="400"/>
        <v>0</v>
      </c>
      <c r="AU786" s="239">
        <f t="shared" si="400"/>
        <v>0</v>
      </c>
      <c r="AV786" s="239"/>
      <c r="AW786" s="239"/>
      <c r="AX786" s="239"/>
      <c r="AY786" s="239"/>
    </row>
    <row r="787" spans="2:51" s="214" customFormat="1" ht="15.75" customHeight="1">
      <c r="B787" s="244"/>
      <c r="C787" s="244" t="s">
        <v>1085</v>
      </c>
      <c r="D787" s="244"/>
      <c r="E787" s="244"/>
      <c r="F787" s="244"/>
      <c r="G787" s="244"/>
      <c r="H787" s="244"/>
      <c r="I787" s="239"/>
      <c r="J787" s="239"/>
      <c r="K787" s="239"/>
      <c r="L787" s="239"/>
      <c r="M787" s="239">
        <f>M663+M710+M721</f>
        <v>77937183.590000018</v>
      </c>
      <c r="N787" s="239">
        <f t="shared" ref="N787:AU787" si="401">N663+N710+N721</f>
        <v>77937183.590000018</v>
      </c>
      <c r="O787" s="239">
        <f t="shared" si="401"/>
        <v>77937183.590000018</v>
      </c>
      <c r="P787" s="239">
        <f t="shared" si="401"/>
        <v>77937183.590000018</v>
      </c>
      <c r="Q787" s="239">
        <f>Q663+Q710+Q721</f>
        <v>77937183.590000018</v>
      </c>
      <c r="R787" s="239">
        <f t="shared" si="401"/>
        <v>514095578.59000003</v>
      </c>
      <c r="S787" s="239"/>
      <c r="T787" s="239">
        <f>T663+T710+T721</f>
        <v>264858000</v>
      </c>
      <c r="U787" s="239">
        <f t="shared" si="398"/>
        <v>264858000</v>
      </c>
      <c r="V787" s="239">
        <f t="shared" si="401"/>
        <v>546094578.59000003</v>
      </c>
      <c r="W787" s="239">
        <f t="shared" si="401"/>
        <v>546094578.59000003</v>
      </c>
      <c r="X787" s="239">
        <f t="shared" si="401"/>
        <v>548094578.59000003</v>
      </c>
      <c r="Y787" s="239">
        <f t="shared" si="401"/>
        <v>550094578.59000003</v>
      </c>
      <c r="Z787" s="239">
        <f t="shared" si="401"/>
        <v>552094578.59000003</v>
      </c>
      <c r="AA787" s="239">
        <f t="shared" si="401"/>
        <v>554094578.59000003</v>
      </c>
      <c r="AB787" s="239">
        <f t="shared" si="401"/>
        <v>556094578.59000003</v>
      </c>
      <c r="AC787" s="239">
        <f t="shared" si="401"/>
        <v>558094578.59000003</v>
      </c>
      <c r="AD787" s="239">
        <f t="shared" si="401"/>
        <v>560094578.59000003</v>
      </c>
      <c r="AE787" s="239">
        <f t="shared" si="401"/>
        <v>562094578.59000003</v>
      </c>
      <c r="AF787" s="239">
        <f t="shared" si="401"/>
        <v>564094578.59000003</v>
      </c>
      <c r="AG787" s="239">
        <f t="shared" si="401"/>
        <v>566094578.59000003</v>
      </c>
      <c r="AH787" s="239">
        <f t="shared" si="401"/>
        <v>568094578.59000003</v>
      </c>
      <c r="AI787" s="239">
        <f t="shared" si="401"/>
        <v>570094578.59000003</v>
      </c>
      <c r="AJ787" s="239">
        <f t="shared" si="401"/>
        <v>572094578.59000003</v>
      </c>
      <c r="AK787" s="239">
        <f t="shared" si="401"/>
        <v>574094578.59000003</v>
      </c>
      <c r="AL787" s="239">
        <f t="shared" si="401"/>
        <v>576094578.59000003</v>
      </c>
      <c r="AM787" s="239">
        <f t="shared" si="401"/>
        <v>578094578.59000003</v>
      </c>
      <c r="AN787" s="239">
        <f t="shared" si="401"/>
        <v>580094578.59000003</v>
      </c>
      <c r="AO787" s="239">
        <f t="shared" si="401"/>
        <v>582094578.59000003</v>
      </c>
      <c r="AP787" s="239">
        <f t="shared" si="401"/>
        <v>584094578.59000003</v>
      </c>
      <c r="AQ787" s="239">
        <f t="shared" si="401"/>
        <v>586094578.59000003</v>
      </c>
      <c r="AR787" s="239">
        <f t="shared" si="401"/>
        <v>588094578.59000003</v>
      </c>
      <c r="AS787" s="239">
        <f t="shared" si="401"/>
        <v>590094578.59000003</v>
      </c>
      <c r="AT787" s="239">
        <f t="shared" si="401"/>
        <v>592094578.59000003</v>
      </c>
      <c r="AU787" s="239">
        <f t="shared" si="401"/>
        <v>594094578.59000003</v>
      </c>
      <c r="AV787" s="239"/>
      <c r="AW787" s="239"/>
      <c r="AX787" s="239"/>
      <c r="AY787" s="239"/>
    </row>
    <row r="788" spans="2:51" s="214" customFormat="1" ht="15.75" customHeight="1">
      <c r="B788" s="244"/>
      <c r="C788" s="244" t="s">
        <v>1104</v>
      </c>
      <c r="D788" s="244"/>
      <c r="E788" s="244"/>
      <c r="F788" s="244"/>
      <c r="G788" s="244"/>
      <c r="H788" s="244"/>
      <c r="I788" s="239"/>
      <c r="J788" s="239"/>
      <c r="K788" s="239"/>
      <c r="L788" s="239"/>
      <c r="M788" s="239">
        <f>M698+M717+M770</f>
        <v>341092.66999999946</v>
      </c>
      <c r="N788" s="239">
        <f t="shared" ref="N788:AU788" si="402">N698+N717+N770</f>
        <v>3402007.4558699853</v>
      </c>
      <c r="O788" s="239">
        <f t="shared" si="402"/>
        <v>3402007.4558699853</v>
      </c>
      <c r="P788" s="239">
        <f t="shared" si="402"/>
        <v>6462922.2417399697</v>
      </c>
      <c r="Q788" s="239">
        <f t="shared" si="402"/>
        <v>16510141.909425311</v>
      </c>
      <c r="R788" s="239">
        <f t="shared" si="402"/>
        <v>54544284.313628145</v>
      </c>
      <c r="S788" s="239"/>
      <c r="T788" s="239">
        <f>R788</f>
        <v>54544284.313628145</v>
      </c>
      <c r="U788" s="239">
        <f t="shared" si="398"/>
        <v>54544284.313628145</v>
      </c>
      <c r="V788" s="239">
        <f t="shared" si="402"/>
        <v>104051590.38049948</v>
      </c>
      <c r="W788" s="239">
        <f t="shared" si="402"/>
        <v>156078442.31223243</v>
      </c>
      <c r="X788" s="239">
        <f t="shared" si="402"/>
        <v>203435776.12268209</v>
      </c>
      <c r="Y788" s="239">
        <f t="shared" si="402"/>
        <v>248270930.36258996</v>
      </c>
      <c r="Z788" s="239">
        <f t="shared" si="402"/>
        <v>292933175.40649778</v>
      </c>
      <c r="AA788" s="239">
        <f t="shared" si="402"/>
        <v>337343049.90453315</v>
      </c>
      <c r="AB788" s="239">
        <f t="shared" si="402"/>
        <v>381625110.64967346</v>
      </c>
      <c r="AC788" s="239">
        <f t="shared" si="402"/>
        <v>426107171.39481378</v>
      </c>
      <c r="AD788" s="239">
        <f t="shared" si="402"/>
        <v>470789232.13995415</v>
      </c>
      <c r="AE788" s="239">
        <f t="shared" si="402"/>
        <v>492030748.52009445</v>
      </c>
      <c r="AF788" s="239">
        <f t="shared" si="402"/>
        <v>496383115.90023482</v>
      </c>
      <c r="AG788" s="239">
        <f t="shared" si="402"/>
        <v>500935483.28037512</v>
      </c>
      <c r="AH788" s="239">
        <f t="shared" si="402"/>
        <v>505687850.66051555</v>
      </c>
      <c r="AI788" s="239">
        <f t="shared" si="402"/>
        <v>510640218.04065585</v>
      </c>
      <c r="AJ788" s="239">
        <f t="shared" si="402"/>
        <v>515792585.42079628</v>
      </c>
      <c r="AK788" s="239">
        <f t="shared" si="402"/>
        <v>521144952.80093652</v>
      </c>
      <c r="AL788" s="239">
        <f t="shared" si="402"/>
        <v>526697320.18107688</v>
      </c>
      <c r="AM788" s="239">
        <f t="shared" si="402"/>
        <v>531262108.98169029</v>
      </c>
      <c r="AN788" s="239">
        <f t="shared" si="402"/>
        <v>535515463.12044024</v>
      </c>
      <c r="AO788" s="239">
        <f t="shared" si="402"/>
        <v>539968817.2591902</v>
      </c>
      <c r="AP788" s="239">
        <f t="shared" si="402"/>
        <v>544622171.39794028</v>
      </c>
      <c r="AQ788" s="239">
        <f t="shared" si="402"/>
        <v>549475525.53669024</v>
      </c>
      <c r="AR788" s="239">
        <f t="shared" si="402"/>
        <v>552528879.67544031</v>
      </c>
      <c r="AS788" s="239">
        <f t="shared" si="402"/>
        <v>555582233.81419027</v>
      </c>
      <c r="AT788" s="239">
        <f t="shared" si="402"/>
        <v>558635587.95294023</v>
      </c>
      <c r="AU788" s="239">
        <f t="shared" si="402"/>
        <v>561688942.0916903</v>
      </c>
      <c r="AV788" s="239"/>
      <c r="AW788" s="239"/>
      <c r="AX788" s="239"/>
      <c r="AY788" s="239"/>
    </row>
    <row r="789" spans="2:51" s="214" customFormat="1" ht="15.75" customHeight="1">
      <c r="B789" s="244"/>
      <c r="C789" s="244" t="s">
        <v>1005</v>
      </c>
      <c r="D789" s="244"/>
      <c r="E789" s="244"/>
      <c r="F789" s="244"/>
      <c r="G789" s="244"/>
      <c r="H789" s="244"/>
      <c r="I789" s="221"/>
      <c r="J789" s="221"/>
      <c r="K789" s="221"/>
      <c r="L789" s="221"/>
      <c r="M789" s="246">
        <f>M703+M718+M777</f>
        <v>77596090.920000002</v>
      </c>
      <c r="N789" s="246">
        <f t="shared" ref="N789:AU789" si="403">N703+N718+N777</f>
        <v>74535176.134130016</v>
      </c>
      <c r="O789" s="246">
        <f t="shared" si="403"/>
        <v>74535176.134130016</v>
      </c>
      <c r="P789" s="246">
        <f t="shared" si="403"/>
        <v>71474261.34826003</v>
      </c>
      <c r="Q789" s="246">
        <f t="shared" si="403"/>
        <v>61427041.680574693</v>
      </c>
      <c r="R789" s="246">
        <f t="shared" si="403"/>
        <v>459551294.27637184</v>
      </c>
      <c r="S789" s="246"/>
      <c r="T789" s="246">
        <f>R789</f>
        <v>459551294.27637184</v>
      </c>
      <c r="U789" s="246">
        <f t="shared" si="398"/>
        <v>459551294.27637184</v>
      </c>
      <c r="V789" s="246">
        <f t="shared" si="403"/>
        <v>442042988.20950049</v>
      </c>
      <c r="W789" s="246">
        <f t="shared" si="403"/>
        <v>390016136.27776754</v>
      </c>
      <c r="X789" s="246">
        <f t="shared" si="403"/>
        <v>344658802.46731788</v>
      </c>
      <c r="Y789" s="246">
        <f t="shared" si="403"/>
        <v>301823648.22741002</v>
      </c>
      <c r="Z789" s="246">
        <f t="shared" si="403"/>
        <v>259161403.18350217</v>
      </c>
      <c r="AA789" s="246">
        <f t="shared" si="403"/>
        <v>216751528.6854668</v>
      </c>
      <c r="AB789" s="246">
        <f t="shared" si="403"/>
        <v>174469467.94032648</v>
      </c>
      <c r="AC789" s="246">
        <f t="shared" si="403"/>
        <v>131987407.19518612</v>
      </c>
      <c r="AD789" s="246">
        <f t="shared" si="403"/>
        <v>89305346.450045764</v>
      </c>
      <c r="AE789" s="246">
        <f t="shared" si="403"/>
        <v>70063830.06990549</v>
      </c>
      <c r="AF789" s="246">
        <f t="shared" si="403"/>
        <v>67711462.68976514</v>
      </c>
      <c r="AG789" s="246">
        <f t="shared" si="403"/>
        <v>65159095.309624791</v>
      </c>
      <c r="AH789" s="246">
        <f t="shared" si="403"/>
        <v>62406727.929484442</v>
      </c>
      <c r="AI789" s="246">
        <f t="shared" si="403"/>
        <v>59454360.549344108</v>
      </c>
      <c r="AJ789" s="246">
        <f t="shared" si="403"/>
        <v>56301993.169203758</v>
      </c>
      <c r="AK789" s="246">
        <f t="shared" si="403"/>
        <v>52949625.789063409</v>
      </c>
      <c r="AL789" s="246">
        <f t="shared" si="403"/>
        <v>49397258.40892306</v>
      </c>
      <c r="AM789" s="246">
        <f t="shared" si="403"/>
        <v>46832469.608309709</v>
      </c>
      <c r="AN789" s="246">
        <f t="shared" si="403"/>
        <v>44579115.469559707</v>
      </c>
      <c r="AO789" s="246">
        <f t="shared" si="403"/>
        <v>42125761.330809705</v>
      </c>
      <c r="AP789" s="246">
        <f t="shared" si="403"/>
        <v>39472407.192059703</v>
      </c>
      <c r="AQ789" s="246">
        <f t="shared" si="403"/>
        <v>36619053.053309701</v>
      </c>
      <c r="AR789" s="246">
        <f t="shared" si="403"/>
        <v>35565698.9145597</v>
      </c>
      <c r="AS789" s="246">
        <f t="shared" si="403"/>
        <v>34512344.775809698</v>
      </c>
      <c r="AT789" s="246">
        <f t="shared" si="403"/>
        <v>33458990.637059696</v>
      </c>
      <c r="AU789" s="246">
        <f t="shared" si="403"/>
        <v>32405636.498309694</v>
      </c>
      <c r="AV789" s="221"/>
      <c r="AW789" s="221"/>
      <c r="AX789" s="221"/>
      <c r="AY789" s="221"/>
    </row>
    <row r="790" spans="2:51" s="214" customFormat="1" ht="15.75" customHeight="1">
      <c r="B790" s="244"/>
      <c r="C790" s="244"/>
      <c r="D790" s="244"/>
      <c r="E790" s="244"/>
      <c r="F790" s="244"/>
      <c r="G790" s="244"/>
      <c r="H790" s="244"/>
      <c r="I790" s="221"/>
      <c r="J790" s="221"/>
      <c r="K790" s="221"/>
      <c r="L790" s="221"/>
      <c r="M790" s="246"/>
      <c r="N790" s="246"/>
      <c r="O790" s="246"/>
      <c r="P790" s="246"/>
      <c r="Q790" s="246"/>
      <c r="R790" s="246"/>
      <c r="S790" s="246"/>
      <c r="T790" s="246"/>
      <c r="U790" s="246">
        <f t="shared" si="398"/>
        <v>0</v>
      </c>
      <c r="V790" s="246"/>
      <c r="W790" s="246"/>
      <c r="X790" s="246"/>
      <c r="Y790" s="246"/>
      <c r="Z790" s="246"/>
      <c r="AA790" s="246"/>
      <c r="AB790" s="246"/>
      <c r="AC790" s="246"/>
      <c r="AD790" s="246"/>
      <c r="AE790" s="246"/>
      <c r="AF790" s="246"/>
      <c r="AG790" s="246"/>
      <c r="AH790" s="246"/>
      <c r="AI790" s="246"/>
      <c r="AJ790" s="246"/>
      <c r="AK790" s="246"/>
      <c r="AL790" s="246"/>
      <c r="AM790" s="246"/>
      <c r="AN790" s="246"/>
      <c r="AO790" s="246"/>
      <c r="AP790" s="246"/>
      <c r="AQ790" s="246"/>
      <c r="AR790" s="246"/>
      <c r="AS790" s="246"/>
      <c r="AT790" s="246"/>
      <c r="AU790" s="246"/>
      <c r="AV790" s="221"/>
      <c r="AW790" s="221"/>
      <c r="AX790" s="221"/>
      <c r="AY790" s="221"/>
    </row>
    <row r="791" spans="2:51" s="214" customFormat="1" ht="15.75" customHeight="1">
      <c r="B791" s="244"/>
      <c r="C791" s="1245" t="s">
        <v>1105</v>
      </c>
      <c r="D791" s="244"/>
      <c r="E791" s="244"/>
      <c r="F791" s="244"/>
      <c r="G791" s="244"/>
      <c r="H791" s="244"/>
      <c r="I791" s="221"/>
      <c r="J791" s="221"/>
      <c r="K791" s="221"/>
      <c r="L791" s="221"/>
      <c r="M791" s="246"/>
      <c r="N791" s="246"/>
      <c r="O791" s="246"/>
      <c r="P791" s="246"/>
      <c r="Q791" s="246"/>
      <c r="R791" s="246"/>
      <c r="S791" s="246"/>
      <c r="T791" s="246"/>
      <c r="U791" s="246">
        <f t="shared" si="398"/>
        <v>0</v>
      </c>
      <c r="V791" s="246"/>
      <c r="W791" s="246"/>
      <c r="X791" s="246"/>
      <c r="Y791" s="246"/>
      <c r="Z791" s="246"/>
      <c r="AA791" s="246"/>
      <c r="AB791" s="246"/>
      <c r="AC791" s="246"/>
      <c r="AD791" s="246"/>
      <c r="AE791" s="246"/>
      <c r="AF791" s="246"/>
      <c r="AG791" s="246"/>
      <c r="AH791" s="246"/>
      <c r="AI791" s="246"/>
      <c r="AJ791" s="246"/>
      <c r="AK791" s="246"/>
      <c r="AL791" s="246"/>
      <c r="AM791" s="246"/>
      <c r="AN791" s="246"/>
      <c r="AO791" s="246"/>
      <c r="AP791" s="246"/>
      <c r="AQ791" s="246"/>
      <c r="AR791" s="246"/>
      <c r="AS791" s="246"/>
      <c r="AT791" s="246"/>
      <c r="AU791" s="246"/>
      <c r="AV791" s="221"/>
      <c r="AW791" s="221"/>
      <c r="AX791" s="221"/>
      <c r="AY791" s="221"/>
    </row>
    <row r="792" spans="2:51" s="214" customFormat="1" ht="15.75" customHeight="1">
      <c r="B792" s="244"/>
      <c r="C792" s="244" t="s">
        <v>1106</v>
      </c>
      <c r="D792" s="244"/>
      <c r="E792" s="244"/>
      <c r="F792" s="244"/>
      <c r="G792" s="244"/>
      <c r="H792" s="244"/>
      <c r="I792" s="221"/>
      <c r="J792" s="221"/>
      <c r="K792" s="221"/>
      <c r="L792" s="221"/>
      <c r="M792" s="246"/>
      <c r="N792" s="246"/>
      <c r="O792" s="246"/>
      <c r="P792" s="246"/>
      <c r="Q792" s="246"/>
      <c r="R792" s="246">
        <f t="shared" ref="R792:AU792" si="404">R167</f>
        <v>180010.69201069203</v>
      </c>
      <c r="S792" s="246"/>
      <c r="T792" s="246">
        <f>T167</f>
        <v>180010.69201069203</v>
      </c>
      <c r="U792" s="246">
        <f t="shared" si="398"/>
        <v>180010.69201069203</v>
      </c>
      <c r="V792" s="246">
        <f t="shared" si="404"/>
        <v>1255353.8888296171</v>
      </c>
      <c r="W792" s="246">
        <f t="shared" si="404"/>
        <v>1461713.4321988693</v>
      </c>
      <c r="X792" s="246">
        <f t="shared" si="404"/>
        <v>1461713.4321988693</v>
      </c>
      <c r="Y792" s="246">
        <f t="shared" si="404"/>
        <v>1461713.4321988693</v>
      </c>
      <c r="Z792" s="246">
        <f t="shared" si="404"/>
        <v>1461713.4321988693</v>
      </c>
      <c r="AA792" s="246">
        <f t="shared" si="404"/>
        <v>1461713.4321988693</v>
      </c>
      <c r="AB792" s="246">
        <f t="shared" si="404"/>
        <v>1461713.4321988693</v>
      </c>
      <c r="AC792" s="246">
        <f t="shared" si="404"/>
        <v>1461713.4321988693</v>
      </c>
      <c r="AD792" s="246">
        <f t="shared" si="404"/>
        <v>1461713.4321988693</v>
      </c>
      <c r="AE792" s="246">
        <f t="shared" si="404"/>
        <v>1461713.4321988693</v>
      </c>
      <c r="AF792" s="246">
        <f t="shared" si="404"/>
        <v>1461713.4321988693</v>
      </c>
      <c r="AG792" s="246">
        <f t="shared" si="404"/>
        <v>1461713.4321988693</v>
      </c>
      <c r="AH792" s="246">
        <f t="shared" si="404"/>
        <v>1461713.4321988693</v>
      </c>
      <c r="AI792" s="246">
        <f t="shared" si="404"/>
        <v>1461713.4321988693</v>
      </c>
      <c r="AJ792" s="246">
        <f t="shared" si="404"/>
        <v>1461713.4321988693</v>
      </c>
      <c r="AK792" s="246">
        <f t="shared" si="404"/>
        <v>1461713.4321988693</v>
      </c>
      <c r="AL792" s="246">
        <f t="shared" si="404"/>
        <v>1461713.4321988693</v>
      </c>
      <c r="AM792" s="246">
        <f t="shared" si="404"/>
        <v>1461713.4321988693</v>
      </c>
      <c r="AN792" s="246">
        <f t="shared" si="404"/>
        <v>1461713.4321988693</v>
      </c>
      <c r="AO792" s="246">
        <f t="shared" si="404"/>
        <v>1461713.4321988693</v>
      </c>
      <c r="AP792" s="246">
        <f t="shared" si="404"/>
        <v>1461713.4321988693</v>
      </c>
      <c r="AQ792" s="246">
        <f t="shared" si="404"/>
        <v>1461713.4321988693</v>
      </c>
      <c r="AR792" s="246">
        <f t="shared" si="404"/>
        <v>1461713.4321988693</v>
      </c>
      <c r="AS792" s="246">
        <f t="shared" si="404"/>
        <v>1461713.4321988693</v>
      </c>
      <c r="AT792" s="246">
        <f t="shared" si="404"/>
        <v>1461713.4321988693</v>
      </c>
      <c r="AU792" s="246">
        <f t="shared" si="404"/>
        <v>1461713.4321988693</v>
      </c>
      <c r="AV792" s="221"/>
      <c r="AW792" s="221"/>
      <c r="AX792" s="221"/>
      <c r="AY792" s="221"/>
    </row>
    <row r="793" spans="2:51" s="214" customFormat="1" ht="15.75" customHeight="1">
      <c r="B793" s="244"/>
      <c r="C793" s="244" t="s">
        <v>1107</v>
      </c>
      <c r="D793" s="244"/>
      <c r="E793" s="244"/>
      <c r="F793" s="244"/>
      <c r="G793" s="244"/>
      <c r="H793" s="244"/>
      <c r="I793" s="221"/>
      <c r="J793" s="221"/>
      <c r="K793" s="221"/>
      <c r="L793" s="221"/>
      <c r="M793" s="246"/>
      <c r="N793" s="246"/>
      <c r="O793" s="246"/>
      <c r="P793" s="246"/>
      <c r="Q793" s="246"/>
      <c r="R793" s="246">
        <v>36181.659169592182</v>
      </c>
      <c r="S793" s="246"/>
      <c r="T793" s="246">
        <v>36181.659169592182</v>
      </c>
      <c r="U793" s="246">
        <f t="shared" si="398"/>
        <v>36181.659169592182</v>
      </c>
      <c r="V793" s="246">
        <f>R793</f>
        <v>36181.659169592182</v>
      </c>
      <c r="W793" s="246">
        <f t="shared" ref="W793:AU793" si="405">V793</f>
        <v>36181.659169592182</v>
      </c>
      <c r="X793" s="246">
        <f t="shared" si="405"/>
        <v>36181.659169592182</v>
      </c>
      <c r="Y793" s="246">
        <f t="shared" si="405"/>
        <v>36181.659169592182</v>
      </c>
      <c r="Z793" s="246">
        <f t="shared" si="405"/>
        <v>36181.659169592182</v>
      </c>
      <c r="AA793" s="246">
        <f t="shared" si="405"/>
        <v>36181.659169592182</v>
      </c>
      <c r="AB793" s="246">
        <f t="shared" si="405"/>
        <v>36181.659169592182</v>
      </c>
      <c r="AC793" s="246">
        <f t="shared" si="405"/>
        <v>36181.659169592182</v>
      </c>
      <c r="AD793" s="246">
        <f t="shared" si="405"/>
        <v>36181.659169592182</v>
      </c>
      <c r="AE793" s="246">
        <f t="shared" si="405"/>
        <v>36181.659169592182</v>
      </c>
      <c r="AF793" s="246">
        <f t="shared" si="405"/>
        <v>36181.659169592182</v>
      </c>
      <c r="AG793" s="246">
        <f t="shared" si="405"/>
        <v>36181.659169592182</v>
      </c>
      <c r="AH793" s="246">
        <f t="shared" si="405"/>
        <v>36181.659169592182</v>
      </c>
      <c r="AI793" s="246">
        <f t="shared" si="405"/>
        <v>36181.659169592182</v>
      </c>
      <c r="AJ793" s="246">
        <f t="shared" si="405"/>
        <v>36181.659169592182</v>
      </c>
      <c r="AK793" s="246">
        <f t="shared" si="405"/>
        <v>36181.659169592182</v>
      </c>
      <c r="AL793" s="246">
        <f t="shared" si="405"/>
        <v>36181.659169592182</v>
      </c>
      <c r="AM793" s="246">
        <f t="shared" si="405"/>
        <v>36181.659169592182</v>
      </c>
      <c r="AN793" s="246">
        <f t="shared" si="405"/>
        <v>36181.659169592182</v>
      </c>
      <c r="AO793" s="246">
        <f t="shared" si="405"/>
        <v>36181.659169592182</v>
      </c>
      <c r="AP793" s="246">
        <f t="shared" si="405"/>
        <v>36181.659169592182</v>
      </c>
      <c r="AQ793" s="246">
        <f t="shared" si="405"/>
        <v>36181.659169592182</v>
      </c>
      <c r="AR793" s="246">
        <f t="shared" si="405"/>
        <v>36181.659169592182</v>
      </c>
      <c r="AS793" s="246">
        <f t="shared" si="405"/>
        <v>36181.659169592182</v>
      </c>
      <c r="AT793" s="246">
        <f t="shared" si="405"/>
        <v>36181.659169592182</v>
      </c>
      <c r="AU793" s="246">
        <f t="shared" si="405"/>
        <v>36181.659169592182</v>
      </c>
      <c r="AV793" s="221"/>
      <c r="AW793" s="221"/>
      <c r="AX793" s="221"/>
      <c r="AY793" s="221"/>
    </row>
    <row r="794" spans="2:51" s="214" customFormat="1" ht="15.75" customHeight="1">
      <c r="B794" s="244"/>
      <c r="C794" s="244" t="s">
        <v>1108</v>
      </c>
      <c r="D794" s="244"/>
      <c r="E794" s="244"/>
      <c r="F794" s="244"/>
      <c r="G794" s="244"/>
      <c r="H794" s="244"/>
      <c r="I794" s="221"/>
      <c r="J794" s="221"/>
      <c r="K794" s="221"/>
      <c r="L794" s="221"/>
      <c r="M794" s="246"/>
      <c r="N794" s="246"/>
      <c r="O794" s="246"/>
      <c r="P794" s="246"/>
      <c r="Q794" s="246"/>
      <c r="R794" s="1249">
        <f t="shared" ref="R794:AU794" si="406">R792/(R793*1000)*100</f>
        <v>0.49751917447162497</v>
      </c>
      <c r="S794" s="1249"/>
      <c r="T794" s="1249">
        <f>T792/(T793*1000)*100</f>
        <v>0.49751917447162497</v>
      </c>
      <c r="U794" s="1249">
        <f t="shared" si="398"/>
        <v>0.49751917447162497</v>
      </c>
      <c r="V794" s="1249">
        <f t="shared" si="406"/>
        <v>3.4695862977025738</v>
      </c>
      <c r="W794" s="1249">
        <f t="shared" si="406"/>
        <v>4.0399292507495721</v>
      </c>
      <c r="X794" s="1249">
        <f t="shared" si="406"/>
        <v>4.0399292507495721</v>
      </c>
      <c r="Y794" s="1249">
        <f t="shared" si="406"/>
        <v>4.0399292507495721</v>
      </c>
      <c r="Z794" s="1249">
        <f t="shared" si="406"/>
        <v>4.0399292507495721</v>
      </c>
      <c r="AA794" s="1249">
        <f t="shared" si="406"/>
        <v>4.0399292507495721</v>
      </c>
      <c r="AB794" s="1249">
        <f t="shared" si="406"/>
        <v>4.0399292507495721</v>
      </c>
      <c r="AC794" s="1249">
        <f t="shared" si="406"/>
        <v>4.0399292507495721</v>
      </c>
      <c r="AD794" s="1249">
        <f t="shared" si="406"/>
        <v>4.0399292507495721</v>
      </c>
      <c r="AE794" s="1249">
        <f t="shared" si="406"/>
        <v>4.0399292507495721</v>
      </c>
      <c r="AF794" s="1249">
        <f t="shared" si="406"/>
        <v>4.0399292507495721</v>
      </c>
      <c r="AG794" s="1249">
        <f t="shared" si="406"/>
        <v>4.0399292507495721</v>
      </c>
      <c r="AH794" s="1249">
        <f t="shared" si="406"/>
        <v>4.0399292507495721</v>
      </c>
      <c r="AI794" s="1249">
        <f t="shared" si="406"/>
        <v>4.0399292507495721</v>
      </c>
      <c r="AJ794" s="1249">
        <f t="shared" si="406"/>
        <v>4.0399292507495721</v>
      </c>
      <c r="AK794" s="1249">
        <f t="shared" si="406"/>
        <v>4.0399292507495721</v>
      </c>
      <c r="AL794" s="1249">
        <f t="shared" si="406"/>
        <v>4.0399292507495721</v>
      </c>
      <c r="AM794" s="1249">
        <f t="shared" si="406"/>
        <v>4.0399292507495721</v>
      </c>
      <c r="AN794" s="1249">
        <f t="shared" si="406"/>
        <v>4.0399292507495721</v>
      </c>
      <c r="AO794" s="1249">
        <f t="shared" si="406"/>
        <v>4.0399292507495721</v>
      </c>
      <c r="AP794" s="1249">
        <f t="shared" si="406"/>
        <v>4.0399292507495721</v>
      </c>
      <c r="AQ794" s="1249">
        <f t="shared" si="406"/>
        <v>4.0399292507495721</v>
      </c>
      <c r="AR794" s="1249">
        <f t="shared" si="406"/>
        <v>4.0399292507495721</v>
      </c>
      <c r="AS794" s="1249">
        <f t="shared" si="406"/>
        <v>4.0399292507495721</v>
      </c>
      <c r="AT794" s="1249">
        <f t="shared" si="406"/>
        <v>4.0399292507495721</v>
      </c>
      <c r="AU794" s="1249">
        <f t="shared" si="406"/>
        <v>4.0399292507495721</v>
      </c>
      <c r="AV794" s="221"/>
      <c r="AW794" s="221"/>
      <c r="AX794" s="221"/>
      <c r="AY794" s="221"/>
    </row>
    <row r="795" spans="2:51" s="214" customFormat="1" ht="15.75" customHeight="1">
      <c r="B795" s="244"/>
      <c r="C795" s="244" t="s">
        <v>1109</v>
      </c>
      <c r="D795" s="244"/>
      <c r="E795" s="244"/>
      <c r="F795" s="244"/>
      <c r="G795" s="244"/>
      <c r="H795" s="244"/>
      <c r="I795" s="221"/>
      <c r="J795" s="221"/>
      <c r="K795" s="221"/>
      <c r="L795" s="221"/>
      <c r="M795" s="246"/>
      <c r="N795" s="246">
        <f>M797</f>
        <v>287212947.88999999</v>
      </c>
      <c r="O795" s="246">
        <f t="shared" ref="O795:AU795" si="407">N795</f>
        <v>287212947.88999999</v>
      </c>
      <c r="P795" s="246">
        <f t="shared" si="407"/>
        <v>287212947.88999999</v>
      </c>
      <c r="Q795" s="246">
        <f t="shared" si="407"/>
        <v>287212947.88999999</v>
      </c>
      <c r="R795" s="246">
        <f t="shared" si="407"/>
        <v>287212947.88999999</v>
      </c>
      <c r="S795" s="246"/>
      <c r="T795" s="246">
        <f t="shared" si="407"/>
        <v>0</v>
      </c>
      <c r="U795" s="246">
        <f t="shared" si="398"/>
        <v>0</v>
      </c>
      <c r="V795" s="246">
        <f>R795</f>
        <v>287212947.88999999</v>
      </c>
      <c r="W795" s="246">
        <f t="shared" si="407"/>
        <v>287212947.88999999</v>
      </c>
      <c r="X795" s="246">
        <f t="shared" si="407"/>
        <v>287212947.88999999</v>
      </c>
      <c r="Y795" s="246">
        <f t="shared" si="407"/>
        <v>287212947.88999999</v>
      </c>
      <c r="Z795" s="246">
        <f t="shared" si="407"/>
        <v>287212947.88999999</v>
      </c>
      <c r="AA795" s="246">
        <f t="shared" si="407"/>
        <v>287212947.88999999</v>
      </c>
      <c r="AB795" s="246">
        <f t="shared" si="407"/>
        <v>287212947.88999999</v>
      </c>
      <c r="AC795" s="246">
        <f t="shared" si="407"/>
        <v>287212947.88999999</v>
      </c>
      <c r="AD795" s="246">
        <f t="shared" si="407"/>
        <v>287212947.88999999</v>
      </c>
      <c r="AE795" s="246">
        <f t="shared" si="407"/>
        <v>287212947.88999999</v>
      </c>
      <c r="AF795" s="246">
        <f t="shared" si="407"/>
        <v>287212947.88999999</v>
      </c>
      <c r="AG795" s="246">
        <f t="shared" si="407"/>
        <v>287212947.88999999</v>
      </c>
      <c r="AH795" s="246">
        <f t="shared" si="407"/>
        <v>287212947.88999999</v>
      </c>
      <c r="AI795" s="246">
        <f t="shared" si="407"/>
        <v>287212947.88999999</v>
      </c>
      <c r="AJ795" s="246">
        <f t="shared" si="407"/>
        <v>287212947.88999999</v>
      </c>
      <c r="AK795" s="246">
        <f t="shared" si="407"/>
        <v>287212947.88999999</v>
      </c>
      <c r="AL795" s="246">
        <f t="shared" si="407"/>
        <v>287212947.88999999</v>
      </c>
      <c r="AM795" s="246">
        <f t="shared" si="407"/>
        <v>287212947.88999999</v>
      </c>
      <c r="AN795" s="246">
        <f t="shared" si="407"/>
        <v>287212947.88999999</v>
      </c>
      <c r="AO795" s="246">
        <f t="shared" si="407"/>
        <v>287212947.88999999</v>
      </c>
      <c r="AP795" s="246">
        <f t="shared" si="407"/>
        <v>287212947.88999999</v>
      </c>
      <c r="AQ795" s="246">
        <f t="shared" si="407"/>
        <v>287212947.88999999</v>
      </c>
      <c r="AR795" s="246">
        <f t="shared" si="407"/>
        <v>287212947.88999999</v>
      </c>
      <c r="AS795" s="246">
        <f t="shared" si="407"/>
        <v>287212947.88999999</v>
      </c>
      <c r="AT795" s="246">
        <f t="shared" si="407"/>
        <v>287212947.88999999</v>
      </c>
      <c r="AU795" s="246">
        <f t="shared" si="407"/>
        <v>287212947.88999999</v>
      </c>
      <c r="AV795" s="221"/>
      <c r="AW795" s="221"/>
      <c r="AX795" s="221"/>
      <c r="AY795" s="221"/>
    </row>
    <row r="796" spans="2:51" s="1208" customFormat="1" ht="15.75" customHeight="1">
      <c r="B796" s="1245"/>
      <c r="C796" s="1245" t="s">
        <v>1110</v>
      </c>
      <c r="D796" s="1245"/>
      <c r="E796" s="1245"/>
      <c r="F796" s="1245"/>
      <c r="G796" s="1245"/>
      <c r="H796" s="1245"/>
      <c r="I796" s="1250"/>
      <c r="J796" s="1250"/>
      <c r="K796" s="1250"/>
      <c r="L796" s="1250"/>
      <c r="M796" s="258"/>
      <c r="N796" s="258"/>
      <c r="O796" s="258"/>
      <c r="P796" s="258"/>
      <c r="Q796" s="258"/>
      <c r="R796" s="258">
        <f>R795*(R794/100)</f>
        <v>1428939.4873179465</v>
      </c>
      <c r="S796" s="258"/>
      <c r="T796" s="258">
        <f>T795*(T794/100)</f>
        <v>0</v>
      </c>
      <c r="U796" s="258">
        <f t="shared" si="398"/>
        <v>0</v>
      </c>
      <c r="V796" s="258">
        <f t="shared" ref="V796:AU796" si="408">V795*(V794/100)</f>
        <v>9965101.085219074</v>
      </c>
      <c r="W796" s="258">
        <f t="shared" si="408"/>
        <v>11603199.893748235</v>
      </c>
      <c r="X796" s="258">
        <f t="shared" si="408"/>
        <v>11603199.893748235</v>
      </c>
      <c r="Y796" s="258">
        <f t="shared" si="408"/>
        <v>11603199.893748235</v>
      </c>
      <c r="Z796" s="258">
        <f t="shared" si="408"/>
        <v>11603199.893748235</v>
      </c>
      <c r="AA796" s="258">
        <f t="shared" si="408"/>
        <v>11603199.893748235</v>
      </c>
      <c r="AB796" s="258">
        <f t="shared" si="408"/>
        <v>11603199.893748235</v>
      </c>
      <c r="AC796" s="258">
        <f t="shared" si="408"/>
        <v>11603199.893748235</v>
      </c>
      <c r="AD796" s="258">
        <f t="shared" si="408"/>
        <v>11603199.893748235</v>
      </c>
      <c r="AE796" s="258">
        <f t="shared" si="408"/>
        <v>11603199.893748235</v>
      </c>
      <c r="AF796" s="258">
        <f t="shared" si="408"/>
        <v>11603199.893748235</v>
      </c>
      <c r="AG796" s="258">
        <f t="shared" si="408"/>
        <v>11603199.893748235</v>
      </c>
      <c r="AH796" s="258">
        <f t="shared" si="408"/>
        <v>11603199.893748235</v>
      </c>
      <c r="AI796" s="258">
        <f t="shared" si="408"/>
        <v>11603199.893748235</v>
      </c>
      <c r="AJ796" s="258">
        <f t="shared" si="408"/>
        <v>11603199.893748235</v>
      </c>
      <c r="AK796" s="258">
        <f t="shared" si="408"/>
        <v>11603199.893748235</v>
      </c>
      <c r="AL796" s="258">
        <f t="shared" si="408"/>
        <v>11603199.893748235</v>
      </c>
      <c r="AM796" s="258">
        <f t="shared" si="408"/>
        <v>11603199.893748235</v>
      </c>
      <c r="AN796" s="258">
        <f t="shared" si="408"/>
        <v>11603199.893748235</v>
      </c>
      <c r="AO796" s="258">
        <f t="shared" si="408"/>
        <v>11603199.893748235</v>
      </c>
      <c r="AP796" s="258">
        <f t="shared" si="408"/>
        <v>11603199.893748235</v>
      </c>
      <c r="AQ796" s="258">
        <f t="shared" si="408"/>
        <v>11603199.893748235</v>
      </c>
      <c r="AR796" s="258">
        <f t="shared" si="408"/>
        <v>11603199.893748235</v>
      </c>
      <c r="AS796" s="258">
        <f t="shared" si="408"/>
        <v>11603199.893748235</v>
      </c>
      <c r="AT796" s="258">
        <f t="shared" si="408"/>
        <v>11603199.893748235</v>
      </c>
      <c r="AU796" s="258">
        <f t="shared" si="408"/>
        <v>11603199.893748235</v>
      </c>
      <c r="AV796" s="1250"/>
      <c r="AW796" s="1250"/>
      <c r="AX796" s="1250"/>
      <c r="AY796" s="1250"/>
    </row>
    <row r="797" spans="2:51" s="214" customFormat="1" ht="15.75" customHeight="1">
      <c r="B797" s="244"/>
      <c r="C797" s="244" t="s">
        <v>1111</v>
      </c>
      <c r="D797" s="244"/>
      <c r="E797" s="244"/>
      <c r="F797" s="244"/>
      <c r="G797" s="244"/>
      <c r="H797" s="244"/>
      <c r="I797" s="221"/>
      <c r="J797" s="221"/>
      <c r="K797" s="221"/>
      <c r="L797" s="221"/>
      <c r="M797" s="246">
        <v>287212947.88999999</v>
      </c>
      <c r="N797" s="246">
        <f>M797-N796</f>
        <v>287212947.88999999</v>
      </c>
      <c r="O797" s="246">
        <f>N797</f>
        <v>287212947.88999999</v>
      </c>
      <c r="P797" s="246">
        <f>O797-P796</f>
        <v>287212947.88999999</v>
      </c>
      <c r="Q797" s="246">
        <f t="shared" ref="Q797:AU797" si="409">P797-Q796</f>
        <v>287212947.88999999</v>
      </c>
      <c r="R797" s="246">
        <f t="shared" si="409"/>
        <v>285784008.40268207</v>
      </c>
      <c r="S797" s="246"/>
      <c r="T797" s="246">
        <f t="shared" si="409"/>
        <v>0</v>
      </c>
      <c r="U797" s="246">
        <f t="shared" si="398"/>
        <v>0</v>
      </c>
      <c r="V797" s="246">
        <f>R797-V796</f>
        <v>275818907.31746298</v>
      </c>
      <c r="W797" s="246">
        <f t="shared" si="409"/>
        <v>264215707.42371476</v>
      </c>
      <c r="X797" s="246">
        <f t="shared" si="409"/>
        <v>252612507.52996653</v>
      </c>
      <c r="Y797" s="246">
        <f t="shared" si="409"/>
        <v>241009307.63621831</v>
      </c>
      <c r="Z797" s="246">
        <f t="shared" si="409"/>
        <v>229406107.74247009</v>
      </c>
      <c r="AA797" s="246">
        <f t="shared" si="409"/>
        <v>217802907.84872186</v>
      </c>
      <c r="AB797" s="246">
        <f t="shared" si="409"/>
        <v>206199707.95497364</v>
      </c>
      <c r="AC797" s="246">
        <f t="shared" si="409"/>
        <v>194596508.06122541</v>
      </c>
      <c r="AD797" s="246">
        <f t="shared" si="409"/>
        <v>182993308.16747719</v>
      </c>
      <c r="AE797" s="246">
        <f t="shared" si="409"/>
        <v>171390108.27372897</v>
      </c>
      <c r="AF797" s="246">
        <f t="shared" si="409"/>
        <v>159786908.37998074</v>
      </c>
      <c r="AG797" s="246">
        <f t="shared" si="409"/>
        <v>148183708.48623252</v>
      </c>
      <c r="AH797" s="246">
        <f t="shared" si="409"/>
        <v>136580508.5924843</v>
      </c>
      <c r="AI797" s="246">
        <f t="shared" si="409"/>
        <v>124977308.69873606</v>
      </c>
      <c r="AJ797" s="246">
        <f t="shared" si="409"/>
        <v>113374108.80498782</v>
      </c>
      <c r="AK797" s="246">
        <f t="shared" si="409"/>
        <v>101770908.91123958</v>
      </c>
      <c r="AL797" s="246">
        <f t="shared" si="409"/>
        <v>90167709.017491341</v>
      </c>
      <c r="AM797" s="246">
        <f t="shared" si="409"/>
        <v>78564509.123743102</v>
      </c>
      <c r="AN797" s="246">
        <f t="shared" si="409"/>
        <v>66961309.229994863</v>
      </c>
      <c r="AO797" s="246">
        <f t="shared" si="409"/>
        <v>55358109.336246625</v>
      </c>
      <c r="AP797" s="246">
        <f t="shared" si="409"/>
        <v>43754909.442498386</v>
      </c>
      <c r="AQ797" s="246">
        <f t="shared" si="409"/>
        <v>32151709.548750151</v>
      </c>
      <c r="AR797" s="246">
        <f t="shared" si="409"/>
        <v>20548509.655001916</v>
      </c>
      <c r="AS797" s="246">
        <f t="shared" si="409"/>
        <v>8945309.761253681</v>
      </c>
      <c r="AT797" s="246">
        <f t="shared" si="409"/>
        <v>-2657890.1324945539</v>
      </c>
      <c r="AU797" s="246">
        <f t="shared" si="409"/>
        <v>-14261090.026242789</v>
      </c>
      <c r="AV797" s="221"/>
      <c r="AW797" s="221"/>
      <c r="AX797" s="221"/>
      <c r="AY797" s="221"/>
    </row>
    <row r="798" spans="2:51" s="214" customFormat="1" ht="15.75" customHeight="1">
      <c r="B798" s="244"/>
      <c r="C798" s="331"/>
      <c r="D798" s="331"/>
      <c r="E798" s="244"/>
      <c r="F798" s="244"/>
      <c r="G798" s="244"/>
      <c r="H798" s="244"/>
      <c r="I798" s="278"/>
      <c r="J798" s="278"/>
      <c r="K798" s="278"/>
      <c r="L798" s="278"/>
      <c r="M798" s="243"/>
      <c r="N798" s="278"/>
      <c r="O798" s="278"/>
      <c r="P798" s="278"/>
      <c r="Q798" s="278"/>
      <c r="R798" s="278"/>
      <c r="S798" s="278"/>
      <c r="T798" s="278"/>
      <c r="U798" s="278"/>
      <c r="V798" s="278"/>
      <c r="W798" s="278"/>
      <c r="X798" s="278"/>
      <c r="Y798" s="278"/>
      <c r="Z798" s="278"/>
      <c r="AA798" s="278"/>
      <c r="AB798" s="278"/>
      <c r="AC798" s="278"/>
      <c r="AD798" s="278"/>
      <c r="AE798" s="278"/>
      <c r="AF798" s="278"/>
      <c r="AG798" s="278"/>
      <c r="AH798" s="278"/>
      <c r="AI798" s="278"/>
      <c r="AJ798" s="278"/>
      <c r="AK798" s="278"/>
      <c r="AL798" s="278"/>
      <c r="AM798" s="278"/>
      <c r="AN798" s="278"/>
      <c r="AO798" s="278"/>
      <c r="AP798" s="278"/>
      <c r="AQ798" s="278"/>
      <c r="AR798" s="278"/>
      <c r="AS798" s="278"/>
      <c r="AT798" s="278"/>
      <c r="AU798" s="278"/>
      <c r="AV798" s="278"/>
      <c r="AW798" s="278"/>
      <c r="AX798" s="278"/>
      <c r="AY798" s="278"/>
    </row>
    <row r="799" spans="2:51" s="214" customFormat="1" ht="15.75" customHeight="1">
      <c r="B799" s="244"/>
      <c r="C799" s="331"/>
      <c r="D799" s="331"/>
      <c r="E799" s="244"/>
      <c r="F799" s="244"/>
      <c r="G799" s="244"/>
      <c r="H799" s="244"/>
      <c r="I799" s="244"/>
      <c r="J799" s="244"/>
      <c r="K799" s="279"/>
      <c r="L799" s="279"/>
      <c r="M799" s="215"/>
    </row>
    <row r="800" spans="2:51" s="214" customFormat="1" ht="15.75" customHeight="1">
      <c r="B800" s="244"/>
      <c r="C800" s="244"/>
      <c r="D800" s="244"/>
      <c r="E800" s="244"/>
      <c r="F800" s="244"/>
      <c r="G800" s="244"/>
      <c r="H800" s="244"/>
      <c r="I800" s="244"/>
      <c r="J800" s="244"/>
      <c r="K800" s="279"/>
      <c r="L800" s="279"/>
      <c r="M800" s="215"/>
    </row>
    <row r="801" spans="2:51" ht="15.75" customHeight="1">
      <c r="B801" s="244"/>
      <c r="C801" s="244"/>
      <c r="D801" s="244"/>
      <c r="E801" s="244"/>
      <c r="F801" s="244"/>
      <c r="G801" s="244"/>
      <c r="H801" s="244"/>
      <c r="I801" s="244"/>
      <c r="J801" s="244"/>
      <c r="K801" s="279"/>
      <c r="L801" s="279"/>
      <c r="M801" s="185"/>
      <c r="X801" s="577"/>
      <c r="Y801" s="577"/>
      <c r="Z801" s="577"/>
      <c r="AA801" s="577"/>
      <c r="AB801" s="577"/>
      <c r="AC801" s="577"/>
      <c r="AD801" s="577"/>
      <c r="AE801" s="577"/>
      <c r="AF801" s="577"/>
      <c r="AG801" s="577"/>
      <c r="AH801" s="577"/>
      <c r="AI801" s="577"/>
      <c r="AJ801" s="577"/>
      <c r="AK801" s="577"/>
      <c r="AL801" s="577"/>
      <c r="AM801" s="577"/>
      <c r="AN801" s="577"/>
      <c r="AO801" s="577"/>
      <c r="AP801" s="577"/>
      <c r="AQ801" s="577"/>
      <c r="AR801" s="577"/>
      <c r="AS801" s="577"/>
      <c r="AT801" s="577"/>
      <c r="AU801" s="577"/>
      <c r="AV801" s="577"/>
      <c r="AW801" s="577"/>
      <c r="AX801" s="577"/>
      <c r="AY801" s="577"/>
    </row>
    <row r="802" spans="2:51" ht="27">
      <c r="B802" s="244"/>
      <c r="C802" s="366" t="s">
        <v>1112</v>
      </c>
      <c r="I802" s="227"/>
      <c r="J802" s="227"/>
      <c r="K802" s="226"/>
      <c r="L802" s="228"/>
      <c r="M802" s="368"/>
      <c r="N802" s="228"/>
      <c r="O802" s="228"/>
      <c r="P802" s="228"/>
      <c r="Q802" s="228"/>
      <c r="R802" s="228"/>
      <c r="S802" s="228"/>
      <c r="T802" s="228"/>
      <c r="U802" s="228"/>
      <c r="V802" s="228"/>
      <c r="W802" s="228"/>
      <c r="X802" s="228"/>
      <c r="Y802" s="228"/>
      <c r="Z802" s="228"/>
      <c r="AA802" s="228"/>
      <c r="AB802" s="228"/>
      <c r="AC802" s="228"/>
      <c r="AD802" s="228"/>
      <c r="AE802" s="228"/>
      <c r="AF802" s="228"/>
      <c r="AG802" s="228"/>
      <c r="AH802" s="228"/>
      <c r="AI802" s="228"/>
      <c r="AJ802" s="228"/>
      <c r="AK802" s="228"/>
      <c r="AL802" s="228"/>
      <c r="AM802" s="228"/>
      <c r="AN802" s="228"/>
      <c r="AO802" s="228"/>
      <c r="AP802" s="228"/>
      <c r="AQ802" s="228"/>
      <c r="AR802" s="228"/>
      <c r="AS802" s="228"/>
      <c r="AT802" s="228"/>
      <c r="AU802" s="228"/>
      <c r="AV802" s="228"/>
      <c r="AW802" s="228"/>
      <c r="AX802" s="228"/>
      <c r="AY802" s="228"/>
    </row>
    <row r="803" spans="2:51" ht="3" customHeight="1">
      <c r="B803" s="244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  <c r="AA803" s="229"/>
      <c r="AB803" s="229"/>
      <c r="AC803" s="229"/>
      <c r="AD803" s="229"/>
      <c r="AE803" s="229"/>
      <c r="AF803" s="229"/>
      <c r="AG803" s="229"/>
      <c r="AH803" s="229"/>
      <c r="AI803" s="229"/>
      <c r="AJ803" s="229"/>
      <c r="AK803" s="229"/>
      <c r="AL803" s="229"/>
      <c r="AM803" s="229"/>
      <c r="AN803" s="229"/>
      <c r="AO803" s="229"/>
      <c r="AP803" s="229"/>
      <c r="AQ803" s="229"/>
      <c r="AR803" s="229"/>
      <c r="AS803" s="229"/>
      <c r="AT803" s="229"/>
      <c r="AU803" s="229"/>
      <c r="AV803" s="229"/>
      <c r="AW803" s="229"/>
      <c r="AX803" s="229"/>
      <c r="AY803" s="229"/>
    </row>
    <row r="804" spans="2:51" ht="15.75" customHeight="1">
      <c r="B804" s="244"/>
      <c r="C804" s="169"/>
      <c r="I804" s="227"/>
      <c r="J804" s="227"/>
      <c r="K804" s="226"/>
      <c r="L804" s="228"/>
      <c r="M804" s="368"/>
      <c r="N804" s="228"/>
      <c r="O804" s="228"/>
      <c r="P804" s="228"/>
      <c r="Q804" s="228"/>
      <c r="R804" s="228"/>
      <c r="S804" s="228"/>
      <c r="T804" s="228"/>
      <c r="U804" s="228"/>
      <c r="V804" s="228"/>
      <c r="W804" s="228"/>
      <c r="X804" s="228"/>
      <c r="Y804" s="228"/>
      <c r="Z804" s="228"/>
      <c r="AA804" s="228"/>
      <c r="AB804" s="228"/>
      <c r="AC804" s="228"/>
      <c r="AD804" s="228"/>
      <c r="AE804" s="228"/>
      <c r="AF804" s="228"/>
      <c r="AG804" s="228"/>
      <c r="AH804" s="228"/>
      <c r="AI804" s="228"/>
      <c r="AJ804" s="228"/>
      <c r="AK804" s="228"/>
      <c r="AL804" s="228"/>
      <c r="AM804" s="228"/>
      <c r="AN804" s="228"/>
      <c r="AO804" s="228"/>
      <c r="AP804" s="228"/>
      <c r="AQ804" s="228"/>
      <c r="AR804" s="228"/>
      <c r="AS804" s="228"/>
      <c r="AT804" s="228"/>
      <c r="AU804" s="228"/>
      <c r="AV804" s="228"/>
      <c r="AW804" s="228"/>
      <c r="AX804" s="228"/>
      <c r="AY804" s="228"/>
    </row>
    <row r="805" spans="2:51" ht="15.75" customHeight="1">
      <c r="B805" s="244"/>
      <c r="C805" s="313" t="s">
        <v>1113</v>
      </c>
      <c r="I805" s="227"/>
      <c r="J805" s="230"/>
      <c r="K805" s="231"/>
      <c r="L805" s="232"/>
      <c r="M805" s="185"/>
      <c r="X805" s="577"/>
      <c r="Y805" s="577"/>
      <c r="Z805" s="577"/>
      <c r="AA805" s="577"/>
      <c r="AB805" s="577"/>
      <c r="AC805" s="577"/>
      <c r="AD805" s="577"/>
      <c r="AE805" s="577"/>
      <c r="AF805" s="577"/>
      <c r="AG805" s="577"/>
      <c r="AH805" s="577"/>
      <c r="AI805" s="577"/>
      <c r="AJ805" s="577"/>
      <c r="AK805" s="577"/>
      <c r="AL805" s="577"/>
      <c r="AM805" s="577"/>
      <c r="AN805" s="577"/>
      <c r="AO805" s="577"/>
      <c r="AP805" s="577"/>
      <c r="AQ805" s="577"/>
      <c r="AR805" s="577"/>
      <c r="AS805" s="577"/>
      <c r="AT805" s="577"/>
      <c r="AU805" s="577"/>
      <c r="AV805" s="577"/>
      <c r="AW805" s="577"/>
      <c r="AX805" s="577"/>
      <c r="AY805" s="577"/>
    </row>
    <row r="806" spans="2:51" ht="15.75" customHeight="1">
      <c r="B806" s="244"/>
      <c r="C806" s="348"/>
      <c r="D806" s="233"/>
      <c r="E806" s="233"/>
      <c r="F806" s="233"/>
      <c r="G806" s="233"/>
      <c r="H806" s="233"/>
      <c r="I806" s="174"/>
      <c r="J806" s="174"/>
      <c r="K806" s="174"/>
      <c r="L806" s="174"/>
      <c r="M806" s="175">
        <v>-5</v>
      </c>
      <c r="N806" s="175">
        <v>-4</v>
      </c>
      <c r="O806" s="175">
        <v>-3</v>
      </c>
      <c r="P806" s="175">
        <f>O806+1</f>
        <v>-2</v>
      </c>
      <c r="Q806" s="175">
        <f>P806+1</f>
        <v>-1</v>
      </c>
      <c r="R806" s="175">
        <f>Q806+2</f>
        <v>1</v>
      </c>
      <c r="S806" s="175">
        <f>$S$8</f>
        <v>0</v>
      </c>
      <c r="T806" s="175">
        <f>$T$8</f>
        <v>0</v>
      </c>
      <c r="U806" s="175" t="str">
        <f>$U$7</f>
        <v>Revised</v>
      </c>
      <c r="V806" s="175">
        <f>R806+1</f>
        <v>2</v>
      </c>
      <c r="W806" s="175">
        <f>V806+1</f>
        <v>3</v>
      </c>
      <c r="X806" s="175">
        <f t="shared" ref="X806:AU806" si="410">W806+1</f>
        <v>4</v>
      </c>
      <c r="Y806" s="175">
        <f t="shared" si="410"/>
        <v>5</v>
      </c>
      <c r="Z806" s="175">
        <f t="shared" si="410"/>
        <v>6</v>
      </c>
      <c r="AA806" s="175">
        <f t="shared" si="410"/>
        <v>7</v>
      </c>
      <c r="AB806" s="175">
        <f t="shared" si="410"/>
        <v>8</v>
      </c>
      <c r="AC806" s="175">
        <f t="shared" si="410"/>
        <v>9</v>
      </c>
      <c r="AD806" s="175">
        <f t="shared" si="410"/>
        <v>10</v>
      </c>
      <c r="AE806" s="175">
        <f t="shared" si="410"/>
        <v>11</v>
      </c>
      <c r="AF806" s="175">
        <f t="shared" si="410"/>
        <v>12</v>
      </c>
      <c r="AG806" s="175">
        <f t="shared" si="410"/>
        <v>13</v>
      </c>
      <c r="AH806" s="175">
        <f t="shared" si="410"/>
        <v>14</v>
      </c>
      <c r="AI806" s="175">
        <f t="shared" si="410"/>
        <v>15</v>
      </c>
      <c r="AJ806" s="175">
        <f t="shared" si="410"/>
        <v>16</v>
      </c>
      <c r="AK806" s="175">
        <f t="shared" si="410"/>
        <v>17</v>
      </c>
      <c r="AL806" s="175">
        <f t="shared" si="410"/>
        <v>18</v>
      </c>
      <c r="AM806" s="175">
        <f t="shared" si="410"/>
        <v>19</v>
      </c>
      <c r="AN806" s="175">
        <f t="shared" si="410"/>
        <v>20</v>
      </c>
      <c r="AO806" s="175">
        <f t="shared" si="410"/>
        <v>21</v>
      </c>
      <c r="AP806" s="175">
        <f t="shared" si="410"/>
        <v>22</v>
      </c>
      <c r="AQ806" s="175">
        <f t="shared" si="410"/>
        <v>23</v>
      </c>
      <c r="AR806" s="175">
        <f t="shared" si="410"/>
        <v>24</v>
      </c>
      <c r="AS806" s="175">
        <f t="shared" si="410"/>
        <v>25</v>
      </c>
      <c r="AT806" s="175">
        <f t="shared" si="410"/>
        <v>26</v>
      </c>
      <c r="AU806" s="175">
        <f t="shared" si="410"/>
        <v>27</v>
      </c>
      <c r="AV806" s="175"/>
      <c r="AW806" s="175"/>
      <c r="AX806" s="175"/>
      <c r="AY806" s="175"/>
    </row>
    <row r="807" spans="2:51" ht="15.75" customHeight="1">
      <c r="B807" s="244"/>
      <c r="C807" s="349"/>
      <c r="D807" s="234"/>
      <c r="E807" s="234"/>
      <c r="F807" s="234"/>
      <c r="G807" s="234"/>
      <c r="H807" s="234"/>
      <c r="I807" s="176"/>
      <c r="J807" s="176"/>
      <c r="K807" s="176"/>
      <c r="L807" s="176"/>
      <c r="M807" s="758"/>
      <c r="N807" s="758"/>
      <c r="O807" s="758"/>
      <c r="P807" s="758"/>
      <c r="Q807" s="758"/>
      <c r="R807" s="758"/>
      <c r="S807" s="758"/>
      <c r="T807" s="758"/>
      <c r="U807" s="758"/>
      <c r="V807" s="758"/>
      <c r="W807" s="758"/>
      <c r="X807" s="758"/>
      <c r="Y807" s="758"/>
      <c r="Z807" s="758"/>
      <c r="AA807" s="758"/>
      <c r="AB807" s="758"/>
      <c r="AC807" s="758"/>
      <c r="AD807" s="758"/>
      <c r="AE807" s="758"/>
      <c r="AF807" s="758"/>
      <c r="AG807" s="758"/>
      <c r="AH807" s="758"/>
      <c r="AI807" s="758"/>
      <c r="AJ807" s="758"/>
      <c r="AK807" s="758"/>
      <c r="AL807" s="758"/>
      <c r="AM807" s="758"/>
      <c r="AN807" s="758"/>
      <c r="AO807" s="758"/>
      <c r="AP807" s="758"/>
      <c r="AQ807" s="758"/>
      <c r="AR807" s="758"/>
      <c r="AS807" s="758"/>
      <c r="AT807" s="758"/>
      <c r="AU807" s="758"/>
      <c r="AV807" s="758"/>
      <c r="AW807" s="758"/>
      <c r="AX807" s="758"/>
      <c r="AY807" s="758"/>
    </row>
    <row r="808" spans="2:51" ht="15.75" customHeight="1">
      <c r="B808" s="244"/>
      <c r="C808" s="359"/>
      <c r="D808" s="260"/>
      <c r="E808" s="235"/>
      <c r="F808" s="235"/>
      <c r="G808" s="235"/>
      <c r="H808" s="235"/>
      <c r="I808" s="178"/>
      <c r="J808" s="178"/>
      <c r="K808" s="245"/>
      <c r="L808" s="245"/>
      <c r="M808" s="178" t="s">
        <v>499</v>
      </c>
      <c r="N808" s="178" t="s">
        <v>499</v>
      </c>
      <c r="O808" s="178" t="s">
        <v>499</v>
      </c>
      <c r="P808" s="178" t="str">
        <f t="shared" ref="P808:U808" si="411">O808</f>
        <v>($)</v>
      </c>
      <c r="Q808" s="178" t="str">
        <f t="shared" si="411"/>
        <v>($)</v>
      </c>
      <c r="R808" s="178" t="str">
        <f t="shared" si="411"/>
        <v>($)</v>
      </c>
      <c r="S808" s="178" t="str">
        <f t="shared" si="411"/>
        <v>($)</v>
      </c>
      <c r="T808" s="178" t="str">
        <f t="shared" si="411"/>
        <v>($)</v>
      </c>
      <c r="U808" s="178" t="str">
        <f t="shared" si="411"/>
        <v>($)</v>
      </c>
      <c r="V808" s="178" t="str">
        <f>R808</f>
        <v>($)</v>
      </c>
      <c r="W808" s="178" t="str">
        <f>V808</f>
        <v>($)</v>
      </c>
      <c r="X808" s="178" t="str">
        <f t="shared" ref="X808:AU808" si="412">W808</f>
        <v>($)</v>
      </c>
      <c r="Y808" s="178" t="str">
        <f t="shared" si="412"/>
        <v>($)</v>
      </c>
      <c r="Z808" s="178" t="str">
        <f t="shared" si="412"/>
        <v>($)</v>
      </c>
      <c r="AA808" s="178" t="str">
        <f t="shared" si="412"/>
        <v>($)</v>
      </c>
      <c r="AB808" s="178" t="str">
        <f t="shared" si="412"/>
        <v>($)</v>
      </c>
      <c r="AC808" s="178" t="str">
        <f t="shared" si="412"/>
        <v>($)</v>
      </c>
      <c r="AD808" s="178" t="str">
        <f t="shared" si="412"/>
        <v>($)</v>
      </c>
      <c r="AE808" s="178" t="str">
        <f t="shared" si="412"/>
        <v>($)</v>
      </c>
      <c r="AF808" s="178" t="str">
        <f t="shared" si="412"/>
        <v>($)</v>
      </c>
      <c r="AG808" s="178" t="str">
        <f t="shared" si="412"/>
        <v>($)</v>
      </c>
      <c r="AH808" s="178" t="str">
        <f t="shared" si="412"/>
        <v>($)</v>
      </c>
      <c r="AI808" s="178" t="str">
        <f t="shared" si="412"/>
        <v>($)</v>
      </c>
      <c r="AJ808" s="178" t="str">
        <f t="shared" si="412"/>
        <v>($)</v>
      </c>
      <c r="AK808" s="178" t="str">
        <f t="shared" si="412"/>
        <v>($)</v>
      </c>
      <c r="AL808" s="178" t="str">
        <f t="shared" si="412"/>
        <v>($)</v>
      </c>
      <c r="AM808" s="178" t="str">
        <f t="shared" si="412"/>
        <v>($)</v>
      </c>
      <c r="AN808" s="178" t="str">
        <f t="shared" si="412"/>
        <v>($)</v>
      </c>
      <c r="AO808" s="178" t="str">
        <f t="shared" si="412"/>
        <v>($)</v>
      </c>
      <c r="AP808" s="178" t="str">
        <f t="shared" si="412"/>
        <v>($)</v>
      </c>
      <c r="AQ808" s="178" t="str">
        <f t="shared" si="412"/>
        <v>($)</v>
      </c>
      <c r="AR808" s="178" t="str">
        <f t="shared" si="412"/>
        <v>($)</v>
      </c>
      <c r="AS808" s="178" t="str">
        <f t="shared" si="412"/>
        <v>($)</v>
      </c>
      <c r="AT808" s="178" t="str">
        <f t="shared" si="412"/>
        <v>($)</v>
      </c>
      <c r="AU808" s="178" t="str">
        <f t="shared" si="412"/>
        <v>($)</v>
      </c>
      <c r="AV808" s="178"/>
      <c r="AW808" s="178"/>
      <c r="AX808" s="178"/>
      <c r="AY808" s="178"/>
    </row>
    <row r="809" spans="2:51" ht="15.75" customHeight="1">
      <c r="B809" s="244"/>
      <c r="C809" s="227"/>
      <c r="D809" s="227"/>
      <c r="E809" s="227"/>
      <c r="F809" s="227"/>
      <c r="G809" s="227"/>
      <c r="H809" s="227"/>
      <c r="I809" s="227"/>
      <c r="J809" s="227"/>
      <c r="K809" s="227"/>
      <c r="L809" s="252"/>
      <c r="M809" s="185"/>
      <c r="U809" s="577">
        <f t="shared" si="398"/>
        <v>0</v>
      </c>
      <c r="X809" s="577"/>
      <c r="Y809" s="577"/>
      <c r="Z809" s="577"/>
      <c r="AA809" s="577"/>
      <c r="AB809" s="577"/>
      <c r="AC809" s="577"/>
      <c r="AD809" s="577"/>
      <c r="AE809" s="577"/>
      <c r="AF809" s="577"/>
      <c r="AG809" s="577"/>
      <c r="AH809" s="577"/>
      <c r="AI809" s="577"/>
      <c r="AJ809" s="577"/>
      <c r="AK809" s="577"/>
      <c r="AL809" s="577"/>
      <c r="AM809" s="577"/>
      <c r="AN809" s="577"/>
      <c r="AO809" s="577"/>
      <c r="AP809" s="577"/>
      <c r="AQ809" s="577"/>
      <c r="AR809" s="577"/>
      <c r="AS809" s="577"/>
      <c r="AT809" s="577"/>
      <c r="AU809" s="577"/>
      <c r="AV809" s="577"/>
      <c r="AW809" s="577"/>
      <c r="AX809" s="577"/>
      <c r="AY809" s="577"/>
    </row>
    <row r="810" spans="2:51" s="214" customFormat="1" ht="15.75" customHeight="1">
      <c r="B810" s="244"/>
      <c r="C810" s="246" t="s">
        <v>1114</v>
      </c>
      <c r="D810" s="246"/>
      <c r="E810" s="246"/>
      <c r="F810" s="246"/>
      <c r="G810" s="246"/>
      <c r="H810" s="246"/>
      <c r="I810" s="246"/>
      <c r="J810" s="246"/>
      <c r="K810" s="246"/>
      <c r="L810" s="246"/>
      <c r="M810" s="246"/>
      <c r="N810" s="246"/>
      <c r="O810" s="246" t="e">
        <f t="shared" ref="O810:AU810" si="413">O532</f>
        <v>#REF!</v>
      </c>
      <c r="P810" s="246">
        <f t="shared" si="413"/>
        <v>0</v>
      </c>
      <c r="Q810" s="246">
        <f t="shared" si="413"/>
        <v>-194164636.69666666</v>
      </c>
      <c r="R810" s="246">
        <f t="shared" si="413"/>
        <v>-283263905.04498035</v>
      </c>
      <c r="S810" s="246"/>
      <c r="T810" s="246">
        <f>T532</f>
        <v>-112826422.65573864</v>
      </c>
      <c r="U810" s="246">
        <f t="shared" si="398"/>
        <v>-112826422.65573864</v>
      </c>
      <c r="V810" s="246">
        <f t="shared" si="413"/>
        <v>154418161.96487743</v>
      </c>
      <c r="W810" s="246">
        <f t="shared" si="413"/>
        <v>288577937.14397085</v>
      </c>
      <c r="X810" s="246">
        <f t="shared" si="413"/>
        <v>302310763.77405554</v>
      </c>
      <c r="Y810" s="246">
        <f t="shared" si="413"/>
        <v>301528888.10718763</v>
      </c>
      <c r="Z810" s="246">
        <f t="shared" si="413"/>
        <v>301475286.25642759</v>
      </c>
      <c r="AA810" s="246">
        <f t="shared" si="413"/>
        <v>301397051.38720715</v>
      </c>
      <c r="AB810" s="246">
        <f t="shared" si="413"/>
        <v>300793102.6789782</v>
      </c>
      <c r="AC810" s="246">
        <f t="shared" si="413"/>
        <v>302108247.64107573</v>
      </c>
      <c r="AD810" s="246">
        <f t="shared" si="413"/>
        <v>302170247.64107573</v>
      </c>
      <c r="AE810" s="246">
        <f t="shared" si="413"/>
        <v>294903678.88792574</v>
      </c>
      <c r="AF810" s="246">
        <f t="shared" si="413"/>
        <v>289668042.69792581</v>
      </c>
      <c r="AG810" s="246">
        <f t="shared" si="413"/>
        <v>289730042.69792575</v>
      </c>
      <c r="AH810" s="246">
        <f t="shared" si="413"/>
        <v>289792042.69792581</v>
      </c>
      <c r="AI810" s="246">
        <f t="shared" si="413"/>
        <v>289854042.69792575</v>
      </c>
      <c r="AJ810" s="246">
        <f t="shared" si="413"/>
        <v>289916042.69792581</v>
      </c>
      <c r="AK810" s="246">
        <f t="shared" si="413"/>
        <v>289978042.69792575</v>
      </c>
      <c r="AL810" s="246">
        <f t="shared" si="413"/>
        <v>290040042.69792581</v>
      </c>
      <c r="AM810" s="246">
        <f t="shared" si="413"/>
        <v>289733893.33827239</v>
      </c>
      <c r="AN810" s="246">
        <f t="shared" si="413"/>
        <v>289637348.59309483</v>
      </c>
      <c r="AO810" s="246">
        <f t="shared" si="413"/>
        <v>289699348.59309477</v>
      </c>
      <c r="AP810" s="246">
        <f t="shared" si="413"/>
        <v>289761348.59309483</v>
      </c>
      <c r="AQ810" s="246">
        <f t="shared" si="413"/>
        <v>289823348.59309477</v>
      </c>
      <c r="AR810" s="246">
        <f t="shared" si="413"/>
        <v>289265348.59309483</v>
      </c>
      <c r="AS810" s="246">
        <f t="shared" si="413"/>
        <v>289265348.59309477</v>
      </c>
      <c r="AT810" s="246">
        <f t="shared" si="413"/>
        <v>289265348.59309483</v>
      </c>
      <c r="AU810" s="246">
        <f t="shared" si="413"/>
        <v>292571301.71388519</v>
      </c>
      <c r="AV810" s="246"/>
      <c r="AW810" s="246"/>
      <c r="AX810" s="246"/>
      <c r="AY810" s="246"/>
    </row>
    <row r="811" spans="2:51" s="214" customFormat="1" ht="15.75" customHeight="1">
      <c r="B811" s="244"/>
      <c r="C811" s="80" t="s">
        <v>840</v>
      </c>
      <c r="D811" s="246"/>
      <c r="E811" s="246"/>
      <c r="F811" s="246"/>
      <c r="G811" s="246"/>
      <c r="H811" s="246"/>
      <c r="I811" s="246"/>
      <c r="J811" s="246"/>
      <c r="K811" s="246"/>
      <c r="L811" s="246"/>
      <c r="M811" s="246"/>
      <c r="N811" s="246"/>
      <c r="O811" s="246">
        <f t="shared" ref="O811:AU811" si="414">N811</f>
        <v>0</v>
      </c>
      <c r="P811" s="246">
        <f t="shared" si="414"/>
        <v>0</v>
      </c>
      <c r="Q811" s="246">
        <f t="shared" si="414"/>
        <v>0</v>
      </c>
      <c r="R811" s="246">
        <v>0</v>
      </c>
      <c r="S811" s="246"/>
      <c r="T811" s="246">
        <v>0</v>
      </c>
      <c r="U811" s="246">
        <f t="shared" si="398"/>
        <v>0</v>
      </c>
      <c r="V811" s="246">
        <f>R811</f>
        <v>0</v>
      </c>
      <c r="W811" s="246">
        <f t="shared" si="414"/>
        <v>0</v>
      </c>
      <c r="X811" s="246">
        <f t="shared" si="414"/>
        <v>0</v>
      </c>
      <c r="Y811" s="246">
        <f t="shared" si="414"/>
        <v>0</v>
      </c>
      <c r="Z811" s="246">
        <f t="shared" si="414"/>
        <v>0</v>
      </c>
      <c r="AA811" s="246">
        <f t="shared" si="414"/>
        <v>0</v>
      </c>
      <c r="AB811" s="246">
        <f t="shared" si="414"/>
        <v>0</v>
      </c>
      <c r="AC811" s="246">
        <f t="shared" si="414"/>
        <v>0</v>
      </c>
      <c r="AD811" s="246">
        <f t="shared" si="414"/>
        <v>0</v>
      </c>
      <c r="AE811" s="246">
        <f t="shared" si="414"/>
        <v>0</v>
      </c>
      <c r="AF811" s="246">
        <f t="shared" si="414"/>
        <v>0</v>
      </c>
      <c r="AG811" s="246">
        <f t="shared" si="414"/>
        <v>0</v>
      </c>
      <c r="AH811" s="246">
        <f t="shared" si="414"/>
        <v>0</v>
      </c>
      <c r="AI811" s="246">
        <f t="shared" si="414"/>
        <v>0</v>
      </c>
      <c r="AJ811" s="246">
        <f t="shared" si="414"/>
        <v>0</v>
      </c>
      <c r="AK811" s="246">
        <f t="shared" si="414"/>
        <v>0</v>
      </c>
      <c r="AL811" s="246">
        <f t="shared" si="414"/>
        <v>0</v>
      </c>
      <c r="AM811" s="246">
        <f t="shared" si="414"/>
        <v>0</v>
      </c>
      <c r="AN811" s="246">
        <f t="shared" si="414"/>
        <v>0</v>
      </c>
      <c r="AO811" s="246">
        <f t="shared" si="414"/>
        <v>0</v>
      </c>
      <c r="AP811" s="246">
        <f t="shared" si="414"/>
        <v>0</v>
      </c>
      <c r="AQ811" s="246">
        <f t="shared" si="414"/>
        <v>0</v>
      </c>
      <c r="AR811" s="246">
        <f t="shared" si="414"/>
        <v>0</v>
      </c>
      <c r="AS811" s="246">
        <f t="shared" si="414"/>
        <v>0</v>
      </c>
      <c r="AT811" s="246">
        <f t="shared" si="414"/>
        <v>0</v>
      </c>
      <c r="AU811" s="246">
        <f t="shared" si="414"/>
        <v>0</v>
      </c>
      <c r="AV811" s="246"/>
      <c r="AW811" s="246"/>
      <c r="AX811" s="246"/>
      <c r="AY811" s="246"/>
    </row>
    <row r="812" spans="2:51" s="214" customFormat="1" ht="15.75" customHeight="1">
      <c r="B812" s="244"/>
      <c r="C812" s="246" t="s">
        <v>1115</v>
      </c>
      <c r="D812" s="246"/>
      <c r="E812" s="246"/>
      <c r="F812" s="246"/>
      <c r="G812" s="246"/>
      <c r="H812" s="246"/>
      <c r="I812" s="246"/>
      <c r="J812" s="246"/>
      <c r="K812" s="246"/>
      <c r="L812" s="246"/>
      <c r="M812" s="246"/>
      <c r="N812" s="246"/>
      <c r="O812" s="246">
        <f t="shared" ref="O812:AU812" si="415">O544</f>
        <v>716619.65</v>
      </c>
      <c r="P812" s="246">
        <f t="shared" si="415"/>
        <v>716620</v>
      </c>
      <c r="Q812" s="246">
        <v>0</v>
      </c>
      <c r="R812" s="246">
        <f t="shared" si="415"/>
        <v>-193448016.69666666</v>
      </c>
      <c r="S812" s="246"/>
      <c r="T812" s="246">
        <f>T544</f>
        <v>-334448016.69666666</v>
      </c>
      <c r="U812" s="246">
        <f t="shared" si="398"/>
        <v>-334448016.69666666</v>
      </c>
      <c r="V812" s="246">
        <f t="shared" si="415"/>
        <v>-476711921.74164701</v>
      </c>
      <c r="W812" s="246">
        <f t="shared" si="415"/>
        <v>-322293759.77676958</v>
      </c>
      <c r="X812" s="246">
        <f t="shared" si="415"/>
        <v>-33715822.632798731</v>
      </c>
      <c r="Y812" s="246">
        <f t="shared" si="415"/>
        <v>268594941.14125681</v>
      </c>
      <c r="Z812" s="246">
        <f t="shared" si="415"/>
        <v>570123829.24844444</v>
      </c>
      <c r="AA812" s="246">
        <f t="shared" si="415"/>
        <v>871599115.50487208</v>
      </c>
      <c r="AB812" s="246">
        <f t="shared" si="415"/>
        <v>1172996166.8920794</v>
      </c>
      <c r="AC812" s="246">
        <f t="shared" si="415"/>
        <v>1473789269.5710576</v>
      </c>
      <c r="AD812" s="246">
        <f t="shared" si="415"/>
        <v>1775897517.2121334</v>
      </c>
      <c r="AE812" s="246">
        <f t="shared" si="415"/>
        <v>2078067764.853209</v>
      </c>
      <c r="AF812" s="246">
        <f t="shared" si="415"/>
        <v>2372971443.7411346</v>
      </c>
      <c r="AG812" s="246">
        <f t="shared" si="415"/>
        <v>2662639486.4390602</v>
      </c>
      <c r="AH812" s="246">
        <f t="shared" si="415"/>
        <v>2952369529.1369858</v>
      </c>
      <c r="AI812" s="246">
        <f t="shared" si="415"/>
        <v>3242161571.8349113</v>
      </c>
      <c r="AJ812" s="246">
        <f t="shared" si="415"/>
        <v>3532015614.5328369</v>
      </c>
      <c r="AK812" s="246">
        <f t="shared" si="415"/>
        <v>3821931657.2307625</v>
      </c>
      <c r="AL812" s="246">
        <f t="shared" si="415"/>
        <v>4111909699.928688</v>
      </c>
      <c r="AM812" s="246">
        <f t="shared" si="415"/>
        <v>4401949742.6266136</v>
      </c>
      <c r="AN812" s="246">
        <f t="shared" si="415"/>
        <v>4691683635.9648857</v>
      </c>
      <c r="AO812" s="246">
        <f t="shared" si="415"/>
        <v>4981320984.5579805</v>
      </c>
      <c r="AP812" s="246">
        <f t="shared" si="415"/>
        <v>5271020333.1510754</v>
      </c>
      <c r="AQ812" s="246">
        <f t="shared" si="415"/>
        <v>5560781681.7441702</v>
      </c>
      <c r="AR812" s="246">
        <f t="shared" si="415"/>
        <v>5850605030.337265</v>
      </c>
      <c r="AS812" s="246">
        <f t="shared" si="415"/>
        <v>6139870378.9303598</v>
      </c>
      <c r="AT812" s="246">
        <f t="shared" si="415"/>
        <v>6429135727.5234547</v>
      </c>
      <c r="AU812" s="246">
        <f t="shared" si="415"/>
        <v>6718401076.1165495</v>
      </c>
      <c r="AV812" s="246"/>
      <c r="AW812" s="246"/>
      <c r="AX812" s="246"/>
      <c r="AY812" s="246"/>
    </row>
    <row r="813" spans="2:51" s="214" customFormat="1" ht="15.75" customHeight="1">
      <c r="B813" s="298"/>
      <c r="C813" s="356" t="s">
        <v>1116</v>
      </c>
      <c r="D813" s="242"/>
      <c r="E813" s="363"/>
      <c r="F813" s="246"/>
      <c r="G813" s="246"/>
      <c r="H813" s="246"/>
      <c r="I813" s="243"/>
      <c r="J813" s="243"/>
      <c r="K813" s="243"/>
      <c r="L813" s="243"/>
      <c r="M813" s="243"/>
      <c r="N813" s="243"/>
      <c r="O813" s="243">
        <f t="shared" ref="O813:AU813" si="416">N813</f>
        <v>0</v>
      </c>
      <c r="P813" s="243">
        <f t="shared" si="416"/>
        <v>0</v>
      </c>
      <c r="Q813" s="243">
        <f t="shared" si="416"/>
        <v>0</v>
      </c>
      <c r="R813" s="243">
        <f t="shared" si="416"/>
        <v>0</v>
      </c>
      <c r="S813" s="243"/>
      <c r="T813" s="243">
        <f t="shared" si="416"/>
        <v>0</v>
      </c>
      <c r="U813" s="243">
        <f t="shared" si="398"/>
        <v>0</v>
      </c>
      <c r="V813" s="243">
        <f>R813</f>
        <v>0</v>
      </c>
      <c r="W813" s="243">
        <f t="shared" si="416"/>
        <v>0</v>
      </c>
      <c r="X813" s="243">
        <f t="shared" si="416"/>
        <v>0</v>
      </c>
      <c r="Y813" s="243">
        <f t="shared" si="416"/>
        <v>0</v>
      </c>
      <c r="Z813" s="243">
        <f t="shared" si="416"/>
        <v>0</v>
      </c>
      <c r="AA813" s="243">
        <f t="shared" si="416"/>
        <v>0</v>
      </c>
      <c r="AB813" s="243">
        <f t="shared" si="416"/>
        <v>0</v>
      </c>
      <c r="AC813" s="243">
        <f t="shared" si="416"/>
        <v>0</v>
      </c>
      <c r="AD813" s="243">
        <f t="shared" si="416"/>
        <v>0</v>
      </c>
      <c r="AE813" s="243">
        <f t="shared" si="416"/>
        <v>0</v>
      </c>
      <c r="AF813" s="243">
        <f t="shared" si="416"/>
        <v>0</v>
      </c>
      <c r="AG813" s="243">
        <f t="shared" si="416"/>
        <v>0</v>
      </c>
      <c r="AH813" s="243">
        <f t="shared" si="416"/>
        <v>0</v>
      </c>
      <c r="AI813" s="243">
        <f t="shared" si="416"/>
        <v>0</v>
      </c>
      <c r="AJ813" s="243">
        <f t="shared" si="416"/>
        <v>0</v>
      </c>
      <c r="AK813" s="243">
        <f t="shared" si="416"/>
        <v>0</v>
      </c>
      <c r="AL813" s="243">
        <f t="shared" si="416"/>
        <v>0</v>
      </c>
      <c r="AM813" s="243">
        <f t="shared" si="416"/>
        <v>0</v>
      </c>
      <c r="AN813" s="243">
        <f t="shared" si="416"/>
        <v>0</v>
      </c>
      <c r="AO813" s="243">
        <f t="shared" si="416"/>
        <v>0</v>
      </c>
      <c r="AP813" s="243">
        <f t="shared" si="416"/>
        <v>0</v>
      </c>
      <c r="AQ813" s="243">
        <f t="shared" si="416"/>
        <v>0</v>
      </c>
      <c r="AR813" s="243">
        <f t="shared" si="416"/>
        <v>0</v>
      </c>
      <c r="AS813" s="243">
        <f t="shared" si="416"/>
        <v>0</v>
      </c>
      <c r="AT813" s="243">
        <f t="shared" si="416"/>
        <v>0</v>
      </c>
      <c r="AU813" s="243">
        <f t="shared" si="416"/>
        <v>0</v>
      </c>
      <c r="AV813" s="243"/>
      <c r="AW813" s="243"/>
      <c r="AX813" s="243"/>
      <c r="AY813" s="243"/>
    </row>
    <row r="814" spans="2:51" s="214" customFormat="1" ht="15.75" customHeight="1">
      <c r="B814" s="244"/>
      <c r="C814" s="246" t="s">
        <v>1117</v>
      </c>
      <c r="D814" s="246"/>
      <c r="E814" s="246"/>
      <c r="F814" s="246"/>
      <c r="G814" s="246"/>
      <c r="H814" s="246"/>
      <c r="I814" s="239"/>
      <c r="J814" s="269"/>
      <c r="K814" s="269"/>
      <c r="L814" s="269"/>
      <c r="M814" s="269"/>
      <c r="N814" s="269"/>
      <c r="O814" s="269">
        <f t="shared" ref="O814:AU814" si="417">-O412*O813</f>
        <v>0</v>
      </c>
      <c r="P814" s="269">
        <f t="shared" si="417"/>
        <v>0</v>
      </c>
      <c r="Q814" s="269">
        <f t="shared" si="417"/>
        <v>0</v>
      </c>
      <c r="R814" s="269">
        <f t="shared" si="417"/>
        <v>0</v>
      </c>
      <c r="S814" s="269"/>
      <c r="T814" s="269">
        <f>-T412*T813</f>
        <v>0</v>
      </c>
      <c r="U814" s="269">
        <f t="shared" si="398"/>
        <v>0</v>
      </c>
      <c r="V814" s="269">
        <f t="shared" si="417"/>
        <v>0</v>
      </c>
      <c r="W814" s="269">
        <f t="shared" si="417"/>
        <v>0</v>
      </c>
      <c r="X814" s="269">
        <f t="shared" si="417"/>
        <v>0</v>
      </c>
      <c r="Y814" s="269">
        <f t="shared" si="417"/>
        <v>0</v>
      </c>
      <c r="Z814" s="269">
        <f t="shared" si="417"/>
        <v>0</v>
      </c>
      <c r="AA814" s="269">
        <f t="shared" si="417"/>
        <v>0</v>
      </c>
      <c r="AB814" s="269">
        <f t="shared" si="417"/>
        <v>0</v>
      </c>
      <c r="AC814" s="269">
        <f t="shared" si="417"/>
        <v>0</v>
      </c>
      <c r="AD814" s="269">
        <f t="shared" si="417"/>
        <v>0</v>
      </c>
      <c r="AE814" s="269">
        <f t="shared" si="417"/>
        <v>0</v>
      </c>
      <c r="AF814" s="269">
        <f t="shared" si="417"/>
        <v>0</v>
      </c>
      <c r="AG814" s="269">
        <f t="shared" si="417"/>
        <v>0</v>
      </c>
      <c r="AH814" s="269">
        <f t="shared" si="417"/>
        <v>0</v>
      </c>
      <c r="AI814" s="269">
        <f t="shared" si="417"/>
        <v>0</v>
      </c>
      <c r="AJ814" s="269">
        <f t="shared" si="417"/>
        <v>0</v>
      </c>
      <c r="AK814" s="269">
        <f t="shared" si="417"/>
        <v>0</v>
      </c>
      <c r="AL814" s="269">
        <f t="shared" si="417"/>
        <v>0</v>
      </c>
      <c r="AM814" s="269">
        <f t="shared" si="417"/>
        <v>0</v>
      </c>
      <c r="AN814" s="269">
        <f t="shared" si="417"/>
        <v>0</v>
      </c>
      <c r="AO814" s="269">
        <f t="shared" si="417"/>
        <v>0</v>
      </c>
      <c r="AP814" s="269">
        <f t="shared" si="417"/>
        <v>0</v>
      </c>
      <c r="AQ814" s="269">
        <f t="shared" si="417"/>
        <v>0</v>
      </c>
      <c r="AR814" s="269">
        <f t="shared" si="417"/>
        <v>0</v>
      </c>
      <c r="AS814" s="269">
        <f t="shared" si="417"/>
        <v>0</v>
      </c>
      <c r="AT814" s="269">
        <f t="shared" si="417"/>
        <v>0</v>
      </c>
      <c r="AU814" s="269">
        <f t="shared" si="417"/>
        <v>0</v>
      </c>
      <c r="AV814" s="269"/>
      <c r="AW814" s="269"/>
      <c r="AX814" s="269"/>
      <c r="AY814" s="269"/>
    </row>
    <row r="815" spans="2:51" s="214" customFormat="1" ht="15.75" customHeight="1">
      <c r="B815" s="244"/>
      <c r="C815" s="258" t="s">
        <v>1118</v>
      </c>
      <c r="D815" s="246"/>
      <c r="E815" s="246"/>
      <c r="F815" s="246"/>
      <c r="G815" s="246"/>
      <c r="H815" s="246"/>
      <c r="I815" s="282"/>
      <c r="J815" s="282"/>
      <c r="K815" s="282"/>
      <c r="L815" s="282"/>
      <c r="M815" s="282"/>
      <c r="N815" s="282"/>
      <c r="O815" s="282" t="e">
        <f t="shared" ref="O815:AU815" si="418">SUM(O810:O814)</f>
        <v>#REF!</v>
      </c>
      <c r="P815" s="282">
        <f t="shared" si="418"/>
        <v>716620</v>
      </c>
      <c r="Q815" s="282">
        <f t="shared" si="418"/>
        <v>-194164636.69666666</v>
      </c>
      <c r="R815" s="282">
        <f t="shared" si="418"/>
        <v>-476711921.74164701</v>
      </c>
      <c r="S815" s="282"/>
      <c r="T815" s="282">
        <f>SUM(T810:T814)</f>
        <v>-447274439.35240531</v>
      </c>
      <c r="U815" s="282">
        <f t="shared" si="398"/>
        <v>-447274439.35240531</v>
      </c>
      <c r="V815" s="282">
        <f t="shared" si="418"/>
        <v>-322293759.77676958</v>
      </c>
      <c r="W815" s="282">
        <f t="shared" si="418"/>
        <v>-33715822.632798731</v>
      </c>
      <c r="X815" s="282">
        <f t="shared" si="418"/>
        <v>268594941.14125681</v>
      </c>
      <c r="Y815" s="282">
        <f t="shared" si="418"/>
        <v>570123829.24844444</v>
      </c>
      <c r="Z815" s="282">
        <f t="shared" si="418"/>
        <v>871599115.50487208</v>
      </c>
      <c r="AA815" s="282">
        <f t="shared" si="418"/>
        <v>1172996166.8920794</v>
      </c>
      <c r="AB815" s="282">
        <f t="shared" si="418"/>
        <v>1473789269.5710576</v>
      </c>
      <c r="AC815" s="282">
        <f t="shared" si="418"/>
        <v>1775897517.2121334</v>
      </c>
      <c r="AD815" s="282">
        <f t="shared" si="418"/>
        <v>2078067764.853209</v>
      </c>
      <c r="AE815" s="282">
        <f t="shared" si="418"/>
        <v>2372971443.7411346</v>
      </c>
      <c r="AF815" s="282">
        <f t="shared" si="418"/>
        <v>2662639486.4390602</v>
      </c>
      <c r="AG815" s="282">
        <f t="shared" si="418"/>
        <v>2952369529.1369858</v>
      </c>
      <c r="AH815" s="282">
        <f t="shared" si="418"/>
        <v>3242161571.8349113</v>
      </c>
      <c r="AI815" s="282">
        <f t="shared" si="418"/>
        <v>3532015614.5328369</v>
      </c>
      <c r="AJ815" s="282">
        <f t="shared" si="418"/>
        <v>3821931657.2307625</v>
      </c>
      <c r="AK815" s="282">
        <f t="shared" si="418"/>
        <v>4111909699.928688</v>
      </c>
      <c r="AL815" s="282">
        <f t="shared" si="418"/>
        <v>4401949742.6266136</v>
      </c>
      <c r="AM815" s="282">
        <f t="shared" si="418"/>
        <v>4691683635.9648857</v>
      </c>
      <c r="AN815" s="282">
        <f t="shared" si="418"/>
        <v>4981320984.5579805</v>
      </c>
      <c r="AO815" s="282">
        <f t="shared" si="418"/>
        <v>5271020333.1510754</v>
      </c>
      <c r="AP815" s="282">
        <f t="shared" si="418"/>
        <v>5560781681.7441702</v>
      </c>
      <c r="AQ815" s="282">
        <f t="shared" si="418"/>
        <v>5850605030.337265</v>
      </c>
      <c r="AR815" s="282">
        <f t="shared" si="418"/>
        <v>6139870378.9303598</v>
      </c>
      <c r="AS815" s="282">
        <f t="shared" si="418"/>
        <v>6429135727.5234547</v>
      </c>
      <c r="AT815" s="282">
        <f t="shared" si="418"/>
        <v>6718401076.1165495</v>
      </c>
      <c r="AU815" s="282">
        <f t="shared" si="418"/>
        <v>7010972377.8304348</v>
      </c>
      <c r="AV815" s="282"/>
      <c r="AW815" s="282"/>
      <c r="AX815" s="282"/>
      <c r="AY815" s="282"/>
    </row>
    <row r="816" spans="2:51" s="214" customFormat="1" ht="15.75" customHeight="1">
      <c r="B816" s="244"/>
      <c r="C816" s="246"/>
      <c r="D816" s="246"/>
      <c r="E816" s="246"/>
      <c r="F816" s="246"/>
      <c r="G816" s="246"/>
      <c r="H816" s="246"/>
      <c r="I816" s="246"/>
      <c r="J816" s="246"/>
      <c r="K816" s="272"/>
      <c r="L816" s="272"/>
      <c r="M816" s="215"/>
      <c r="U816" s="214">
        <f t="shared" si="398"/>
        <v>0</v>
      </c>
    </row>
    <row r="817" spans="2:51" s="214" customFormat="1" ht="15.75" customHeight="1">
      <c r="B817" s="244"/>
      <c r="C817" s="214" t="s">
        <v>1119</v>
      </c>
      <c r="D817" s="246"/>
      <c r="E817" s="246"/>
      <c r="F817" s="246"/>
      <c r="G817" s="246"/>
      <c r="H817" s="246"/>
      <c r="I817" s="246"/>
      <c r="J817" s="246"/>
      <c r="K817" s="272"/>
      <c r="L817" s="272"/>
      <c r="M817" s="215"/>
      <c r="U817" s="214">
        <f t="shared" si="398"/>
        <v>0</v>
      </c>
    </row>
    <row r="818" spans="2:51" s="214" customFormat="1" ht="15.75" customHeight="1">
      <c r="B818" s="244"/>
      <c r="C818" s="331" t="s">
        <v>487</v>
      </c>
      <c r="D818" s="246"/>
      <c r="E818" s="246"/>
      <c r="F818" s="246"/>
      <c r="G818" s="246"/>
      <c r="H818" s="246"/>
      <c r="I818" s="246"/>
      <c r="J818" s="401"/>
      <c r="K818" s="246"/>
      <c r="L818" s="246"/>
      <c r="M818" s="246"/>
      <c r="N818" s="246"/>
      <c r="O818" s="246">
        <f t="shared" ref="O818:AU820" si="419">N818+O824</f>
        <v>0</v>
      </c>
      <c r="P818" s="246">
        <f t="shared" si="419"/>
        <v>0</v>
      </c>
      <c r="Q818" s="246">
        <f t="shared" si="419"/>
        <v>0</v>
      </c>
      <c r="R818" s="246">
        <f t="shared" si="419"/>
        <v>0</v>
      </c>
      <c r="S818" s="246"/>
      <c r="T818" s="246">
        <f t="shared" si="419"/>
        <v>0</v>
      </c>
      <c r="U818" s="246">
        <f t="shared" si="398"/>
        <v>0</v>
      </c>
      <c r="V818" s="246">
        <f>R818+V824</f>
        <v>0</v>
      </c>
      <c r="W818" s="246">
        <f t="shared" si="419"/>
        <v>0</v>
      </c>
      <c r="X818" s="246">
        <f t="shared" si="419"/>
        <v>0</v>
      </c>
      <c r="Y818" s="246">
        <f t="shared" si="419"/>
        <v>0</v>
      </c>
      <c r="Z818" s="246">
        <f t="shared" si="419"/>
        <v>0</v>
      </c>
      <c r="AA818" s="246">
        <f t="shared" si="419"/>
        <v>0</v>
      </c>
      <c r="AB818" s="246">
        <f t="shared" si="419"/>
        <v>0</v>
      </c>
      <c r="AC818" s="246">
        <f t="shared" si="419"/>
        <v>0</v>
      </c>
      <c r="AD818" s="246">
        <f t="shared" si="419"/>
        <v>0</v>
      </c>
      <c r="AE818" s="246">
        <f t="shared" si="419"/>
        <v>0</v>
      </c>
      <c r="AF818" s="246">
        <f t="shared" si="419"/>
        <v>0</v>
      </c>
      <c r="AG818" s="246">
        <f t="shared" si="419"/>
        <v>0</v>
      </c>
      <c r="AH818" s="246">
        <f t="shared" si="419"/>
        <v>0</v>
      </c>
      <c r="AI818" s="246">
        <f t="shared" si="419"/>
        <v>0</v>
      </c>
      <c r="AJ818" s="246">
        <f t="shared" si="419"/>
        <v>0</v>
      </c>
      <c r="AK818" s="246">
        <f t="shared" si="419"/>
        <v>0</v>
      </c>
      <c r="AL818" s="246">
        <f t="shared" si="419"/>
        <v>0</v>
      </c>
      <c r="AM818" s="246">
        <f t="shared" si="419"/>
        <v>0</v>
      </c>
      <c r="AN818" s="246">
        <f t="shared" si="419"/>
        <v>0</v>
      </c>
      <c r="AO818" s="246">
        <f t="shared" si="419"/>
        <v>0</v>
      </c>
      <c r="AP818" s="246">
        <f t="shared" si="419"/>
        <v>0</v>
      </c>
      <c r="AQ818" s="246">
        <f t="shared" si="419"/>
        <v>0</v>
      </c>
      <c r="AR818" s="246">
        <f t="shared" si="419"/>
        <v>0</v>
      </c>
      <c r="AS818" s="246">
        <f t="shared" si="419"/>
        <v>0</v>
      </c>
      <c r="AT818" s="246">
        <f t="shared" si="419"/>
        <v>0</v>
      </c>
      <c r="AU818" s="246">
        <f t="shared" si="419"/>
        <v>0</v>
      </c>
      <c r="AV818" s="246"/>
      <c r="AW818" s="246"/>
      <c r="AX818" s="246"/>
      <c r="AY818" s="246"/>
    </row>
    <row r="819" spans="2:51" s="214" customFormat="1" ht="15.75" customHeight="1">
      <c r="B819" s="244"/>
      <c r="C819" s="331" t="s">
        <v>488</v>
      </c>
      <c r="D819" s="246"/>
      <c r="E819" s="246"/>
      <c r="F819" s="246"/>
      <c r="G819" s="246"/>
      <c r="H819" s="246"/>
      <c r="I819" s="246"/>
      <c r="J819" s="246"/>
      <c r="K819" s="272"/>
      <c r="L819" s="272"/>
      <c r="M819" s="272"/>
      <c r="N819" s="272"/>
      <c r="O819" s="272">
        <f t="shared" si="419"/>
        <v>0</v>
      </c>
      <c r="P819" s="272">
        <f t="shared" si="419"/>
        <v>0</v>
      </c>
      <c r="Q819" s="272">
        <f t="shared" si="419"/>
        <v>0</v>
      </c>
      <c r="R819" s="272">
        <f t="shared" si="419"/>
        <v>0</v>
      </c>
      <c r="S819" s="272"/>
      <c r="T819" s="272">
        <f t="shared" si="419"/>
        <v>0</v>
      </c>
      <c r="U819" s="272">
        <f t="shared" si="398"/>
        <v>0</v>
      </c>
      <c r="V819" s="272">
        <f>R819+V825</f>
        <v>0</v>
      </c>
      <c r="W819" s="272">
        <f t="shared" si="419"/>
        <v>0</v>
      </c>
      <c r="X819" s="272">
        <f t="shared" si="419"/>
        <v>0</v>
      </c>
      <c r="Y819" s="272">
        <f t="shared" si="419"/>
        <v>0</v>
      </c>
      <c r="Z819" s="272">
        <f t="shared" si="419"/>
        <v>0</v>
      </c>
      <c r="AA819" s="272">
        <f t="shared" si="419"/>
        <v>0</v>
      </c>
      <c r="AB819" s="272">
        <f t="shared" si="419"/>
        <v>0</v>
      </c>
      <c r="AC819" s="272">
        <f t="shared" si="419"/>
        <v>0</v>
      </c>
      <c r="AD819" s="272">
        <f t="shared" si="419"/>
        <v>0</v>
      </c>
      <c r="AE819" s="272">
        <f t="shared" si="419"/>
        <v>0</v>
      </c>
      <c r="AF819" s="272">
        <f t="shared" si="419"/>
        <v>0</v>
      </c>
      <c r="AG819" s="272">
        <f t="shared" si="419"/>
        <v>0</v>
      </c>
      <c r="AH819" s="272">
        <f t="shared" si="419"/>
        <v>0</v>
      </c>
      <c r="AI819" s="272">
        <f t="shared" si="419"/>
        <v>0</v>
      </c>
      <c r="AJ819" s="272">
        <f t="shared" si="419"/>
        <v>0</v>
      </c>
      <c r="AK819" s="272">
        <f t="shared" si="419"/>
        <v>0</v>
      </c>
      <c r="AL819" s="272">
        <f t="shared" si="419"/>
        <v>0</v>
      </c>
      <c r="AM819" s="272">
        <f t="shared" si="419"/>
        <v>0</v>
      </c>
      <c r="AN819" s="272">
        <f t="shared" si="419"/>
        <v>0</v>
      </c>
      <c r="AO819" s="272">
        <f t="shared" si="419"/>
        <v>0</v>
      </c>
      <c r="AP819" s="272">
        <f t="shared" si="419"/>
        <v>0</v>
      </c>
      <c r="AQ819" s="272">
        <f t="shared" si="419"/>
        <v>0</v>
      </c>
      <c r="AR819" s="272">
        <f t="shared" si="419"/>
        <v>0</v>
      </c>
      <c r="AS819" s="272">
        <f t="shared" si="419"/>
        <v>0</v>
      </c>
      <c r="AT819" s="272">
        <f t="shared" si="419"/>
        <v>0</v>
      </c>
      <c r="AU819" s="272">
        <f t="shared" si="419"/>
        <v>0</v>
      </c>
      <c r="AV819" s="272"/>
      <c r="AW819" s="272"/>
      <c r="AX819" s="272"/>
      <c r="AY819" s="272"/>
    </row>
    <row r="820" spans="2:51" s="214" customFormat="1" ht="15.75" customHeight="1">
      <c r="B820" s="244"/>
      <c r="C820" s="331" t="s">
        <v>489</v>
      </c>
      <c r="D820" s="246"/>
      <c r="E820" s="246"/>
      <c r="F820" s="246"/>
      <c r="G820" s="246"/>
      <c r="H820" s="246"/>
      <c r="I820" s="246"/>
      <c r="J820" s="246"/>
      <c r="K820" s="246"/>
      <c r="L820" s="246"/>
      <c r="M820" s="246"/>
      <c r="N820" s="246"/>
      <c r="O820" s="246">
        <f t="shared" si="419"/>
        <v>0</v>
      </c>
      <c r="P820" s="246">
        <f t="shared" si="419"/>
        <v>0</v>
      </c>
      <c r="Q820" s="246">
        <f t="shared" si="419"/>
        <v>0</v>
      </c>
      <c r="R820" s="246">
        <f t="shared" si="419"/>
        <v>0</v>
      </c>
      <c r="S820" s="246"/>
      <c r="T820" s="246">
        <f t="shared" si="419"/>
        <v>0</v>
      </c>
      <c r="U820" s="246">
        <f t="shared" si="398"/>
        <v>0</v>
      </c>
      <c r="V820" s="246">
        <f>R820+V826</f>
        <v>0</v>
      </c>
      <c r="W820" s="246">
        <f t="shared" si="419"/>
        <v>0</v>
      </c>
      <c r="X820" s="246">
        <f t="shared" si="419"/>
        <v>0</v>
      </c>
      <c r="Y820" s="246">
        <f t="shared" si="419"/>
        <v>0</v>
      </c>
      <c r="Z820" s="246">
        <f t="shared" si="419"/>
        <v>0</v>
      </c>
      <c r="AA820" s="246">
        <f t="shared" si="419"/>
        <v>0</v>
      </c>
      <c r="AB820" s="246">
        <f t="shared" si="419"/>
        <v>0</v>
      </c>
      <c r="AC820" s="246">
        <f t="shared" si="419"/>
        <v>0</v>
      </c>
      <c r="AD820" s="246">
        <f t="shared" si="419"/>
        <v>0</v>
      </c>
      <c r="AE820" s="246">
        <f t="shared" si="419"/>
        <v>0</v>
      </c>
      <c r="AF820" s="246">
        <f t="shared" si="419"/>
        <v>0</v>
      </c>
      <c r="AG820" s="246">
        <f t="shared" si="419"/>
        <v>0</v>
      </c>
      <c r="AH820" s="246">
        <f t="shared" si="419"/>
        <v>0</v>
      </c>
      <c r="AI820" s="246">
        <f t="shared" si="419"/>
        <v>0</v>
      </c>
      <c r="AJ820" s="246">
        <f t="shared" si="419"/>
        <v>0</v>
      </c>
      <c r="AK820" s="246">
        <f t="shared" si="419"/>
        <v>0</v>
      </c>
      <c r="AL820" s="246">
        <f t="shared" si="419"/>
        <v>0</v>
      </c>
      <c r="AM820" s="246">
        <f t="shared" si="419"/>
        <v>0</v>
      </c>
      <c r="AN820" s="246">
        <f t="shared" si="419"/>
        <v>0</v>
      </c>
      <c r="AO820" s="246">
        <f t="shared" si="419"/>
        <v>0</v>
      </c>
      <c r="AP820" s="246">
        <f t="shared" si="419"/>
        <v>0</v>
      </c>
      <c r="AQ820" s="246">
        <f t="shared" si="419"/>
        <v>0</v>
      </c>
      <c r="AR820" s="246">
        <f t="shared" si="419"/>
        <v>0</v>
      </c>
      <c r="AS820" s="246">
        <f t="shared" si="419"/>
        <v>0</v>
      </c>
      <c r="AT820" s="246">
        <f t="shared" si="419"/>
        <v>0</v>
      </c>
      <c r="AU820" s="246">
        <f t="shared" si="419"/>
        <v>0</v>
      </c>
      <c r="AV820" s="246"/>
      <c r="AW820" s="246"/>
      <c r="AX820" s="246"/>
      <c r="AY820" s="246"/>
    </row>
    <row r="821" spans="2:51" s="214" customFormat="1" ht="15.75" customHeight="1">
      <c r="B821" s="244"/>
      <c r="C821" s="214" t="s">
        <v>1120</v>
      </c>
      <c r="D821" s="246"/>
      <c r="E821" s="246"/>
      <c r="F821" s="246"/>
      <c r="G821" s="246"/>
      <c r="H821" s="246"/>
      <c r="I821" s="285"/>
      <c r="J821" s="246"/>
      <c r="K821" s="272"/>
      <c r="L821" s="272"/>
      <c r="M821" s="272"/>
      <c r="N821" s="272"/>
      <c r="O821" s="272">
        <f t="shared" ref="O821:AU821" si="420">SUM(O818:O820)</f>
        <v>0</v>
      </c>
      <c r="P821" s="272">
        <f t="shared" si="420"/>
        <v>0</v>
      </c>
      <c r="Q821" s="272">
        <f t="shared" si="420"/>
        <v>0</v>
      </c>
      <c r="R821" s="272">
        <f t="shared" si="420"/>
        <v>0</v>
      </c>
      <c r="S821" s="272"/>
      <c r="T821" s="272">
        <f>SUM(T818:T820)</f>
        <v>0</v>
      </c>
      <c r="U821" s="272">
        <f t="shared" si="398"/>
        <v>0</v>
      </c>
      <c r="V821" s="272">
        <f t="shared" si="420"/>
        <v>0</v>
      </c>
      <c r="W821" s="272">
        <f t="shared" si="420"/>
        <v>0</v>
      </c>
      <c r="X821" s="272">
        <f t="shared" si="420"/>
        <v>0</v>
      </c>
      <c r="Y821" s="272">
        <f t="shared" si="420"/>
        <v>0</v>
      </c>
      <c r="Z821" s="272">
        <f t="shared" si="420"/>
        <v>0</v>
      </c>
      <c r="AA821" s="272">
        <f t="shared" si="420"/>
        <v>0</v>
      </c>
      <c r="AB821" s="272">
        <f t="shared" si="420"/>
        <v>0</v>
      </c>
      <c r="AC821" s="272">
        <f t="shared" si="420"/>
        <v>0</v>
      </c>
      <c r="AD821" s="272">
        <f t="shared" si="420"/>
        <v>0</v>
      </c>
      <c r="AE821" s="272">
        <f t="shared" si="420"/>
        <v>0</v>
      </c>
      <c r="AF821" s="272">
        <f t="shared" si="420"/>
        <v>0</v>
      </c>
      <c r="AG821" s="272">
        <f t="shared" si="420"/>
        <v>0</v>
      </c>
      <c r="AH821" s="272">
        <f t="shared" si="420"/>
        <v>0</v>
      </c>
      <c r="AI821" s="272">
        <f t="shared" si="420"/>
        <v>0</v>
      </c>
      <c r="AJ821" s="272">
        <f t="shared" si="420"/>
        <v>0</v>
      </c>
      <c r="AK821" s="272">
        <f t="shared" si="420"/>
        <v>0</v>
      </c>
      <c r="AL821" s="272">
        <f t="shared" si="420"/>
        <v>0</v>
      </c>
      <c r="AM821" s="272">
        <f t="shared" si="420"/>
        <v>0</v>
      </c>
      <c r="AN821" s="272">
        <f t="shared" si="420"/>
        <v>0</v>
      </c>
      <c r="AO821" s="272">
        <f t="shared" si="420"/>
        <v>0</v>
      </c>
      <c r="AP821" s="272">
        <f t="shared" si="420"/>
        <v>0</v>
      </c>
      <c r="AQ821" s="272">
        <f t="shared" si="420"/>
        <v>0</v>
      </c>
      <c r="AR821" s="272">
        <f t="shared" si="420"/>
        <v>0</v>
      </c>
      <c r="AS821" s="272">
        <f t="shared" si="420"/>
        <v>0</v>
      </c>
      <c r="AT821" s="272">
        <f t="shared" si="420"/>
        <v>0</v>
      </c>
      <c r="AU821" s="272">
        <f t="shared" si="420"/>
        <v>0</v>
      </c>
      <c r="AV821" s="272"/>
      <c r="AW821" s="272"/>
      <c r="AX821" s="272"/>
      <c r="AY821" s="272"/>
    </row>
    <row r="822" spans="2:51" s="214" customFormat="1" ht="15.75" customHeight="1">
      <c r="B822" s="244"/>
      <c r="C822" s="244"/>
      <c r="D822" s="244"/>
      <c r="E822" s="244"/>
      <c r="F822" s="244"/>
      <c r="G822" s="244"/>
      <c r="H822" s="244"/>
      <c r="I822" s="244"/>
      <c r="J822" s="244"/>
      <c r="K822" s="279"/>
      <c r="L822" s="279"/>
      <c r="M822" s="215"/>
      <c r="U822" s="214">
        <f t="shared" si="398"/>
        <v>0</v>
      </c>
    </row>
    <row r="823" spans="2:51" s="214" customFormat="1" ht="15.75" customHeight="1">
      <c r="B823" s="244"/>
      <c r="C823" s="214" t="s">
        <v>1121</v>
      </c>
      <c r="D823" s="246"/>
      <c r="E823" s="246"/>
      <c r="F823" s="246"/>
      <c r="G823" s="246"/>
      <c r="H823" s="246"/>
      <c r="I823" s="246"/>
      <c r="J823" s="246"/>
      <c r="K823" s="272"/>
      <c r="L823" s="272"/>
      <c r="M823" s="215"/>
      <c r="U823" s="214">
        <f t="shared" si="398"/>
        <v>0</v>
      </c>
    </row>
    <row r="824" spans="2:51" s="214" customFormat="1" ht="15.75" customHeight="1">
      <c r="B824" s="242"/>
      <c r="C824" s="331" t="str">
        <f>C818</f>
        <v>LT Debt A - due xx/xx/xx @ LIBOR +x%</v>
      </c>
      <c r="D824" s="246"/>
      <c r="E824" s="246"/>
      <c r="F824" s="246"/>
      <c r="G824" s="246"/>
      <c r="H824" s="246"/>
      <c r="I824" s="239"/>
      <c r="J824" s="239"/>
      <c r="K824" s="239"/>
      <c r="L824" s="239"/>
      <c r="M824" s="239"/>
      <c r="N824" s="239"/>
      <c r="O824" s="239">
        <v>0</v>
      </c>
      <c r="P824" s="239">
        <v>0</v>
      </c>
      <c r="Q824" s="239">
        <v>0</v>
      </c>
      <c r="R824" s="239">
        <v>0</v>
      </c>
      <c r="S824" s="239"/>
      <c r="T824" s="239">
        <v>0</v>
      </c>
      <c r="U824" s="239">
        <f t="shared" si="398"/>
        <v>0</v>
      </c>
      <c r="V824" s="239">
        <v>0</v>
      </c>
      <c r="W824" s="239">
        <v>0</v>
      </c>
      <c r="X824" s="239">
        <f>-SUM(P824:W824)</f>
        <v>0</v>
      </c>
      <c r="Y824" s="239">
        <v>0</v>
      </c>
      <c r="Z824" s="239">
        <v>0</v>
      </c>
      <c r="AA824" s="239">
        <v>0</v>
      </c>
      <c r="AB824" s="239">
        <v>0</v>
      </c>
      <c r="AC824" s="239">
        <v>0</v>
      </c>
      <c r="AD824" s="239">
        <v>0</v>
      </c>
      <c r="AE824" s="239">
        <v>0</v>
      </c>
      <c r="AF824" s="239">
        <v>0</v>
      </c>
      <c r="AG824" s="239">
        <v>0</v>
      </c>
      <c r="AH824" s="239">
        <v>0</v>
      </c>
      <c r="AI824" s="239">
        <v>0</v>
      </c>
      <c r="AJ824" s="239">
        <v>0</v>
      </c>
      <c r="AK824" s="239">
        <v>0</v>
      </c>
      <c r="AL824" s="239">
        <v>0</v>
      </c>
      <c r="AM824" s="239">
        <v>0</v>
      </c>
      <c r="AN824" s="239">
        <v>0</v>
      </c>
      <c r="AO824" s="239">
        <v>0</v>
      </c>
      <c r="AP824" s="239">
        <v>0</v>
      </c>
      <c r="AQ824" s="239">
        <v>0</v>
      </c>
      <c r="AR824" s="239">
        <v>0</v>
      </c>
      <c r="AS824" s="239">
        <v>0</v>
      </c>
      <c r="AT824" s="239">
        <v>0</v>
      </c>
      <c r="AU824" s="239">
        <v>0</v>
      </c>
      <c r="AV824" s="239"/>
      <c r="AW824" s="239"/>
      <c r="AX824" s="239"/>
      <c r="AY824" s="239"/>
    </row>
    <row r="825" spans="2:51" s="214" customFormat="1" ht="15.75" customHeight="1">
      <c r="B825" s="242"/>
      <c r="C825" s="331" t="str">
        <f>C819</f>
        <v>LT Debt B - due xx/xx/xx @ LIBOR +x%</v>
      </c>
      <c r="D825" s="246"/>
      <c r="E825" s="246"/>
      <c r="F825" s="246"/>
      <c r="G825" s="246"/>
      <c r="H825" s="246"/>
      <c r="I825" s="239"/>
      <c r="J825" s="239"/>
      <c r="K825" s="239"/>
      <c r="L825" s="239"/>
      <c r="M825" s="239"/>
      <c r="N825" s="239"/>
      <c r="O825" s="239">
        <v>0</v>
      </c>
      <c r="P825" s="239">
        <v>0</v>
      </c>
      <c r="Q825" s="239">
        <v>0</v>
      </c>
      <c r="R825" s="239">
        <v>0</v>
      </c>
      <c r="S825" s="239"/>
      <c r="T825" s="239">
        <v>0</v>
      </c>
      <c r="U825" s="239">
        <f t="shared" si="398"/>
        <v>0</v>
      </c>
      <c r="V825" s="239">
        <v>0</v>
      </c>
      <c r="W825" s="239">
        <v>0</v>
      </c>
      <c r="X825" s="239">
        <v>0</v>
      </c>
      <c r="Y825" s="239">
        <v>0</v>
      </c>
      <c r="Z825" s="239">
        <v>0</v>
      </c>
      <c r="AA825" s="239">
        <v>0</v>
      </c>
      <c r="AB825" s="239">
        <v>0</v>
      </c>
      <c r="AC825" s="239">
        <v>0</v>
      </c>
      <c r="AD825" s="239">
        <v>0</v>
      </c>
      <c r="AE825" s="239">
        <v>0</v>
      </c>
      <c r="AF825" s="239">
        <v>0</v>
      </c>
      <c r="AG825" s="239">
        <v>0</v>
      </c>
      <c r="AH825" s="239">
        <v>0</v>
      </c>
      <c r="AI825" s="239">
        <v>0</v>
      </c>
      <c r="AJ825" s="239">
        <v>0</v>
      </c>
      <c r="AK825" s="239">
        <v>0</v>
      </c>
      <c r="AL825" s="239">
        <v>0</v>
      </c>
      <c r="AM825" s="239">
        <v>0</v>
      </c>
      <c r="AN825" s="239">
        <v>0</v>
      </c>
      <c r="AO825" s="239">
        <v>0</v>
      </c>
      <c r="AP825" s="239">
        <v>0</v>
      </c>
      <c r="AQ825" s="239">
        <v>0</v>
      </c>
      <c r="AR825" s="239">
        <v>0</v>
      </c>
      <c r="AS825" s="239">
        <v>0</v>
      </c>
      <c r="AT825" s="239">
        <v>0</v>
      </c>
      <c r="AU825" s="239">
        <v>0</v>
      </c>
      <c r="AV825" s="239"/>
      <c r="AW825" s="239"/>
      <c r="AX825" s="239"/>
      <c r="AY825" s="239"/>
    </row>
    <row r="826" spans="2:51" s="214" customFormat="1" ht="15.75" customHeight="1">
      <c r="B826" s="242"/>
      <c r="C826" s="331" t="str">
        <f>C820</f>
        <v>LT Debt C - due xx/xx/xx @ LIBOR +x%</v>
      </c>
      <c r="D826" s="246"/>
      <c r="E826" s="246"/>
      <c r="F826" s="246"/>
      <c r="G826" s="246"/>
      <c r="H826" s="246"/>
      <c r="I826" s="239"/>
      <c r="J826" s="239"/>
      <c r="K826" s="239"/>
      <c r="L826" s="239"/>
      <c r="M826" s="239"/>
      <c r="N826" s="239"/>
      <c r="O826" s="239">
        <v>0</v>
      </c>
      <c r="P826" s="239">
        <v>0</v>
      </c>
      <c r="Q826" s="239">
        <v>0</v>
      </c>
      <c r="R826" s="239">
        <v>0</v>
      </c>
      <c r="S826" s="239"/>
      <c r="T826" s="239">
        <v>0</v>
      </c>
      <c r="U826" s="239">
        <f t="shared" si="398"/>
        <v>0</v>
      </c>
      <c r="V826" s="239">
        <v>0</v>
      </c>
      <c r="W826" s="239">
        <v>0</v>
      </c>
      <c r="X826" s="239">
        <v>0</v>
      </c>
      <c r="Y826" s="239">
        <v>0</v>
      </c>
      <c r="Z826" s="239">
        <v>0</v>
      </c>
      <c r="AA826" s="239">
        <v>0</v>
      </c>
      <c r="AB826" s="239">
        <v>0</v>
      </c>
      <c r="AC826" s="239">
        <v>0</v>
      </c>
      <c r="AD826" s="239">
        <v>0</v>
      </c>
      <c r="AE826" s="239">
        <v>0</v>
      </c>
      <c r="AF826" s="239">
        <v>0</v>
      </c>
      <c r="AG826" s="239">
        <v>0</v>
      </c>
      <c r="AH826" s="239">
        <v>0</v>
      </c>
      <c r="AI826" s="239">
        <v>0</v>
      </c>
      <c r="AJ826" s="239">
        <v>0</v>
      </c>
      <c r="AK826" s="239">
        <v>0</v>
      </c>
      <c r="AL826" s="239">
        <v>0</v>
      </c>
      <c r="AM826" s="239">
        <v>0</v>
      </c>
      <c r="AN826" s="239">
        <v>0</v>
      </c>
      <c r="AO826" s="239">
        <v>0</v>
      </c>
      <c r="AP826" s="239">
        <v>0</v>
      </c>
      <c r="AQ826" s="239">
        <v>0</v>
      </c>
      <c r="AR826" s="239">
        <v>0</v>
      </c>
      <c r="AS826" s="239">
        <v>0</v>
      </c>
      <c r="AT826" s="239">
        <v>0</v>
      </c>
      <c r="AU826" s="239">
        <v>0</v>
      </c>
      <c r="AV826" s="239"/>
      <c r="AW826" s="239"/>
      <c r="AX826" s="239"/>
      <c r="AY826" s="239"/>
    </row>
    <row r="827" spans="2:51" s="214" customFormat="1" ht="15.75" customHeight="1">
      <c r="B827" s="242"/>
      <c r="C827" s="214" t="s">
        <v>1121</v>
      </c>
      <c r="D827" s="246"/>
      <c r="E827" s="246"/>
      <c r="F827" s="246"/>
      <c r="G827" s="246"/>
      <c r="H827" s="246"/>
      <c r="I827" s="285"/>
      <c r="J827" s="246"/>
      <c r="K827" s="272"/>
      <c r="L827" s="272"/>
      <c r="M827" s="272"/>
      <c r="N827" s="272"/>
      <c r="O827" s="272">
        <f t="shared" ref="O827:AU827" si="421">SUM(O824:O826)</f>
        <v>0</v>
      </c>
      <c r="P827" s="272">
        <f t="shared" si="421"/>
        <v>0</v>
      </c>
      <c r="Q827" s="272">
        <f t="shared" si="421"/>
        <v>0</v>
      </c>
      <c r="R827" s="272">
        <f t="shared" si="421"/>
        <v>0</v>
      </c>
      <c r="S827" s="272"/>
      <c r="T827" s="272">
        <f>SUM(T824:T826)</f>
        <v>0</v>
      </c>
      <c r="U827" s="272">
        <f t="shared" si="398"/>
        <v>0</v>
      </c>
      <c r="V827" s="272">
        <f t="shared" si="421"/>
        <v>0</v>
      </c>
      <c r="W827" s="272">
        <f t="shared" si="421"/>
        <v>0</v>
      </c>
      <c r="X827" s="272">
        <f t="shared" si="421"/>
        <v>0</v>
      </c>
      <c r="Y827" s="272">
        <f t="shared" si="421"/>
        <v>0</v>
      </c>
      <c r="Z827" s="272">
        <f t="shared" si="421"/>
        <v>0</v>
      </c>
      <c r="AA827" s="272">
        <f t="shared" si="421"/>
        <v>0</v>
      </c>
      <c r="AB827" s="272">
        <f t="shared" si="421"/>
        <v>0</v>
      </c>
      <c r="AC827" s="272">
        <f t="shared" si="421"/>
        <v>0</v>
      </c>
      <c r="AD827" s="272">
        <f t="shared" si="421"/>
        <v>0</v>
      </c>
      <c r="AE827" s="272">
        <f t="shared" si="421"/>
        <v>0</v>
      </c>
      <c r="AF827" s="272">
        <f t="shared" si="421"/>
        <v>0</v>
      </c>
      <c r="AG827" s="272">
        <f t="shared" si="421"/>
        <v>0</v>
      </c>
      <c r="AH827" s="272">
        <f t="shared" si="421"/>
        <v>0</v>
      </c>
      <c r="AI827" s="272">
        <f t="shared" si="421"/>
        <v>0</v>
      </c>
      <c r="AJ827" s="272">
        <f t="shared" si="421"/>
        <v>0</v>
      </c>
      <c r="AK827" s="272">
        <f t="shared" si="421"/>
        <v>0</v>
      </c>
      <c r="AL827" s="272">
        <f t="shared" si="421"/>
        <v>0</v>
      </c>
      <c r="AM827" s="272">
        <f t="shared" si="421"/>
        <v>0</v>
      </c>
      <c r="AN827" s="272">
        <f t="shared" si="421"/>
        <v>0</v>
      </c>
      <c r="AO827" s="272">
        <f t="shared" si="421"/>
        <v>0</v>
      </c>
      <c r="AP827" s="272">
        <f t="shared" si="421"/>
        <v>0</v>
      </c>
      <c r="AQ827" s="272">
        <f t="shared" si="421"/>
        <v>0</v>
      </c>
      <c r="AR827" s="272">
        <f t="shared" si="421"/>
        <v>0</v>
      </c>
      <c r="AS827" s="272">
        <f t="shared" si="421"/>
        <v>0</v>
      </c>
      <c r="AT827" s="272">
        <f t="shared" si="421"/>
        <v>0</v>
      </c>
      <c r="AU827" s="272">
        <f t="shared" si="421"/>
        <v>0</v>
      </c>
      <c r="AV827" s="272"/>
      <c r="AW827" s="272"/>
      <c r="AX827" s="272"/>
      <c r="AY827" s="272"/>
    </row>
    <row r="828" spans="2:51" s="214" customFormat="1" ht="15.75" customHeight="1">
      <c r="B828" s="242"/>
      <c r="C828" s="244"/>
      <c r="D828" s="244"/>
      <c r="E828" s="244"/>
      <c r="F828" s="244"/>
      <c r="G828" s="244"/>
      <c r="H828" s="244"/>
      <c r="I828" s="244"/>
      <c r="J828" s="244"/>
      <c r="K828" s="279"/>
      <c r="L828" s="279"/>
      <c r="M828" s="215"/>
      <c r="U828" s="214">
        <f t="shared" si="398"/>
        <v>0</v>
      </c>
    </row>
    <row r="829" spans="2:51" s="214" customFormat="1" ht="15.75" customHeight="1">
      <c r="B829" s="244"/>
      <c r="C829" s="214" t="s">
        <v>1122</v>
      </c>
      <c r="D829" s="246"/>
      <c r="E829" s="246"/>
      <c r="F829" s="246"/>
      <c r="G829" s="246"/>
      <c r="H829" s="246"/>
      <c r="I829" s="246"/>
      <c r="J829" s="246"/>
      <c r="K829" s="246"/>
      <c r="L829" s="246"/>
      <c r="M829" s="246"/>
      <c r="N829" s="246"/>
      <c r="O829" s="246" t="e">
        <f t="shared" ref="O829:AU829" si="422">O815+O827</f>
        <v>#REF!</v>
      </c>
      <c r="P829" s="246">
        <f t="shared" si="422"/>
        <v>716620</v>
      </c>
      <c r="Q829" s="246">
        <f>Q815+Q827</f>
        <v>-194164636.69666666</v>
      </c>
      <c r="R829" s="246">
        <f t="shared" si="422"/>
        <v>-476711921.74164701</v>
      </c>
      <c r="S829" s="246"/>
      <c r="T829" s="246">
        <f>T815+T827</f>
        <v>-447274439.35240531</v>
      </c>
      <c r="U829" s="246">
        <f t="shared" si="398"/>
        <v>-447274439.35240531</v>
      </c>
      <c r="V829" s="246">
        <f t="shared" si="422"/>
        <v>-322293759.77676958</v>
      </c>
      <c r="W829" s="246">
        <f t="shared" si="422"/>
        <v>-33715822.632798731</v>
      </c>
      <c r="X829" s="246">
        <f t="shared" si="422"/>
        <v>268594941.14125681</v>
      </c>
      <c r="Y829" s="246">
        <f t="shared" si="422"/>
        <v>570123829.24844444</v>
      </c>
      <c r="Z829" s="246">
        <f t="shared" si="422"/>
        <v>871599115.50487208</v>
      </c>
      <c r="AA829" s="246">
        <f t="shared" si="422"/>
        <v>1172996166.8920794</v>
      </c>
      <c r="AB829" s="246">
        <f t="shared" si="422"/>
        <v>1473789269.5710576</v>
      </c>
      <c r="AC829" s="246">
        <f t="shared" si="422"/>
        <v>1775897517.2121334</v>
      </c>
      <c r="AD829" s="246">
        <f t="shared" si="422"/>
        <v>2078067764.853209</v>
      </c>
      <c r="AE829" s="246">
        <f t="shared" si="422"/>
        <v>2372971443.7411346</v>
      </c>
      <c r="AF829" s="246">
        <f t="shared" si="422"/>
        <v>2662639486.4390602</v>
      </c>
      <c r="AG829" s="246">
        <f t="shared" si="422"/>
        <v>2952369529.1369858</v>
      </c>
      <c r="AH829" s="246">
        <f t="shared" si="422"/>
        <v>3242161571.8349113</v>
      </c>
      <c r="AI829" s="246">
        <f t="shared" si="422"/>
        <v>3532015614.5328369</v>
      </c>
      <c r="AJ829" s="246">
        <f t="shared" si="422"/>
        <v>3821931657.2307625</v>
      </c>
      <c r="AK829" s="246">
        <f t="shared" si="422"/>
        <v>4111909699.928688</v>
      </c>
      <c r="AL829" s="246">
        <f t="shared" si="422"/>
        <v>4401949742.6266136</v>
      </c>
      <c r="AM829" s="246">
        <f t="shared" si="422"/>
        <v>4691683635.9648857</v>
      </c>
      <c r="AN829" s="246">
        <f t="shared" si="422"/>
        <v>4981320984.5579805</v>
      </c>
      <c r="AO829" s="246">
        <f t="shared" si="422"/>
        <v>5271020333.1510754</v>
      </c>
      <c r="AP829" s="246">
        <f t="shared" si="422"/>
        <v>5560781681.7441702</v>
      </c>
      <c r="AQ829" s="246">
        <f t="shared" si="422"/>
        <v>5850605030.337265</v>
      </c>
      <c r="AR829" s="246">
        <f t="shared" si="422"/>
        <v>6139870378.9303598</v>
      </c>
      <c r="AS829" s="246">
        <f t="shared" si="422"/>
        <v>6429135727.5234547</v>
      </c>
      <c r="AT829" s="246">
        <f t="shared" si="422"/>
        <v>6718401076.1165495</v>
      </c>
      <c r="AU829" s="246">
        <f t="shared" si="422"/>
        <v>7010972377.8304348</v>
      </c>
      <c r="AV829" s="246"/>
      <c r="AW829" s="246"/>
      <c r="AX829" s="246"/>
      <c r="AY829" s="246"/>
    </row>
    <row r="830" spans="2:51" s="214" customFormat="1" ht="15.75" customHeight="1">
      <c r="B830" s="242"/>
      <c r="C830" s="244"/>
      <c r="D830" s="258"/>
      <c r="E830" s="258"/>
      <c r="F830" s="258"/>
      <c r="G830" s="258"/>
      <c r="H830" s="258"/>
      <c r="I830" s="258"/>
      <c r="J830" s="246"/>
      <c r="K830" s="246"/>
      <c r="L830" s="246"/>
      <c r="M830" s="215"/>
      <c r="U830" s="214">
        <f t="shared" si="398"/>
        <v>0</v>
      </c>
    </row>
    <row r="831" spans="2:51" s="214" customFormat="1" ht="15.75" customHeight="1">
      <c r="B831" s="244"/>
      <c r="C831" s="214" t="s">
        <v>1123</v>
      </c>
      <c r="D831" s="258"/>
      <c r="E831" s="258"/>
      <c r="F831" s="258"/>
      <c r="G831" s="258"/>
      <c r="H831" s="258"/>
      <c r="I831" s="258"/>
      <c r="J831" s="246"/>
      <c r="K831" s="246"/>
      <c r="L831" s="246"/>
      <c r="M831" s="215"/>
      <c r="U831" s="214">
        <f t="shared" si="398"/>
        <v>0</v>
      </c>
    </row>
    <row r="832" spans="2:51" s="214" customFormat="1" ht="15.75" customHeight="1">
      <c r="B832" s="244"/>
      <c r="C832" s="331" t="s">
        <v>1085</v>
      </c>
      <c r="D832" s="272"/>
      <c r="E832" s="222"/>
      <c r="F832" s="246"/>
      <c r="G832" s="246"/>
      <c r="H832" s="246"/>
      <c r="I832" s="258"/>
      <c r="J832" s="401"/>
      <c r="K832" s="288"/>
      <c r="L832" s="288"/>
      <c r="M832" s="288"/>
      <c r="N832" s="288"/>
      <c r="O832" s="288">
        <f t="shared" ref="O832:AU832" si="423">N834</f>
        <v>0</v>
      </c>
      <c r="P832" s="288">
        <v>0</v>
      </c>
      <c r="Q832" s="288">
        <f t="shared" si="423"/>
        <v>0</v>
      </c>
      <c r="R832" s="288">
        <f t="shared" si="423"/>
        <v>0</v>
      </c>
      <c r="S832" s="288"/>
      <c r="T832" s="288">
        <f t="shared" si="423"/>
        <v>0</v>
      </c>
      <c r="U832" s="288">
        <f t="shared" si="398"/>
        <v>0</v>
      </c>
      <c r="V832" s="288">
        <f>R834</f>
        <v>0</v>
      </c>
      <c r="W832" s="288">
        <f t="shared" si="423"/>
        <v>0</v>
      </c>
      <c r="X832" s="288">
        <f t="shared" si="423"/>
        <v>0</v>
      </c>
      <c r="Y832" s="288">
        <f t="shared" si="423"/>
        <v>0</v>
      </c>
      <c r="Z832" s="288">
        <f t="shared" si="423"/>
        <v>0</v>
      </c>
      <c r="AA832" s="288">
        <f t="shared" si="423"/>
        <v>0</v>
      </c>
      <c r="AB832" s="288">
        <f t="shared" si="423"/>
        <v>0</v>
      </c>
      <c r="AC832" s="288">
        <f t="shared" si="423"/>
        <v>0</v>
      </c>
      <c r="AD832" s="288">
        <f t="shared" si="423"/>
        <v>0</v>
      </c>
      <c r="AE832" s="288">
        <f t="shared" si="423"/>
        <v>0</v>
      </c>
      <c r="AF832" s="288">
        <f t="shared" si="423"/>
        <v>0</v>
      </c>
      <c r="AG832" s="288">
        <f t="shared" si="423"/>
        <v>0</v>
      </c>
      <c r="AH832" s="288">
        <f t="shared" si="423"/>
        <v>0</v>
      </c>
      <c r="AI832" s="288">
        <f t="shared" si="423"/>
        <v>0</v>
      </c>
      <c r="AJ832" s="288">
        <f t="shared" si="423"/>
        <v>0</v>
      </c>
      <c r="AK832" s="288">
        <f t="shared" si="423"/>
        <v>0</v>
      </c>
      <c r="AL832" s="288">
        <f t="shared" si="423"/>
        <v>0</v>
      </c>
      <c r="AM832" s="288">
        <f t="shared" si="423"/>
        <v>0</v>
      </c>
      <c r="AN832" s="288">
        <f t="shared" si="423"/>
        <v>0</v>
      </c>
      <c r="AO832" s="288">
        <f t="shared" si="423"/>
        <v>0</v>
      </c>
      <c r="AP832" s="288">
        <f t="shared" si="423"/>
        <v>0</v>
      </c>
      <c r="AQ832" s="288">
        <f t="shared" si="423"/>
        <v>0</v>
      </c>
      <c r="AR832" s="288">
        <f t="shared" si="423"/>
        <v>0</v>
      </c>
      <c r="AS832" s="288">
        <f t="shared" si="423"/>
        <v>0</v>
      </c>
      <c r="AT832" s="288">
        <f t="shared" si="423"/>
        <v>0</v>
      </c>
      <c r="AU832" s="288">
        <f t="shared" si="423"/>
        <v>0</v>
      </c>
      <c r="AV832" s="288"/>
      <c r="AW832" s="288"/>
      <c r="AX832" s="288"/>
      <c r="AY832" s="288"/>
    </row>
    <row r="833" spans="2:51" s="214" customFormat="1" ht="15.75" customHeight="1">
      <c r="B833" s="244"/>
      <c r="C833" s="331" t="s">
        <v>1124</v>
      </c>
      <c r="D833" s="246"/>
      <c r="E833" s="246"/>
      <c r="F833" s="246"/>
      <c r="G833" s="246"/>
      <c r="H833" s="246"/>
      <c r="I833" s="288"/>
      <c r="J833" s="288"/>
      <c r="K833" s="288"/>
      <c r="L833" s="288"/>
      <c r="M833" s="288"/>
      <c r="N833" s="288"/>
      <c r="O833" s="288" t="e">
        <f t="shared" ref="O833:AU833" si="424">-MIN(O829,O832)</f>
        <v>#REF!</v>
      </c>
      <c r="P833" s="288">
        <v>0</v>
      </c>
      <c r="Q833" s="288">
        <v>0</v>
      </c>
      <c r="R833" s="288">
        <v>0</v>
      </c>
      <c r="S833" s="288"/>
      <c r="T833" s="288">
        <v>0</v>
      </c>
      <c r="U833" s="288">
        <f t="shared" si="398"/>
        <v>0</v>
      </c>
      <c r="V833" s="288">
        <v>0</v>
      </c>
      <c r="W833" s="288">
        <v>0</v>
      </c>
      <c r="X833" s="288">
        <v>0</v>
      </c>
      <c r="Y833" s="288">
        <f t="shared" si="424"/>
        <v>0</v>
      </c>
      <c r="Z833" s="288">
        <f t="shared" si="424"/>
        <v>0</v>
      </c>
      <c r="AA833" s="288">
        <f t="shared" si="424"/>
        <v>0</v>
      </c>
      <c r="AB833" s="288">
        <f t="shared" si="424"/>
        <v>0</v>
      </c>
      <c r="AC833" s="288">
        <f t="shared" si="424"/>
        <v>0</v>
      </c>
      <c r="AD833" s="288">
        <f t="shared" si="424"/>
        <v>0</v>
      </c>
      <c r="AE833" s="288">
        <f t="shared" si="424"/>
        <v>0</v>
      </c>
      <c r="AF833" s="288">
        <f t="shared" si="424"/>
        <v>0</v>
      </c>
      <c r="AG833" s="288">
        <f t="shared" si="424"/>
        <v>0</v>
      </c>
      <c r="AH833" s="288">
        <f t="shared" si="424"/>
        <v>0</v>
      </c>
      <c r="AI833" s="288">
        <f t="shared" si="424"/>
        <v>0</v>
      </c>
      <c r="AJ833" s="288">
        <f t="shared" si="424"/>
        <v>0</v>
      </c>
      <c r="AK833" s="288">
        <f t="shared" si="424"/>
        <v>0</v>
      </c>
      <c r="AL833" s="288">
        <f t="shared" si="424"/>
        <v>0</v>
      </c>
      <c r="AM833" s="288">
        <f t="shared" si="424"/>
        <v>0</v>
      </c>
      <c r="AN833" s="288">
        <f t="shared" si="424"/>
        <v>0</v>
      </c>
      <c r="AO833" s="288">
        <f t="shared" si="424"/>
        <v>0</v>
      </c>
      <c r="AP833" s="288">
        <f t="shared" si="424"/>
        <v>0</v>
      </c>
      <c r="AQ833" s="288">
        <f t="shared" si="424"/>
        <v>0</v>
      </c>
      <c r="AR833" s="288">
        <f t="shared" si="424"/>
        <v>0</v>
      </c>
      <c r="AS833" s="288">
        <f t="shared" si="424"/>
        <v>0</v>
      </c>
      <c r="AT833" s="288">
        <f t="shared" si="424"/>
        <v>0</v>
      </c>
      <c r="AU833" s="288">
        <f t="shared" si="424"/>
        <v>0</v>
      </c>
      <c r="AV833" s="288"/>
      <c r="AW833" s="288"/>
      <c r="AX833" s="288"/>
      <c r="AY833" s="288"/>
    </row>
    <row r="834" spans="2:51" s="214" customFormat="1" ht="15.75" customHeight="1">
      <c r="B834" s="244"/>
      <c r="C834" s="331" t="s">
        <v>1005</v>
      </c>
      <c r="D834" s="246"/>
      <c r="E834" s="246"/>
      <c r="F834" s="246"/>
      <c r="G834" s="246"/>
      <c r="H834" s="246"/>
      <c r="I834" s="285"/>
      <c r="J834" s="285"/>
      <c r="K834" s="285"/>
      <c r="L834" s="285"/>
      <c r="M834" s="285"/>
      <c r="N834" s="285"/>
      <c r="O834" s="285" t="e">
        <f t="shared" ref="O834:AU834" si="425">O832+O833</f>
        <v>#REF!</v>
      </c>
      <c r="P834" s="285">
        <f t="shared" si="425"/>
        <v>0</v>
      </c>
      <c r="Q834" s="285">
        <f t="shared" si="425"/>
        <v>0</v>
      </c>
      <c r="R834" s="285">
        <f t="shared" si="425"/>
        <v>0</v>
      </c>
      <c r="S834" s="285"/>
      <c r="T834" s="285">
        <f>T832+T833</f>
        <v>0</v>
      </c>
      <c r="U834" s="285">
        <f t="shared" si="398"/>
        <v>0</v>
      </c>
      <c r="V834" s="285">
        <f t="shared" si="425"/>
        <v>0</v>
      </c>
      <c r="W834" s="285">
        <f t="shared" si="425"/>
        <v>0</v>
      </c>
      <c r="X834" s="285">
        <f t="shared" si="425"/>
        <v>0</v>
      </c>
      <c r="Y834" s="285">
        <f t="shared" si="425"/>
        <v>0</v>
      </c>
      <c r="Z834" s="285">
        <f t="shared" si="425"/>
        <v>0</v>
      </c>
      <c r="AA834" s="285">
        <f t="shared" si="425"/>
        <v>0</v>
      </c>
      <c r="AB834" s="285">
        <f t="shared" si="425"/>
        <v>0</v>
      </c>
      <c r="AC834" s="285">
        <f t="shared" si="425"/>
        <v>0</v>
      </c>
      <c r="AD834" s="285">
        <f t="shared" si="425"/>
        <v>0</v>
      </c>
      <c r="AE834" s="285">
        <f t="shared" si="425"/>
        <v>0</v>
      </c>
      <c r="AF834" s="285">
        <f t="shared" si="425"/>
        <v>0</v>
      </c>
      <c r="AG834" s="285">
        <f t="shared" si="425"/>
        <v>0</v>
      </c>
      <c r="AH834" s="285">
        <f t="shared" si="425"/>
        <v>0</v>
      </c>
      <c r="AI834" s="285">
        <f t="shared" si="425"/>
        <v>0</v>
      </c>
      <c r="AJ834" s="285">
        <f t="shared" si="425"/>
        <v>0</v>
      </c>
      <c r="AK834" s="285">
        <f t="shared" si="425"/>
        <v>0</v>
      </c>
      <c r="AL834" s="285">
        <f t="shared" si="425"/>
        <v>0</v>
      </c>
      <c r="AM834" s="285">
        <f t="shared" si="425"/>
        <v>0</v>
      </c>
      <c r="AN834" s="285">
        <f t="shared" si="425"/>
        <v>0</v>
      </c>
      <c r="AO834" s="285">
        <f t="shared" si="425"/>
        <v>0</v>
      </c>
      <c r="AP834" s="285">
        <f t="shared" si="425"/>
        <v>0</v>
      </c>
      <c r="AQ834" s="285">
        <f t="shared" si="425"/>
        <v>0</v>
      </c>
      <c r="AR834" s="285">
        <f t="shared" si="425"/>
        <v>0</v>
      </c>
      <c r="AS834" s="285">
        <f t="shared" si="425"/>
        <v>0</v>
      </c>
      <c r="AT834" s="285">
        <f t="shared" si="425"/>
        <v>0</v>
      </c>
      <c r="AU834" s="285">
        <f t="shared" si="425"/>
        <v>0</v>
      </c>
      <c r="AV834" s="285"/>
      <c r="AW834" s="285"/>
      <c r="AX834" s="285"/>
      <c r="AY834" s="285"/>
    </row>
    <row r="835" spans="2:51" s="214" customFormat="1" ht="15.75" customHeight="1">
      <c r="B835" s="244"/>
      <c r="C835" s="244"/>
      <c r="D835" s="246"/>
      <c r="E835" s="246"/>
      <c r="F835" s="246"/>
      <c r="G835" s="246"/>
      <c r="H835" s="246"/>
      <c r="I835" s="246"/>
      <c r="J835" s="246"/>
      <c r="K835" s="246"/>
      <c r="L835" s="246"/>
      <c r="M835" s="215"/>
      <c r="U835" s="214">
        <f t="shared" si="398"/>
        <v>0</v>
      </c>
    </row>
    <row r="836" spans="2:51" s="214" customFormat="1" ht="15.75" customHeight="1">
      <c r="B836" s="244"/>
      <c r="C836" s="214" t="s">
        <v>1125</v>
      </c>
      <c r="D836" s="246"/>
      <c r="E836" s="246"/>
      <c r="F836" s="246"/>
      <c r="G836" s="246"/>
      <c r="H836" s="246"/>
      <c r="I836" s="290"/>
      <c r="J836" s="290"/>
      <c r="K836" s="290"/>
      <c r="L836" s="290"/>
      <c r="M836" s="288"/>
      <c r="N836" s="290"/>
      <c r="O836" s="290" t="e">
        <f t="shared" ref="O836:AU836" si="426">O829+O833</f>
        <v>#REF!</v>
      </c>
      <c r="P836" s="290">
        <f t="shared" si="426"/>
        <v>716620</v>
      </c>
      <c r="Q836" s="290">
        <f t="shared" si="426"/>
        <v>-194164636.69666666</v>
      </c>
      <c r="R836" s="290">
        <f t="shared" si="426"/>
        <v>-476711921.74164701</v>
      </c>
      <c r="S836" s="290"/>
      <c r="T836" s="290">
        <f>T829+T833</f>
        <v>-447274439.35240531</v>
      </c>
      <c r="U836" s="290">
        <f t="shared" si="398"/>
        <v>-447274439.35240531</v>
      </c>
      <c r="V836" s="290">
        <f t="shared" si="426"/>
        <v>-322293759.77676958</v>
      </c>
      <c r="W836" s="290">
        <f t="shared" si="426"/>
        <v>-33715822.632798731</v>
      </c>
      <c r="X836" s="290">
        <f t="shared" si="426"/>
        <v>268594941.14125681</v>
      </c>
      <c r="Y836" s="290">
        <f t="shared" si="426"/>
        <v>570123829.24844444</v>
      </c>
      <c r="Z836" s="290">
        <f t="shared" si="426"/>
        <v>871599115.50487208</v>
      </c>
      <c r="AA836" s="290">
        <f t="shared" si="426"/>
        <v>1172996166.8920794</v>
      </c>
      <c r="AB836" s="290">
        <f t="shared" si="426"/>
        <v>1473789269.5710576</v>
      </c>
      <c r="AC836" s="290">
        <f t="shared" si="426"/>
        <v>1775897517.2121334</v>
      </c>
      <c r="AD836" s="290">
        <f t="shared" si="426"/>
        <v>2078067764.853209</v>
      </c>
      <c r="AE836" s="290">
        <f t="shared" si="426"/>
        <v>2372971443.7411346</v>
      </c>
      <c r="AF836" s="290">
        <f t="shared" si="426"/>
        <v>2662639486.4390602</v>
      </c>
      <c r="AG836" s="290">
        <f t="shared" si="426"/>
        <v>2952369529.1369858</v>
      </c>
      <c r="AH836" s="290">
        <f t="shared" si="426"/>
        <v>3242161571.8349113</v>
      </c>
      <c r="AI836" s="290">
        <f t="shared" si="426"/>
        <v>3532015614.5328369</v>
      </c>
      <c r="AJ836" s="290">
        <f t="shared" si="426"/>
        <v>3821931657.2307625</v>
      </c>
      <c r="AK836" s="290">
        <f t="shared" si="426"/>
        <v>4111909699.928688</v>
      </c>
      <c r="AL836" s="290">
        <f t="shared" si="426"/>
        <v>4401949742.6266136</v>
      </c>
      <c r="AM836" s="290">
        <f t="shared" si="426"/>
        <v>4691683635.9648857</v>
      </c>
      <c r="AN836" s="290">
        <f t="shared" si="426"/>
        <v>4981320984.5579805</v>
      </c>
      <c r="AO836" s="290">
        <f t="shared" si="426"/>
        <v>5271020333.1510754</v>
      </c>
      <c r="AP836" s="290">
        <f t="shared" si="426"/>
        <v>5560781681.7441702</v>
      </c>
      <c r="AQ836" s="290">
        <f t="shared" si="426"/>
        <v>5850605030.337265</v>
      </c>
      <c r="AR836" s="290">
        <f t="shared" si="426"/>
        <v>6139870378.9303598</v>
      </c>
      <c r="AS836" s="290">
        <f t="shared" si="426"/>
        <v>6429135727.5234547</v>
      </c>
      <c r="AT836" s="290">
        <f t="shared" si="426"/>
        <v>6718401076.1165495</v>
      </c>
      <c r="AU836" s="290">
        <f t="shared" si="426"/>
        <v>7010972377.8304348</v>
      </c>
      <c r="AV836" s="290"/>
      <c r="AW836" s="290"/>
      <c r="AX836" s="290"/>
      <c r="AY836" s="290"/>
    </row>
    <row r="837" spans="2:51" s="214" customFormat="1" ht="15.75" customHeight="1">
      <c r="B837" s="244"/>
      <c r="D837" s="246"/>
      <c r="E837" s="246"/>
      <c r="F837" s="246"/>
      <c r="G837" s="246"/>
      <c r="H837" s="246"/>
      <c r="I837" s="246"/>
      <c r="J837" s="246"/>
      <c r="K837" s="246"/>
      <c r="L837" s="246"/>
      <c r="M837" s="215"/>
      <c r="U837" s="214">
        <f t="shared" si="398"/>
        <v>0</v>
      </c>
    </row>
    <row r="838" spans="2:51" s="214" customFormat="1" ht="15.75" customHeight="1">
      <c r="B838" s="244"/>
      <c r="C838" s="214" t="s">
        <v>1126</v>
      </c>
      <c r="D838" s="246"/>
      <c r="E838" s="246"/>
      <c r="F838" s="246"/>
      <c r="G838" s="246"/>
      <c r="H838" s="246"/>
      <c r="I838" s="290"/>
      <c r="J838" s="290"/>
      <c r="K838" s="290"/>
      <c r="L838" s="290"/>
      <c r="M838" s="288"/>
      <c r="N838" s="290"/>
      <c r="O838" s="290">
        <f t="shared" ref="O838:AU838" si="427">-O814</f>
        <v>0</v>
      </c>
      <c r="P838" s="290">
        <f t="shared" si="427"/>
        <v>0</v>
      </c>
      <c r="Q838" s="290">
        <f t="shared" si="427"/>
        <v>0</v>
      </c>
      <c r="R838" s="290">
        <f t="shared" si="427"/>
        <v>0</v>
      </c>
      <c r="S838" s="290"/>
      <c r="T838" s="290">
        <f>-T814</f>
        <v>0</v>
      </c>
      <c r="U838" s="290">
        <f t="shared" si="398"/>
        <v>0</v>
      </c>
      <c r="V838" s="290">
        <f t="shared" si="427"/>
        <v>0</v>
      </c>
      <c r="W838" s="290">
        <f t="shared" si="427"/>
        <v>0</v>
      </c>
      <c r="X838" s="290">
        <f t="shared" si="427"/>
        <v>0</v>
      </c>
      <c r="Y838" s="290">
        <f t="shared" si="427"/>
        <v>0</v>
      </c>
      <c r="Z838" s="290">
        <f t="shared" si="427"/>
        <v>0</v>
      </c>
      <c r="AA838" s="290">
        <f t="shared" si="427"/>
        <v>0</v>
      </c>
      <c r="AB838" s="290">
        <f t="shared" si="427"/>
        <v>0</v>
      </c>
      <c r="AC838" s="290">
        <f t="shared" si="427"/>
        <v>0</v>
      </c>
      <c r="AD838" s="290">
        <f t="shared" si="427"/>
        <v>0</v>
      </c>
      <c r="AE838" s="290">
        <f t="shared" si="427"/>
        <v>0</v>
      </c>
      <c r="AF838" s="290">
        <f t="shared" si="427"/>
        <v>0</v>
      </c>
      <c r="AG838" s="290">
        <f t="shared" si="427"/>
        <v>0</v>
      </c>
      <c r="AH838" s="290">
        <f t="shared" si="427"/>
        <v>0</v>
      </c>
      <c r="AI838" s="290">
        <f t="shared" si="427"/>
        <v>0</v>
      </c>
      <c r="AJ838" s="290">
        <f t="shared" si="427"/>
        <v>0</v>
      </c>
      <c r="AK838" s="290">
        <f t="shared" si="427"/>
        <v>0</v>
      </c>
      <c r="AL838" s="290">
        <f t="shared" si="427"/>
        <v>0</v>
      </c>
      <c r="AM838" s="290">
        <f t="shared" si="427"/>
        <v>0</v>
      </c>
      <c r="AN838" s="290">
        <f t="shared" si="427"/>
        <v>0</v>
      </c>
      <c r="AO838" s="290">
        <f t="shared" si="427"/>
        <v>0</v>
      </c>
      <c r="AP838" s="290">
        <f t="shared" si="427"/>
        <v>0</v>
      </c>
      <c r="AQ838" s="290">
        <f t="shared" si="427"/>
        <v>0</v>
      </c>
      <c r="AR838" s="290">
        <f t="shared" si="427"/>
        <v>0</v>
      </c>
      <c r="AS838" s="290">
        <f t="shared" si="427"/>
        <v>0</v>
      </c>
      <c r="AT838" s="290">
        <f t="shared" si="427"/>
        <v>0</v>
      </c>
      <c r="AU838" s="290">
        <f t="shared" si="427"/>
        <v>0</v>
      </c>
      <c r="AV838" s="290"/>
      <c r="AW838" s="290"/>
      <c r="AX838" s="290"/>
      <c r="AY838" s="290"/>
    </row>
    <row r="839" spans="2:51" s="214" customFormat="1" ht="15.75" customHeight="1">
      <c r="B839" s="244"/>
      <c r="C839" s="214" t="s">
        <v>1127</v>
      </c>
      <c r="D839" s="221"/>
      <c r="E839" s="221"/>
      <c r="F839" s="221"/>
      <c r="G839" s="221"/>
      <c r="H839" s="221"/>
      <c r="I839" s="290"/>
      <c r="J839" s="290"/>
      <c r="K839" s="290"/>
      <c r="L839" s="290"/>
      <c r="M839" s="288"/>
      <c r="N839" s="290"/>
      <c r="O839" s="290" t="e">
        <f t="shared" ref="O839:AU839" si="428">O545</f>
        <v>#REF!</v>
      </c>
      <c r="P839" s="290">
        <f t="shared" si="428"/>
        <v>716620</v>
      </c>
      <c r="Q839" s="290">
        <f t="shared" si="428"/>
        <v>-193448016.69666666</v>
      </c>
      <c r="R839" s="290">
        <f t="shared" si="428"/>
        <v>-476711921.74164701</v>
      </c>
      <c r="S839" s="290"/>
      <c r="T839" s="290">
        <f>T545</f>
        <v>-447274439.35240531</v>
      </c>
      <c r="U839" s="290">
        <f t="shared" si="398"/>
        <v>-447274439.35240531</v>
      </c>
      <c r="V839" s="290">
        <f t="shared" si="428"/>
        <v>-322293759.77676958</v>
      </c>
      <c r="W839" s="290">
        <f t="shared" si="428"/>
        <v>-33715822.632798731</v>
      </c>
      <c r="X839" s="290">
        <f t="shared" si="428"/>
        <v>268594941.14125681</v>
      </c>
      <c r="Y839" s="290">
        <f t="shared" si="428"/>
        <v>570123829.24844444</v>
      </c>
      <c r="Z839" s="290">
        <f t="shared" si="428"/>
        <v>871599115.50487208</v>
      </c>
      <c r="AA839" s="290">
        <f t="shared" si="428"/>
        <v>1172996166.8920794</v>
      </c>
      <c r="AB839" s="290">
        <f t="shared" si="428"/>
        <v>1473789269.5710576</v>
      </c>
      <c r="AC839" s="290">
        <f t="shared" si="428"/>
        <v>1775897517.2121334</v>
      </c>
      <c r="AD839" s="290">
        <f t="shared" si="428"/>
        <v>2078067764.853209</v>
      </c>
      <c r="AE839" s="290">
        <f t="shared" si="428"/>
        <v>2372971443.7411346</v>
      </c>
      <c r="AF839" s="290">
        <f t="shared" si="428"/>
        <v>2662639486.4390602</v>
      </c>
      <c r="AG839" s="290">
        <f t="shared" si="428"/>
        <v>2952369529.1369858</v>
      </c>
      <c r="AH839" s="290">
        <f t="shared" si="428"/>
        <v>3242161571.8349113</v>
      </c>
      <c r="AI839" s="290">
        <f t="shared" si="428"/>
        <v>3532015614.5328369</v>
      </c>
      <c r="AJ839" s="290">
        <f t="shared" si="428"/>
        <v>3821931657.2307625</v>
      </c>
      <c r="AK839" s="290">
        <f t="shared" si="428"/>
        <v>4111909699.928688</v>
      </c>
      <c r="AL839" s="290">
        <f t="shared" si="428"/>
        <v>4401949742.6266136</v>
      </c>
      <c r="AM839" s="290">
        <f t="shared" si="428"/>
        <v>4691683635.9648857</v>
      </c>
      <c r="AN839" s="290">
        <f t="shared" si="428"/>
        <v>4981320984.5579805</v>
      </c>
      <c r="AO839" s="290">
        <f t="shared" si="428"/>
        <v>5271020333.1510754</v>
      </c>
      <c r="AP839" s="290">
        <f t="shared" si="428"/>
        <v>5560781681.7441702</v>
      </c>
      <c r="AQ839" s="290">
        <f t="shared" si="428"/>
        <v>5850605030.337265</v>
      </c>
      <c r="AR839" s="290">
        <f t="shared" si="428"/>
        <v>6139870378.9303598</v>
      </c>
      <c r="AS839" s="290">
        <f t="shared" si="428"/>
        <v>6429135727.5234547</v>
      </c>
      <c r="AT839" s="290">
        <f t="shared" si="428"/>
        <v>6718401076.1165495</v>
      </c>
      <c r="AU839" s="290">
        <f t="shared" si="428"/>
        <v>7010972377.8304348</v>
      </c>
      <c r="AV839" s="290"/>
      <c r="AW839" s="290"/>
      <c r="AX839" s="290"/>
      <c r="AY839" s="290"/>
    </row>
    <row r="840" spans="2:51" s="214" customFormat="1" ht="15.75" customHeight="1">
      <c r="B840" s="244"/>
      <c r="C840" s="244"/>
      <c r="D840" s="244"/>
      <c r="E840" s="244"/>
      <c r="F840" s="244"/>
      <c r="G840" s="244"/>
      <c r="H840" s="244"/>
      <c r="I840" s="244"/>
      <c r="J840" s="244"/>
      <c r="K840" s="244"/>
      <c r="L840" s="279"/>
      <c r="M840" s="215"/>
    </row>
    <row r="841" spans="2:51" ht="15.75" customHeight="1">
      <c r="B841" s="244"/>
      <c r="C841" s="227"/>
      <c r="D841" s="227"/>
      <c r="E841" s="227"/>
      <c r="F841" s="227"/>
      <c r="G841" s="227"/>
      <c r="H841" s="227"/>
      <c r="I841" s="227"/>
      <c r="J841" s="227"/>
      <c r="K841" s="227"/>
      <c r="L841" s="252"/>
      <c r="M841" s="185"/>
      <c r="X841" s="577"/>
      <c r="Y841" s="577"/>
      <c r="Z841" s="577"/>
      <c r="AA841" s="577"/>
      <c r="AB841" s="577"/>
      <c r="AC841" s="577"/>
      <c r="AD841" s="577"/>
      <c r="AE841" s="577"/>
      <c r="AF841" s="577"/>
      <c r="AG841" s="577"/>
      <c r="AH841" s="577"/>
      <c r="AI841" s="577"/>
      <c r="AJ841" s="577"/>
      <c r="AK841" s="577"/>
      <c r="AL841" s="577"/>
      <c r="AM841" s="577"/>
      <c r="AN841" s="577"/>
      <c r="AO841" s="577"/>
      <c r="AP841" s="577"/>
      <c r="AQ841" s="577"/>
      <c r="AR841" s="577"/>
      <c r="AS841" s="577"/>
      <c r="AT841" s="577"/>
      <c r="AU841" s="577"/>
      <c r="AV841" s="577"/>
      <c r="AW841" s="577"/>
      <c r="AX841" s="577"/>
      <c r="AY841" s="577"/>
    </row>
    <row r="842" spans="2:51" ht="15.75" customHeight="1">
      <c r="B842" s="244"/>
      <c r="C842" s="227"/>
      <c r="D842" s="227"/>
      <c r="E842" s="227"/>
      <c r="F842" s="227"/>
      <c r="G842" s="227"/>
      <c r="H842" s="227"/>
      <c r="I842" s="227"/>
      <c r="J842" s="227"/>
      <c r="K842" s="227"/>
      <c r="L842" s="252"/>
      <c r="M842" s="185"/>
      <c r="X842" s="577"/>
      <c r="Y842" s="577"/>
      <c r="Z842" s="577"/>
      <c r="AA842" s="577"/>
      <c r="AB842" s="577"/>
      <c r="AC842" s="577"/>
      <c r="AD842" s="577"/>
      <c r="AE842" s="577"/>
      <c r="AF842" s="577"/>
      <c r="AG842" s="577"/>
      <c r="AH842" s="577"/>
      <c r="AI842" s="577"/>
      <c r="AJ842" s="577"/>
      <c r="AK842" s="577"/>
      <c r="AL842" s="577"/>
      <c r="AM842" s="577"/>
      <c r="AN842" s="577"/>
      <c r="AO842" s="577"/>
      <c r="AP842" s="577"/>
      <c r="AQ842" s="577"/>
      <c r="AR842" s="577"/>
      <c r="AS842" s="577"/>
      <c r="AT842" s="577"/>
      <c r="AU842" s="577"/>
      <c r="AV842" s="577"/>
      <c r="AW842" s="577"/>
      <c r="AX842" s="577"/>
      <c r="AY842" s="577"/>
    </row>
    <row r="843" spans="2:51" ht="15.75" customHeight="1">
      <c r="B843" s="244"/>
      <c r="C843" s="227"/>
      <c r="D843" s="227"/>
      <c r="E843" s="227"/>
      <c r="F843" s="227"/>
      <c r="G843" s="227"/>
      <c r="H843" s="227"/>
      <c r="I843" s="227"/>
      <c r="J843" s="227"/>
      <c r="K843" s="227"/>
      <c r="L843" s="252"/>
      <c r="M843" s="185"/>
      <c r="X843" s="577"/>
      <c r="Y843" s="577"/>
      <c r="Z843" s="577"/>
      <c r="AA843" s="577"/>
      <c r="AB843" s="577"/>
      <c r="AC843" s="577"/>
      <c r="AD843" s="577"/>
      <c r="AE843" s="577"/>
      <c r="AF843" s="577"/>
      <c r="AG843" s="577"/>
      <c r="AH843" s="577"/>
      <c r="AI843" s="577"/>
      <c r="AJ843" s="577"/>
      <c r="AK843" s="577"/>
      <c r="AL843" s="577"/>
      <c r="AM843" s="577"/>
      <c r="AN843" s="577"/>
      <c r="AO843" s="577"/>
      <c r="AP843" s="577"/>
      <c r="AQ843" s="577"/>
      <c r="AR843" s="577"/>
      <c r="AS843" s="577"/>
      <c r="AT843" s="577"/>
      <c r="AU843" s="577"/>
      <c r="AV843" s="577"/>
      <c r="AW843" s="577"/>
      <c r="AX843" s="577"/>
      <c r="AY843" s="577"/>
    </row>
    <row r="844" spans="2:51" ht="27">
      <c r="B844" s="244"/>
      <c r="C844" s="366" t="s">
        <v>1128</v>
      </c>
      <c r="I844" s="227"/>
      <c r="J844" s="227"/>
      <c r="K844" s="226"/>
      <c r="L844" s="228"/>
      <c r="M844" s="254"/>
      <c r="N844" s="226"/>
      <c r="O844" s="226"/>
      <c r="P844" s="226"/>
      <c r="Q844" s="226"/>
      <c r="R844" s="226"/>
      <c r="S844" s="226"/>
      <c r="T844" s="226"/>
      <c r="U844" s="226"/>
      <c r="V844" s="226"/>
      <c r="W844" s="226"/>
      <c r="X844" s="226"/>
      <c r="Y844" s="226"/>
      <c r="Z844" s="226"/>
      <c r="AA844" s="226"/>
      <c r="AB844" s="226"/>
      <c r="AC844" s="226"/>
      <c r="AD844" s="226"/>
      <c r="AE844" s="226"/>
      <c r="AF844" s="226"/>
      <c r="AG844" s="226"/>
      <c r="AH844" s="226"/>
      <c r="AI844" s="226"/>
      <c r="AJ844" s="226"/>
      <c r="AK844" s="226"/>
      <c r="AL844" s="226"/>
      <c r="AM844" s="226"/>
      <c r="AN844" s="226"/>
      <c r="AO844" s="226"/>
      <c r="AP844" s="226"/>
      <c r="AQ844" s="226"/>
      <c r="AR844" s="226"/>
      <c r="AS844" s="226"/>
      <c r="AT844" s="226"/>
      <c r="AU844" s="226"/>
      <c r="AV844" s="226"/>
      <c r="AW844" s="226"/>
      <c r="AX844" s="226"/>
      <c r="AY844" s="226"/>
    </row>
    <row r="845" spans="2:51" ht="3" customHeight="1">
      <c r="B845" s="244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  <c r="AA845" s="229"/>
      <c r="AB845" s="229"/>
      <c r="AC845" s="229"/>
      <c r="AD845" s="229"/>
      <c r="AE845" s="229"/>
      <c r="AF845" s="229"/>
      <c r="AG845" s="229"/>
      <c r="AH845" s="229"/>
      <c r="AI845" s="229"/>
      <c r="AJ845" s="229"/>
      <c r="AK845" s="229"/>
      <c r="AL845" s="229"/>
      <c r="AM845" s="229"/>
      <c r="AN845" s="229"/>
      <c r="AO845" s="229"/>
      <c r="AP845" s="229"/>
      <c r="AQ845" s="229"/>
      <c r="AR845" s="229"/>
      <c r="AS845" s="229"/>
      <c r="AT845" s="229"/>
      <c r="AU845" s="229"/>
      <c r="AV845" s="229"/>
      <c r="AW845" s="229"/>
      <c r="AX845" s="229"/>
      <c r="AY845" s="229"/>
    </row>
    <row r="846" spans="2:51" ht="15.75" customHeight="1">
      <c r="B846" s="244"/>
      <c r="C846" s="169"/>
      <c r="I846" s="227"/>
      <c r="J846" s="227"/>
      <c r="K846" s="226"/>
      <c r="L846" s="228"/>
      <c r="M846" s="254"/>
      <c r="N846" s="226"/>
      <c r="O846" s="226"/>
      <c r="P846" s="226"/>
      <c r="Q846" s="226"/>
      <c r="R846" s="226"/>
      <c r="S846" s="226"/>
      <c r="T846" s="226"/>
      <c r="U846" s="226"/>
      <c r="V846" s="226"/>
      <c r="W846" s="226"/>
      <c r="X846" s="226"/>
      <c r="Y846" s="226"/>
      <c r="Z846" s="226"/>
      <c r="AA846" s="226"/>
      <c r="AB846" s="226"/>
      <c r="AC846" s="226"/>
      <c r="AD846" s="226"/>
      <c r="AE846" s="226"/>
      <c r="AF846" s="226"/>
      <c r="AG846" s="226"/>
      <c r="AH846" s="226"/>
      <c r="AI846" s="226"/>
      <c r="AJ846" s="226"/>
      <c r="AK846" s="226"/>
      <c r="AL846" s="226"/>
      <c r="AM846" s="226"/>
      <c r="AN846" s="226"/>
      <c r="AO846" s="226"/>
      <c r="AP846" s="226"/>
      <c r="AQ846" s="226"/>
      <c r="AR846" s="226"/>
      <c r="AS846" s="226"/>
      <c r="AT846" s="226"/>
      <c r="AU846" s="226"/>
      <c r="AV846" s="226"/>
      <c r="AW846" s="226"/>
      <c r="AX846" s="226"/>
      <c r="AY846" s="226"/>
    </row>
    <row r="847" spans="2:51" ht="15.75" customHeight="1">
      <c r="B847" s="244"/>
      <c r="C847" s="313" t="s">
        <v>1128</v>
      </c>
      <c r="I847" s="227"/>
      <c r="J847" s="230"/>
      <c r="K847" s="231"/>
      <c r="L847" s="232"/>
      <c r="M847" s="230"/>
      <c r="N847" s="231"/>
      <c r="O847" s="231"/>
      <c r="P847" s="231"/>
      <c r="Q847" s="231"/>
      <c r="R847" s="231"/>
      <c r="S847" s="231"/>
      <c r="T847" s="231"/>
      <c r="U847" s="231"/>
      <c r="V847" s="231"/>
      <c r="W847" s="231"/>
      <c r="X847" s="231"/>
      <c r="Y847" s="231"/>
      <c r="Z847" s="231"/>
      <c r="AA847" s="231"/>
      <c r="AB847" s="231"/>
      <c r="AC847" s="231"/>
      <c r="AD847" s="231"/>
      <c r="AE847" s="231"/>
      <c r="AF847" s="231"/>
      <c r="AG847" s="231"/>
      <c r="AH847" s="231"/>
      <c r="AI847" s="231"/>
      <c r="AJ847" s="231"/>
      <c r="AK847" s="231"/>
      <c r="AL847" s="231"/>
      <c r="AM847" s="231"/>
      <c r="AN847" s="231"/>
      <c r="AO847" s="231"/>
      <c r="AP847" s="231"/>
      <c r="AQ847" s="231"/>
      <c r="AR847" s="231"/>
      <c r="AS847" s="231"/>
      <c r="AT847" s="231"/>
      <c r="AU847" s="231"/>
      <c r="AV847" s="231"/>
      <c r="AW847" s="231"/>
      <c r="AX847" s="231"/>
      <c r="AY847" s="231"/>
    </row>
    <row r="848" spans="2:51" ht="15.75" customHeight="1">
      <c r="B848" s="244"/>
      <c r="C848" s="348"/>
      <c r="D848" s="233"/>
      <c r="E848" s="233"/>
      <c r="F848" s="233"/>
      <c r="G848" s="233"/>
      <c r="H848" s="233"/>
      <c r="I848" s="174"/>
      <c r="J848" s="174"/>
      <c r="K848" s="174"/>
      <c r="L848" s="174"/>
      <c r="M848" s="1300"/>
      <c r="N848" s="1300"/>
      <c r="O848" s="175">
        <v>-3</v>
      </c>
      <c r="P848" s="175">
        <f>O848+1</f>
        <v>-2</v>
      </c>
      <c r="Q848" s="175">
        <f>P848+1</f>
        <v>-1</v>
      </c>
      <c r="R848" s="175">
        <f>Q848+2</f>
        <v>1</v>
      </c>
      <c r="S848" s="175">
        <f>$S$8</f>
        <v>0</v>
      </c>
      <c r="T848" s="175">
        <f>$T$8</f>
        <v>0</v>
      </c>
      <c r="U848" s="175" t="str">
        <f>$U$7</f>
        <v>Revised</v>
      </c>
      <c r="V848" s="175">
        <f>R848+1</f>
        <v>2</v>
      </c>
      <c r="W848" s="175">
        <f>V848+1</f>
        <v>3</v>
      </c>
      <c r="X848" s="175">
        <f t="shared" ref="X848:AU848" si="429">W848+1</f>
        <v>4</v>
      </c>
      <c r="Y848" s="175">
        <f t="shared" si="429"/>
        <v>5</v>
      </c>
      <c r="Z848" s="175">
        <f t="shared" si="429"/>
        <v>6</v>
      </c>
      <c r="AA848" s="175">
        <f t="shared" si="429"/>
        <v>7</v>
      </c>
      <c r="AB848" s="175">
        <f t="shared" si="429"/>
        <v>8</v>
      </c>
      <c r="AC848" s="175">
        <f t="shared" si="429"/>
        <v>9</v>
      </c>
      <c r="AD848" s="175">
        <f t="shared" si="429"/>
        <v>10</v>
      </c>
      <c r="AE848" s="175">
        <f t="shared" si="429"/>
        <v>11</v>
      </c>
      <c r="AF848" s="175">
        <f t="shared" si="429"/>
        <v>12</v>
      </c>
      <c r="AG848" s="175">
        <f t="shared" si="429"/>
        <v>13</v>
      </c>
      <c r="AH848" s="175">
        <f t="shared" si="429"/>
        <v>14</v>
      </c>
      <c r="AI848" s="175">
        <f t="shared" si="429"/>
        <v>15</v>
      </c>
      <c r="AJ848" s="175">
        <f t="shared" si="429"/>
        <v>16</v>
      </c>
      <c r="AK848" s="175">
        <f t="shared" si="429"/>
        <v>17</v>
      </c>
      <c r="AL848" s="175">
        <f t="shared" si="429"/>
        <v>18</v>
      </c>
      <c r="AM848" s="175">
        <f t="shared" si="429"/>
        <v>19</v>
      </c>
      <c r="AN848" s="175">
        <f t="shared" si="429"/>
        <v>20</v>
      </c>
      <c r="AO848" s="175">
        <f t="shared" si="429"/>
        <v>21</v>
      </c>
      <c r="AP848" s="175">
        <f t="shared" si="429"/>
        <v>22</v>
      </c>
      <c r="AQ848" s="175">
        <f t="shared" si="429"/>
        <v>23</v>
      </c>
      <c r="AR848" s="175">
        <f t="shared" si="429"/>
        <v>24</v>
      </c>
      <c r="AS848" s="175">
        <f t="shared" si="429"/>
        <v>25</v>
      </c>
      <c r="AT848" s="175">
        <f t="shared" si="429"/>
        <v>26</v>
      </c>
      <c r="AU848" s="175">
        <f t="shared" si="429"/>
        <v>27</v>
      </c>
      <c r="AV848" s="175"/>
      <c r="AW848" s="175"/>
      <c r="AX848" s="175"/>
      <c r="AY848" s="175"/>
    </row>
    <row r="849" spans="2:51" ht="15.75" customHeight="1">
      <c r="B849" s="244"/>
      <c r="C849" s="349"/>
      <c r="D849" s="234"/>
      <c r="E849" s="234"/>
      <c r="F849" s="234"/>
      <c r="G849" s="234"/>
      <c r="H849" s="234"/>
      <c r="I849" s="176"/>
      <c r="J849" s="176"/>
      <c r="K849" s="176"/>
      <c r="L849" s="176"/>
      <c r="M849" s="758"/>
      <c r="N849" s="758"/>
      <c r="O849" s="758"/>
      <c r="P849" s="758"/>
      <c r="Q849" s="758"/>
      <c r="R849" s="758"/>
      <c r="S849" s="758"/>
      <c r="T849" s="758"/>
      <c r="U849" s="758"/>
      <c r="V849" s="758"/>
      <c r="W849" s="758"/>
      <c r="X849" s="758"/>
      <c r="Y849" s="758"/>
      <c r="Z849" s="758"/>
      <c r="AA849" s="758"/>
      <c r="AB849" s="758"/>
      <c r="AC849" s="758"/>
      <c r="AD849" s="758"/>
      <c r="AE849" s="758"/>
      <c r="AF849" s="758"/>
      <c r="AG849" s="758"/>
      <c r="AH849" s="758"/>
      <c r="AI849" s="758"/>
      <c r="AJ849" s="758"/>
      <c r="AK849" s="758"/>
      <c r="AL849" s="758"/>
      <c r="AM849" s="758"/>
      <c r="AN849" s="758"/>
      <c r="AO849" s="758"/>
      <c r="AP849" s="758"/>
      <c r="AQ849" s="758"/>
      <c r="AR849" s="758"/>
      <c r="AS849" s="758"/>
      <c r="AT849" s="758"/>
      <c r="AU849" s="758"/>
      <c r="AV849" s="758"/>
      <c r="AW849" s="758"/>
      <c r="AX849" s="758"/>
      <c r="AY849" s="758"/>
    </row>
    <row r="850" spans="2:51" ht="15.75" customHeight="1">
      <c r="B850" s="244"/>
      <c r="C850" s="359"/>
      <c r="D850" s="260"/>
      <c r="E850" s="235"/>
      <c r="F850" s="235"/>
      <c r="G850" s="235"/>
      <c r="H850" s="235"/>
      <c r="I850" s="178"/>
      <c r="J850" s="178"/>
      <c r="K850" s="245"/>
      <c r="L850" s="245"/>
      <c r="M850" s="178" t="s">
        <v>499</v>
      </c>
      <c r="N850" s="178" t="s">
        <v>499</v>
      </c>
      <c r="O850" s="178" t="s">
        <v>499</v>
      </c>
      <c r="P850" s="178" t="str">
        <f t="shared" ref="P850:U850" si="430">O850</f>
        <v>($)</v>
      </c>
      <c r="Q850" s="178" t="str">
        <f t="shared" si="430"/>
        <v>($)</v>
      </c>
      <c r="R850" s="178" t="str">
        <f t="shared" si="430"/>
        <v>($)</v>
      </c>
      <c r="S850" s="178" t="str">
        <f t="shared" si="430"/>
        <v>($)</v>
      </c>
      <c r="T850" s="178" t="str">
        <f t="shared" si="430"/>
        <v>($)</v>
      </c>
      <c r="U850" s="178" t="str">
        <f t="shared" si="430"/>
        <v>($)</v>
      </c>
      <c r="V850" s="178" t="str">
        <f>R850</f>
        <v>($)</v>
      </c>
      <c r="W850" s="178" t="str">
        <f>V850</f>
        <v>($)</v>
      </c>
      <c r="X850" s="178" t="str">
        <f t="shared" ref="X850:AU850" si="431">W850</f>
        <v>($)</v>
      </c>
      <c r="Y850" s="178" t="str">
        <f t="shared" si="431"/>
        <v>($)</v>
      </c>
      <c r="Z850" s="178" t="str">
        <f t="shared" si="431"/>
        <v>($)</v>
      </c>
      <c r="AA850" s="178" t="str">
        <f t="shared" si="431"/>
        <v>($)</v>
      </c>
      <c r="AB850" s="178" t="str">
        <f t="shared" si="431"/>
        <v>($)</v>
      </c>
      <c r="AC850" s="178" t="str">
        <f t="shared" si="431"/>
        <v>($)</v>
      </c>
      <c r="AD850" s="178" t="str">
        <f t="shared" si="431"/>
        <v>($)</v>
      </c>
      <c r="AE850" s="178" t="str">
        <f t="shared" si="431"/>
        <v>($)</v>
      </c>
      <c r="AF850" s="178" t="str">
        <f t="shared" si="431"/>
        <v>($)</v>
      </c>
      <c r="AG850" s="178" t="str">
        <f t="shared" si="431"/>
        <v>($)</v>
      </c>
      <c r="AH850" s="178" t="str">
        <f t="shared" si="431"/>
        <v>($)</v>
      </c>
      <c r="AI850" s="178" t="str">
        <f t="shared" si="431"/>
        <v>($)</v>
      </c>
      <c r="AJ850" s="178" t="str">
        <f t="shared" si="431"/>
        <v>($)</v>
      </c>
      <c r="AK850" s="178" t="str">
        <f t="shared" si="431"/>
        <v>($)</v>
      </c>
      <c r="AL850" s="178" t="str">
        <f t="shared" si="431"/>
        <v>($)</v>
      </c>
      <c r="AM850" s="178" t="str">
        <f t="shared" si="431"/>
        <v>($)</v>
      </c>
      <c r="AN850" s="178" t="str">
        <f t="shared" si="431"/>
        <v>($)</v>
      </c>
      <c r="AO850" s="178" t="str">
        <f t="shared" si="431"/>
        <v>($)</v>
      </c>
      <c r="AP850" s="178" t="str">
        <f t="shared" si="431"/>
        <v>($)</v>
      </c>
      <c r="AQ850" s="178" t="str">
        <f t="shared" si="431"/>
        <v>($)</v>
      </c>
      <c r="AR850" s="178" t="str">
        <f t="shared" si="431"/>
        <v>($)</v>
      </c>
      <c r="AS850" s="178" t="str">
        <f t="shared" si="431"/>
        <v>($)</v>
      </c>
      <c r="AT850" s="178" t="str">
        <f t="shared" si="431"/>
        <v>($)</v>
      </c>
      <c r="AU850" s="178" t="str">
        <f t="shared" si="431"/>
        <v>($)</v>
      </c>
      <c r="AV850" s="178"/>
      <c r="AW850" s="178"/>
      <c r="AX850" s="178"/>
      <c r="AY850" s="178"/>
    </row>
    <row r="851" spans="2:51" ht="15.75" customHeight="1">
      <c r="B851" s="244"/>
      <c r="C851" s="233"/>
      <c r="D851" s="233"/>
      <c r="E851" s="233"/>
      <c r="F851" s="233"/>
      <c r="G851" s="233"/>
      <c r="H851" s="233"/>
      <c r="I851" s="233"/>
      <c r="J851" s="233"/>
      <c r="K851" s="233"/>
      <c r="L851" s="292"/>
      <c r="M851" s="185"/>
      <c r="U851" s="577">
        <f t="shared" ref="U851:U881" si="432">T851</f>
        <v>0</v>
      </c>
      <c r="X851" s="577"/>
      <c r="Y851" s="577"/>
      <c r="Z851" s="577"/>
      <c r="AA851" s="577"/>
      <c r="AB851" s="577"/>
      <c r="AC851" s="577"/>
      <c r="AD851" s="577"/>
      <c r="AE851" s="577"/>
      <c r="AF851" s="577"/>
      <c r="AG851" s="577"/>
      <c r="AH851" s="577"/>
      <c r="AI851" s="577"/>
      <c r="AJ851" s="577"/>
      <c r="AK851" s="577"/>
      <c r="AL851" s="577"/>
      <c r="AM851" s="577"/>
      <c r="AN851" s="577"/>
      <c r="AO851" s="577"/>
      <c r="AP851" s="577"/>
      <c r="AQ851" s="577"/>
      <c r="AR851" s="577"/>
      <c r="AS851" s="577"/>
      <c r="AT851" s="577"/>
      <c r="AU851" s="577"/>
      <c r="AV851" s="577"/>
      <c r="AW851" s="577"/>
      <c r="AX851" s="577"/>
      <c r="AY851" s="577"/>
    </row>
    <row r="852" spans="2:51" s="214" customFormat="1" ht="15.75" customHeight="1">
      <c r="B852" s="244"/>
      <c r="C852" s="214" t="s">
        <v>1129</v>
      </c>
      <c r="D852" s="242"/>
      <c r="E852" s="242"/>
      <c r="F852" s="242"/>
      <c r="G852" s="242"/>
      <c r="H852" s="242"/>
      <c r="I852" s="242"/>
      <c r="J852" s="242"/>
      <c r="K852" s="242"/>
      <c r="L852" s="249"/>
      <c r="M852" s="215"/>
      <c r="U852" s="214">
        <f t="shared" si="432"/>
        <v>0</v>
      </c>
    </row>
    <row r="853" spans="2:51" s="214" customFormat="1" ht="15.75" customHeight="1">
      <c r="B853" s="244"/>
      <c r="C853" s="331" t="str">
        <f>C818</f>
        <v>LT Debt A - due xx/xx/xx @ LIBOR +x%</v>
      </c>
      <c r="D853" s="242"/>
      <c r="E853" s="242"/>
      <c r="F853" s="242"/>
      <c r="G853" s="242"/>
      <c r="H853" s="242"/>
      <c r="I853" s="246"/>
      <c r="J853" s="246"/>
      <c r="K853" s="246"/>
      <c r="L853" s="246"/>
      <c r="M853" s="246"/>
      <c r="N853" s="246"/>
      <c r="O853" s="246">
        <f t="shared" ref="O853:AU855" si="433">AVERAGE(N818:O818)</f>
        <v>0</v>
      </c>
      <c r="P853" s="246">
        <f t="shared" si="433"/>
        <v>0</v>
      </c>
      <c r="Q853" s="246">
        <f t="shared" si="433"/>
        <v>0</v>
      </c>
      <c r="R853" s="246">
        <f t="shared" si="433"/>
        <v>0</v>
      </c>
      <c r="S853" s="246"/>
      <c r="T853" s="246">
        <f t="shared" si="433"/>
        <v>0</v>
      </c>
      <c r="U853" s="246">
        <f t="shared" si="432"/>
        <v>0</v>
      </c>
      <c r="V853" s="246">
        <f>AVERAGE(R818:V818)</f>
        <v>0</v>
      </c>
      <c r="W853" s="246">
        <f t="shared" si="433"/>
        <v>0</v>
      </c>
      <c r="X853" s="246">
        <f t="shared" si="433"/>
        <v>0</v>
      </c>
      <c r="Y853" s="246">
        <f t="shared" si="433"/>
        <v>0</v>
      </c>
      <c r="Z853" s="246">
        <f t="shared" si="433"/>
        <v>0</v>
      </c>
      <c r="AA853" s="246">
        <f t="shared" si="433"/>
        <v>0</v>
      </c>
      <c r="AB853" s="246">
        <f t="shared" si="433"/>
        <v>0</v>
      </c>
      <c r="AC853" s="246">
        <f t="shared" si="433"/>
        <v>0</v>
      </c>
      <c r="AD853" s="246">
        <f t="shared" si="433"/>
        <v>0</v>
      </c>
      <c r="AE853" s="246">
        <f t="shared" si="433"/>
        <v>0</v>
      </c>
      <c r="AF853" s="246">
        <f t="shared" si="433"/>
        <v>0</v>
      </c>
      <c r="AG853" s="246">
        <f t="shared" si="433"/>
        <v>0</v>
      </c>
      <c r="AH853" s="246">
        <f t="shared" si="433"/>
        <v>0</v>
      </c>
      <c r="AI853" s="246">
        <f t="shared" si="433"/>
        <v>0</v>
      </c>
      <c r="AJ853" s="246">
        <f t="shared" si="433"/>
        <v>0</v>
      </c>
      <c r="AK853" s="246">
        <f t="shared" si="433"/>
        <v>0</v>
      </c>
      <c r="AL853" s="246">
        <f t="shared" si="433"/>
        <v>0</v>
      </c>
      <c r="AM853" s="246">
        <f t="shared" si="433"/>
        <v>0</v>
      </c>
      <c r="AN853" s="246">
        <f t="shared" si="433"/>
        <v>0</v>
      </c>
      <c r="AO853" s="246">
        <f t="shared" si="433"/>
        <v>0</v>
      </c>
      <c r="AP853" s="246">
        <f t="shared" si="433"/>
        <v>0</v>
      </c>
      <c r="AQ853" s="246">
        <f t="shared" si="433"/>
        <v>0</v>
      </c>
      <c r="AR853" s="246">
        <f t="shared" si="433"/>
        <v>0</v>
      </c>
      <c r="AS853" s="246">
        <f t="shared" si="433"/>
        <v>0</v>
      </c>
      <c r="AT853" s="246">
        <f t="shared" si="433"/>
        <v>0</v>
      </c>
      <c r="AU853" s="246">
        <f t="shared" si="433"/>
        <v>0</v>
      </c>
      <c r="AV853" s="246"/>
      <c r="AW853" s="246"/>
      <c r="AX853" s="246"/>
      <c r="AY853" s="246"/>
    </row>
    <row r="854" spans="2:51" s="214" customFormat="1" ht="15.75" customHeight="1">
      <c r="B854" s="244"/>
      <c r="C854" s="331" t="str">
        <f>C819</f>
        <v>LT Debt B - due xx/xx/xx @ LIBOR +x%</v>
      </c>
      <c r="D854" s="242"/>
      <c r="E854" s="242"/>
      <c r="F854" s="242"/>
      <c r="G854" s="242"/>
      <c r="H854" s="242"/>
      <c r="I854" s="246"/>
      <c r="J854" s="246"/>
      <c r="K854" s="246"/>
      <c r="L854" s="246"/>
      <c r="M854" s="246"/>
      <c r="N854" s="246"/>
      <c r="O854" s="246">
        <f t="shared" si="433"/>
        <v>0</v>
      </c>
      <c r="P854" s="246">
        <f t="shared" si="433"/>
        <v>0</v>
      </c>
      <c r="Q854" s="246">
        <f t="shared" si="433"/>
        <v>0</v>
      </c>
      <c r="R854" s="246">
        <f t="shared" si="433"/>
        <v>0</v>
      </c>
      <c r="S854" s="246"/>
      <c r="T854" s="246">
        <f t="shared" si="433"/>
        <v>0</v>
      </c>
      <c r="U854" s="246">
        <f t="shared" si="432"/>
        <v>0</v>
      </c>
      <c r="V854" s="246">
        <f>AVERAGE(R819:V819)</f>
        <v>0</v>
      </c>
      <c r="W854" s="246">
        <f t="shared" si="433"/>
        <v>0</v>
      </c>
      <c r="X854" s="246">
        <f t="shared" si="433"/>
        <v>0</v>
      </c>
      <c r="Y854" s="246">
        <f t="shared" si="433"/>
        <v>0</v>
      </c>
      <c r="Z854" s="246">
        <f t="shared" si="433"/>
        <v>0</v>
      </c>
      <c r="AA854" s="246">
        <f t="shared" si="433"/>
        <v>0</v>
      </c>
      <c r="AB854" s="246">
        <f t="shared" si="433"/>
        <v>0</v>
      </c>
      <c r="AC854" s="246">
        <f t="shared" si="433"/>
        <v>0</v>
      </c>
      <c r="AD854" s="246">
        <f t="shared" si="433"/>
        <v>0</v>
      </c>
      <c r="AE854" s="246">
        <f t="shared" si="433"/>
        <v>0</v>
      </c>
      <c r="AF854" s="246">
        <f t="shared" si="433"/>
        <v>0</v>
      </c>
      <c r="AG854" s="246">
        <f t="shared" si="433"/>
        <v>0</v>
      </c>
      <c r="AH854" s="246">
        <f t="shared" si="433"/>
        <v>0</v>
      </c>
      <c r="AI854" s="246">
        <f t="shared" si="433"/>
        <v>0</v>
      </c>
      <c r="AJ854" s="246">
        <f t="shared" si="433"/>
        <v>0</v>
      </c>
      <c r="AK854" s="246">
        <f t="shared" si="433"/>
        <v>0</v>
      </c>
      <c r="AL854" s="246">
        <f t="shared" si="433"/>
        <v>0</v>
      </c>
      <c r="AM854" s="246">
        <f t="shared" si="433"/>
        <v>0</v>
      </c>
      <c r="AN854" s="246">
        <f t="shared" si="433"/>
        <v>0</v>
      </c>
      <c r="AO854" s="246">
        <f t="shared" si="433"/>
        <v>0</v>
      </c>
      <c r="AP854" s="246">
        <f t="shared" si="433"/>
        <v>0</v>
      </c>
      <c r="AQ854" s="246">
        <f t="shared" si="433"/>
        <v>0</v>
      </c>
      <c r="AR854" s="246">
        <f t="shared" si="433"/>
        <v>0</v>
      </c>
      <c r="AS854" s="246">
        <f t="shared" si="433"/>
        <v>0</v>
      </c>
      <c r="AT854" s="246">
        <f t="shared" si="433"/>
        <v>0</v>
      </c>
      <c r="AU854" s="246">
        <f t="shared" si="433"/>
        <v>0</v>
      </c>
      <c r="AV854" s="246"/>
      <c r="AW854" s="246"/>
      <c r="AX854" s="246"/>
      <c r="AY854" s="246"/>
    </row>
    <row r="855" spans="2:51" s="214" customFormat="1" ht="15.75" customHeight="1">
      <c r="B855" s="244"/>
      <c r="C855" s="331" t="str">
        <f>C820</f>
        <v>LT Debt C - due xx/xx/xx @ LIBOR +x%</v>
      </c>
      <c r="D855" s="242"/>
      <c r="E855" s="242"/>
      <c r="F855" s="242"/>
      <c r="G855" s="242"/>
      <c r="H855" s="242"/>
      <c r="I855" s="246"/>
      <c r="J855" s="246"/>
      <c r="K855" s="246"/>
      <c r="L855" s="246"/>
      <c r="M855" s="246"/>
      <c r="N855" s="246"/>
      <c r="O855" s="246">
        <f t="shared" si="433"/>
        <v>0</v>
      </c>
      <c r="P855" s="246">
        <f t="shared" si="433"/>
        <v>0</v>
      </c>
      <c r="Q855" s="246">
        <f t="shared" si="433"/>
        <v>0</v>
      </c>
      <c r="R855" s="246">
        <f t="shared" si="433"/>
        <v>0</v>
      </c>
      <c r="S855" s="246"/>
      <c r="T855" s="246">
        <f t="shared" si="433"/>
        <v>0</v>
      </c>
      <c r="U855" s="246">
        <f t="shared" si="432"/>
        <v>0</v>
      </c>
      <c r="V855" s="246">
        <f>AVERAGE(R820:V820)</f>
        <v>0</v>
      </c>
      <c r="W855" s="246">
        <f t="shared" si="433"/>
        <v>0</v>
      </c>
      <c r="X855" s="246">
        <f t="shared" si="433"/>
        <v>0</v>
      </c>
      <c r="Y855" s="246">
        <f t="shared" si="433"/>
        <v>0</v>
      </c>
      <c r="Z855" s="246">
        <f t="shared" si="433"/>
        <v>0</v>
      </c>
      <c r="AA855" s="246">
        <f t="shared" si="433"/>
        <v>0</v>
      </c>
      <c r="AB855" s="246">
        <f t="shared" si="433"/>
        <v>0</v>
      </c>
      <c r="AC855" s="246">
        <f t="shared" si="433"/>
        <v>0</v>
      </c>
      <c r="AD855" s="246">
        <f t="shared" si="433"/>
        <v>0</v>
      </c>
      <c r="AE855" s="246">
        <f t="shared" si="433"/>
        <v>0</v>
      </c>
      <c r="AF855" s="246">
        <f t="shared" si="433"/>
        <v>0</v>
      </c>
      <c r="AG855" s="246">
        <f t="shared" si="433"/>
        <v>0</v>
      </c>
      <c r="AH855" s="246">
        <f t="shared" si="433"/>
        <v>0</v>
      </c>
      <c r="AI855" s="246">
        <f t="shared" si="433"/>
        <v>0</v>
      </c>
      <c r="AJ855" s="246">
        <f t="shared" si="433"/>
        <v>0</v>
      </c>
      <c r="AK855" s="246">
        <f t="shared" si="433"/>
        <v>0</v>
      </c>
      <c r="AL855" s="246">
        <f t="shared" si="433"/>
        <v>0</v>
      </c>
      <c r="AM855" s="246">
        <f t="shared" si="433"/>
        <v>0</v>
      </c>
      <c r="AN855" s="246">
        <f t="shared" si="433"/>
        <v>0</v>
      </c>
      <c r="AO855" s="246">
        <f t="shared" si="433"/>
        <v>0</v>
      </c>
      <c r="AP855" s="246">
        <f t="shared" si="433"/>
        <v>0</v>
      </c>
      <c r="AQ855" s="246">
        <f t="shared" si="433"/>
        <v>0</v>
      </c>
      <c r="AR855" s="246">
        <f t="shared" si="433"/>
        <v>0</v>
      </c>
      <c r="AS855" s="246">
        <f t="shared" si="433"/>
        <v>0</v>
      </c>
      <c r="AT855" s="246">
        <f t="shared" si="433"/>
        <v>0</v>
      </c>
      <c r="AU855" s="246">
        <f t="shared" si="433"/>
        <v>0</v>
      </c>
      <c r="AV855" s="246"/>
      <c r="AW855" s="246"/>
      <c r="AX855" s="246"/>
      <c r="AY855" s="246"/>
    </row>
    <row r="856" spans="2:51" s="214" customFormat="1" ht="15.75" customHeight="1">
      <c r="B856" s="244"/>
      <c r="C856" s="331" t="s">
        <v>1123</v>
      </c>
      <c r="D856" s="242"/>
      <c r="E856" s="242"/>
      <c r="F856" s="242"/>
      <c r="G856" s="242"/>
      <c r="H856" s="242"/>
      <c r="I856" s="246"/>
      <c r="J856" s="246"/>
      <c r="K856" s="246"/>
      <c r="L856" s="246"/>
      <c r="M856" s="246"/>
      <c r="N856" s="246"/>
      <c r="O856" s="246">
        <f t="shared" ref="O856:AU856" si="434">N834</f>
        <v>0</v>
      </c>
      <c r="P856" s="246" t="e">
        <f t="shared" si="434"/>
        <v>#REF!</v>
      </c>
      <c r="Q856" s="246">
        <f>P834</f>
        <v>0</v>
      </c>
      <c r="R856" s="246">
        <f t="shared" si="434"/>
        <v>0</v>
      </c>
      <c r="S856" s="246"/>
      <c r="T856" s="246">
        <f t="shared" si="434"/>
        <v>0</v>
      </c>
      <c r="U856" s="246">
        <f t="shared" si="432"/>
        <v>0</v>
      </c>
      <c r="V856" s="246">
        <f>R834</f>
        <v>0</v>
      </c>
      <c r="W856" s="246">
        <f t="shared" si="434"/>
        <v>0</v>
      </c>
      <c r="X856" s="246">
        <f t="shared" si="434"/>
        <v>0</v>
      </c>
      <c r="Y856" s="246">
        <f t="shared" si="434"/>
        <v>0</v>
      </c>
      <c r="Z856" s="246">
        <f t="shared" si="434"/>
        <v>0</v>
      </c>
      <c r="AA856" s="246">
        <f t="shared" si="434"/>
        <v>0</v>
      </c>
      <c r="AB856" s="246">
        <f t="shared" si="434"/>
        <v>0</v>
      </c>
      <c r="AC856" s="246">
        <f t="shared" si="434"/>
        <v>0</v>
      </c>
      <c r="AD856" s="246">
        <f t="shared" si="434"/>
        <v>0</v>
      </c>
      <c r="AE856" s="246">
        <f t="shared" si="434"/>
        <v>0</v>
      </c>
      <c r="AF856" s="246">
        <f t="shared" si="434"/>
        <v>0</v>
      </c>
      <c r="AG856" s="246">
        <f t="shared" si="434"/>
        <v>0</v>
      </c>
      <c r="AH856" s="246">
        <f t="shared" si="434"/>
        <v>0</v>
      </c>
      <c r="AI856" s="246">
        <f t="shared" si="434"/>
        <v>0</v>
      </c>
      <c r="AJ856" s="246">
        <f t="shared" si="434"/>
        <v>0</v>
      </c>
      <c r="AK856" s="246">
        <f t="shared" si="434"/>
        <v>0</v>
      </c>
      <c r="AL856" s="246">
        <f t="shared" si="434"/>
        <v>0</v>
      </c>
      <c r="AM856" s="246">
        <f t="shared" si="434"/>
        <v>0</v>
      </c>
      <c r="AN856" s="246">
        <f t="shared" si="434"/>
        <v>0</v>
      </c>
      <c r="AO856" s="246">
        <f t="shared" si="434"/>
        <v>0</v>
      </c>
      <c r="AP856" s="246">
        <f t="shared" si="434"/>
        <v>0</v>
      </c>
      <c r="AQ856" s="246">
        <f t="shared" si="434"/>
        <v>0</v>
      </c>
      <c r="AR856" s="246">
        <f t="shared" si="434"/>
        <v>0</v>
      </c>
      <c r="AS856" s="246">
        <f t="shared" si="434"/>
        <v>0</v>
      </c>
      <c r="AT856" s="246">
        <f t="shared" si="434"/>
        <v>0</v>
      </c>
      <c r="AU856" s="246">
        <f t="shared" si="434"/>
        <v>0</v>
      </c>
      <c r="AV856" s="246"/>
      <c r="AW856" s="246"/>
      <c r="AX856" s="246"/>
      <c r="AY856" s="246"/>
    </row>
    <row r="857" spans="2:51" s="214" customFormat="1" ht="15.75" customHeight="1">
      <c r="B857" s="244"/>
      <c r="C857" s="331" t="s">
        <v>896</v>
      </c>
      <c r="D857" s="242"/>
      <c r="E857" s="242"/>
      <c r="F857" s="242"/>
      <c r="G857" s="242"/>
      <c r="H857" s="242"/>
      <c r="I857" s="246"/>
      <c r="J857" s="246"/>
      <c r="K857" s="246"/>
      <c r="L857" s="246"/>
      <c r="M857" s="246"/>
      <c r="N857" s="246"/>
      <c r="O857" s="246">
        <f t="shared" ref="O857:AU857" si="435">N839</f>
        <v>0</v>
      </c>
      <c r="P857" s="246" t="e">
        <f t="shared" si="435"/>
        <v>#REF!</v>
      </c>
      <c r="Q857" s="246">
        <f t="shared" si="435"/>
        <v>716620</v>
      </c>
      <c r="R857" s="246">
        <f t="shared" si="435"/>
        <v>-193448016.69666666</v>
      </c>
      <c r="S857" s="246"/>
      <c r="T857" s="246">
        <f t="shared" si="435"/>
        <v>0</v>
      </c>
      <c r="U857" s="246">
        <f t="shared" si="432"/>
        <v>0</v>
      </c>
      <c r="V857" s="246">
        <f>R839</f>
        <v>-476711921.74164701</v>
      </c>
      <c r="W857" s="246">
        <f t="shared" si="435"/>
        <v>-322293759.77676958</v>
      </c>
      <c r="X857" s="246">
        <f t="shared" si="435"/>
        <v>-33715822.632798731</v>
      </c>
      <c r="Y857" s="246">
        <f t="shared" si="435"/>
        <v>268594941.14125681</v>
      </c>
      <c r="Z857" s="246">
        <f t="shared" si="435"/>
        <v>570123829.24844444</v>
      </c>
      <c r="AA857" s="246">
        <f t="shared" si="435"/>
        <v>871599115.50487208</v>
      </c>
      <c r="AB857" s="246">
        <f t="shared" si="435"/>
        <v>1172996166.8920794</v>
      </c>
      <c r="AC857" s="246">
        <f t="shared" si="435"/>
        <v>1473789269.5710576</v>
      </c>
      <c r="AD857" s="246">
        <f t="shared" si="435"/>
        <v>1775897517.2121334</v>
      </c>
      <c r="AE857" s="246">
        <f t="shared" si="435"/>
        <v>2078067764.853209</v>
      </c>
      <c r="AF857" s="246">
        <f t="shared" si="435"/>
        <v>2372971443.7411346</v>
      </c>
      <c r="AG857" s="246">
        <f t="shared" si="435"/>
        <v>2662639486.4390602</v>
      </c>
      <c r="AH857" s="246">
        <f t="shared" si="435"/>
        <v>2952369529.1369858</v>
      </c>
      <c r="AI857" s="246">
        <f t="shared" si="435"/>
        <v>3242161571.8349113</v>
      </c>
      <c r="AJ857" s="246">
        <f t="shared" si="435"/>
        <v>3532015614.5328369</v>
      </c>
      <c r="AK857" s="246">
        <f t="shared" si="435"/>
        <v>3821931657.2307625</v>
      </c>
      <c r="AL857" s="246">
        <f t="shared" si="435"/>
        <v>4111909699.928688</v>
      </c>
      <c r="AM857" s="246">
        <f t="shared" si="435"/>
        <v>4401949742.6266136</v>
      </c>
      <c r="AN857" s="246">
        <f t="shared" si="435"/>
        <v>4691683635.9648857</v>
      </c>
      <c r="AO857" s="246">
        <f t="shared" si="435"/>
        <v>4981320984.5579805</v>
      </c>
      <c r="AP857" s="246">
        <f t="shared" si="435"/>
        <v>5271020333.1510754</v>
      </c>
      <c r="AQ857" s="246">
        <f t="shared" si="435"/>
        <v>5560781681.7441702</v>
      </c>
      <c r="AR857" s="246">
        <f t="shared" si="435"/>
        <v>5850605030.337265</v>
      </c>
      <c r="AS857" s="246">
        <f t="shared" si="435"/>
        <v>6139870378.9303598</v>
      </c>
      <c r="AT857" s="246">
        <f t="shared" si="435"/>
        <v>6429135727.5234547</v>
      </c>
      <c r="AU857" s="246">
        <f t="shared" si="435"/>
        <v>6718401076.1165495</v>
      </c>
      <c r="AV857" s="246"/>
      <c r="AW857" s="246"/>
      <c r="AX857" s="246"/>
      <c r="AY857" s="246"/>
    </row>
    <row r="858" spans="2:51" s="214" customFormat="1" ht="15.75" customHeight="1">
      <c r="B858" s="244"/>
      <c r="C858" s="244"/>
      <c r="D858" s="244"/>
      <c r="E858" s="244"/>
      <c r="F858" s="244"/>
      <c r="G858" s="244"/>
      <c r="H858" s="244"/>
      <c r="I858" s="244"/>
      <c r="J858" s="244"/>
      <c r="K858" s="244"/>
      <c r="L858" s="244"/>
      <c r="M858" s="215"/>
      <c r="U858" s="214">
        <f t="shared" si="432"/>
        <v>0</v>
      </c>
    </row>
    <row r="859" spans="2:51" s="214" customFormat="1" ht="15.75" customHeight="1">
      <c r="B859" s="244"/>
      <c r="C859" s="214" t="s">
        <v>1130</v>
      </c>
      <c r="D859" s="242"/>
      <c r="E859" s="242"/>
      <c r="F859" s="242"/>
      <c r="G859" s="242"/>
      <c r="H859" s="242"/>
      <c r="I859" s="242"/>
      <c r="J859" s="242"/>
      <c r="K859" s="249"/>
      <c r="L859" s="249"/>
      <c r="M859" s="215"/>
      <c r="U859" s="214">
        <f t="shared" si="432"/>
        <v>0</v>
      </c>
    </row>
    <row r="860" spans="2:51" s="214" customFormat="1" ht="15.75" customHeight="1">
      <c r="B860" s="244"/>
      <c r="C860" s="331" t="str">
        <f>C853</f>
        <v>LT Debt A - due xx/xx/xx @ LIBOR +x%</v>
      </c>
      <c r="D860" s="242"/>
      <c r="E860" s="242"/>
      <c r="F860" s="242"/>
      <c r="G860" s="242"/>
      <c r="H860" s="242"/>
      <c r="I860" s="293"/>
      <c r="J860" s="293"/>
      <c r="K860" s="293"/>
      <c r="L860" s="293"/>
      <c r="M860" s="293"/>
      <c r="N860" s="293"/>
      <c r="O860" s="293"/>
      <c r="P860" s="293">
        <v>0</v>
      </c>
      <c r="Q860" s="293">
        <f t="shared" ref="P860:AU863" si="436">P860</f>
        <v>0</v>
      </c>
      <c r="R860" s="293">
        <f t="shared" si="436"/>
        <v>0</v>
      </c>
      <c r="S860" s="293"/>
      <c r="T860" s="293">
        <f t="shared" si="436"/>
        <v>0</v>
      </c>
      <c r="U860" s="293">
        <f t="shared" si="432"/>
        <v>0</v>
      </c>
      <c r="V860" s="293">
        <f>R860</f>
        <v>0</v>
      </c>
      <c r="W860" s="293">
        <f t="shared" si="436"/>
        <v>0</v>
      </c>
      <c r="X860" s="293">
        <f t="shared" si="436"/>
        <v>0</v>
      </c>
      <c r="Y860" s="293">
        <f t="shared" si="436"/>
        <v>0</v>
      </c>
      <c r="Z860" s="293">
        <f t="shared" si="436"/>
        <v>0</v>
      </c>
      <c r="AA860" s="293">
        <f t="shared" si="436"/>
        <v>0</v>
      </c>
      <c r="AB860" s="293">
        <f t="shared" si="436"/>
        <v>0</v>
      </c>
      <c r="AC860" s="293">
        <f t="shared" si="436"/>
        <v>0</v>
      </c>
      <c r="AD860" s="293">
        <f t="shared" si="436"/>
        <v>0</v>
      </c>
      <c r="AE860" s="293">
        <f t="shared" si="436"/>
        <v>0</v>
      </c>
      <c r="AF860" s="293">
        <f t="shared" si="436"/>
        <v>0</v>
      </c>
      <c r="AG860" s="293">
        <f t="shared" si="436"/>
        <v>0</v>
      </c>
      <c r="AH860" s="293">
        <f t="shared" si="436"/>
        <v>0</v>
      </c>
      <c r="AI860" s="293">
        <f t="shared" si="436"/>
        <v>0</v>
      </c>
      <c r="AJ860" s="293">
        <f t="shared" si="436"/>
        <v>0</v>
      </c>
      <c r="AK860" s="293">
        <f t="shared" si="436"/>
        <v>0</v>
      </c>
      <c r="AL860" s="293">
        <f t="shared" si="436"/>
        <v>0</v>
      </c>
      <c r="AM860" s="293">
        <f t="shared" si="436"/>
        <v>0</v>
      </c>
      <c r="AN860" s="293">
        <f t="shared" si="436"/>
        <v>0</v>
      </c>
      <c r="AO860" s="293">
        <f t="shared" si="436"/>
        <v>0</v>
      </c>
      <c r="AP860" s="293">
        <f t="shared" si="436"/>
        <v>0</v>
      </c>
      <c r="AQ860" s="293">
        <f t="shared" si="436"/>
        <v>0</v>
      </c>
      <c r="AR860" s="293">
        <f t="shared" si="436"/>
        <v>0</v>
      </c>
      <c r="AS860" s="293">
        <f t="shared" si="436"/>
        <v>0</v>
      </c>
      <c r="AT860" s="293">
        <f t="shared" si="436"/>
        <v>0</v>
      </c>
      <c r="AU860" s="293">
        <f t="shared" si="436"/>
        <v>0</v>
      </c>
      <c r="AV860" s="293"/>
      <c r="AW860" s="293"/>
      <c r="AX860" s="293"/>
      <c r="AY860" s="293"/>
    </row>
    <row r="861" spans="2:51" s="214" customFormat="1" ht="15.75" customHeight="1">
      <c r="B861" s="244"/>
      <c r="C861" s="331" t="str">
        <f>C854</f>
        <v>LT Debt B - due xx/xx/xx @ LIBOR +x%</v>
      </c>
      <c r="D861" s="242"/>
      <c r="E861" s="242"/>
      <c r="F861" s="242"/>
      <c r="G861" s="242"/>
      <c r="H861" s="242"/>
      <c r="I861" s="293"/>
      <c r="J861" s="293"/>
      <c r="K861" s="293"/>
      <c r="L861" s="293"/>
      <c r="M861" s="293"/>
      <c r="N861" s="293"/>
      <c r="O861" s="293"/>
      <c r="P861" s="293">
        <f t="shared" si="436"/>
        <v>0</v>
      </c>
      <c r="Q861" s="293">
        <f t="shared" si="436"/>
        <v>0</v>
      </c>
      <c r="R861" s="293">
        <f t="shared" si="436"/>
        <v>0</v>
      </c>
      <c r="S861" s="293"/>
      <c r="T861" s="293">
        <f t="shared" si="436"/>
        <v>0</v>
      </c>
      <c r="U861" s="293">
        <f t="shared" si="432"/>
        <v>0</v>
      </c>
      <c r="V861" s="293">
        <f>R861</f>
        <v>0</v>
      </c>
      <c r="W861" s="293">
        <f t="shared" si="436"/>
        <v>0</v>
      </c>
      <c r="X861" s="293">
        <f t="shared" si="436"/>
        <v>0</v>
      </c>
      <c r="Y861" s="293">
        <f t="shared" si="436"/>
        <v>0</v>
      </c>
      <c r="Z861" s="293">
        <f t="shared" si="436"/>
        <v>0</v>
      </c>
      <c r="AA861" s="293">
        <f t="shared" si="436"/>
        <v>0</v>
      </c>
      <c r="AB861" s="293">
        <f t="shared" si="436"/>
        <v>0</v>
      </c>
      <c r="AC861" s="293">
        <f t="shared" si="436"/>
        <v>0</v>
      </c>
      <c r="AD861" s="293">
        <f t="shared" si="436"/>
        <v>0</v>
      </c>
      <c r="AE861" s="293">
        <f t="shared" si="436"/>
        <v>0</v>
      </c>
      <c r="AF861" s="293">
        <f t="shared" si="436"/>
        <v>0</v>
      </c>
      <c r="AG861" s="293">
        <f t="shared" si="436"/>
        <v>0</v>
      </c>
      <c r="AH861" s="293">
        <f t="shared" si="436"/>
        <v>0</v>
      </c>
      <c r="AI861" s="293">
        <f t="shared" si="436"/>
        <v>0</v>
      </c>
      <c r="AJ861" s="293">
        <f t="shared" si="436"/>
        <v>0</v>
      </c>
      <c r="AK861" s="293">
        <f t="shared" si="436"/>
        <v>0</v>
      </c>
      <c r="AL861" s="293">
        <f t="shared" si="436"/>
        <v>0</v>
      </c>
      <c r="AM861" s="293">
        <f t="shared" si="436"/>
        <v>0</v>
      </c>
      <c r="AN861" s="293">
        <f t="shared" si="436"/>
        <v>0</v>
      </c>
      <c r="AO861" s="293">
        <f t="shared" si="436"/>
        <v>0</v>
      </c>
      <c r="AP861" s="293">
        <f t="shared" si="436"/>
        <v>0</v>
      </c>
      <c r="AQ861" s="293">
        <f t="shared" si="436"/>
        <v>0</v>
      </c>
      <c r="AR861" s="293">
        <f t="shared" si="436"/>
        <v>0</v>
      </c>
      <c r="AS861" s="293">
        <f t="shared" si="436"/>
        <v>0</v>
      </c>
      <c r="AT861" s="293">
        <f t="shared" si="436"/>
        <v>0</v>
      </c>
      <c r="AU861" s="293">
        <f t="shared" si="436"/>
        <v>0</v>
      </c>
      <c r="AV861" s="293"/>
      <c r="AW861" s="293"/>
      <c r="AX861" s="293"/>
      <c r="AY861" s="293"/>
    </row>
    <row r="862" spans="2:51" s="214" customFormat="1" ht="15.75" customHeight="1">
      <c r="B862" s="244"/>
      <c r="C862" s="331" t="str">
        <f>C855</f>
        <v>LT Debt C - due xx/xx/xx @ LIBOR +x%</v>
      </c>
      <c r="D862" s="242"/>
      <c r="E862" s="242"/>
      <c r="F862" s="242"/>
      <c r="G862" s="242"/>
      <c r="H862" s="242"/>
      <c r="I862" s="293"/>
      <c r="J862" s="293"/>
      <c r="K862" s="243"/>
      <c r="L862" s="243"/>
      <c r="M862" s="243"/>
      <c r="N862" s="243"/>
      <c r="O862" s="243"/>
      <c r="P862" s="243">
        <f t="shared" si="436"/>
        <v>0</v>
      </c>
      <c r="Q862" s="243">
        <f t="shared" si="436"/>
        <v>0</v>
      </c>
      <c r="R862" s="243">
        <f t="shared" si="436"/>
        <v>0</v>
      </c>
      <c r="S862" s="243"/>
      <c r="T862" s="243">
        <f t="shared" si="436"/>
        <v>0</v>
      </c>
      <c r="U862" s="243">
        <f t="shared" si="432"/>
        <v>0</v>
      </c>
      <c r="V862" s="243">
        <f>R862</f>
        <v>0</v>
      </c>
      <c r="W862" s="243">
        <f t="shared" si="436"/>
        <v>0</v>
      </c>
      <c r="X862" s="243">
        <f t="shared" si="436"/>
        <v>0</v>
      </c>
      <c r="Y862" s="243">
        <f t="shared" si="436"/>
        <v>0</v>
      </c>
      <c r="Z862" s="243">
        <f t="shared" si="436"/>
        <v>0</v>
      </c>
      <c r="AA862" s="243">
        <f t="shared" si="436"/>
        <v>0</v>
      </c>
      <c r="AB862" s="243">
        <f t="shared" si="436"/>
        <v>0</v>
      </c>
      <c r="AC862" s="243">
        <f t="shared" si="436"/>
        <v>0</v>
      </c>
      <c r="AD862" s="243">
        <f t="shared" si="436"/>
        <v>0</v>
      </c>
      <c r="AE862" s="243">
        <f t="shared" si="436"/>
        <v>0</v>
      </c>
      <c r="AF862" s="243">
        <f t="shared" si="436"/>
        <v>0</v>
      </c>
      <c r="AG862" s="243">
        <f t="shared" si="436"/>
        <v>0</v>
      </c>
      <c r="AH862" s="243">
        <f t="shared" si="436"/>
        <v>0</v>
      </c>
      <c r="AI862" s="243">
        <f t="shared" si="436"/>
        <v>0</v>
      </c>
      <c r="AJ862" s="243">
        <f t="shared" si="436"/>
        <v>0</v>
      </c>
      <c r="AK862" s="243">
        <f t="shared" si="436"/>
        <v>0</v>
      </c>
      <c r="AL862" s="243">
        <f t="shared" si="436"/>
        <v>0</v>
      </c>
      <c r="AM862" s="243">
        <f t="shared" si="436"/>
        <v>0</v>
      </c>
      <c r="AN862" s="243">
        <f t="shared" si="436"/>
        <v>0</v>
      </c>
      <c r="AO862" s="243">
        <f t="shared" si="436"/>
        <v>0</v>
      </c>
      <c r="AP862" s="243">
        <f t="shared" si="436"/>
        <v>0</v>
      </c>
      <c r="AQ862" s="243">
        <f t="shared" si="436"/>
        <v>0</v>
      </c>
      <c r="AR862" s="243">
        <f t="shared" si="436"/>
        <v>0</v>
      </c>
      <c r="AS862" s="243">
        <f t="shared" si="436"/>
        <v>0</v>
      </c>
      <c r="AT862" s="243">
        <f t="shared" si="436"/>
        <v>0</v>
      </c>
      <c r="AU862" s="243">
        <f t="shared" si="436"/>
        <v>0</v>
      </c>
      <c r="AV862" s="243"/>
      <c r="AW862" s="243"/>
      <c r="AX862" s="243"/>
      <c r="AY862" s="243"/>
    </row>
    <row r="863" spans="2:51" s="214" customFormat="1" ht="15.75" customHeight="1">
      <c r="B863" s="244"/>
      <c r="C863" s="331" t="s">
        <v>1123</v>
      </c>
      <c r="D863" s="242"/>
      <c r="E863" s="242"/>
      <c r="F863" s="242"/>
      <c r="G863" s="242"/>
      <c r="H863" s="242"/>
      <c r="I863" s="243"/>
      <c r="J863" s="243"/>
      <c r="K863" s="293"/>
      <c r="L863" s="293"/>
      <c r="M863" s="293"/>
      <c r="N863" s="293"/>
      <c r="O863" s="293"/>
      <c r="P863" s="293">
        <f t="shared" si="436"/>
        <v>0</v>
      </c>
      <c r="Q863" s="293">
        <f t="shared" si="436"/>
        <v>0</v>
      </c>
      <c r="R863" s="293">
        <f t="shared" si="436"/>
        <v>0</v>
      </c>
      <c r="S863" s="293"/>
      <c r="T863" s="293">
        <f t="shared" si="436"/>
        <v>0</v>
      </c>
      <c r="U863" s="293">
        <f t="shared" si="432"/>
        <v>0</v>
      </c>
      <c r="V863" s="293">
        <f>R863</f>
        <v>0</v>
      </c>
      <c r="W863" s="293">
        <f t="shared" si="436"/>
        <v>0</v>
      </c>
      <c r="X863" s="293">
        <f t="shared" si="436"/>
        <v>0</v>
      </c>
      <c r="Y863" s="293">
        <f t="shared" si="436"/>
        <v>0</v>
      </c>
      <c r="Z863" s="293">
        <f t="shared" si="436"/>
        <v>0</v>
      </c>
      <c r="AA863" s="293">
        <f t="shared" si="436"/>
        <v>0</v>
      </c>
      <c r="AB863" s="293">
        <f t="shared" si="436"/>
        <v>0</v>
      </c>
      <c r="AC863" s="293">
        <f t="shared" si="436"/>
        <v>0</v>
      </c>
      <c r="AD863" s="293">
        <f t="shared" si="436"/>
        <v>0</v>
      </c>
      <c r="AE863" s="293">
        <f t="shared" si="436"/>
        <v>0</v>
      </c>
      <c r="AF863" s="293">
        <f t="shared" si="436"/>
        <v>0</v>
      </c>
      <c r="AG863" s="293">
        <f t="shared" si="436"/>
        <v>0</v>
      </c>
      <c r="AH863" s="293">
        <f t="shared" si="436"/>
        <v>0</v>
      </c>
      <c r="AI863" s="293">
        <f t="shared" si="436"/>
        <v>0</v>
      </c>
      <c r="AJ863" s="293">
        <f t="shared" si="436"/>
        <v>0</v>
      </c>
      <c r="AK863" s="293">
        <f t="shared" si="436"/>
        <v>0</v>
      </c>
      <c r="AL863" s="293">
        <f t="shared" si="436"/>
        <v>0</v>
      </c>
      <c r="AM863" s="293">
        <f t="shared" si="436"/>
        <v>0</v>
      </c>
      <c r="AN863" s="293">
        <f t="shared" si="436"/>
        <v>0</v>
      </c>
      <c r="AO863" s="293">
        <f t="shared" si="436"/>
        <v>0</v>
      </c>
      <c r="AP863" s="293">
        <f t="shared" si="436"/>
        <v>0</v>
      </c>
      <c r="AQ863" s="293">
        <f t="shared" si="436"/>
        <v>0</v>
      </c>
      <c r="AR863" s="293">
        <f t="shared" si="436"/>
        <v>0</v>
      </c>
      <c r="AS863" s="293">
        <f t="shared" si="436"/>
        <v>0</v>
      </c>
      <c r="AT863" s="293">
        <f t="shared" si="436"/>
        <v>0</v>
      </c>
      <c r="AU863" s="293">
        <f t="shared" si="436"/>
        <v>0</v>
      </c>
      <c r="AV863" s="293"/>
      <c r="AW863" s="293"/>
      <c r="AX863" s="293"/>
      <c r="AY863" s="293"/>
    </row>
    <row r="864" spans="2:51" s="214" customFormat="1" ht="15.75" customHeight="1">
      <c r="B864" s="244"/>
      <c r="C864" s="331" t="s">
        <v>896</v>
      </c>
      <c r="D864" s="242"/>
      <c r="E864" s="242"/>
      <c r="F864" s="242"/>
      <c r="G864" s="242"/>
      <c r="H864" s="242"/>
      <c r="I864" s="243"/>
      <c r="J864" s="243"/>
      <c r="K864" s="243"/>
      <c r="L864" s="243"/>
      <c r="M864" s="243"/>
      <c r="N864" s="243"/>
      <c r="O864" s="243"/>
      <c r="P864" s="243">
        <v>0</v>
      </c>
      <c r="Q864" s="243">
        <v>0</v>
      </c>
      <c r="R864" s="243">
        <v>0</v>
      </c>
      <c r="S864" s="243"/>
      <c r="T864" s="243">
        <v>0</v>
      </c>
      <c r="U864" s="243">
        <f t="shared" si="432"/>
        <v>0</v>
      </c>
      <c r="V864" s="243">
        <v>0</v>
      </c>
      <c r="W864" s="243">
        <v>0</v>
      </c>
      <c r="X864" s="243">
        <v>0</v>
      </c>
      <c r="Y864" s="243">
        <v>0</v>
      </c>
      <c r="Z864" s="243">
        <v>0</v>
      </c>
      <c r="AA864" s="243">
        <v>0</v>
      </c>
      <c r="AB864" s="243">
        <v>0</v>
      </c>
      <c r="AC864" s="243">
        <v>0</v>
      </c>
      <c r="AD864" s="243">
        <v>0</v>
      </c>
      <c r="AE864" s="243">
        <v>0</v>
      </c>
      <c r="AF864" s="243">
        <v>0</v>
      </c>
      <c r="AG864" s="243">
        <v>0</v>
      </c>
      <c r="AH864" s="243">
        <v>0</v>
      </c>
      <c r="AI864" s="243">
        <v>0</v>
      </c>
      <c r="AJ864" s="243">
        <v>0</v>
      </c>
      <c r="AK864" s="243">
        <v>0</v>
      </c>
      <c r="AL864" s="243">
        <v>0</v>
      </c>
      <c r="AM864" s="243">
        <v>0</v>
      </c>
      <c r="AN864" s="243">
        <v>0</v>
      </c>
      <c r="AO864" s="243">
        <v>0</v>
      </c>
      <c r="AP864" s="243">
        <v>0</v>
      </c>
      <c r="AQ864" s="243">
        <v>0</v>
      </c>
      <c r="AR864" s="243">
        <v>0</v>
      </c>
      <c r="AS864" s="243">
        <v>0</v>
      </c>
      <c r="AT864" s="243">
        <v>0</v>
      </c>
      <c r="AU864" s="243">
        <v>0</v>
      </c>
      <c r="AV864" s="243"/>
      <c r="AW864" s="243"/>
      <c r="AX864" s="243"/>
      <c r="AY864" s="243"/>
    </row>
    <row r="865" spans="2:51" s="214" customFormat="1" ht="15.75" customHeight="1">
      <c r="B865" s="244"/>
      <c r="C865" s="244"/>
      <c r="D865" s="244"/>
      <c r="E865" s="244"/>
      <c r="F865" s="244"/>
      <c r="G865" s="244"/>
      <c r="H865" s="244"/>
      <c r="I865" s="244"/>
      <c r="J865" s="244"/>
      <c r="K865" s="244"/>
      <c r="L865" s="244"/>
      <c r="M865" s="215"/>
      <c r="U865" s="214">
        <f t="shared" si="432"/>
        <v>0</v>
      </c>
    </row>
    <row r="866" spans="2:51" s="214" customFormat="1" ht="15.75" customHeight="1">
      <c r="B866" s="244"/>
      <c r="C866" s="214" t="s">
        <v>1131</v>
      </c>
      <c r="D866" s="242"/>
      <c r="E866" s="242"/>
      <c r="F866" s="242"/>
      <c r="G866" s="242"/>
      <c r="H866" s="242"/>
      <c r="I866" s="242"/>
      <c r="J866" s="294"/>
      <c r="K866" s="294"/>
      <c r="L866" s="294"/>
      <c r="M866" s="215"/>
      <c r="U866" s="214">
        <f t="shared" si="432"/>
        <v>0</v>
      </c>
    </row>
    <row r="867" spans="2:51" s="214" customFormat="1" ht="15.75" customHeight="1">
      <c r="B867" s="244"/>
      <c r="C867" s="331" t="str">
        <f>C860</f>
        <v>LT Debt A - due xx/xx/xx @ LIBOR +x%</v>
      </c>
      <c r="D867" s="242"/>
      <c r="E867" s="242"/>
      <c r="F867" s="242"/>
      <c r="G867" s="242"/>
      <c r="H867" s="242"/>
      <c r="I867" s="239"/>
      <c r="J867" s="239"/>
      <c r="K867" s="239"/>
      <c r="L867" s="239"/>
      <c r="M867" s="239"/>
      <c r="N867" s="239"/>
      <c r="O867" s="239">
        <f t="shared" ref="O867:V870" si="437">O853*O860</f>
        <v>0</v>
      </c>
      <c r="P867" s="239">
        <f t="shared" si="437"/>
        <v>0</v>
      </c>
      <c r="Q867" s="239">
        <f t="shared" si="437"/>
        <v>0</v>
      </c>
      <c r="R867" s="239">
        <f t="shared" si="437"/>
        <v>0</v>
      </c>
      <c r="S867" s="239"/>
      <c r="T867" s="239">
        <f>T853*T860</f>
        <v>0</v>
      </c>
      <c r="U867" s="239">
        <f t="shared" si="432"/>
        <v>0</v>
      </c>
      <c r="V867" s="239">
        <f t="shared" si="437"/>
        <v>0</v>
      </c>
      <c r="W867" s="239">
        <f>W853*W860</f>
        <v>0</v>
      </c>
      <c r="X867" s="239">
        <f t="shared" ref="X867:AU870" si="438">X853*X860</f>
        <v>0</v>
      </c>
      <c r="Y867" s="239">
        <f t="shared" si="438"/>
        <v>0</v>
      </c>
      <c r="Z867" s="239">
        <f t="shared" si="438"/>
        <v>0</v>
      </c>
      <c r="AA867" s="239">
        <f t="shared" si="438"/>
        <v>0</v>
      </c>
      <c r="AB867" s="239">
        <f t="shared" si="438"/>
        <v>0</v>
      </c>
      <c r="AC867" s="239">
        <f t="shared" si="438"/>
        <v>0</v>
      </c>
      <c r="AD867" s="239">
        <f t="shared" si="438"/>
        <v>0</v>
      </c>
      <c r="AE867" s="239">
        <f t="shared" si="438"/>
        <v>0</v>
      </c>
      <c r="AF867" s="239">
        <f t="shared" si="438"/>
        <v>0</v>
      </c>
      <c r="AG867" s="239">
        <f t="shared" si="438"/>
        <v>0</v>
      </c>
      <c r="AH867" s="239">
        <f t="shared" si="438"/>
        <v>0</v>
      </c>
      <c r="AI867" s="239">
        <f t="shared" si="438"/>
        <v>0</v>
      </c>
      <c r="AJ867" s="239">
        <f t="shared" si="438"/>
        <v>0</v>
      </c>
      <c r="AK867" s="239">
        <f t="shared" si="438"/>
        <v>0</v>
      </c>
      <c r="AL867" s="239">
        <f t="shared" si="438"/>
        <v>0</v>
      </c>
      <c r="AM867" s="239">
        <f t="shared" si="438"/>
        <v>0</v>
      </c>
      <c r="AN867" s="239">
        <f t="shared" si="438"/>
        <v>0</v>
      </c>
      <c r="AO867" s="239">
        <f t="shared" si="438"/>
        <v>0</v>
      </c>
      <c r="AP867" s="239">
        <f t="shared" si="438"/>
        <v>0</v>
      </c>
      <c r="AQ867" s="239">
        <f t="shared" si="438"/>
        <v>0</v>
      </c>
      <c r="AR867" s="239">
        <f t="shared" si="438"/>
        <v>0</v>
      </c>
      <c r="AS867" s="239">
        <f t="shared" si="438"/>
        <v>0</v>
      </c>
      <c r="AT867" s="239">
        <f t="shared" si="438"/>
        <v>0</v>
      </c>
      <c r="AU867" s="239">
        <f t="shared" si="438"/>
        <v>0</v>
      </c>
      <c r="AV867" s="239"/>
      <c r="AW867" s="239"/>
      <c r="AX867" s="239"/>
      <c r="AY867" s="239"/>
    </row>
    <row r="868" spans="2:51" s="214" customFormat="1" ht="15.75" customHeight="1">
      <c r="B868" s="244"/>
      <c r="C868" s="331" t="str">
        <f>C861</f>
        <v>LT Debt B - due xx/xx/xx @ LIBOR +x%</v>
      </c>
      <c r="D868" s="242"/>
      <c r="E868" s="242"/>
      <c r="F868" s="242"/>
      <c r="G868" s="242"/>
      <c r="H868" s="242"/>
      <c r="I868" s="239"/>
      <c r="J868" s="239"/>
      <c r="K868" s="239"/>
      <c r="L868" s="239"/>
      <c r="M868" s="239"/>
      <c r="N868" s="239"/>
      <c r="O868" s="239">
        <f t="shared" si="437"/>
        <v>0</v>
      </c>
      <c r="P868" s="239">
        <f t="shared" si="437"/>
        <v>0</v>
      </c>
      <c r="Q868" s="239">
        <f t="shared" si="437"/>
        <v>0</v>
      </c>
      <c r="R868" s="239">
        <f t="shared" si="437"/>
        <v>0</v>
      </c>
      <c r="S868" s="239"/>
      <c r="T868" s="239">
        <f>T854*T861</f>
        <v>0</v>
      </c>
      <c r="U868" s="239">
        <f t="shared" si="432"/>
        <v>0</v>
      </c>
      <c r="V868" s="239">
        <f t="shared" si="437"/>
        <v>0</v>
      </c>
      <c r="W868" s="239">
        <f>W854*W861</f>
        <v>0</v>
      </c>
      <c r="X868" s="239">
        <f t="shared" si="438"/>
        <v>0</v>
      </c>
      <c r="Y868" s="239">
        <f t="shared" si="438"/>
        <v>0</v>
      </c>
      <c r="Z868" s="239">
        <f t="shared" si="438"/>
        <v>0</v>
      </c>
      <c r="AA868" s="239">
        <f t="shared" si="438"/>
        <v>0</v>
      </c>
      <c r="AB868" s="239">
        <f t="shared" si="438"/>
        <v>0</v>
      </c>
      <c r="AC868" s="239">
        <f t="shared" si="438"/>
        <v>0</v>
      </c>
      <c r="AD868" s="239">
        <f t="shared" si="438"/>
        <v>0</v>
      </c>
      <c r="AE868" s="239">
        <f t="shared" si="438"/>
        <v>0</v>
      </c>
      <c r="AF868" s="239">
        <f t="shared" si="438"/>
        <v>0</v>
      </c>
      <c r="AG868" s="239">
        <f t="shared" si="438"/>
        <v>0</v>
      </c>
      <c r="AH868" s="239">
        <f t="shared" si="438"/>
        <v>0</v>
      </c>
      <c r="AI868" s="239">
        <f t="shared" si="438"/>
        <v>0</v>
      </c>
      <c r="AJ868" s="239">
        <f t="shared" si="438"/>
        <v>0</v>
      </c>
      <c r="AK868" s="239">
        <f t="shared" si="438"/>
        <v>0</v>
      </c>
      <c r="AL868" s="239">
        <f t="shared" si="438"/>
        <v>0</v>
      </c>
      <c r="AM868" s="239">
        <f t="shared" si="438"/>
        <v>0</v>
      </c>
      <c r="AN868" s="239">
        <f t="shared" si="438"/>
        <v>0</v>
      </c>
      <c r="AO868" s="239">
        <f t="shared" si="438"/>
        <v>0</v>
      </c>
      <c r="AP868" s="239">
        <f t="shared" si="438"/>
        <v>0</v>
      </c>
      <c r="AQ868" s="239">
        <f t="shared" si="438"/>
        <v>0</v>
      </c>
      <c r="AR868" s="239">
        <f t="shared" si="438"/>
        <v>0</v>
      </c>
      <c r="AS868" s="239">
        <f t="shared" si="438"/>
        <v>0</v>
      </c>
      <c r="AT868" s="239">
        <f t="shared" si="438"/>
        <v>0</v>
      </c>
      <c r="AU868" s="239">
        <f t="shared" si="438"/>
        <v>0</v>
      </c>
      <c r="AV868" s="239"/>
      <c r="AW868" s="239"/>
      <c r="AX868" s="239"/>
      <c r="AY868" s="239"/>
    </row>
    <row r="869" spans="2:51" s="214" customFormat="1" ht="15.75" customHeight="1">
      <c r="B869" s="244"/>
      <c r="C869" s="331" t="str">
        <f>C862</f>
        <v>LT Debt C - due xx/xx/xx @ LIBOR +x%</v>
      </c>
      <c r="D869" s="242"/>
      <c r="E869" s="242"/>
      <c r="F869" s="242"/>
      <c r="G869" s="242"/>
      <c r="H869" s="242"/>
      <c r="I869" s="239"/>
      <c r="J869" s="239"/>
      <c r="K869" s="239"/>
      <c r="L869" s="239"/>
      <c r="M869" s="239"/>
      <c r="N869" s="239"/>
      <c r="O869" s="239">
        <f t="shared" si="437"/>
        <v>0</v>
      </c>
      <c r="P869" s="239">
        <f t="shared" si="437"/>
        <v>0</v>
      </c>
      <c r="Q869" s="239">
        <f t="shared" si="437"/>
        <v>0</v>
      </c>
      <c r="R869" s="239">
        <f t="shared" si="437"/>
        <v>0</v>
      </c>
      <c r="S869" s="239"/>
      <c r="T869" s="239">
        <f>T855*T862</f>
        <v>0</v>
      </c>
      <c r="U869" s="239">
        <f t="shared" si="432"/>
        <v>0</v>
      </c>
      <c r="V869" s="239">
        <f t="shared" si="437"/>
        <v>0</v>
      </c>
      <c r="W869" s="239">
        <f>W855*W862</f>
        <v>0</v>
      </c>
      <c r="X869" s="239">
        <f t="shared" si="438"/>
        <v>0</v>
      </c>
      <c r="Y869" s="239">
        <f t="shared" si="438"/>
        <v>0</v>
      </c>
      <c r="Z869" s="239">
        <f t="shared" si="438"/>
        <v>0</v>
      </c>
      <c r="AA869" s="239">
        <f t="shared" si="438"/>
        <v>0</v>
      </c>
      <c r="AB869" s="239">
        <f t="shared" si="438"/>
        <v>0</v>
      </c>
      <c r="AC869" s="239">
        <f t="shared" si="438"/>
        <v>0</v>
      </c>
      <c r="AD869" s="239">
        <f t="shared" si="438"/>
        <v>0</v>
      </c>
      <c r="AE869" s="239">
        <f t="shared" si="438"/>
        <v>0</v>
      </c>
      <c r="AF869" s="239">
        <f t="shared" si="438"/>
        <v>0</v>
      </c>
      <c r="AG869" s="239">
        <f t="shared" si="438"/>
        <v>0</v>
      </c>
      <c r="AH869" s="239">
        <f t="shared" si="438"/>
        <v>0</v>
      </c>
      <c r="AI869" s="239">
        <f t="shared" si="438"/>
        <v>0</v>
      </c>
      <c r="AJ869" s="239">
        <f t="shared" si="438"/>
        <v>0</v>
      </c>
      <c r="AK869" s="239">
        <f t="shared" si="438"/>
        <v>0</v>
      </c>
      <c r="AL869" s="239">
        <f t="shared" si="438"/>
        <v>0</v>
      </c>
      <c r="AM869" s="239">
        <f t="shared" si="438"/>
        <v>0</v>
      </c>
      <c r="AN869" s="239">
        <f t="shared" si="438"/>
        <v>0</v>
      </c>
      <c r="AO869" s="239">
        <f t="shared" si="438"/>
        <v>0</v>
      </c>
      <c r="AP869" s="239">
        <f t="shared" si="438"/>
        <v>0</v>
      </c>
      <c r="AQ869" s="239">
        <f t="shared" si="438"/>
        <v>0</v>
      </c>
      <c r="AR869" s="239">
        <f t="shared" si="438"/>
        <v>0</v>
      </c>
      <c r="AS869" s="239">
        <f t="shared" si="438"/>
        <v>0</v>
      </c>
      <c r="AT869" s="239">
        <f t="shared" si="438"/>
        <v>0</v>
      </c>
      <c r="AU869" s="239">
        <f t="shared" si="438"/>
        <v>0</v>
      </c>
      <c r="AV869" s="239"/>
      <c r="AW869" s="239"/>
      <c r="AX869" s="239"/>
      <c r="AY869" s="239"/>
    </row>
    <row r="870" spans="2:51" s="214" customFormat="1" ht="15.75" customHeight="1">
      <c r="B870" s="244"/>
      <c r="C870" s="331" t="str">
        <f>C863</f>
        <v>Revolving Credit</v>
      </c>
      <c r="D870" s="242"/>
      <c r="E870" s="242"/>
      <c r="F870" s="242"/>
      <c r="G870" s="242"/>
      <c r="H870" s="242"/>
      <c r="I870" s="239"/>
      <c r="J870" s="239"/>
      <c r="K870" s="239"/>
      <c r="L870" s="239"/>
      <c r="M870" s="239"/>
      <c r="N870" s="239"/>
      <c r="O870" s="239">
        <f t="shared" si="437"/>
        <v>0</v>
      </c>
      <c r="P870" s="239">
        <v>0</v>
      </c>
      <c r="Q870" s="239">
        <f t="shared" si="437"/>
        <v>0</v>
      </c>
      <c r="R870" s="239">
        <f t="shared" si="437"/>
        <v>0</v>
      </c>
      <c r="S870" s="239"/>
      <c r="T870" s="239">
        <f>T856*T863</f>
        <v>0</v>
      </c>
      <c r="U870" s="239">
        <f t="shared" si="432"/>
        <v>0</v>
      </c>
      <c r="V870" s="239">
        <f t="shared" si="437"/>
        <v>0</v>
      </c>
      <c r="W870" s="239">
        <f>W856*W863</f>
        <v>0</v>
      </c>
      <c r="X870" s="239">
        <f t="shared" si="438"/>
        <v>0</v>
      </c>
      <c r="Y870" s="239">
        <f t="shared" si="438"/>
        <v>0</v>
      </c>
      <c r="Z870" s="239">
        <f t="shared" si="438"/>
        <v>0</v>
      </c>
      <c r="AA870" s="239">
        <f t="shared" si="438"/>
        <v>0</v>
      </c>
      <c r="AB870" s="239">
        <f t="shared" si="438"/>
        <v>0</v>
      </c>
      <c r="AC870" s="239">
        <f t="shared" si="438"/>
        <v>0</v>
      </c>
      <c r="AD870" s="239">
        <f t="shared" si="438"/>
        <v>0</v>
      </c>
      <c r="AE870" s="239">
        <f t="shared" si="438"/>
        <v>0</v>
      </c>
      <c r="AF870" s="239">
        <f t="shared" si="438"/>
        <v>0</v>
      </c>
      <c r="AG870" s="239">
        <f t="shared" si="438"/>
        <v>0</v>
      </c>
      <c r="AH870" s="239">
        <f t="shared" si="438"/>
        <v>0</v>
      </c>
      <c r="AI870" s="239">
        <f t="shared" si="438"/>
        <v>0</v>
      </c>
      <c r="AJ870" s="239">
        <f t="shared" si="438"/>
        <v>0</v>
      </c>
      <c r="AK870" s="239">
        <f t="shared" si="438"/>
        <v>0</v>
      </c>
      <c r="AL870" s="239">
        <f t="shared" si="438"/>
        <v>0</v>
      </c>
      <c r="AM870" s="239">
        <f t="shared" si="438"/>
        <v>0</v>
      </c>
      <c r="AN870" s="239">
        <f t="shared" si="438"/>
        <v>0</v>
      </c>
      <c r="AO870" s="239">
        <f t="shared" si="438"/>
        <v>0</v>
      </c>
      <c r="AP870" s="239">
        <f t="shared" si="438"/>
        <v>0</v>
      </c>
      <c r="AQ870" s="239">
        <f t="shared" si="438"/>
        <v>0</v>
      </c>
      <c r="AR870" s="239">
        <f t="shared" si="438"/>
        <v>0</v>
      </c>
      <c r="AS870" s="239">
        <f t="shared" si="438"/>
        <v>0</v>
      </c>
      <c r="AT870" s="239">
        <f t="shared" si="438"/>
        <v>0</v>
      </c>
      <c r="AU870" s="239">
        <f t="shared" si="438"/>
        <v>0</v>
      </c>
      <c r="AV870" s="239"/>
      <c r="AW870" s="239"/>
      <c r="AX870" s="239"/>
      <c r="AY870" s="239"/>
    </row>
    <row r="871" spans="2:51" s="214" customFormat="1" ht="15.75" customHeight="1">
      <c r="B871" s="244"/>
      <c r="C871" s="331" t="s">
        <v>666</v>
      </c>
      <c r="D871" s="242"/>
      <c r="E871" s="242"/>
      <c r="F871" s="242"/>
      <c r="G871" s="242"/>
      <c r="H871" s="242"/>
      <c r="I871" s="246"/>
      <c r="J871" s="246"/>
      <c r="K871" s="246"/>
      <c r="L871" s="246"/>
      <c r="M871" s="246"/>
      <c r="N871" s="246"/>
      <c r="O871" s="246">
        <f t="shared" ref="O871:AU871" si="439">SUM(O867:O870)</f>
        <v>0</v>
      </c>
      <c r="P871" s="246">
        <f t="shared" si="439"/>
        <v>0</v>
      </c>
      <c r="Q871" s="246">
        <f t="shared" si="439"/>
        <v>0</v>
      </c>
      <c r="R871" s="246">
        <f t="shared" si="439"/>
        <v>0</v>
      </c>
      <c r="S871" s="246"/>
      <c r="T871" s="246">
        <f>SUM(T867:T870)</f>
        <v>0</v>
      </c>
      <c r="U871" s="246">
        <f t="shared" si="432"/>
        <v>0</v>
      </c>
      <c r="V871" s="246">
        <f t="shared" si="439"/>
        <v>0</v>
      </c>
      <c r="W871" s="246">
        <f t="shared" si="439"/>
        <v>0</v>
      </c>
      <c r="X871" s="246">
        <f t="shared" si="439"/>
        <v>0</v>
      </c>
      <c r="Y871" s="246">
        <f t="shared" si="439"/>
        <v>0</v>
      </c>
      <c r="Z871" s="246">
        <f t="shared" si="439"/>
        <v>0</v>
      </c>
      <c r="AA871" s="246">
        <f t="shared" si="439"/>
        <v>0</v>
      </c>
      <c r="AB871" s="246">
        <f t="shared" si="439"/>
        <v>0</v>
      </c>
      <c r="AC871" s="246">
        <f t="shared" si="439"/>
        <v>0</v>
      </c>
      <c r="AD871" s="246">
        <f t="shared" si="439"/>
        <v>0</v>
      </c>
      <c r="AE871" s="246">
        <f t="shared" si="439"/>
        <v>0</v>
      </c>
      <c r="AF871" s="246">
        <f t="shared" si="439"/>
        <v>0</v>
      </c>
      <c r="AG871" s="246">
        <f t="shared" si="439"/>
        <v>0</v>
      </c>
      <c r="AH871" s="246">
        <f t="shared" si="439"/>
        <v>0</v>
      </c>
      <c r="AI871" s="246">
        <f t="shared" si="439"/>
        <v>0</v>
      </c>
      <c r="AJ871" s="246">
        <f t="shared" si="439"/>
        <v>0</v>
      </c>
      <c r="AK871" s="246">
        <f t="shared" si="439"/>
        <v>0</v>
      </c>
      <c r="AL871" s="246">
        <f t="shared" si="439"/>
        <v>0</v>
      </c>
      <c r="AM871" s="246">
        <f t="shared" si="439"/>
        <v>0</v>
      </c>
      <c r="AN871" s="246">
        <f t="shared" si="439"/>
        <v>0</v>
      </c>
      <c r="AO871" s="246">
        <f t="shared" si="439"/>
        <v>0</v>
      </c>
      <c r="AP871" s="246">
        <f t="shared" si="439"/>
        <v>0</v>
      </c>
      <c r="AQ871" s="246">
        <f t="shared" si="439"/>
        <v>0</v>
      </c>
      <c r="AR871" s="246">
        <f t="shared" si="439"/>
        <v>0</v>
      </c>
      <c r="AS871" s="246">
        <f t="shared" si="439"/>
        <v>0</v>
      </c>
      <c r="AT871" s="246">
        <f t="shared" si="439"/>
        <v>0</v>
      </c>
      <c r="AU871" s="246">
        <f t="shared" si="439"/>
        <v>0</v>
      </c>
      <c r="AV871" s="246"/>
      <c r="AW871" s="246"/>
      <c r="AX871" s="246"/>
      <c r="AY871" s="246"/>
    </row>
    <row r="872" spans="2:51" s="214" customFormat="1" ht="15.75" customHeight="1">
      <c r="B872" s="244"/>
      <c r="C872" s="244"/>
      <c r="D872" s="244"/>
      <c r="E872" s="244"/>
      <c r="F872" s="244"/>
      <c r="G872" s="244"/>
      <c r="H872" s="244"/>
      <c r="I872" s="244"/>
      <c r="J872" s="244"/>
      <c r="K872" s="244"/>
      <c r="L872" s="244"/>
      <c r="M872" s="215"/>
      <c r="U872" s="214">
        <f t="shared" si="432"/>
        <v>0</v>
      </c>
    </row>
    <row r="873" spans="2:51" s="214" customFormat="1" ht="15.75" customHeight="1">
      <c r="B873" s="244"/>
      <c r="C873" s="593" t="s">
        <v>1132</v>
      </c>
      <c r="D873" s="242"/>
      <c r="E873" s="242"/>
      <c r="F873" s="242"/>
      <c r="G873" s="242"/>
      <c r="H873" s="242"/>
      <c r="I873" s="239"/>
      <c r="J873" s="239"/>
      <c r="K873" s="239"/>
      <c r="L873" s="239"/>
      <c r="M873" s="239"/>
      <c r="N873" s="239"/>
      <c r="O873" s="239">
        <f t="shared" ref="O873:AU873" si="440">N873</f>
        <v>0</v>
      </c>
      <c r="P873" s="239">
        <f t="shared" si="440"/>
        <v>0</v>
      </c>
      <c r="Q873" s="239">
        <f t="shared" si="440"/>
        <v>0</v>
      </c>
      <c r="R873" s="239">
        <f t="shared" si="440"/>
        <v>0</v>
      </c>
      <c r="S873" s="239"/>
      <c r="T873" s="239">
        <f t="shared" si="440"/>
        <v>0</v>
      </c>
      <c r="U873" s="239">
        <f t="shared" si="432"/>
        <v>0</v>
      </c>
      <c r="V873" s="239">
        <f>R873</f>
        <v>0</v>
      </c>
      <c r="W873" s="239">
        <f t="shared" si="440"/>
        <v>0</v>
      </c>
      <c r="X873" s="239">
        <f t="shared" si="440"/>
        <v>0</v>
      </c>
      <c r="Y873" s="239">
        <f t="shared" si="440"/>
        <v>0</v>
      </c>
      <c r="Z873" s="239">
        <f t="shared" si="440"/>
        <v>0</v>
      </c>
      <c r="AA873" s="239">
        <f t="shared" si="440"/>
        <v>0</v>
      </c>
      <c r="AB873" s="239">
        <f t="shared" si="440"/>
        <v>0</v>
      </c>
      <c r="AC873" s="239">
        <f t="shared" si="440"/>
        <v>0</v>
      </c>
      <c r="AD873" s="239">
        <f t="shared" si="440"/>
        <v>0</v>
      </c>
      <c r="AE873" s="239">
        <f t="shared" si="440"/>
        <v>0</v>
      </c>
      <c r="AF873" s="239">
        <f t="shared" si="440"/>
        <v>0</v>
      </c>
      <c r="AG873" s="239">
        <f t="shared" si="440"/>
        <v>0</v>
      </c>
      <c r="AH873" s="239">
        <f t="shared" si="440"/>
        <v>0</v>
      </c>
      <c r="AI873" s="239">
        <f t="shared" si="440"/>
        <v>0</v>
      </c>
      <c r="AJ873" s="239">
        <f t="shared" si="440"/>
        <v>0</v>
      </c>
      <c r="AK873" s="239">
        <f t="shared" si="440"/>
        <v>0</v>
      </c>
      <c r="AL873" s="239">
        <f t="shared" si="440"/>
        <v>0</v>
      </c>
      <c r="AM873" s="239">
        <f t="shared" si="440"/>
        <v>0</v>
      </c>
      <c r="AN873" s="239">
        <f t="shared" si="440"/>
        <v>0</v>
      </c>
      <c r="AO873" s="239">
        <f t="shared" si="440"/>
        <v>0</v>
      </c>
      <c r="AP873" s="239">
        <f t="shared" si="440"/>
        <v>0</v>
      </c>
      <c r="AQ873" s="239">
        <f t="shared" si="440"/>
        <v>0</v>
      </c>
      <c r="AR873" s="239">
        <f t="shared" si="440"/>
        <v>0</v>
      </c>
      <c r="AS873" s="239">
        <f t="shared" si="440"/>
        <v>0</v>
      </c>
      <c r="AT873" s="239">
        <f t="shared" si="440"/>
        <v>0</v>
      </c>
      <c r="AU873" s="239">
        <f t="shared" si="440"/>
        <v>0</v>
      </c>
      <c r="AV873" s="239"/>
      <c r="AW873" s="239"/>
      <c r="AX873" s="239"/>
      <c r="AY873" s="239"/>
    </row>
    <row r="874" spans="2:51" s="214" customFormat="1" ht="15.75" customHeight="1">
      <c r="B874" s="244"/>
      <c r="C874" s="244"/>
      <c r="D874" s="244"/>
      <c r="E874" s="244"/>
      <c r="F874" s="244"/>
      <c r="G874" s="244"/>
      <c r="H874" s="244"/>
      <c r="I874" s="244"/>
      <c r="J874" s="244"/>
      <c r="K874" s="244"/>
      <c r="L874" s="244"/>
      <c r="M874" s="215"/>
      <c r="U874" s="214">
        <f t="shared" si="432"/>
        <v>0</v>
      </c>
    </row>
    <row r="875" spans="2:51" s="214" customFormat="1" ht="15.75" customHeight="1">
      <c r="B875" s="244"/>
      <c r="C875" s="593" t="s">
        <v>1133</v>
      </c>
      <c r="D875" s="242"/>
      <c r="E875" s="242"/>
      <c r="F875" s="242"/>
      <c r="G875" s="242"/>
      <c r="H875" s="242"/>
      <c r="I875" s="246"/>
      <c r="J875" s="246"/>
      <c r="K875" s="246"/>
      <c r="L875" s="246"/>
      <c r="M875" s="246"/>
      <c r="N875" s="246"/>
      <c r="O875" s="246">
        <f t="shared" ref="O875:AU875" si="441">SUM(O871:O873)</f>
        <v>0</v>
      </c>
      <c r="P875" s="246">
        <f t="shared" si="441"/>
        <v>0</v>
      </c>
      <c r="Q875" s="246">
        <f t="shared" si="441"/>
        <v>0</v>
      </c>
      <c r="R875" s="246">
        <f t="shared" si="441"/>
        <v>0</v>
      </c>
      <c r="S875" s="246"/>
      <c r="T875" s="246">
        <f>SUM(T871:T873)</f>
        <v>0</v>
      </c>
      <c r="U875" s="246">
        <f t="shared" si="432"/>
        <v>0</v>
      </c>
      <c r="V875" s="246">
        <f t="shared" si="441"/>
        <v>0</v>
      </c>
      <c r="W875" s="246">
        <f t="shared" si="441"/>
        <v>0</v>
      </c>
      <c r="X875" s="246">
        <f t="shared" si="441"/>
        <v>0</v>
      </c>
      <c r="Y875" s="246">
        <f t="shared" si="441"/>
        <v>0</v>
      </c>
      <c r="Z875" s="246">
        <f t="shared" si="441"/>
        <v>0</v>
      </c>
      <c r="AA875" s="246">
        <f t="shared" si="441"/>
        <v>0</v>
      </c>
      <c r="AB875" s="246">
        <f t="shared" si="441"/>
        <v>0</v>
      </c>
      <c r="AC875" s="246">
        <f t="shared" si="441"/>
        <v>0</v>
      </c>
      <c r="AD875" s="246">
        <f t="shared" si="441"/>
        <v>0</v>
      </c>
      <c r="AE875" s="246">
        <f t="shared" si="441"/>
        <v>0</v>
      </c>
      <c r="AF875" s="246">
        <f t="shared" si="441"/>
        <v>0</v>
      </c>
      <c r="AG875" s="246">
        <f t="shared" si="441"/>
        <v>0</v>
      </c>
      <c r="AH875" s="246">
        <f t="shared" si="441"/>
        <v>0</v>
      </c>
      <c r="AI875" s="246">
        <f t="shared" si="441"/>
        <v>0</v>
      </c>
      <c r="AJ875" s="246">
        <f t="shared" si="441"/>
        <v>0</v>
      </c>
      <c r="AK875" s="246">
        <f t="shared" si="441"/>
        <v>0</v>
      </c>
      <c r="AL875" s="246">
        <f t="shared" si="441"/>
        <v>0</v>
      </c>
      <c r="AM875" s="246">
        <f t="shared" si="441"/>
        <v>0</v>
      </c>
      <c r="AN875" s="246">
        <f t="shared" si="441"/>
        <v>0</v>
      </c>
      <c r="AO875" s="246">
        <f t="shared" si="441"/>
        <v>0</v>
      </c>
      <c r="AP875" s="246">
        <f t="shared" si="441"/>
        <v>0</v>
      </c>
      <c r="AQ875" s="246">
        <f t="shared" si="441"/>
        <v>0</v>
      </c>
      <c r="AR875" s="246">
        <f t="shared" si="441"/>
        <v>0</v>
      </c>
      <c r="AS875" s="246">
        <f t="shared" si="441"/>
        <v>0</v>
      </c>
      <c r="AT875" s="246">
        <f t="shared" si="441"/>
        <v>0</v>
      </c>
      <c r="AU875" s="246">
        <f t="shared" si="441"/>
        <v>0</v>
      </c>
      <c r="AV875" s="246"/>
      <c r="AW875" s="246"/>
      <c r="AX875" s="246"/>
      <c r="AY875" s="246"/>
    </row>
    <row r="876" spans="2:51" s="214" customFormat="1" ht="15.75" customHeight="1">
      <c r="B876" s="244"/>
      <c r="C876" s="244"/>
      <c r="D876" s="242"/>
      <c r="E876" s="242"/>
      <c r="F876" s="242"/>
      <c r="G876" s="242"/>
      <c r="H876" s="242"/>
      <c r="I876" s="242"/>
      <c r="J876" s="249"/>
      <c r="K876" s="249"/>
      <c r="L876" s="249"/>
      <c r="M876" s="215"/>
      <c r="U876" s="214">
        <f t="shared" si="432"/>
        <v>0</v>
      </c>
    </row>
    <row r="877" spans="2:51" s="214" customFormat="1" ht="15.75" customHeight="1">
      <c r="B877" s="244"/>
      <c r="C877" s="214" t="s">
        <v>1134</v>
      </c>
      <c r="D877" s="242"/>
      <c r="E877" s="242"/>
      <c r="F877" s="242"/>
      <c r="G877" s="242"/>
      <c r="H877" s="242"/>
      <c r="I877" s="239"/>
      <c r="J877" s="239"/>
      <c r="K877" s="239"/>
      <c r="L877" s="239"/>
      <c r="M877" s="239"/>
      <c r="N877" s="239"/>
      <c r="O877" s="239">
        <f t="shared" ref="O877:AU877" si="442">(N857+O857)/2*O864</f>
        <v>0</v>
      </c>
      <c r="P877" s="239">
        <v>0</v>
      </c>
      <c r="Q877" s="239">
        <v>0</v>
      </c>
      <c r="R877" s="239">
        <f t="shared" si="442"/>
        <v>0</v>
      </c>
      <c r="S877" s="239"/>
      <c r="T877" s="239">
        <f t="shared" si="442"/>
        <v>0</v>
      </c>
      <c r="U877" s="239">
        <f t="shared" si="432"/>
        <v>0</v>
      </c>
      <c r="V877" s="239">
        <f>(R857+V857)/2*V864</f>
        <v>0</v>
      </c>
      <c r="W877" s="239">
        <f t="shared" si="442"/>
        <v>0</v>
      </c>
      <c r="X877" s="239">
        <f t="shared" si="442"/>
        <v>0</v>
      </c>
      <c r="Y877" s="239">
        <f t="shared" si="442"/>
        <v>0</v>
      </c>
      <c r="Z877" s="239">
        <f t="shared" si="442"/>
        <v>0</v>
      </c>
      <c r="AA877" s="239">
        <f t="shared" si="442"/>
        <v>0</v>
      </c>
      <c r="AB877" s="239">
        <f t="shared" si="442"/>
        <v>0</v>
      </c>
      <c r="AC877" s="239">
        <f t="shared" si="442"/>
        <v>0</v>
      </c>
      <c r="AD877" s="239">
        <f t="shared" si="442"/>
        <v>0</v>
      </c>
      <c r="AE877" s="239">
        <f t="shared" si="442"/>
        <v>0</v>
      </c>
      <c r="AF877" s="239">
        <f t="shared" si="442"/>
        <v>0</v>
      </c>
      <c r="AG877" s="239">
        <f t="shared" si="442"/>
        <v>0</v>
      </c>
      <c r="AH877" s="239">
        <f t="shared" si="442"/>
        <v>0</v>
      </c>
      <c r="AI877" s="239">
        <f t="shared" si="442"/>
        <v>0</v>
      </c>
      <c r="AJ877" s="239">
        <f t="shared" si="442"/>
        <v>0</v>
      </c>
      <c r="AK877" s="239">
        <f t="shared" si="442"/>
        <v>0</v>
      </c>
      <c r="AL877" s="239">
        <f t="shared" si="442"/>
        <v>0</v>
      </c>
      <c r="AM877" s="239">
        <f t="shared" si="442"/>
        <v>0</v>
      </c>
      <c r="AN877" s="239">
        <f t="shared" si="442"/>
        <v>0</v>
      </c>
      <c r="AO877" s="239">
        <f t="shared" si="442"/>
        <v>0</v>
      </c>
      <c r="AP877" s="239">
        <f t="shared" si="442"/>
        <v>0</v>
      </c>
      <c r="AQ877" s="239">
        <f t="shared" si="442"/>
        <v>0</v>
      </c>
      <c r="AR877" s="239">
        <f t="shared" si="442"/>
        <v>0</v>
      </c>
      <c r="AS877" s="239">
        <f t="shared" si="442"/>
        <v>0</v>
      </c>
      <c r="AT877" s="239">
        <f t="shared" si="442"/>
        <v>0</v>
      </c>
      <c r="AU877" s="239">
        <f t="shared" si="442"/>
        <v>0</v>
      </c>
      <c r="AV877" s="239"/>
      <c r="AW877" s="239"/>
      <c r="AX877" s="239"/>
      <c r="AY877" s="239"/>
    </row>
    <row r="878" spans="2:51" s="214" customFormat="1" ht="15.75" customHeight="1">
      <c r="B878" s="244"/>
      <c r="C878" s="214" t="s">
        <v>1135</v>
      </c>
      <c r="D878" s="242"/>
      <c r="E878" s="242"/>
      <c r="F878" s="242"/>
      <c r="G878" s="242"/>
      <c r="H878" s="242"/>
      <c r="I878" s="239"/>
      <c r="J878" s="239"/>
      <c r="K878" s="239"/>
      <c r="L878" s="239"/>
      <c r="M878" s="239"/>
      <c r="N878" s="239"/>
      <c r="O878" s="239">
        <f t="shared" ref="O878:AU878" si="443">N878</f>
        <v>0</v>
      </c>
      <c r="P878" s="239">
        <f t="shared" si="443"/>
        <v>0</v>
      </c>
      <c r="Q878" s="239">
        <f t="shared" si="443"/>
        <v>0</v>
      </c>
      <c r="R878" s="239">
        <f t="shared" si="443"/>
        <v>0</v>
      </c>
      <c r="S878" s="239"/>
      <c r="T878" s="239">
        <f t="shared" si="443"/>
        <v>0</v>
      </c>
      <c r="U878" s="239">
        <f t="shared" si="432"/>
        <v>0</v>
      </c>
      <c r="V878" s="239">
        <f>R878</f>
        <v>0</v>
      </c>
      <c r="W878" s="239">
        <f t="shared" si="443"/>
        <v>0</v>
      </c>
      <c r="X878" s="239">
        <f t="shared" si="443"/>
        <v>0</v>
      </c>
      <c r="Y878" s="239">
        <f t="shared" si="443"/>
        <v>0</v>
      </c>
      <c r="Z878" s="239">
        <f t="shared" si="443"/>
        <v>0</v>
      </c>
      <c r="AA878" s="239">
        <f t="shared" si="443"/>
        <v>0</v>
      </c>
      <c r="AB878" s="239">
        <f t="shared" si="443"/>
        <v>0</v>
      </c>
      <c r="AC878" s="239">
        <f t="shared" si="443"/>
        <v>0</v>
      </c>
      <c r="AD878" s="239">
        <f t="shared" si="443"/>
        <v>0</v>
      </c>
      <c r="AE878" s="239">
        <f t="shared" si="443"/>
        <v>0</v>
      </c>
      <c r="AF878" s="239">
        <f t="shared" si="443"/>
        <v>0</v>
      </c>
      <c r="AG878" s="239">
        <f t="shared" si="443"/>
        <v>0</v>
      </c>
      <c r="AH878" s="239">
        <f t="shared" si="443"/>
        <v>0</v>
      </c>
      <c r="AI878" s="239">
        <f t="shared" si="443"/>
        <v>0</v>
      </c>
      <c r="AJ878" s="239">
        <f t="shared" si="443"/>
        <v>0</v>
      </c>
      <c r="AK878" s="239">
        <f t="shared" si="443"/>
        <v>0</v>
      </c>
      <c r="AL878" s="239">
        <f t="shared" si="443"/>
        <v>0</v>
      </c>
      <c r="AM878" s="239">
        <f t="shared" si="443"/>
        <v>0</v>
      </c>
      <c r="AN878" s="239">
        <f t="shared" si="443"/>
        <v>0</v>
      </c>
      <c r="AO878" s="239">
        <f t="shared" si="443"/>
        <v>0</v>
      </c>
      <c r="AP878" s="239">
        <f t="shared" si="443"/>
        <v>0</v>
      </c>
      <c r="AQ878" s="239">
        <f t="shared" si="443"/>
        <v>0</v>
      </c>
      <c r="AR878" s="239">
        <f t="shared" si="443"/>
        <v>0</v>
      </c>
      <c r="AS878" s="239">
        <f t="shared" si="443"/>
        <v>0</v>
      </c>
      <c r="AT878" s="239">
        <f t="shared" si="443"/>
        <v>0</v>
      </c>
      <c r="AU878" s="239">
        <f t="shared" si="443"/>
        <v>0</v>
      </c>
      <c r="AV878" s="239"/>
      <c r="AW878" s="239"/>
      <c r="AX878" s="239"/>
      <c r="AY878" s="239"/>
    </row>
    <row r="879" spans="2:51" s="214" customFormat="1" ht="15.75" customHeight="1">
      <c r="B879" s="244"/>
      <c r="C879" s="593" t="s">
        <v>1136</v>
      </c>
      <c r="D879" s="242"/>
      <c r="E879" s="242"/>
      <c r="F879" s="242"/>
      <c r="G879" s="242"/>
      <c r="H879" s="242"/>
      <c r="I879" s="246"/>
      <c r="J879" s="246"/>
      <c r="K879" s="246"/>
      <c r="L879" s="246"/>
      <c r="M879" s="246"/>
      <c r="N879" s="246"/>
      <c r="O879" s="246">
        <f t="shared" ref="O879:AU879" si="444">SUM(O877:O878)</f>
        <v>0</v>
      </c>
      <c r="P879" s="246">
        <f t="shared" si="444"/>
        <v>0</v>
      </c>
      <c r="Q879" s="246">
        <f t="shared" si="444"/>
        <v>0</v>
      </c>
      <c r="R879" s="246">
        <f t="shared" si="444"/>
        <v>0</v>
      </c>
      <c r="S879" s="246"/>
      <c r="T879" s="246">
        <f>SUM(T877:T878)</f>
        <v>0</v>
      </c>
      <c r="U879" s="246">
        <f t="shared" si="432"/>
        <v>0</v>
      </c>
      <c r="V879" s="246">
        <f t="shared" si="444"/>
        <v>0</v>
      </c>
      <c r="W879" s="246">
        <f t="shared" si="444"/>
        <v>0</v>
      </c>
      <c r="X879" s="246">
        <f t="shared" si="444"/>
        <v>0</v>
      </c>
      <c r="Y879" s="246">
        <f t="shared" si="444"/>
        <v>0</v>
      </c>
      <c r="Z879" s="246">
        <f t="shared" si="444"/>
        <v>0</v>
      </c>
      <c r="AA879" s="246">
        <f t="shared" si="444"/>
        <v>0</v>
      </c>
      <c r="AB879" s="246">
        <f t="shared" si="444"/>
        <v>0</v>
      </c>
      <c r="AC879" s="246">
        <f t="shared" si="444"/>
        <v>0</v>
      </c>
      <c r="AD879" s="246">
        <f t="shared" si="444"/>
        <v>0</v>
      </c>
      <c r="AE879" s="246">
        <f t="shared" si="444"/>
        <v>0</v>
      </c>
      <c r="AF879" s="246">
        <f t="shared" si="444"/>
        <v>0</v>
      </c>
      <c r="AG879" s="246">
        <f t="shared" si="444"/>
        <v>0</v>
      </c>
      <c r="AH879" s="246">
        <f t="shared" si="444"/>
        <v>0</v>
      </c>
      <c r="AI879" s="246">
        <f t="shared" si="444"/>
        <v>0</v>
      </c>
      <c r="AJ879" s="246">
        <f t="shared" si="444"/>
        <v>0</v>
      </c>
      <c r="AK879" s="246">
        <f t="shared" si="444"/>
        <v>0</v>
      </c>
      <c r="AL879" s="246">
        <f t="shared" si="444"/>
        <v>0</v>
      </c>
      <c r="AM879" s="246">
        <f t="shared" si="444"/>
        <v>0</v>
      </c>
      <c r="AN879" s="246">
        <f t="shared" si="444"/>
        <v>0</v>
      </c>
      <c r="AO879" s="246">
        <f t="shared" si="444"/>
        <v>0</v>
      </c>
      <c r="AP879" s="246">
        <f t="shared" si="444"/>
        <v>0</v>
      </c>
      <c r="AQ879" s="246">
        <f t="shared" si="444"/>
        <v>0</v>
      </c>
      <c r="AR879" s="246">
        <f t="shared" si="444"/>
        <v>0</v>
      </c>
      <c r="AS879" s="246">
        <f t="shared" si="444"/>
        <v>0</v>
      </c>
      <c r="AT879" s="246">
        <f t="shared" si="444"/>
        <v>0</v>
      </c>
      <c r="AU879" s="246">
        <f t="shared" si="444"/>
        <v>0</v>
      </c>
      <c r="AV879" s="246"/>
      <c r="AW879" s="246"/>
      <c r="AX879" s="246"/>
      <c r="AY879" s="246"/>
    </row>
    <row r="880" spans="2:51" s="214" customFormat="1" ht="15.75" customHeight="1">
      <c r="B880" s="244"/>
      <c r="C880" s="244"/>
      <c r="D880" s="244"/>
      <c r="E880" s="244"/>
      <c r="F880" s="244"/>
      <c r="G880" s="244"/>
      <c r="H880" s="244"/>
      <c r="I880" s="244"/>
      <c r="J880" s="244"/>
      <c r="K880" s="244"/>
      <c r="L880" s="244"/>
      <c r="M880" s="215"/>
      <c r="U880" s="214">
        <f t="shared" si="432"/>
        <v>0</v>
      </c>
    </row>
    <row r="881" spans="2:47" s="577" customFormat="1" ht="15.75" customHeight="1">
      <c r="B881" s="1284" t="s">
        <v>1147</v>
      </c>
      <c r="C881" s="862"/>
      <c r="D881" s="870"/>
      <c r="E881" s="870"/>
      <c r="F881" s="870"/>
      <c r="G881" s="870"/>
      <c r="H881" s="870"/>
      <c r="I881" s="870"/>
      <c r="J881" s="870"/>
      <c r="K881" s="870"/>
      <c r="L881" s="1316"/>
      <c r="M881" s="592"/>
      <c r="O881" s="1265"/>
      <c r="P881" s="1265"/>
      <c r="Q881" s="1265">
        <f>IF(Q545&gt;0,0,IF(R545&gt;0,(1+(-Q545/R545)),1))</f>
        <v>1</v>
      </c>
      <c r="R881" s="1265">
        <f>IF(R545&gt;0,0,IF(V545&gt;0,(1+(-R545/V545)),1))</f>
        <v>1</v>
      </c>
      <c r="S881" s="1265"/>
      <c r="T881" s="1265">
        <f>IF(T545&gt;0,0,IF(X545&gt;0,(1+(-T545/X545)),1))</f>
        <v>2.6652377645384586</v>
      </c>
      <c r="U881" s="1265">
        <f t="shared" si="432"/>
        <v>2.6652377645384586</v>
      </c>
      <c r="V881" s="1265">
        <f t="shared" ref="V881:AU881" si="445">IF(V545&gt;0,0,IF(W545&gt;0,(1+(-V545/W545)),1))</f>
        <v>1</v>
      </c>
      <c r="W881" s="1265">
        <f t="shared" si="445"/>
        <v>1.1255266480058805</v>
      </c>
      <c r="X881" s="1275">
        <f>IF(X545&gt;0,0,IF(Y545&gt;0,(1+(-Y545/X545)),1))</f>
        <v>0</v>
      </c>
      <c r="Y881" s="1265">
        <f t="shared" si="445"/>
        <v>0</v>
      </c>
      <c r="Z881" s="1265">
        <f t="shared" si="445"/>
        <v>0</v>
      </c>
      <c r="AA881" s="1265">
        <f t="shared" si="445"/>
        <v>0</v>
      </c>
      <c r="AB881" s="1265">
        <f t="shared" si="445"/>
        <v>0</v>
      </c>
      <c r="AC881" s="1265">
        <f t="shared" si="445"/>
        <v>0</v>
      </c>
      <c r="AD881" s="1265">
        <f t="shared" si="445"/>
        <v>0</v>
      </c>
      <c r="AE881" s="1265">
        <f t="shared" si="445"/>
        <v>0</v>
      </c>
      <c r="AF881" s="1265">
        <f t="shared" si="445"/>
        <v>0</v>
      </c>
      <c r="AG881" s="1265">
        <f t="shared" si="445"/>
        <v>0</v>
      </c>
      <c r="AH881" s="1265">
        <f t="shared" si="445"/>
        <v>0</v>
      </c>
      <c r="AI881" s="1265">
        <f t="shared" si="445"/>
        <v>0</v>
      </c>
      <c r="AJ881" s="1265">
        <f t="shared" si="445"/>
        <v>0</v>
      </c>
      <c r="AK881" s="1265">
        <f t="shared" si="445"/>
        <v>0</v>
      </c>
      <c r="AL881" s="1265">
        <f t="shared" si="445"/>
        <v>0</v>
      </c>
      <c r="AM881" s="1265">
        <f t="shared" si="445"/>
        <v>0</v>
      </c>
      <c r="AN881" s="1265">
        <f t="shared" si="445"/>
        <v>0</v>
      </c>
      <c r="AO881" s="1265">
        <f t="shared" si="445"/>
        <v>0</v>
      </c>
      <c r="AP881" s="1265">
        <f t="shared" si="445"/>
        <v>0</v>
      </c>
      <c r="AQ881" s="1265">
        <f t="shared" si="445"/>
        <v>0</v>
      </c>
      <c r="AR881" s="1265">
        <f t="shared" si="445"/>
        <v>0</v>
      </c>
      <c r="AS881" s="1265">
        <f t="shared" si="445"/>
        <v>0</v>
      </c>
      <c r="AT881" s="1265">
        <f t="shared" si="445"/>
        <v>0</v>
      </c>
      <c r="AU881" s="1265">
        <f t="shared" si="445"/>
        <v>0</v>
      </c>
    </row>
    <row r="882" spans="2:47" s="577" customFormat="1" ht="15.75" customHeight="1">
      <c r="B882" s="1285"/>
      <c r="C882" s="862"/>
      <c r="D882" s="870"/>
      <c r="E882" s="870"/>
      <c r="F882" s="870"/>
      <c r="G882" s="870"/>
      <c r="H882" s="870"/>
      <c r="I882" s="870"/>
      <c r="J882" s="870"/>
      <c r="K882" s="870"/>
      <c r="L882" s="1316"/>
      <c r="M882" s="592"/>
      <c r="O882" s="1266"/>
      <c r="P882" s="1266"/>
      <c r="Q882" s="1266"/>
      <c r="R882" s="1266"/>
      <c r="S882" s="1266"/>
      <c r="T882" s="1266"/>
      <c r="U882" s="1266"/>
      <c r="V882" s="1266"/>
      <c r="W882" s="1266"/>
      <c r="X882" s="1266"/>
      <c r="Y882" s="1266"/>
      <c r="Z882" s="1266"/>
      <c r="AA882" s="1266"/>
      <c r="AB882" s="1266"/>
      <c r="AC882" s="1266"/>
      <c r="AD882" s="1266"/>
      <c r="AE882" s="1266"/>
      <c r="AF882" s="1266"/>
      <c r="AG882" s="1266"/>
      <c r="AH882" s="1266"/>
      <c r="AI882" s="1266"/>
      <c r="AJ882" s="1266"/>
      <c r="AK882" s="1266"/>
      <c r="AL882" s="1266"/>
      <c r="AM882" s="1266"/>
      <c r="AN882" s="1266"/>
      <c r="AO882" s="1266"/>
      <c r="AP882" s="1266"/>
      <c r="AQ882" s="1266"/>
      <c r="AR882" s="1266"/>
      <c r="AS882" s="1266"/>
      <c r="AT882" s="1266"/>
      <c r="AU882" s="1266"/>
    </row>
    <row r="883" spans="2:47" ht="15.75" hidden="1" customHeight="1" outlineLevel="1">
      <c r="B883" s="1286" t="s">
        <v>1141</v>
      </c>
      <c r="C883" s="1287"/>
      <c r="D883" s="1288" t="s">
        <v>1142</v>
      </c>
      <c r="E883" s="242"/>
      <c r="F883" s="242"/>
      <c r="G883" s="242"/>
      <c r="H883" s="242"/>
      <c r="I883" s="242"/>
      <c r="J883" s="242"/>
      <c r="K883" s="249"/>
      <c r="L883" s="249"/>
      <c r="M883" s="185"/>
    </row>
    <row r="884" spans="2:47" s="168" customFormat="1" hidden="1" outlineLevel="1">
      <c r="B884" s="1289">
        <v>0</v>
      </c>
      <c r="C884" s="1284" t="s">
        <v>1143</v>
      </c>
      <c r="D884" s="1290">
        <f t="shared" ref="D884:D889" si="446">NPV(B884/100,P$532:AU$532)</f>
        <v>6502602912.5189581</v>
      </c>
      <c r="N884" s="592"/>
      <c r="O884" s="592"/>
      <c r="P884" s="592"/>
      <c r="Q884" s="592"/>
      <c r="R884" s="592"/>
      <c r="S884" s="592"/>
      <c r="T884" s="592"/>
      <c r="U884" s="592"/>
      <c r="V884" s="592"/>
      <c r="W884" s="592"/>
    </row>
    <row r="885" spans="2:47" s="168" customFormat="1" hidden="1" outlineLevel="1">
      <c r="B885" s="1289">
        <v>6</v>
      </c>
      <c r="C885" s="1284" t="s">
        <v>1143</v>
      </c>
      <c r="D885" s="1290">
        <f t="shared" si="446"/>
        <v>1823932872.108335</v>
      </c>
      <c r="N885" s="592"/>
      <c r="O885" s="592"/>
      <c r="P885" s="592"/>
      <c r="Q885" s="592"/>
      <c r="R885" s="592"/>
      <c r="S885" s="592"/>
      <c r="T885" s="592"/>
      <c r="U885" s="592"/>
      <c r="V885" s="592"/>
      <c r="W885" s="592"/>
    </row>
    <row r="886" spans="2:47" s="168" customFormat="1" hidden="1" outlineLevel="1">
      <c r="B886" s="1289">
        <v>8</v>
      </c>
      <c r="C886" s="1284" t="s">
        <v>1143</v>
      </c>
      <c r="D886" s="1290">
        <f t="shared" si="446"/>
        <v>1197794111.7153044</v>
      </c>
      <c r="N886" s="592"/>
      <c r="O886" s="592"/>
      <c r="P886" s="592"/>
      <c r="Q886" s="592"/>
      <c r="R886" s="592"/>
      <c r="S886" s="592"/>
      <c r="T886" s="592"/>
      <c r="U886" s="592"/>
      <c r="V886" s="592"/>
      <c r="W886" s="592"/>
    </row>
    <row r="887" spans="2:47" s="168" customFormat="1" hidden="1" outlineLevel="1">
      <c r="B887" s="1289">
        <v>10</v>
      </c>
      <c r="C887" s="1284" t="s">
        <v>1143</v>
      </c>
      <c r="D887" s="1290">
        <f t="shared" si="446"/>
        <v>773772612.05030954</v>
      </c>
      <c r="N887" s="592"/>
      <c r="O887" s="592"/>
      <c r="P887" s="592"/>
      <c r="Q887" s="592"/>
      <c r="R887" s="592"/>
      <c r="S887" s="592"/>
      <c r="T887" s="592"/>
      <c r="U887" s="592"/>
      <c r="V887" s="592"/>
      <c r="W887" s="592"/>
    </row>
    <row r="888" spans="2:47" s="168" customFormat="1" hidden="1" outlineLevel="1">
      <c r="B888" s="1289">
        <v>12.5</v>
      </c>
      <c r="C888" s="1284" t="s">
        <v>1143</v>
      </c>
      <c r="D888" s="1290">
        <f t="shared" si="446"/>
        <v>423679418.2153542</v>
      </c>
      <c r="N888" s="592"/>
      <c r="O888" s="592"/>
      <c r="P888" s="592"/>
      <c r="Q888" s="592"/>
      <c r="R888" s="592"/>
      <c r="S888" s="592"/>
      <c r="T888" s="592"/>
      <c r="U888" s="592"/>
      <c r="V888" s="592"/>
      <c r="W888" s="592"/>
    </row>
    <row r="889" spans="2:47" s="168" customFormat="1" hidden="1" outlineLevel="1">
      <c r="B889" s="1291">
        <v>15</v>
      </c>
      <c r="C889" s="1292" t="s">
        <v>1143</v>
      </c>
      <c r="D889" s="1290">
        <f t="shared" si="446"/>
        <v>199114025.629742</v>
      </c>
      <c r="N889" s="592"/>
      <c r="O889" s="592"/>
      <c r="P889" s="592"/>
      <c r="Q889" s="592"/>
      <c r="R889" s="592"/>
      <c r="S889" s="592"/>
      <c r="T889" s="592"/>
      <c r="U889" s="592"/>
      <c r="V889" s="592"/>
      <c r="W889" s="592"/>
    </row>
    <row r="890" spans="2:47" s="168" customFormat="1" ht="15" hidden="1" outlineLevel="1">
      <c r="B890" s="1293" t="s">
        <v>1144</v>
      </c>
      <c r="C890" s="1294" t="s">
        <v>1143</v>
      </c>
      <c r="D890" s="1295">
        <f>IRR(P532:AU532,0.1)</f>
        <v>0.1873446820852056</v>
      </c>
      <c r="N890" s="592"/>
      <c r="O890" s="592"/>
      <c r="P890" s="592"/>
      <c r="Q890" s="592"/>
      <c r="R890" s="592"/>
      <c r="S890" s="592"/>
      <c r="T890" s="592"/>
      <c r="U890" s="592"/>
      <c r="V890" s="592"/>
      <c r="W890" s="592"/>
    </row>
    <row r="891" spans="2:47" s="168" customFormat="1" ht="15.75" hidden="1" outlineLevel="1" thickBot="1">
      <c r="B891" s="1296" t="s">
        <v>1145</v>
      </c>
      <c r="C891" s="1297" t="s">
        <v>1146</v>
      </c>
      <c r="D891" s="1298">
        <f>SUM(O881:AU881)</f>
        <v>9.456002177082798</v>
      </c>
      <c r="N891" s="592"/>
      <c r="O891" s="592"/>
      <c r="P891" s="592"/>
      <c r="Q891" s="592"/>
      <c r="R891" s="592"/>
      <c r="S891" s="592"/>
      <c r="T891" s="592"/>
      <c r="U891" s="592"/>
      <c r="V891" s="592"/>
      <c r="W891" s="592"/>
    </row>
    <row r="892" spans="2:47" s="168" customFormat="1" hidden="1" outlineLevel="1">
      <c r="B892" s="1317"/>
      <c r="C892" s="1299"/>
      <c r="D892" s="1318"/>
      <c r="N892" s="592"/>
      <c r="O892" s="592"/>
      <c r="P892" s="592"/>
      <c r="Q892" s="592"/>
      <c r="R892" s="592"/>
      <c r="S892" s="592"/>
      <c r="T892" s="592"/>
      <c r="U892" s="592"/>
      <c r="V892" s="592"/>
      <c r="W892" s="592"/>
    </row>
    <row r="893" spans="2:47" s="168" customFormat="1" collapsed="1">
      <c r="B893" s="1317"/>
      <c r="C893" s="1299"/>
      <c r="D893" s="1318"/>
      <c r="N893" s="592"/>
      <c r="O893" s="592"/>
      <c r="P893" s="592"/>
      <c r="Q893" s="592"/>
      <c r="R893" s="592"/>
      <c r="S893" s="592"/>
      <c r="T893" s="592"/>
      <c r="U893" s="592"/>
      <c r="V893" s="592"/>
      <c r="W893" s="592"/>
    </row>
    <row r="894" spans="2:47" s="168" customFormat="1">
      <c r="C894" s="601"/>
      <c r="N894" s="592"/>
      <c r="O894" s="592"/>
      <c r="P894" s="592"/>
      <c r="Q894" s="592"/>
      <c r="R894" s="592"/>
      <c r="S894" s="592"/>
      <c r="T894" s="592"/>
      <c r="U894" s="592"/>
      <c r="V894" s="592"/>
      <c r="W894" s="592"/>
    </row>
  </sheetData>
  <printOptions horizontalCentered="1"/>
  <pageMargins left="0.35433070866141736" right="0.35433070866141736" top="0.51181102362204722" bottom="1.29" header="0.51181102362204722" footer="0.38"/>
  <pageSetup paperSize="9" scale="49" fitToHeight="14" orientation="landscape" r:id="rId1"/>
  <headerFooter alignWithMargins="0"/>
  <rowBreaks count="2" manualBreakCount="2">
    <brk id="550" min="1" max="17" man="1"/>
    <brk id="612" min="1" max="17" man="1"/>
  </row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C678"/>
  <sheetViews>
    <sheetView showGridLines="0" zoomScale="80" zoomScaleNormal="80" zoomScaleSheetLayoutView="85" workbookViewId="0">
      <selection activeCell="C12" sqref="C12"/>
    </sheetView>
  </sheetViews>
  <sheetFormatPr defaultRowHeight="12.75"/>
  <cols>
    <col min="1" max="1" width="3.28515625" style="75" customWidth="1"/>
    <col min="2" max="2" width="2.85546875" style="75" customWidth="1"/>
    <col min="3" max="3" width="19.140625" style="460" customWidth="1"/>
    <col min="4" max="4" width="12.7109375" style="75" customWidth="1"/>
    <col min="5" max="5" width="19" style="75" customWidth="1"/>
    <col min="6" max="6" width="25.85546875" style="75" customWidth="1"/>
    <col min="7" max="7" width="14.42578125" style="75" customWidth="1"/>
    <col min="8" max="8" width="13.42578125" style="75" bestFit="1" customWidth="1"/>
    <col min="9" max="11" width="15.140625" style="75" bestFit="1" customWidth="1"/>
    <col min="12" max="13" width="14.42578125" style="75" customWidth="1"/>
    <col min="14" max="14" width="15.42578125" style="81" customWidth="1"/>
    <col min="15" max="15" width="15.42578125" style="75" customWidth="1"/>
    <col min="16" max="16" width="14.42578125" style="152" bestFit="1" customWidth="1"/>
    <col min="17" max="30" width="14.42578125" style="75" bestFit="1" customWidth="1"/>
    <col min="31" max="35" width="15.42578125" style="75" bestFit="1" customWidth="1"/>
    <col min="36" max="36" width="13.5703125" style="75" bestFit="1" customWidth="1"/>
    <col min="37" max="57" width="11.7109375" style="75" customWidth="1"/>
    <col min="58" max="16384" width="9.140625" style="75"/>
  </cols>
  <sheetData>
    <row r="1" spans="1:237" ht="15.75" customHeight="1">
      <c r="A1" s="460"/>
      <c r="E1" s="81"/>
      <c r="F1" s="81"/>
      <c r="G1" s="81"/>
      <c r="H1" s="81"/>
      <c r="I1" s="81"/>
      <c r="J1" s="88"/>
      <c r="K1" s="81"/>
      <c r="L1" s="81"/>
      <c r="O1" s="81"/>
      <c r="P1" s="76"/>
    </row>
    <row r="2" spans="1:237" ht="15.75" customHeight="1">
      <c r="C2" s="461"/>
      <c r="D2" s="81"/>
      <c r="E2" s="81"/>
      <c r="F2" s="81"/>
      <c r="G2" s="81"/>
      <c r="H2" s="81"/>
      <c r="I2" s="81"/>
      <c r="J2" s="81"/>
      <c r="K2" s="81"/>
      <c r="L2" s="81"/>
      <c r="O2" s="81"/>
    </row>
    <row r="3" spans="1:237" ht="27" customHeight="1">
      <c r="C3" s="462" t="s">
        <v>169</v>
      </c>
      <c r="N3" s="75"/>
      <c r="P3" s="75"/>
    </row>
    <row r="4" spans="1:237" ht="3" customHeight="1">
      <c r="C4" s="464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</row>
    <row r="5" spans="1:237" ht="15.75" customHeight="1"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90"/>
      <c r="AH5" s="90"/>
      <c r="AI5" s="90"/>
    </row>
    <row r="6" spans="1:237" ht="15.75" customHeight="1">
      <c r="A6"/>
      <c r="C6" s="467" t="s">
        <v>168</v>
      </c>
      <c r="D6" s="468"/>
      <c r="E6" s="468"/>
      <c r="F6" s="468"/>
      <c r="G6" s="468"/>
      <c r="H6" s="468"/>
      <c r="I6" s="468"/>
      <c r="J6" s="91"/>
      <c r="K6" s="91"/>
      <c r="L6" s="91"/>
      <c r="M6" s="91"/>
      <c r="N6" s="135"/>
      <c r="O6" s="81"/>
    </row>
    <row r="7" spans="1:237" ht="15.75" customHeight="1">
      <c r="A7"/>
      <c r="B7" s="91"/>
      <c r="C7" s="939">
        <f>$C$368</f>
        <v>0</v>
      </c>
      <c r="D7" s="106"/>
      <c r="E7" s="106"/>
      <c r="F7" s="106"/>
      <c r="G7" s="768">
        <f>H7-1</f>
        <v>-4</v>
      </c>
      <c r="H7" s="768">
        <f>I7-1</f>
        <v>-3</v>
      </c>
      <c r="I7" s="768">
        <f>J7-1</f>
        <v>-2</v>
      </c>
      <c r="J7" s="768">
        <v>-1</v>
      </c>
      <c r="K7" s="768">
        <f>J7+2</f>
        <v>1</v>
      </c>
      <c r="L7" s="768">
        <f t="shared" ref="L7:AI7" si="0">K7+1</f>
        <v>2</v>
      </c>
      <c r="M7" s="768">
        <f t="shared" si="0"/>
        <v>3</v>
      </c>
      <c r="N7" s="768">
        <f t="shared" si="0"/>
        <v>4</v>
      </c>
      <c r="O7" s="768">
        <f t="shared" si="0"/>
        <v>5</v>
      </c>
      <c r="P7" s="768">
        <f t="shared" si="0"/>
        <v>6</v>
      </c>
      <c r="Q7" s="768">
        <f t="shared" si="0"/>
        <v>7</v>
      </c>
      <c r="R7" s="768">
        <f t="shared" si="0"/>
        <v>8</v>
      </c>
      <c r="S7" s="768">
        <f t="shared" si="0"/>
        <v>9</v>
      </c>
      <c r="T7" s="768">
        <f t="shared" si="0"/>
        <v>10</v>
      </c>
      <c r="U7" s="768">
        <f t="shared" si="0"/>
        <v>11</v>
      </c>
      <c r="V7" s="768">
        <f t="shared" si="0"/>
        <v>12</v>
      </c>
      <c r="W7" s="768">
        <f t="shared" si="0"/>
        <v>13</v>
      </c>
      <c r="X7" s="768">
        <f t="shared" si="0"/>
        <v>14</v>
      </c>
      <c r="Y7" s="768">
        <f t="shared" si="0"/>
        <v>15</v>
      </c>
      <c r="Z7" s="768">
        <f t="shared" si="0"/>
        <v>16</v>
      </c>
      <c r="AA7" s="768">
        <f t="shared" si="0"/>
        <v>17</v>
      </c>
      <c r="AB7" s="768">
        <f t="shared" si="0"/>
        <v>18</v>
      </c>
      <c r="AC7" s="768">
        <f t="shared" si="0"/>
        <v>19</v>
      </c>
      <c r="AD7" s="768">
        <f t="shared" si="0"/>
        <v>20</v>
      </c>
      <c r="AE7" s="768">
        <f t="shared" si="0"/>
        <v>21</v>
      </c>
      <c r="AF7" s="768">
        <f t="shared" si="0"/>
        <v>22</v>
      </c>
      <c r="AG7" s="768">
        <f t="shared" si="0"/>
        <v>23</v>
      </c>
      <c r="AH7" s="768">
        <f t="shared" si="0"/>
        <v>24</v>
      </c>
      <c r="AI7" s="768">
        <f t="shared" si="0"/>
        <v>25</v>
      </c>
      <c r="AJ7" s="768" t="s">
        <v>666</v>
      </c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</row>
    <row r="8" spans="1:237" ht="15.75" customHeight="1">
      <c r="A8" s="18"/>
      <c r="B8" s="91"/>
      <c r="C8" s="548"/>
      <c r="D8" s="469"/>
      <c r="E8" s="469"/>
      <c r="F8" s="469"/>
      <c r="G8" s="880"/>
      <c r="H8" s="880"/>
      <c r="I8" s="880"/>
      <c r="J8" s="880"/>
      <c r="K8" s="880"/>
      <c r="L8" s="880"/>
      <c r="M8" s="880"/>
      <c r="N8" s="880"/>
      <c r="O8" s="880"/>
      <c r="P8" s="880"/>
      <c r="Q8" s="880"/>
      <c r="R8" s="880"/>
      <c r="S8" s="880"/>
      <c r="T8" s="880"/>
      <c r="U8" s="880"/>
      <c r="V8" s="880"/>
      <c r="W8" s="880"/>
      <c r="X8" s="880"/>
      <c r="Y8" s="880"/>
      <c r="Z8" s="880"/>
      <c r="AA8" s="880"/>
      <c r="AB8" s="880"/>
      <c r="AC8" s="880"/>
      <c r="AD8" s="880"/>
      <c r="AE8" s="880"/>
      <c r="AF8" s="880"/>
      <c r="AG8" s="880"/>
      <c r="AH8" s="880"/>
      <c r="AI8" s="880"/>
      <c r="AJ8" s="769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</row>
    <row r="9" spans="1:237" ht="15.75" customHeight="1">
      <c r="B9" s="91"/>
      <c r="C9" s="471"/>
      <c r="D9" s="472"/>
      <c r="E9" s="506"/>
      <c r="F9" s="506"/>
      <c r="G9" s="94" t="s">
        <v>499</v>
      </c>
      <c r="H9" s="94" t="s">
        <v>499</v>
      </c>
      <c r="I9" s="94" t="s">
        <v>499</v>
      </c>
      <c r="J9" s="94" t="s">
        <v>499</v>
      </c>
      <c r="K9" s="94" t="s">
        <v>499</v>
      </c>
      <c r="L9" s="94" t="s">
        <v>499</v>
      </c>
      <c r="M9" s="94" t="s">
        <v>499</v>
      </c>
      <c r="N9" s="94" t="s">
        <v>499</v>
      </c>
      <c r="O9" s="94" t="s">
        <v>499</v>
      </c>
      <c r="P9" s="94" t="s">
        <v>499</v>
      </c>
      <c r="Q9" s="94" t="s">
        <v>499</v>
      </c>
      <c r="R9" s="94" t="s">
        <v>499</v>
      </c>
      <c r="S9" s="94" t="s">
        <v>499</v>
      </c>
      <c r="T9" s="94" t="s">
        <v>499</v>
      </c>
      <c r="U9" s="94" t="s">
        <v>499</v>
      </c>
      <c r="V9" s="94" t="s">
        <v>499</v>
      </c>
      <c r="W9" s="94" t="s">
        <v>499</v>
      </c>
      <c r="X9" s="94" t="s">
        <v>499</v>
      </c>
      <c r="Y9" s="94" t="s">
        <v>499</v>
      </c>
      <c r="Z9" s="94" t="s">
        <v>499</v>
      </c>
      <c r="AA9" s="94" t="s">
        <v>499</v>
      </c>
      <c r="AB9" s="94" t="s">
        <v>499</v>
      </c>
      <c r="AC9" s="94" t="s">
        <v>499</v>
      </c>
      <c r="AD9" s="94" t="s">
        <v>499</v>
      </c>
      <c r="AE9" s="94" t="s">
        <v>499</v>
      </c>
      <c r="AF9" s="94" t="s">
        <v>499</v>
      </c>
      <c r="AG9" s="94" t="s">
        <v>499</v>
      </c>
      <c r="AH9" s="94" t="s">
        <v>499</v>
      </c>
      <c r="AI9" s="94" t="s">
        <v>499</v>
      </c>
      <c r="AJ9" s="94" t="s">
        <v>499</v>
      </c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</row>
    <row r="10" spans="1:237" ht="15.75" customHeight="1">
      <c r="B10" s="91"/>
      <c r="C10" s="135"/>
      <c r="D10" s="91"/>
      <c r="E10" s="91"/>
      <c r="F10" s="91"/>
      <c r="G10" s="91"/>
      <c r="H10" s="91"/>
      <c r="K10" s="91"/>
      <c r="L10" s="91"/>
      <c r="M10" s="91"/>
      <c r="N10" s="91"/>
      <c r="O10" s="81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IC10" s="645"/>
    </row>
    <row r="11" spans="1:237" ht="15.75" customHeight="1">
      <c r="B11" s="91"/>
      <c r="C11" s="74" t="s">
        <v>170</v>
      </c>
      <c r="D11" s="74"/>
      <c r="E11" s="74"/>
      <c r="F11" s="74"/>
      <c r="G11" s="74"/>
      <c r="H11" s="74"/>
      <c r="I11" s="76"/>
      <c r="J11" s="76"/>
      <c r="K11" s="538">
        <f>K15*K17+K20</f>
        <v>786153125.14202809</v>
      </c>
      <c r="L11" s="538">
        <f>L15*L17+L20</f>
        <v>857621762.50774968</v>
      </c>
      <c r="M11" s="538">
        <f>M15*M17+M20</f>
        <v>966390963.28246403</v>
      </c>
      <c r="N11" s="538">
        <f>N15*N17+N20</f>
        <v>903718637.73680496</v>
      </c>
      <c r="O11" s="538">
        <f t="shared" ref="O11:AI11" si="1">O15*O17+O20</f>
        <v>911701010.60639536</v>
      </c>
      <c r="P11" s="538">
        <f t="shared" si="1"/>
        <v>1023910365.7579521</v>
      </c>
      <c r="Q11" s="538">
        <f t="shared" si="1"/>
        <v>911701010.60639536</v>
      </c>
      <c r="R11" s="538">
        <f t="shared" si="1"/>
        <v>911701010.60639501</v>
      </c>
      <c r="S11" s="538">
        <f t="shared" si="1"/>
        <v>1018529966.4668612</v>
      </c>
      <c r="T11" s="538">
        <f t="shared" si="1"/>
        <v>847225135.42562926</v>
      </c>
      <c r="U11" s="538">
        <f t="shared" si="1"/>
        <v>865697596.28067315</v>
      </c>
      <c r="V11" s="538">
        <f t="shared" si="1"/>
        <v>972244992.74598539</v>
      </c>
      <c r="W11" s="538">
        <f t="shared" si="1"/>
        <v>865697596.28067255</v>
      </c>
      <c r="X11" s="538">
        <f t="shared" si="1"/>
        <v>865697596.28067255</v>
      </c>
      <c r="Y11" s="538">
        <f t="shared" si="1"/>
        <v>972244992.7459873</v>
      </c>
      <c r="Z11" s="538">
        <f t="shared" si="1"/>
        <v>865697596.28067183</v>
      </c>
      <c r="AA11" s="538">
        <f t="shared" si="1"/>
        <v>865697596.28067183</v>
      </c>
      <c r="AB11" s="538">
        <f t="shared" si="1"/>
        <v>972244992.74598515</v>
      </c>
      <c r="AC11" s="538">
        <f t="shared" si="1"/>
        <v>865697596.28067243</v>
      </c>
      <c r="AD11" s="538">
        <f t="shared" si="1"/>
        <v>827392789.40123177</v>
      </c>
      <c r="AE11" s="538">
        <f t="shared" si="1"/>
        <v>892922478.9516623</v>
      </c>
      <c r="AF11" s="538">
        <f t="shared" si="1"/>
        <v>808353726.52019799</v>
      </c>
      <c r="AG11" s="538">
        <f t="shared" si="1"/>
        <v>808353726.52019846</v>
      </c>
      <c r="AH11" s="538">
        <f t="shared" si="1"/>
        <v>907843415.93806934</v>
      </c>
      <c r="AI11" s="538">
        <f t="shared" si="1"/>
        <v>808353726.5201968</v>
      </c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</row>
    <row r="12" spans="1:237" ht="15.75" customHeight="1">
      <c r="B12" s="91"/>
      <c r="C12" s="678" t="s">
        <v>752</v>
      </c>
      <c r="D12" s="74"/>
      <c r="E12" s="74"/>
      <c r="F12" s="74"/>
      <c r="G12" s="74"/>
      <c r="H12" s="74"/>
      <c r="I12" s="76"/>
      <c r="J12" s="76"/>
      <c r="K12" s="770">
        <v>0.91</v>
      </c>
      <c r="L12" s="770">
        <f>K12</f>
        <v>0.91</v>
      </c>
      <c r="M12" s="770">
        <f t="shared" ref="M12:AI12" si="2">L12</f>
        <v>0.91</v>
      </c>
      <c r="N12" s="770">
        <f t="shared" si="2"/>
        <v>0.91</v>
      </c>
      <c r="O12" s="770">
        <f t="shared" si="2"/>
        <v>0.91</v>
      </c>
      <c r="P12" s="770">
        <f t="shared" si="2"/>
        <v>0.91</v>
      </c>
      <c r="Q12" s="770">
        <f t="shared" si="2"/>
        <v>0.91</v>
      </c>
      <c r="R12" s="770">
        <f t="shared" si="2"/>
        <v>0.91</v>
      </c>
      <c r="S12" s="770">
        <f t="shared" si="2"/>
        <v>0.91</v>
      </c>
      <c r="T12" s="770">
        <f t="shared" si="2"/>
        <v>0.91</v>
      </c>
      <c r="U12" s="770">
        <f t="shared" si="2"/>
        <v>0.91</v>
      </c>
      <c r="V12" s="770">
        <f t="shared" si="2"/>
        <v>0.91</v>
      </c>
      <c r="W12" s="770">
        <f t="shared" si="2"/>
        <v>0.91</v>
      </c>
      <c r="X12" s="770">
        <f t="shared" si="2"/>
        <v>0.91</v>
      </c>
      <c r="Y12" s="770">
        <f t="shared" si="2"/>
        <v>0.91</v>
      </c>
      <c r="Z12" s="770">
        <f t="shared" si="2"/>
        <v>0.91</v>
      </c>
      <c r="AA12" s="770">
        <f t="shared" si="2"/>
        <v>0.91</v>
      </c>
      <c r="AB12" s="770">
        <f t="shared" si="2"/>
        <v>0.91</v>
      </c>
      <c r="AC12" s="770">
        <f t="shared" si="2"/>
        <v>0.91</v>
      </c>
      <c r="AD12" s="770">
        <f t="shared" si="2"/>
        <v>0.91</v>
      </c>
      <c r="AE12" s="770">
        <f t="shared" si="2"/>
        <v>0.91</v>
      </c>
      <c r="AF12" s="770">
        <f t="shared" si="2"/>
        <v>0.91</v>
      </c>
      <c r="AG12" s="770">
        <f t="shared" si="2"/>
        <v>0.91</v>
      </c>
      <c r="AH12" s="770">
        <f t="shared" si="2"/>
        <v>0.91</v>
      </c>
      <c r="AI12" s="770">
        <f t="shared" si="2"/>
        <v>0.91</v>
      </c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</row>
    <row r="13" spans="1:237" ht="15.75" customHeight="1">
      <c r="B13" s="91"/>
      <c r="C13" s="678" t="s">
        <v>173</v>
      </c>
      <c r="D13" s="74"/>
      <c r="E13" s="74"/>
      <c r="F13" s="74"/>
      <c r="G13" s="74"/>
      <c r="H13" s="74"/>
      <c r="I13" s="76"/>
      <c r="J13" s="76"/>
      <c r="K13" s="538">
        <f>K114*K118*K12</f>
        <v>33605.730034914857</v>
      </c>
      <c r="L13" s="538">
        <f t="shared" ref="L13:AI13" si="3">L114*L118*L12</f>
        <v>33605.736752902601</v>
      </c>
      <c r="M13" s="538">
        <f t="shared" si="3"/>
        <v>37867.836069704434</v>
      </c>
      <c r="N13" s="538">
        <f t="shared" si="3"/>
        <v>35412.033563222911</v>
      </c>
      <c r="O13" s="538">
        <f t="shared" si="3"/>
        <v>35724.821243114071</v>
      </c>
      <c r="P13" s="538">
        <f t="shared" si="3"/>
        <v>40121.722319189663</v>
      </c>
      <c r="Q13" s="538">
        <f t="shared" si="3"/>
        <v>35724.821243114071</v>
      </c>
      <c r="R13" s="538">
        <f t="shared" si="3"/>
        <v>35724.821243114056</v>
      </c>
      <c r="S13" s="538">
        <f t="shared" si="3"/>
        <v>39910.892452100939</v>
      </c>
      <c r="T13" s="538">
        <f t="shared" si="3"/>
        <v>33198.347005914133</v>
      </c>
      <c r="U13" s="538">
        <f t="shared" si="3"/>
        <v>33922.186679545659</v>
      </c>
      <c r="V13" s="538">
        <f t="shared" si="3"/>
        <v>38097.22504010507</v>
      </c>
      <c r="W13" s="538">
        <f t="shared" si="3"/>
        <v>33922.186679545637</v>
      </c>
      <c r="X13" s="538">
        <f t="shared" si="3"/>
        <v>33922.186679545637</v>
      </c>
      <c r="Y13" s="538">
        <f t="shared" si="3"/>
        <v>38097.225040105142</v>
      </c>
      <c r="Z13" s="538">
        <f t="shared" si="3"/>
        <v>33922.186679545608</v>
      </c>
      <c r="AA13" s="538">
        <f t="shared" si="3"/>
        <v>33922.186679545608</v>
      </c>
      <c r="AB13" s="538">
        <f t="shared" si="3"/>
        <v>38097.225040105062</v>
      </c>
      <c r="AC13" s="538">
        <f t="shared" si="3"/>
        <v>33922.18667954563</v>
      </c>
      <c r="AD13" s="538">
        <f t="shared" si="3"/>
        <v>32421.220504670116</v>
      </c>
      <c r="AE13" s="538">
        <f t="shared" si="3"/>
        <v>34988.988246584551</v>
      </c>
      <c r="AF13" s="538">
        <f t="shared" si="3"/>
        <v>31675.178644292067</v>
      </c>
      <c r="AG13" s="538">
        <f t="shared" si="3"/>
        <v>31675.178644292086</v>
      </c>
      <c r="AH13" s="538">
        <f t="shared" si="3"/>
        <v>35573.662169743431</v>
      </c>
      <c r="AI13" s="538">
        <f t="shared" si="3"/>
        <v>31675.17864429202</v>
      </c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</row>
    <row r="14" spans="1:237" ht="15.75" customHeight="1">
      <c r="B14" s="91"/>
      <c r="C14" s="678" t="s">
        <v>175</v>
      </c>
      <c r="D14" s="74"/>
      <c r="E14" s="74"/>
      <c r="F14" s="74"/>
      <c r="G14" s="74"/>
      <c r="H14" s="74"/>
      <c r="I14" s="76"/>
      <c r="J14" s="76"/>
      <c r="K14" s="771">
        <v>0.25</v>
      </c>
      <c r="L14" s="771">
        <f>K14</f>
        <v>0.25</v>
      </c>
      <c r="M14" s="771">
        <f t="shared" ref="M14:AI14" si="4">L14</f>
        <v>0.25</v>
      </c>
      <c r="N14" s="771">
        <f t="shared" si="4"/>
        <v>0.25</v>
      </c>
      <c r="O14" s="771">
        <f t="shared" si="4"/>
        <v>0.25</v>
      </c>
      <c r="P14" s="771">
        <f t="shared" si="4"/>
        <v>0.25</v>
      </c>
      <c r="Q14" s="771">
        <f t="shared" si="4"/>
        <v>0.25</v>
      </c>
      <c r="R14" s="771">
        <f t="shared" si="4"/>
        <v>0.25</v>
      </c>
      <c r="S14" s="771">
        <f t="shared" si="4"/>
        <v>0.25</v>
      </c>
      <c r="T14" s="771">
        <f t="shared" si="4"/>
        <v>0.25</v>
      </c>
      <c r="U14" s="771">
        <f t="shared" si="4"/>
        <v>0.25</v>
      </c>
      <c r="V14" s="771">
        <f t="shared" si="4"/>
        <v>0.25</v>
      </c>
      <c r="W14" s="771">
        <f t="shared" si="4"/>
        <v>0.25</v>
      </c>
      <c r="X14" s="771">
        <f t="shared" si="4"/>
        <v>0.25</v>
      </c>
      <c r="Y14" s="771">
        <f t="shared" si="4"/>
        <v>0.25</v>
      </c>
      <c r="Z14" s="771">
        <f t="shared" si="4"/>
        <v>0.25</v>
      </c>
      <c r="AA14" s="771">
        <f t="shared" si="4"/>
        <v>0.25</v>
      </c>
      <c r="AB14" s="771">
        <f t="shared" si="4"/>
        <v>0.25</v>
      </c>
      <c r="AC14" s="771">
        <f t="shared" si="4"/>
        <v>0.25</v>
      </c>
      <c r="AD14" s="771">
        <f t="shared" si="4"/>
        <v>0.25</v>
      </c>
      <c r="AE14" s="771">
        <f t="shared" si="4"/>
        <v>0.25</v>
      </c>
      <c r="AF14" s="771">
        <f t="shared" si="4"/>
        <v>0.25</v>
      </c>
      <c r="AG14" s="771">
        <f t="shared" si="4"/>
        <v>0.25</v>
      </c>
      <c r="AH14" s="771">
        <f t="shared" si="4"/>
        <v>0.25</v>
      </c>
      <c r="AI14" s="771">
        <f t="shared" si="4"/>
        <v>0.25</v>
      </c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</row>
    <row r="15" spans="1:237" ht="15.75" customHeight="1">
      <c r="B15" s="91"/>
      <c r="C15" s="678" t="s">
        <v>176</v>
      </c>
      <c r="D15" s="74"/>
      <c r="E15" s="74"/>
      <c r="F15" s="74"/>
      <c r="G15" s="74"/>
      <c r="H15" s="74"/>
      <c r="I15" s="76"/>
      <c r="J15" s="76"/>
      <c r="K15" s="538">
        <f>K13/12*11</f>
        <v>30805.252532005285</v>
      </c>
      <c r="L15" s="538">
        <f>L13</f>
        <v>33605.736752902601</v>
      </c>
      <c r="M15" s="538">
        <f>M13</f>
        <v>37867.836069704434</v>
      </c>
      <c r="N15" s="538">
        <f>N13</f>
        <v>35412.033563222911</v>
      </c>
      <c r="O15" s="538">
        <f>O13</f>
        <v>35724.821243114071</v>
      </c>
      <c r="P15" s="538">
        <f>P13</f>
        <v>40121.722319189663</v>
      </c>
      <c r="Q15" s="538">
        <f t="shared" ref="Q15:AI15" si="5">Q13</f>
        <v>35724.821243114071</v>
      </c>
      <c r="R15" s="538">
        <f t="shared" si="5"/>
        <v>35724.821243114056</v>
      </c>
      <c r="S15" s="538">
        <f t="shared" si="5"/>
        <v>39910.892452100939</v>
      </c>
      <c r="T15" s="538">
        <f t="shared" si="5"/>
        <v>33198.347005914133</v>
      </c>
      <c r="U15" s="538">
        <f t="shared" si="5"/>
        <v>33922.186679545659</v>
      </c>
      <c r="V15" s="538">
        <f t="shared" si="5"/>
        <v>38097.22504010507</v>
      </c>
      <c r="W15" s="538">
        <f t="shared" si="5"/>
        <v>33922.186679545637</v>
      </c>
      <c r="X15" s="538">
        <f t="shared" si="5"/>
        <v>33922.186679545637</v>
      </c>
      <c r="Y15" s="538">
        <f t="shared" si="5"/>
        <v>38097.225040105142</v>
      </c>
      <c r="Z15" s="538">
        <f t="shared" si="5"/>
        <v>33922.186679545608</v>
      </c>
      <c r="AA15" s="538">
        <f t="shared" si="5"/>
        <v>33922.186679545608</v>
      </c>
      <c r="AB15" s="538">
        <f t="shared" si="5"/>
        <v>38097.225040105062</v>
      </c>
      <c r="AC15" s="538">
        <f t="shared" si="5"/>
        <v>33922.18667954563</v>
      </c>
      <c r="AD15" s="538">
        <f t="shared" si="5"/>
        <v>32421.220504670116</v>
      </c>
      <c r="AE15" s="538">
        <f t="shared" si="5"/>
        <v>34988.988246584551</v>
      </c>
      <c r="AF15" s="538">
        <f t="shared" si="5"/>
        <v>31675.178644292067</v>
      </c>
      <c r="AG15" s="538">
        <f t="shared" si="5"/>
        <v>31675.178644292086</v>
      </c>
      <c r="AH15" s="538">
        <f t="shared" si="5"/>
        <v>35573.662169743431</v>
      </c>
      <c r="AI15" s="538">
        <f t="shared" si="5"/>
        <v>31675.17864429202</v>
      </c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</row>
    <row r="16" spans="1:237" ht="15.75" customHeight="1">
      <c r="B16" s="91"/>
      <c r="C16" s="678" t="s">
        <v>177</v>
      </c>
      <c r="D16" s="74"/>
      <c r="E16" s="74"/>
      <c r="F16" s="74"/>
      <c r="G16" s="74"/>
      <c r="H16" s="74"/>
      <c r="I16" s="76"/>
      <c r="J16" s="76"/>
      <c r="K16" s="538">
        <f>K15/K14</f>
        <v>123221.01012802114</v>
      </c>
      <c r="L16" s="538">
        <f t="shared" ref="L16:AI16" si="6">L15/L14</f>
        <v>134422.94701161041</v>
      </c>
      <c r="M16" s="538">
        <f t="shared" si="6"/>
        <v>151471.34427881773</v>
      </c>
      <c r="N16" s="538">
        <f t="shared" si="6"/>
        <v>141648.13425289164</v>
      </c>
      <c r="O16" s="538">
        <f t="shared" si="6"/>
        <v>142899.28497245628</v>
      </c>
      <c r="P16" s="538">
        <f t="shared" si="6"/>
        <v>160486.88927675865</v>
      </c>
      <c r="Q16" s="538">
        <f t="shared" si="6"/>
        <v>142899.28497245628</v>
      </c>
      <c r="R16" s="538">
        <f t="shared" si="6"/>
        <v>142899.28497245623</v>
      </c>
      <c r="S16" s="538">
        <f t="shared" si="6"/>
        <v>159643.56980840376</v>
      </c>
      <c r="T16" s="538">
        <f t="shared" si="6"/>
        <v>132793.38802365653</v>
      </c>
      <c r="U16" s="538">
        <f t="shared" si="6"/>
        <v>135688.74671818264</v>
      </c>
      <c r="V16" s="538">
        <f t="shared" si="6"/>
        <v>152388.90016042028</v>
      </c>
      <c r="W16" s="538">
        <f t="shared" si="6"/>
        <v>135688.74671818255</v>
      </c>
      <c r="X16" s="538">
        <f t="shared" si="6"/>
        <v>135688.74671818255</v>
      </c>
      <c r="Y16" s="538">
        <f t="shared" si="6"/>
        <v>152388.90016042057</v>
      </c>
      <c r="Z16" s="538">
        <f t="shared" si="6"/>
        <v>135688.74671818243</v>
      </c>
      <c r="AA16" s="538">
        <f t="shared" si="6"/>
        <v>135688.74671818243</v>
      </c>
      <c r="AB16" s="538">
        <f t="shared" si="6"/>
        <v>152388.90016042025</v>
      </c>
      <c r="AC16" s="538">
        <f t="shared" si="6"/>
        <v>135688.74671818252</v>
      </c>
      <c r="AD16" s="538">
        <f t="shared" si="6"/>
        <v>129684.88201868047</v>
      </c>
      <c r="AE16" s="538">
        <f t="shared" si="6"/>
        <v>139955.9529863382</v>
      </c>
      <c r="AF16" s="538">
        <f t="shared" si="6"/>
        <v>126700.71457716827</v>
      </c>
      <c r="AG16" s="538">
        <f t="shared" si="6"/>
        <v>126700.71457716834</v>
      </c>
      <c r="AH16" s="538">
        <f t="shared" si="6"/>
        <v>142294.64867897372</v>
      </c>
      <c r="AI16" s="538">
        <f t="shared" si="6"/>
        <v>126700.71457716808</v>
      </c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</row>
    <row r="17" spans="2:57" ht="15.75" customHeight="1">
      <c r="B17" s="91"/>
      <c r="C17" s="678" t="s">
        <v>178</v>
      </c>
      <c r="D17" s="74"/>
      <c r="E17" s="74"/>
      <c r="F17" s="74"/>
      <c r="G17" s="74"/>
      <c r="H17" s="74"/>
      <c r="I17" s="76"/>
      <c r="J17" s="76"/>
      <c r="K17" s="538">
        <f>Commodities_prices!U124</f>
        <v>25000</v>
      </c>
      <c r="L17" s="538">
        <f>K17</f>
        <v>25000</v>
      </c>
      <c r="M17" s="538">
        <f t="shared" ref="M17:AI18" si="7">L17</f>
        <v>25000</v>
      </c>
      <c r="N17" s="538">
        <f t="shared" si="7"/>
        <v>25000</v>
      </c>
      <c r="O17" s="538">
        <f t="shared" si="7"/>
        <v>25000</v>
      </c>
      <c r="P17" s="538">
        <f t="shared" si="7"/>
        <v>25000</v>
      </c>
      <c r="Q17" s="538">
        <f t="shared" si="7"/>
        <v>25000</v>
      </c>
      <c r="R17" s="538">
        <f t="shared" si="7"/>
        <v>25000</v>
      </c>
      <c r="S17" s="538">
        <f t="shared" si="7"/>
        <v>25000</v>
      </c>
      <c r="T17" s="538">
        <f t="shared" si="7"/>
        <v>25000</v>
      </c>
      <c r="U17" s="538">
        <f t="shared" si="7"/>
        <v>25000</v>
      </c>
      <c r="V17" s="538">
        <f t="shared" si="7"/>
        <v>25000</v>
      </c>
      <c r="W17" s="538">
        <f t="shared" si="7"/>
        <v>25000</v>
      </c>
      <c r="X17" s="538">
        <f t="shared" si="7"/>
        <v>25000</v>
      </c>
      <c r="Y17" s="538">
        <f t="shared" si="7"/>
        <v>25000</v>
      </c>
      <c r="Z17" s="538">
        <f t="shared" si="7"/>
        <v>25000</v>
      </c>
      <c r="AA17" s="538">
        <f t="shared" si="7"/>
        <v>25000</v>
      </c>
      <c r="AB17" s="538">
        <f t="shared" si="7"/>
        <v>25000</v>
      </c>
      <c r="AC17" s="538">
        <f t="shared" si="7"/>
        <v>25000</v>
      </c>
      <c r="AD17" s="538">
        <f t="shared" si="7"/>
        <v>25000</v>
      </c>
      <c r="AE17" s="538">
        <f t="shared" si="7"/>
        <v>25000</v>
      </c>
      <c r="AF17" s="538">
        <f t="shared" si="7"/>
        <v>25000</v>
      </c>
      <c r="AG17" s="538">
        <f t="shared" si="7"/>
        <v>25000</v>
      </c>
      <c r="AH17" s="538">
        <f t="shared" si="7"/>
        <v>25000</v>
      </c>
      <c r="AI17" s="538">
        <f t="shared" si="7"/>
        <v>25000</v>
      </c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</row>
    <row r="18" spans="2:57" ht="15.75" customHeight="1">
      <c r="B18" s="91"/>
      <c r="C18" s="678" t="s">
        <v>753</v>
      </c>
      <c r="D18" s="74"/>
      <c r="E18" s="74"/>
      <c r="F18" s="74"/>
      <c r="G18" s="74"/>
      <c r="H18" s="74"/>
      <c r="I18" s="76"/>
      <c r="J18" s="76"/>
      <c r="K18" s="538">
        <v>250</v>
      </c>
      <c r="L18" s="538">
        <f>K18</f>
        <v>250</v>
      </c>
      <c r="M18" s="538">
        <f t="shared" si="7"/>
        <v>250</v>
      </c>
      <c r="N18" s="538">
        <f t="shared" si="7"/>
        <v>250</v>
      </c>
      <c r="O18" s="538">
        <f t="shared" si="7"/>
        <v>250</v>
      </c>
      <c r="P18" s="538">
        <f t="shared" si="7"/>
        <v>250</v>
      </c>
      <c r="Q18" s="538">
        <f t="shared" si="7"/>
        <v>250</v>
      </c>
      <c r="R18" s="538">
        <f t="shared" si="7"/>
        <v>250</v>
      </c>
      <c r="S18" s="538">
        <f t="shared" si="7"/>
        <v>250</v>
      </c>
      <c r="T18" s="538">
        <f t="shared" si="7"/>
        <v>250</v>
      </c>
      <c r="U18" s="538">
        <f t="shared" si="7"/>
        <v>250</v>
      </c>
      <c r="V18" s="538">
        <f t="shared" si="7"/>
        <v>250</v>
      </c>
      <c r="W18" s="538">
        <f t="shared" si="7"/>
        <v>250</v>
      </c>
      <c r="X18" s="538">
        <f t="shared" si="7"/>
        <v>250</v>
      </c>
      <c r="Y18" s="538">
        <f t="shared" si="7"/>
        <v>250</v>
      </c>
      <c r="Z18" s="538">
        <f t="shared" si="7"/>
        <v>250</v>
      </c>
      <c r="AA18" s="538">
        <f t="shared" si="7"/>
        <v>250</v>
      </c>
      <c r="AB18" s="538">
        <f t="shared" si="7"/>
        <v>250</v>
      </c>
      <c r="AC18" s="538">
        <f t="shared" si="7"/>
        <v>250</v>
      </c>
      <c r="AD18" s="538">
        <f t="shared" si="7"/>
        <v>250</v>
      </c>
      <c r="AE18" s="538">
        <f t="shared" si="7"/>
        <v>250</v>
      </c>
      <c r="AF18" s="538">
        <f t="shared" si="7"/>
        <v>250</v>
      </c>
      <c r="AG18" s="538">
        <f t="shared" si="7"/>
        <v>250</v>
      </c>
      <c r="AH18" s="538">
        <f t="shared" si="7"/>
        <v>250</v>
      </c>
      <c r="AI18" s="538">
        <f t="shared" si="7"/>
        <v>250</v>
      </c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</row>
    <row r="19" spans="2:57" ht="15.75" customHeight="1">
      <c r="B19" s="91"/>
      <c r="C19" s="678" t="s">
        <v>179</v>
      </c>
      <c r="D19" s="74"/>
      <c r="E19" s="74"/>
      <c r="F19" s="74"/>
      <c r="G19" s="74"/>
      <c r="H19" s="74"/>
      <c r="I19" s="76"/>
      <c r="J19" s="76"/>
      <c r="K19" s="538">
        <f>(1-K14-0.7%)*K16</f>
        <v>91553.210525119706</v>
      </c>
      <c r="L19" s="538">
        <f>(1-L14-0.7%)*L16</f>
        <v>99876.249629626531</v>
      </c>
      <c r="M19" s="538">
        <f>(1-M14-0.7%)*M16</f>
        <v>112543.20879916157</v>
      </c>
      <c r="N19" s="538">
        <f>(1-N14-0.7%)*N16</f>
        <v>105244.56374989849</v>
      </c>
      <c r="O19" s="538">
        <f t="shared" ref="O19:AI19" si="8">(1-O14-0.7%)*O16</f>
        <v>106174.16873453502</v>
      </c>
      <c r="P19" s="538">
        <f t="shared" si="8"/>
        <v>119241.75873263167</v>
      </c>
      <c r="Q19" s="538">
        <f t="shared" si="8"/>
        <v>106174.16873453502</v>
      </c>
      <c r="R19" s="538">
        <f t="shared" si="8"/>
        <v>106174.16873453498</v>
      </c>
      <c r="S19" s="538">
        <f t="shared" si="8"/>
        <v>118615.17236764399</v>
      </c>
      <c r="T19" s="538">
        <f t="shared" si="8"/>
        <v>98665.487301576795</v>
      </c>
      <c r="U19" s="538">
        <f t="shared" si="8"/>
        <v>100816.7388116097</v>
      </c>
      <c r="V19" s="538">
        <f t="shared" si="8"/>
        <v>113224.95281919227</v>
      </c>
      <c r="W19" s="538">
        <f t="shared" si="8"/>
        <v>100816.73881160963</v>
      </c>
      <c r="X19" s="538">
        <f t="shared" si="8"/>
        <v>100816.73881160963</v>
      </c>
      <c r="Y19" s="538">
        <f t="shared" si="8"/>
        <v>113224.95281919248</v>
      </c>
      <c r="Z19" s="538">
        <f t="shared" si="8"/>
        <v>100816.73881160955</v>
      </c>
      <c r="AA19" s="538">
        <f t="shared" si="8"/>
        <v>100816.73881160955</v>
      </c>
      <c r="AB19" s="538">
        <f t="shared" si="8"/>
        <v>113224.95281919224</v>
      </c>
      <c r="AC19" s="538">
        <f t="shared" si="8"/>
        <v>100816.73881160961</v>
      </c>
      <c r="AD19" s="538">
        <f t="shared" si="8"/>
        <v>96355.86733987958</v>
      </c>
      <c r="AE19" s="538">
        <f t="shared" si="8"/>
        <v>103987.27306884929</v>
      </c>
      <c r="AF19" s="538">
        <f t="shared" si="8"/>
        <v>94138.630930836021</v>
      </c>
      <c r="AG19" s="538">
        <f t="shared" si="8"/>
        <v>94138.63093083608</v>
      </c>
      <c r="AH19" s="538">
        <f t="shared" si="8"/>
        <v>105724.92396847748</v>
      </c>
      <c r="AI19" s="538">
        <f t="shared" si="8"/>
        <v>94138.630930835876</v>
      </c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</row>
    <row r="20" spans="2:57" ht="15.75" customHeight="1">
      <c r="B20" s="91"/>
      <c r="C20" s="678" t="s">
        <v>180</v>
      </c>
      <c r="D20" s="74"/>
      <c r="E20" s="74"/>
      <c r="F20" s="74"/>
      <c r="G20" s="74"/>
      <c r="H20" s="74"/>
      <c r="I20" s="76"/>
      <c r="J20" s="76"/>
      <c r="K20" s="538">
        <f t="shared" ref="K20:AI20" si="9">K19*K18*70%</f>
        <v>16021811.841895947</v>
      </c>
      <c r="L20" s="538">
        <f t="shared" si="9"/>
        <v>17478343.685184643</v>
      </c>
      <c r="M20" s="538">
        <f t="shared" si="9"/>
        <v>19695061.539853275</v>
      </c>
      <c r="N20" s="538">
        <f t="shared" si="9"/>
        <v>18417798.656232234</v>
      </c>
      <c r="O20" s="538">
        <f t="shared" si="9"/>
        <v>18580479.528543629</v>
      </c>
      <c r="P20" s="538">
        <f t="shared" si="9"/>
        <v>20867307.778210539</v>
      </c>
      <c r="Q20" s="538">
        <f t="shared" si="9"/>
        <v>18580479.528543629</v>
      </c>
      <c r="R20" s="538">
        <f t="shared" si="9"/>
        <v>18580479.528543621</v>
      </c>
      <c r="S20" s="538">
        <f t="shared" si="9"/>
        <v>20757655.164337695</v>
      </c>
      <c r="T20" s="538">
        <f t="shared" si="9"/>
        <v>17266460.27777594</v>
      </c>
      <c r="U20" s="538">
        <f t="shared" si="9"/>
        <v>17642929.292031698</v>
      </c>
      <c r="V20" s="538">
        <f t="shared" si="9"/>
        <v>19814366.743358646</v>
      </c>
      <c r="W20" s="538">
        <f t="shared" si="9"/>
        <v>17642929.292031683</v>
      </c>
      <c r="X20" s="538">
        <f t="shared" si="9"/>
        <v>17642929.292031683</v>
      </c>
      <c r="Y20" s="538">
        <f t="shared" si="9"/>
        <v>19814366.743358679</v>
      </c>
      <c r="Z20" s="538">
        <f t="shared" si="9"/>
        <v>17642929.292031672</v>
      </c>
      <c r="AA20" s="538">
        <f t="shared" si="9"/>
        <v>17642929.292031672</v>
      </c>
      <c r="AB20" s="538">
        <f t="shared" si="9"/>
        <v>19814366.743358642</v>
      </c>
      <c r="AC20" s="538">
        <f t="shared" si="9"/>
        <v>17642929.292031679</v>
      </c>
      <c r="AD20" s="538">
        <f t="shared" si="9"/>
        <v>16862276.784478925</v>
      </c>
      <c r="AE20" s="538">
        <f t="shared" si="9"/>
        <v>18197772.787048627</v>
      </c>
      <c r="AF20" s="538">
        <f t="shared" si="9"/>
        <v>16474260.412896303</v>
      </c>
      <c r="AG20" s="538">
        <f t="shared" si="9"/>
        <v>16474260.412896313</v>
      </c>
      <c r="AH20" s="538">
        <f t="shared" si="9"/>
        <v>18501861.69448356</v>
      </c>
      <c r="AI20" s="538">
        <f t="shared" si="9"/>
        <v>16474260.412896277</v>
      </c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</row>
    <row r="21" spans="2:57" ht="15.75" customHeight="1">
      <c r="B21" s="91"/>
      <c r="C21" s="74"/>
      <c r="D21" s="74"/>
      <c r="E21" s="74"/>
      <c r="F21" s="74"/>
      <c r="G21" s="74"/>
      <c r="H21" s="74"/>
      <c r="I21" s="76"/>
      <c r="J21" s="76"/>
      <c r="K21" s="74"/>
      <c r="L21" s="74"/>
      <c r="M21" s="74"/>
      <c r="N21" s="74"/>
      <c r="O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</row>
    <row r="22" spans="2:57" ht="15.75" customHeight="1">
      <c r="B22" s="91"/>
      <c r="C22" s="544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100"/>
      <c r="O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</row>
    <row r="23" spans="2:57" ht="15.75" customHeight="1">
      <c r="B23" s="91"/>
      <c r="C23" s="544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100"/>
      <c r="O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</row>
    <row r="24" spans="2:57" ht="15.75" customHeight="1">
      <c r="B24" s="91"/>
      <c r="C24" s="544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100"/>
      <c r="O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</row>
    <row r="25" spans="2:57" ht="27">
      <c r="B25" s="91"/>
      <c r="C25" s="462" t="s">
        <v>754</v>
      </c>
      <c r="N25" s="75"/>
      <c r="O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</row>
    <row r="26" spans="2:57" ht="15.75" customHeight="1">
      <c r="B26" s="91"/>
      <c r="C26" s="464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</row>
    <row r="27" spans="2:57" ht="15.75" customHeight="1">
      <c r="B27" s="91"/>
      <c r="C27" s="467" t="s">
        <v>501</v>
      </c>
      <c r="D27" s="468"/>
      <c r="E27" s="468"/>
      <c r="F27" s="468"/>
      <c r="G27" s="468"/>
      <c r="H27" s="468"/>
      <c r="I27" s="468"/>
      <c r="J27" s="91"/>
      <c r="K27" s="91"/>
      <c r="L27" s="91"/>
      <c r="M27" s="91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</row>
    <row r="28" spans="2:57" ht="15.75" customHeight="1">
      <c r="B28" s="91"/>
      <c r="C28" s="546"/>
      <c r="D28" s="106"/>
      <c r="E28" s="106"/>
      <c r="F28" s="106"/>
      <c r="G28" s="768">
        <f>H28-1</f>
        <v>-4</v>
      </c>
      <c r="H28" s="768">
        <f>I28-1</f>
        <v>-3</v>
      </c>
      <c r="I28" s="768">
        <f>J28-1</f>
        <v>-2</v>
      </c>
      <c r="J28" s="768">
        <v>-1</v>
      </c>
      <c r="K28" s="768">
        <f>J28+2</f>
        <v>1</v>
      </c>
      <c r="L28" s="768">
        <f t="shared" ref="L28:AI28" si="10">K28+1</f>
        <v>2</v>
      </c>
      <c r="M28" s="768">
        <f t="shared" si="10"/>
        <v>3</v>
      </c>
      <c r="N28" s="768">
        <f t="shared" si="10"/>
        <v>4</v>
      </c>
      <c r="O28" s="768">
        <f t="shared" si="10"/>
        <v>5</v>
      </c>
      <c r="P28" s="768">
        <f t="shared" si="10"/>
        <v>6</v>
      </c>
      <c r="Q28" s="768">
        <f t="shared" si="10"/>
        <v>7</v>
      </c>
      <c r="R28" s="768">
        <f t="shared" si="10"/>
        <v>8</v>
      </c>
      <c r="S28" s="768">
        <f t="shared" si="10"/>
        <v>9</v>
      </c>
      <c r="T28" s="768">
        <f t="shared" si="10"/>
        <v>10</v>
      </c>
      <c r="U28" s="768">
        <f t="shared" si="10"/>
        <v>11</v>
      </c>
      <c r="V28" s="768">
        <f t="shared" si="10"/>
        <v>12</v>
      </c>
      <c r="W28" s="768">
        <f t="shared" si="10"/>
        <v>13</v>
      </c>
      <c r="X28" s="768">
        <f t="shared" si="10"/>
        <v>14</v>
      </c>
      <c r="Y28" s="768">
        <f t="shared" si="10"/>
        <v>15</v>
      </c>
      <c r="Z28" s="768">
        <f t="shared" si="10"/>
        <v>16</v>
      </c>
      <c r="AA28" s="768">
        <f t="shared" si="10"/>
        <v>17</v>
      </c>
      <c r="AB28" s="768">
        <f t="shared" si="10"/>
        <v>18</v>
      </c>
      <c r="AC28" s="768">
        <f t="shared" si="10"/>
        <v>19</v>
      </c>
      <c r="AD28" s="768">
        <f t="shared" si="10"/>
        <v>20</v>
      </c>
      <c r="AE28" s="768">
        <f t="shared" si="10"/>
        <v>21</v>
      </c>
      <c r="AF28" s="768">
        <f t="shared" si="10"/>
        <v>22</v>
      </c>
      <c r="AG28" s="768">
        <f t="shared" si="10"/>
        <v>23</v>
      </c>
      <c r="AH28" s="768">
        <f t="shared" si="10"/>
        <v>24</v>
      </c>
      <c r="AI28" s="768">
        <f t="shared" si="10"/>
        <v>25</v>
      </c>
      <c r="AJ28" s="768" t="s">
        <v>666</v>
      </c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</row>
    <row r="29" spans="2:57" ht="15.75" customHeight="1">
      <c r="B29" s="91"/>
      <c r="C29" s="548"/>
      <c r="D29" s="469"/>
      <c r="E29" s="469"/>
      <c r="F29" s="469"/>
      <c r="G29" s="469"/>
      <c r="H29" s="469"/>
      <c r="I29" s="548"/>
      <c r="J29" s="548"/>
      <c r="K29" s="769">
        <f>INT(ROUNDUP(K28/12,0))</f>
        <v>1</v>
      </c>
      <c r="L29" s="769">
        <f>INT(ROUNDUP(L28/12,0))</f>
        <v>1</v>
      </c>
      <c r="M29" s="769">
        <f t="shared" ref="M29:AI29" si="11">INT(ROUNDUP(M28/12,0))</f>
        <v>1</v>
      </c>
      <c r="N29" s="769">
        <f t="shared" si="11"/>
        <v>1</v>
      </c>
      <c r="O29" s="769">
        <f t="shared" si="11"/>
        <v>1</v>
      </c>
      <c r="P29" s="769">
        <f t="shared" si="11"/>
        <v>1</v>
      </c>
      <c r="Q29" s="769">
        <f t="shared" si="11"/>
        <v>1</v>
      </c>
      <c r="R29" s="769">
        <f t="shared" si="11"/>
        <v>1</v>
      </c>
      <c r="S29" s="769">
        <f t="shared" si="11"/>
        <v>1</v>
      </c>
      <c r="T29" s="769">
        <f t="shared" si="11"/>
        <v>1</v>
      </c>
      <c r="U29" s="769">
        <f t="shared" si="11"/>
        <v>1</v>
      </c>
      <c r="V29" s="769">
        <f t="shared" si="11"/>
        <v>1</v>
      </c>
      <c r="W29" s="769">
        <f t="shared" si="11"/>
        <v>2</v>
      </c>
      <c r="X29" s="769">
        <f t="shared" si="11"/>
        <v>2</v>
      </c>
      <c r="Y29" s="769">
        <f t="shared" si="11"/>
        <v>2</v>
      </c>
      <c r="Z29" s="769">
        <f t="shared" si="11"/>
        <v>2</v>
      </c>
      <c r="AA29" s="769">
        <f t="shared" si="11"/>
        <v>2</v>
      </c>
      <c r="AB29" s="769">
        <f t="shared" si="11"/>
        <v>2</v>
      </c>
      <c r="AC29" s="769">
        <f t="shared" si="11"/>
        <v>2</v>
      </c>
      <c r="AD29" s="769">
        <f t="shared" si="11"/>
        <v>2</v>
      </c>
      <c r="AE29" s="769">
        <f t="shared" si="11"/>
        <v>2</v>
      </c>
      <c r="AF29" s="769">
        <f t="shared" si="11"/>
        <v>2</v>
      </c>
      <c r="AG29" s="769">
        <f t="shared" si="11"/>
        <v>2</v>
      </c>
      <c r="AH29" s="769">
        <f t="shared" si="11"/>
        <v>2</v>
      </c>
      <c r="AI29" s="769">
        <f t="shared" si="11"/>
        <v>3</v>
      </c>
      <c r="AJ29" s="769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</row>
    <row r="30" spans="2:57" ht="15.75" customHeight="1" thickBot="1">
      <c r="B30" s="91"/>
      <c r="C30" s="471"/>
      <c r="D30" s="472"/>
      <c r="E30" s="506"/>
      <c r="F30" s="506"/>
      <c r="G30" s="94" t="s">
        <v>499</v>
      </c>
      <c r="H30" s="94" t="s">
        <v>499</v>
      </c>
      <c r="I30" s="94" t="s">
        <v>499</v>
      </c>
      <c r="J30" s="94" t="s">
        <v>499</v>
      </c>
      <c r="K30" s="94" t="s">
        <v>499</v>
      </c>
      <c r="L30" s="94" t="s">
        <v>499</v>
      </c>
      <c r="M30" s="94" t="s">
        <v>499</v>
      </c>
      <c r="N30" s="94" t="s">
        <v>499</v>
      </c>
      <c r="O30" s="94" t="s">
        <v>499</v>
      </c>
      <c r="P30" s="94" t="s">
        <v>499</v>
      </c>
      <c r="Q30" s="94" t="s">
        <v>499</v>
      </c>
      <c r="R30" s="94" t="s">
        <v>499</v>
      </c>
      <c r="S30" s="94" t="s">
        <v>499</v>
      </c>
      <c r="T30" s="94" t="s">
        <v>499</v>
      </c>
      <c r="U30" s="94" t="s">
        <v>499</v>
      </c>
      <c r="V30" s="94" t="s">
        <v>499</v>
      </c>
      <c r="W30" s="94" t="s">
        <v>499</v>
      </c>
      <c r="X30" s="94" t="s">
        <v>499</v>
      </c>
      <c r="Y30" s="94" t="s">
        <v>499</v>
      </c>
      <c r="Z30" s="94" t="s">
        <v>499</v>
      </c>
      <c r="AA30" s="94" t="s">
        <v>499</v>
      </c>
      <c r="AB30" s="94" t="s">
        <v>499</v>
      </c>
      <c r="AC30" s="94" t="s">
        <v>499</v>
      </c>
      <c r="AD30" s="94" t="s">
        <v>499</v>
      </c>
      <c r="AE30" s="94" t="s">
        <v>499</v>
      </c>
      <c r="AF30" s="94" t="s">
        <v>499</v>
      </c>
      <c r="AG30" s="94" t="s">
        <v>499</v>
      </c>
      <c r="AH30" s="94" t="s">
        <v>499</v>
      </c>
      <c r="AI30" s="94" t="s">
        <v>499</v>
      </c>
      <c r="AJ30" s="94" t="s">
        <v>499</v>
      </c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</row>
    <row r="31" spans="2:57" ht="15.75" customHeight="1">
      <c r="B31" s="91"/>
      <c r="C31" s="772"/>
      <c r="D31" s="773"/>
      <c r="E31" s="773"/>
      <c r="F31" s="773"/>
      <c r="G31" s="773"/>
      <c r="H31" s="773"/>
      <c r="I31" s="774"/>
      <c r="J31" s="774"/>
      <c r="K31" s="773"/>
      <c r="L31" s="773"/>
      <c r="M31" s="773"/>
      <c r="N31" s="773"/>
      <c r="O31" s="773"/>
      <c r="P31" s="773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</row>
    <row r="32" spans="2:57" ht="15.75" customHeight="1">
      <c r="B32" s="91"/>
      <c r="C32" s="775" t="s">
        <v>755</v>
      </c>
      <c r="D32" s="87"/>
      <c r="E32" s="87"/>
      <c r="F32" s="87"/>
      <c r="G32" s="87"/>
      <c r="H32" s="87"/>
      <c r="I32" s="1983" t="s">
        <v>756</v>
      </c>
      <c r="J32" s="1983"/>
      <c r="K32" s="1983"/>
      <c r="L32" s="1983"/>
      <c r="M32" s="1983"/>
      <c r="N32" s="1983"/>
      <c r="O32" s="76"/>
      <c r="Q32" s="152"/>
      <c r="R32" s="152"/>
      <c r="S32" s="152"/>
      <c r="T32" s="152"/>
      <c r="U32" s="152"/>
      <c r="V32" s="152"/>
      <c r="W32" s="152"/>
      <c r="X32" s="152"/>
      <c r="Y32" s="152"/>
      <c r="Z32" s="152"/>
      <c r="AA32" s="152"/>
      <c r="AB32" s="152"/>
      <c r="AC32" s="152"/>
      <c r="AD32" s="152"/>
      <c r="AE32" s="152"/>
      <c r="AF32" s="152"/>
      <c r="AG32" s="152"/>
      <c r="AH32" s="152"/>
      <c r="AI32" s="152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</row>
    <row r="33" spans="2:57" ht="15.75" customHeight="1">
      <c r="B33" s="91"/>
      <c r="C33" s="776" t="s">
        <v>556</v>
      </c>
      <c r="D33" s="87"/>
      <c r="E33" s="87"/>
      <c r="F33" s="87"/>
      <c r="G33" s="87"/>
      <c r="H33" s="87"/>
      <c r="I33" s="777"/>
      <c r="J33" s="777"/>
      <c r="K33" s="789">
        <v>0</v>
      </c>
      <c r="L33" s="789"/>
      <c r="M33" s="789"/>
      <c r="N33" s="789"/>
      <c r="O33" s="789">
        <v>1</v>
      </c>
      <c r="P33" s="789"/>
      <c r="Q33" s="789"/>
      <c r="R33" s="789">
        <v>1</v>
      </c>
      <c r="S33" s="789"/>
      <c r="T33" s="789"/>
      <c r="U33" s="789">
        <v>1</v>
      </c>
      <c r="V33" s="789"/>
      <c r="W33" s="789"/>
      <c r="X33" s="789">
        <v>1</v>
      </c>
      <c r="Y33" s="789"/>
      <c r="Z33" s="789"/>
      <c r="AA33" s="789">
        <v>1</v>
      </c>
      <c r="AB33" s="789"/>
      <c r="AC33" s="789"/>
      <c r="AD33" s="789">
        <v>1</v>
      </c>
      <c r="AE33" s="789"/>
      <c r="AF33" s="789"/>
      <c r="AG33" s="789">
        <v>1</v>
      </c>
      <c r="AH33" s="789"/>
      <c r="AI33" s="789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</row>
    <row r="34" spans="2:57" ht="15.75" customHeight="1">
      <c r="B34" s="91"/>
      <c r="C34" s="776" t="s">
        <v>557</v>
      </c>
      <c r="D34" s="87"/>
      <c r="E34" s="87"/>
      <c r="F34" s="87"/>
      <c r="G34" s="87"/>
      <c r="H34" s="87"/>
      <c r="I34" s="777"/>
      <c r="J34" s="777"/>
      <c r="K34" s="789"/>
      <c r="L34" s="789"/>
      <c r="M34" s="789"/>
      <c r="N34" s="789"/>
      <c r="O34" s="789"/>
      <c r="P34" s="789"/>
      <c r="Q34" s="789"/>
      <c r="R34" s="789"/>
      <c r="S34" s="789"/>
      <c r="T34" s="789"/>
      <c r="U34" s="789"/>
      <c r="V34" s="789"/>
      <c r="W34" s="789"/>
      <c r="X34" s="789"/>
      <c r="Y34" s="789"/>
      <c r="Z34" s="789"/>
      <c r="AA34" s="789"/>
      <c r="AB34" s="789"/>
      <c r="AC34" s="789"/>
      <c r="AD34" s="789"/>
      <c r="AE34" s="789"/>
      <c r="AF34" s="789"/>
      <c r="AG34" s="789"/>
      <c r="AH34" s="789"/>
      <c r="AI34" s="789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</row>
    <row r="35" spans="2:57" ht="15.75" customHeight="1">
      <c r="B35" s="91"/>
      <c r="C35" s="776"/>
      <c r="D35" s="87"/>
      <c r="E35" s="87"/>
      <c r="F35" s="87"/>
      <c r="G35" s="87"/>
      <c r="H35" s="87"/>
      <c r="I35" s="100"/>
      <c r="J35" s="100"/>
      <c r="K35" s="789"/>
      <c r="L35" s="789"/>
      <c r="M35" s="789"/>
      <c r="N35" s="789"/>
      <c r="O35" s="789"/>
      <c r="P35" s="789"/>
      <c r="Q35" s="789"/>
      <c r="R35" s="789"/>
      <c r="S35" s="789"/>
      <c r="T35" s="789"/>
      <c r="U35" s="789"/>
      <c r="V35" s="789"/>
      <c r="W35" s="789"/>
      <c r="X35" s="789"/>
      <c r="Y35" s="789"/>
      <c r="Z35" s="789"/>
      <c r="AA35" s="789"/>
      <c r="AB35" s="789"/>
      <c r="AC35" s="789"/>
      <c r="AD35" s="789"/>
      <c r="AE35" s="789"/>
      <c r="AF35" s="789"/>
      <c r="AG35" s="789"/>
      <c r="AH35" s="789"/>
      <c r="AI35" s="789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</row>
    <row r="36" spans="2:57" ht="15.75" customHeight="1">
      <c r="B36" s="91"/>
      <c r="C36" s="775" t="s">
        <v>757</v>
      </c>
      <c r="D36" s="87"/>
      <c r="E36" s="87"/>
      <c r="F36" s="87"/>
      <c r="G36" s="87"/>
      <c r="H36" s="87"/>
      <c r="I36" s="1983" t="s">
        <v>758</v>
      </c>
      <c r="J36" s="1983"/>
      <c r="K36" s="1983"/>
      <c r="L36" s="1983"/>
      <c r="M36" s="1983"/>
      <c r="N36" s="1983"/>
      <c r="O36" s="76"/>
      <c r="Q36" s="152"/>
      <c r="R36" s="76"/>
      <c r="S36" s="152"/>
      <c r="T36" s="152"/>
      <c r="U36" s="76"/>
      <c r="V36" s="152"/>
      <c r="W36" s="152"/>
      <c r="X36" s="76"/>
      <c r="Y36" s="152"/>
      <c r="Z36" s="152"/>
      <c r="AA36" s="76"/>
      <c r="AB36" s="152"/>
      <c r="AC36" s="152"/>
      <c r="AD36" s="76"/>
      <c r="AE36" s="152"/>
      <c r="AF36" s="152"/>
      <c r="AG36" s="76"/>
      <c r="AH36" s="152"/>
      <c r="AI36" s="152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</row>
    <row r="37" spans="2:57" ht="15.75" customHeight="1">
      <c r="B37" s="91"/>
      <c r="C37" s="776" t="s">
        <v>556</v>
      </c>
      <c r="D37" s="87"/>
      <c r="E37" s="87"/>
      <c r="F37" s="87"/>
      <c r="G37" s="87"/>
      <c r="H37" s="87"/>
      <c r="I37" s="778"/>
      <c r="J37" s="778"/>
      <c r="K37" s="789">
        <v>0</v>
      </c>
      <c r="L37" s="789"/>
      <c r="M37" s="789"/>
      <c r="N37" s="789">
        <v>1</v>
      </c>
      <c r="O37" s="789"/>
      <c r="P37" s="789"/>
      <c r="Q37" s="789">
        <v>1</v>
      </c>
      <c r="R37" s="789"/>
      <c r="S37" s="789"/>
      <c r="T37" s="789">
        <v>1</v>
      </c>
      <c r="U37" s="789"/>
      <c r="V37" s="789"/>
      <c r="W37" s="789">
        <v>1</v>
      </c>
      <c r="X37" s="789"/>
      <c r="Y37" s="789"/>
      <c r="Z37" s="789">
        <v>1</v>
      </c>
      <c r="AA37" s="789"/>
      <c r="AB37" s="789"/>
      <c r="AC37" s="789">
        <v>1</v>
      </c>
      <c r="AD37" s="789"/>
      <c r="AE37" s="789"/>
      <c r="AF37" s="789">
        <v>1</v>
      </c>
      <c r="AG37" s="789"/>
      <c r="AH37" s="789"/>
      <c r="AI37" s="789">
        <v>1</v>
      </c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</row>
    <row r="38" spans="2:57" ht="15.75" customHeight="1">
      <c r="B38" s="91"/>
      <c r="C38" s="776" t="s">
        <v>557</v>
      </c>
      <c r="D38" s="87"/>
      <c r="E38" s="87"/>
      <c r="F38" s="87"/>
      <c r="G38" s="87"/>
      <c r="H38" s="87"/>
      <c r="I38" s="778"/>
      <c r="J38" s="778"/>
      <c r="K38" s="789"/>
      <c r="L38" s="789"/>
      <c r="M38" s="789"/>
      <c r="N38" s="789"/>
      <c r="O38" s="789"/>
      <c r="P38" s="789"/>
      <c r="Q38" s="789"/>
      <c r="R38" s="789"/>
      <c r="S38" s="789"/>
      <c r="T38" s="789"/>
      <c r="U38" s="789"/>
      <c r="V38" s="789"/>
      <c r="W38" s="789"/>
      <c r="X38" s="789"/>
      <c r="Y38" s="789"/>
      <c r="Z38" s="789"/>
      <c r="AA38" s="789"/>
      <c r="AB38" s="789"/>
      <c r="AC38" s="789"/>
      <c r="AD38" s="789"/>
      <c r="AE38" s="789"/>
      <c r="AF38" s="789"/>
      <c r="AG38" s="789"/>
      <c r="AH38" s="789"/>
      <c r="AI38" s="789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</row>
    <row r="39" spans="2:57" ht="15.75" customHeight="1">
      <c r="B39" s="91"/>
      <c r="C39" s="779"/>
      <c r="D39" s="87"/>
      <c r="E39" s="87"/>
      <c r="F39" s="87"/>
      <c r="G39" s="87"/>
      <c r="H39" s="87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</row>
    <row r="40" spans="2:57" ht="15.75" customHeight="1">
      <c r="B40" s="91"/>
      <c r="C40" s="775" t="s">
        <v>26</v>
      </c>
      <c r="D40" s="87"/>
      <c r="E40" s="87"/>
      <c r="F40" s="87"/>
      <c r="G40" s="87"/>
      <c r="H40" s="87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</row>
    <row r="41" spans="2:57" ht="15.75" customHeight="1">
      <c r="B41" s="91"/>
      <c r="C41" s="776" t="s">
        <v>759</v>
      </c>
      <c r="D41" s="87"/>
      <c r="E41" s="87"/>
      <c r="F41" s="87"/>
      <c r="G41" s="87"/>
      <c r="H41" s="87"/>
      <c r="I41" s="100"/>
      <c r="J41" s="100"/>
      <c r="K41" s="141"/>
      <c r="L41" s="141"/>
      <c r="M41" s="82"/>
      <c r="N41" s="82">
        <f>4300000*2</f>
        <v>8600000</v>
      </c>
      <c r="O41" s="82">
        <f>N41*(1+O43)</f>
        <v>8600000</v>
      </c>
      <c r="P41" s="82">
        <f>O41*(1+P43)</f>
        <v>8600000</v>
      </c>
      <c r="Q41" s="82">
        <f t="shared" ref="Q41:AI41" si="12">P41*(1+Q43)</f>
        <v>8600000</v>
      </c>
      <c r="R41" s="82">
        <f t="shared" si="12"/>
        <v>8600000</v>
      </c>
      <c r="S41" s="82">
        <f t="shared" si="12"/>
        <v>8600000</v>
      </c>
      <c r="T41" s="82">
        <f t="shared" si="12"/>
        <v>8600000</v>
      </c>
      <c r="U41" s="82">
        <f t="shared" si="12"/>
        <v>8600000</v>
      </c>
      <c r="V41" s="82">
        <f t="shared" si="12"/>
        <v>8600000</v>
      </c>
      <c r="W41" s="82">
        <f t="shared" si="12"/>
        <v>8600000</v>
      </c>
      <c r="X41" s="82">
        <f t="shared" si="12"/>
        <v>8600000</v>
      </c>
      <c r="Y41" s="82">
        <f t="shared" si="12"/>
        <v>8600000</v>
      </c>
      <c r="Z41" s="82">
        <f t="shared" si="12"/>
        <v>8600000</v>
      </c>
      <c r="AA41" s="82">
        <f t="shared" si="12"/>
        <v>8600000</v>
      </c>
      <c r="AB41" s="82">
        <f t="shared" si="12"/>
        <v>8600000</v>
      </c>
      <c r="AC41" s="82">
        <f t="shared" si="12"/>
        <v>8600000</v>
      </c>
      <c r="AD41" s="82">
        <f t="shared" si="12"/>
        <v>8600000</v>
      </c>
      <c r="AE41" s="82">
        <f t="shared" si="12"/>
        <v>8600000</v>
      </c>
      <c r="AF41" s="82">
        <f t="shared" si="12"/>
        <v>8600000</v>
      </c>
      <c r="AG41" s="82">
        <f t="shared" si="12"/>
        <v>8600000</v>
      </c>
      <c r="AH41" s="82">
        <f t="shared" si="12"/>
        <v>8600000</v>
      </c>
      <c r="AI41" s="82">
        <f t="shared" si="12"/>
        <v>8600000</v>
      </c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</row>
    <row r="42" spans="2:57" ht="15.75" customHeight="1">
      <c r="B42" s="91"/>
      <c r="C42" s="776" t="s">
        <v>760</v>
      </c>
      <c r="D42" s="87"/>
      <c r="E42" s="87"/>
      <c r="F42" s="87"/>
      <c r="G42" s="87"/>
      <c r="H42" s="87"/>
      <c r="I42" s="100"/>
      <c r="J42" s="100"/>
      <c r="K42" s="141"/>
      <c r="L42" s="141"/>
      <c r="M42" s="141"/>
      <c r="N42" s="82">
        <f>6600000/1.2/5*2</f>
        <v>2200000</v>
      </c>
      <c r="O42" s="82">
        <f>N42*(1+O43)</f>
        <v>2200000</v>
      </c>
      <c r="P42" s="82">
        <f>O42*(1+P43)</f>
        <v>2200000</v>
      </c>
      <c r="Q42" s="82">
        <f t="shared" ref="Q42:AI42" si="13">P42*(1+Q43)</f>
        <v>2200000</v>
      </c>
      <c r="R42" s="82">
        <f t="shared" si="13"/>
        <v>2200000</v>
      </c>
      <c r="S42" s="82">
        <f t="shared" si="13"/>
        <v>2200000</v>
      </c>
      <c r="T42" s="82">
        <f t="shared" si="13"/>
        <v>2200000</v>
      </c>
      <c r="U42" s="82">
        <f t="shared" si="13"/>
        <v>2200000</v>
      </c>
      <c r="V42" s="82">
        <f t="shared" si="13"/>
        <v>2200000</v>
      </c>
      <c r="W42" s="82">
        <f t="shared" si="13"/>
        <v>2200000</v>
      </c>
      <c r="X42" s="82">
        <f t="shared" si="13"/>
        <v>2200000</v>
      </c>
      <c r="Y42" s="82">
        <f t="shared" si="13"/>
        <v>2200000</v>
      </c>
      <c r="Z42" s="82">
        <f t="shared" si="13"/>
        <v>2200000</v>
      </c>
      <c r="AA42" s="82">
        <f t="shared" si="13"/>
        <v>2200000</v>
      </c>
      <c r="AB42" s="82">
        <f t="shared" si="13"/>
        <v>2200000</v>
      </c>
      <c r="AC42" s="82">
        <f t="shared" si="13"/>
        <v>2200000</v>
      </c>
      <c r="AD42" s="82">
        <f t="shared" si="13"/>
        <v>2200000</v>
      </c>
      <c r="AE42" s="82">
        <f t="shared" si="13"/>
        <v>2200000</v>
      </c>
      <c r="AF42" s="82">
        <f t="shared" si="13"/>
        <v>2200000</v>
      </c>
      <c r="AG42" s="82">
        <f t="shared" si="13"/>
        <v>2200000</v>
      </c>
      <c r="AH42" s="82">
        <f t="shared" si="13"/>
        <v>2200000</v>
      </c>
      <c r="AI42" s="82">
        <f t="shared" si="13"/>
        <v>2200000</v>
      </c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</row>
    <row r="43" spans="2:57" ht="15.75" customHeight="1" thickBot="1">
      <c r="B43" s="91"/>
      <c r="C43" s="776" t="s">
        <v>25</v>
      </c>
      <c r="D43" s="87"/>
      <c r="E43" s="87"/>
      <c r="F43" s="87"/>
      <c r="G43" s="87"/>
      <c r="H43" s="87"/>
      <c r="I43" s="100"/>
      <c r="J43" s="100"/>
      <c r="K43" s="141"/>
      <c r="L43" s="141"/>
      <c r="M43" s="141"/>
      <c r="N43" s="780">
        <v>0</v>
      </c>
      <c r="O43" s="780">
        <v>0</v>
      </c>
      <c r="P43" s="780">
        <v>0</v>
      </c>
      <c r="Q43" s="780">
        <v>0</v>
      </c>
      <c r="R43" s="780">
        <v>0</v>
      </c>
      <c r="S43" s="780">
        <v>0</v>
      </c>
      <c r="T43" s="780">
        <v>0</v>
      </c>
      <c r="U43" s="780">
        <v>0</v>
      </c>
      <c r="V43" s="780">
        <v>0</v>
      </c>
      <c r="W43" s="780">
        <v>0</v>
      </c>
      <c r="X43" s="780">
        <v>0</v>
      </c>
      <c r="Y43" s="780">
        <v>0</v>
      </c>
      <c r="Z43" s="780">
        <v>0</v>
      </c>
      <c r="AA43" s="780">
        <v>0</v>
      </c>
      <c r="AB43" s="780">
        <v>0</v>
      </c>
      <c r="AC43" s="780">
        <v>0</v>
      </c>
      <c r="AD43" s="780">
        <v>0</v>
      </c>
      <c r="AE43" s="780">
        <v>0</v>
      </c>
      <c r="AF43" s="780">
        <v>0</v>
      </c>
      <c r="AG43" s="780">
        <v>0</v>
      </c>
      <c r="AH43" s="780">
        <v>0</v>
      </c>
      <c r="AI43" s="780">
        <v>0</v>
      </c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</row>
    <row r="44" spans="2:57" ht="15.75" customHeight="1">
      <c r="B44" s="91"/>
      <c r="C44" s="781"/>
      <c r="D44" s="782"/>
      <c r="E44" s="782"/>
      <c r="F44" s="782"/>
      <c r="G44" s="782"/>
      <c r="H44" s="782"/>
      <c r="I44" s="783"/>
      <c r="J44" s="783"/>
      <c r="K44" s="783"/>
      <c r="L44" s="783"/>
      <c r="M44" s="783"/>
      <c r="N44" s="783"/>
      <c r="O44" s="783"/>
      <c r="P44" s="783"/>
      <c r="Q44" s="783"/>
      <c r="R44" s="783"/>
      <c r="S44" s="783"/>
      <c r="T44" s="783"/>
      <c r="U44" s="783"/>
      <c r="V44" s="783"/>
      <c r="W44" s="783"/>
      <c r="X44" s="783"/>
      <c r="Y44" s="783"/>
      <c r="Z44" s="783"/>
      <c r="AA44" s="783"/>
      <c r="AB44" s="783"/>
      <c r="AC44" s="783"/>
      <c r="AD44" s="783"/>
      <c r="AE44" s="783"/>
      <c r="AF44" s="783"/>
      <c r="AG44" s="783"/>
      <c r="AH44" s="783"/>
      <c r="AI44" s="783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</row>
    <row r="45" spans="2:57" ht="15.75" customHeight="1">
      <c r="B45" s="91"/>
      <c r="C45" s="775" t="s">
        <v>761</v>
      </c>
      <c r="D45" s="87"/>
      <c r="E45" s="87"/>
      <c r="F45" s="87"/>
      <c r="G45" s="87"/>
      <c r="H45" s="87"/>
      <c r="I45" s="1983"/>
      <c r="J45" s="1983"/>
      <c r="K45" s="1983"/>
      <c r="L45" s="1983"/>
      <c r="M45" s="1983"/>
      <c r="N45" s="1983"/>
      <c r="O45" s="76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</row>
    <row r="46" spans="2:57" ht="15.75" customHeight="1">
      <c r="B46" s="91"/>
      <c r="C46" s="776" t="s">
        <v>556</v>
      </c>
      <c r="D46" s="87"/>
      <c r="E46" s="87"/>
      <c r="F46" s="87"/>
      <c r="G46" s="87"/>
      <c r="H46" s="87"/>
      <c r="I46" s="777"/>
      <c r="J46" s="777"/>
      <c r="K46" s="789">
        <v>55</v>
      </c>
      <c r="L46" s="789">
        <v>55</v>
      </c>
      <c r="M46" s="789">
        <v>55</v>
      </c>
      <c r="N46" s="789">
        <v>55</v>
      </c>
      <c r="O46" s="789">
        <v>55</v>
      </c>
      <c r="P46" s="789">
        <v>55</v>
      </c>
      <c r="Q46" s="789">
        <v>55</v>
      </c>
      <c r="R46" s="789">
        <v>55</v>
      </c>
      <c r="S46" s="789">
        <v>55</v>
      </c>
      <c r="T46" s="789">
        <v>55</v>
      </c>
      <c r="U46" s="789">
        <v>55</v>
      </c>
      <c r="V46" s="789">
        <v>55</v>
      </c>
      <c r="W46" s="789">
        <v>55</v>
      </c>
      <c r="X46" s="789">
        <v>55</v>
      </c>
      <c r="Y46" s="789">
        <v>55</v>
      </c>
      <c r="Z46" s="789">
        <v>55</v>
      </c>
      <c r="AA46" s="789">
        <v>55</v>
      </c>
      <c r="AB46" s="789">
        <v>55</v>
      </c>
      <c r="AC46" s="789">
        <v>55</v>
      </c>
      <c r="AD46" s="789">
        <v>55</v>
      </c>
      <c r="AE46" s="789">
        <v>55</v>
      </c>
      <c r="AF46" s="789">
        <v>55</v>
      </c>
      <c r="AG46" s="789">
        <v>55</v>
      </c>
      <c r="AH46" s="789">
        <v>55</v>
      </c>
      <c r="AI46" s="789">
        <v>55</v>
      </c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</row>
    <row r="47" spans="2:57" ht="15.75" customHeight="1">
      <c r="B47" s="91"/>
      <c r="C47" s="776" t="s">
        <v>557</v>
      </c>
      <c r="D47" s="87"/>
      <c r="E47" s="87"/>
      <c r="F47" s="87"/>
      <c r="G47" s="87"/>
      <c r="H47" s="87"/>
      <c r="I47" s="777"/>
      <c r="J47" s="777"/>
      <c r="K47" s="789">
        <v>12</v>
      </c>
      <c r="L47" s="789">
        <v>12</v>
      </c>
      <c r="M47" s="789">
        <v>12</v>
      </c>
      <c r="N47" s="789">
        <v>12</v>
      </c>
      <c r="O47" s="789">
        <v>12</v>
      </c>
      <c r="P47" s="789">
        <v>12</v>
      </c>
      <c r="Q47" s="789">
        <v>12</v>
      </c>
      <c r="R47" s="789">
        <v>12</v>
      </c>
      <c r="S47" s="789">
        <v>12</v>
      </c>
      <c r="T47" s="789">
        <v>12</v>
      </c>
      <c r="U47" s="789">
        <v>12</v>
      </c>
      <c r="V47" s="789">
        <v>12</v>
      </c>
      <c r="W47" s="789">
        <v>12</v>
      </c>
      <c r="X47" s="789">
        <v>12</v>
      </c>
      <c r="Y47" s="789">
        <v>12</v>
      </c>
      <c r="Z47" s="789">
        <v>12</v>
      </c>
      <c r="AA47" s="789">
        <v>12</v>
      </c>
      <c r="AB47" s="789">
        <v>12</v>
      </c>
      <c r="AC47" s="789">
        <v>12</v>
      </c>
      <c r="AD47" s="789">
        <v>12</v>
      </c>
      <c r="AE47" s="789">
        <v>12</v>
      </c>
      <c r="AF47" s="789">
        <v>12</v>
      </c>
      <c r="AG47" s="789">
        <v>12</v>
      </c>
      <c r="AH47" s="789">
        <v>12</v>
      </c>
      <c r="AI47" s="789">
        <v>12</v>
      </c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</row>
    <row r="48" spans="2:57" ht="15.75" customHeight="1">
      <c r="B48" s="91"/>
      <c r="C48" s="784"/>
      <c r="D48" s="87"/>
      <c r="E48" s="87"/>
      <c r="F48" s="87"/>
      <c r="G48" s="87"/>
      <c r="H48" s="87"/>
      <c r="I48" s="100"/>
      <c r="J48" s="100"/>
      <c r="K48" s="495"/>
      <c r="L48" s="495"/>
      <c r="M48" s="495"/>
      <c r="N48" s="495"/>
      <c r="O48" s="76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</row>
    <row r="49" spans="2:57" ht="15.75" customHeight="1">
      <c r="B49" s="91"/>
      <c r="C49" s="775" t="s">
        <v>762</v>
      </c>
      <c r="D49" s="87"/>
      <c r="E49" s="87"/>
      <c r="F49" s="87"/>
      <c r="G49" s="87"/>
      <c r="H49" s="87"/>
      <c r="I49" s="1983"/>
      <c r="J49" s="1983"/>
      <c r="K49" s="1983"/>
      <c r="L49" s="1983"/>
      <c r="M49" s="1983"/>
      <c r="N49" s="1983"/>
      <c r="O49" s="76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</row>
    <row r="50" spans="2:57" ht="15.75" customHeight="1">
      <c r="B50" s="91"/>
      <c r="C50" s="776" t="s">
        <v>556</v>
      </c>
      <c r="D50" s="87"/>
      <c r="E50" s="87"/>
      <c r="F50" s="87"/>
      <c r="G50" s="87"/>
      <c r="H50" s="87"/>
      <c r="I50" s="777"/>
      <c r="J50" s="777"/>
      <c r="K50" s="789">
        <v>25</v>
      </c>
      <c r="L50" s="789">
        <v>25</v>
      </c>
      <c r="M50" s="789">
        <v>25</v>
      </c>
      <c r="N50" s="789">
        <v>25</v>
      </c>
      <c r="O50" s="789">
        <v>25</v>
      </c>
      <c r="P50" s="789">
        <v>25</v>
      </c>
      <c r="Q50" s="789">
        <v>25</v>
      </c>
      <c r="R50" s="789">
        <v>25</v>
      </c>
      <c r="S50" s="789">
        <v>25</v>
      </c>
      <c r="T50" s="789">
        <v>25</v>
      </c>
      <c r="U50" s="789">
        <v>25</v>
      </c>
      <c r="V50" s="789">
        <v>25</v>
      </c>
      <c r="W50" s="789">
        <v>25</v>
      </c>
      <c r="X50" s="789">
        <v>25</v>
      </c>
      <c r="Y50" s="789">
        <v>25</v>
      </c>
      <c r="Z50" s="789">
        <v>25</v>
      </c>
      <c r="AA50" s="789">
        <v>25</v>
      </c>
      <c r="AB50" s="789">
        <v>25</v>
      </c>
      <c r="AC50" s="789">
        <v>25</v>
      </c>
      <c r="AD50" s="789">
        <v>25</v>
      </c>
      <c r="AE50" s="789">
        <v>25</v>
      </c>
      <c r="AF50" s="789">
        <v>25</v>
      </c>
      <c r="AG50" s="789">
        <v>25</v>
      </c>
      <c r="AH50" s="789">
        <v>25</v>
      </c>
      <c r="AI50" s="789">
        <v>25</v>
      </c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</row>
    <row r="51" spans="2:57" ht="15.75" customHeight="1" thickBot="1">
      <c r="B51" s="91"/>
      <c r="C51" s="776" t="s">
        <v>557</v>
      </c>
      <c r="D51" s="87"/>
      <c r="E51" s="87"/>
      <c r="F51" s="87"/>
      <c r="G51" s="87"/>
      <c r="H51" s="87"/>
      <c r="I51" s="777"/>
      <c r="J51" s="777"/>
      <c r="K51" s="789">
        <v>18</v>
      </c>
      <c r="L51" s="789">
        <v>18</v>
      </c>
      <c r="M51" s="789">
        <v>18</v>
      </c>
      <c r="N51" s="789">
        <v>18</v>
      </c>
      <c r="O51" s="789">
        <v>18</v>
      </c>
      <c r="P51" s="789">
        <v>18</v>
      </c>
      <c r="Q51" s="789">
        <v>18</v>
      </c>
      <c r="R51" s="789">
        <v>18</v>
      </c>
      <c r="S51" s="789">
        <v>18</v>
      </c>
      <c r="T51" s="789">
        <v>18</v>
      </c>
      <c r="U51" s="789">
        <v>18</v>
      </c>
      <c r="V51" s="789">
        <v>18</v>
      </c>
      <c r="W51" s="789">
        <v>18</v>
      </c>
      <c r="X51" s="789">
        <v>18</v>
      </c>
      <c r="Y51" s="789">
        <v>18</v>
      </c>
      <c r="Z51" s="789">
        <v>18</v>
      </c>
      <c r="AA51" s="789">
        <v>18</v>
      </c>
      <c r="AB51" s="789">
        <v>18</v>
      </c>
      <c r="AC51" s="789">
        <v>18</v>
      </c>
      <c r="AD51" s="789">
        <v>18</v>
      </c>
      <c r="AE51" s="789">
        <v>18</v>
      </c>
      <c r="AF51" s="789">
        <v>18</v>
      </c>
      <c r="AG51" s="789">
        <v>18</v>
      </c>
      <c r="AH51" s="789">
        <v>18</v>
      </c>
      <c r="AI51" s="789">
        <v>18</v>
      </c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</row>
    <row r="52" spans="2:57" ht="15.75" customHeight="1">
      <c r="B52" s="91"/>
      <c r="C52" s="785"/>
      <c r="D52" s="782"/>
      <c r="E52" s="782"/>
      <c r="F52" s="782"/>
      <c r="G52" s="782"/>
      <c r="H52" s="782"/>
      <c r="I52" s="783"/>
      <c r="J52" s="783"/>
      <c r="K52" s="786"/>
      <c r="L52" s="786"/>
      <c r="M52" s="786"/>
      <c r="N52" s="786"/>
      <c r="O52" s="786"/>
      <c r="P52" s="786"/>
      <c r="Q52" s="786"/>
      <c r="R52" s="786"/>
      <c r="S52" s="786"/>
      <c r="T52" s="786"/>
      <c r="U52" s="786"/>
      <c r="V52" s="786"/>
      <c r="W52" s="786"/>
      <c r="X52" s="786"/>
      <c r="Y52" s="786"/>
      <c r="Z52" s="786"/>
      <c r="AA52" s="786"/>
      <c r="AB52" s="786"/>
      <c r="AC52" s="786"/>
      <c r="AD52" s="786"/>
      <c r="AE52" s="786"/>
      <c r="AF52" s="786"/>
      <c r="AG52" s="786"/>
      <c r="AH52" s="786"/>
      <c r="AI52" s="78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</row>
    <row r="53" spans="2:57" ht="15.75" customHeight="1">
      <c r="B53" s="91"/>
      <c r="C53" s="775" t="s">
        <v>564</v>
      </c>
      <c r="D53" s="87"/>
      <c r="E53" s="87"/>
      <c r="F53" s="87"/>
      <c r="G53" s="87"/>
      <c r="H53" s="87"/>
      <c r="I53" s="1983"/>
      <c r="J53" s="1983"/>
      <c r="K53" s="1983"/>
      <c r="L53" s="1983"/>
      <c r="M53" s="1983"/>
      <c r="N53" s="1983"/>
      <c r="O53" s="76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</row>
    <row r="54" spans="2:57" ht="15.75" customHeight="1">
      <c r="B54" s="91"/>
      <c r="C54" s="776" t="s">
        <v>756</v>
      </c>
      <c r="D54" s="87"/>
      <c r="E54" s="87"/>
      <c r="F54" s="87"/>
      <c r="G54" s="87"/>
      <c r="H54" s="87"/>
      <c r="I54" s="777"/>
      <c r="J54" s="777"/>
      <c r="K54" s="790">
        <v>0.91</v>
      </c>
      <c r="L54" s="790">
        <v>0.91</v>
      </c>
      <c r="M54" s="790">
        <v>0.91</v>
      </c>
      <c r="N54" s="790">
        <v>0.91</v>
      </c>
      <c r="O54" s="790">
        <v>0.91</v>
      </c>
      <c r="P54" s="790">
        <v>0.91</v>
      </c>
      <c r="Q54" s="790">
        <v>0.91</v>
      </c>
      <c r="R54" s="790">
        <v>0.91</v>
      </c>
      <c r="S54" s="790">
        <v>0.91</v>
      </c>
      <c r="T54" s="790">
        <v>0.91</v>
      </c>
      <c r="U54" s="790">
        <v>0.91</v>
      </c>
      <c r="V54" s="790">
        <v>0.91</v>
      </c>
      <c r="W54" s="790">
        <v>0.91</v>
      </c>
      <c r="X54" s="790">
        <v>0.91</v>
      </c>
      <c r="Y54" s="790">
        <v>0.91</v>
      </c>
      <c r="Z54" s="790">
        <v>0.91</v>
      </c>
      <c r="AA54" s="790">
        <v>0.91</v>
      </c>
      <c r="AB54" s="790">
        <v>0.91</v>
      </c>
      <c r="AC54" s="790">
        <v>0.91</v>
      </c>
      <c r="AD54" s="790">
        <v>0.91</v>
      </c>
      <c r="AE54" s="790">
        <v>0.91</v>
      </c>
      <c r="AF54" s="790">
        <v>0.91</v>
      </c>
      <c r="AG54" s="790">
        <v>0.91</v>
      </c>
      <c r="AH54" s="790">
        <v>0.91</v>
      </c>
      <c r="AI54" s="790">
        <v>0.91</v>
      </c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</row>
    <row r="55" spans="2:57" ht="15.75" customHeight="1">
      <c r="B55" s="91"/>
      <c r="C55" s="776" t="s">
        <v>758</v>
      </c>
      <c r="D55" s="87"/>
      <c r="E55" s="87"/>
      <c r="F55" s="87"/>
      <c r="G55" s="87"/>
      <c r="H55" s="87"/>
      <c r="I55" s="777"/>
      <c r="J55" s="777"/>
      <c r="K55" s="790">
        <v>0.91</v>
      </c>
      <c r="L55" s="790">
        <v>0.91</v>
      </c>
      <c r="M55" s="790">
        <v>0.91</v>
      </c>
      <c r="N55" s="790">
        <v>0.91</v>
      </c>
      <c r="O55" s="790">
        <v>0.91</v>
      </c>
      <c r="P55" s="790">
        <v>0.91</v>
      </c>
      <c r="Q55" s="790">
        <v>0.91</v>
      </c>
      <c r="R55" s="790">
        <v>0.91</v>
      </c>
      <c r="S55" s="790">
        <v>0.91</v>
      </c>
      <c r="T55" s="790">
        <v>0.91</v>
      </c>
      <c r="U55" s="790">
        <v>0.91</v>
      </c>
      <c r="V55" s="790">
        <v>0.91</v>
      </c>
      <c r="W55" s="790">
        <v>0.91</v>
      </c>
      <c r="X55" s="790">
        <v>0.91</v>
      </c>
      <c r="Y55" s="790">
        <v>0.91</v>
      </c>
      <c r="Z55" s="790">
        <v>0.91</v>
      </c>
      <c r="AA55" s="790">
        <v>0.91</v>
      </c>
      <c r="AB55" s="790">
        <v>0.91</v>
      </c>
      <c r="AC55" s="790">
        <v>0.91</v>
      </c>
      <c r="AD55" s="790">
        <v>0.91</v>
      </c>
      <c r="AE55" s="790">
        <v>0.91</v>
      </c>
      <c r="AF55" s="790">
        <v>0.91</v>
      </c>
      <c r="AG55" s="790">
        <v>0.91</v>
      </c>
      <c r="AH55" s="790">
        <v>0.91</v>
      </c>
      <c r="AI55" s="790">
        <v>0.91</v>
      </c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</row>
    <row r="56" spans="2:57" ht="15.75" customHeight="1">
      <c r="B56" s="91"/>
      <c r="C56" s="787"/>
      <c r="D56" s="87"/>
      <c r="E56" s="87"/>
      <c r="F56" s="87"/>
      <c r="G56" s="87"/>
      <c r="H56" s="87"/>
      <c r="I56" s="100"/>
      <c r="J56" s="100"/>
      <c r="K56" s="788"/>
      <c r="L56" s="788"/>
      <c r="M56" s="788"/>
      <c r="N56" s="788"/>
      <c r="O56" s="76"/>
      <c r="Q56" s="152"/>
      <c r="R56" s="152"/>
      <c r="S56" s="152"/>
      <c r="T56" s="152"/>
      <c r="U56" s="152"/>
      <c r="V56" s="152"/>
      <c r="W56" s="152"/>
      <c r="X56" s="152"/>
      <c r="Y56" s="152"/>
      <c r="Z56" s="152"/>
      <c r="AA56" s="152"/>
      <c r="AB56" s="152"/>
      <c r="AC56" s="152"/>
      <c r="AD56" s="152"/>
      <c r="AE56" s="152"/>
      <c r="AF56" s="152"/>
      <c r="AG56" s="152"/>
      <c r="AH56" s="152"/>
      <c r="AI56" s="152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</row>
    <row r="57" spans="2:57" ht="15.75" customHeight="1">
      <c r="B57" s="91"/>
      <c r="C57" s="775" t="s">
        <v>609</v>
      </c>
      <c r="D57" s="87"/>
      <c r="E57" s="87"/>
      <c r="F57" s="87"/>
      <c r="G57" s="87"/>
      <c r="H57" s="87"/>
      <c r="I57" s="1983"/>
      <c r="J57" s="1983"/>
      <c r="K57" s="1983"/>
      <c r="L57" s="1983"/>
      <c r="M57" s="1983"/>
      <c r="N57" s="1983"/>
      <c r="O57" s="76"/>
      <c r="Q57" s="152"/>
      <c r="R57" s="152"/>
      <c r="S57" s="152"/>
      <c r="T57" s="152"/>
      <c r="U57" s="152"/>
      <c r="V57" s="152"/>
      <c r="W57" s="152"/>
      <c r="X57" s="152"/>
      <c r="Y57" s="152"/>
      <c r="Z57" s="152"/>
      <c r="AA57" s="152"/>
      <c r="AB57" s="152"/>
      <c r="AC57" s="152"/>
      <c r="AD57" s="152"/>
      <c r="AE57" s="152"/>
      <c r="AF57" s="152"/>
      <c r="AG57" s="152"/>
      <c r="AH57" s="152"/>
      <c r="AI57" s="152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</row>
    <row r="58" spans="2:57" ht="15.75" customHeight="1">
      <c r="B58" s="91"/>
      <c r="C58" s="776" t="s">
        <v>756</v>
      </c>
      <c r="D58" s="87"/>
      <c r="E58" s="87"/>
      <c r="F58" s="87"/>
      <c r="G58" s="87"/>
      <c r="H58" s="87"/>
      <c r="I58" s="777"/>
      <c r="J58" s="777"/>
      <c r="K58" s="789">
        <f t="shared" ref="K58:AI58" si="14">(365-K33*(K46+K50)-K34*(K47+K51))*K54*24</f>
        <v>7971.6</v>
      </c>
      <c r="L58" s="789">
        <f t="shared" si="14"/>
        <v>7971.6</v>
      </c>
      <c r="M58" s="789">
        <f t="shared" si="14"/>
        <v>7971.6</v>
      </c>
      <c r="N58" s="789">
        <f t="shared" si="14"/>
        <v>7971.6</v>
      </c>
      <c r="O58" s="789">
        <f t="shared" si="14"/>
        <v>6224.4000000000005</v>
      </c>
      <c r="P58" s="789">
        <f t="shared" si="14"/>
        <v>7971.6</v>
      </c>
      <c r="Q58" s="789">
        <f t="shared" si="14"/>
        <v>7971.6</v>
      </c>
      <c r="R58" s="789">
        <f t="shared" si="14"/>
        <v>6224.4000000000005</v>
      </c>
      <c r="S58" s="789">
        <f t="shared" si="14"/>
        <v>7971.6</v>
      </c>
      <c r="T58" s="789">
        <f t="shared" si="14"/>
        <v>7971.6</v>
      </c>
      <c r="U58" s="789">
        <f t="shared" si="14"/>
        <v>6224.4000000000005</v>
      </c>
      <c r="V58" s="789">
        <f t="shared" si="14"/>
        <v>7971.6</v>
      </c>
      <c r="W58" s="789">
        <f t="shared" si="14"/>
        <v>7971.6</v>
      </c>
      <c r="X58" s="789">
        <f t="shared" si="14"/>
        <v>6224.4000000000005</v>
      </c>
      <c r="Y58" s="789">
        <f t="shared" si="14"/>
        <v>7971.6</v>
      </c>
      <c r="Z58" s="789">
        <f t="shared" si="14"/>
        <v>7971.6</v>
      </c>
      <c r="AA58" s="789">
        <f t="shared" si="14"/>
        <v>6224.4000000000005</v>
      </c>
      <c r="AB58" s="789">
        <f t="shared" si="14"/>
        <v>7971.6</v>
      </c>
      <c r="AC58" s="789">
        <f t="shared" si="14"/>
        <v>7971.6</v>
      </c>
      <c r="AD58" s="789">
        <f t="shared" si="14"/>
        <v>6224.4000000000005</v>
      </c>
      <c r="AE58" s="789">
        <f t="shared" si="14"/>
        <v>7971.6</v>
      </c>
      <c r="AF58" s="789">
        <f t="shared" si="14"/>
        <v>7971.6</v>
      </c>
      <c r="AG58" s="789">
        <f t="shared" si="14"/>
        <v>6224.4000000000005</v>
      </c>
      <c r="AH58" s="789">
        <f t="shared" si="14"/>
        <v>7971.6</v>
      </c>
      <c r="AI58" s="789">
        <f t="shared" si="14"/>
        <v>7971.6</v>
      </c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</row>
    <row r="59" spans="2:57" ht="15.75" customHeight="1">
      <c r="B59" s="91"/>
      <c r="C59" s="776" t="s">
        <v>758</v>
      </c>
      <c r="D59" s="87"/>
      <c r="E59" s="87"/>
      <c r="F59" s="87"/>
      <c r="G59" s="87"/>
      <c r="H59" s="87"/>
      <c r="I59" s="777"/>
      <c r="J59" s="777"/>
      <c r="K59" s="789">
        <f t="shared" ref="K59:AI59" si="15">(365-K37*(K46+K50)-K38*(K47+K51))*K55*24</f>
        <v>7971.6</v>
      </c>
      <c r="L59" s="789">
        <f t="shared" si="15"/>
        <v>7971.6</v>
      </c>
      <c r="M59" s="789">
        <f t="shared" si="15"/>
        <v>7971.6</v>
      </c>
      <c r="N59" s="789">
        <f t="shared" si="15"/>
        <v>6224.4000000000005</v>
      </c>
      <c r="O59" s="789">
        <f t="shared" si="15"/>
        <v>7971.6</v>
      </c>
      <c r="P59" s="789">
        <f t="shared" si="15"/>
        <v>7971.6</v>
      </c>
      <c r="Q59" s="789">
        <f t="shared" si="15"/>
        <v>6224.4000000000005</v>
      </c>
      <c r="R59" s="789">
        <f t="shared" si="15"/>
        <v>7971.6</v>
      </c>
      <c r="S59" s="789">
        <f t="shared" si="15"/>
        <v>7971.6</v>
      </c>
      <c r="T59" s="789">
        <f t="shared" si="15"/>
        <v>6224.4000000000005</v>
      </c>
      <c r="U59" s="789">
        <f t="shared" si="15"/>
        <v>7971.6</v>
      </c>
      <c r="V59" s="789">
        <f t="shared" si="15"/>
        <v>7971.6</v>
      </c>
      <c r="W59" s="789">
        <f t="shared" si="15"/>
        <v>6224.4000000000005</v>
      </c>
      <c r="X59" s="789">
        <f t="shared" si="15"/>
        <v>7971.6</v>
      </c>
      <c r="Y59" s="789">
        <f t="shared" si="15"/>
        <v>7971.6</v>
      </c>
      <c r="Z59" s="789">
        <f t="shared" si="15"/>
        <v>6224.4000000000005</v>
      </c>
      <c r="AA59" s="789">
        <f t="shared" si="15"/>
        <v>7971.6</v>
      </c>
      <c r="AB59" s="789">
        <f t="shared" si="15"/>
        <v>7971.6</v>
      </c>
      <c r="AC59" s="789">
        <f t="shared" si="15"/>
        <v>6224.4000000000005</v>
      </c>
      <c r="AD59" s="789">
        <f t="shared" si="15"/>
        <v>7971.6</v>
      </c>
      <c r="AE59" s="789">
        <f t="shared" si="15"/>
        <v>7971.6</v>
      </c>
      <c r="AF59" s="789">
        <f t="shared" si="15"/>
        <v>6224.4000000000005</v>
      </c>
      <c r="AG59" s="789">
        <f t="shared" si="15"/>
        <v>7971.6</v>
      </c>
      <c r="AH59" s="789">
        <f t="shared" si="15"/>
        <v>7971.6</v>
      </c>
      <c r="AI59" s="789">
        <f t="shared" si="15"/>
        <v>6224.4000000000005</v>
      </c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</row>
    <row r="60" spans="2:57" ht="15.75" customHeight="1">
      <c r="B60" s="91"/>
      <c r="C60" s="776"/>
      <c r="D60" s="87"/>
      <c r="E60" s="87"/>
      <c r="F60" s="87"/>
      <c r="G60" s="87"/>
      <c r="H60" s="87"/>
      <c r="I60" s="156"/>
      <c r="J60" s="156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</row>
    <row r="61" spans="2:57" ht="15.75" customHeight="1">
      <c r="B61" s="91"/>
      <c r="C61" s="775" t="s">
        <v>763</v>
      </c>
      <c r="D61" s="87"/>
      <c r="E61" s="87"/>
      <c r="F61" s="87"/>
      <c r="G61" s="87"/>
      <c r="H61" s="87"/>
      <c r="I61" s="1983"/>
      <c r="J61" s="1983"/>
      <c r="K61" s="1983"/>
      <c r="L61" s="1983"/>
      <c r="M61" s="1983"/>
      <c r="N61" s="1983"/>
      <c r="O61" s="76"/>
      <c r="Q61" s="152"/>
      <c r="R61" s="152"/>
      <c r="S61" s="152"/>
      <c r="T61" s="152"/>
      <c r="U61" s="152"/>
      <c r="V61" s="152"/>
      <c r="W61" s="152"/>
      <c r="X61" s="152"/>
      <c r="Y61" s="152"/>
      <c r="Z61" s="152"/>
      <c r="AA61" s="152"/>
      <c r="AB61" s="152"/>
      <c r="AC61" s="152"/>
      <c r="AD61" s="152"/>
      <c r="AE61" s="152"/>
      <c r="AF61" s="152"/>
      <c r="AG61" s="152"/>
      <c r="AH61" s="152"/>
      <c r="AI61" s="152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</row>
    <row r="62" spans="2:57" ht="15.75" customHeight="1">
      <c r="B62" s="91"/>
      <c r="C62" s="776" t="s">
        <v>756</v>
      </c>
      <c r="D62" s="87"/>
      <c r="E62" s="87"/>
      <c r="F62" s="87"/>
      <c r="G62" s="87"/>
      <c r="H62" s="87"/>
      <c r="I62" s="777"/>
      <c r="J62" s="777"/>
      <c r="K62" s="790">
        <v>0.77</v>
      </c>
      <c r="L62" s="790">
        <v>0.77</v>
      </c>
      <c r="M62" s="790">
        <v>0.94</v>
      </c>
      <c r="N62" s="790">
        <v>1</v>
      </c>
      <c r="O62" s="790">
        <f>N62</f>
        <v>1</v>
      </c>
      <c r="P62" s="790">
        <f>O62</f>
        <v>1</v>
      </c>
      <c r="Q62" s="790">
        <f t="shared" ref="Q62:AI63" si="16">P62</f>
        <v>1</v>
      </c>
      <c r="R62" s="790">
        <f t="shared" si="16"/>
        <v>1</v>
      </c>
      <c r="S62" s="790">
        <f t="shared" si="16"/>
        <v>1</v>
      </c>
      <c r="T62" s="790">
        <f t="shared" si="16"/>
        <v>1</v>
      </c>
      <c r="U62" s="790">
        <f t="shared" si="16"/>
        <v>1</v>
      </c>
      <c r="V62" s="790">
        <f t="shared" si="16"/>
        <v>1</v>
      </c>
      <c r="W62" s="790">
        <f t="shared" si="16"/>
        <v>1</v>
      </c>
      <c r="X62" s="790">
        <f t="shared" si="16"/>
        <v>1</v>
      </c>
      <c r="Y62" s="790">
        <f t="shared" si="16"/>
        <v>1</v>
      </c>
      <c r="Z62" s="790">
        <f t="shared" si="16"/>
        <v>1</v>
      </c>
      <c r="AA62" s="790">
        <f t="shared" si="16"/>
        <v>1</v>
      </c>
      <c r="AB62" s="790">
        <f t="shared" si="16"/>
        <v>1</v>
      </c>
      <c r="AC62" s="790">
        <f t="shared" si="16"/>
        <v>1</v>
      </c>
      <c r="AD62" s="790">
        <f t="shared" si="16"/>
        <v>1</v>
      </c>
      <c r="AE62" s="790">
        <f t="shared" si="16"/>
        <v>1</v>
      </c>
      <c r="AF62" s="790">
        <f t="shared" si="16"/>
        <v>1</v>
      </c>
      <c r="AG62" s="790">
        <f t="shared" si="16"/>
        <v>1</v>
      </c>
      <c r="AH62" s="790">
        <f t="shared" si="16"/>
        <v>1</v>
      </c>
      <c r="AI62" s="790">
        <f t="shared" si="16"/>
        <v>1</v>
      </c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</row>
    <row r="63" spans="2:57" ht="15.75" customHeight="1">
      <c r="B63" s="91"/>
      <c r="C63" s="776" t="s">
        <v>758</v>
      </c>
      <c r="D63" s="87"/>
      <c r="E63" s="87"/>
      <c r="F63" s="87"/>
      <c r="G63" s="87"/>
      <c r="H63" s="87"/>
      <c r="I63" s="777"/>
      <c r="J63" s="777"/>
      <c r="K63" s="790">
        <v>0.77</v>
      </c>
      <c r="L63" s="790">
        <v>0.77</v>
      </c>
      <c r="M63" s="790">
        <v>0.94</v>
      </c>
      <c r="N63" s="790">
        <v>1</v>
      </c>
      <c r="O63" s="790">
        <f>N63</f>
        <v>1</v>
      </c>
      <c r="P63" s="790">
        <f>O63</f>
        <v>1</v>
      </c>
      <c r="Q63" s="790">
        <f t="shared" si="16"/>
        <v>1</v>
      </c>
      <c r="R63" s="790">
        <f t="shared" si="16"/>
        <v>1</v>
      </c>
      <c r="S63" s="790">
        <f t="shared" si="16"/>
        <v>1</v>
      </c>
      <c r="T63" s="790">
        <f t="shared" si="16"/>
        <v>1</v>
      </c>
      <c r="U63" s="790">
        <f t="shared" si="16"/>
        <v>1</v>
      </c>
      <c r="V63" s="790">
        <f t="shared" si="16"/>
        <v>1</v>
      </c>
      <c r="W63" s="790">
        <f t="shared" si="16"/>
        <v>1</v>
      </c>
      <c r="X63" s="790">
        <f t="shared" si="16"/>
        <v>1</v>
      </c>
      <c r="Y63" s="790">
        <f t="shared" si="16"/>
        <v>1</v>
      </c>
      <c r="Z63" s="790">
        <f t="shared" si="16"/>
        <v>1</v>
      </c>
      <c r="AA63" s="790">
        <f t="shared" si="16"/>
        <v>1</v>
      </c>
      <c r="AB63" s="790">
        <f t="shared" si="16"/>
        <v>1</v>
      </c>
      <c r="AC63" s="790">
        <f t="shared" si="16"/>
        <v>1</v>
      </c>
      <c r="AD63" s="790">
        <f t="shared" si="16"/>
        <v>1</v>
      </c>
      <c r="AE63" s="790">
        <f t="shared" si="16"/>
        <v>1</v>
      </c>
      <c r="AF63" s="790">
        <f t="shared" si="16"/>
        <v>1</v>
      </c>
      <c r="AG63" s="790">
        <f t="shared" si="16"/>
        <v>1</v>
      </c>
      <c r="AH63" s="790">
        <f t="shared" si="16"/>
        <v>1</v>
      </c>
      <c r="AI63" s="790">
        <f t="shared" si="16"/>
        <v>1</v>
      </c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</row>
    <row r="64" spans="2:57" ht="15.75" customHeight="1">
      <c r="B64" s="91"/>
      <c r="C64" s="787"/>
      <c r="D64" s="87"/>
      <c r="E64" s="87"/>
      <c r="F64" s="87"/>
      <c r="G64" s="87"/>
      <c r="H64" s="87"/>
      <c r="I64" s="100"/>
      <c r="J64" s="100"/>
      <c r="K64" s="940"/>
      <c r="L64" s="788"/>
      <c r="M64" s="788"/>
      <c r="N64" s="788"/>
      <c r="O64" s="76"/>
      <c r="Q64" s="152"/>
      <c r="R64" s="152"/>
      <c r="S64" s="152"/>
      <c r="T64" s="152"/>
      <c r="U64" s="152"/>
      <c r="V64" s="152"/>
      <c r="W64" s="152"/>
      <c r="X64" s="152"/>
      <c r="Y64" s="152"/>
      <c r="Z64" s="152"/>
      <c r="AA64" s="152"/>
      <c r="AB64" s="152"/>
      <c r="AC64" s="152"/>
      <c r="AD64" s="152"/>
      <c r="AE64" s="152"/>
      <c r="AF64" s="152"/>
      <c r="AG64" s="152"/>
      <c r="AH64" s="152"/>
      <c r="AI64" s="152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</row>
    <row r="65" spans="1:57" ht="15.75" customHeight="1">
      <c r="B65" s="91"/>
      <c r="C65" s="775" t="s">
        <v>607</v>
      </c>
      <c r="D65" s="87"/>
      <c r="E65" s="87"/>
      <c r="F65" s="87"/>
      <c r="G65" s="87"/>
      <c r="H65" s="87"/>
      <c r="I65" s="1983"/>
      <c r="J65" s="1983"/>
      <c r="K65" s="1983"/>
      <c r="L65" s="1983"/>
      <c r="M65" s="1983"/>
      <c r="N65" s="1983"/>
      <c r="O65" s="76"/>
      <c r="Q65" s="152"/>
      <c r="R65" s="152"/>
      <c r="S65" s="152"/>
      <c r="T65" s="152"/>
      <c r="U65" s="152"/>
      <c r="V65" s="152"/>
      <c r="W65" s="152"/>
      <c r="X65" s="152"/>
      <c r="Y65" s="152"/>
      <c r="Z65" s="152"/>
      <c r="AA65" s="152"/>
      <c r="AB65" s="152"/>
      <c r="AC65" s="152"/>
      <c r="AD65" s="152"/>
      <c r="AE65" s="152"/>
      <c r="AF65" s="152"/>
      <c r="AG65" s="152"/>
      <c r="AH65" s="152"/>
      <c r="AI65" s="152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</row>
    <row r="66" spans="1:57" ht="15.75" customHeight="1">
      <c r="B66" s="91"/>
      <c r="C66" s="776" t="s">
        <v>756</v>
      </c>
      <c r="D66" s="87"/>
      <c r="E66" s="87"/>
      <c r="F66" s="87"/>
      <c r="G66" s="87"/>
      <c r="H66" s="87"/>
      <c r="I66" s="777"/>
      <c r="J66" s="777"/>
      <c r="K66" s="791">
        <v>73</v>
      </c>
      <c r="L66" s="791">
        <f t="shared" ref="L66:AA68" si="17">K66</f>
        <v>73</v>
      </c>
      <c r="M66" s="791">
        <f t="shared" si="17"/>
        <v>73</v>
      </c>
      <c r="N66" s="791">
        <f t="shared" si="17"/>
        <v>73</v>
      </c>
      <c r="O66" s="791">
        <f t="shared" si="17"/>
        <v>73</v>
      </c>
      <c r="P66" s="791">
        <f t="shared" si="17"/>
        <v>73</v>
      </c>
      <c r="Q66" s="791">
        <f t="shared" si="17"/>
        <v>73</v>
      </c>
      <c r="R66" s="791">
        <f t="shared" si="17"/>
        <v>73</v>
      </c>
      <c r="S66" s="791">
        <f t="shared" si="17"/>
        <v>73</v>
      </c>
      <c r="T66" s="791">
        <f t="shared" si="17"/>
        <v>73</v>
      </c>
      <c r="U66" s="791">
        <f t="shared" si="17"/>
        <v>73</v>
      </c>
      <c r="V66" s="791">
        <f t="shared" si="17"/>
        <v>73</v>
      </c>
      <c r="W66" s="791">
        <f t="shared" si="17"/>
        <v>73</v>
      </c>
      <c r="X66" s="791">
        <f t="shared" si="17"/>
        <v>73</v>
      </c>
      <c r="Y66" s="791">
        <f t="shared" si="17"/>
        <v>73</v>
      </c>
      <c r="Z66" s="791">
        <f t="shared" si="17"/>
        <v>73</v>
      </c>
      <c r="AA66" s="791">
        <f t="shared" si="17"/>
        <v>73</v>
      </c>
      <c r="AB66" s="791">
        <f t="shared" ref="AB66:AI68" si="18">AA66</f>
        <v>73</v>
      </c>
      <c r="AC66" s="791">
        <f t="shared" si="18"/>
        <v>73</v>
      </c>
      <c r="AD66" s="791">
        <f t="shared" si="18"/>
        <v>73</v>
      </c>
      <c r="AE66" s="791">
        <f t="shared" si="18"/>
        <v>73</v>
      </c>
      <c r="AF66" s="791">
        <f t="shared" si="18"/>
        <v>73</v>
      </c>
      <c r="AG66" s="791">
        <f t="shared" si="18"/>
        <v>73</v>
      </c>
      <c r="AH66" s="791">
        <f t="shared" si="18"/>
        <v>73</v>
      </c>
      <c r="AI66" s="791">
        <f t="shared" si="18"/>
        <v>73</v>
      </c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</row>
    <row r="67" spans="1:57" ht="15.75" customHeight="1">
      <c r="B67" s="91"/>
      <c r="C67" s="776" t="s">
        <v>758</v>
      </c>
      <c r="D67" s="87"/>
      <c r="E67" s="87"/>
      <c r="F67" s="87"/>
      <c r="G67" s="87"/>
      <c r="H67" s="87"/>
      <c r="I67" s="777"/>
      <c r="J67" s="777"/>
      <c r="K67" s="791">
        <v>73</v>
      </c>
      <c r="L67" s="791">
        <f t="shared" si="17"/>
        <v>73</v>
      </c>
      <c r="M67" s="791">
        <f t="shared" si="17"/>
        <v>73</v>
      </c>
      <c r="N67" s="791">
        <f t="shared" si="17"/>
        <v>73</v>
      </c>
      <c r="O67" s="791">
        <f t="shared" si="17"/>
        <v>73</v>
      </c>
      <c r="P67" s="791">
        <f t="shared" si="17"/>
        <v>73</v>
      </c>
      <c r="Q67" s="791">
        <f t="shared" si="17"/>
        <v>73</v>
      </c>
      <c r="R67" s="791">
        <f t="shared" si="17"/>
        <v>73</v>
      </c>
      <c r="S67" s="791">
        <f t="shared" si="17"/>
        <v>73</v>
      </c>
      <c r="T67" s="791">
        <f t="shared" si="17"/>
        <v>73</v>
      </c>
      <c r="U67" s="791">
        <f t="shared" si="17"/>
        <v>73</v>
      </c>
      <c r="V67" s="791">
        <f t="shared" si="17"/>
        <v>73</v>
      </c>
      <c r="W67" s="791">
        <f t="shared" si="17"/>
        <v>73</v>
      </c>
      <c r="X67" s="791">
        <f t="shared" si="17"/>
        <v>73</v>
      </c>
      <c r="Y67" s="791">
        <f t="shared" si="17"/>
        <v>73</v>
      </c>
      <c r="Z67" s="791">
        <f t="shared" si="17"/>
        <v>73</v>
      </c>
      <c r="AA67" s="791">
        <f t="shared" si="17"/>
        <v>73</v>
      </c>
      <c r="AB67" s="791">
        <f t="shared" si="18"/>
        <v>73</v>
      </c>
      <c r="AC67" s="791">
        <f t="shared" si="18"/>
        <v>73</v>
      </c>
      <c r="AD67" s="791">
        <f t="shared" si="18"/>
        <v>73</v>
      </c>
      <c r="AE67" s="791">
        <f t="shared" si="18"/>
        <v>73</v>
      </c>
      <c r="AF67" s="791">
        <f t="shared" si="18"/>
        <v>73</v>
      </c>
      <c r="AG67" s="791">
        <f t="shared" si="18"/>
        <v>73</v>
      </c>
      <c r="AH67" s="791">
        <f t="shared" si="18"/>
        <v>73</v>
      </c>
      <c r="AI67" s="791">
        <f t="shared" si="18"/>
        <v>73</v>
      </c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</row>
    <row r="68" spans="1:57" ht="15.75" customHeight="1">
      <c r="B68" s="91"/>
      <c r="C68" s="776" t="s">
        <v>764</v>
      </c>
      <c r="D68" s="100"/>
      <c r="E68" s="100"/>
      <c r="F68" s="100"/>
      <c r="G68" s="100"/>
      <c r="H68" s="100"/>
      <c r="I68" s="777"/>
      <c r="J68" s="777"/>
      <c r="K68" s="791">
        <f>328.72*75/32</f>
        <v>770.43750000000011</v>
      </c>
      <c r="L68" s="791">
        <f>K68</f>
        <v>770.43750000000011</v>
      </c>
      <c r="M68" s="791">
        <f t="shared" si="17"/>
        <v>770.43750000000011</v>
      </c>
      <c r="N68" s="791">
        <f t="shared" si="17"/>
        <v>770.43750000000011</v>
      </c>
      <c r="O68" s="791">
        <f t="shared" si="17"/>
        <v>770.43750000000011</v>
      </c>
      <c r="P68" s="791">
        <f t="shared" si="17"/>
        <v>770.43750000000011</v>
      </c>
      <c r="Q68" s="791">
        <f t="shared" si="17"/>
        <v>770.43750000000011</v>
      </c>
      <c r="R68" s="791">
        <f t="shared" si="17"/>
        <v>770.43750000000011</v>
      </c>
      <c r="S68" s="791">
        <f t="shared" si="17"/>
        <v>770.43750000000011</v>
      </c>
      <c r="T68" s="791">
        <f t="shared" si="17"/>
        <v>770.43750000000011</v>
      </c>
      <c r="U68" s="791">
        <f t="shared" si="17"/>
        <v>770.43750000000011</v>
      </c>
      <c r="V68" s="791">
        <f t="shared" si="17"/>
        <v>770.43750000000011</v>
      </c>
      <c r="W68" s="791">
        <f t="shared" si="17"/>
        <v>770.43750000000011</v>
      </c>
      <c r="X68" s="791">
        <f t="shared" si="17"/>
        <v>770.43750000000011</v>
      </c>
      <c r="Y68" s="791">
        <f t="shared" si="17"/>
        <v>770.43750000000011</v>
      </c>
      <c r="Z68" s="791">
        <f t="shared" si="17"/>
        <v>770.43750000000011</v>
      </c>
      <c r="AA68" s="791">
        <f t="shared" si="17"/>
        <v>770.43750000000011</v>
      </c>
      <c r="AB68" s="791">
        <f t="shared" si="18"/>
        <v>770.43750000000011</v>
      </c>
      <c r="AC68" s="791">
        <f t="shared" si="18"/>
        <v>770.43750000000011</v>
      </c>
      <c r="AD68" s="791">
        <f t="shared" si="18"/>
        <v>770.43750000000011</v>
      </c>
      <c r="AE68" s="791">
        <f t="shared" si="18"/>
        <v>770.43750000000011</v>
      </c>
      <c r="AF68" s="791">
        <f t="shared" si="18"/>
        <v>770.43750000000011</v>
      </c>
      <c r="AG68" s="791">
        <f t="shared" si="18"/>
        <v>770.43750000000011</v>
      </c>
      <c r="AH68" s="791">
        <f t="shared" si="18"/>
        <v>770.43750000000011</v>
      </c>
      <c r="AI68" s="791">
        <f t="shared" si="18"/>
        <v>770.43750000000011</v>
      </c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</row>
    <row r="69" spans="1:57" ht="15.75" customHeight="1">
      <c r="B69" s="91"/>
      <c r="C69" s="775"/>
      <c r="D69" s="100"/>
      <c r="E69" s="100"/>
      <c r="F69" s="100"/>
      <c r="G69" s="100"/>
      <c r="H69" s="100"/>
      <c r="I69" s="156"/>
      <c r="J69" s="156"/>
      <c r="K69" s="141"/>
      <c r="L69" s="141"/>
      <c r="M69" s="941"/>
      <c r="N69" s="941"/>
      <c r="O69" s="76"/>
      <c r="Q69" s="152"/>
      <c r="R69" s="152"/>
      <c r="S69" s="152"/>
      <c r="T69" s="152"/>
      <c r="U69" s="152"/>
      <c r="V69" s="152"/>
      <c r="W69" s="152"/>
      <c r="X69" s="152"/>
      <c r="Y69" s="152"/>
      <c r="Z69" s="152"/>
      <c r="AA69" s="152"/>
      <c r="AB69" s="152"/>
      <c r="AC69" s="152"/>
      <c r="AD69" s="152"/>
      <c r="AE69" s="152"/>
      <c r="AF69" s="152"/>
      <c r="AG69" s="152"/>
      <c r="AH69" s="152"/>
      <c r="AI69" s="152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</row>
    <row r="70" spans="1:57" ht="15.75" customHeight="1">
      <c r="B70" s="91"/>
      <c r="C70" s="775" t="s">
        <v>589</v>
      </c>
      <c r="D70" s="87"/>
      <c r="E70" s="87"/>
      <c r="F70" s="87"/>
      <c r="G70" s="87"/>
      <c r="H70" s="87"/>
      <c r="I70" s="163"/>
      <c r="J70" s="163"/>
      <c r="K70" s="163"/>
      <c r="L70" s="163"/>
      <c r="M70" s="163"/>
      <c r="N70" s="163"/>
      <c r="O70" s="76"/>
      <c r="Q70" s="152"/>
      <c r="R70" s="152"/>
      <c r="S70" s="152"/>
      <c r="T70" s="152"/>
      <c r="U70" s="152"/>
      <c r="V70" s="152"/>
      <c r="W70" s="152"/>
      <c r="X70" s="152"/>
      <c r="Y70" s="152"/>
      <c r="Z70" s="152"/>
      <c r="AA70" s="152"/>
      <c r="AB70" s="152"/>
      <c r="AC70" s="152"/>
      <c r="AD70" s="152"/>
      <c r="AE70" s="152"/>
      <c r="AF70" s="152"/>
      <c r="AG70" s="152"/>
      <c r="AH70" s="152"/>
      <c r="AI70" s="152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</row>
    <row r="71" spans="1:57" ht="15.75" customHeight="1">
      <c r="B71" s="91"/>
      <c r="C71" s="776" t="s">
        <v>765</v>
      </c>
      <c r="D71" s="87"/>
      <c r="E71" s="87"/>
      <c r="F71" s="87"/>
      <c r="G71" s="87"/>
      <c r="H71" s="87"/>
      <c r="I71" s="777"/>
      <c r="J71" s="777"/>
      <c r="K71" s="791">
        <f>K58*K66*K62</f>
        <v>448083.63600000006</v>
      </c>
      <c r="L71" s="791">
        <f>L58*L66*L62</f>
        <v>448083.63600000006</v>
      </c>
      <c r="M71" s="791">
        <f>M58*M66*M62</f>
        <v>547011.19200000004</v>
      </c>
      <c r="N71" s="791">
        <f>N58*N66*N62</f>
        <v>581926.80000000005</v>
      </c>
      <c r="O71" s="791">
        <f>O58*O66*O62</f>
        <v>454381.2</v>
      </c>
      <c r="P71" s="791">
        <f>P58*P66</f>
        <v>581926.80000000005</v>
      </c>
      <c r="Q71" s="791">
        <f t="shared" ref="Q71:AI71" si="19">Q58*Q66</f>
        <v>581926.80000000005</v>
      </c>
      <c r="R71" s="791">
        <f t="shared" si="19"/>
        <v>454381.2</v>
      </c>
      <c r="S71" s="791">
        <f t="shared" si="19"/>
        <v>581926.80000000005</v>
      </c>
      <c r="T71" s="791">
        <f t="shared" si="19"/>
        <v>581926.80000000005</v>
      </c>
      <c r="U71" s="791">
        <f t="shared" si="19"/>
        <v>454381.2</v>
      </c>
      <c r="V71" s="791">
        <f t="shared" si="19"/>
        <v>581926.80000000005</v>
      </c>
      <c r="W71" s="791">
        <f t="shared" si="19"/>
        <v>581926.80000000005</v>
      </c>
      <c r="X71" s="791">
        <f t="shared" si="19"/>
        <v>454381.2</v>
      </c>
      <c r="Y71" s="791">
        <f t="shared" si="19"/>
        <v>581926.80000000005</v>
      </c>
      <c r="Z71" s="791">
        <f t="shared" si="19"/>
        <v>581926.80000000005</v>
      </c>
      <c r="AA71" s="791">
        <f t="shared" si="19"/>
        <v>454381.2</v>
      </c>
      <c r="AB71" s="791">
        <f t="shared" si="19"/>
        <v>581926.80000000005</v>
      </c>
      <c r="AC71" s="791">
        <f t="shared" si="19"/>
        <v>581926.80000000005</v>
      </c>
      <c r="AD71" s="791">
        <f t="shared" si="19"/>
        <v>454381.2</v>
      </c>
      <c r="AE71" s="791">
        <f t="shared" si="19"/>
        <v>581926.80000000005</v>
      </c>
      <c r="AF71" s="791">
        <f t="shared" si="19"/>
        <v>581926.80000000005</v>
      </c>
      <c r="AG71" s="791">
        <f t="shared" si="19"/>
        <v>454381.2</v>
      </c>
      <c r="AH71" s="791">
        <f t="shared" si="19"/>
        <v>581926.80000000005</v>
      </c>
      <c r="AI71" s="791">
        <f t="shared" si="19"/>
        <v>581926.80000000005</v>
      </c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</row>
    <row r="72" spans="1:57" ht="15.75" customHeight="1">
      <c r="B72" s="91"/>
      <c r="C72" s="776" t="s">
        <v>766</v>
      </c>
      <c r="D72" s="87"/>
      <c r="E72" s="87"/>
      <c r="F72" s="87"/>
      <c r="G72" s="87"/>
      <c r="H72" s="87"/>
      <c r="I72" s="777"/>
      <c r="J72" s="777"/>
      <c r="K72" s="791">
        <f t="shared" ref="K72:AI72" si="20">K68*K33*K50+K34*K51*K68</f>
        <v>0</v>
      </c>
      <c r="L72" s="791">
        <f t="shared" si="20"/>
        <v>0</v>
      </c>
      <c r="M72" s="791">
        <f t="shared" si="20"/>
        <v>0</v>
      </c>
      <c r="N72" s="791">
        <f t="shared" si="20"/>
        <v>0</v>
      </c>
      <c r="O72" s="791">
        <f t="shared" si="20"/>
        <v>19260.937500000004</v>
      </c>
      <c r="P72" s="791">
        <f t="shared" si="20"/>
        <v>0</v>
      </c>
      <c r="Q72" s="791">
        <f t="shared" si="20"/>
        <v>0</v>
      </c>
      <c r="R72" s="791">
        <f t="shared" si="20"/>
        <v>19260.937500000004</v>
      </c>
      <c r="S72" s="791">
        <f t="shared" si="20"/>
        <v>0</v>
      </c>
      <c r="T72" s="791">
        <f t="shared" si="20"/>
        <v>0</v>
      </c>
      <c r="U72" s="791">
        <f t="shared" si="20"/>
        <v>19260.937500000004</v>
      </c>
      <c r="V72" s="791">
        <f t="shared" si="20"/>
        <v>0</v>
      </c>
      <c r="W72" s="791">
        <f t="shared" si="20"/>
        <v>0</v>
      </c>
      <c r="X72" s="791">
        <f t="shared" si="20"/>
        <v>19260.937500000004</v>
      </c>
      <c r="Y72" s="791">
        <f t="shared" si="20"/>
        <v>0</v>
      </c>
      <c r="Z72" s="791">
        <f t="shared" si="20"/>
        <v>0</v>
      </c>
      <c r="AA72" s="791">
        <f t="shared" si="20"/>
        <v>19260.937500000004</v>
      </c>
      <c r="AB72" s="791">
        <f t="shared" si="20"/>
        <v>0</v>
      </c>
      <c r="AC72" s="791">
        <f t="shared" si="20"/>
        <v>0</v>
      </c>
      <c r="AD72" s="791">
        <f t="shared" si="20"/>
        <v>19260.937500000004</v>
      </c>
      <c r="AE72" s="791">
        <f t="shared" si="20"/>
        <v>0</v>
      </c>
      <c r="AF72" s="791">
        <f t="shared" si="20"/>
        <v>0</v>
      </c>
      <c r="AG72" s="791">
        <f t="shared" si="20"/>
        <v>19260.937500000004</v>
      </c>
      <c r="AH72" s="791">
        <f t="shared" si="20"/>
        <v>0</v>
      </c>
      <c r="AI72" s="791">
        <f t="shared" si="20"/>
        <v>0</v>
      </c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</row>
    <row r="73" spans="1:57" ht="15.75" customHeight="1">
      <c r="B73" s="91"/>
      <c r="C73" s="776" t="s">
        <v>767</v>
      </c>
      <c r="D73" s="87"/>
      <c r="E73" s="87"/>
      <c r="F73" s="87"/>
      <c r="G73" s="87"/>
      <c r="H73" s="87"/>
      <c r="I73" s="777"/>
      <c r="J73" s="777"/>
      <c r="K73" s="791">
        <f>K59*K67*K63</f>
        <v>448083.63600000006</v>
      </c>
      <c r="L73" s="791">
        <f>L59*L67*L63</f>
        <v>448083.63600000006</v>
      </c>
      <c r="M73" s="791">
        <f>M59*M67*M63</f>
        <v>547011.19200000004</v>
      </c>
      <c r="N73" s="791">
        <f>N59*N67*N63</f>
        <v>454381.2</v>
      </c>
      <c r="O73" s="791">
        <f>O59*O67*O63</f>
        <v>581926.80000000005</v>
      </c>
      <c r="P73" s="791">
        <f>P59*P67</f>
        <v>581926.80000000005</v>
      </c>
      <c r="Q73" s="791">
        <f t="shared" ref="Q73:AI73" si="21">Q59*Q67</f>
        <v>454381.2</v>
      </c>
      <c r="R73" s="791">
        <f t="shared" si="21"/>
        <v>581926.80000000005</v>
      </c>
      <c r="S73" s="791">
        <f t="shared" si="21"/>
        <v>581926.80000000005</v>
      </c>
      <c r="T73" s="791">
        <f t="shared" si="21"/>
        <v>454381.2</v>
      </c>
      <c r="U73" s="791">
        <f t="shared" si="21"/>
        <v>581926.80000000005</v>
      </c>
      <c r="V73" s="791">
        <f t="shared" si="21"/>
        <v>581926.80000000005</v>
      </c>
      <c r="W73" s="791">
        <f t="shared" si="21"/>
        <v>454381.2</v>
      </c>
      <c r="X73" s="791">
        <f t="shared" si="21"/>
        <v>581926.80000000005</v>
      </c>
      <c r="Y73" s="791">
        <f t="shared" si="21"/>
        <v>581926.80000000005</v>
      </c>
      <c r="Z73" s="791">
        <f t="shared" si="21"/>
        <v>454381.2</v>
      </c>
      <c r="AA73" s="791">
        <f t="shared" si="21"/>
        <v>581926.80000000005</v>
      </c>
      <c r="AB73" s="791">
        <f t="shared" si="21"/>
        <v>581926.80000000005</v>
      </c>
      <c r="AC73" s="791">
        <f t="shared" si="21"/>
        <v>454381.2</v>
      </c>
      <c r="AD73" s="791">
        <f t="shared" si="21"/>
        <v>581926.80000000005</v>
      </c>
      <c r="AE73" s="791">
        <f t="shared" si="21"/>
        <v>581926.80000000005</v>
      </c>
      <c r="AF73" s="791">
        <f t="shared" si="21"/>
        <v>454381.2</v>
      </c>
      <c r="AG73" s="791">
        <f t="shared" si="21"/>
        <v>581926.80000000005</v>
      </c>
      <c r="AH73" s="791">
        <f t="shared" si="21"/>
        <v>581926.80000000005</v>
      </c>
      <c r="AI73" s="791">
        <f t="shared" si="21"/>
        <v>454381.2</v>
      </c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</row>
    <row r="74" spans="1:57" ht="15.75" customHeight="1">
      <c r="B74" s="91"/>
      <c r="C74" s="776" t="s">
        <v>768</v>
      </c>
      <c r="D74" s="87"/>
      <c r="E74" s="87"/>
      <c r="F74" s="87"/>
      <c r="G74" s="87"/>
      <c r="H74" s="87"/>
      <c r="I74" s="777"/>
      <c r="J74" s="777"/>
      <c r="K74" s="791">
        <f t="shared" ref="K74:AI74" si="22">K68*K37*K50+K38*K51*K68</f>
        <v>0</v>
      </c>
      <c r="L74" s="791">
        <f t="shared" si="22"/>
        <v>0</v>
      </c>
      <c r="M74" s="791">
        <f t="shared" si="22"/>
        <v>0</v>
      </c>
      <c r="N74" s="791">
        <f t="shared" si="22"/>
        <v>19260.937500000004</v>
      </c>
      <c r="O74" s="791">
        <f t="shared" si="22"/>
        <v>0</v>
      </c>
      <c r="P74" s="791">
        <f t="shared" si="22"/>
        <v>0</v>
      </c>
      <c r="Q74" s="791">
        <f t="shared" si="22"/>
        <v>19260.937500000004</v>
      </c>
      <c r="R74" s="791">
        <f t="shared" si="22"/>
        <v>0</v>
      </c>
      <c r="S74" s="791">
        <f t="shared" si="22"/>
        <v>0</v>
      </c>
      <c r="T74" s="791">
        <f t="shared" si="22"/>
        <v>19260.937500000004</v>
      </c>
      <c r="U74" s="791">
        <f t="shared" si="22"/>
        <v>0</v>
      </c>
      <c r="V74" s="791">
        <f t="shared" si="22"/>
        <v>0</v>
      </c>
      <c r="W74" s="791">
        <f t="shared" si="22"/>
        <v>19260.937500000004</v>
      </c>
      <c r="X74" s="791">
        <f t="shared" si="22"/>
        <v>0</v>
      </c>
      <c r="Y74" s="791">
        <f t="shared" si="22"/>
        <v>0</v>
      </c>
      <c r="Z74" s="791">
        <f t="shared" si="22"/>
        <v>19260.937500000004</v>
      </c>
      <c r="AA74" s="791">
        <f t="shared" si="22"/>
        <v>0</v>
      </c>
      <c r="AB74" s="791">
        <f t="shared" si="22"/>
        <v>0</v>
      </c>
      <c r="AC74" s="791">
        <f t="shared" si="22"/>
        <v>19260.937500000004</v>
      </c>
      <c r="AD74" s="791">
        <f t="shared" si="22"/>
        <v>0</v>
      </c>
      <c r="AE74" s="791">
        <f t="shared" si="22"/>
        <v>0</v>
      </c>
      <c r="AF74" s="791">
        <f t="shared" si="22"/>
        <v>19260.937500000004</v>
      </c>
      <c r="AG74" s="791">
        <f t="shared" si="22"/>
        <v>0</v>
      </c>
      <c r="AH74" s="791">
        <f t="shared" si="22"/>
        <v>0</v>
      </c>
      <c r="AI74" s="791">
        <f t="shared" si="22"/>
        <v>19260.937500000004</v>
      </c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</row>
    <row r="75" spans="1:57" ht="15.75" customHeight="1">
      <c r="B75" s="91"/>
      <c r="C75" s="776" t="s">
        <v>600</v>
      </c>
      <c r="D75" s="100"/>
      <c r="E75" s="100"/>
      <c r="F75" s="100"/>
      <c r="G75" s="100"/>
      <c r="H75" s="100"/>
      <c r="I75" s="156"/>
      <c r="J75" s="156"/>
      <c r="K75" s="791">
        <f>50*24*365</f>
        <v>438000</v>
      </c>
      <c r="L75" s="791">
        <f>50*24*365</f>
        <v>438000</v>
      </c>
      <c r="M75" s="791">
        <f>50*24*365</f>
        <v>438000</v>
      </c>
      <c r="N75" s="791">
        <f>50*24*365</f>
        <v>438000</v>
      </c>
      <c r="O75" s="791">
        <f t="shared" ref="O75:AI75" si="23">50*24*365</f>
        <v>438000</v>
      </c>
      <c r="P75" s="791">
        <f t="shared" si="23"/>
        <v>438000</v>
      </c>
      <c r="Q75" s="791">
        <f t="shared" si="23"/>
        <v>438000</v>
      </c>
      <c r="R75" s="791">
        <f t="shared" si="23"/>
        <v>438000</v>
      </c>
      <c r="S75" s="791">
        <f t="shared" si="23"/>
        <v>438000</v>
      </c>
      <c r="T75" s="791">
        <f t="shared" si="23"/>
        <v>438000</v>
      </c>
      <c r="U75" s="791">
        <f t="shared" si="23"/>
        <v>438000</v>
      </c>
      <c r="V75" s="791">
        <f t="shared" si="23"/>
        <v>438000</v>
      </c>
      <c r="W75" s="791">
        <f t="shared" si="23"/>
        <v>438000</v>
      </c>
      <c r="X75" s="791">
        <f t="shared" si="23"/>
        <v>438000</v>
      </c>
      <c r="Y75" s="791">
        <f t="shared" si="23"/>
        <v>438000</v>
      </c>
      <c r="Z75" s="791">
        <f t="shared" si="23"/>
        <v>438000</v>
      </c>
      <c r="AA75" s="791">
        <f t="shared" si="23"/>
        <v>438000</v>
      </c>
      <c r="AB75" s="791">
        <f t="shared" si="23"/>
        <v>438000</v>
      </c>
      <c r="AC75" s="791">
        <f t="shared" si="23"/>
        <v>438000</v>
      </c>
      <c r="AD75" s="791">
        <f t="shared" si="23"/>
        <v>438000</v>
      </c>
      <c r="AE75" s="791">
        <f t="shared" si="23"/>
        <v>438000</v>
      </c>
      <c r="AF75" s="791">
        <f t="shared" si="23"/>
        <v>438000</v>
      </c>
      <c r="AG75" s="791">
        <f t="shared" si="23"/>
        <v>438000</v>
      </c>
      <c r="AH75" s="791">
        <f t="shared" si="23"/>
        <v>438000</v>
      </c>
      <c r="AI75" s="791">
        <f t="shared" si="23"/>
        <v>438000</v>
      </c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</row>
    <row r="76" spans="1:57" ht="15.75" customHeight="1">
      <c r="B76" s="91"/>
      <c r="C76" s="776" t="s">
        <v>571</v>
      </c>
      <c r="D76" s="87"/>
      <c r="E76" s="87"/>
      <c r="F76" s="87"/>
      <c r="G76" s="87"/>
      <c r="H76" s="87"/>
      <c r="I76" s="87"/>
      <c r="J76" s="100"/>
      <c r="K76" s="791">
        <f>SUM(K71:K75)</f>
        <v>1334167.2720000001</v>
      </c>
      <c r="L76" s="791">
        <f>SUM(L71:L75)</f>
        <v>1334167.2720000001</v>
      </c>
      <c r="M76" s="791">
        <f>SUM(M71:M75)</f>
        <v>1532022.3840000001</v>
      </c>
      <c r="N76" s="791">
        <f>SUM(N71:N75)</f>
        <v>1493568.9375</v>
      </c>
      <c r="O76" s="791">
        <f t="shared" ref="O76:AI76" si="24">SUM(O71:O75)</f>
        <v>1493568.9375</v>
      </c>
      <c r="P76" s="791">
        <f t="shared" si="24"/>
        <v>1601853.6</v>
      </c>
      <c r="Q76" s="791">
        <f t="shared" si="24"/>
        <v>1493568.9375</v>
      </c>
      <c r="R76" s="791">
        <f t="shared" si="24"/>
        <v>1493568.9375</v>
      </c>
      <c r="S76" s="791">
        <f t="shared" si="24"/>
        <v>1601853.6</v>
      </c>
      <c r="T76" s="791">
        <f t="shared" si="24"/>
        <v>1493568.9375</v>
      </c>
      <c r="U76" s="791">
        <f t="shared" si="24"/>
        <v>1493568.9375</v>
      </c>
      <c r="V76" s="791">
        <f t="shared" si="24"/>
        <v>1601853.6</v>
      </c>
      <c r="W76" s="791">
        <f t="shared" si="24"/>
        <v>1493568.9375</v>
      </c>
      <c r="X76" s="791">
        <f t="shared" si="24"/>
        <v>1493568.9375</v>
      </c>
      <c r="Y76" s="791">
        <f t="shared" si="24"/>
        <v>1601853.6</v>
      </c>
      <c r="Z76" s="791">
        <f t="shared" si="24"/>
        <v>1493568.9375</v>
      </c>
      <c r="AA76" s="791">
        <f t="shared" si="24"/>
        <v>1493568.9375</v>
      </c>
      <c r="AB76" s="791">
        <f t="shared" si="24"/>
        <v>1601853.6</v>
      </c>
      <c r="AC76" s="791">
        <f t="shared" si="24"/>
        <v>1493568.9375</v>
      </c>
      <c r="AD76" s="791">
        <f t="shared" si="24"/>
        <v>1493568.9375</v>
      </c>
      <c r="AE76" s="791">
        <f t="shared" si="24"/>
        <v>1601853.6</v>
      </c>
      <c r="AF76" s="791">
        <f t="shared" si="24"/>
        <v>1493568.9375</v>
      </c>
      <c r="AG76" s="791">
        <f t="shared" si="24"/>
        <v>1493568.9375</v>
      </c>
      <c r="AH76" s="791">
        <f t="shared" si="24"/>
        <v>1601853.6</v>
      </c>
      <c r="AI76" s="791">
        <f t="shared" si="24"/>
        <v>1493568.9375</v>
      </c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</row>
    <row r="77" spans="1:57" ht="15.75" customHeight="1" thickBot="1">
      <c r="B77" s="91"/>
      <c r="C77" s="792"/>
      <c r="D77" s="793"/>
      <c r="E77" s="793"/>
      <c r="F77" s="793"/>
      <c r="G77" s="793"/>
      <c r="H77" s="793"/>
      <c r="I77" s="793"/>
      <c r="J77" s="794"/>
      <c r="K77" s="795"/>
      <c r="L77" s="795"/>
      <c r="M77" s="795"/>
      <c r="N77" s="795"/>
      <c r="O77" s="795"/>
      <c r="P77" s="795"/>
      <c r="Q77" s="795"/>
      <c r="R77" s="795"/>
      <c r="S77" s="795"/>
      <c r="T77" s="795"/>
      <c r="U77" s="795"/>
      <c r="V77" s="795"/>
      <c r="W77" s="795"/>
      <c r="X77" s="795"/>
      <c r="Y77" s="795"/>
      <c r="Z77" s="795"/>
      <c r="AA77" s="795"/>
      <c r="AB77" s="795"/>
      <c r="AC77" s="795"/>
      <c r="AD77" s="795"/>
      <c r="AE77" s="795"/>
      <c r="AF77" s="795"/>
      <c r="AG77" s="795"/>
      <c r="AH77" s="795"/>
      <c r="AI77" s="795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</row>
    <row r="78" spans="1:57" s="81" customFormat="1" ht="15.75" customHeight="1">
      <c r="A78" s="75"/>
      <c r="B78" s="100"/>
      <c r="C78" s="135"/>
      <c r="D78" s="100"/>
      <c r="E78" s="100"/>
      <c r="F78" s="100"/>
      <c r="G78" s="100"/>
      <c r="H78" s="100"/>
      <c r="I78" s="100"/>
      <c r="J78" s="91"/>
      <c r="K78" s="91"/>
      <c r="L78" s="91"/>
      <c r="M78" s="91"/>
      <c r="N78" s="91"/>
      <c r="O78" s="76"/>
      <c r="P78" s="152"/>
      <c r="Q78" s="152"/>
      <c r="R78" s="152"/>
      <c r="S78" s="152"/>
      <c r="T78" s="152"/>
      <c r="U78" s="152"/>
      <c r="V78" s="152"/>
      <c r="W78" s="152"/>
      <c r="X78" s="152"/>
      <c r="Y78" s="152"/>
      <c r="Z78" s="152"/>
      <c r="AA78" s="152"/>
      <c r="AB78" s="152"/>
      <c r="AC78" s="152"/>
      <c r="AD78" s="152"/>
      <c r="AE78" s="152"/>
      <c r="AF78" s="152"/>
      <c r="AG78" s="152"/>
      <c r="AH78" s="152"/>
      <c r="AI78" s="152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</row>
    <row r="79" spans="1:57" s="81" customFormat="1" ht="15.75" customHeight="1">
      <c r="A79" s="75"/>
      <c r="B79" s="100"/>
      <c r="C79" s="135"/>
      <c r="D79" s="100"/>
      <c r="E79" s="100"/>
      <c r="F79" s="100"/>
      <c r="G79" s="100"/>
      <c r="H79" s="100"/>
      <c r="I79" s="100"/>
      <c r="J79" s="91"/>
      <c r="K79" s="91"/>
      <c r="L79" s="91"/>
      <c r="M79" s="91"/>
      <c r="N79" s="91"/>
      <c r="O79" s="76"/>
      <c r="P79" s="152"/>
      <c r="Q79" s="152"/>
      <c r="R79" s="152"/>
      <c r="S79" s="152"/>
      <c r="T79" s="152"/>
      <c r="U79" s="152"/>
      <c r="V79" s="152"/>
      <c r="W79" s="152"/>
      <c r="X79" s="152"/>
      <c r="Y79" s="152"/>
      <c r="Z79" s="152"/>
      <c r="AA79" s="152"/>
      <c r="AB79" s="152"/>
      <c r="AC79" s="152"/>
      <c r="AD79" s="152"/>
      <c r="AE79" s="152"/>
      <c r="AF79" s="152"/>
      <c r="AG79" s="152"/>
      <c r="AH79" s="152"/>
      <c r="AI79" s="152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</row>
    <row r="80" spans="1:57" s="81" customFormat="1" ht="15.75" customHeight="1">
      <c r="A80" s="75"/>
      <c r="B80" s="100"/>
      <c r="C80" s="135"/>
      <c r="D80" s="100"/>
      <c r="E80" s="100"/>
      <c r="F80" s="100"/>
      <c r="G80" s="100"/>
      <c r="H80" s="100"/>
      <c r="I80" s="100"/>
      <c r="J80" s="91"/>
      <c r="K80" s="91"/>
      <c r="L80" s="91"/>
      <c r="M80" s="91"/>
      <c r="N80" s="91"/>
      <c r="O80" s="76"/>
      <c r="P80" s="152"/>
      <c r="Q80" s="152"/>
      <c r="R80" s="152"/>
      <c r="S80" s="152"/>
      <c r="T80" s="152"/>
      <c r="U80" s="152"/>
      <c r="V80" s="152"/>
      <c r="W80" s="152"/>
      <c r="X80" s="152"/>
      <c r="Y80" s="152"/>
      <c r="Z80" s="152"/>
      <c r="AA80" s="152"/>
      <c r="AB80" s="152"/>
      <c r="AC80" s="152"/>
      <c r="AD80" s="152"/>
      <c r="AE80" s="152"/>
      <c r="AF80" s="152"/>
      <c r="AG80" s="152"/>
      <c r="AH80" s="152"/>
      <c r="AI80" s="152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</row>
    <row r="81" spans="1:57" s="81" customFormat="1" ht="15.75" customHeight="1">
      <c r="A81" s="75"/>
      <c r="B81" s="100"/>
      <c r="C81" s="135"/>
      <c r="D81" s="100"/>
      <c r="E81" s="100"/>
      <c r="F81" s="100"/>
      <c r="G81" s="100"/>
      <c r="H81" s="100"/>
      <c r="I81" s="100"/>
      <c r="J81" s="91"/>
      <c r="K81" s="91"/>
      <c r="L81" s="91"/>
      <c r="M81" s="91"/>
      <c r="N81" s="91"/>
      <c r="O81" s="76"/>
      <c r="P81" s="152"/>
      <c r="Q81" s="152"/>
      <c r="R81" s="152"/>
      <c r="S81" s="152"/>
      <c r="T81" s="152"/>
      <c r="U81" s="152"/>
      <c r="V81" s="152"/>
      <c r="W81" s="152"/>
      <c r="X81" s="152"/>
      <c r="Y81" s="152"/>
      <c r="Z81" s="152"/>
      <c r="AA81" s="152"/>
      <c r="AB81" s="152"/>
      <c r="AC81" s="152"/>
      <c r="AD81" s="152"/>
      <c r="AE81" s="152"/>
      <c r="AF81" s="152"/>
      <c r="AG81" s="152"/>
      <c r="AH81" s="152"/>
      <c r="AI81" s="152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</row>
    <row r="82" spans="1:57" s="81" customFormat="1" ht="27">
      <c r="A82" s="75"/>
      <c r="B82" s="100"/>
      <c r="C82" s="462" t="s">
        <v>769</v>
      </c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6"/>
      <c r="P82" s="152"/>
      <c r="Q82" s="152"/>
      <c r="R82" s="152"/>
      <c r="S82" s="152"/>
      <c r="T82" s="152"/>
      <c r="U82" s="152"/>
      <c r="V82" s="152"/>
      <c r="W82" s="152"/>
      <c r="X82" s="152"/>
      <c r="Y82" s="152"/>
      <c r="Z82" s="152"/>
      <c r="AA82" s="152"/>
      <c r="AB82" s="152"/>
      <c r="AC82" s="152"/>
      <c r="AD82" s="152"/>
      <c r="AE82" s="152"/>
      <c r="AF82" s="152"/>
      <c r="AG82" s="152"/>
      <c r="AH82" s="152"/>
      <c r="AI82" s="152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</row>
    <row r="83" spans="1:57" s="81" customFormat="1" ht="15.75" customHeight="1">
      <c r="A83" s="75"/>
      <c r="B83" s="100"/>
      <c r="C83" s="464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  <c r="AA83" s="89"/>
      <c r="AB83" s="89"/>
      <c r="AC83" s="89"/>
      <c r="AD83" s="89"/>
      <c r="AE83" s="89"/>
      <c r="AF83" s="89"/>
      <c r="AG83" s="89"/>
      <c r="AH83" s="89"/>
      <c r="AI83" s="89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</row>
    <row r="84" spans="1:57" s="81" customFormat="1" ht="15.75" customHeight="1">
      <c r="A84" s="75"/>
      <c r="B84" s="100"/>
      <c r="C84" s="460"/>
      <c r="D84" s="75"/>
      <c r="E84" s="75"/>
      <c r="F84" s="75"/>
      <c r="G84" s="75"/>
      <c r="H84" s="75"/>
      <c r="I84" s="75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</row>
    <row r="85" spans="1:57" s="81" customFormat="1" ht="15.75" customHeight="1">
      <c r="A85" s="75"/>
      <c r="B85" s="100"/>
      <c r="C85" s="467" t="s">
        <v>14</v>
      </c>
      <c r="D85" s="468"/>
      <c r="E85" s="468"/>
      <c r="F85" s="468"/>
      <c r="G85" s="468"/>
      <c r="H85" s="468"/>
      <c r="I85" s="468"/>
      <c r="J85" s="91"/>
      <c r="K85" s="91"/>
      <c r="L85" s="91"/>
      <c r="M85" s="91"/>
      <c r="N85" s="135"/>
      <c r="O85" s="135"/>
      <c r="P85" s="135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</row>
    <row r="86" spans="1:57" s="81" customFormat="1" ht="15.75" customHeight="1">
      <c r="A86" s="75"/>
      <c r="B86" s="91"/>
      <c r="C86" s="546"/>
      <c r="D86" s="106"/>
      <c r="E86" s="106"/>
      <c r="F86" s="106"/>
      <c r="G86" s="768">
        <f>H86-1</f>
        <v>-4</v>
      </c>
      <c r="H86" s="768">
        <f>I86-1</f>
        <v>-3</v>
      </c>
      <c r="I86" s="768">
        <f>J86-1</f>
        <v>-2</v>
      </c>
      <c r="J86" s="768">
        <v>-1</v>
      </c>
      <c r="K86" s="768">
        <f>J86+2</f>
        <v>1</v>
      </c>
      <c r="L86" s="768">
        <f t="shared" ref="L86:AI86" si="25">K86+1</f>
        <v>2</v>
      </c>
      <c r="M86" s="768">
        <f t="shared" si="25"/>
        <v>3</v>
      </c>
      <c r="N86" s="768">
        <f t="shared" si="25"/>
        <v>4</v>
      </c>
      <c r="O86" s="768">
        <f t="shared" si="25"/>
        <v>5</v>
      </c>
      <c r="P86" s="768">
        <f t="shared" si="25"/>
        <v>6</v>
      </c>
      <c r="Q86" s="768">
        <f t="shared" si="25"/>
        <v>7</v>
      </c>
      <c r="R86" s="768">
        <f t="shared" si="25"/>
        <v>8</v>
      </c>
      <c r="S86" s="768">
        <f t="shared" si="25"/>
        <v>9</v>
      </c>
      <c r="T86" s="768">
        <f t="shared" si="25"/>
        <v>10</v>
      </c>
      <c r="U86" s="768">
        <f t="shared" si="25"/>
        <v>11</v>
      </c>
      <c r="V86" s="768">
        <f t="shared" si="25"/>
        <v>12</v>
      </c>
      <c r="W86" s="768">
        <f t="shared" si="25"/>
        <v>13</v>
      </c>
      <c r="X86" s="768">
        <f t="shared" si="25"/>
        <v>14</v>
      </c>
      <c r="Y86" s="768">
        <f t="shared" si="25"/>
        <v>15</v>
      </c>
      <c r="Z86" s="768">
        <f t="shared" si="25"/>
        <v>16</v>
      </c>
      <c r="AA86" s="768">
        <f t="shared" si="25"/>
        <v>17</v>
      </c>
      <c r="AB86" s="768">
        <f t="shared" si="25"/>
        <v>18</v>
      </c>
      <c r="AC86" s="768">
        <f t="shared" si="25"/>
        <v>19</v>
      </c>
      <c r="AD86" s="768">
        <f t="shared" si="25"/>
        <v>20</v>
      </c>
      <c r="AE86" s="768">
        <f t="shared" si="25"/>
        <v>21</v>
      </c>
      <c r="AF86" s="768">
        <f t="shared" si="25"/>
        <v>22</v>
      </c>
      <c r="AG86" s="768">
        <f t="shared" si="25"/>
        <v>23</v>
      </c>
      <c r="AH86" s="768">
        <f t="shared" si="25"/>
        <v>24</v>
      </c>
      <c r="AI86" s="768">
        <f t="shared" si="25"/>
        <v>25</v>
      </c>
      <c r="AJ86" s="768" t="s">
        <v>666</v>
      </c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</row>
    <row r="87" spans="1:57" s="81" customFormat="1" ht="15.75" customHeight="1">
      <c r="A87" s="75"/>
      <c r="B87" s="91"/>
      <c r="C87" s="548"/>
      <c r="D87" s="469"/>
      <c r="E87" s="469"/>
      <c r="F87" s="469"/>
      <c r="G87" s="469"/>
      <c r="H87" s="469"/>
      <c r="I87" s="548"/>
      <c r="J87" s="548"/>
      <c r="K87" s="769">
        <f>INT(ROUNDUP(K86/12,0))</f>
        <v>1</v>
      </c>
      <c r="L87" s="769">
        <f>INT(ROUNDUP(L86/12,0))</f>
        <v>1</v>
      </c>
      <c r="M87" s="769">
        <f t="shared" ref="M87:AI87" si="26">INT(ROUNDUP(M86/12,0))</f>
        <v>1</v>
      </c>
      <c r="N87" s="769">
        <f t="shared" si="26"/>
        <v>1</v>
      </c>
      <c r="O87" s="769">
        <f t="shared" si="26"/>
        <v>1</v>
      </c>
      <c r="P87" s="769">
        <f t="shared" si="26"/>
        <v>1</v>
      </c>
      <c r="Q87" s="769">
        <f t="shared" si="26"/>
        <v>1</v>
      </c>
      <c r="R87" s="769">
        <f t="shared" si="26"/>
        <v>1</v>
      </c>
      <c r="S87" s="769">
        <f t="shared" si="26"/>
        <v>1</v>
      </c>
      <c r="T87" s="769">
        <f t="shared" si="26"/>
        <v>1</v>
      </c>
      <c r="U87" s="769">
        <f t="shared" si="26"/>
        <v>1</v>
      </c>
      <c r="V87" s="769">
        <f t="shared" si="26"/>
        <v>1</v>
      </c>
      <c r="W87" s="769">
        <f t="shared" si="26"/>
        <v>2</v>
      </c>
      <c r="X87" s="769">
        <f t="shared" si="26"/>
        <v>2</v>
      </c>
      <c r="Y87" s="769">
        <f t="shared" si="26"/>
        <v>2</v>
      </c>
      <c r="Z87" s="769">
        <f t="shared" si="26"/>
        <v>2</v>
      </c>
      <c r="AA87" s="769">
        <f t="shared" si="26"/>
        <v>2</v>
      </c>
      <c r="AB87" s="769">
        <f t="shared" si="26"/>
        <v>2</v>
      </c>
      <c r="AC87" s="769">
        <f t="shared" si="26"/>
        <v>2</v>
      </c>
      <c r="AD87" s="769">
        <f t="shared" si="26"/>
        <v>2</v>
      </c>
      <c r="AE87" s="769">
        <f t="shared" si="26"/>
        <v>2</v>
      </c>
      <c r="AF87" s="769">
        <f t="shared" si="26"/>
        <v>2</v>
      </c>
      <c r="AG87" s="769">
        <f t="shared" si="26"/>
        <v>2</v>
      </c>
      <c r="AH87" s="769">
        <f t="shared" si="26"/>
        <v>2</v>
      </c>
      <c r="AI87" s="769">
        <f t="shared" si="26"/>
        <v>3</v>
      </c>
      <c r="AJ87" s="769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</row>
    <row r="88" spans="1:57" s="81" customFormat="1" ht="15.75" customHeight="1">
      <c r="A88" s="75"/>
      <c r="B88" s="91"/>
      <c r="C88" s="471"/>
      <c r="D88" s="472"/>
      <c r="E88" s="506"/>
      <c r="F88" s="506"/>
      <c r="G88" s="94" t="s">
        <v>499</v>
      </c>
      <c r="H88" s="94" t="s">
        <v>499</v>
      </c>
      <c r="I88" s="94" t="s">
        <v>499</v>
      </c>
      <c r="J88" s="94" t="s">
        <v>499</v>
      </c>
      <c r="K88" s="94" t="s">
        <v>499</v>
      </c>
      <c r="L88" s="94" t="s">
        <v>499</v>
      </c>
      <c r="M88" s="94" t="s">
        <v>499</v>
      </c>
      <c r="N88" s="94" t="s">
        <v>499</v>
      </c>
      <c r="O88" s="94" t="s">
        <v>499</v>
      </c>
      <c r="P88" s="94" t="s">
        <v>499</v>
      </c>
      <c r="Q88" s="94" t="s">
        <v>499</v>
      </c>
      <c r="R88" s="94" t="s">
        <v>499</v>
      </c>
      <c r="S88" s="94" t="s">
        <v>499</v>
      </c>
      <c r="T88" s="94" t="s">
        <v>499</v>
      </c>
      <c r="U88" s="94" t="s">
        <v>499</v>
      </c>
      <c r="V88" s="94" t="s">
        <v>499</v>
      </c>
      <c r="W88" s="94" t="s">
        <v>499</v>
      </c>
      <c r="X88" s="94" t="s">
        <v>499</v>
      </c>
      <c r="Y88" s="94" t="s">
        <v>499</v>
      </c>
      <c r="Z88" s="94" t="s">
        <v>499</v>
      </c>
      <c r="AA88" s="94" t="s">
        <v>499</v>
      </c>
      <c r="AB88" s="94" t="s">
        <v>499</v>
      </c>
      <c r="AC88" s="94" t="s">
        <v>499</v>
      </c>
      <c r="AD88" s="94" t="s">
        <v>499</v>
      </c>
      <c r="AE88" s="94" t="s">
        <v>499</v>
      </c>
      <c r="AF88" s="94" t="s">
        <v>499</v>
      </c>
      <c r="AG88" s="94" t="s">
        <v>499</v>
      </c>
      <c r="AH88" s="94" t="s">
        <v>499</v>
      </c>
      <c r="AI88" s="94" t="s">
        <v>499</v>
      </c>
      <c r="AJ88" s="94" t="s">
        <v>499</v>
      </c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</row>
    <row r="89" spans="1:57" s="81" customFormat="1" ht="15.75" customHeight="1">
      <c r="A89" s="75"/>
      <c r="B89" s="100"/>
      <c r="C89" s="135"/>
      <c r="D89" s="91"/>
      <c r="E89" s="91"/>
      <c r="F89" s="91"/>
      <c r="G89" s="91"/>
      <c r="H89" s="91"/>
      <c r="I89" s="75"/>
      <c r="J89" s="75"/>
      <c r="K89" s="91"/>
      <c r="L89" s="91"/>
      <c r="M89" s="91"/>
      <c r="N89" s="91"/>
      <c r="O89" s="76"/>
      <c r="P89" s="152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</row>
    <row r="90" spans="1:57" s="81" customFormat="1" ht="15.75" customHeight="1">
      <c r="A90" s="75"/>
      <c r="B90" s="100"/>
      <c r="C90" s="74" t="s">
        <v>579</v>
      </c>
      <c r="D90" s="74"/>
      <c r="E90" s="74"/>
      <c r="F90" s="74"/>
      <c r="G90" s="74"/>
      <c r="H90" s="74"/>
      <c r="I90" s="76"/>
      <c r="J90" s="76"/>
      <c r="K90" s="74">
        <f>(K71+K73)/K91*1000</f>
        <v>2013859.0382022473</v>
      </c>
      <c r="L90" s="74">
        <f>(L71+L73)/L91*1000</f>
        <v>2013859.0382022473</v>
      </c>
      <c r="M90" s="74">
        <f>(M71+M73)/M91*1000</f>
        <v>2458477.2674157307</v>
      </c>
      <c r="N90" s="74">
        <f>(N71+N73)/N91*1000</f>
        <v>2328782.0224719103</v>
      </c>
      <c r="O90" s="74">
        <f t="shared" ref="O90:AI90" si="27">(O71+O73)/O91*1000</f>
        <v>2328782.0224719103</v>
      </c>
      <c r="P90" s="74">
        <f t="shared" si="27"/>
        <v>2615401.3483146071</v>
      </c>
      <c r="Q90" s="74">
        <f t="shared" si="27"/>
        <v>2328782.0224719103</v>
      </c>
      <c r="R90" s="74">
        <f t="shared" si="27"/>
        <v>2328782.0224719103</v>
      </c>
      <c r="S90" s="74">
        <f t="shared" si="27"/>
        <v>2615401.3483146071</v>
      </c>
      <c r="T90" s="74">
        <f t="shared" si="27"/>
        <v>2328782.0224719103</v>
      </c>
      <c r="U90" s="74">
        <f t="shared" si="27"/>
        <v>2328782.0224719103</v>
      </c>
      <c r="V90" s="74">
        <f t="shared" si="27"/>
        <v>2615401.3483146071</v>
      </c>
      <c r="W90" s="74">
        <f t="shared" si="27"/>
        <v>2328782.0224719103</v>
      </c>
      <c r="X90" s="74">
        <f t="shared" si="27"/>
        <v>2328782.0224719103</v>
      </c>
      <c r="Y90" s="74">
        <f t="shared" si="27"/>
        <v>2615401.3483146071</v>
      </c>
      <c r="Z90" s="74">
        <f t="shared" si="27"/>
        <v>2328782.0224719103</v>
      </c>
      <c r="AA90" s="74">
        <f t="shared" si="27"/>
        <v>2328782.0224719103</v>
      </c>
      <c r="AB90" s="74">
        <f t="shared" si="27"/>
        <v>2615401.3483146071</v>
      </c>
      <c r="AC90" s="74">
        <f t="shared" si="27"/>
        <v>2328782.0224719103</v>
      </c>
      <c r="AD90" s="74">
        <f t="shared" si="27"/>
        <v>2328782.0224719103</v>
      </c>
      <c r="AE90" s="74">
        <f t="shared" si="27"/>
        <v>2615401.3483146071</v>
      </c>
      <c r="AF90" s="74">
        <f t="shared" si="27"/>
        <v>2328782.0224719103</v>
      </c>
      <c r="AG90" s="74">
        <f t="shared" si="27"/>
        <v>2328782.0224719103</v>
      </c>
      <c r="AH90" s="74">
        <f t="shared" si="27"/>
        <v>2615401.3483146071</v>
      </c>
      <c r="AI90" s="74">
        <f t="shared" si="27"/>
        <v>2328782.0224719103</v>
      </c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</row>
    <row r="91" spans="1:57" s="81" customFormat="1" ht="15.75" customHeight="1">
      <c r="A91" s="75"/>
      <c r="B91" s="100"/>
      <c r="C91" s="678" t="s">
        <v>770</v>
      </c>
      <c r="D91" s="74"/>
      <c r="E91" s="74"/>
      <c r="F91" s="74"/>
      <c r="G91" s="74"/>
      <c r="H91" s="74"/>
      <c r="I91" s="76"/>
      <c r="J91" s="76"/>
      <c r="K91" s="675">
        <v>445</v>
      </c>
      <c r="L91" s="675">
        <f>K91</f>
        <v>445</v>
      </c>
      <c r="M91" s="675">
        <f t="shared" ref="M91:AI91" si="28">L91</f>
        <v>445</v>
      </c>
      <c r="N91" s="675">
        <f t="shared" si="28"/>
        <v>445</v>
      </c>
      <c r="O91" s="675">
        <f t="shared" si="28"/>
        <v>445</v>
      </c>
      <c r="P91" s="675">
        <f t="shared" si="28"/>
        <v>445</v>
      </c>
      <c r="Q91" s="675">
        <f t="shared" si="28"/>
        <v>445</v>
      </c>
      <c r="R91" s="675">
        <f t="shared" si="28"/>
        <v>445</v>
      </c>
      <c r="S91" s="675">
        <f t="shared" si="28"/>
        <v>445</v>
      </c>
      <c r="T91" s="675">
        <f t="shared" si="28"/>
        <v>445</v>
      </c>
      <c r="U91" s="675">
        <f t="shared" si="28"/>
        <v>445</v>
      </c>
      <c r="V91" s="675">
        <f t="shared" si="28"/>
        <v>445</v>
      </c>
      <c r="W91" s="675">
        <f t="shared" si="28"/>
        <v>445</v>
      </c>
      <c r="X91" s="675">
        <f t="shared" si="28"/>
        <v>445</v>
      </c>
      <c r="Y91" s="675">
        <f t="shared" si="28"/>
        <v>445</v>
      </c>
      <c r="Z91" s="675">
        <f t="shared" si="28"/>
        <v>445</v>
      </c>
      <c r="AA91" s="675">
        <f t="shared" si="28"/>
        <v>445</v>
      </c>
      <c r="AB91" s="675">
        <f t="shared" si="28"/>
        <v>445</v>
      </c>
      <c r="AC91" s="675">
        <f t="shared" si="28"/>
        <v>445</v>
      </c>
      <c r="AD91" s="675">
        <f t="shared" si="28"/>
        <v>445</v>
      </c>
      <c r="AE91" s="675">
        <f t="shared" si="28"/>
        <v>445</v>
      </c>
      <c r="AF91" s="675">
        <f t="shared" si="28"/>
        <v>445</v>
      </c>
      <c r="AG91" s="675">
        <f t="shared" si="28"/>
        <v>445</v>
      </c>
      <c r="AH91" s="675">
        <f t="shared" si="28"/>
        <v>445</v>
      </c>
      <c r="AI91" s="675">
        <f t="shared" si="28"/>
        <v>445</v>
      </c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</row>
    <row r="92" spans="1:57" s="81" customFormat="1" ht="15.75" customHeight="1">
      <c r="A92" s="75"/>
      <c r="B92" s="100"/>
      <c r="C92" s="678"/>
      <c r="D92" s="74"/>
      <c r="E92" s="74"/>
      <c r="F92" s="74"/>
      <c r="G92" s="74"/>
      <c r="H92" s="74"/>
      <c r="I92" s="76"/>
      <c r="J92" s="76"/>
      <c r="K92" s="771"/>
      <c r="L92" s="771"/>
      <c r="M92" s="771"/>
      <c r="N92" s="76"/>
      <c r="O92" s="76"/>
      <c r="P92" s="152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</row>
    <row r="93" spans="1:57" s="81" customFormat="1" ht="15.75" customHeight="1">
      <c r="A93" s="75"/>
      <c r="B93" s="100"/>
      <c r="C93" s="678" t="s">
        <v>574</v>
      </c>
      <c r="D93" s="74"/>
      <c r="E93" s="74"/>
      <c r="F93" s="74"/>
      <c r="G93" s="74"/>
      <c r="H93" s="74"/>
      <c r="I93" s="76"/>
      <c r="J93" s="76"/>
      <c r="K93" s="770">
        <v>1</v>
      </c>
      <c r="L93" s="770">
        <f>K93</f>
        <v>1</v>
      </c>
      <c r="M93" s="770">
        <f t="shared" ref="M93:AI93" si="29">L93</f>
        <v>1</v>
      </c>
      <c r="N93" s="770">
        <f t="shared" si="29"/>
        <v>1</v>
      </c>
      <c r="O93" s="770">
        <f t="shared" si="29"/>
        <v>1</v>
      </c>
      <c r="P93" s="770">
        <f t="shared" si="29"/>
        <v>1</v>
      </c>
      <c r="Q93" s="770">
        <f t="shared" si="29"/>
        <v>1</v>
      </c>
      <c r="R93" s="770">
        <f t="shared" si="29"/>
        <v>1</v>
      </c>
      <c r="S93" s="770">
        <f t="shared" si="29"/>
        <v>1</v>
      </c>
      <c r="T93" s="770">
        <f t="shared" si="29"/>
        <v>1</v>
      </c>
      <c r="U93" s="770">
        <f t="shared" si="29"/>
        <v>1</v>
      </c>
      <c r="V93" s="770">
        <f t="shared" si="29"/>
        <v>1</v>
      </c>
      <c r="W93" s="770">
        <f t="shared" si="29"/>
        <v>1</v>
      </c>
      <c r="X93" s="770">
        <f t="shared" si="29"/>
        <v>1</v>
      </c>
      <c r="Y93" s="770">
        <f t="shared" si="29"/>
        <v>1</v>
      </c>
      <c r="Z93" s="770">
        <f t="shared" si="29"/>
        <v>1</v>
      </c>
      <c r="AA93" s="770">
        <f t="shared" si="29"/>
        <v>1</v>
      </c>
      <c r="AB93" s="770">
        <f t="shared" si="29"/>
        <v>1</v>
      </c>
      <c r="AC93" s="770">
        <f t="shared" si="29"/>
        <v>1</v>
      </c>
      <c r="AD93" s="770">
        <f t="shared" si="29"/>
        <v>1</v>
      </c>
      <c r="AE93" s="770">
        <f t="shared" si="29"/>
        <v>1</v>
      </c>
      <c r="AF93" s="770">
        <f t="shared" si="29"/>
        <v>1</v>
      </c>
      <c r="AG93" s="770">
        <f t="shared" si="29"/>
        <v>1</v>
      </c>
      <c r="AH93" s="770">
        <f t="shared" si="29"/>
        <v>1</v>
      </c>
      <c r="AI93" s="770">
        <f t="shared" si="29"/>
        <v>1</v>
      </c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</row>
    <row r="94" spans="1:57" s="81" customFormat="1" ht="15.75" customHeight="1">
      <c r="A94" s="75"/>
      <c r="B94" s="100"/>
      <c r="C94" s="678"/>
      <c r="D94" s="74"/>
      <c r="E94" s="74"/>
      <c r="F94" s="74"/>
      <c r="G94" s="74"/>
      <c r="H94" s="74"/>
      <c r="I94" s="76"/>
      <c r="J94" s="76"/>
      <c r="K94" s="538"/>
      <c r="L94" s="538"/>
      <c r="M94" s="538"/>
      <c r="N94" s="538"/>
      <c r="O94" s="76"/>
      <c r="P94" s="152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</row>
    <row r="95" spans="1:57" s="81" customFormat="1" ht="15.75" customHeight="1">
      <c r="A95" s="75"/>
      <c r="B95" s="100"/>
      <c r="C95" s="74" t="s">
        <v>771</v>
      </c>
      <c r="D95" s="74"/>
      <c r="E95" s="74"/>
      <c r="F95" s="74"/>
      <c r="G95" s="74"/>
      <c r="H95" s="74"/>
      <c r="I95" s="76"/>
      <c r="J95" s="76"/>
      <c r="K95" s="538">
        <f>K90/K93</f>
        <v>2013859.0382022473</v>
      </c>
      <c r="L95" s="538">
        <f>L90/L93</f>
        <v>2013859.0382022473</v>
      </c>
      <c r="M95" s="538">
        <f>M90/M93</f>
        <v>2458477.2674157307</v>
      </c>
      <c r="N95" s="538">
        <f>N90/N93</f>
        <v>2328782.0224719103</v>
      </c>
      <c r="O95" s="538">
        <f t="shared" ref="O95:AI95" si="30">O90/O93</f>
        <v>2328782.0224719103</v>
      </c>
      <c r="P95" s="538">
        <f t="shared" si="30"/>
        <v>2615401.3483146071</v>
      </c>
      <c r="Q95" s="538">
        <f t="shared" si="30"/>
        <v>2328782.0224719103</v>
      </c>
      <c r="R95" s="538">
        <f t="shared" si="30"/>
        <v>2328782.0224719103</v>
      </c>
      <c r="S95" s="538">
        <f t="shared" si="30"/>
        <v>2615401.3483146071</v>
      </c>
      <c r="T95" s="538">
        <f t="shared" si="30"/>
        <v>2328782.0224719103</v>
      </c>
      <c r="U95" s="538">
        <f t="shared" si="30"/>
        <v>2328782.0224719103</v>
      </c>
      <c r="V95" s="538">
        <f t="shared" si="30"/>
        <v>2615401.3483146071</v>
      </c>
      <c r="W95" s="538">
        <f t="shared" si="30"/>
        <v>2328782.0224719103</v>
      </c>
      <c r="X95" s="538">
        <f t="shared" si="30"/>
        <v>2328782.0224719103</v>
      </c>
      <c r="Y95" s="538">
        <f t="shared" si="30"/>
        <v>2615401.3483146071</v>
      </c>
      <c r="Z95" s="538">
        <f t="shared" si="30"/>
        <v>2328782.0224719103</v>
      </c>
      <c r="AA95" s="538">
        <f t="shared" si="30"/>
        <v>2328782.0224719103</v>
      </c>
      <c r="AB95" s="538">
        <f t="shared" si="30"/>
        <v>2615401.3483146071</v>
      </c>
      <c r="AC95" s="538">
        <f t="shared" si="30"/>
        <v>2328782.0224719103</v>
      </c>
      <c r="AD95" s="538">
        <f t="shared" si="30"/>
        <v>2328782.0224719103</v>
      </c>
      <c r="AE95" s="538">
        <f t="shared" si="30"/>
        <v>2615401.3483146071</v>
      </c>
      <c r="AF95" s="538">
        <f t="shared" si="30"/>
        <v>2328782.0224719103</v>
      </c>
      <c r="AG95" s="538">
        <f t="shared" si="30"/>
        <v>2328782.0224719103</v>
      </c>
      <c r="AH95" s="538">
        <f t="shared" si="30"/>
        <v>2615401.3483146071</v>
      </c>
      <c r="AI95" s="538">
        <f t="shared" si="30"/>
        <v>2328782.0224719103</v>
      </c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</row>
    <row r="96" spans="1:57" s="81" customFormat="1" ht="15.75" customHeight="1">
      <c r="A96" s="75"/>
      <c r="B96" s="100"/>
      <c r="C96" s="678" t="s">
        <v>575</v>
      </c>
      <c r="D96" s="74"/>
      <c r="E96" s="74"/>
      <c r="F96" s="74"/>
      <c r="G96" s="74"/>
      <c r="H96" s="74"/>
      <c r="I96" s="76"/>
      <c r="J96" s="76"/>
      <c r="K96" s="942">
        <v>8.9279999999999998E-2</v>
      </c>
      <c r="L96" s="796">
        <f>K96</f>
        <v>8.9279999999999998E-2</v>
      </c>
      <c r="M96" s="796">
        <f>L96</f>
        <v>8.9279999999999998E-2</v>
      </c>
      <c r="N96" s="796">
        <f t="shared" ref="N96:AI97" si="31">M96</f>
        <v>8.9279999999999998E-2</v>
      </c>
      <c r="O96" s="796">
        <f t="shared" si="31"/>
        <v>8.9279999999999998E-2</v>
      </c>
      <c r="P96" s="796">
        <f t="shared" si="31"/>
        <v>8.9279999999999998E-2</v>
      </c>
      <c r="Q96" s="796">
        <f t="shared" si="31"/>
        <v>8.9279999999999998E-2</v>
      </c>
      <c r="R96" s="796">
        <f t="shared" si="31"/>
        <v>8.9279999999999998E-2</v>
      </c>
      <c r="S96" s="796">
        <f t="shared" si="31"/>
        <v>8.9279999999999998E-2</v>
      </c>
      <c r="T96" s="796">
        <f t="shared" si="31"/>
        <v>8.9279999999999998E-2</v>
      </c>
      <c r="U96" s="796">
        <f t="shared" si="31"/>
        <v>8.9279999999999998E-2</v>
      </c>
      <c r="V96" s="796">
        <f t="shared" si="31"/>
        <v>8.9279999999999998E-2</v>
      </c>
      <c r="W96" s="796">
        <f t="shared" si="31"/>
        <v>8.9279999999999998E-2</v>
      </c>
      <c r="X96" s="796">
        <f t="shared" si="31"/>
        <v>8.9279999999999998E-2</v>
      </c>
      <c r="Y96" s="796">
        <f t="shared" si="31"/>
        <v>8.9279999999999998E-2</v>
      </c>
      <c r="Z96" s="796">
        <f t="shared" si="31"/>
        <v>8.9279999999999998E-2</v>
      </c>
      <c r="AA96" s="796">
        <f t="shared" si="31"/>
        <v>8.9279999999999998E-2</v>
      </c>
      <c r="AB96" s="796">
        <f t="shared" si="31"/>
        <v>8.9279999999999998E-2</v>
      </c>
      <c r="AC96" s="796">
        <f t="shared" si="31"/>
        <v>8.9279999999999998E-2</v>
      </c>
      <c r="AD96" s="796">
        <f t="shared" si="31"/>
        <v>8.9279999999999998E-2</v>
      </c>
      <c r="AE96" s="796">
        <f t="shared" si="31"/>
        <v>8.9279999999999998E-2</v>
      </c>
      <c r="AF96" s="796">
        <f t="shared" si="31"/>
        <v>8.9279999999999998E-2</v>
      </c>
      <c r="AG96" s="796">
        <f t="shared" si="31"/>
        <v>8.9279999999999998E-2</v>
      </c>
      <c r="AH96" s="796">
        <f t="shared" si="31"/>
        <v>8.9279999999999998E-2</v>
      </c>
      <c r="AI96" s="796">
        <f t="shared" si="31"/>
        <v>8.9279999999999998E-2</v>
      </c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</row>
    <row r="97" spans="1:57" s="81" customFormat="1" ht="15.75" customHeight="1">
      <c r="A97" s="75"/>
      <c r="B97" s="100"/>
      <c r="C97" s="678" t="s">
        <v>576</v>
      </c>
      <c r="D97" s="74"/>
      <c r="E97" s="74"/>
      <c r="F97" s="74"/>
      <c r="G97" s="74"/>
      <c r="H97" s="74"/>
      <c r="I97" s="76"/>
      <c r="J97" s="76"/>
      <c r="K97" s="943">
        <v>2.8000000000000001E-2</v>
      </c>
      <c r="L97" s="796">
        <f>K97</f>
        <v>2.8000000000000001E-2</v>
      </c>
      <c r="M97" s="796">
        <f>L97</f>
        <v>2.8000000000000001E-2</v>
      </c>
      <c r="N97" s="796">
        <f t="shared" si="31"/>
        <v>2.8000000000000001E-2</v>
      </c>
      <c r="O97" s="796">
        <f t="shared" si="31"/>
        <v>2.8000000000000001E-2</v>
      </c>
      <c r="P97" s="796">
        <f t="shared" si="31"/>
        <v>2.8000000000000001E-2</v>
      </c>
      <c r="Q97" s="796">
        <f t="shared" si="31"/>
        <v>2.8000000000000001E-2</v>
      </c>
      <c r="R97" s="796">
        <f t="shared" si="31"/>
        <v>2.8000000000000001E-2</v>
      </c>
      <c r="S97" s="796">
        <f t="shared" si="31"/>
        <v>2.8000000000000001E-2</v>
      </c>
      <c r="T97" s="796">
        <f t="shared" si="31"/>
        <v>2.8000000000000001E-2</v>
      </c>
      <c r="U97" s="796">
        <f t="shared" si="31"/>
        <v>2.8000000000000001E-2</v>
      </c>
      <c r="V97" s="796">
        <f t="shared" si="31"/>
        <v>2.8000000000000001E-2</v>
      </c>
      <c r="W97" s="796">
        <f t="shared" si="31"/>
        <v>2.8000000000000001E-2</v>
      </c>
      <c r="X97" s="796">
        <f t="shared" si="31"/>
        <v>2.8000000000000001E-2</v>
      </c>
      <c r="Y97" s="796">
        <f t="shared" si="31"/>
        <v>2.8000000000000001E-2</v>
      </c>
      <c r="Z97" s="796">
        <f t="shared" si="31"/>
        <v>2.8000000000000001E-2</v>
      </c>
      <c r="AA97" s="796">
        <f t="shared" si="31"/>
        <v>2.8000000000000001E-2</v>
      </c>
      <c r="AB97" s="796">
        <f t="shared" si="31"/>
        <v>2.8000000000000001E-2</v>
      </c>
      <c r="AC97" s="796">
        <f t="shared" si="31"/>
        <v>2.8000000000000001E-2</v>
      </c>
      <c r="AD97" s="796">
        <f t="shared" si="31"/>
        <v>2.8000000000000001E-2</v>
      </c>
      <c r="AE97" s="796">
        <f t="shared" si="31"/>
        <v>2.8000000000000001E-2</v>
      </c>
      <c r="AF97" s="796">
        <f t="shared" si="31"/>
        <v>2.8000000000000001E-2</v>
      </c>
      <c r="AG97" s="796">
        <f t="shared" si="31"/>
        <v>2.8000000000000001E-2</v>
      </c>
      <c r="AH97" s="796">
        <f t="shared" si="31"/>
        <v>2.8000000000000001E-2</v>
      </c>
      <c r="AI97" s="796">
        <f t="shared" si="31"/>
        <v>2.8000000000000001E-2</v>
      </c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</row>
    <row r="98" spans="1:57" s="81" customFormat="1" ht="15.75" customHeight="1">
      <c r="A98" s="75"/>
      <c r="B98" s="100"/>
      <c r="C98" s="678"/>
      <c r="D98" s="74"/>
      <c r="E98" s="74"/>
      <c r="F98" s="74"/>
      <c r="G98" s="74"/>
      <c r="H98" s="74"/>
      <c r="I98" s="76"/>
      <c r="J98" s="76"/>
      <c r="K98" s="538"/>
      <c r="L98" s="538"/>
      <c r="M98" s="538"/>
      <c r="N98" s="538"/>
      <c r="O98" s="76"/>
      <c r="P98" s="152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</row>
    <row r="99" spans="1:57" s="81" customFormat="1" ht="15.75" customHeight="1">
      <c r="A99" s="75"/>
      <c r="B99" s="100"/>
      <c r="C99" s="74" t="s">
        <v>577</v>
      </c>
      <c r="D99" s="74"/>
      <c r="E99" s="74"/>
      <c r="F99" s="74"/>
      <c r="G99" s="74"/>
      <c r="H99" s="74"/>
      <c r="I99" s="76"/>
      <c r="J99" s="76"/>
      <c r="K99" s="74">
        <f>K96*K95</f>
        <v>179797.33493069664</v>
      </c>
      <c r="L99" s="74">
        <f>L96*L95</f>
        <v>179797.33493069664</v>
      </c>
      <c r="M99" s="74">
        <f>M96*M95</f>
        <v>219492.85043487643</v>
      </c>
      <c r="N99" s="74">
        <f>N96*N95</f>
        <v>207913.65896629216</v>
      </c>
      <c r="O99" s="74">
        <f>O96*O95</f>
        <v>207913.65896629216</v>
      </c>
      <c r="P99" s="74">
        <f t="shared" ref="P99:AI99" si="32">P96*P95</f>
        <v>233503.03237752811</v>
      </c>
      <c r="Q99" s="74">
        <f t="shared" si="32"/>
        <v>207913.65896629216</v>
      </c>
      <c r="R99" s="74">
        <f t="shared" si="32"/>
        <v>207913.65896629216</v>
      </c>
      <c r="S99" s="74">
        <f t="shared" si="32"/>
        <v>233503.03237752811</v>
      </c>
      <c r="T99" s="74">
        <f t="shared" si="32"/>
        <v>207913.65896629216</v>
      </c>
      <c r="U99" s="74">
        <f t="shared" si="32"/>
        <v>207913.65896629216</v>
      </c>
      <c r="V99" s="74">
        <f t="shared" si="32"/>
        <v>233503.03237752811</v>
      </c>
      <c r="W99" s="74">
        <f t="shared" si="32"/>
        <v>207913.65896629216</v>
      </c>
      <c r="X99" s="74">
        <f t="shared" si="32"/>
        <v>207913.65896629216</v>
      </c>
      <c r="Y99" s="74">
        <f t="shared" si="32"/>
        <v>233503.03237752811</v>
      </c>
      <c r="Z99" s="74">
        <f t="shared" si="32"/>
        <v>207913.65896629216</v>
      </c>
      <c r="AA99" s="74">
        <f t="shared" si="32"/>
        <v>207913.65896629216</v>
      </c>
      <c r="AB99" s="74">
        <f t="shared" si="32"/>
        <v>233503.03237752811</v>
      </c>
      <c r="AC99" s="74">
        <f t="shared" si="32"/>
        <v>207913.65896629216</v>
      </c>
      <c r="AD99" s="74">
        <f t="shared" si="32"/>
        <v>207913.65896629216</v>
      </c>
      <c r="AE99" s="74">
        <f t="shared" si="32"/>
        <v>233503.03237752811</v>
      </c>
      <c r="AF99" s="74">
        <f t="shared" si="32"/>
        <v>207913.65896629216</v>
      </c>
      <c r="AG99" s="74">
        <f t="shared" si="32"/>
        <v>207913.65896629216</v>
      </c>
      <c r="AH99" s="74">
        <f t="shared" si="32"/>
        <v>233503.03237752811</v>
      </c>
      <c r="AI99" s="74">
        <f t="shared" si="32"/>
        <v>207913.65896629216</v>
      </c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</row>
    <row r="100" spans="1:57" s="81" customFormat="1" ht="15.75" customHeight="1">
      <c r="A100" s="75"/>
      <c r="B100" s="100"/>
      <c r="C100" s="74" t="s">
        <v>578</v>
      </c>
      <c r="D100" s="74"/>
      <c r="E100" s="74"/>
      <c r="F100" s="74"/>
      <c r="G100" s="74"/>
      <c r="H100" s="74"/>
      <c r="I100" s="76"/>
      <c r="J100" s="76"/>
      <c r="K100" s="74">
        <f>K97*K90</f>
        <v>56388.053069662928</v>
      </c>
      <c r="L100" s="74">
        <f>L97*L90</f>
        <v>56388.053069662928</v>
      </c>
      <c r="M100" s="74">
        <f>M97*M90</f>
        <v>68837.363487640469</v>
      </c>
      <c r="N100" s="74">
        <f>N97*N90</f>
        <v>65205.896629213494</v>
      </c>
      <c r="O100" s="74">
        <f>O97*O90</f>
        <v>65205.896629213494</v>
      </c>
      <c r="P100" s="74">
        <f t="shared" ref="P100:AI100" si="33">P97*P90</f>
        <v>73231.237752809</v>
      </c>
      <c r="Q100" s="74">
        <f t="shared" si="33"/>
        <v>65205.896629213494</v>
      </c>
      <c r="R100" s="74">
        <f t="shared" si="33"/>
        <v>65205.896629213494</v>
      </c>
      <c r="S100" s="74">
        <f t="shared" si="33"/>
        <v>73231.237752809</v>
      </c>
      <c r="T100" s="74">
        <f t="shared" si="33"/>
        <v>65205.896629213494</v>
      </c>
      <c r="U100" s="74">
        <f t="shared" si="33"/>
        <v>65205.896629213494</v>
      </c>
      <c r="V100" s="74">
        <f t="shared" si="33"/>
        <v>73231.237752809</v>
      </c>
      <c r="W100" s="74">
        <f t="shared" si="33"/>
        <v>65205.896629213494</v>
      </c>
      <c r="X100" s="74">
        <f t="shared" si="33"/>
        <v>65205.896629213494</v>
      </c>
      <c r="Y100" s="74">
        <f t="shared" si="33"/>
        <v>73231.237752809</v>
      </c>
      <c r="Z100" s="74">
        <f t="shared" si="33"/>
        <v>65205.896629213494</v>
      </c>
      <c r="AA100" s="74">
        <f t="shared" si="33"/>
        <v>65205.896629213494</v>
      </c>
      <c r="AB100" s="74">
        <f t="shared" si="33"/>
        <v>73231.237752809</v>
      </c>
      <c r="AC100" s="74">
        <f t="shared" si="33"/>
        <v>65205.896629213494</v>
      </c>
      <c r="AD100" s="74">
        <f t="shared" si="33"/>
        <v>65205.896629213494</v>
      </c>
      <c r="AE100" s="74">
        <f t="shared" si="33"/>
        <v>73231.237752809</v>
      </c>
      <c r="AF100" s="74">
        <f t="shared" si="33"/>
        <v>65205.896629213494</v>
      </c>
      <c r="AG100" s="74">
        <f t="shared" si="33"/>
        <v>65205.896629213494</v>
      </c>
      <c r="AH100" s="74">
        <f t="shared" si="33"/>
        <v>73231.237752809</v>
      </c>
      <c r="AI100" s="74">
        <f t="shared" si="33"/>
        <v>65205.896629213494</v>
      </c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</row>
    <row r="101" spans="1:57" s="81" customFormat="1" ht="15.75" customHeight="1">
      <c r="A101" s="75"/>
      <c r="B101" s="100"/>
      <c r="C101" s="74" t="s">
        <v>856</v>
      </c>
      <c r="D101" s="74"/>
      <c r="E101" s="74"/>
      <c r="F101" s="74"/>
      <c r="G101" s="74"/>
      <c r="H101" s="74"/>
      <c r="I101" s="76"/>
      <c r="J101" s="76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</row>
    <row r="102" spans="1:57" s="81" customFormat="1" ht="15.75" customHeight="1">
      <c r="A102" s="75"/>
      <c r="B102" s="100"/>
      <c r="C102" s="678" t="s">
        <v>842</v>
      </c>
      <c r="D102" s="74"/>
      <c r="E102" s="74"/>
      <c r="F102" s="74"/>
      <c r="G102" s="74"/>
      <c r="H102" s="74"/>
      <c r="I102" s="76"/>
      <c r="J102" s="76"/>
      <c r="K102" s="538">
        <f>219147</f>
        <v>219147</v>
      </c>
      <c r="L102" s="538">
        <v>336836</v>
      </c>
      <c r="M102" s="538">
        <v>374703</v>
      </c>
      <c r="N102" s="538">
        <v>379064</v>
      </c>
      <c r="O102" s="538">
        <v>379064</v>
      </c>
      <c r="P102" s="538">
        <v>379064</v>
      </c>
      <c r="Q102" s="538">
        <v>379064</v>
      </c>
      <c r="R102" s="538">
        <v>379064</v>
      </c>
      <c r="S102" s="538">
        <v>378518</v>
      </c>
      <c r="T102" s="538">
        <v>371460</v>
      </c>
      <c r="U102" s="538">
        <v>371460</v>
      </c>
      <c r="V102" s="538">
        <v>371460</v>
      </c>
      <c r="W102" s="538">
        <v>371460</v>
      </c>
      <c r="X102" s="538">
        <v>371460</v>
      </c>
      <c r="Y102" s="538">
        <v>371460</v>
      </c>
      <c r="Z102" s="538">
        <v>371460</v>
      </c>
      <c r="AA102" s="538">
        <v>371460</v>
      </c>
      <c r="AB102" s="538">
        <v>371460</v>
      </c>
      <c r="AC102" s="538">
        <v>371460</v>
      </c>
      <c r="AD102" s="538">
        <v>390757</v>
      </c>
      <c r="AE102" s="538">
        <v>425430</v>
      </c>
      <c r="AF102" s="538">
        <v>425430</v>
      </c>
      <c r="AG102" s="538">
        <v>425430</v>
      </c>
      <c r="AH102" s="538">
        <v>425430</v>
      </c>
      <c r="AI102" s="538">
        <v>425430</v>
      </c>
      <c r="AJ102" s="538">
        <f>SUM(K102:AI102)</f>
        <v>9437031</v>
      </c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</row>
    <row r="103" spans="1:57" s="81" customFormat="1" ht="15.75" customHeight="1">
      <c r="A103" s="75"/>
      <c r="B103" s="100"/>
      <c r="C103" s="678" t="s">
        <v>843</v>
      </c>
      <c r="D103" s="74"/>
      <c r="E103" s="74"/>
      <c r="F103" s="74"/>
      <c r="G103" s="74"/>
      <c r="H103" s="74"/>
      <c r="I103" s="76"/>
      <c r="J103" s="76"/>
      <c r="K103" s="839">
        <f>1.41%*(1+$C$7)</f>
        <v>1.41E-2</v>
      </c>
      <c r="L103" s="839">
        <f>1.41%*(1+$C$7)</f>
        <v>1.41E-2</v>
      </c>
      <c r="M103" s="839">
        <f>1.44%*(1+$C$7)</f>
        <v>1.44E-2</v>
      </c>
      <c r="N103" s="839">
        <f>1.45%*(1+$C$7)</f>
        <v>1.4499999999999999E-2</v>
      </c>
      <c r="O103" s="839">
        <f>1.45%*(1+$C$7)</f>
        <v>1.4499999999999999E-2</v>
      </c>
      <c r="P103" s="839">
        <f>1.45%*(1+$C$7)</f>
        <v>1.4499999999999999E-2</v>
      </c>
      <c r="Q103" s="839">
        <f>1.45%*(1+$C$7)</f>
        <v>1.4499999999999999E-2</v>
      </c>
      <c r="R103" s="839">
        <f>1.45%*(1+$C$7)</f>
        <v>1.4499999999999999E-2</v>
      </c>
      <c r="S103" s="839">
        <f>1.46%*(1+$C$7)</f>
        <v>1.46E-2</v>
      </c>
      <c r="T103" s="839">
        <f t="shared" ref="T103:AC103" si="34">1.55%*(1+$C$7)</f>
        <v>1.55E-2</v>
      </c>
      <c r="U103" s="839">
        <f t="shared" si="34"/>
        <v>1.55E-2</v>
      </c>
      <c r="V103" s="839">
        <f t="shared" si="34"/>
        <v>1.55E-2</v>
      </c>
      <c r="W103" s="839">
        <f t="shared" si="34"/>
        <v>1.55E-2</v>
      </c>
      <c r="X103" s="839">
        <f t="shared" si="34"/>
        <v>1.55E-2</v>
      </c>
      <c r="Y103" s="839">
        <f t="shared" si="34"/>
        <v>1.55E-2</v>
      </c>
      <c r="Z103" s="839">
        <f t="shared" si="34"/>
        <v>1.55E-2</v>
      </c>
      <c r="AA103" s="839">
        <f t="shared" si="34"/>
        <v>1.55E-2</v>
      </c>
      <c r="AB103" s="839">
        <f t="shared" si="34"/>
        <v>1.55E-2</v>
      </c>
      <c r="AC103" s="839">
        <f t="shared" si="34"/>
        <v>1.55E-2</v>
      </c>
      <c r="AD103" s="839">
        <f>1.52%*(1+$C$7)</f>
        <v>1.52E-2</v>
      </c>
      <c r="AE103" s="839">
        <f>1.47%*(1+$C$7)</f>
        <v>1.47E-2</v>
      </c>
      <c r="AF103" s="839">
        <f>1.47%*(1+$C$7)</f>
        <v>1.47E-2</v>
      </c>
      <c r="AG103" s="839">
        <f>1.47%*(1+$C$7)</f>
        <v>1.47E-2</v>
      </c>
      <c r="AH103" s="839">
        <f>1.47%*(1+$C$7)</f>
        <v>1.47E-2</v>
      </c>
      <c r="AI103" s="839">
        <f>1.47%*(1+$C$7)</f>
        <v>1.47E-2</v>
      </c>
      <c r="AJ103" s="798">
        <f>SUMPRODUCT(K103:AI103,K102:AI102)/AJ102</f>
        <v>1.4944159630290502E-2</v>
      </c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</row>
    <row r="104" spans="1:57" s="81" customFormat="1" ht="15.75" customHeight="1">
      <c r="A104" s="75"/>
      <c r="B104" s="100"/>
      <c r="C104" s="678" t="s">
        <v>844</v>
      </c>
      <c r="D104" s="74"/>
      <c r="E104" s="74"/>
      <c r="F104" s="74"/>
      <c r="G104" s="74"/>
      <c r="H104" s="74"/>
      <c r="I104" s="76"/>
      <c r="J104" s="76"/>
      <c r="K104" s="538">
        <v>1076853</v>
      </c>
      <c r="L104" s="538">
        <v>1655164</v>
      </c>
      <c r="M104" s="538">
        <v>1953296</v>
      </c>
      <c r="N104" s="538">
        <f>2400000-N102</f>
        <v>2020936</v>
      </c>
      <c r="O104" s="538">
        <f t="shared" ref="O104:AI104" si="35">2400000-O102</f>
        <v>2020936</v>
      </c>
      <c r="P104" s="538">
        <f t="shared" si="35"/>
        <v>2020936</v>
      </c>
      <c r="Q104" s="538">
        <f t="shared" si="35"/>
        <v>2020936</v>
      </c>
      <c r="R104" s="538">
        <f t="shared" si="35"/>
        <v>2020936</v>
      </c>
      <c r="S104" s="538">
        <f t="shared" si="35"/>
        <v>2021482</v>
      </c>
      <c r="T104" s="538">
        <f t="shared" si="35"/>
        <v>2028540</v>
      </c>
      <c r="U104" s="538">
        <f t="shared" si="35"/>
        <v>2028540</v>
      </c>
      <c r="V104" s="538">
        <f t="shared" si="35"/>
        <v>2028540</v>
      </c>
      <c r="W104" s="538">
        <f t="shared" si="35"/>
        <v>2028540</v>
      </c>
      <c r="X104" s="538">
        <f t="shared" si="35"/>
        <v>2028540</v>
      </c>
      <c r="Y104" s="538">
        <f t="shared" si="35"/>
        <v>2028540</v>
      </c>
      <c r="Z104" s="538">
        <f t="shared" si="35"/>
        <v>2028540</v>
      </c>
      <c r="AA104" s="538">
        <f t="shared" si="35"/>
        <v>2028540</v>
      </c>
      <c r="AB104" s="538">
        <f t="shared" si="35"/>
        <v>2028540</v>
      </c>
      <c r="AC104" s="538">
        <f t="shared" si="35"/>
        <v>2028540</v>
      </c>
      <c r="AD104" s="538">
        <f t="shared" si="35"/>
        <v>2009243</v>
      </c>
      <c r="AE104" s="538">
        <f t="shared" si="35"/>
        <v>1974570</v>
      </c>
      <c r="AF104" s="538">
        <f t="shared" si="35"/>
        <v>1974570</v>
      </c>
      <c r="AG104" s="538">
        <f t="shared" si="35"/>
        <v>1974570</v>
      </c>
      <c r="AH104" s="538">
        <f t="shared" si="35"/>
        <v>1974570</v>
      </c>
      <c r="AI104" s="538">
        <f t="shared" si="35"/>
        <v>1974570</v>
      </c>
      <c r="AJ104" s="538">
        <f>SUM(K104:AI104)</f>
        <v>48978968</v>
      </c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</row>
    <row r="105" spans="1:57" s="81" customFormat="1" ht="15.75" customHeight="1">
      <c r="A105" s="75"/>
      <c r="B105" s="100"/>
      <c r="C105" s="678" t="s">
        <v>843</v>
      </c>
      <c r="D105" s="74"/>
      <c r="E105" s="74"/>
      <c r="F105" s="74"/>
      <c r="G105" s="74"/>
      <c r="H105" s="74"/>
      <c r="I105" s="76"/>
      <c r="J105" s="76"/>
      <c r="K105" s="839">
        <f>1.92%*(1+$C$7)</f>
        <v>1.9199999999999998E-2</v>
      </c>
      <c r="L105" s="839">
        <f>1.92%*(1+$C$7)</f>
        <v>1.9199999999999998E-2</v>
      </c>
      <c r="M105" s="839">
        <f>1.78%*(1+$C$7)</f>
        <v>1.78E-2</v>
      </c>
      <c r="N105" s="839">
        <f>1.73%*(1+$C$7)</f>
        <v>1.7299999999999999E-2</v>
      </c>
      <c r="O105" s="839">
        <f>1.73%*(1+$C$7)</f>
        <v>1.7299999999999999E-2</v>
      </c>
      <c r="P105" s="839">
        <f>1.73%*(1+$C$7)</f>
        <v>1.7299999999999999E-2</v>
      </c>
      <c r="Q105" s="839">
        <f>1.73%*(1+$C$7)</f>
        <v>1.7299999999999999E-2</v>
      </c>
      <c r="R105" s="839">
        <f>1.73%*(1+$C$7)</f>
        <v>1.7299999999999999E-2</v>
      </c>
      <c r="S105" s="839">
        <f>1.72%*(1+$C$7)</f>
        <v>1.72E-2</v>
      </c>
      <c r="T105" s="839">
        <f t="shared" ref="T105:AC105" si="36">1.61%*(1+$C$7)</f>
        <v>1.61E-2</v>
      </c>
      <c r="U105" s="839">
        <f t="shared" si="36"/>
        <v>1.61E-2</v>
      </c>
      <c r="V105" s="839">
        <f t="shared" si="36"/>
        <v>1.61E-2</v>
      </c>
      <c r="W105" s="839">
        <f t="shared" si="36"/>
        <v>1.61E-2</v>
      </c>
      <c r="X105" s="839">
        <f t="shared" si="36"/>
        <v>1.61E-2</v>
      </c>
      <c r="Y105" s="839">
        <f t="shared" si="36"/>
        <v>1.61E-2</v>
      </c>
      <c r="Z105" s="839">
        <f t="shared" si="36"/>
        <v>1.61E-2</v>
      </c>
      <c r="AA105" s="839">
        <f t="shared" si="36"/>
        <v>1.61E-2</v>
      </c>
      <c r="AB105" s="839">
        <f t="shared" si="36"/>
        <v>1.61E-2</v>
      </c>
      <c r="AC105" s="839">
        <f t="shared" si="36"/>
        <v>1.61E-2</v>
      </c>
      <c r="AD105" s="839">
        <f>1.56%*(1+$C$7)</f>
        <v>1.5600000000000001E-2</v>
      </c>
      <c r="AE105" s="839">
        <f>1.5%*(1+$C$7)</f>
        <v>1.4999999999999999E-2</v>
      </c>
      <c r="AF105" s="839">
        <f>1.5%*(1+$C$7)</f>
        <v>1.4999999999999999E-2</v>
      </c>
      <c r="AG105" s="839">
        <f>1.5%*(1+$C$7)</f>
        <v>1.4999999999999999E-2</v>
      </c>
      <c r="AH105" s="839">
        <f>1.5%*(1+$C$7)</f>
        <v>1.4999999999999999E-2</v>
      </c>
      <c r="AI105" s="839">
        <f>1.5%*(1+$C$7)</f>
        <v>1.4999999999999999E-2</v>
      </c>
      <c r="AJ105" s="798">
        <f>SUMPRODUCT(K105:AI105,K104:AI104)/AJ104</f>
        <v>1.6391438267952071E-2</v>
      </c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</row>
    <row r="106" spans="1:57" s="81" customFormat="1" ht="15.75" customHeight="1">
      <c r="A106" s="75"/>
      <c r="B106" s="100"/>
      <c r="C106" s="678" t="s">
        <v>845</v>
      </c>
      <c r="D106" s="74"/>
      <c r="E106" s="74"/>
      <c r="F106" s="74"/>
      <c r="G106" s="74"/>
      <c r="H106" s="74"/>
      <c r="I106" s="76"/>
      <c r="J106" s="76"/>
      <c r="K106" s="538">
        <f>K104+K102</f>
        <v>1296000</v>
      </c>
      <c r="L106" s="538">
        <f t="shared" ref="L106:AI106" si="37">L104+L102</f>
        <v>1992000</v>
      </c>
      <c r="M106" s="538">
        <f t="shared" si="37"/>
        <v>2327999</v>
      </c>
      <c r="N106" s="538">
        <f t="shared" si="37"/>
        <v>2400000</v>
      </c>
      <c r="O106" s="538">
        <f t="shared" si="37"/>
        <v>2400000</v>
      </c>
      <c r="P106" s="538">
        <f t="shared" si="37"/>
        <v>2400000</v>
      </c>
      <c r="Q106" s="538">
        <f t="shared" si="37"/>
        <v>2400000</v>
      </c>
      <c r="R106" s="538">
        <f t="shared" si="37"/>
        <v>2400000</v>
      </c>
      <c r="S106" s="538">
        <f t="shared" si="37"/>
        <v>2400000</v>
      </c>
      <c r="T106" s="538">
        <f t="shared" si="37"/>
        <v>2400000</v>
      </c>
      <c r="U106" s="538">
        <f t="shared" si="37"/>
        <v>2400000</v>
      </c>
      <c r="V106" s="538">
        <f t="shared" si="37"/>
        <v>2400000</v>
      </c>
      <c r="W106" s="538">
        <f t="shared" si="37"/>
        <v>2400000</v>
      </c>
      <c r="X106" s="538">
        <f t="shared" si="37"/>
        <v>2400000</v>
      </c>
      <c r="Y106" s="538">
        <f t="shared" si="37"/>
        <v>2400000</v>
      </c>
      <c r="Z106" s="538">
        <f t="shared" si="37"/>
        <v>2400000</v>
      </c>
      <c r="AA106" s="538">
        <f t="shared" si="37"/>
        <v>2400000</v>
      </c>
      <c r="AB106" s="538">
        <f t="shared" si="37"/>
        <v>2400000</v>
      </c>
      <c r="AC106" s="538">
        <f t="shared" si="37"/>
        <v>2400000</v>
      </c>
      <c r="AD106" s="538">
        <f t="shared" si="37"/>
        <v>2400000</v>
      </c>
      <c r="AE106" s="538">
        <f t="shared" si="37"/>
        <v>2400000</v>
      </c>
      <c r="AF106" s="538">
        <f t="shared" si="37"/>
        <v>2400000</v>
      </c>
      <c r="AG106" s="538">
        <f t="shared" si="37"/>
        <v>2400000</v>
      </c>
      <c r="AH106" s="538">
        <f t="shared" si="37"/>
        <v>2400000</v>
      </c>
      <c r="AI106" s="538">
        <f t="shared" si="37"/>
        <v>2400000</v>
      </c>
      <c r="AJ106" s="538">
        <f>SUM(K106:AI106)</f>
        <v>58415999</v>
      </c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</row>
    <row r="107" spans="1:57" s="81" customFormat="1" ht="15.75" customHeight="1">
      <c r="A107" s="75"/>
      <c r="B107" s="100"/>
      <c r="C107" s="678" t="s">
        <v>843</v>
      </c>
      <c r="D107" s="74"/>
      <c r="E107" s="74"/>
      <c r="F107" s="74"/>
      <c r="G107" s="74"/>
      <c r="H107" s="74"/>
      <c r="I107" s="76"/>
      <c r="J107" s="76"/>
      <c r="K107" s="839">
        <f>(K102*K103+K104*K105)/K106</f>
        <v>1.8337615972222217E-2</v>
      </c>
      <c r="L107" s="839">
        <f t="shared" ref="L107:AI107" si="38">(L102*L103+L104*L105)/L106</f>
        <v>1.8337618674698793E-2</v>
      </c>
      <c r="M107" s="839">
        <f t="shared" si="38"/>
        <v>1.7252753115443779E-2</v>
      </c>
      <c r="N107" s="839">
        <f t="shared" si="38"/>
        <v>1.6857758666666667E-2</v>
      </c>
      <c r="O107" s="839">
        <f t="shared" si="38"/>
        <v>1.6857758666666667E-2</v>
      </c>
      <c r="P107" s="839">
        <f t="shared" si="38"/>
        <v>1.6857758666666667E-2</v>
      </c>
      <c r="Q107" s="839">
        <f t="shared" si="38"/>
        <v>1.6857758666666667E-2</v>
      </c>
      <c r="R107" s="839">
        <f t="shared" si="38"/>
        <v>1.6857758666666667E-2</v>
      </c>
      <c r="S107" s="839">
        <f t="shared" si="38"/>
        <v>1.6789938833333337E-2</v>
      </c>
      <c r="T107" s="839">
        <f t="shared" si="38"/>
        <v>1.6007134999999999E-2</v>
      </c>
      <c r="U107" s="839">
        <f t="shared" si="38"/>
        <v>1.6007134999999999E-2</v>
      </c>
      <c r="V107" s="839">
        <f t="shared" si="38"/>
        <v>1.6007134999999999E-2</v>
      </c>
      <c r="W107" s="839">
        <f t="shared" si="38"/>
        <v>1.6007134999999999E-2</v>
      </c>
      <c r="X107" s="839">
        <f t="shared" si="38"/>
        <v>1.6007134999999999E-2</v>
      </c>
      <c r="Y107" s="839">
        <f t="shared" si="38"/>
        <v>1.6007134999999999E-2</v>
      </c>
      <c r="Z107" s="839">
        <f t="shared" si="38"/>
        <v>1.6007134999999999E-2</v>
      </c>
      <c r="AA107" s="839">
        <f t="shared" si="38"/>
        <v>1.6007134999999999E-2</v>
      </c>
      <c r="AB107" s="839">
        <f t="shared" si="38"/>
        <v>1.6007134999999999E-2</v>
      </c>
      <c r="AC107" s="839">
        <f t="shared" si="38"/>
        <v>1.6007134999999999E-2</v>
      </c>
      <c r="AD107" s="839">
        <f t="shared" si="38"/>
        <v>1.5534873833333334E-2</v>
      </c>
      <c r="AE107" s="839">
        <f t="shared" si="38"/>
        <v>1.4946821249999999E-2</v>
      </c>
      <c r="AF107" s="839">
        <f t="shared" si="38"/>
        <v>1.4946821249999999E-2</v>
      </c>
      <c r="AG107" s="839">
        <f t="shared" si="38"/>
        <v>1.4946821249999999E-2</v>
      </c>
      <c r="AH107" s="839">
        <f t="shared" si="38"/>
        <v>1.4946821249999999E-2</v>
      </c>
      <c r="AI107" s="839">
        <f t="shared" si="38"/>
        <v>1.4946821249999999E-2</v>
      </c>
      <c r="AJ107" s="798">
        <f>(AJ102*AJ103+AJ104*AJ105)/AJ106</f>
        <v>1.6157632228458507E-2</v>
      </c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</row>
    <row r="108" spans="1:57" s="81" customFormat="1" ht="15.75" customHeight="1">
      <c r="A108" s="75"/>
      <c r="B108" s="100"/>
      <c r="C108" s="678" t="s">
        <v>846</v>
      </c>
      <c r="D108" s="74"/>
      <c r="E108" s="74"/>
      <c r="F108" s="74"/>
      <c r="G108" s="74"/>
      <c r="H108" s="74"/>
      <c r="I108" s="76"/>
      <c r="J108" s="76"/>
      <c r="K108" s="538">
        <v>1874086</v>
      </c>
      <c r="L108" s="538">
        <v>2880539</v>
      </c>
      <c r="M108" s="538">
        <v>5065014</v>
      </c>
      <c r="N108" s="538">
        <v>5869652</v>
      </c>
      <c r="O108" s="538">
        <v>5869652</v>
      </c>
      <c r="P108" s="538">
        <v>5869652</v>
      </c>
      <c r="Q108" s="538">
        <v>5869652</v>
      </c>
      <c r="R108" s="538">
        <v>5869652</v>
      </c>
      <c r="S108" s="538">
        <v>5964154</v>
      </c>
      <c r="T108" s="538">
        <v>7185853</v>
      </c>
      <c r="U108" s="538">
        <v>7185853</v>
      </c>
      <c r="V108" s="538">
        <v>7185853</v>
      </c>
      <c r="W108" s="538">
        <v>7185853</v>
      </c>
      <c r="X108" s="538">
        <v>7185853</v>
      </c>
      <c r="Y108" s="538">
        <v>7185853</v>
      </c>
      <c r="Z108" s="538">
        <v>7185853</v>
      </c>
      <c r="AA108" s="538">
        <v>7185853</v>
      </c>
      <c r="AB108" s="538">
        <v>7185853</v>
      </c>
      <c r="AC108" s="538">
        <v>7185853</v>
      </c>
      <c r="AD108" s="538">
        <v>8186176</v>
      </c>
      <c r="AE108" s="538">
        <v>9986513</v>
      </c>
      <c r="AF108" s="538">
        <v>9986513</v>
      </c>
      <c r="AG108" s="538">
        <v>9986513</v>
      </c>
      <c r="AH108" s="538">
        <v>9986513</v>
      </c>
      <c r="AI108" s="538">
        <v>9986513</v>
      </c>
      <c r="AJ108" s="538">
        <f>SUM(K108:AI108)</f>
        <v>175109324</v>
      </c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</row>
    <row r="109" spans="1:57" s="81" customFormat="1" ht="15.75" customHeight="1">
      <c r="A109" s="75"/>
      <c r="B109" s="100"/>
      <c r="C109" s="678" t="s">
        <v>847</v>
      </c>
      <c r="D109" s="74"/>
      <c r="E109" s="74"/>
      <c r="F109" s="74"/>
      <c r="G109" s="74"/>
      <c r="H109" s="74"/>
      <c r="I109" s="76"/>
      <c r="J109" s="76"/>
      <c r="K109" s="677">
        <f>K108/K106</f>
        <v>1.4460540123456791</v>
      </c>
      <c r="L109" s="677">
        <f t="shared" ref="L109:AJ109" si="39">L108/L106</f>
        <v>1.4460537148594377</v>
      </c>
      <c r="M109" s="677">
        <f t="shared" si="39"/>
        <v>2.1756942335456331</v>
      </c>
      <c r="N109" s="677">
        <f t="shared" si="39"/>
        <v>2.4456883333333335</v>
      </c>
      <c r="O109" s="677">
        <f t="shared" si="39"/>
        <v>2.4456883333333335</v>
      </c>
      <c r="P109" s="677">
        <f t="shared" si="39"/>
        <v>2.4456883333333335</v>
      </c>
      <c r="Q109" s="677">
        <f t="shared" si="39"/>
        <v>2.4456883333333335</v>
      </c>
      <c r="R109" s="677">
        <f t="shared" si="39"/>
        <v>2.4456883333333335</v>
      </c>
      <c r="S109" s="677">
        <f t="shared" si="39"/>
        <v>2.4850641666666666</v>
      </c>
      <c r="T109" s="677">
        <f t="shared" si="39"/>
        <v>2.9941054166666667</v>
      </c>
      <c r="U109" s="677">
        <f t="shared" si="39"/>
        <v>2.9941054166666667</v>
      </c>
      <c r="V109" s="677">
        <f t="shared" si="39"/>
        <v>2.9941054166666667</v>
      </c>
      <c r="W109" s="677">
        <f t="shared" si="39"/>
        <v>2.9941054166666667</v>
      </c>
      <c r="X109" s="677">
        <f t="shared" si="39"/>
        <v>2.9941054166666667</v>
      </c>
      <c r="Y109" s="677">
        <f t="shared" si="39"/>
        <v>2.9941054166666667</v>
      </c>
      <c r="Z109" s="677">
        <f t="shared" si="39"/>
        <v>2.9941054166666667</v>
      </c>
      <c r="AA109" s="677">
        <f t="shared" si="39"/>
        <v>2.9941054166666667</v>
      </c>
      <c r="AB109" s="677">
        <f t="shared" si="39"/>
        <v>2.9941054166666667</v>
      </c>
      <c r="AC109" s="677">
        <f t="shared" si="39"/>
        <v>2.9941054166666667</v>
      </c>
      <c r="AD109" s="677">
        <f t="shared" si="39"/>
        <v>3.4109066666666665</v>
      </c>
      <c r="AE109" s="677">
        <f t="shared" si="39"/>
        <v>4.1610470833333331</v>
      </c>
      <c r="AF109" s="677">
        <f t="shared" si="39"/>
        <v>4.1610470833333331</v>
      </c>
      <c r="AG109" s="677">
        <f t="shared" si="39"/>
        <v>4.1610470833333331</v>
      </c>
      <c r="AH109" s="677">
        <f t="shared" si="39"/>
        <v>4.1610470833333331</v>
      </c>
      <c r="AI109" s="677">
        <f t="shared" si="39"/>
        <v>4.1610470833333331</v>
      </c>
      <c r="AJ109" s="677">
        <f t="shared" si="39"/>
        <v>2.9976261126682093</v>
      </c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</row>
    <row r="110" spans="1:57" s="81" customFormat="1" ht="15.75" customHeight="1">
      <c r="A110" s="75"/>
      <c r="B110" s="100"/>
      <c r="C110" s="678" t="s">
        <v>848</v>
      </c>
      <c r="D110" s="74"/>
      <c r="E110" s="74"/>
      <c r="F110" s="74"/>
      <c r="G110" s="74"/>
      <c r="H110" s="74"/>
      <c r="I110" s="76"/>
      <c r="J110" s="76"/>
      <c r="K110" s="538">
        <f>K108+K106</f>
        <v>3170086</v>
      </c>
      <c r="L110" s="538">
        <f t="shared" ref="L110:AJ110" si="40">L108+L106</f>
        <v>4872539</v>
      </c>
      <c r="M110" s="538">
        <f t="shared" si="40"/>
        <v>7393013</v>
      </c>
      <c r="N110" s="538">
        <f t="shared" si="40"/>
        <v>8269652</v>
      </c>
      <c r="O110" s="538">
        <f t="shared" si="40"/>
        <v>8269652</v>
      </c>
      <c r="P110" s="538">
        <f t="shared" si="40"/>
        <v>8269652</v>
      </c>
      <c r="Q110" s="538">
        <f t="shared" si="40"/>
        <v>8269652</v>
      </c>
      <c r="R110" s="538">
        <f t="shared" si="40"/>
        <v>8269652</v>
      </c>
      <c r="S110" s="538">
        <f t="shared" si="40"/>
        <v>8364154</v>
      </c>
      <c r="T110" s="538">
        <f t="shared" si="40"/>
        <v>9585853</v>
      </c>
      <c r="U110" s="538">
        <f t="shared" si="40"/>
        <v>9585853</v>
      </c>
      <c r="V110" s="538">
        <f t="shared" si="40"/>
        <v>9585853</v>
      </c>
      <c r="W110" s="538">
        <f t="shared" si="40"/>
        <v>9585853</v>
      </c>
      <c r="X110" s="538">
        <f t="shared" si="40"/>
        <v>9585853</v>
      </c>
      <c r="Y110" s="538">
        <f t="shared" si="40"/>
        <v>9585853</v>
      </c>
      <c r="Z110" s="538">
        <f t="shared" si="40"/>
        <v>9585853</v>
      </c>
      <c r="AA110" s="538">
        <f t="shared" si="40"/>
        <v>9585853</v>
      </c>
      <c r="AB110" s="538">
        <f t="shared" si="40"/>
        <v>9585853</v>
      </c>
      <c r="AC110" s="538">
        <f t="shared" si="40"/>
        <v>9585853</v>
      </c>
      <c r="AD110" s="538">
        <f t="shared" si="40"/>
        <v>10586176</v>
      </c>
      <c r="AE110" s="538">
        <f t="shared" si="40"/>
        <v>12386513</v>
      </c>
      <c r="AF110" s="538">
        <f t="shared" si="40"/>
        <v>12386513</v>
      </c>
      <c r="AG110" s="538">
        <f t="shared" si="40"/>
        <v>12386513</v>
      </c>
      <c r="AH110" s="538">
        <f t="shared" si="40"/>
        <v>12386513</v>
      </c>
      <c r="AI110" s="538">
        <f t="shared" si="40"/>
        <v>12386513</v>
      </c>
      <c r="AJ110" s="538">
        <f t="shared" si="40"/>
        <v>233525323</v>
      </c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</row>
    <row r="111" spans="1:57" s="81" customFormat="1" ht="15.75" customHeight="1">
      <c r="A111" s="75"/>
      <c r="B111" s="100"/>
      <c r="C111" s="74"/>
      <c r="D111" s="74"/>
      <c r="E111" s="74"/>
      <c r="F111" s="74"/>
      <c r="G111" s="74"/>
      <c r="H111" s="74"/>
      <c r="I111" s="76"/>
      <c r="J111" s="76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</row>
    <row r="112" spans="1:57" s="81" customFormat="1" ht="15.75" customHeight="1">
      <c r="A112" s="75"/>
      <c r="B112" s="100"/>
      <c r="C112" s="545" t="s">
        <v>849</v>
      </c>
      <c r="D112" s="74"/>
      <c r="E112" s="74"/>
      <c r="F112" s="74"/>
      <c r="G112" s="74"/>
      <c r="H112" s="74"/>
      <c r="I112" s="76"/>
      <c r="J112" s="76"/>
      <c r="K112" s="538">
        <v>0</v>
      </c>
      <c r="L112" s="430">
        <f>K115</f>
        <v>-717859.03820224735</v>
      </c>
      <c r="M112" s="430">
        <f t="shared" ref="M112:AI112" si="41">L115</f>
        <v>-739718.0764044947</v>
      </c>
      <c r="N112" s="430">
        <f t="shared" si="41"/>
        <v>-870196.34382022545</v>
      </c>
      <c r="O112" s="430">
        <f t="shared" si="41"/>
        <v>-798978.36629213579</v>
      </c>
      <c r="P112" s="430">
        <f t="shared" si="41"/>
        <v>-727760.38876404613</v>
      </c>
      <c r="Q112" s="430">
        <f t="shared" si="41"/>
        <v>-943161.73707865318</v>
      </c>
      <c r="R112" s="430">
        <f t="shared" si="41"/>
        <v>-871943.75955056353</v>
      </c>
      <c r="S112" s="430">
        <f t="shared" si="41"/>
        <v>-800725.78202247387</v>
      </c>
      <c r="T112" s="430">
        <f t="shared" si="41"/>
        <v>-1016127.1303370809</v>
      </c>
      <c r="U112" s="430">
        <f t="shared" si="41"/>
        <v>-944909.15280899126</v>
      </c>
      <c r="V112" s="430">
        <f t="shared" si="41"/>
        <v>-873691.1752809016</v>
      </c>
      <c r="W112" s="430">
        <f t="shared" si="41"/>
        <v>-1089092.5235955087</v>
      </c>
      <c r="X112" s="430">
        <f t="shared" si="41"/>
        <v>-1017874.546067419</v>
      </c>
      <c r="Y112" s="430">
        <f t="shared" si="41"/>
        <v>-946656.56853932934</v>
      </c>
      <c r="Z112" s="430">
        <f t="shared" si="41"/>
        <v>-1162057.9168539364</v>
      </c>
      <c r="AA112" s="430">
        <f t="shared" si="41"/>
        <v>-1090839.9393258467</v>
      </c>
      <c r="AB112" s="430">
        <f t="shared" si="41"/>
        <v>-1019621.9617977571</v>
      </c>
      <c r="AC112" s="430">
        <f t="shared" si="41"/>
        <v>-1235023.3101123641</v>
      </c>
      <c r="AD112" s="430">
        <f t="shared" si="41"/>
        <v>-1163805.3325842745</v>
      </c>
      <c r="AE112" s="430">
        <f t="shared" si="41"/>
        <v>-1092587.3550561848</v>
      </c>
      <c r="AF112" s="430">
        <f t="shared" si="41"/>
        <v>-1307988.7033707919</v>
      </c>
      <c r="AG112" s="430">
        <f t="shared" si="41"/>
        <v>-1236770.7258427022</v>
      </c>
      <c r="AH112" s="430">
        <f t="shared" si="41"/>
        <v>-1165552.7483146125</v>
      </c>
      <c r="AI112" s="430">
        <f t="shared" si="41"/>
        <v>-1380954.0966292196</v>
      </c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</row>
    <row r="113" spans="1:57" s="81" customFormat="1" ht="15.75" customHeight="1">
      <c r="A113" s="75"/>
      <c r="B113" s="100"/>
      <c r="C113" s="545" t="s">
        <v>850</v>
      </c>
      <c r="D113" s="74"/>
      <c r="E113" s="74"/>
      <c r="F113" s="74"/>
      <c r="G113" s="74"/>
      <c r="H113" s="74"/>
      <c r="I113" s="76"/>
      <c r="J113" s="76"/>
      <c r="K113" s="430">
        <f>K106</f>
        <v>1296000</v>
      </c>
      <c r="L113" s="430">
        <f>L106</f>
        <v>1992000</v>
      </c>
      <c r="M113" s="430">
        <f t="shared" ref="M113:AI113" si="42">M106</f>
        <v>2327999</v>
      </c>
      <c r="N113" s="430">
        <f t="shared" si="42"/>
        <v>2400000</v>
      </c>
      <c r="O113" s="430">
        <f t="shared" si="42"/>
        <v>2400000</v>
      </c>
      <c r="P113" s="430">
        <f t="shared" si="42"/>
        <v>2400000</v>
      </c>
      <c r="Q113" s="430">
        <f t="shared" si="42"/>
        <v>2400000</v>
      </c>
      <c r="R113" s="430">
        <f t="shared" si="42"/>
        <v>2400000</v>
      </c>
      <c r="S113" s="430">
        <f t="shared" si="42"/>
        <v>2400000</v>
      </c>
      <c r="T113" s="430">
        <f t="shared" si="42"/>
        <v>2400000</v>
      </c>
      <c r="U113" s="430">
        <f t="shared" si="42"/>
        <v>2400000</v>
      </c>
      <c r="V113" s="430">
        <f t="shared" si="42"/>
        <v>2400000</v>
      </c>
      <c r="W113" s="430">
        <f t="shared" si="42"/>
        <v>2400000</v>
      </c>
      <c r="X113" s="430">
        <f t="shared" si="42"/>
        <v>2400000</v>
      </c>
      <c r="Y113" s="430">
        <f t="shared" si="42"/>
        <v>2400000</v>
      </c>
      <c r="Z113" s="430">
        <f t="shared" si="42"/>
        <v>2400000</v>
      </c>
      <c r="AA113" s="430">
        <f t="shared" si="42"/>
        <v>2400000</v>
      </c>
      <c r="AB113" s="430">
        <f t="shared" si="42"/>
        <v>2400000</v>
      </c>
      <c r="AC113" s="430">
        <f t="shared" si="42"/>
        <v>2400000</v>
      </c>
      <c r="AD113" s="430">
        <f t="shared" si="42"/>
        <v>2400000</v>
      </c>
      <c r="AE113" s="430">
        <f t="shared" si="42"/>
        <v>2400000</v>
      </c>
      <c r="AF113" s="430">
        <f t="shared" si="42"/>
        <v>2400000</v>
      </c>
      <c r="AG113" s="430">
        <f t="shared" si="42"/>
        <v>2400000</v>
      </c>
      <c r="AH113" s="430">
        <f t="shared" si="42"/>
        <v>2400000</v>
      </c>
      <c r="AI113" s="430">
        <f t="shared" si="42"/>
        <v>2400000</v>
      </c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</row>
    <row r="114" spans="1:57" s="81" customFormat="1" ht="15.75" customHeight="1">
      <c r="A114" s="75"/>
      <c r="B114" s="100"/>
      <c r="C114" s="545" t="s">
        <v>851</v>
      </c>
      <c r="D114" s="74"/>
      <c r="E114" s="74"/>
      <c r="F114" s="74"/>
      <c r="G114" s="74"/>
      <c r="H114" s="74"/>
      <c r="I114" s="76"/>
      <c r="J114" s="76"/>
      <c r="K114" s="430">
        <f>K95</f>
        <v>2013859.0382022473</v>
      </c>
      <c r="L114" s="430">
        <f t="shared" ref="L114:AI114" si="43">L95</f>
        <v>2013859.0382022473</v>
      </c>
      <c r="M114" s="430">
        <f t="shared" si="43"/>
        <v>2458477.2674157307</v>
      </c>
      <c r="N114" s="430">
        <f t="shared" si="43"/>
        <v>2328782.0224719103</v>
      </c>
      <c r="O114" s="430">
        <f t="shared" si="43"/>
        <v>2328782.0224719103</v>
      </c>
      <c r="P114" s="430">
        <f t="shared" si="43"/>
        <v>2615401.3483146071</v>
      </c>
      <c r="Q114" s="430">
        <f t="shared" si="43"/>
        <v>2328782.0224719103</v>
      </c>
      <c r="R114" s="430">
        <f t="shared" si="43"/>
        <v>2328782.0224719103</v>
      </c>
      <c r="S114" s="430">
        <f t="shared" si="43"/>
        <v>2615401.3483146071</v>
      </c>
      <c r="T114" s="430">
        <f t="shared" si="43"/>
        <v>2328782.0224719103</v>
      </c>
      <c r="U114" s="430">
        <f t="shared" si="43"/>
        <v>2328782.0224719103</v>
      </c>
      <c r="V114" s="430">
        <f t="shared" si="43"/>
        <v>2615401.3483146071</v>
      </c>
      <c r="W114" s="430">
        <f t="shared" si="43"/>
        <v>2328782.0224719103</v>
      </c>
      <c r="X114" s="430">
        <f t="shared" si="43"/>
        <v>2328782.0224719103</v>
      </c>
      <c r="Y114" s="430">
        <f t="shared" si="43"/>
        <v>2615401.3483146071</v>
      </c>
      <c r="Z114" s="430">
        <f t="shared" si="43"/>
        <v>2328782.0224719103</v>
      </c>
      <c r="AA114" s="430">
        <f t="shared" si="43"/>
        <v>2328782.0224719103</v>
      </c>
      <c r="AB114" s="430">
        <f t="shared" si="43"/>
        <v>2615401.3483146071</v>
      </c>
      <c r="AC114" s="430">
        <f t="shared" si="43"/>
        <v>2328782.0224719103</v>
      </c>
      <c r="AD114" s="430">
        <f t="shared" si="43"/>
        <v>2328782.0224719103</v>
      </c>
      <c r="AE114" s="430">
        <f t="shared" si="43"/>
        <v>2615401.3483146071</v>
      </c>
      <c r="AF114" s="430">
        <f t="shared" si="43"/>
        <v>2328782.0224719103</v>
      </c>
      <c r="AG114" s="430">
        <f t="shared" si="43"/>
        <v>2328782.0224719103</v>
      </c>
      <c r="AH114" s="430">
        <f t="shared" si="43"/>
        <v>2615401.3483146071</v>
      </c>
      <c r="AI114" s="430">
        <f t="shared" si="43"/>
        <v>2328782.0224719103</v>
      </c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</row>
    <row r="115" spans="1:57" s="81" customFormat="1" ht="15.75" customHeight="1">
      <c r="A115" s="75"/>
      <c r="B115" s="100"/>
      <c r="C115" s="545" t="s">
        <v>852</v>
      </c>
      <c r="D115" s="74"/>
      <c r="E115" s="74"/>
      <c r="F115" s="74"/>
      <c r="G115" s="74"/>
      <c r="H115" s="74"/>
      <c r="I115" s="76"/>
      <c r="J115" s="76"/>
      <c r="K115" s="430">
        <f>K112+K113-K114</f>
        <v>-717859.03820224735</v>
      </c>
      <c r="L115" s="430">
        <f>L112+L113-L114</f>
        <v>-739718.0764044947</v>
      </c>
      <c r="M115" s="430">
        <f t="shared" ref="M115:AI115" si="44">M112+M113-M114</f>
        <v>-870196.34382022545</v>
      </c>
      <c r="N115" s="430">
        <f t="shared" si="44"/>
        <v>-798978.36629213579</v>
      </c>
      <c r="O115" s="430">
        <f t="shared" si="44"/>
        <v>-727760.38876404613</v>
      </c>
      <c r="P115" s="430">
        <f t="shared" si="44"/>
        <v>-943161.73707865318</v>
      </c>
      <c r="Q115" s="430">
        <f t="shared" si="44"/>
        <v>-871943.75955056353</v>
      </c>
      <c r="R115" s="430">
        <f t="shared" si="44"/>
        <v>-800725.78202247387</v>
      </c>
      <c r="S115" s="430">
        <f t="shared" si="44"/>
        <v>-1016127.1303370809</v>
      </c>
      <c r="T115" s="430">
        <f t="shared" si="44"/>
        <v>-944909.15280899126</v>
      </c>
      <c r="U115" s="430">
        <f t="shared" si="44"/>
        <v>-873691.1752809016</v>
      </c>
      <c r="V115" s="430">
        <f t="shared" si="44"/>
        <v>-1089092.5235955087</v>
      </c>
      <c r="W115" s="430">
        <f t="shared" si="44"/>
        <v>-1017874.546067419</v>
      </c>
      <c r="X115" s="430">
        <f t="shared" si="44"/>
        <v>-946656.56853932934</v>
      </c>
      <c r="Y115" s="430">
        <f t="shared" si="44"/>
        <v>-1162057.9168539364</v>
      </c>
      <c r="Z115" s="430">
        <f t="shared" si="44"/>
        <v>-1090839.9393258467</v>
      </c>
      <c r="AA115" s="430">
        <f t="shared" si="44"/>
        <v>-1019621.9617977571</v>
      </c>
      <c r="AB115" s="430">
        <f t="shared" si="44"/>
        <v>-1235023.3101123641</v>
      </c>
      <c r="AC115" s="430">
        <f t="shared" si="44"/>
        <v>-1163805.3325842745</v>
      </c>
      <c r="AD115" s="430">
        <f t="shared" si="44"/>
        <v>-1092587.3550561848</v>
      </c>
      <c r="AE115" s="430">
        <f t="shared" si="44"/>
        <v>-1307988.7033707919</v>
      </c>
      <c r="AF115" s="430">
        <f t="shared" si="44"/>
        <v>-1236770.7258427022</v>
      </c>
      <c r="AG115" s="430">
        <f t="shared" si="44"/>
        <v>-1165552.7483146125</v>
      </c>
      <c r="AH115" s="430">
        <f t="shared" si="44"/>
        <v>-1380954.0966292196</v>
      </c>
      <c r="AI115" s="430">
        <f t="shared" si="44"/>
        <v>-1309736.1191011299</v>
      </c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</row>
    <row r="116" spans="1:57" s="81" customFormat="1" ht="15.75" customHeight="1">
      <c r="A116" s="75"/>
      <c r="B116" s="100"/>
      <c r="C116" s="545"/>
      <c r="D116" s="74"/>
      <c r="E116" s="74"/>
      <c r="F116" s="74"/>
      <c r="G116" s="74"/>
      <c r="H116" s="74"/>
      <c r="I116" s="76"/>
      <c r="J116" s="76"/>
      <c r="P116" s="439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</row>
    <row r="117" spans="1:57" s="81" customFormat="1" ht="15.75" customHeight="1">
      <c r="A117" s="75"/>
      <c r="B117" s="100"/>
      <c r="C117" s="545" t="s">
        <v>853</v>
      </c>
      <c r="D117" s="74"/>
      <c r="E117" s="74"/>
      <c r="F117" s="74"/>
      <c r="G117" s="74"/>
      <c r="H117" s="74"/>
      <c r="I117" s="76"/>
      <c r="J117" s="76"/>
      <c r="K117" s="840">
        <f>K107</f>
        <v>1.8337615972222217E-2</v>
      </c>
      <c r="L117" s="840">
        <f>K119</f>
        <v>1.8337615972222217E-2</v>
      </c>
      <c r="M117" s="840">
        <f>L119</f>
        <v>1.8337618674698769E-2</v>
      </c>
      <c r="N117" s="840">
        <f t="shared" ref="N117:AI117" si="45">M119</f>
        <v>1.7252753115443772E-2</v>
      </c>
      <c r="O117" s="840">
        <f t="shared" si="45"/>
        <v>1.685775866666667E-2</v>
      </c>
      <c r="P117" s="840">
        <f t="shared" si="45"/>
        <v>1.6857758666666656E-2</v>
      </c>
      <c r="Q117" s="840">
        <f t="shared" si="45"/>
        <v>1.6857758666666667E-2</v>
      </c>
      <c r="R117" s="840">
        <f t="shared" si="45"/>
        <v>1.6857758666666688E-2</v>
      </c>
      <c r="S117" s="840">
        <f t="shared" si="45"/>
        <v>1.6857758666666712E-2</v>
      </c>
      <c r="T117" s="840">
        <f t="shared" si="45"/>
        <v>1.678993883333332E-2</v>
      </c>
      <c r="U117" s="840">
        <f t="shared" si="45"/>
        <v>1.600713499999995E-2</v>
      </c>
      <c r="V117" s="840">
        <f t="shared" si="45"/>
        <v>1.6007135000000016E-2</v>
      </c>
      <c r="W117" s="840">
        <f t="shared" si="45"/>
        <v>1.6007134999999985E-2</v>
      </c>
      <c r="X117" s="840">
        <f t="shared" si="45"/>
        <v>1.6007134999999985E-2</v>
      </c>
      <c r="Y117" s="840">
        <f t="shared" si="45"/>
        <v>1.6007134999999926E-2</v>
      </c>
      <c r="Z117" s="840">
        <f t="shared" si="45"/>
        <v>1.6007135000000013E-2</v>
      </c>
      <c r="AA117" s="840">
        <f t="shared" si="45"/>
        <v>1.6007135000000016E-2</v>
      </c>
      <c r="AB117" s="840">
        <f t="shared" si="45"/>
        <v>1.600713500000002E-2</v>
      </c>
      <c r="AC117" s="840">
        <f t="shared" si="45"/>
        <v>1.6007134999999992E-2</v>
      </c>
      <c r="AD117" s="840">
        <f t="shared" si="45"/>
        <v>1.6007134999999995E-2</v>
      </c>
      <c r="AE117" s="840">
        <f t="shared" si="45"/>
        <v>1.5534873833333233E-2</v>
      </c>
      <c r="AF117" s="840">
        <f t="shared" si="45"/>
        <v>1.4946821249999962E-2</v>
      </c>
      <c r="AG117" s="840">
        <f t="shared" si="45"/>
        <v>1.4946821249999942E-2</v>
      </c>
      <c r="AH117" s="840">
        <f t="shared" si="45"/>
        <v>1.4946821249999921E-2</v>
      </c>
      <c r="AI117" s="840">
        <f t="shared" si="45"/>
        <v>1.4946821250000002E-2</v>
      </c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</row>
    <row r="118" spans="1:57" s="81" customFormat="1" ht="15.75" customHeight="1">
      <c r="A118" s="75"/>
      <c r="B118" s="100"/>
      <c r="C118" s="545" t="s">
        <v>854</v>
      </c>
      <c r="D118" s="74"/>
      <c r="E118" s="74"/>
      <c r="F118" s="74"/>
      <c r="G118" s="74"/>
      <c r="H118" s="74"/>
      <c r="I118" s="76"/>
      <c r="J118" s="76"/>
      <c r="K118" s="840">
        <f>K107</f>
        <v>1.8337615972222217E-2</v>
      </c>
      <c r="L118" s="840">
        <f t="shared" ref="L118:AI118" si="46">(L112*L117+(L114-L112)*L107)/L114</f>
        <v>1.8337619638022041E-2</v>
      </c>
      <c r="M118" s="840">
        <f t="shared" si="46"/>
        <v>1.6926333719468178E-2</v>
      </c>
      <c r="N118" s="840">
        <f t="shared" si="46"/>
        <v>1.6710161029001001E-2</v>
      </c>
      <c r="O118" s="840">
        <f t="shared" si="46"/>
        <v>1.6857758666666667E-2</v>
      </c>
      <c r="P118" s="840">
        <f t="shared" si="46"/>
        <v>1.685775866666667E-2</v>
      </c>
      <c r="Q118" s="840">
        <f t="shared" si="46"/>
        <v>1.6857758666666667E-2</v>
      </c>
      <c r="R118" s="840">
        <f t="shared" si="46"/>
        <v>1.685775866666666E-2</v>
      </c>
      <c r="S118" s="840">
        <f t="shared" si="46"/>
        <v>1.6769175255644777E-2</v>
      </c>
      <c r="T118" s="840">
        <f t="shared" si="46"/>
        <v>1.5665570952739988E-2</v>
      </c>
      <c r="U118" s="840">
        <f t="shared" si="46"/>
        <v>1.600713500000002E-2</v>
      </c>
      <c r="V118" s="840">
        <f t="shared" si="46"/>
        <v>1.6007134999999992E-2</v>
      </c>
      <c r="W118" s="840">
        <f t="shared" si="46"/>
        <v>1.6007135000000006E-2</v>
      </c>
      <c r="X118" s="840">
        <f t="shared" si="46"/>
        <v>1.6007135000000006E-2</v>
      </c>
      <c r="Y118" s="840">
        <f t="shared" si="46"/>
        <v>1.6007135000000026E-2</v>
      </c>
      <c r="Z118" s="840">
        <f t="shared" si="46"/>
        <v>1.6007134999999992E-2</v>
      </c>
      <c r="AA118" s="840">
        <f t="shared" si="46"/>
        <v>1.6007134999999992E-2</v>
      </c>
      <c r="AB118" s="840">
        <f t="shared" si="46"/>
        <v>1.6007134999999988E-2</v>
      </c>
      <c r="AC118" s="840">
        <f t="shared" si="46"/>
        <v>1.6007135000000002E-2</v>
      </c>
      <c r="AD118" s="840">
        <f t="shared" si="46"/>
        <v>1.5298862021650018E-2</v>
      </c>
      <c r="AE118" s="840">
        <f t="shared" si="46"/>
        <v>1.4701161509451171E-2</v>
      </c>
      <c r="AF118" s="840">
        <f t="shared" si="46"/>
        <v>1.4946821250000018E-2</v>
      </c>
      <c r="AG118" s="840">
        <f t="shared" si="46"/>
        <v>1.4946821250000028E-2</v>
      </c>
      <c r="AH118" s="840">
        <f t="shared" si="46"/>
        <v>1.4946821250000034E-2</v>
      </c>
      <c r="AI118" s="840">
        <f t="shared" si="46"/>
        <v>1.4946821249999997E-2</v>
      </c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</row>
    <row r="119" spans="1:57" s="81" customFormat="1" ht="15.75" customHeight="1">
      <c r="A119" s="75"/>
      <c r="B119" s="100"/>
      <c r="C119" s="545" t="s">
        <v>855</v>
      </c>
      <c r="D119" s="74"/>
      <c r="E119" s="74"/>
      <c r="F119" s="74"/>
      <c r="G119" s="74"/>
      <c r="H119" s="74"/>
      <c r="I119" s="76"/>
      <c r="J119" s="76"/>
      <c r="K119" s="840">
        <f>K107</f>
        <v>1.8337615972222217E-2</v>
      </c>
      <c r="L119" s="840">
        <f>(SUMPRODUCT($K$106:L106,$K$107:L107)-SUMPRODUCT($K$114:L114,$K$118:L118))/L115</f>
        <v>1.8337618674698769E-2</v>
      </c>
      <c r="M119" s="840">
        <f>(SUMPRODUCT($K$106:M106,$K$107:M107)-SUMPRODUCT($K$114:M114,$K$118:M118))/M115</f>
        <v>1.7252753115443772E-2</v>
      </c>
      <c r="N119" s="840">
        <f>(SUMPRODUCT($K$106:N106,$K$107:N107)-SUMPRODUCT($K$114:N114,$K$118:N118))/N115</f>
        <v>1.685775866666667E-2</v>
      </c>
      <c r="O119" s="840">
        <f>(SUMPRODUCT($K$106:O106,$K$107:O107)-SUMPRODUCT($K$114:O114,$K$118:O118))/O115</f>
        <v>1.6857758666666656E-2</v>
      </c>
      <c r="P119" s="840">
        <f>(SUMPRODUCT($K$106:P106,$K$107:P107)-SUMPRODUCT($K$114:P114,$K$118:P118))/P115</f>
        <v>1.6857758666666667E-2</v>
      </c>
      <c r="Q119" s="840">
        <f>(SUMPRODUCT($K$106:Q106,$K$107:Q107)-SUMPRODUCT($K$114:Q114,$K$118:Q118))/Q115</f>
        <v>1.6857758666666688E-2</v>
      </c>
      <c r="R119" s="840">
        <f>(SUMPRODUCT($K$106:R106,$K$107:R107)-SUMPRODUCT($K$114:R114,$K$118:R118))/R115</f>
        <v>1.6857758666666712E-2</v>
      </c>
      <c r="S119" s="840">
        <f>(SUMPRODUCT($K$106:S106,$K$107:S107)-SUMPRODUCT($K$114:S114,$K$118:S118))/S115</f>
        <v>1.678993883333332E-2</v>
      </c>
      <c r="T119" s="840">
        <f>(SUMPRODUCT($K$106:T106,$K$107:T107)-SUMPRODUCT($K$114:T114,$K$118:T118))/T115</f>
        <v>1.600713499999995E-2</v>
      </c>
      <c r="U119" s="840">
        <f>(SUMPRODUCT($K$106:U106,$K$107:U107)-SUMPRODUCT($K$114:U114,$K$118:U118))/U115</f>
        <v>1.6007135000000016E-2</v>
      </c>
      <c r="V119" s="840">
        <f>(SUMPRODUCT($K$106:V106,$K$107:V107)-SUMPRODUCT($K$114:V114,$K$118:V118))/V115</f>
        <v>1.6007134999999985E-2</v>
      </c>
      <c r="W119" s="840">
        <f>(SUMPRODUCT($K$106:W106,$K$107:W107)-SUMPRODUCT($K$114:W114,$K$118:W118))/W115</f>
        <v>1.6007134999999985E-2</v>
      </c>
      <c r="X119" s="840">
        <f>(SUMPRODUCT($K$106:X106,$K$107:X107)-SUMPRODUCT($K$114:X114,$K$118:X118))/X115</f>
        <v>1.6007134999999926E-2</v>
      </c>
      <c r="Y119" s="840">
        <f>(SUMPRODUCT($K$106:Y106,$K$107:Y107)-SUMPRODUCT($K$114:Y114,$K$118:Y118))/Y115</f>
        <v>1.6007135000000013E-2</v>
      </c>
      <c r="Z119" s="840">
        <f>(SUMPRODUCT($K$106:Z106,$K$107:Z107)-SUMPRODUCT($K$114:Z114,$K$118:Z118))/Z115</f>
        <v>1.6007135000000016E-2</v>
      </c>
      <c r="AA119" s="840">
        <f>(SUMPRODUCT($K$106:AA106,$K$107:AA107)-SUMPRODUCT($K$114:AA114,$K$118:AA118))/AA115</f>
        <v>1.600713500000002E-2</v>
      </c>
      <c r="AB119" s="840">
        <f>(SUMPRODUCT($K$106:AB106,$K$107:AB107)-SUMPRODUCT($K$114:AB114,$K$118:AB118))/AB115</f>
        <v>1.6007134999999992E-2</v>
      </c>
      <c r="AC119" s="840">
        <f>(SUMPRODUCT($K$106:AC106,$K$107:AC107)-SUMPRODUCT($K$114:AC114,$K$118:AC118))/AC115</f>
        <v>1.6007134999999995E-2</v>
      </c>
      <c r="AD119" s="840">
        <f>(SUMPRODUCT($K$106:AD106,$K$107:AD107)-SUMPRODUCT($K$114:AD114,$K$118:AD118))/AD115</f>
        <v>1.5534873833333233E-2</v>
      </c>
      <c r="AE119" s="840">
        <f>(SUMPRODUCT($K$106:AE106,$K$107:AE107)-SUMPRODUCT($K$114:AE114,$K$118:AE118))/AE115</f>
        <v>1.4946821249999962E-2</v>
      </c>
      <c r="AF119" s="840">
        <f>(SUMPRODUCT($K$106:AF106,$K$107:AF107)-SUMPRODUCT($K$114:AF114,$K$118:AF118))/AF115</f>
        <v>1.4946821249999942E-2</v>
      </c>
      <c r="AG119" s="840">
        <f>(SUMPRODUCT($K$106:AG106,$K$107:AG107)-SUMPRODUCT($K$114:AG114,$K$118:AG118))/AG115</f>
        <v>1.4946821249999921E-2</v>
      </c>
      <c r="AH119" s="840">
        <f>(SUMPRODUCT($K$106:AH106,$K$107:AH107)-SUMPRODUCT($K$114:AH114,$K$118:AH118))/AH115</f>
        <v>1.4946821250000002E-2</v>
      </c>
      <c r="AI119" s="840">
        <f>(SUMPRODUCT($K$106:AI106,$K$107:AI107)-SUMPRODUCT($K$114:AI114,$K$118:AI118))/AI115</f>
        <v>1.4946821249999987E-2</v>
      </c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</row>
    <row r="120" spans="1:57" s="81" customFormat="1" ht="15.75" customHeight="1">
      <c r="A120" s="75"/>
      <c r="B120" s="100"/>
      <c r="C120" s="74"/>
      <c r="D120" s="74"/>
      <c r="E120" s="74"/>
      <c r="F120" s="74"/>
      <c r="G120" s="74"/>
      <c r="H120" s="74"/>
      <c r="I120" s="76"/>
      <c r="J120" s="76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</row>
    <row r="121" spans="1:57" s="81" customFormat="1" ht="15.75" customHeight="1">
      <c r="A121" s="75"/>
      <c r="B121" s="100"/>
      <c r="C121" s="544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100"/>
      <c r="O121" s="76"/>
      <c r="P121" s="152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</row>
    <row r="122" spans="1:57" s="81" customFormat="1" ht="15.75" customHeight="1">
      <c r="A122" s="75"/>
      <c r="B122" s="100"/>
      <c r="C122" s="135"/>
      <c r="D122" s="100"/>
      <c r="E122" s="100"/>
      <c r="F122" s="100"/>
      <c r="G122" s="100"/>
      <c r="H122" s="100"/>
      <c r="I122" s="100"/>
      <c r="J122" s="91"/>
      <c r="K122" s="91"/>
      <c r="L122" s="91"/>
      <c r="M122" s="91"/>
      <c r="N122" s="91"/>
      <c r="O122" s="76"/>
      <c r="P122" s="152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</row>
    <row r="123" spans="1:57" s="81" customFormat="1" ht="15.75" customHeight="1">
      <c r="A123" s="75"/>
      <c r="B123" s="100"/>
      <c r="C123" s="135"/>
      <c r="D123" s="100"/>
      <c r="E123" s="100"/>
      <c r="F123" s="100"/>
      <c r="G123" s="100"/>
      <c r="H123" s="100"/>
      <c r="I123" s="100"/>
      <c r="J123" s="91"/>
      <c r="K123" s="91"/>
      <c r="L123" s="91"/>
      <c r="M123" s="91"/>
      <c r="N123" s="91"/>
      <c r="O123" s="76"/>
      <c r="P123" s="152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</row>
    <row r="124" spans="1:57" s="81" customFormat="1" ht="15.75" customHeight="1">
      <c r="A124" s="75"/>
      <c r="B124" s="100"/>
      <c r="C124" s="135"/>
      <c r="D124" s="100"/>
      <c r="E124" s="100"/>
      <c r="F124" s="100"/>
      <c r="G124" s="100"/>
      <c r="H124" s="100"/>
      <c r="I124" s="100"/>
      <c r="J124" s="91"/>
      <c r="K124" s="91"/>
      <c r="L124" s="91"/>
      <c r="M124" s="91"/>
      <c r="N124" s="91"/>
      <c r="O124" s="76"/>
      <c r="P124" s="152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</row>
    <row r="125" spans="1:57" s="81" customFormat="1" ht="15.75" customHeight="1">
      <c r="A125" s="75"/>
      <c r="B125" s="100"/>
      <c r="C125" s="135"/>
      <c r="D125" s="100"/>
      <c r="E125" s="100"/>
      <c r="F125" s="100"/>
      <c r="G125" s="100"/>
      <c r="H125" s="100"/>
      <c r="I125" s="100"/>
      <c r="J125" s="91"/>
      <c r="K125" s="91"/>
      <c r="L125" s="91"/>
      <c r="M125" s="91"/>
      <c r="N125" s="91"/>
      <c r="O125" s="76"/>
      <c r="P125" s="152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</row>
    <row r="126" spans="1:57" ht="27" customHeight="1">
      <c r="B126" s="159"/>
      <c r="C126" s="462" t="s">
        <v>772</v>
      </c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  <c r="AB126" s="97"/>
      <c r="AC126" s="97"/>
      <c r="AD126" s="97"/>
      <c r="AE126" s="97"/>
      <c r="AF126" s="97"/>
      <c r="AG126" s="97"/>
      <c r="AH126" s="97"/>
      <c r="AI126" s="97"/>
    </row>
    <row r="127" spans="1:57" ht="3" customHeight="1">
      <c r="B127" s="159"/>
      <c r="C127" s="464"/>
      <c r="D127" s="89"/>
      <c r="E127" s="89"/>
      <c r="F127" s="89"/>
      <c r="G127" s="89"/>
      <c r="H127" s="89"/>
      <c r="I127" s="89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</row>
    <row r="128" spans="1:57" ht="15.75" customHeight="1">
      <c r="B128" s="159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  <c r="AB128" s="97"/>
      <c r="AC128" s="97"/>
      <c r="AD128" s="97"/>
      <c r="AE128" s="97"/>
      <c r="AF128" s="97"/>
      <c r="AG128" s="97"/>
      <c r="AH128" s="97"/>
      <c r="AI128" s="97"/>
    </row>
    <row r="129" spans="1:57" ht="15.75" customHeight="1">
      <c r="C129" s="467"/>
      <c r="D129" s="468"/>
      <c r="E129" s="468"/>
      <c r="F129" s="468"/>
      <c r="G129" s="468"/>
      <c r="H129" s="468"/>
      <c r="I129" s="468"/>
      <c r="J129" s="91"/>
      <c r="K129" s="91"/>
      <c r="L129" s="91"/>
      <c r="M129" s="91"/>
      <c r="N129" s="135"/>
      <c r="O129" s="81"/>
      <c r="AJ129" s="81"/>
    </row>
    <row r="130" spans="1:57" ht="15.75" customHeight="1">
      <c r="B130" s="91"/>
      <c r="C130" s="546" t="s">
        <v>773</v>
      </c>
      <c r="D130" s="546">
        <f>1*(1+D131)</f>
        <v>1</v>
      </c>
      <c r="E130" s="106"/>
      <c r="F130" s="106"/>
      <c r="G130" s="768">
        <f>H130-1</f>
        <v>-4</v>
      </c>
      <c r="H130" s="768">
        <f>I130-1</f>
        <v>-3</v>
      </c>
      <c r="I130" s="768">
        <f>J130-1</f>
        <v>-2</v>
      </c>
      <c r="J130" s="768">
        <v>-1</v>
      </c>
      <c r="K130" s="768">
        <f>J130+2</f>
        <v>1</v>
      </c>
      <c r="L130" s="768">
        <f t="shared" ref="L130:AI130" si="47">K130+1</f>
        <v>2</v>
      </c>
      <c r="M130" s="768">
        <f t="shared" si="47"/>
        <v>3</v>
      </c>
      <c r="N130" s="768">
        <f t="shared" si="47"/>
        <v>4</v>
      </c>
      <c r="O130" s="768">
        <f t="shared" si="47"/>
        <v>5</v>
      </c>
      <c r="P130" s="768">
        <f t="shared" si="47"/>
        <v>6</v>
      </c>
      <c r="Q130" s="768">
        <f t="shared" si="47"/>
        <v>7</v>
      </c>
      <c r="R130" s="768">
        <f t="shared" si="47"/>
        <v>8</v>
      </c>
      <c r="S130" s="768">
        <f t="shared" si="47"/>
        <v>9</v>
      </c>
      <c r="T130" s="768">
        <f t="shared" si="47"/>
        <v>10</v>
      </c>
      <c r="U130" s="768">
        <f t="shared" si="47"/>
        <v>11</v>
      </c>
      <c r="V130" s="768">
        <f t="shared" si="47"/>
        <v>12</v>
      </c>
      <c r="W130" s="768">
        <f t="shared" si="47"/>
        <v>13</v>
      </c>
      <c r="X130" s="768">
        <f t="shared" si="47"/>
        <v>14</v>
      </c>
      <c r="Y130" s="768">
        <f t="shared" si="47"/>
        <v>15</v>
      </c>
      <c r="Z130" s="768">
        <f t="shared" si="47"/>
        <v>16</v>
      </c>
      <c r="AA130" s="768">
        <f t="shared" si="47"/>
        <v>17</v>
      </c>
      <c r="AB130" s="768">
        <f t="shared" si="47"/>
        <v>18</v>
      </c>
      <c r="AC130" s="768">
        <f t="shared" si="47"/>
        <v>19</v>
      </c>
      <c r="AD130" s="768">
        <f t="shared" si="47"/>
        <v>20</v>
      </c>
      <c r="AE130" s="768">
        <f t="shared" si="47"/>
        <v>21</v>
      </c>
      <c r="AF130" s="768">
        <f t="shared" si="47"/>
        <v>22</v>
      </c>
      <c r="AG130" s="768">
        <f t="shared" si="47"/>
        <v>23</v>
      </c>
      <c r="AH130" s="768">
        <f t="shared" si="47"/>
        <v>24</v>
      </c>
      <c r="AI130" s="768">
        <f t="shared" si="47"/>
        <v>25</v>
      </c>
      <c r="AJ130" s="768" t="s">
        <v>666</v>
      </c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</row>
    <row r="131" spans="1:57" ht="15.75" customHeight="1">
      <c r="B131" s="91"/>
      <c r="C131" s="548"/>
      <c r="D131" s="944">
        <v>0</v>
      </c>
      <c r="E131" s="469"/>
      <c r="F131" s="469"/>
      <c r="G131" s="469"/>
      <c r="H131" s="469"/>
      <c r="I131" s="548"/>
      <c r="J131" s="548"/>
      <c r="K131" s="769">
        <f>INT(ROUNDUP(K130/12,0))</f>
        <v>1</v>
      </c>
      <c r="L131" s="769">
        <f>INT(ROUNDUP(L130/12,0))</f>
        <v>1</v>
      </c>
      <c r="M131" s="769">
        <f t="shared" ref="M131:AI131" si="48">INT(ROUNDUP(M130/12,0))</f>
        <v>1</v>
      </c>
      <c r="N131" s="769">
        <f t="shared" si="48"/>
        <v>1</v>
      </c>
      <c r="O131" s="769">
        <f t="shared" si="48"/>
        <v>1</v>
      </c>
      <c r="P131" s="769">
        <f t="shared" si="48"/>
        <v>1</v>
      </c>
      <c r="Q131" s="769">
        <f t="shared" si="48"/>
        <v>1</v>
      </c>
      <c r="R131" s="769">
        <f t="shared" si="48"/>
        <v>1</v>
      </c>
      <c r="S131" s="769">
        <f t="shared" si="48"/>
        <v>1</v>
      </c>
      <c r="T131" s="769">
        <f t="shared" si="48"/>
        <v>1</v>
      </c>
      <c r="U131" s="769">
        <f t="shared" si="48"/>
        <v>1</v>
      </c>
      <c r="V131" s="769">
        <f t="shared" si="48"/>
        <v>1</v>
      </c>
      <c r="W131" s="769">
        <f t="shared" si="48"/>
        <v>2</v>
      </c>
      <c r="X131" s="769">
        <f t="shared" si="48"/>
        <v>2</v>
      </c>
      <c r="Y131" s="769">
        <f t="shared" si="48"/>
        <v>2</v>
      </c>
      <c r="Z131" s="769">
        <f t="shared" si="48"/>
        <v>2</v>
      </c>
      <c r="AA131" s="769">
        <f t="shared" si="48"/>
        <v>2</v>
      </c>
      <c r="AB131" s="769">
        <f t="shared" si="48"/>
        <v>2</v>
      </c>
      <c r="AC131" s="769">
        <f t="shared" si="48"/>
        <v>2</v>
      </c>
      <c r="AD131" s="769">
        <f t="shared" si="48"/>
        <v>2</v>
      </c>
      <c r="AE131" s="769">
        <f t="shared" si="48"/>
        <v>2</v>
      </c>
      <c r="AF131" s="769">
        <f t="shared" si="48"/>
        <v>2</v>
      </c>
      <c r="AG131" s="769">
        <f t="shared" si="48"/>
        <v>2</v>
      </c>
      <c r="AH131" s="769">
        <f t="shared" si="48"/>
        <v>2</v>
      </c>
      <c r="AI131" s="769">
        <f t="shared" si="48"/>
        <v>3</v>
      </c>
      <c r="AJ131" s="769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</row>
    <row r="132" spans="1:57" ht="15.75" customHeight="1">
      <c r="B132" s="91"/>
      <c r="C132" s="471"/>
      <c r="D132" s="472"/>
      <c r="E132" s="506"/>
      <c r="F132" s="506"/>
      <c r="G132" s="94" t="s">
        <v>499</v>
      </c>
      <c r="H132" s="94" t="s">
        <v>499</v>
      </c>
      <c r="I132" s="94" t="s">
        <v>499</v>
      </c>
      <c r="J132" s="94" t="s">
        <v>499</v>
      </c>
      <c r="K132" s="94" t="s">
        <v>499</v>
      </c>
      <c r="L132" s="94" t="s">
        <v>499</v>
      </c>
      <c r="M132" s="94" t="s">
        <v>499</v>
      </c>
      <c r="N132" s="94" t="s">
        <v>499</v>
      </c>
      <c r="O132" s="94" t="s">
        <v>499</v>
      </c>
      <c r="P132" s="94" t="s">
        <v>499</v>
      </c>
      <c r="Q132" s="94" t="s">
        <v>499</v>
      </c>
      <c r="R132" s="94" t="s">
        <v>499</v>
      </c>
      <c r="S132" s="94" t="s">
        <v>499</v>
      </c>
      <c r="T132" s="94" t="s">
        <v>499</v>
      </c>
      <c r="U132" s="94" t="s">
        <v>499</v>
      </c>
      <c r="V132" s="94" t="s">
        <v>499</v>
      </c>
      <c r="W132" s="94" t="s">
        <v>499</v>
      </c>
      <c r="X132" s="94" t="s">
        <v>499</v>
      </c>
      <c r="Y132" s="94" t="s">
        <v>499</v>
      </c>
      <c r="Z132" s="94" t="s">
        <v>499</v>
      </c>
      <c r="AA132" s="94" t="s">
        <v>499</v>
      </c>
      <c r="AB132" s="94" t="s">
        <v>499</v>
      </c>
      <c r="AC132" s="94" t="s">
        <v>499</v>
      </c>
      <c r="AD132" s="94" t="s">
        <v>499</v>
      </c>
      <c r="AE132" s="94" t="s">
        <v>499</v>
      </c>
      <c r="AF132" s="94" t="s">
        <v>499</v>
      </c>
      <c r="AG132" s="94" t="s">
        <v>499</v>
      </c>
      <c r="AH132" s="94" t="s">
        <v>499</v>
      </c>
      <c r="AI132" s="94" t="s">
        <v>499</v>
      </c>
      <c r="AJ132" s="94" t="s">
        <v>499</v>
      </c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</row>
    <row r="133" spans="1:57" ht="15.75" customHeight="1">
      <c r="B133" s="91"/>
      <c r="C133" s="135"/>
      <c r="D133" s="91"/>
      <c r="E133" s="91"/>
      <c r="F133" s="91"/>
      <c r="G133" s="91"/>
      <c r="H133" s="91"/>
      <c r="K133" s="91"/>
      <c r="L133" s="91"/>
      <c r="M133" s="91"/>
      <c r="N133" s="91"/>
      <c r="O133" s="81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100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</row>
    <row r="134" spans="1:57" s="671" customFormat="1" ht="15.75" customHeight="1">
      <c r="A134" s="75"/>
      <c r="C134" s="544" t="s">
        <v>774</v>
      </c>
      <c r="D134" s="74"/>
      <c r="E134" s="74"/>
      <c r="F134" s="74"/>
      <c r="G134" s="74"/>
      <c r="H134" s="74"/>
      <c r="I134" s="74"/>
      <c r="J134" s="76"/>
      <c r="K134" s="671">
        <v>4.7357436782244218</v>
      </c>
      <c r="L134" s="671">
        <v>3.3191590409112051</v>
      </c>
      <c r="M134" s="671">
        <v>2.4922749267011133</v>
      </c>
      <c r="N134" s="671">
        <v>2.2798840266042122</v>
      </c>
      <c r="O134" s="671">
        <v>2.2798840266042122</v>
      </c>
      <c r="P134" s="671">
        <v>2.3223184989397399</v>
      </c>
      <c r="Q134" s="671">
        <v>2.3270388186420612</v>
      </c>
      <c r="R134" s="671">
        <v>2.3880622577422437</v>
      </c>
      <c r="S134" s="671">
        <v>2.3656365407628974</v>
      </c>
      <c r="T134" s="671">
        <v>2.1138218686203056</v>
      </c>
      <c r="U134" s="671">
        <v>2.1138218686203056</v>
      </c>
      <c r="V134" s="671">
        <v>2.1138218686203056</v>
      </c>
      <c r="W134" s="671">
        <v>2.1138218686203056</v>
      </c>
      <c r="X134" s="671">
        <v>1.8020622050227906</v>
      </c>
      <c r="Y134" s="671">
        <v>1.7570432618954572</v>
      </c>
      <c r="Z134" s="671">
        <v>1.7570432618954572</v>
      </c>
      <c r="AA134" s="671">
        <v>1.7570432618954572</v>
      </c>
      <c r="AB134" s="671">
        <v>1.7570432618954572</v>
      </c>
      <c r="AC134" s="671">
        <v>1.7570432618954572</v>
      </c>
      <c r="AD134" s="671">
        <v>1.7570432618954572</v>
      </c>
      <c r="AE134" s="671">
        <v>1.7570432618954572</v>
      </c>
      <c r="AF134" s="671">
        <v>1.7570432618954572</v>
      </c>
      <c r="AG134" s="671">
        <v>1.7570432618954572</v>
      </c>
      <c r="AH134" s="671">
        <v>1.7570432618954572</v>
      </c>
      <c r="AI134" s="671">
        <v>1.7570432618954572</v>
      </c>
    </row>
    <row r="135" spans="1:57" ht="15.75" customHeight="1">
      <c r="B135" s="159"/>
      <c r="C135" s="544" t="s">
        <v>775</v>
      </c>
      <c r="D135" s="74"/>
      <c r="E135" s="74"/>
      <c r="I135" s="74"/>
      <c r="J135" s="76"/>
      <c r="K135" s="74">
        <f>K134*K110*$D$130</f>
        <v>15012714.733927744</v>
      </c>
      <c r="L135" s="74">
        <f t="shared" ref="L135:AI135" si="49">L134*L110*$D$130</f>
        <v>16172731.874042442</v>
      </c>
      <c r="M135" s="74">
        <f t="shared" si="49"/>
        <v>18425420.932675377</v>
      </c>
      <c r="N135" s="74">
        <f t="shared" si="49"/>
        <v>18853847.500375576</v>
      </c>
      <c r="O135" s="74">
        <f t="shared" si="49"/>
        <v>18853847.500375576</v>
      </c>
      <c r="P135" s="74">
        <f t="shared" si="49"/>
        <v>19204765.819394019</v>
      </c>
      <c r="Q135" s="74">
        <f t="shared" si="49"/>
        <v>19243801.220660958</v>
      </c>
      <c r="R135" s="74">
        <f t="shared" si="49"/>
        <v>19748443.825862661</v>
      </c>
      <c r="S135" s="74">
        <f t="shared" si="49"/>
        <v>19786548.33496815</v>
      </c>
      <c r="T135" s="74">
        <f t="shared" si="49"/>
        <v>20262785.700779561</v>
      </c>
      <c r="U135" s="74">
        <f t="shared" si="49"/>
        <v>20262785.700779561</v>
      </c>
      <c r="V135" s="74">
        <f t="shared" si="49"/>
        <v>20262785.700779561</v>
      </c>
      <c r="W135" s="74">
        <f t="shared" si="49"/>
        <v>20262785.700779561</v>
      </c>
      <c r="X135" s="74">
        <f t="shared" si="49"/>
        <v>17274303.394204333</v>
      </c>
      <c r="Y135" s="74">
        <f t="shared" si="49"/>
        <v>16842758.423170354</v>
      </c>
      <c r="Z135" s="74">
        <f t="shared" si="49"/>
        <v>16842758.423170354</v>
      </c>
      <c r="AA135" s="74">
        <f t="shared" si="49"/>
        <v>16842758.423170354</v>
      </c>
      <c r="AB135" s="74">
        <f t="shared" si="49"/>
        <v>16842758.423170354</v>
      </c>
      <c r="AC135" s="74">
        <f t="shared" si="49"/>
        <v>16842758.423170354</v>
      </c>
      <c r="AD135" s="74">
        <f t="shared" si="49"/>
        <v>18600369.210039403</v>
      </c>
      <c r="AE135" s="74">
        <f t="shared" si="49"/>
        <v>21763639.205030486</v>
      </c>
      <c r="AF135" s="74">
        <f t="shared" si="49"/>
        <v>21763639.205030486</v>
      </c>
      <c r="AG135" s="74">
        <f t="shared" si="49"/>
        <v>21763639.205030486</v>
      </c>
      <c r="AH135" s="74">
        <f t="shared" si="49"/>
        <v>21763639.205030486</v>
      </c>
      <c r="AI135" s="74">
        <f t="shared" si="49"/>
        <v>21763639.205030486</v>
      </c>
      <c r="AJ135" s="74">
        <f>SUM(K135:AI135)</f>
        <v>475259925.29064858</v>
      </c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</row>
    <row r="136" spans="1:57" ht="15.75" customHeight="1">
      <c r="B136" s="159"/>
      <c r="C136" s="544" t="s">
        <v>618</v>
      </c>
      <c r="D136" s="76"/>
      <c r="E136" s="76"/>
      <c r="F136" s="76"/>
      <c r="G136" s="76"/>
      <c r="H136" s="76"/>
      <c r="I136" s="76"/>
      <c r="J136" s="76"/>
      <c r="K136" s="76"/>
      <c r="L136" s="76"/>
      <c r="M136" s="100"/>
      <c r="N136" s="100"/>
      <c r="O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</row>
    <row r="137" spans="1:57" ht="15.75" customHeight="1">
      <c r="B137" s="159"/>
      <c r="C137" s="678" t="s">
        <v>776</v>
      </c>
      <c r="D137" s="74"/>
      <c r="E137" s="74"/>
      <c r="F137" s="74"/>
      <c r="G137" s="74"/>
      <c r="H137" s="74"/>
      <c r="I137" s="74"/>
      <c r="J137" s="76"/>
      <c r="K137" s="101">
        <v>12.5</v>
      </c>
      <c r="L137" s="671">
        <f>K137</f>
        <v>12.5</v>
      </c>
      <c r="M137" s="671">
        <f t="shared" ref="M137:AI137" si="50">L137</f>
        <v>12.5</v>
      </c>
      <c r="N137" s="671">
        <f t="shared" si="50"/>
        <v>12.5</v>
      </c>
      <c r="O137" s="671">
        <f t="shared" si="50"/>
        <v>12.5</v>
      </c>
      <c r="P137" s="671">
        <f t="shared" si="50"/>
        <v>12.5</v>
      </c>
      <c r="Q137" s="671">
        <f t="shared" si="50"/>
        <v>12.5</v>
      </c>
      <c r="R137" s="671">
        <f t="shared" si="50"/>
        <v>12.5</v>
      </c>
      <c r="S137" s="671">
        <f t="shared" si="50"/>
        <v>12.5</v>
      </c>
      <c r="T137" s="671">
        <f t="shared" si="50"/>
        <v>12.5</v>
      </c>
      <c r="U137" s="671">
        <f t="shared" si="50"/>
        <v>12.5</v>
      </c>
      <c r="V137" s="671">
        <f t="shared" si="50"/>
        <v>12.5</v>
      </c>
      <c r="W137" s="671">
        <f t="shared" si="50"/>
        <v>12.5</v>
      </c>
      <c r="X137" s="671">
        <f t="shared" si="50"/>
        <v>12.5</v>
      </c>
      <c r="Y137" s="671">
        <f t="shared" si="50"/>
        <v>12.5</v>
      </c>
      <c r="Z137" s="671">
        <f t="shared" si="50"/>
        <v>12.5</v>
      </c>
      <c r="AA137" s="671">
        <f t="shared" si="50"/>
        <v>12.5</v>
      </c>
      <c r="AB137" s="671">
        <f t="shared" si="50"/>
        <v>12.5</v>
      </c>
      <c r="AC137" s="671">
        <f t="shared" si="50"/>
        <v>12.5</v>
      </c>
      <c r="AD137" s="671">
        <f t="shared" si="50"/>
        <v>12.5</v>
      </c>
      <c r="AE137" s="671">
        <f t="shared" si="50"/>
        <v>12.5</v>
      </c>
      <c r="AF137" s="671">
        <f t="shared" si="50"/>
        <v>12.5</v>
      </c>
      <c r="AG137" s="671">
        <f t="shared" si="50"/>
        <v>12.5</v>
      </c>
      <c r="AH137" s="671">
        <f t="shared" si="50"/>
        <v>12.5</v>
      </c>
      <c r="AI137" s="671">
        <f t="shared" si="50"/>
        <v>12.5</v>
      </c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</row>
    <row r="138" spans="1:57" ht="15.75" customHeight="1">
      <c r="B138" s="159"/>
      <c r="C138" s="678" t="s">
        <v>777</v>
      </c>
      <c r="D138" s="74"/>
      <c r="E138" s="74"/>
      <c r="F138" s="74"/>
      <c r="G138" s="74"/>
      <c r="H138" s="74"/>
      <c r="I138" s="74"/>
      <c r="J138" s="76"/>
      <c r="K138" s="74">
        <f>K137*K16*$D$130</f>
        <v>1540262.6266002643</v>
      </c>
      <c r="L138" s="74">
        <f t="shared" ref="L138:AI138" si="51">L137*L16</f>
        <v>1680286.83764513</v>
      </c>
      <c r="M138" s="74">
        <f t="shared" si="51"/>
        <v>1893391.8034852217</v>
      </c>
      <c r="N138" s="74">
        <f t="shared" si="51"/>
        <v>1770601.6781611457</v>
      </c>
      <c r="O138" s="74">
        <f t="shared" si="51"/>
        <v>1786241.0621557035</v>
      </c>
      <c r="P138" s="74">
        <f t="shared" si="51"/>
        <v>2006086.1159594832</v>
      </c>
      <c r="Q138" s="74">
        <f t="shared" si="51"/>
        <v>1786241.0621557035</v>
      </c>
      <c r="R138" s="74">
        <f t="shared" si="51"/>
        <v>1786241.0621557028</v>
      </c>
      <c r="S138" s="74">
        <f t="shared" si="51"/>
        <v>1995544.622605047</v>
      </c>
      <c r="T138" s="74">
        <f t="shared" si="51"/>
        <v>1659917.3502957067</v>
      </c>
      <c r="U138" s="74">
        <f t="shared" si="51"/>
        <v>1696109.333977283</v>
      </c>
      <c r="V138" s="74">
        <f t="shared" si="51"/>
        <v>1904861.2520052535</v>
      </c>
      <c r="W138" s="74">
        <f t="shared" si="51"/>
        <v>1696109.3339772818</v>
      </c>
      <c r="X138" s="74">
        <f t="shared" si="51"/>
        <v>1696109.3339772818</v>
      </c>
      <c r="Y138" s="74">
        <f t="shared" si="51"/>
        <v>1904861.2520052572</v>
      </c>
      <c r="Z138" s="74">
        <f t="shared" si="51"/>
        <v>1696109.3339772804</v>
      </c>
      <c r="AA138" s="74">
        <f t="shared" si="51"/>
        <v>1696109.3339772804</v>
      </c>
      <c r="AB138" s="74">
        <f t="shared" si="51"/>
        <v>1904861.2520052532</v>
      </c>
      <c r="AC138" s="74">
        <f t="shared" si="51"/>
        <v>1696109.3339772816</v>
      </c>
      <c r="AD138" s="74">
        <f t="shared" si="51"/>
        <v>1621061.0252335058</v>
      </c>
      <c r="AE138" s="74">
        <f t="shared" si="51"/>
        <v>1749449.4123292277</v>
      </c>
      <c r="AF138" s="74">
        <f t="shared" si="51"/>
        <v>1583758.9322146033</v>
      </c>
      <c r="AG138" s="74">
        <f t="shared" si="51"/>
        <v>1583758.9322146042</v>
      </c>
      <c r="AH138" s="74">
        <f t="shared" si="51"/>
        <v>1778683.1084871716</v>
      </c>
      <c r="AI138" s="74">
        <f t="shared" si="51"/>
        <v>1583758.932214601</v>
      </c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</row>
    <row r="139" spans="1:57" ht="15.75" customHeight="1">
      <c r="B139" s="159"/>
      <c r="C139" s="678" t="s">
        <v>626</v>
      </c>
      <c r="D139" s="74"/>
      <c r="E139" s="74"/>
      <c r="F139" s="74"/>
      <c r="G139" s="74"/>
      <c r="H139" s="74"/>
      <c r="I139" s="74"/>
      <c r="J139" s="76"/>
      <c r="K139" s="101">
        <v>40</v>
      </c>
      <c r="L139" s="671">
        <f>K139</f>
        <v>40</v>
      </c>
      <c r="M139" s="671">
        <f t="shared" ref="M139:AI139" si="52">L139</f>
        <v>40</v>
      </c>
      <c r="N139" s="671">
        <f t="shared" si="52"/>
        <v>40</v>
      </c>
      <c r="O139" s="671">
        <f t="shared" si="52"/>
        <v>40</v>
      </c>
      <c r="P139" s="671">
        <f t="shared" si="52"/>
        <v>40</v>
      </c>
      <c r="Q139" s="671">
        <f t="shared" si="52"/>
        <v>40</v>
      </c>
      <c r="R139" s="671">
        <f t="shared" si="52"/>
        <v>40</v>
      </c>
      <c r="S139" s="671">
        <f t="shared" si="52"/>
        <v>40</v>
      </c>
      <c r="T139" s="671">
        <f t="shared" si="52"/>
        <v>40</v>
      </c>
      <c r="U139" s="671">
        <f t="shared" si="52"/>
        <v>40</v>
      </c>
      <c r="V139" s="671">
        <f t="shared" si="52"/>
        <v>40</v>
      </c>
      <c r="W139" s="671">
        <f t="shared" si="52"/>
        <v>40</v>
      </c>
      <c r="X139" s="671">
        <f t="shared" si="52"/>
        <v>40</v>
      </c>
      <c r="Y139" s="671">
        <f t="shared" si="52"/>
        <v>40</v>
      </c>
      <c r="Z139" s="671">
        <f t="shared" si="52"/>
        <v>40</v>
      </c>
      <c r="AA139" s="671">
        <f t="shared" si="52"/>
        <v>40</v>
      </c>
      <c r="AB139" s="671">
        <f t="shared" si="52"/>
        <v>40</v>
      </c>
      <c r="AC139" s="671">
        <f t="shared" si="52"/>
        <v>40</v>
      </c>
      <c r="AD139" s="671">
        <f t="shared" si="52"/>
        <v>40</v>
      </c>
      <c r="AE139" s="671">
        <f t="shared" si="52"/>
        <v>40</v>
      </c>
      <c r="AF139" s="671">
        <f t="shared" si="52"/>
        <v>40</v>
      </c>
      <c r="AG139" s="671">
        <f t="shared" si="52"/>
        <v>40</v>
      </c>
      <c r="AH139" s="671">
        <f t="shared" si="52"/>
        <v>40</v>
      </c>
      <c r="AI139" s="671">
        <f t="shared" si="52"/>
        <v>40</v>
      </c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</row>
    <row r="140" spans="1:57" ht="15.75" customHeight="1">
      <c r="B140" s="159"/>
      <c r="C140" s="678" t="s">
        <v>627</v>
      </c>
      <c r="D140" s="74"/>
      <c r="E140" s="74"/>
      <c r="F140" s="74"/>
      <c r="G140" s="74"/>
      <c r="H140" s="74"/>
      <c r="I140" s="74"/>
      <c r="J140" s="76"/>
      <c r="K140" s="74">
        <f>K139*K16*$D$130</f>
        <v>4928840.4051208459</v>
      </c>
      <c r="L140" s="74">
        <f t="shared" ref="L140:AI140" si="53">L139*L16</f>
        <v>5376917.880464416</v>
      </c>
      <c r="M140" s="74">
        <f t="shared" si="53"/>
        <v>6058853.7711527096</v>
      </c>
      <c r="N140" s="74">
        <f t="shared" si="53"/>
        <v>5665925.3701156657</v>
      </c>
      <c r="O140" s="74">
        <f t="shared" si="53"/>
        <v>5715971.3988982514</v>
      </c>
      <c r="P140" s="74">
        <f t="shared" si="53"/>
        <v>6419475.571070346</v>
      </c>
      <c r="Q140" s="74">
        <f t="shared" si="53"/>
        <v>5715971.3988982514</v>
      </c>
      <c r="R140" s="74">
        <f t="shared" si="53"/>
        <v>5715971.3988982495</v>
      </c>
      <c r="S140" s="74">
        <f t="shared" si="53"/>
        <v>6385742.7923361501</v>
      </c>
      <c r="T140" s="74">
        <f t="shared" si="53"/>
        <v>5311735.5209462615</v>
      </c>
      <c r="U140" s="74">
        <f t="shared" si="53"/>
        <v>5427549.8687273059</v>
      </c>
      <c r="V140" s="74">
        <f t="shared" si="53"/>
        <v>6095556.0064168107</v>
      </c>
      <c r="W140" s="74">
        <f t="shared" si="53"/>
        <v>5427549.8687273022</v>
      </c>
      <c r="X140" s="74">
        <f t="shared" si="53"/>
        <v>5427549.8687273022</v>
      </c>
      <c r="Y140" s="74">
        <f t="shared" si="53"/>
        <v>6095556.0064168228</v>
      </c>
      <c r="Z140" s="74">
        <f t="shared" si="53"/>
        <v>5427549.8687272975</v>
      </c>
      <c r="AA140" s="74">
        <f t="shared" si="53"/>
        <v>5427549.8687272975</v>
      </c>
      <c r="AB140" s="74">
        <f t="shared" si="53"/>
        <v>6095556.0064168097</v>
      </c>
      <c r="AC140" s="74">
        <f t="shared" si="53"/>
        <v>5427549.8687273003</v>
      </c>
      <c r="AD140" s="74">
        <f t="shared" si="53"/>
        <v>5187395.280747219</v>
      </c>
      <c r="AE140" s="74">
        <f t="shared" si="53"/>
        <v>5598238.119453528</v>
      </c>
      <c r="AF140" s="74">
        <f t="shared" si="53"/>
        <v>5068028.5830867309</v>
      </c>
      <c r="AG140" s="74">
        <f t="shared" si="53"/>
        <v>5068028.5830867337</v>
      </c>
      <c r="AH140" s="74">
        <f t="shared" si="53"/>
        <v>5691785.9471589494</v>
      </c>
      <c r="AI140" s="74">
        <f t="shared" si="53"/>
        <v>5068028.5830867235</v>
      </c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</row>
    <row r="141" spans="1:57" ht="15.75" customHeight="1">
      <c r="B141" s="159"/>
      <c r="C141" s="678" t="s">
        <v>778</v>
      </c>
      <c r="D141" s="74"/>
      <c r="E141" s="74"/>
      <c r="F141" s="74"/>
      <c r="G141" s="74"/>
      <c r="H141" s="74"/>
      <c r="I141" s="74"/>
      <c r="J141" s="76"/>
      <c r="K141" s="101">
        <v>25</v>
      </c>
      <c r="L141" s="671">
        <f>K141</f>
        <v>25</v>
      </c>
      <c r="M141" s="671">
        <f t="shared" ref="M141:AI141" si="54">L141</f>
        <v>25</v>
      </c>
      <c r="N141" s="671">
        <f t="shared" si="54"/>
        <v>25</v>
      </c>
      <c r="O141" s="671">
        <f t="shared" si="54"/>
        <v>25</v>
      </c>
      <c r="P141" s="671">
        <f t="shared" si="54"/>
        <v>25</v>
      </c>
      <c r="Q141" s="671">
        <f t="shared" si="54"/>
        <v>25</v>
      </c>
      <c r="R141" s="671">
        <f t="shared" si="54"/>
        <v>25</v>
      </c>
      <c r="S141" s="671">
        <f t="shared" si="54"/>
        <v>25</v>
      </c>
      <c r="T141" s="671">
        <f t="shared" si="54"/>
        <v>25</v>
      </c>
      <c r="U141" s="671">
        <f t="shared" si="54"/>
        <v>25</v>
      </c>
      <c r="V141" s="671">
        <f t="shared" si="54"/>
        <v>25</v>
      </c>
      <c r="W141" s="671">
        <f t="shared" si="54"/>
        <v>25</v>
      </c>
      <c r="X141" s="671">
        <f t="shared" si="54"/>
        <v>25</v>
      </c>
      <c r="Y141" s="671">
        <f t="shared" si="54"/>
        <v>25</v>
      </c>
      <c r="Z141" s="671">
        <f t="shared" si="54"/>
        <v>25</v>
      </c>
      <c r="AA141" s="671">
        <f t="shared" si="54"/>
        <v>25</v>
      </c>
      <c r="AB141" s="671">
        <f t="shared" si="54"/>
        <v>25</v>
      </c>
      <c r="AC141" s="671">
        <f t="shared" si="54"/>
        <v>25</v>
      </c>
      <c r="AD141" s="671">
        <f t="shared" si="54"/>
        <v>25</v>
      </c>
      <c r="AE141" s="671">
        <f t="shared" si="54"/>
        <v>25</v>
      </c>
      <c r="AF141" s="671">
        <f t="shared" si="54"/>
        <v>25</v>
      </c>
      <c r="AG141" s="671">
        <f t="shared" si="54"/>
        <v>25</v>
      </c>
      <c r="AH141" s="671">
        <f t="shared" si="54"/>
        <v>25</v>
      </c>
      <c r="AI141" s="671">
        <f t="shared" si="54"/>
        <v>25</v>
      </c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</row>
    <row r="142" spans="1:57" ht="15.75" customHeight="1">
      <c r="B142" s="159"/>
      <c r="C142" s="678" t="s">
        <v>628</v>
      </c>
      <c r="D142" s="74"/>
      <c r="E142" s="74"/>
      <c r="F142" s="74"/>
      <c r="G142" s="74"/>
      <c r="H142" s="74"/>
      <c r="I142" s="74"/>
      <c r="J142" s="76"/>
      <c r="K142" s="74">
        <f>K141*K16*$D$130</f>
        <v>3080525.2532005287</v>
      </c>
      <c r="L142" s="74">
        <f t="shared" ref="L142:AI142" si="55">L141*L16</f>
        <v>3360573.67529026</v>
      </c>
      <c r="M142" s="74">
        <f t="shared" si="55"/>
        <v>3786783.6069704434</v>
      </c>
      <c r="N142" s="74">
        <f t="shared" si="55"/>
        <v>3541203.3563222913</v>
      </c>
      <c r="O142" s="74">
        <f t="shared" si="55"/>
        <v>3572482.1243114071</v>
      </c>
      <c r="P142" s="74">
        <f t="shared" si="55"/>
        <v>4012172.2319189664</v>
      </c>
      <c r="Q142" s="74">
        <f t="shared" si="55"/>
        <v>3572482.1243114071</v>
      </c>
      <c r="R142" s="74">
        <f t="shared" si="55"/>
        <v>3572482.1243114057</v>
      </c>
      <c r="S142" s="74">
        <f t="shared" si="55"/>
        <v>3991089.2452100939</v>
      </c>
      <c r="T142" s="74">
        <f t="shared" si="55"/>
        <v>3319834.7005914133</v>
      </c>
      <c r="U142" s="74">
        <f t="shared" si="55"/>
        <v>3392218.667954566</v>
      </c>
      <c r="V142" s="74">
        <f t="shared" si="55"/>
        <v>3809722.5040105069</v>
      </c>
      <c r="W142" s="74">
        <f t="shared" si="55"/>
        <v>3392218.6679545636</v>
      </c>
      <c r="X142" s="74">
        <f t="shared" si="55"/>
        <v>3392218.6679545636</v>
      </c>
      <c r="Y142" s="74">
        <f t="shared" si="55"/>
        <v>3809722.5040105144</v>
      </c>
      <c r="Z142" s="74">
        <f t="shared" si="55"/>
        <v>3392218.6679545608</v>
      </c>
      <c r="AA142" s="74">
        <f t="shared" si="55"/>
        <v>3392218.6679545608</v>
      </c>
      <c r="AB142" s="74">
        <f t="shared" si="55"/>
        <v>3809722.5040105064</v>
      </c>
      <c r="AC142" s="74">
        <f t="shared" si="55"/>
        <v>3392218.6679545632</v>
      </c>
      <c r="AD142" s="74">
        <f t="shared" si="55"/>
        <v>3242122.0504670115</v>
      </c>
      <c r="AE142" s="74">
        <f t="shared" si="55"/>
        <v>3498898.8246584553</v>
      </c>
      <c r="AF142" s="74">
        <f t="shared" si="55"/>
        <v>3167517.8644292066</v>
      </c>
      <c r="AG142" s="74">
        <f t="shared" si="55"/>
        <v>3167517.8644292085</v>
      </c>
      <c r="AH142" s="74">
        <f t="shared" si="55"/>
        <v>3557366.2169743432</v>
      </c>
      <c r="AI142" s="74">
        <f t="shared" si="55"/>
        <v>3167517.8644292019</v>
      </c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</row>
    <row r="143" spans="1:57" ht="15.75" customHeight="1">
      <c r="C143" s="544" t="s">
        <v>779</v>
      </c>
      <c r="D143" s="74"/>
      <c r="E143" s="74"/>
      <c r="F143" s="74"/>
      <c r="G143" s="74"/>
      <c r="H143" s="74"/>
      <c r="I143" s="74"/>
      <c r="J143" s="76"/>
      <c r="K143" s="76"/>
      <c r="L143" s="671"/>
      <c r="M143" s="671"/>
      <c r="N143" s="671"/>
      <c r="O143" s="76"/>
    </row>
    <row r="144" spans="1:57" ht="15.75" customHeight="1">
      <c r="C144" s="678" t="s">
        <v>630</v>
      </c>
      <c r="D144" s="74"/>
      <c r="E144" s="74"/>
      <c r="F144" s="74"/>
      <c r="G144" s="74"/>
      <c r="H144" s="74"/>
      <c r="I144" s="74"/>
      <c r="J144" s="76"/>
      <c r="K144" s="671">
        <v>40</v>
      </c>
      <c r="L144" s="671">
        <f>K144*(1+L145)</f>
        <v>40</v>
      </c>
      <c r="M144" s="671">
        <f t="shared" ref="M144:AI144" si="56">L144*(1+M145)</f>
        <v>40</v>
      </c>
      <c r="N144" s="671">
        <f t="shared" si="56"/>
        <v>40</v>
      </c>
      <c r="O144" s="671">
        <f t="shared" si="56"/>
        <v>40</v>
      </c>
      <c r="P144" s="671">
        <f t="shared" si="56"/>
        <v>40</v>
      </c>
      <c r="Q144" s="671">
        <f t="shared" si="56"/>
        <v>40</v>
      </c>
      <c r="R144" s="671">
        <f t="shared" si="56"/>
        <v>40</v>
      </c>
      <c r="S144" s="671">
        <f t="shared" si="56"/>
        <v>40</v>
      </c>
      <c r="T144" s="671">
        <f t="shared" si="56"/>
        <v>40</v>
      </c>
      <c r="U144" s="671">
        <f t="shared" si="56"/>
        <v>40</v>
      </c>
      <c r="V144" s="671">
        <f t="shared" si="56"/>
        <v>40</v>
      </c>
      <c r="W144" s="671">
        <f t="shared" si="56"/>
        <v>40</v>
      </c>
      <c r="X144" s="671">
        <f t="shared" si="56"/>
        <v>40</v>
      </c>
      <c r="Y144" s="671">
        <f t="shared" si="56"/>
        <v>40</v>
      </c>
      <c r="Z144" s="671">
        <f t="shared" si="56"/>
        <v>40</v>
      </c>
      <c r="AA144" s="671">
        <f t="shared" si="56"/>
        <v>40</v>
      </c>
      <c r="AB144" s="671">
        <f t="shared" si="56"/>
        <v>40</v>
      </c>
      <c r="AC144" s="671">
        <f t="shared" si="56"/>
        <v>40</v>
      </c>
      <c r="AD144" s="671">
        <f t="shared" si="56"/>
        <v>40</v>
      </c>
      <c r="AE144" s="671">
        <f t="shared" si="56"/>
        <v>40</v>
      </c>
      <c r="AF144" s="671">
        <f t="shared" si="56"/>
        <v>40</v>
      </c>
      <c r="AG144" s="671">
        <f t="shared" si="56"/>
        <v>40</v>
      </c>
      <c r="AH144" s="671">
        <f t="shared" si="56"/>
        <v>40</v>
      </c>
      <c r="AI144" s="671">
        <f t="shared" si="56"/>
        <v>40</v>
      </c>
    </row>
    <row r="145" spans="2:57" ht="15.75" customHeight="1">
      <c r="C145" s="678" t="s">
        <v>586</v>
      </c>
      <c r="D145" s="74"/>
      <c r="E145" s="74"/>
      <c r="F145" s="74"/>
      <c r="G145" s="74"/>
      <c r="H145" s="74"/>
      <c r="I145" s="74"/>
      <c r="J145" s="76"/>
      <c r="K145" s="771">
        <v>0</v>
      </c>
      <c r="L145" s="771">
        <f>K145</f>
        <v>0</v>
      </c>
      <c r="M145" s="771">
        <f t="shared" ref="M145:AI145" si="57">L145</f>
        <v>0</v>
      </c>
      <c r="N145" s="771">
        <f t="shared" si="57"/>
        <v>0</v>
      </c>
      <c r="O145" s="771">
        <f t="shared" si="57"/>
        <v>0</v>
      </c>
      <c r="P145" s="771">
        <f t="shared" si="57"/>
        <v>0</v>
      </c>
      <c r="Q145" s="771">
        <f t="shared" si="57"/>
        <v>0</v>
      </c>
      <c r="R145" s="771">
        <f t="shared" si="57"/>
        <v>0</v>
      </c>
      <c r="S145" s="771">
        <f t="shared" si="57"/>
        <v>0</v>
      </c>
      <c r="T145" s="771">
        <f t="shared" si="57"/>
        <v>0</v>
      </c>
      <c r="U145" s="771">
        <f t="shared" si="57"/>
        <v>0</v>
      </c>
      <c r="V145" s="771">
        <f t="shared" si="57"/>
        <v>0</v>
      </c>
      <c r="W145" s="771">
        <f t="shared" si="57"/>
        <v>0</v>
      </c>
      <c r="X145" s="771">
        <f t="shared" si="57"/>
        <v>0</v>
      </c>
      <c r="Y145" s="771">
        <f t="shared" si="57"/>
        <v>0</v>
      </c>
      <c r="Z145" s="771">
        <f t="shared" si="57"/>
        <v>0</v>
      </c>
      <c r="AA145" s="771">
        <f t="shared" si="57"/>
        <v>0</v>
      </c>
      <c r="AB145" s="771">
        <f t="shared" si="57"/>
        <v>0</v>
      </c>
      <c r="AC145" s="771">
        <f t="shared" si="57"/>
        <v>0</v>
      </c>
      <c r="AD145" s="771">
        <f t="shared" si="57"/>
        <v>0</v>
      </c>
      <c r="AE145" s="771">
        <f t="shared" si="57"/>
        <v>0</v>
      </c>
      <c r="AF145" s="771">
        <f t="shared" si="57"/>
        <v>0</v>
      </c>
      <c r="AG145" s="771">
        <f t="shared" si="57"/>
        <v>0</v>
      </c>
      <c r="AH145" s="771">
        <f t="shared" si="57"/>
        <v>0</v>
      </c>
      <c r="AI145" s="771">
        <f t="shared" si="57"/>
        <v>0</v>
      </c>
    </row>
    <row r="146" spans="2:57" ht="15.75" customHeight="1">
      <c r="B146" s="159"/>
      <c r="C146" s="678" t="s">
        <v>631</v>
      </c>
      <c r="D146" s="74"/>
      <c r="E146" s="74"/>
      <c r="F146" s="74"/>
      <c r="G146" s="74"/>
      <c r="H146" s="74"/>
      <c r="I146" s="74"/>
      <c r="J146" s="76"/>
      <c r="K146" s="74">
        <f>K144*K76*$D$130</f>
        <v>53366690.880000003</v>
      </c>
      <c r="L146" s="74">
        <f t="shared" ref="L146:AI146" si="58">L144*L76</f>
        <v>53366690.880000003</v>
      </c>
      <c r="M146" s="74">
        <f t="shared" si="58"/>
        <v>61280895.359999999</v>
      </c>
      <c r="N146" s="74">
        <f t="shared" si="58"/>
        <v>59742757.5</v>
      </c>
      <c r="O146" s="74">
        <f t="shared" si="58"/>
        <v>59742757.5</v>
      </c>
      <c r="P146" s="74">
        <f t="shared" si="58"/>
        <v>64074144</v>
      </c>
      <c r="Q146" s="74">
        <f t="shared" si="58"/>
        <v>59742757.5</v>
      </c>
      <c r="R146" s="74">
        <f t="shared" si="58"/>
        <v>59742757.5</v>
      </c>
      <c r="S146" s="74">
        <f t="shared" si="58"/>
        <v>64074144</v>
      </c>
      <c r="T146" s="74">
        <f t="shared" si="58"/>
        <v>59742757.5</v>
      </c>
      <c r="U146" s="74">
        <f t="shared" si="58"/>
        <v>59742757.5</v>
      </c>
      <c r="V146" s="74">
        <f t="shared" si="58"/>
        <v>64074144</v>
      </c>
      <c r="W146" s="74">
        <f t="shared" si="58"/>
        <v>59742757.5</v>
      </c>
      <c r="X146" s="74">
        <f t="shared" si="58"/>
        <v>59742757.5</v>
      </c>
      <c r="Y146" s="74">
        <f t="shared" si="58"/>
        <v>64074144</v>
      </c>
      <c r="Z146" s="74">
        <f t="shared" si="58"/>
        <v>59742757.5</v>
      </c>
      <c r="AA146" s="74">
        <f t="shared" si="58"/>
        <v>59742757.5</v>
      </c>
      <c r="AB146" s="74">
        <f t="shared" si="58"/>
        <v>64074144</v>
      </c>
      <c r="AC146" s="74">
        <f t="shared" si="58"/>
        <v>59742757.5</v>
      </c>
      <c r="AD146" s="74">
        <f t="shared" si="58"/>
        <v>59742757.5</v>
      </c>
      <c r="AE146" s="74">
        <f t="shared" si="58"/>
        <v>64074144</v>
      </c>
      <c r="AF146" s="74">
        <f t="shared" si="58"/>
        <v>59742757.5</v>
      </c>
      <c r="AG146" s="74">
        <f t="shared" si="58"/>
        <v>59742757.5</v>
      </c>
      <c r="AH146" s="74">
        <f t="shared" si="58"/>
        <v>64074144</v>
      </c>
      <c r="AI146" s="74">
        <f t="shared" si="58"/>
        <v>59742757.5</v>
      </c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</row>
    <row r="147" spans="2:57" ht="15.75" customHeight="1">
      <c r="B147" s="159"/>
      <c r="C147" s="678" t="s">
        <v>780</v>
      </c>
      <c r="D147" s="74"/>
      <c r="E147" s="74"/>
      <c r="F147" s="74"/>
      <c r="G147" s="74"/>
      <c r="H147" s="74"/>
      <c r="I147" s="74"/>
      <c r="J147" s="76"/>
      <c r="K147" s="671">
        <v>102</v>
      </c>
      <c r="L147" s="671">
        <f>K147*(1+L148)</f>
        <v>102</v>
      </c>
      <c r="M147" s="671">
        <f t="shared" ref="M147:AI147" si="59">L147*(1+M148)</f>
        <v>102</v>
      </c>
      <c r="N147" s="671">
        <f t="shared" si="59"/>
        <v>102</v>
      </c>
      <c r="O147" s="671">
        <f t="shared" si="59"/>
        <v>102</v>
      </c>
      <c r="P147" s="671">
        <f t="shared" si="59"/>
        <v>102</v>
      </c>
      <c r="Q147" s="671">
        <f t="shared" si="59"/>
        <v>102</v>
      </c>
      <c r="R147" s="671">
        <f t="shared" si="59"/>
        <v>102</v>
      </c>
      <c r="S147" s="671">
        <f t="shared" si="59"/>
        <v>102</v>
      </c>
      <c r="T147" s="671">
        <f t="shared" si="59"/>
        <v>102</v>
      </c>
      <c r="U147" s="671">
        <f t="shared" si="59"/>
        <v>102</v>
      </c>
      <c r="V147" s="671">
        <f t="shared" si="59"/>
        <v>102</v>
      </c>
      <c r="W147" s="671">
        <f t="shared" si="59"/>
        <v>102</v>
      </c>
      <c r="X147" s="671">
        <f t="shared" si="59"/>
        <v>102</v>
      </c>
      <c r="Y147" s="671">
        <f t="shared" si="59"/>
        <v>102</v>
      </c>
      <c r="Z147" s="671">
        <f t="shared" si="59"/>
        <v>102</v>
      </c>
      <c r="AA147" s="671">
        <f t="shared" si="59"/>
        <v>102</v>
      </c>
      <c r="AB147" s="671">
        <f t="shared" si="59"/>
        <v>102</v>
      </c>
      <c r="AC147" s="671">
        <f t="shared" si="59"/>
        <v>102</v>
      </c>
      <c r="AD147" s="671">
        <f t="shared" si="59"/>
        <v>102</v>
      </c>
      <c r="AE147" s="671">
        <f t="shared" si="59"/>
        <v>102</v>
      </c>
      <c r="AF147" s="671">
        <f t="shared" si="59"/>
        <v>102</v>
      </c>
      <c r="AG147" s="671">
        <f t="shared" si="59"/>
        <v>102</v>
      </c>
      <c r="AH147" s="671">
        <f t="shared" si="59"/>
        <v>102</v>
      </c>
      <c r="AI147" s="671">
        <f t="shared" si="59"/>
        <v>102</v>
      </c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</row>
    <row r="148" spans="2:57" ht="15.75" customHeight="1">
      <c r="B148" s="159"/>
      <c r="C148" s="678" t="s">
        <v>781</v>
      </c>
      <c r="D148" s="74"/>
      <c r="E148" s="74"/>
      <c r="F148" s="74"/>
      <c r="G148" s="74"/>
      <c r="H148" s="74"/>
      <c r="I148" s="74"/>
      <c r="J148" s="76"/>
      <c r="K148" s="771">
        <v>0</v>
      </c>
      <c r="L148" s="771">
        <f>K148</f>
        <v>0</v>
      </c>
      <c r="M148" s="771">
        <f t="shared" ref="M148:AI149" si="60">L148</f>
        <v>0</v>
      </c>
      <c r="N148" s="771">
        <f t="shared" si="60"/>
        <v>0</v>
      </c>
      <c r="O148" s="771">
        <f t="shared" si="60"/>
        <v>0</v>
      </c>
      <c r="P148" s="771">
        <f t="shared" si="60"/>
        <v>0</v>
      </c>
      <c r="Q148" s="771">
        <f t="shared" si="60"/>
        <v>0</v>
      </c>
      <c r="R148" s="771">
        <f t="shared" si="60"/>
        <v>0</v>
      </c>
      <c r="S148" s="771">
        <f t="shared" si="60"/>
        <v>0</v>
      </c>
      <c r="T148" s="771">
        <f t="shared" si="60"/>
        <v>0</v>
      </c>
      <c r="U148" s="771">
        <f t="shared" si="60"/>
        <v>0</v>
      </c>
      <c r="V148" s="771">
        <f t="shared" si="60"/>
        <v>0</v>
      </c>
      <c r="W148" s="771">
        <f t="shared" si="60"/>
        <v>0</v>
      </c>
      <c r="X148" s="771">
        <f t="shared" si="60"/>
        <v>0</v>
      </c>
      <c r="Y148" s="771">
        <f t="shared" si="60"/>
        <v>0</v>
      </c>
      <c r="Z148" s="771">
        <f t="shared" si="60"/>
        <v>0</v>
      </c>
      <c r="AA148" s="771">
        <f t="shared" si="60"/>
        <v>0</v>
      </c>
      <c r="AB148" s="771">
        <f t="shared" si="60"/>
        <v>0</v>
      </c>
      <c r="AC148" s="771">
        <f t="shared" si="60"/>
        <v>0</v>
      </c>
      <c r="AD148" s="771">
        <f t="shared" si="60"/>
        <v>0</v>
      </c>
      <c r="AE148" s="771">
        <f t="shared" si="60"/>
        <v>0</v>
      </c>
      <c r="AF148" s="771">
        <f t="shared" si="60"/>
        <v>0</v>
      </c>
      <c r="AG148" s="771">
        <f t="shared" si="60"/>
        <v>0</v>
      </c>
      <c r="AH148" s="771">
        <f t="shared" si="60"/>
        <v>0</v>
      </c>
      <c r="AI148" s="771">
        <f t="shared" si="60"/>
        <v>0</v>
      </c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</row>
    <row r="149" spans="2:57" ht="15.75" customHeight="1">
      <c r="B149" s="159"/>
      <c r="C149" s="678" t="s">
        <v>782</v>
      </c>
      <c r="D149" s="74"/>
      <c r="E149" s="74"/>
      <c r="F149" s="74"/>
      <c r="G149" s="74"/>
      <c r="H149" s="74"/>
      <c r="I149" s="74"/>
      <c r="J149" s="76"/>
      <c r="K149" s="797">
        <v>0.13719255</v>
      </c>
      <c r="L149" s="797">
        <f>K149</f>
        <v>0.13719255</v>
      </c>
      <c r="M149" s="797">
        <f t="shared" si="60"/>
        <v>0.13719255</v>
      </c>
      <c r="N149" s="797">
        <f t="shared" si="60"/>
        <v>0.13719255</v>
      </c>
      <c r="O149" s="797">
        <f t="shared" si="60"/>
        <v>0.13719255</v>
      </c>
      <c r="P149" s="797">
        <f t="shared" si="60"/>
        <v>0.13719255</v>
      </c>
      <c r="Q149" s="797">
        <f t="shared" si="60"/>
        <v>0.13719255</v>
      </c>
      <c r="R149" s="797">
        <f t="shared" si="60"/>
        <v>0.13719255</v>
      </c>
      <c r="S149" s="797">
        <f t="shared" si="60"/>
        <v>0.13719255</v>
      </c>
      <c r="T149" s="797">
        <f t="shared" si="60"/>
        <v>0.13719255</v>
      </c>
      <c r="U149" s="797">
        <f t="shared" si="60"/>
        <v>0.13719255</v>
      </c>
      <c r="V149" s="797">
        <f t="shared" si="60"/>
        <v>0.13719255</v>
      </c>
      <c r="W149" s="797">
        <f t="shared" si="60"/>
        <v>0.13719255</v>
      </c>
      <c r="X149" s="797">
        <f t="shared" si="60"/>
        <v>0.13719255</v>
      </c>
      <c r="Y149" s="797">
        <f t="shared" si="60"/>
        <v>0.13719255</v>
      </c>
      <c r="Z149" s="797">
        <f t="shared" si="60"/>
        <v>0.13719255</v>
      </c>
      <c r="AA149" s="797">
        <f t="shared" si="60"/>
        <v>0.13719255</v>
      </c>
      <c r="AB149" s="797">
        <f t="shared" si="60"/>
        <v>0.13719255</v>
      </c>
      <c r="AC149" s="797">
        <f t="shared" si="60"/>
        <v>0.13719255</v>
      </c>
      <c r="AD149" s="797">
        <f t="shared" si="60"/>
        <v>0.13719255</v>
      </c>
      <c r="AE149" s="797">
        <f t="shared" si="60"/>
        <v>0.13719255</v>
      </c>
      <c r="AF149" s="797">
        <f t="shared" si="60"/>
        <v>0.13719255</v>
      </c>
      <c r="AG149" s="797">
        <f t="shared" si="60"/>
        <v>0.13719255</v>
      </c>
      <c r="AH149" s="797">
        <f t="shared" si="60"/>
        <v>0.13719255</v>
      </c>
      <c r="AI149" s="797">
        <f t="shared" si="60"/>
        <v>0.13719255</v>
      </c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</row>
    <row r="150" spans="2:57" ht="15.75" customHeight="1">
      <c r="B150" s="159"/>
      <c r="C150" s="678" t="s">
        <v>783</v>
      </c>
      <c r="D150" s="74"/>
      <c r="E150" s="74"/>
      <c r="F150" s="74"/>
      <c r="G150" s="74"/>
      <c r="H150" s="74"/>
      <c r="I150" s="74"/>
      <c r="J150" s="76"/>
      <c r="K150" s="74">
        <f>K149*(K95+K99+K100)*K147*$D$130</f>
        <v>31486311.909290291</v>
      </c>
      <c r="L150" s="74">
        <f t="shared" ref="L150:AI150" si="61">L149*(L95+L99+L100)*L147</f>
        <v>31486311.909290291</v>
      </c>
      <c r="M150" s="74">
        <f t="shared" si="61"/>
        <v>38437835.317834899</v>
      </c>
      <c r="N150" s="74">
        <f t="shared" si="61"/>
        <v>36410074.259097472</v>
      </c>
      <c r="O150" s="74">
        <f t="shared" si="61"/>
        <v>36410074.259097472</v>
      </c>
      <c r="P150" s="74">
        <f t="shared" si="61"/>
        <v>40891314.167909473</v>
      </c>
      <c r="Q150" s="74">
        <f t="shared" si="61"/>
        <v>36410074.259097472</v>
      </c>
      <c r="R150" s="74">
        <f t="shared" si="61"/>
        <v>36410074.259097472</v>
      </c>
      <c r="S150" s="74">
        <f t="shared" si="61"/>
        <v>40891314.167909473</v>
      </c>
      <c r="T150" s="74">
        <f t="shared" si="61"/>
        <v>36410074.259097472</v>
      </c>
      <c r="U150" s="74">
        <f t="shared" si="61"/>
        <v>36410074.259097472</v>
      </c>
      <c r="V150" s="74">
        <f t="shared" si="61"/>
        <v>40891314.167909473</v>
      </c>
      <c r="W150" s="74">
        <f t="shared" si="61"/>
        <v>36410074.259097472</v>
      </c>
      <c r="X150" s="74">
        <f t="shared" si="61"/>
        <v>36410074.259097472</v>
      </c>
      <c r="Y150" s="74">
        <f t="shared" si="61"/>
        <v>40891314.167909473</v>
      </c>
      <c r="Z150" s="74">
        <f t="shared" si="61"/>
        <v>36410074.259097472</v>
      </c>
      <c r="AA150" s="74">
        <f t="shared" si="61"/>
        <v>36410074.259097472</v>
      </c>
      <c r="AB150" s="74">
        <f t="shared" si="61"/>
        <v>40891314.167909473</v>
      </c>
      <c r="AC150" s="74">
        <f t="shared" si="61"/>
        <v>36410074.259097472</v>
      </c>
      <c r="AD150" s="74">
        <f t="shared" si="61"/>
        <v>36410074.259097472</v>
      </c>
      <c r="AE150" s="74">
        <f t="shared" si="61"/>
        <v>40891314.167909473</v>
      </c>
      <c r="AF150" s="74">
        <f t="shared" si="61"/>
        <v>36410074.259097472</v>
      </c>
      <c r="AG150" s="74">
        <f t="shared" si="61"/>
        <v>36410074.259097472</v>
      </c>
      <c r="AH150" s="74">
        <f t="shared" si="61"/>
        <v>40891314.167909473</v>
      </c>
      <c r="AI150" s="74">
        <f t="shared" si="61"/>
        <v>36410074.259097472</v>
      </c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</row>
    <row r="151" spans="2:57" ht="15.75" customHeight="1">
      <c r="B151" s="159"/>
      <c r="C151" s="678" t="s">
        <v>784</v>
      </c>
      <c r="D151" s="74"/>
      <c r="E151" s="74"/>
      <c r="F151" s="74"/>
      <c r="G151" s="74"/>
      <c r="H151" s="74"/>
      <c r="I151" s="74"/>
      <c r="J151" s="76"/>
      <c r="K151" s="945">
        <v>9.9696907145024518</v>
      </c>
      <c r="L151" s="671">
        <f>K151*(1+L157)</f>
        <v>9.9696907145024518</v>
      </c>
      <c r="M151" s="671">
        <f t="shared" ref="M151:AI151" si="62">L151*(1+M157)</f>
        <v>9.9696907145024518</v>
      </c>
      <c r="N151" s="671">
        <f t="shared" si="62"/>
        <v>9.9696907145024518</v>
      </c>
      <c r="O151" s="671">
        <f t="shared" si="62"/>
        <v>9.9696907145024518</v>
      </c>
      <c r="P151" s="671">
        <f t="shared" si="62"/>
        <v>9.9696907145024518</v>
      </c>
      <c r="Q151" s="671">
        <f t="shared" si="62"/>
        <v>9.9696907145024518</v>
      </c>
      <c r="R151" s="671">
        <f t="shared" si="62"/>
        <v>9.9696907145024518</v>
      </c>
      <c r="S151" s="671">
        <f t="shared" si="62"/>
        <v>9.9696907145024518</v>
      </c>
      <c r="T151" s="671">
        <f t="shared" si="62"/>
        <v>9.9696907145024518</v>
      </c>
      <c r="U151" s="671">
        <f t="shared" si="62"/>
        <v>9.9696907145024518</v>
      </c>
      <c r="V151" s="671">
        <f t="shared" si="62"/>
        <v>9.9696907145024518</v>
      </c>
      <c r="W151" s="671">
        <f t="shared" si="62"/>
        <v>9.9696907145024518</v>
      </c>
      <c r="X151" s="671">
        <f t="shared" si="62"/>
        <v>9.9696907145024518</v>
      </c>
      <c r="Y151" s="671">
        <f t="shared" si="62"/>
        <v>9.9696907145024518</v>
      </c>
      <c r="Z151" s="671">
        <f t="shared" si="62"/>
        <v>9.9696907145024518</v>
      </c>
      <c r="AA151" s="671">
        <f t="shared" si="62"/>
        <v>9.9696907145024518</v>
      </c>
      <c r="AB151" s="671">
        <f t="shared" si="62"/>
        <v>9.9696907145024518</v>
      </c>
      <c r="AC151" s="671">
        <f t="shared" si="62"/>
        <v>9.9696907145024518</v>
      </c>
      <c r="AD151" s="671">
        <f t="shared" si="62"/>
        <v>9.9696907145024518</v>
      </c>
      <c r="AE151" s="671">
        <f t="shared" si="62"/>
        <v>9.9696907145024518</v>
      </c>
      <c r="AF151" s="671">
        <f t="shared" si="62"/>
        <v>9.9696907145024518</v>
      </c>
      <c r="AG151" s="671">
        <f t="shared" si="62"/>
        <v>9.9696907145024518</v>
      </c>
      <c r="AH151" s="671">
        <f t="shared" si="62"/>
        <v>9.9696907145024518</v>
      </c>
      <c r="AI151" s="671">
        <f t="shared" si="62"/>
        <v>9.9696907145024518</v>
      </c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</row>
    <row r="152" spans="2:57" ht="15.75" customHeight="1">
      <c r="B152" s="159"/>
      <c r="C152" s="678" t="s">
        <v>634</v>
      </c>
      <c r="D152" s="74"/>
      <c r="E152" s="74"/>
      <c r="F152" s="74"/>
      <c r="G152" s="74"/>
      <c r="H152" s="74"/>
      <c r="I152" s="74"/>
      <c r="J152" s="76"/>
      <c r="K152" s="74">
        <f>K151*(K99+K100+K95)*$D$130+K99/0.94*124.8/1.2/5*$D$130</f>
        <v>26410741.242873203</v>
      </c>
      <c r="L152" s="74">
        <f t="shared" ref="L152:AI152" si="63">L151*(L99+L100+L95)+L99/0.94*124.8/1.2/5</f>
        <v>26410741.242873203</v>
      </c>
      <c r="M152" s="74">
        <f t="shared" si="63"/>
        <v>32241684.114676379</v>
      </c>
      <c r="N152" s="74">
        <f t="shared" si="63"/>
        <v>30540796.669396158</v>
      </c>
      <c r="O152" s="74">
        <f t="shared" si="63"/>
        <v>30540796.669396158</v>
      </c>
      <c r="P152" s="74">
        <f t="shared" si="63"/>
        <v>34299663.951783381</v>
      </c>
      <c r="Q152" s="74">
        <f t="shared" si="63"/>
        <v>30540796.669396158</v>
      </c>
      <c r="R152" s="74">
        <f t="shared" si="63"/>
        <v>30540796.669396158</v>
      </c>
      <c r="S152" s="74">
        <f t="shared" si="63"/>
        <v>34299663.951783381</v>
      </c>
      <c r="T152" s="74">
        <f t="shared" si="63"/>
        <v>30540796.669396158</v>
      </c>
      <c r="U152" s="74">
        <f t="shared" si="63"/>
        <v>30540796.669396158</v>
      </c>
      <c r="V152" s="74">
        <f t="shared" si="63"/>
        <v>34299663.951783381</v>
      </c>
      <c r="W152" s="74">
        <f t="shared" si="63"/>
        <v>30540796.669396158</v>
      </c>
      <c r="X152" s="74">
        <f t="shared" si="63"/>
        <v>30540796.669396158</v>
      </c>
      <c r="Y152" s="74">
        <f t="shared" si="63"/>
        <v>34299663.951783381</v>
      </c>
      <c r="Z152" s="74">
        <f t="shared" si="63"/>
        <v>30540796.669396158</v>
      </c>
      <c r="AA152" s="74">
        <f t="shared" si="63"/>
        <v>30540796.669396158</v>
      </c>
      <c r="AB152" s="74">
        <f t="shared" si="63"/>
        <v>34299663.951783381</v>
      </c>
      <c r="AC152" s="74">
        <f t="shared" si="63"/>
        <v>30540796.669396158</v>
      </c>
      <c r="AD152" s="74">
        <f t="shared" si="63"/>
        <v>30540796.669396158</v>
      </c>
      <c r="AE152" s="74">
        <f t="shared" si="63"/>
        <v>34299663.951783381</v>
      </c>
      <c r="AF152" s="74">
        <f t="shared" si="63"/>
        <v>30540796.669396158</v>
      </c>
      <c r="AG152" s="74">
        <f t="shared" si="63"/>
        <v>30540796.669396158</v>
      </c>
      <c r="AH152" s="74">
        <f t="shared" si="63"/>
        <v>34299663.951783381</v>
      </c>
      <c r="AI152" s="74">
        <f t="shared" si="63"/>
        <v>30540796.669396158</v>
      </c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</row>
    <row r="153" spans="2:57" ht="15.75" customHeight="1">
      <c r="B153" s="159"/>
      <c r="C153" s="678" t="s">
        <v>785</v>
      </c>
      <c r="K153" s="945">
        <v>2.02</v>
      </c>
      <c r="L153" s="101">
        <f>K153*(1+L157)</f>
        <v>2.02</v>
      </c>
      <c r="M153" s="101">
        <f t="shared" ref="M153:AI153" si="64">L153*(1+M157)</f>
        <v>2.02</v>
      </c>
      <c r="N153" s="101">
        <f t="shared" si="64"/>
        <v>2.02</v>
      </c>
      <c r="O153" s="101">
        <f t="shared" si="64"/>
        <v>2.02</v>
      </c>
      <c r="P153" s="101">
        <f t="shared" si="64"/>
        <v>2.02</v>
      </c>
      <c r="Q153" s="101">
        <f t="shared" si="64"/>
        <v>2.02</v>
      </c>
      <c r="R153" s="101">
        <f t="shared" si="64"/>
        <v>2.02</v>
      </c>
      <c r="S153" s="101">
        <f t="shared" si="64"/>
        <v>2.02</v>
      </c>
      <c r="T153" s="101">
        <f t="shared" si="64"/>
        <v>2.02</v>
      </c>
      <c r="U153" s="101">
        <f t="shared" si="64"/>
        <v>2.02</v>
      </c>
      <c r="V153" s="101">
        <f t="shared" si="64"/>
        <v>2.02</v>
      </c>
      <c r="W153" s="101">
        <f t="shared" si="64"/>
        <v>2.02</v>
      </c>
      <c r="X153" s="101">
        <f t="shared" si="64"/>
        <v>2.02</v>
      </c>
      <c r="Y153" s="101">
        <f t="shared" si="64"/>
        <v>2.02</v>
      </c>
      <c r="Z153" s="101">
        <f t="shared" si="64"/>
        <v>2.02</v>
      </c>
      <c r="AA153" s="101">
        <f t="shared" si="64"/>
        <v>2.02</v>
      </c>
      <c r="AB153" s="101">
        <f t="shared" si="64"/>
        <v>2.02</v>
      </c>
      <c r="AC153" s="101">
        <f t="shared" si="64"/>
        <v>2.02</v>
      </c>
      <c r="AD153" s="101">
        <f t="shared" si="64"/>
        <v>2.02</v>
      </c>
      <c r="AE153" s="101">
        <f t="shared" si="64"/>
        <v>2.02</v>
      </c>
      <c r="AF153" s="101">
        <f t="shared" si="64"/>
        <v>2.02</v>
      </c>
      <c r="AG153" s="101">
        <f t="shared" si="64"/>
        <v>2.02</v>
      </c>
      <c r="AH153" s="101">
        <f t="shared" si="64"/>
        <v>2.02</v>
      </c>
      <c r="AI153" s="101">
        <f t="shared" si="64"/>
        <v>2.02</v>
      </c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</row>
    <row r="154" spans="2:57" ht="15.75" customHeight="1">
      <c r="B154" s="159"/>
      <c r="C154" s="678" t="s">
        <v>786</v>
      </c>
      <c r="D154" s="74"/>
      <c r="E154" s="74"/>
      <c r="F154" s="74"/>
      <c r="G154" s="74"/>
      <c r="H154" s="74"/>
      <c r="I154" s="74"/>
      <c r="J154" s="76"/>
      <c r="K154" s="74">
        <f>(K71+K73)*1000/K91*K153*$D$130</f>
        <v>4067995.2571685398</v>
      </c>
      <c r="L154" s="74">
        <f t="shared" ref="L154:AI154" si="65">(L71+L73)*1000/L91*L153</f>
        <v>4067995.2571685398</v>
      </c>
      <c r="M154" s="74">
        <f t="shared" si="65"/>
        <v>4966124.0801797751</v>
      </c>
      <c r="N154" s="74">
        <f t="shared" si="65"/>
        <v>4704139.6853932589</v>
      </c>
      <c r="O154" s="74">
        <f t="shared" si="65"/>
        <v>4704139.6853932589</v>
      </c>
      <c r="P154" s="74">
        <f t="shared" si="65"/>
        <v>5283110.7235955056</v>
      </c>
      <c r="Q154" s="74">
        <f t="shared" si="65"/>
        <v>4704139.6853932589</v>
      </c>
      <c r="R154" s="74">
        <f t="shared" si="65"/>
        <v>4704139.6853932589</v>
      </c>
      <c r="S154" s="74">
        <f t="shared" si="65"/>
        <v>5283110.7235955056</v>
      </c>
      <c r="T154" s="74">
        <f t="shared" si="65"/>
        <v>4704139.6853932589</v>
      </c>
      <c r="U154" s="74">
        <f t="shared" si="65"/>
        <v>4704139.6853932589</v>
      </c>
      <c r="V154" s="74">
        <f t="shared" si="65"/>
        <v>5283110.7235955056</v>
      </c>
      <c r="W154" s="74">
        <f t="shared" si="65"/>
        <v>4704139.6853932589</v>
      </c>
      <c r="X154" s="74">
        <f t="shared" si="65"/>
        <v>4704139.6853932589</v>
      </c>
      <c r="Y154" s="74">
        <f t="shared" si="65"/>
        <v>5283110.7235955056</v>
      </c>
      <c r="Z154" s="74">
        <f t="shared" si="65"/>
        <v>4704139.6853932589</v>
      </c>
      <c r="AA154" s="74">
        <f t="shared" si="65"/>
        <v>4704139.6853932589</v>
      </c>
      <c r="AB154" s="74">
        <f t="shared" si="65"/>
        <v>5283110.7235955056</v>
      </c>
      <c r="AC154" s="74">
        <f t="shared" si="65"/>
        <v>4704139.6853932589</v>
      </c>
      <c r="AD154" s="74">
        <f t="shared" si="65"/>
        <v>4704139.6853932589</v>
      </c>
      <c r="AE154" s="74">
        <f t="shared" si="65"/>
        <v>5283110.7235955056</v>
      </c>
      <c r="AF154" s="74">
        <f t="shared" si="65"/>
        <v>4704139.6853932589</v>
      </c>
      <c r="AG154" s="74">
        <f t="shared" si="65"/>
        <v>4704139.6853932589</v>
      </c>
      <c r="AH154" s="74">
        <f t="shared" si="65"/>
        <v>5283110.7235955056</v>
      </c>
      <c r="AI154" s="74">
        <f t="shared" si="65"/>
        <v>4704139.6853932589</v>
      </c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</row>
    <row r="155" spans="2:57" ht="15.75" customHeight="1">
      <c r="B155" s="159"/>
      <c r="C155" s="678" t="s">
        <v>639</v>
      </c>
      <c r="D155" s="74"/>
      <c r="E155" s="74"/>
      <c r="F155" s="74"/>
      <c r="G155" s="74"/>
      <c r="H155" s="74"/>
      <c r="I155" s="74"/>
      <c r="J155" s="76"/>
      <c r="K155" s="671">
        <v>120</v>
      </c>
      <c r="L155" s="671">
        <f>K155*(1+L157)</f>
        <v>120</v>
      </c>
      <c r="M155" s="671">
        <f t="shared" ref="M155:AI155" si="66">L155*(1+M157)</f>
        <v>120</v>
      </c>
      <c r="N155" s="671">
        <f t="shared" si="66"/>
        <v>120</v>
      </c>
      <c r="O155" s="671">
        <f t="shared" si="66"/>
        <v>120</v>
      </c>
      <c r="P155" s="671">
        <f t="shared" si="66"/>
        <v>120</v>
      </c>
      <c r="Q155" s="671">
        <f t="shared" si="66"/>
        <v>120</v>
      </c>
      <c r="R155" s="671">
        <f t="shared" si="66"/>
        <v>120</v>
      </c>
      <c r="S155" s="671">
        <f t="shared" si="66"/>
        <v>120</v>
      </c>
      <c r="T155" s="671">
        <f t="shared" si="66"/>
        <v>120</v>
      </c>
      <c r="U155" s="671">
        <f t="shared" si="66"/>
        <v>120</v>
      </c>
      <c r="V155" s="671">
        <f t="shared" si="66"/>
        <v>120</v>
      </c>
      <c r="W155" s="671">
        <f t="shared" si="66"/>
        <v>120</v>
      </c>
      <c r="X155" s="671">
        <f t="shared" si="66"/>
        <v>120</v>
      </c>
      <c r="Y155" s="671">
        <f t="shared" si="66"/>
        <v>120</v>
      </c>
      <c r="Z155" s="671">
        <f t="shared" si="66"/>
        <v>120</v>
      </c>
      <c r="AA155" s="671">
        <f t="shared" si="66"/>
        <v>120</v>
      </c>
      <c r="AB155" s="671">
        <f t="shared" si="66"/>
        <v>120</v>
      </c>
      <c r="AC155" s="671">
        <f t="shared" si="66"/>
        <v>120</v>
      </c>
      <c r="AD155" s="671">
        <f t="shared" si="66"/>
        <v>120</v>
      </c>
      <c r="AE155" s="671">
        <f t="shared" si="66"/>
        <v>120</v>
      </c>
      <c r="AF155" s="671">
        <f t="shared" si="66"/>
        <v>120</v>
      </c>
      <c r="AG155" s="671">
        <f t="shared" si="66"/>
        <v>120</v>
      </c>
      <c r="AH155" s="671">
        <f t="shared" si="66"/>
        <v>120</v>
      </c>
      <c r="AI155" s="671">
        <f t="shared" si="66"/>
        <v>120</v>
      </c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</row>
    <row r="156" spans="2:57" ht="15.75" customHeight="1">
      <c r="B156" s="159"/>
      <c r="C156" s="678" t="s">
        <v>640</v>
      </c>
      <c r="D156" s="74"/>
      <c r="E156" s="74"/>
      <c r="F156" s="74"/>
      <c r="G156" s="74"/>
      <c r="H156" s="74"/>
      <c r="I156" s="74"/>
      <c r="J156" s="76"/>
      <c r="K156" s="74">
        <f>K155*K16*$D$130</f>
        <v>14786521.215362536</v>
      </c>
      <c r="L156" s="74">
        <f t="shared" ref="L156:AI156" si="67">L155*L16</f>
        <v>16130753.641393248</v>
      </c>
      <c r="M156" s="74">
        <f t="shared" si="67"/>
        <v>18176561.31345813</v>
      </c>
      <c r="N156" s="74">
        <f t="shared" si="67"/>
        <v>16997776.110346995</v>
      </c>
      <c r="O156" s="74">
        <f t="shared" si="67"/>
        <v>17147914.196694754</v>
      </c>
      <c r="P156" s="74">
        <f t="shared" si="67"/>
        <v>19258426.713211037</v>
      </c>
      <c r="Q156" s="74">
        <f t="shared" si="67"/>
        <v>17147914.196694754</v>
      </c>
      <c r="R156" s="74">
        <f t="shared" si="67"/>
        <v>17147914.196694747</v>
      </c>
      <c r="S156" s="74">
        <f t="shared" si="67"/>
        <v>19157228.377008449</v>
      </c>
      <c r="T156" s="74">
        <f t="shared" si="67"/>
        <v>15935206.562838783</v>
      </c>
      <c r="U156" s="74">
        <f t="shared" si="67"/>
        <v>16282649.606181916</v>
      </c>
      <c r="V156" s="74">
        <f t="shared" si="67"/>
        <v>18286668.019250434</v>
      </c>
      <c r="W156" s="74">
        <f t="shared" si="67"/>
        <v>16282649.606181907</v>
      </c>
      <c r="X156" s="74">
        <f t="shared" si="67"/>
        <v>16282649.606181907</v>
      </c>
      <c r="Y156" s="74">
        <f t="shared" si="67"/>
        <v>18286668.019250467</v>
      </c>
      <c r="Z156" s="74">
        <f t="shared" si="67"/>
        <v>16282649.606181892</v>
      </c>
      <c r="AA156" s="74">
        <f t="shared" si="67"/>
        <v>16282649.606181892</v>
      </c>
      <c r="AB156" s="74">
        <f t="shared" si="67"/>
        <v>18286668.01925043</v>
      </c>
      <c r="AC156" s="74">
        <f t="shared" si="67"/>
        <v>16282649.606181903</v>
      </c>
      <c r="AD156" s="74">
        <f t="shared" si="67"/>
        <v>15562185.842241656</v>
      </c>
      <c r="AE156" s="74">
        <f t="shared" si="67"/>
        <v>16794714.358360585</v>
      </c>
      <c r="AF156" s="74">
        <f t="shared" si="67"/>
        <v>15204085.749260193</v>
      </c>
      <c r="AG156" s="74">
        <f t="shared" si="67"/>
        <v>15204085.749260202</v>
      </c>
      <c r="AH156" s="74">
        <f t="shared" si="67"/>
        <v>17075357.841476846</v>
      </c>
      <c r="AI156" s="74">
        <f t="shared" si="67"/>
        <v>15204085.74926017</v>
      </c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</row>
    <row r="157" spans="2:57" ht="15.75" customHeight="1">
      <c r="B157" s="159"/>
      <c r="C157" s="678" t="s">
        <v>595</v>
      </c>
      <c r="D157" s="74"/>
      <c r="E157" s="74"/>
      <c r="F157" s="74"/>
      <c r="G157" s="74"/>
      <c r="H157" s="74"/>
      <c r="I157" s="74"/>
      <c r="J157" s="76"/>
      <c r="K157" s="771">
        <v>0</v>
      </c>
      <c r="L157" s="798">
        <f>K157</f>
        <v>0</v>
      </c>
      <c r="M157" s="798">
        <f t="shared" ref="M157:AI157" si="68">L157</f>
        <v>0</v>
      </c>
      <c r="N157" s="798">
        <f t="shared" si="68"/>
        <v>0</v>
      </c>
      <c r="O157" s="798">
        <f t="shared" si="68"/>
        <v>0</v>
      </c>
      <c r="P157" s="798">
        <f t="shared" si="68"/>
        <v>0</v>
      </c>
      <c r="Q157" s="798">
        <f t="shared" si="68"/>
        <v>0</v>
      </c>
      <c r="R157" s="798">
        <f t="shared" si="68"/>
        <v>0</v>
      </c>
      <c r="S157" s="798">
        <f t="shared" si="68"/>
        <v>0</v>
      </c>
      <c r="T157" s="798">
        <f t="shared" si="68"/>
        <v>0</v>
      </c>
      <c r="U157" s="798">
        <f t="shared" si="68"/>
        <v>0</v>
      </c>
      <c r="V157" s="798">
        <f t="shared" si="68"/>
        <v>0</v>
      </c>
      <c r="W157" s="798">
        <f t="shared" si="68"/>
        <v>0</v>
      </c>
      <c r="X157" s="798">
        <f t="shared" si="68"/>
        <v>0</v>
      </c>
      <c r="Y157" s="798">
        <f t="shared" si="68"/>
        <v>0</v>
      </c>
      <c r="Z157" s="798">
        <f t="shared" si="68"/>
        <v>0</v>
      </c>
      <c r="AA157" s="798">
        <f t="shared" si="68"/>
        <v>0</v>
      </c>
      <c r="AB157" s="798">
        <f t="shared" si="68"/>
        <v>0</v>
      </c>
      <c r="AC157" s="798">
        <f t="shared" si="68"/>
        <v>0</v>
      </c>
      <c r="AD157" s="798">
        <f t="shared" si="68"/>
        <v>0</v>
      </c>
      <c r="AE157" s="798">
        <f t="shared" si="68"/>
        <v>0</v>
      </c>
      <c r="AF157" s="798">
        <f t="shared" si="68"/>
        <v>0</v>
      </c>
      <c r="AG157" s="798">
        <f t="shared" si="68"/>
        <v>0</v>
      </c>
      <c r="AH157" s="798">
        <f t="shared" si="68"/>
        <v>0</v>
      </c>
      <c r="AI157" s="798">
        <f t="shared" si="68"/>
        <v>0</v>
      </c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</row>
    <row r="158" spans="2:57" ht="15.75" customHeight="1">
      <c r="B158" s="159"/>
      <c r="C158" s="111" t="s">
        <v>642</v>
      </c>
      <c r="D158" s="76"/>
      <c r="E158" s="76"/>
      <c r="F158" s="76"/>
      <c r="G158" s="76"/>
      <c r="H158" s="76"/>
      <c r="I158" s="76"/>
      <c r="J158" s="76"/>
      <c r="K158" s="74">
        <f>(K146+K150+K152+K154+K156)*(2.5%+'Control list'!O16)/365*90+K15*K17*80%*(2.5%+'Control list'!O16)/365*60+K15*K17*15%*(2.5%+'Control list'!O16)/365*45</f>
        <v>2952073.0328002605</v>
      </c>
      <c r="L158" s="74">
        <f>(L146+L150+L152+L154+L156)*(2.5%+'Control list'!P16)/365*90+L15*L17*80%*(2.5%+'Control list'!P16)/365*60+L15*L17*15%*(2.5%+'Control list'!P16)/365*45</f>
        <v>3168738.4407836008</v>
      </c>
      <c r="M158" s="74">
        <f>(M146+M150+M152+M154+M156)*(2.5%+'Control list'!Q16)/365*90+M15*M17*80%*(2.5%+'Control list'!Q16)/365*60+M15*M17*15%*(2.5%+'Control list'!Q16)/365*45</f>
        <v>3604979.7061458286</v>
      </c>
      <c r="N158" s="74">
        <f>(N146+N150+N152+N154+N156)*(2.5%+'Control list'!R16)/365*90+N15*N17*80%*(2.5%+'Control list'!R16)/365*60+N15*N17*15%*(2.5%+'Control list'!R16)/365*45</f>
        <v>3387716.1599913649</v>
      </c>
      <c r="O158" s="74">
        <f>(O146+O150+O152+O154+O156)*(2.5%+'Control list'!S16)/365*90+O15*O17*80%*(2.5%+'Control list'!S16)/365*60+O15*O17*15%*(2.5%+'Control list'!S16)/365*45</f>
        <v>4264894.5537304617</v>
      </c>
      <c r="P158" s="74">
        <f>(P146+P150+P152+P154+P156)*(2.5%+'Control list'!T16)/365*90+P15*P17*80%*(2.5%+'Control list'!T16)/365*60+P15*P17*15%*(2.5%+'Control list'!T16)/365*45</f>
        <v>4771178.5468819039</v>
      </c>
      <c r="Q158" s="74">
        <f>(Q146+Q150+Q152+Q154+Q156)*(2.5%+'Control list'!U16)/365*90+Q15*Q17*80%*(2.5%+'Control list'!U16)/365*60+Q15*Q17*15%*(2.5%+'Control list'!U16)/365*45</f>
        <v>4264894.5537304617</v>
      </c>
      <c r="R158" s="74">
        <f>(R146+R150+R152+R154+R156)*(2.5%+'Control list'!V16)/365*90+R15*R17*80%*(2.5%+'Control list'!V16)/365*60+R15*R17*15%*(2.5%+'Control list'!V16)/365*45</f>
        <v>4264894.5537304599</v>
      </c>
      <c r="S158" s="74">
        <f>(S146+S150+S152+S154+S156)*(2.5%+'Control list'!W16)/365*90+S15*S17*80%*(2.5%+'Control list'!W16)/365*60+S15*S17*15%*(2.5%+'Control list'!W16)/365*45</f>
        <v>4750789.421482184</v>
      </c>
      <c r="T158" s="74">
        <f>(T146+T150+T152+T154+T156)*(2.5%+'Control list'!X16)/365*90+T15*T17*80%*(2.5%+'Control list'!X16)/365*60+T15*T17*15%*(2.5%+'Control list'!X16)/365*45</f>
        <v>4020561.9989897464</v>
      </c>
      <c r="U158" s="74">
        <f>(U146+U150+U152+U154+U156)*(2.5%+'Control list'!Y16)/365*90+U15*U17*80%*(2.5%+'Control list'!Y16)/365*60+U15*U17*15%*(2.5%+'Control list'!Y16)/365*45</f>
        <v>4090563.7405776936</v>
      </c>
      <c r="V158" s="74">
        <f>(V146+V150+V152+V154+V156)*(2.5%+'Control list'!Z16)/365*90+V15*V17*80%*(2.5%+'Control list'!Z16)/365*60+V15*V17*15%*(2.5%+'Control list'!Z16)/365*45</f>
        <v>4575391.6336487886</v>
      </c>
      <c r="W158" s="74">
        <f>(W146+W150+W152+W154+W156)*(2.5%+'Control list'!AA16)/365*90+W15*W17*80%*(2.5%+'Control list'!AA16)/365*60+W15*W17*15%*(2.5%+'Control list'!AA16)/365*45</f>
        <v>4090563.7405776912</v>
      </c>
      <c r="X158" s="74">
        <f>(X146+X150+X152+X154+X156)*(2.5%+'Control list'!AB16)/365*90+X15*X17*80%*(2.5%+'Control list'!AB16)/365*60+X15*X17*15%*(2.5%+'Control list'!AB16)/365*45</f>
        <v>4090563.7405776912</v>
      </c>
      <c r="Y158" s="74">
        <f>(Y146+Y150+Y152+Y154+Y156)*(2.5%+'Control list'!AC16)/365*90+Y15*Y17*80%*(2.5%+'Control list'!AC16)/365*60+Y15*Y17*15%*(2.5%+'Control list'!AC16)/365*45</f>
        <v>4575391.633648796</v>
      </c>
      <c r="Z158" s="74">
        <f>(Z146+Z150+Z152+Z154+Z156)*(2.5%+'Control list'!AD16)/365*90+Z15*Z17*80%*(2.5%+'Control list'!AD16)/365*60+Z15*Z17*15%*(2.5%+'Control list'!AD16)/365*45</f>
        <v>4090563.7405776875</v>
      </c>
      <c r="AA158" s="74">
        <f>(AA146+AA150+AA152+AA154+AA156)*(2.5%+'Control list'!AE16)/365*90+AA15*AA17*80%*(2.5%+'Control list'!AE16)/365*60+AA15*AA17*15%*(2.5%+'Control list'!AE16)/365*45</f>
        <v>4090563.7405776875</v>
      </c>
      <c r="AB158" s="74">
        <f>(AB146+AB150+AB152+AB154+AB156)*(2.5%+'Control list'!AF16)/365*90+AB15*AB17*80%*(2.5%+'Control list'!AF16)/365*60+AB15*AB17*15%*(2.5%+'Control list'!AF16)/365*45</f>
        <v>4575391.6336487876</v>
      </c>
      <c r="AC158" s="74">
        <f>(AC146+AC150+AC152+AC154+AC156)*(2.5%+'Control list'!AG16)/365*90+AC15*AC17*80%*(2.5%+'Control list'!AG16)/365*60+AC15*AC17*15%*(2.5%+'Control list'!AG16)/365*45</f>
        <v>4090563.7405776898</v>
      </c>
      <c r="AD158" s="74">
        <f>(AD146+AD150+AD152+AD154+AD156)*(2.5%+'Control list'!AH16)/365*90+AD15*AD17*80%*(2.5%+'Control list'!AH16)/365*60+AD15*AD17*15%*(2.5%+'Control list'!AH16)/365*45</f>
        <v>3945406.9466999173</v>
      </c>
      <c r="AE158" s="74">
        <f>(AE146+AE150+AE152+AE154+AE156)*(2.5%+'Control list'!AI16)/365*90+AE15*AE17*80%*(2.5%+'Control list'!AI16)/365*60+AE15*AE17*15%*(2.5%+'Control list'!AI16)/365*45</f>
        <v>4274797.4596343162</v>
      </c>
      <c r="AF158" s="74">
        <f>(AF146+AF150+AF152+AF154+AF156)*(2.5%+'Control list'!AJ16)/365*90+AF15*AF17*80%*(2.5%+'Control list'!AJ16)/365*60+AF15*AF17*15%*(2.5%+'Control list'!AJ16)/365*45</f>
        <v>3873258.0559628773</v>
      </c>
      <c r="AG158" s="74">
        <f>(AG146+AG150+AG152+AG154+AG156)*(2.5%+'Control list'!AK16)/365*90+AG15*AG17*80%*(2.5%+'Control list'!AK16)/365*60+AG15*AG17*15%*(2.5%+'Control list'!AK16)/365*45</f>
        <v>3873258.0559628787</v>
      </c>
      <c r="AH158" s="74">
        <f>(AH146+AH150+AH152+AH154+AH156)*(2.5%+'Control list'!AL16)/365*90+AH15*AH17*80%*(2.5%+'Control list'!AL16)/365*60+AH15*AH17*15%*(2.5%+'Control list'!AL16)/365*45</f>
        <v>4331340.6340044662</v>
      </c>
      <c r="AI158" s="74">
        <f>(AI146+AI150+AI152+AI154+AI156)*(2.5%+'Control list'!AM16)/365*90+AI15*AI17*80%*(2.5%+'Control list'!AM16)/365*60+AI15*AI17*15%*(2.5%+'Control list'!AM16)/365*45</f>
        <v>3873258.0559628727</v>
      </c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</row>
    <row r="159" spans="2:57" ht="15.75" customHeight="1">
      <c r="B159" s="159"/>
      <c r="C159" s="800" t="s">
        <v>787</v>
      </c>
      <c r="D159" s="74"/>
      <c r="E159" s="74"/>
      <c r="F159" s="74"/>
      <c r="G159" s="74"/>
      <c r="H159" s="74"/>
      <c r="I159" s="74"/>
      <c r="J159" s="76"/>
      <c r="K159" s="76"/>
      <c r="L159" s="74"/>
      <c r="M159" s="74"/>
      <c r="N159" s="75"/>
      <c r="O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</row>
    <row r="160" spans="2:57" ht="15.75" customHeight="1">
      <c r="B160" s="159"/>
      <c r="C160" s="841" t="s">
        <v>788</v>
      </c>
      <c r="D160" s="74"/>
      <c r="E160" s="74"/>
      <c r="F160" s="74"/>
      <c r="G160" s="74"/>
      <c r="H160" s="74"/>
      <c r="I160" s="74"/>
      <c r="J160" s="76"/>
      <c r="K160" s="74">
        <f>200000*$D$130</f>
        <v>200000</v>
      </c>
      <c r="L160" s="74">
        <f t="shared" ref="L160:AA170" si="69">K160</f>
        <v>200000</v>
      </c>
      <c r="M160" s="74">
        <f t="shared" si="69"/>
        <v>200000</v>
      </c>
      <c r="N160" s="74">
        <f t="shared" si="69"/>
        <v>200000</v>
      </c>
      <c r="O160" s="74">
        <f t="shared" si="69"/>
        <v>200000</v>
      </c>
      <c r="P160" s="74">
        <f t="shared" si="69"/>
        <v>200000</v>
      </c>
      <c r="Q160" s="74">
        <f t="shared" si="69"/>
        <v>200000</v>
      </c>
      <c r="R160" s="74">
        <f t="shared" si="69"/>
        <v>200000</v>
      </c>
      <c r="S160" s="74">
        <f t="shared" si="69"/>
        <v>200000</v>
      </c>
      <c r="T160" s="74">
        <f t="shared" si="69"/>
        <v>200000</v>
      </c>
      <c r="U160" s="74">
        <f t="shared" si="69"/>
        <v>200000</v>
      </c>
      <c r="V160" s="74">
        <f t="shared" si="69"/>
        <v>200000</v>
      </c>
      <c r="W160" s="74">
        <f t="shared" si="69"/>
        <v>200000</v>
      </c>
      <c r="X160" s="74">
        <f t="shared" si="69"/>
        <v>200000</v>
      </c>
      <c r="Y160" s="74">
        <f t="shared" si="69"/>
        <v>200000</v>
      </c>
      <c r="Z160" s="74">
        <f t="shared" si="69"/>
        <v>200000</v>
      </c>
      <c r="AA160" s="74">
        <f t="shared" si="69"/>
        <v>200000</v>
      </c>
      <c r="AB160" s="74">
        <f t="shared" ref="AB160:AI170" si="70">AA160</f>
        <v>200000</v>
      </c>
      <c r="AC160" s="74">
        <f t="shared" si="70"/>
        <v>200000</v>
      </c>
      <c r="AD160" s="74">
        <f t="shared" si="70"/>
        <v>200000</v>
      </c>
      <c r="AE160" s="74">
        <f t="shared" si="70"/>
        <v>200000</v>
      </c>
      <c r="AF160" s="74">
        <f t="shared" si="70"/>
        <v>200000</v>
      </c>
      <c r="AG160" s="74">
        <f t="shared" si="70"/>
        <v>200000</v>
      </c>
      <c r="AH160" s="74">
        <f t="shared" si="70"/>
        <v>200000</v>
      </c>
      <c r="AI160" s="74">
        <f t="shared" si="70"/>
        <v>200000</v>
      </c>
      <c r="AJ160" s="74">
        <f>SUM(K160:AI160)</f>
        <v>5000000</v>
      </c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</row>
    <row r="161" spans="2:57" ht="15.75" customHeight="1">
      <c r="B161" s="159"/>
      <c r="C161" s="841" t="s">
        <v>789</v>
      </c>
      <c r="D161" s="74"/>
      <c r="E161" s="74"/>
      <c r="F161" s="74"/>
      <c r="G161" s="74"/>
      <c r="H161" s="74"/>
      <c r="I161" s="74"/>
      <c r="J161" s="76"/>
      <c r="K161" s="74">
        <f>100000*$D$130</f>
        <v>100000</v>
      </c>
      <c r="L161" s="74">
        <f t="shared" si="69"/>
        <v>100000</v>
      </c>
      <c r="M161" s="74">
        <f t="shared" si="69"/>
        <v>100000</v>
      </c>
      <c r="N161" s="74">
        <f t="shared" si="69"/>
        <v>100000</v>
      </c>
      <c r="O161" s="74">
        <f t="shared" si="69"/>
        <v>100000</v>
      </c>
      <c r="P161" s="74">
        <f t="shared" si="69"/>
        <v>100000</v>
      </c>
      <c r="Q161" s="74">
        <f t="shared" si="69"/>
        <v>100000</v>
      </c>
      <c r="R161" s="74">
        <f t="shared" si="69"/>
        <v>100000</v>
      </c>
      <c r="S161" s="74">
        <f t="shared" si="69"/>
        <v>100000</v>
      </c>
      <c r="T161" s="74">
        <f t="shared" si="69"/>
        <v>100000</v>
      </c>
      <c r="U161" s="74">
        <f t="shared" si="69"/>
        <v>100000</v>
      </c>
      <c r="V161" s="74">
        <f t="shared" si="69"/>
        <v>100000</v>
      </c>
      <c r="W161" s="74">
        <f t="shared" si="69"/>
        <v>100000</v>
      </c>
      <c r="X161" s="74">
        <f t="shared" si="69"/>
        <v>100000</v>
      </c>
      <c r="Y161" s="74">
        <f t="shared" si="69"/>
        <v>100000</v>
      </c>
      <c r="Z161" s="74">
        <f t="shared" si="69"/>
        <v>100000</v>
      </c>
      <c r="AA161" s="74">
        <f t="shared" si="69"/>
        <v>100000</v>
      </c>
      <c r="AB161" s="74">
        <f t="shared" si="70"/>
        <v>100000</v>
      </c>
      <c r="AC161" s="74">
        <f t="shared" si="70"/>
        <v>100000</v>
      </c>
      <c r="AD161" s="74">
        <f t="shared" si="70"/>
        <v>100000</v>
      </c>
      <c r="AE161" s="74">
        <f t="shared" si="70"/>
        <v>100000</v>
      </c>
      <c r="AF161" s="74">
        <f t="shared" si="70"/>
        <v>100000</v>
      </c>
      <c r="AG161" s="74">
        <f t="shared" si="70"/>
        <v>100000</v>
      </c>
      <c r="AH161" s="74">
        <f t="shared" si="70"/>
        <v>100000</v>
      </c>
      <c r="AI161" s="74">
        <f t="shared" si="70"/>
        <v>100000</v>
      </c>
      <c r="AJ161" s="74">
        <f t="shared" ref="AJ161:AJ173" si="71">SUM(K161:AI161)</f>
        <v>2500000</v>
      </c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</row>
    <row r="162" spans="2:57" ht="15.75" customHeight="1">
      <c r="B162" s="159"/>
      <c r="C162" s="841" t="s">
        <v>790</v>
      </c>
      <c r="D162" s="74"/>
      <c r="E162" s="74"/>
      <c r="F162" s="74"/>
      <c r="G162" s="74"/>
      <c r="H162" s="74"/>
      <c r="I162" s="74"/>
      <c r="J162" s="76"/>
      <c r="K162" s="74">
        <f>100000*$D$130</f>
        <v>100000</v>
      </c>
      <c r="L162" s="74">
        <f t="shared" si="69"/>
        <v>100000</v>
      </c>
      <c r="M162" s="74">
        <f t="shared" si="69"/>
        <v>100000</v>
      </c>
      <c r="N162" s="74">
        <f t="shared" si="69"/>
        <v>100000</v>
      </c>
      <c r="O162" s="74">
        <f t="shared" si="69"/>
        <v>100000</v>
      </c>
      <c r="P162" s="74">
        <f t="shared" si="69"/>
        <v>100000</v>
      </c>
      <c r="Q162" s="74">
        <f t="shared" si="69"/>
        <v>100000</v>
      </c>
      <c r="R162" s="74">
        <f t="shared" si="69"/>
        <v>100000</v>
      </c>
      <c r="S162" s="74">
        <f t="shared" si="69"/>
        <v>100000</v>
      </c>
      <c r="T162" s="74">
        <f t="shared" si="69"/>
        <v>100000</v>
      </c>
      <c r="U162" s="74">
        <f t="shared" si="69"/>
        <v>100000</v>
      </c>
      <c r="V162" s="74">
        <f t="shared" si="69"/>
        <v>100000</v>
      </c>
      <c r="W162" s="74">
        <f t="shared" si="69"/>
        <v>100000</v>
      </c>
      <c r="X162" s="74">
        <f t="shared" si="69"/>
        <v>100000</v>
      </c>
      <c r="Y162" s="74">
        <f t="shared" si="69"/>
        <v>100000</v>
      </c>
      <c r="Z162" s="74">
        <f t="shared" si="69"/>
        <v>100000</v>
      </c>
      <c r="AA162" s="74">
        <f t="shared" si="69"/>
        <v>100000</v>
      </c>
      <c r="AB162" s="74">
        <f t="shared" si="70"/>
        <v>100000</v>
      </c>
      <c r="AC162" s="74">
        <f t="shared" si="70"/>
        <v>100000</v>
      </c>
      <c r="AD162" s="74">
        <f t="shared" si="70"/>
        <v>100000</v>
      </c>
      <c r="AE162" s="74">
        <f t="shared" si="70"/>
        <v>100000</v>
      </c>
      <c r="AF162" s="74">
        <f t="shared" si="70"/>
        <v>100000</v>
      </c>
      <c r="AG162" s="74">
        <f t="shared" si="70"/>
        <v>100000</v>
      </c>
      <c r="AH162" s="74">
        <f t="shared" si="70"/>
        <v>100000</v>
      </c>
      <c r="AI162" s="74">
        <f t="shared" si="70"/>
        <v>100000</v>
      </c>
      <c r="AJ162" s="74">
        <f t="shared" si="71"/>
        <v>2500000</v>
      </c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</row>
    <row r="163" spans="2:57" ht="15.75" customHeight="1">
      <c r="B163" s="159"/>
      <c r="C163" s="841" t="s">
        <v>791</v>
      </c>
      <c r="D163" s="74"/>
      <c r="E163" s="74"/>
      <c r="F163" s="74"/>
      <c r="G163" s="74"/>
      <c r="H163" s="74"/>
      <c r="I163" s="74"/>
      <c r="J163" s="76"/>
      <c r="K163" s="74">
        <f>100000*$D$130</f>
        <v>100000</v>
      </c>
      <c r="L163" s="74">
        <f t="shared" si="69"/>
        <v>100000</v>
      </c>
      <c r="M163" s="74">
        <f t="shared" si="69"/>
        <v>100000</v>
      </c>
      <c r="N163" s="74">
        <f t="shared" si="69"/>
        <v>100000</v>
      </c>
      <c r="O163" s="74">
        <f t="shared" si="69"/>
        <v>100000</v>
      </c>
      <c r="P163" s="74">
        <f t="shared" si="69"/>
        <v>100000</v>
      </c>
      <c r="Q163" s="74">
        <f t="shared" si="69"/>
        <v>100000</v>
      </c>
      <c r="R163" s="74">
        <f t="shared" si="69"/>
        <v>100000</v>
      </c>
      <c r="S163" s="74">
        <f t="shared" si="69"/>
        <v>100000</v>
      </c>
      <c r="T163" s="74">
        <f t="shared" si="69"/>
        <v>100000</v>
      </c>
      <c r="U163" s="74">
        <f t="shared" si="69"/>
        <v>100000</v>
      </c>
      <c r="V163" s="74">
        <f t="shared" si="69"/>
        <v>100000</v>
      </c>
      <c r="W163" s="74">
        <f t="shared" si="69"/>
        <v>100000</v>
      </c>
      <c r="X163" s="74">
        <f t="shared" si="69"/>
        <v>100000</v>
      </c>
      <c r="Y163" s="74">
        <f t="shared" si="69"/>
        <v>100000</v>
      </c>
      <c r="Z163" s="74">
        <f t="shared" si="69"/>
        <v>100000</v>
      </c>
      <c r="AA163" s="74">
        <f t="shared" si="69"/>
        <v>100000</v>
      </c>
      <c r="AB163" s="74">
        <f t="shared" si="70"/>
        <v>100000</v>
      </c>
      <c r="AC163" s="74">
        <f t="shared" si="70"/>
        <v>100000</v>
      </c>
      <c r="AD163" s="74">
        <f t="shared" si="70"/>
        <v>100000</v>
      </c>
      <c r="AE163" s="74">
        <f t="shared" si="70"/>
        <v>100000</v>
      </c>
      <c r="AF163" s="74">
        <f t="shared" si="70"/>
        <v>100000</v>
      </c>
      <c r="AG163" s="74">
        <f t="shared" si="70"/>
        <v>100000</v>
      </c>
      <c r="AH163" s="74">
        <f t="shared" si="70"/>
        <v>100000</v>
      </c>
      <c r="AI163" s="74">
        <f t="shared" si="70"/>
        <v>100000</v>
      </c>
      <c r="AJ163" s="74">
        <f t="shared" si="71"/>
        <v>2500000</v>
      </c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</row>
    <row r="164" spans="2:57" ht="15.75" customHeight="1">
      <c r="B164" s="159"/>
      <c r="C164" s="841" t="s">
        <v>792</v>
      </c>
      <c r="D164" s="74"/>
      <c r="E164" s="74"/>
      <c r="F164" s="74"/>
      <c r="G164" s="74"/>
      <c r="H164" s="74"/>
      <c r="I164" s="74"/>
      <c r="J164" s="76"/>
      <c r="K164" s="74">
        <f>200000*$D$130</f>
        <v>200000</v>
      </c>
      <c r="L164" s="74">
        <f t="shared" si="69"/>
        <v>200000</v>
      </c>
      <c r="M164" s="74">
        <f t="shared" si="69"/>
        <v>200000</v>
      </c>
      <c r="N164" s="74">
        <f t="shared" si="69"/>
        <v>200000</v>
      </c>
      <c r="O164" s="74">
        <f t="shared" si="69"/>
        <v>200000</v>
      </c>
      <c r="P164" s="74">
        <f t="shared" si="69"/>
        <v>200000</v>
      </c>
      <c r="Q164" s="74">
        <f t="shared" si="69"/>
        <v>200000</v>
      </c>
      <c r="R164" s="74">
        <f t="shared" si="69"/>
        <v>200000</v>
      </c>
      <c r="S164" s="74">
        <f t="shared" si="69"/>
        <v>200000</v>
      </c>
      <c r="T164" s="74">
        <f t="shared" si="69"/>
        <v>200000</v>
      </c>
      <c r="U164" s="74">
        <f t="shared" si="69"/>
        <v>200000</v>
      </c>
      <c r="V164" s="74">
        <f t="shared" si="69"/>
        <v>200000</v>
      </c>
      <c r="W164" s="74">
        <f t="shared" si="69"/>
        <v>200000</v>
      </c>
      <c r="X164" s="74">
        <f t="shared" si="69"/>
        <v>200000</v>
      </c>
      <c r="Y164" s="74">
        <f t="shared" si="69"/>
        <v>200000</v>
      </c>
      <c r="Z164" s="74">
        <f t="shared" si="69"/>
        <v>200000</v>
      </c>
      <c r="AA164" s="74">
        <f t="shared" si="69"/>
        <v>200000</v>
      </c>
      <c r="AB164" s="74">
        <f t="shared" si="70"/>
        <v>200000</v>
      </c>
      <c r="AC164" s="74">
        <f t="shared" si="70"/>
        <v>200000</v>
      </c>
      <c r="AD164" s="74">
        <f t="shared" si="70"/>
        <v>200000</v>
      </c>
      <c r="AE164" s="74">
        <f t="shared" si="70"/>
        <v>200000</v>
      </c>
      <c r="AF164" s="74">
        <f t="shared" si="70"/>
        <v>200000</v>
      </c>
      <c r="AG164" s="74">
        <f t="shared" si="70"/>
        <v>200000</v>
      </c>
      <c r="AH164" s="74">
        <f t="shared" si="70"/>
        <v>200000</v>
      </c>
      <c r="AI164" s="74">
        <f t="shared" si="70"/>
        <v>200000</v>
      </c>
      <c r="AJ164" s="74">
        <f t="shared" si="71"/>
        <v>5000000</v>
      </c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</row>
    <row r="165" spans="2:57" ht="15.75" customHeight="1">
      <c r="B165" s="159"/>
      <c r="C165" s="841" t="s">
        <v>793</v>
      </c>
      <c r="D165" s="74"/>
      <c r="E165" s="74"/>
      <c r="F165" s="74"/>
      <c r="G165" s="74"/>
      <c r="H165" s="74"/>
      <c r="I165" s="74"/>
      <c r="J165" s="76"/>
      <c r="K165" s="74">
        <f>350000*$D$130</f>
        <v>350000</v>
      </c>
      <c r="L165" s="74">
        <f t="shared" si="69"/>
        <v>350000</v>
      </c>
      <c r="M165" s="74">
        <f t="shared" si="69"/>
        <v>350000</v>
      </c>
      <c r="N165" s="74">
        <f t="shared" si="69"/>
        <v>350000</v>
      </c>
      <c r="O165" s="74">
        <f t="shared" si="69"/>
        <v>350000</v>
      </c>
      <c r="P165" s="74">
        <f t="shared" si="69"/>
        <v>350000</v>
      </c>
      <c r="Q165" s="74">
        <f t="shared" si="69"/>
        <v>350000</v>
      </c>
      <c r="R165" s="74">
        <f t="shared" si="69"/>
        <v>350000</v>
      </c>
      <c r="S165" s="74">
        <f t="shared" si="69"/>
        <v>350000</v>
      </c>
      <c r="T165" s="74">
        <f t="shared" si="69"/>
        <v>350000</v>
      </c>
      <c r="U165" s="74">
        <f t="shared" si="69"/>
        <v>350000</v>
      </c>
      <c r="V165" s="74">
        <f t="shared" si="69"/>
        <v>350000</v>
      </c>
      <c r="W165" s="74">
        <f t="shared" si="69"/>
        <v>350000</v>
      </c>
      <c r="X165" s="74">
        <f t="shared" si="69"/>
        <v>350000</v>
      </c>
      <c r="Y165" s="74">
        <f t="shared" si="69"/>
        <v>350000</v>
      </c>
      <c r="Z165" s="74">
        <f t="shared" si="69"/>
        <v>350000</v>
      </c>
      <c r="AA165" s="74">
        <f t="shared" si="69"/>
        <v>350000</v>
      </c>
      <c r="AB165" s="74">
        <f t="shared" si="70"/>
        <v>350000</v>
      </c>
      <c r="AC165" s="74">
        <f t="shared" si="70"/>
        <v>350000</v>
      </c>
      <c r="AD165" s="74">
        <f t="shared" si="70"/>
        <v>350000</v>
      </c>
      <c r="AE165" s="74">
        <f t="shared" si="70"/>
        <v>350000</v>
      </c>
      <c r="AF165" s="74">
        <f t="shared" si="70"/>
        <v>350000</v>
      </c>
      <c r="AG165" s="74">
        <f t="shared" si="70"/>
        <v>350000</v>
      </c>
      <c r="AH165" s="74">
        <f t="shared" si="70"/>
        <v>350000</v>
      </c>
      <c r="AI165" s="74">
        <f t="shared" si="70"/>
        <v>350000</v>
      </c>
      <c r="AJ165" s="74">
        <f t="shared" si="71"/>
        <v>8750000</v>
      </c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</row>
    <row r="166" spans="2:57" ht="15.75" customHeight="1">
      <c r="B166" s="159"/>
      <c r="C166" s="841" t="s">
        <v>794</v>
      </c>
      <c r="D166" s="74"/>
      <c r="E166" s="74"/>
      <c r="F166" s="74"/>
      <c r="G166" s="74"/>
      <c r="H166" s="74"/>
      <c r="I166" s="74"/>
      <c r="J166" s="76"/>
      <c r="K166" s="74">
        <f>500000*$D$130</f>
        <v>500000</v>
      </c>
      <c r="L166" s="74">
        <f t="shared" si="69"/>
        <v>500000</v>
      </c>
      <c r="M166" s="74">
        <f t="shared" si="69"/>
        <v>500000</v>
      </c>
      <c r="N166" s="74">
        <f t="shared" si="69"/>
        <v>500000</v>
      </c>
      <c r="O166" s="74">
        <f t="shared" si="69"/>
        <v>500000</v>
      </c>
      <c r="P166" s="74">
        <f t="shared" si="69"/>
        <v>500000</v>
      </c>
      <c r="Q166" s="74">
        <f t="shared" si="69"/>
        <v>500000</v>
      </c>
      <c r="R166" s="74">
        <f t="shared" si="69"/>
        <v>500000</v>
      </c>
      <c r="S166" s="74">
        <f t="shared" si="69"/>
        <v>500000</v>
      </c>
      <c r="T166" s="74">
        <f t="shared" si="69"/>
        <v>500000</v>
      </c>
      <c r="U166" s="74">
        <f t="shared" si="69"/>
        <v>500000</v>
      </c>
      <c r="V166" s="74">
        <f t="shared" si="69"/>
        <v>500000</v>
      </c>
      <c r="W166" s="74">
        <f t="shared" si="69"/>
        <v>500000</v>
      </c>
      <c r="X166" s="74">
        <f t="shared" si="69"/>
        <v>500000</v>
      </c>
      <c r="Y166" s="74">
        <f t="shared" si="69"/>
        <v>500000</v>
      </c>
      <c r="Z166" s="74">
        <f t="shared" si="69"/>
        <v>500000</v>
      </c>
      <c r="AA166" s="74">
        <f t="shared" si="69"/>
        <v>500000</v>
      </c>
      <c r="AB166" s="74">
        <f t="shared" si="70"/>
        <v>500000</v>
      </c>
      <c r="AC166" s="74">
        <f t="shared" si="70"/>
        <v>500000</v>
      </c>
      <c r="AD166" s="74">
        <f t="shared" si="70"/>
        <v>500000</v>
      </c>
      <c r="AE166" s="74">
        <f t="shared" si="70"/>
        <v>500000</v>
      </c>
      <c r="AF166" s="74">
        <f t="shared" si="70"/>
        <v>500000</v>
      </c>
      <c r="AG166" s="74">
        <f t="shared" si="70"/>
        <v>500000</v>
      </c>
      <c r="AH166" s="74">
        <f t="shared" si="70"/>
        <v>500000</v>
      </c>
      <c r="AI166" s="74">
        <f t="shared" si="70"/>
        <v>500000</v>
      </c>
      <c r="AJ166" s="74">
        <f t="shared" si="71"/>
        <v>12500000</v>
      </c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</row>
    <row r="167" spans="2:57" ht="15.75" customHeight="1">
      <c r="B167" s="159"/>
      <c r="C167" s="841" t="s">
        <v>795</v>
      </c>
      <c r="D167" s="74"/>
      <c r="E167" s="74"/>
      <c r="F167" s="74"/>
      <c r="G167" s="74"/>
      <c r="H167" s="74"/>
      <c r="I167" s="74"/>
      <c r="J167" s="76"/>
      <c r="K167" s="74">
        <f>170000*$D$130</f>
        <v>170000</v>
      </c>
      <c r="L167" s="74">
        <f t="shared" si="69"/>
        <v>170000</v>
      </c>
      <c r="M167" s="74">
        <f t="shared" si="69"/>
        <v>170000</v>
      </c>
      <c r="N167" s="74">
        <f t="shared" si="69"/>
        <v>170000</v>
      </c>
      <c r="O167" s="74">
        <f t="shared" si="69"/>
        <v>170000</v>
      </c>
      <c r="P167" s="74">
        <f t="shared" si="69"/>
        <v>170000</v>
      </c>
      <c r="Q167" s="74">
        <f t="shared" si="69"/>
        <v>170000</v>
      </c>
      <c r="R167" s="74">
        <f t="shared" si="69"/>
        <v>170000</v>
      </c>
      <c r="S167" s="74">
        <f t="shared" si="69"/>
        <v>170000</v>
      </c>
      <c r="T167" s="74">
        <f t="shared" si="69"/>
        <v>170000</v>
      </c>
      <c r="U167" s="74">
        <f t="shared" si="69"/>
        <v>170000</v>
      </c>
      <c r="V167" s="74">
        <f t="shared" si="69"/>
        <v>170000</v>
      </c>
      <c r="W167" s="74">
        <f t="shared" si="69"/>
        <v>170000</v>
      </c>
      <c r="X167" s="74">
        <f t="shared" si="69"/>
        <v>170000</v>
      </c>
      <c r="Y167" s="74">
        <f t="shared" si="69"/>
        <v>170000</v>
      </c>
      <c r="Z167" s="74">
        <f t="shared" si="69"/>
        <v>170000</v>
      </c>
      <c r="AA167" s="74">
        <f t="shared" si="69"/>
        <v>170000</v>
      </c>
      <c r="AB167" s="74">
        <f t="shared" si="70"/>
        <v>170000</v>
      </c>
      <c r="AC167" s="74">
        <f t="shared" si="70"/>
        <v>170000</v>
      </c>
      <c r="AD167" s="74">
        <f t="shared" si="70"/>
        <v>170000</v>
      </c>
      <c r="AE167" s="74">
        <f t="shared" si="70"/>
        <v>170000</v>
      </c>
      <c r="AF167" s="74">
        <f t="shared" si="70"/>
        <v>170000</v>
      </c>
      <c r="AG167" s="74">
        <f t="shared" si="70"/>
        <v>170000</v>
      </c>
      <c r="AH167" s="74">
        <f t="shared" si="70"/>
        <v>170000</v>
      </c>
      <c r="AI167" s="74">
        <f t="shared" si="70"/>
        <v>170000</v>
      </c>
      <c r="AJ167" s="74">
        <f t="shared" si="71"/>
        <v>4250000</v>
      </c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</row>
    <row r="168" spans="2:57" ht="15.75" customHeight="1">
      <c r="B168" s="159"/>
      <c r="C168" s="841" t="s">
        <v>796</v>
      </c>
      <c r="D168" s="74"/>
      <c r="E168" s="74"/>
      <c r="F168" s="74"/>
      <c r="G168" s="74"/>
      <c r="H168" s="74"/>
      <c r="I168" s="74"/>
      <c r="J168" s="76"/>
      <c r="K168" s="74">
        <f>200000*$D$130</f>
        <v>200000</v>
      </c>
      <c r="L168" s="74">
        <f t="shared" si="69"/>
        <v>200000</v>
      </c>
      <c r="M168" s="74">
        <f t="shared" si="69"/>
        <v>200000</v>
      </c>
      <c r="N168" s="74">
        <f t="shared" si="69"/>
        <v>200000</v>
      </c>
      <c r="O168" s="74">
        <f t="shared" si="69"/>
        <v>200000</v>
      </c>
      <c r="P168" s="74">
        <f t="shared" si="69"/>
        <v>200000</v>
      </c>
      <c r="Q168" s="74">
        <f t="shared" si="69"/>
        <v>200000</v>
      </c>
      <c r="R168" s="74">
        <f t="shared" si="69"/>
        <v>200000</v>
      </c>
      <c r="S168" s="74">
        <f t="shared" si="69"/>
        <v>200000</v>
      </c>
      <c r="T168" s="74">
        <f t="shared" si="69"/>
        <v>200000</v>
      </c>
      <c r="U168" s="74">
        <f t="shared" si="69"/>
        <v>200000</v>
      </c>
      <c r="V168" s="74">
        <f t="shared" si="69"/>
        <v>200000</v>
      </c>
      <c r="W168" s="74">
        <f t="shared" si="69"/>
        <v>200000</v>
      </c>
      <c r="X168" s="74">
        <f t="shared" si="69"/>
        <v>200000</v>
      </c>
      <c r="Y168" s="74">
        <f t="shared" si="69"/>
        <v>200000</v>
      </c>
      <c r="Z168" s="74">
        <f t="shared" si="69"/>
        <v>200000</v>
      </c>
      <c r="AA168" s="74">
        <f t="shared" si="69"/>
        <v>200000</v>
      </c>
      <c r="AB168" s="74">
        <f t="shared" si="70"/>
        <v>200000</v>
      </c>
      <c r="AC168" s="74">
        <f t="shared" si="70"/>
        <v>200000</v>
      </c>
      <c r="AD168" s="74">
        <f t="shared" si="70"/>
        <v>200000</v>
      </c>
      <c r="AE168" s="74">
        <f t="shared" si="70"/>
        <v>200000</v>
      </c>
      <c r="AF168" s="74">
        <f t="shared" si="70"/>
        <v>200000</v>
      </c>
      <c r="AG168" s="74">
        <f t="shared" si="70"/>
        <v>200000</v>
      </c>
      <c r="AH168" s="74">
        <f t="shared" si="70"/>
        <v>200000</v>
      </c>
      <c r="AI168" s="74">
        <f t="shared" si="70"/>
        <v>200000</v>
      </c>
      <c r="AJ168" s="74">
        <f t="shared" si="71"/>
        <v>5000000</v>
      </c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</row>
    <row r="169" spans="2:57" ht="15.75" customHeight="1">
      <c r="B169" s="159"/>
      <c r="C169" s="841" t="s">
        <v>797</v>
      </c>
      <c r="D169" s="74"/>
      <c r="E169" s="74"/>
      <c r="F169" s="74"/>
      <c r="G169" s="74"/>
      <c r="H169" s="74"/>
      <c r="I169" s="74"/>
      <c r="J169" s="76"/>
      <c r="K169" s="799">
        <f>1935575.824*$D$130</f>
        <v>1935575.824</v>
      </c>
      <c r="L169" s="799">
        <f t="shared" si="69"/>
        <v>1935575.824</v>
      </c>
      <c r="M169" s="799">
        <f t="shared" si="69"/>
        <v>1935575.824</v>
      </c>
      <c r="N169" s="799">
        <f t="shared" si="69"/>
        <v>1935575.824</v>
      </c>
      <c r="O169" s="799">
        <f t="shared" si="69"/>
        <v>1935575.824</v>
      </c>
      <c r="P169" s="799">
        <f t="shared" si="69"/>
        <v>1935575.824</v>
      </c>
      <c r="Q169" s="799">
        <f t="shared" si="69"/>
        <v>1935575.824</v>
      </c>
      <c r="R169" s="799">
        <f t="shared" si="69"/>
        <v>1935575.824</v>
      </c>
      <c r="S169" s="799">
        <f t="shared" si="69"/>
        <v>1935575.824</v>
      </c>
      <c r="T169" s="799">
        <f t="shared" si="69"/>
        <v>1935575.824</v>
      </c>
      <c r="U169" s="799">
        <f t="shared" si="69"/>
        <v>1935575.824</v>
      </c>
      <c r="V169" s="799">
        <f t="shared" si="69"/>
        <v>1935575.824</v>
      </c>
      <c r="W169" s="799">
        <f t="shared" si="69"/>
        <v>1935575.824</v>
      </c>
      <c r="X169" s="799">
        <f t="shared" si="69"/>
        <v>1935575.824</v>
      </c>
      <c r="Y169" s="799">
        <f t="shared" si="69"/>
        <v>1935575.824</v>
      </c>
      <c r="Z169" s="799">
        <f t="shared" si="69"/>
        <v>1935575.824</v>
      </c>
      <c r="AA169" s="799">
        <f t="shared" si="69"/>
        <v>1935575.824</v>
      </c>
      <c r="AB169" s="799">
        <f t="shared" si="70"/>
        <v>1935575.824</v>
      </c>
      <c r="AC169" s="799">
        <f t="shared" si="70"/>
        <v>1935575.824</v>
      </c>
      <c r="AD169" s="799">
        <f t="shared" si="70"/>
        <v>1935575.824</v>
      </c>
      <c r="AE169" s="799">
        <f t="shared" si="70"/>
        <v>1935575.824</v>
      </c>
      <c r="AF169" s="799">
        <f t="shared" si="70"/>
        <v>1935575.824</v>
      </c>
      <c r="AG169" s="799">
        <f t="shared" si="70"/>
        <v>1935575.824</v>
      </c>
      <c r="AH169" s="799">
        <f t="shared" si="70"/>
        <v>1935575.824</v>
      </c>
      <c r="AI169" s="799">
        <f t="shared" si="70"/>
        <v>1935575.824</v>
      </c>
      <c r="AJ169" s="74">
        <f t="shared" si="71"/>
        <v>48389395.600000016</v>
      </c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</row>
    <row r="170" spans="2:57" ht="15.75" customHeight="1">
      <c r="B170" s="159"/>
      <c r="C170" s="841" t="s">
        <v>798</v>
      </c>
      <c r="D170" s="74"/>
      <c r="E170" s="74"/>
      <c r="F170" s="74"/>
      <c r="G170" s="74"/>
      <c r="H170" s="74"/>
      <c r="I170" s="74"/>
      <c r="J170" s="76"/>
      <c r="K170" s="799">
        <f>2937247*$D$130</f>
        <v>2937247</v>
      </c>
      <c r="L170" s="799">
        <f t="shared" si="69"/>
        <v>2937247</v>
      </c>
      <c r="M170" s="799">
        <f t="shared" si="69"/>
        <v>2937247</v>
      </c>
      <c r="N170" s="799">
        <f t="shared" si="69"/>
        <v>2937247</v>
      </c>
      <c r="O170" s="799">
        <f t="shared" si="69"/>
        <v>2937247</v>
      </c>
      <c r="P170" s="799">
        <f t="shared" si="69"/>
        <v>2937247</v>
      </c>
      <c r="Q170" s="799">
        <f t="shared" si="69"/>
        <v>2937247</v>
      </c>
      <c r="R170" s="799">
        <f t="shared" si="69"/>
        <v>2937247</v>
      </c>
      <c r="S170" s="799">
        <f t="shared" si="69"/>
        <v>2937247</v>
      </c>
      <c r="T170" s="799">
        <f t="shared" si="69"/>
        <v>2937247</v>
      </c>
      <c r="U170" s="799">
        <f t="shared" si="69"/>
        <v>2937247</v>
      </c>
      <c r="V170" s="799">
        <f t="shared" si="69"/>
        <v>2937247</v>
      </c>
      <c r="W170" s="799">
        <f t="shared" si="69"/>
        <v>2937247</v>
      </c>
      <c r="X170" s="799">
        <f t="shared" si="69"/>
        <v>2937247</v>
      </c>
      <c r="Y170" s="799">
        <f t="shared" si="69"/>
        <v>2937247</v>
      </c>
      <c r="Z170" s="799">
        <f t="shared" si="69"/>
        <v>2937247</v>
      </c>
      <c r="AA170" s="799">
        <f t="shared" si="69"/>
        <v>2937247</v>
      </c>
      <c r="AB170" s="799">
        <f t="shared" si="70"/>
        <v>2937247</v>
      </c>
      <c r="AC170" s="799">
        <f t="shared" si="70"/>
        <v>2937247</v>
      </c>
      <c r="AD170" s="799">
        <f t="shared" si="70"/>
        <v>2937247</v>
      </c>
      <c r="AE170" s="799">
        <f t="shared" si="70"/>
        <v>2937247</v>
      </c>
      <c r="AF170" s="799">
        <f t="shared" si="70"/>
        <v>2937247</v>
      </c>
      <c r="AG170" s="799">
        <f t="shared" si="70"/>
        <v>2937247</v>
      </c>
      <c r="AH170" s="799">
        <f t="shared" si="70"/>
        <v>2937247</v>
      </c>
      <c r="AI170" s="799">
        <f t="shared" si="70"/>
        <v>2937247</v>
      </c>
      <c r="AJ170" s="74">
        <f t="shared" si="71"/>
        <v>73431175</v>
      </c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</row>
    <row r="171" spans="2:57" ht="15.75" customHeight="1">
      <c r="B171" s="159"/>
      <c r="C171" s="126" t="s">
        <v>799</v>
      </c>
      <c r="D171" s="74"/>
      <c r="E171" s="74"/>
      <c r="F171" s="74"/>
      <c r="G171" s="74"/>
      <c r="H171" s="74"/>
      <c r="I171" s="74"/>
      <c r="J171" s="76"/>
      <c r="K171" s="799">
        <f>(41768201)*$D$130</f>
        <v>41768201</v>
      </c>
      <c r="L171" s="799">
        <f t="shared" ref="L171:AI171" si="72">(41768201)*$D$130</f>
        <v>41768201</v>
      </c>
      <c r="M171" s="799">
        <f t="shared" si="72"/>
        <v>41768201</v>
      </c>
      <c r="N171" s="799">
        <f t="shared" si="72"/>
        <v>41768201</v>
      </c>
      <c r="O171" s="799">
        <f t="shared" si="72"/>
        <v>41768201</v>
      </c>
      <c r="P171" s="799">
        <f t="shared" si="72"/>
        <v>41768201</v>
      </c>
      <c r="Q171" s="799">
        <f t="shared" si="72"/>
        <v>41768201</v>
      </c>
      <c r="R171" s="799">
        <f t="shared" si="72"/>
        <v>41768201</v>
      </c>
      <c r="S171" s="799">
        <f t="shared" si="72"/>
        <v>41768201</v>
      </c>
      <c r="T171" s="799">
        <f t="shared" si="72"/>
        <v>41768201</v>
      </c>
      <c r="U171" s="799">
        <f t="shared" si="72"/>
        <v>41768201</v>
      </c>
      <c r="V171" s="799">
        <f t="shared" si="72"/>
        <v>41768201</v>
      </c>
      <c r="W171" s="799">
        <f t="shared" si="72"/>
        <v>41768201</v>
      </c>
      <c r="X171" s="799">
        <f t="shared" si="72"/>
        <v>41768201</v>
      </c>
      <c r="Y171" s="799">
        <f t="shared" si="72"/>
        <v>41768201</v>
      </c>
      <c r="Z171" s="799">
        <f t="shared" si="72"/>
        <v>41768201</v>
      </c>
      <c r="AA171" s="799">
        <f t="shared" si="72"/>
        <v>41768201</v>
      </c>
      <c r="AB171" s="799">
        <f t="shared" si="72"/>
        <v>41768201</v>
      </c>
      <c r="AC171" s="799">
        <f t="shared" si="72"/>
        <v>41768201</v>
      </c>
      <c r="AD171" s="799">
        <f t="shared" si="72"/>
        <v>41768201</v>
      </c>
      <c r="AE171" s="799">
        <f t="shared" si="72"/>
        <v>41768201</v>
      </c>
      <c r="AF171" s="799">
        <f t="shared" si="72"/>
        <v>41768201</v>
      </c>
      <c r="AG171" s="799">
        <f t="shared" si="72"/>
        <v>41768201</v>
      </c>
      <c r="AH171" s="799">
        <f t="shared" si="72"/>
        <v>41768201</v>
      </c>
      <c r="AI171" s="799">
        <f t="shared" si="72"/>
        <v>41768201</v>
      </c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</row>
    <row r="172" spans="2:57" ht="15.75" customHeight="1">
      <c r="B172" s="159"/>
      <c r="C172" s="126" t="s">
        <v>800</v>
      </c>
      <c r="D172" s="74"/>
      <c r="E172" s="74"/>
      <c r="F172" s="74"/>
      <c r="G172" s="74"/>
      <c r="H172" s="74"/>
      <c r="I172" s="74"/>
      <c r="J172" s="76"/>
      <c r="K172" s="74">
        <f>5211000*$D$130</f>
        <v>5211000</v>
      </c>
      <c r="L172" s="799">
        <f>K172</f>
        <v>5211000</v>
      </c>
      <c r="M172" s="799">
        <f t="shared" ref="M172:AI173" si="73">L172</f>
        <v>5211000</v>
      </c>
      <c r="N172" s="799">
        <f t="shared" si="73"/>
        <v>5211000</v>
      </c>
      <c r="O172" s="799">
        <f t="shared" si="73"/>
        <v>5211000</v>
      </c>
      <c r="P172" s="799">
        <f t="shared" si="73"/>
        <v>5211000</v>
      </c>
      <c r="Q172" s="799">
        <f t="shared" si="73"/>
        <v>5211000</v>
      </c>
      <c r="R172" s="799">
        <f t="shared" si="73"/>
        <v>5211000</v>
      </c>
      <c r="S172" s="799">
        <f t="shared" si="73"/>
        <v>5211000</v>
      </c>
      <c r="T172" s="799">
        <f t="shared" si="73"/>
        <v>5211000</v>
      </c>
      <c r="U172" s="799">
        <f t="shared" si="73"/>
        <v>5211000</v>
      </c>
      <c r="V172" s="799">
        <f t="shared" si="73"/>
        <v>5211000</v>
      </c>
      <c r="W172" s="799">
        <f t="shared" si="73"/>
        <v>5211000</v>
      </c>
      <c r="X172" s="799">
        <f t="shared" si="73"/>
        <v>5211000</v>
      </c>
      <c r="Y172" s="799">
        <f t="shared" si="73"/>
        <v>5211000</v>
      </c>
      <c r="Z172" s="799">
        <f t="shared" si="73"/>
        <v>5211000</v>
      </c>
      <c r="AA172" s="799">
        <f t="shared" si="73"/>
        <v>5211000</v>
      </c>
      <c r="AB172" s="799">
        <f t="shared" si="73"/>
        <v>5211000</v>
      </c>
      <c r="AC172" s="799">
        <f t="shared" si="73"/>
        <v>5211000</v>
      </c>
      <c r="AD172" s="799">
        <f t="shared" si="73"/>
        <v>5211000</v>
      </c>
      <c r="AE172" s="799">
        <f t="shared" si="73"/>
        <v>5211000</v>
      </c>
      <c r="AF172" s="799">
        <f t="shared" si="73"/>
        <v>5211000</v>
      </c>
      <c r="AG172" s="799">
        <f t="shared" si="73"/>
        <v>5211000</v>
      </c>
      <c r="AH172" s="799">
        <f t="shared" si="73"/>
        <v>5211000</v>
      </c>
      <c r="AI172" s="799">
        <f t="shared" si="73"/>
        <v>5211000</v>
      </c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</row>
    <row r="173" spans="2:57" ht="15.75" customHeight="1">
      <c r="B173" s="159"/>
      <c r="C173" s="126" t="s">
        <v>801</v>
      </c>
      <c r="D173" s="74"/>
      <c r="E173" s="74"/>
      <c r="F173" s="74"/>
      <c r="G173" s="74"/>
      <c r="H173" s="74"/>
      <c r="I173" s="74"/>
      <c r="J173" s="76"/>
      <c r="K173" s="799">
        <f>(10691657)*$D$130</f>
        <v>10691657</v>
      </c>
      <c r="L173" s="799">
        <f>K173</f>
        <v>10691657</v>
      </c>
      <c r="M173" s="799">
        <f t="shared" si="73"/>
        <v>10691657</v>
      </c>
      <c r="N173" s="799">
        <f t="shared" si="73"/>
        <v>10691657</v>
      </c>
      <c r="O173" s="799">
        <f t="shared" si="73"/>
        <v>10691657</v>
      </c>
      <c r="P173" s="799">
        <f t="shared" si="73"/>
        <v>10691657</v>
      </c>
      <c r="Q173" s="799">
        <f t="shared" si="73"/>
        <v>10691657</v>
      </c>
      <c r="R173" s="799">
        <f t="shared" si="73"/>
        <v>10691657</v>
      </c>
      <c r="S173" s="799">
        <f t="shared" si="73"/>
        <v>10691657</v>
      </c>
      <c r="T173" s="799">
        <f t="shared" si="73"/>
        <v>10691657</v>
      </c>
      <c r="U173" s="799">
        <f t="shared" si="73"/>
        <v>10691657</v>
      </c>
      <c r="V173" s="799">
        <f t="shared" si="73"/>
        <v>10691657</v>
      </c>
      <c r="W173" s="799">
        <f t="shared" si="73"/>
        <v>10691657</v>
      </c>
      <c r="X173" s="799">
        <f t="shared" si="73"/>
        <v>10691657</v>
      </c>
      <c r="Y173" s="799">
        <f t="shared" si="73"/>
        <v>10691657</v>
      </c>
      <c r="Z173" s="799">
        <f t="shared" si="73"/>
        <v>10691657</v>
      </c>
      <c r="AA173" s="799">
        <f t="shared" si="73"/>
        <v>10691657</v>
      </c>
      <c r="AB173" s="799">
        <f t="shared" si="73"/>
        <v>10691657</v>
      </c>
      <c r="AC173" s="799">
        <f t="shared" si="73"/>
        <v>10691657</v>
      </c>
      <c r="AD173" s="799">
        <f t="shared" si="73"/>
        <v>10691657</v>
      </c>
      <c r="AE173" s="799">
        <f t="shared" si="73"/>
        <v>10691657</v>
      </c>
      <c r="AF173" s="799">
        <f t="shared" si="73"/>
        <v>10691657</v>
      </c>
      <c r="AG173" s="799">
        <f t="shared" si="73"/>
        <v>10691657</v>
      </c>
      <c r="AH173" s="799">
        <f t="shared" si="73"/>
        <v>10691657</v>
      </c>
      <c r="AI173" s="799">
        <f t="shared" si="73"/>
        <v>10691657</v>
      </c>
      <c r="AJ173" s="74">
        <f t="shared" si="71"/>
        <v>267291425</v>
      </c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</row>
    <row r="174" spans="2:57" ht="15.75" customHeight="1">
      <c r="B174" s="159"/>
      <c r="C174" s="841" t="s">
        <v>857</v>
      </c>
      <c r="D174" s="74"/>
      <c r="E174" s="74"/>
      <c r="F174" s="74"/>
      <c r="G174" s="74"/>
      <c r="H174" s="74"/>
      <c r="I174" s="74"/>
      <c r="J174" s="76"/>
      <c r="K174" s="799">
        <v>733</v>
      </c>
      <c r="L174" s="799">
        <v>733</v>
      </c>
      <c r="M174" s="799">
        <v>733</v>
      </c>
      <c r="N174" s="799">
        <v>733</v>
      </c>
      <c r="O174" s="799">
        <v>733</v>
      </c>
      <c r="P174" s="799">
        <v>733</v>
      </c>
      <c r="Q174" s="799">
        <v>733</v>
      </c>
      <c r="R174" s="799">
        <v>733</v>
      </c>
      <c r="S174" s="799">
        <v>733</v>
      </c>
      <c r="T174" s="799">
        <v>733</v>
      </c>
      <c r="U174" s="799">
        <v>733</v>
      </c>
      <c r="V174" s="799">
        <v>733</v>
      </c>
      <c r="W174" s="799">
        <v>733</v>
      </c>
      <c r="X174" s="799">
        <v>733</v>
      </c>
      <c r="Y174" s="799">
        <v>733</v>
      </c>
      <c r="Z174" s="799">
        <v>733</v>
      </c>
      <c r="AA174" s="799">
        <v>733</v>
      </c>
      <c r="AB174" s="799">
        <v>733</v>
      </c>
      <c r="AC174" s="799">
        <v>733</v>
      </c>
      <c r="AD174" s="799">
        <v>733</v>
      </c>
      <c r="AE174" s="799">
        <v>733</v>
      </c>
      <c r="AF174" s="799">
        <v>733</v>
      </c>
      <c r="AG174" s="799">
        <v>733</v>
      </c>
      <c r="AH174" s="799">
        <v>733</v>
      </c>
      <c r="AI174" s="799">
        <v>733</v>
      </c>
      <c r="AJ174" s="74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</row>
    <row r="175" spans="2:57" ht="15.75" customHeight="1">
      <c r="B175" s="159"/>
      <c r="C175" s="841" t="s">
        <v>858</v>
      </c>
      <c r="D175" s="74"/>
      <c r="E175" s="74"/>
      <c r="F175" s="74"/>
      <c r="G175" s="74"/>
      <c r="H175" s="74"/>
      <c r="I175" s="74"/>
      <c r="J175" s="76"/>
      <c r="K175" s="799">
        <f>K173/K174</f>
        <v>14586.162346521145</v>
      </c>
      <c r="L175" s="799">
        <f t="shared" ref="L175:AI175" si="74">L173/L174</f>
        <v>14586.162346521145</v>
      </c>
      <c r="M175" s="799">
        <f t="shared" si="74"/>
        <v>14586.162346521145</v>
      </c>
      <c r="N175" s="799">
        <f t="shared" si="74"/>
        <v>14586.162346521145</v>
      </c>
      <c r="O175" s="799">
        <f t="shared" si="74"/>
        <v>14586.162346521145</v>
      </c>
      <c r="P175" s="799">
        <f t="shared" si="74"/>
        <v>14586.162346521145</v>
      </c>
      <c r="Q175" s="799">
        <f t="shared" si="74"/>
        <v>14586.162346521145</v>
      </c>
      <c r="R175" s="799">
        <f t="shared" si="74"/>
        <v>14586.162346521145</v>
      </c>
      <c r="S175" s="799">
        <f t="shared" si="74"/>
        <v>14586.162346521145</v>
      </c>
      <c r="T175" s="799">
        <f t="shared" si="74"/>
        <v>14586.162346521145</v>
      </c>
      <c r="U175" s="799">
        <f t="shared" si="74"/>
        <v>14586.162346521145</v>
      </c>
      <c r="V175" s="799">
        <f t="shared" si="74"/>
        <v>14586.162346521145</v>
      </c>
      <c r="W175" s="799">
        <f t="shared" si="74"/>
        <v>14586.162346521145</v>
      </c>
      <c r="X175" s="799">
        <f t="shared" si="74"/>
        <v>14586.162346521145</v>
      </c>
      <c r="Y175" s="799">
        <f t="shared" si="74"/>
        <v>14586.162346521145</v>
      </c>
      <c r="Z175" s="799">
        <f t="shared" si="74"/>
        <v>14586.162346521145</v>
      </c>
      <c r="AA175" s="799">
        <f t="shared" si="74"/>
        <v>14586.162346521145</v>
      </c>
      <c r="AB175" s="799">
        <f t="shared" si="74"/>
        <v>14586.162346521145</v>
      </c>
      <c r="AC175" s="799">
        <f t="shared" si="74"/>
        <v>14586.162346521145</v>
      </c>
      <c r="AD175" s="799">
        <f t="shared" si="74"/>
        <v>14586.162346521145</v>
      </c>
      <c r="AE175" s="799">
        <f t="shared" si="74"/>
        <v>14586.162346521145</v>
      </c>
      <c r="AF175" s="799">
        <f t="shared" si="74"/>
        <v>14586.162346521145</v>
      </c>
      <c r="AG175" s="799">
        <f t="shared" si="74"/>
        <v>14586.162346521145</v>
      </c>
      <c r="AH175" s="799">
        <f t="shared" si="74"/>
        <v>14586.162346521145</v>
      </c>
      <c r="AI175" s="799">
        <f t="shared" si="74"/>
        <v>14586.162346521145</v>
      </c>
      <c r="AJ175" s="74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</row>
    <row r="176" spans="2:57" ht="15.75" customHeight="1">
      <c r="B176" s="159"/>
      <c r="C176" s="126" t="s">
        <v>802</v>
      </c>
      <c r="D176" s="74"/>
      <c r="E176" s="74"/>
      <c r="F176" s="74"/>
      <c r="G176" s="74"/>
      <c r="H176" s="74"/>
      <c r="I176" s="74"/>
      <c r="J176" s="76"/>
      <c r="K176" s="74">
        <f>(K34+K38)*K42</f>
        <v>0</v>
      </c>
      <c r="L176" s="74">
        <f>(L34+L38)*L42</f>
        <v>0</v>
      </c>
      <c r="M176" s="74">
        <f>(M34+M38)*M42</f>
        <v>0</v>
      </c>
      <c r="N176" s="74">
        <f>(N34+N38)*N42</f>
        <v>0</v>
      </c>
      <c r="O176" s="74">
        <f t="shared" ref="O176:AI176" si="75">(O34+O38)*O42</f>
        <v>0</v>
      </c>
      <c r="P176" s="74">
        <f t="shared" si="75"/>
        <v>0</v>
      </c>
      <c r="Q176" s="74">
        <f t="shared" si="75"/>
        <v>0</v>
      </c>
      <c r="R176" s="74">
        <f t="shared" si="75"/>
        <v>0</v>
      </c>
      <c r="S176" s="74">
        <f t="shared" si="75"/>
        <v>0</v>
      </c>
      <c r="T176" s="74">
        <f t="shared" si="75"/>
        <v>0</v>
      </c>
      <c r="U176" s="74">
        <f t="shared" si="75"/>
        <v>0</v>
      </c>
      <c r="V176" s="74">
        <f t="shared" si="75"/>
        <v>0</v>
      </c>
      <c r="W176" s="74">
        <f t="shared" si="75"/>
        <v>0</v>
      </c>
      <c r="X176" s="74">
        <f t="shared" si="75"/>
        <v>0</v>
      </c>
      <c r="Y176" s="74">
        <f t="shared" si="75"/>
        <v>0</v>
      </c>
      <c r="Z176" s="74">
        <f t="shared" si="75"/>
        <v>0</v>
      </c>
      <c r="AA176" s="74">
        <f t="shared" si="75"/>
        <v>0</v>
      </c>
      <c r="AB176" s="74">
        <f t="shared" si="75"/>
        <v>0</v>
      </c>
      <c r="AC176" s="74">
        <f t="shared" si="75"/>
        <v>0</v>
      </c>
      <c r="AD176" s="74">
        <f t="shared" si="75"/>
        <v>0</v>
      </c>
      <c r="AE176" s="74">
        <f t="shared" si="75"/>
        <v>0</v>
      </c>
      <c r="AF176" s="74">
        <f t="shared" si="75"/>
        <v>0</v>
      </c>
      <c r="AG176" s="74">
        <f t="shared" si="75"/>
        <v>0</v>
      </c>
      <c r="AH176" s="74">
        <f t="shared" si="75"/>
        <v>0</v>
      </c>
      <c r="AI176" s="74">
        <f t="shared" si="75"/>
        <v>0</v>
      </c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</row>
    <row r="177" spans="2:57" ht="15.75" customHeight="1">
      <c r="B177" s="159"/>
      <c r="C177" s="800" t="s">
        <v>10</v>
      </c>
      <c r="D177" s="74"/>
      <c r="E177" s="74"/>
      <c r="F177" s="74"/>
      <c r="G177" s="74"/>
      <c r="H177" s="74"/>
      <c r="I177" s="74"/>
      <c r="J177" s="76"/>
      <c r="K177" s="74">
        <v>399566247.71455795</v>
      </c>
      <c r="L177" s="74">
        <v>399566247.71455795</v>
      </c>
      <c r="M177" s="74">
        <v>399566247.71455795</v>
      </c>
      <c r="N177" s="74">
        <v>399566247.71455795</v>
      </c>
      <c r="O177" s="74">
        <v>400598247.71455795</v>
      </c>
      <c r="P177" s="74">
        <v>2222375</v>
      </c>
      <c r="Q177" s="74">
        <v>2222375</v>
      </c>
      <c r="R177" s="74">
        <v>3254375</v>
      </c>
      <c r="S177" s="74">
        <v>4286375</v>
      </c>
      <c r="T177" s="74">
        <v>3254375</v>
      </c>
      <c r="U177" s="74">
        <v>3096000</v>
      </c>
      <c r="V177" s="74">
        <v>4128000</v>
      </c>
      <c r="W177" s="74">
        <v>3096000</v>
      </c>
      <c r="X177" s="74">
        <v>3096000</v>
      </c>
      <c r="Y177" s="74">
        <v>4128000</v>
      </c>
      <c r="Z177" s="74">
        <v>3096000</v>
      </c>
      <c r="AA177" s="74">
        <v>4128000</v>
      </c>
      <c r="AB177" s="74">
        <v>5160000</v>
      </c>
      <c r="AC177" s="74">
        <v>1032000</v>
      </c>
      <c r="AD177" s="74">
        <v>3096000</v>
      </c>
      <c r="AE177" s="74">
        <v>4128000</v>
      </c>
      <c r="AF177" s="74">
        <v>2064000</v>
      </c>
      <c r="AG177" s="74">
        <v>4128000</v>
      </c>
      <c r="AH177" s="74">
        <v>4128000</v>
      </c>
      <c r="AI177" s="74">
        <v>2064000</v>
      </c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</row>
    <row r="178" spans="2:57" ht="15.75" customHeight="1">
      <c r="B178" s="159"/>
      <c r="J178" s="97"/>
      <c r="K178" s="97"/>
      <c r="L178" s="97"/>
      <c r="M178" s="97"/>
      <c r="N178" s="97"/>
      <c r="O178" s="76"/>
    </row>
    <row r="179" spans="2:57" ht="15.75" customHeight="1">
      <c r="B179" s="159"/>
      <c r="J179" s="97"/>
      <c r="K179" s="97"/>
      <c r="L179" s="97"/>
      <c r="M179" s="97"/>
      <c r="N179" s="97"/>
      <c r="O179" s="76"/>
    </row>
    <row r="180" spans="2:57" ht="15.75" customHeight="1">
      <c r="B180" s="159"/>
      <c r="J180" s="97"/>
      <c r="K180" s="97"/>
      <c r="L180" s="97"/>
      <c r="M180" s="97"/>
      <c r="N180" s="97"/>
      <c r="O180" s="76"/>
    </row>
    <row r="181" spans="2:57" ht="15.75" customHeight="1">
      <c r="B181" s="159"/>
      <c r="J181" s="97"/>
      <c r="K181" s="97"/>
      <c r="L181" s="97"/>
      <c r="M181" s="97"/>
      <c r="N181" s="97"/>
      <c r="O181" s="76"/>
    </row>
    <row r="182" spans="2:57" ht="27" customHeight="1">
      <c r="B182" s="159"/>
      <c r="C182" s="462" t="s">
        <v>596</v>
      </c>
      <c r="J182" s="97"/>
      <c r="K182" s="97"/>
      <c r="L182" s="97"/>
      <c r="M182" s="97"/>
      <c r="N182" s="97"/>
      <c r="O182" s="97"/>
      <c r="P182" s="97"/>
    </row>
    <row r="183" spans="2:57" ht="3" customHeight="1">
      <c r="B183" s="159"/>
      <c r="C183" s="464"/>
      <c r="D183" s="89"/>
      <c r="E183" s="89"/>
      <c r="F183" s="89"/>
      <c r="G183" s="89"/>
      <c r="H183" s="89"/>
      <c r="I183" s="89"/>
      <c r="J183" s="98"/>
      <c r="K183" s="98"/>
      <c r="L183" s="98"/>
      <c r="M183" s="98"/>
      <c r="N183" s="98"/>
      <c r="O183" s="98"/>
      <c r="P183" s="98"/>
    </row>
    <row r="184" spans="2:57" ht="15.75" customHeight="1">
      <c r="B184" s="159"/>
      <c r="J184" s="97"/>
      <c r="K184" s="97"/>
      <c r="L184" s="97"/>
      <c r="M184" s="97"/>
      <c r="N184" s="97"/>
      <c r="O184" s="97"/>
      <c r="P184" s="97"/>
    </row>
    <row r="185" spans="2:57" ht="15.75" customHeight="1">
      <c r="B185" s="159"/>
      <c r="C185" s="467" t="s">
        <v>502</v>
      </c>
      <c r="D185" s="468"/>
      <c r="E185" s="468"/>
      <c r="F185" s="468"/>
      <c r="G185" s="468"/>
      <c r="H185" s="468"/>
      <c r="I185" s="468"/>
      <c r="J185" s="91"/>
      <c r="K185" s="91"/>
      <c r="L185" s="91"/>
      <c r="M185" s="91"/>
      <c r="N185" s="135"/>
      <c r="O185" s="135"/>
      <c r="P185" s="135"/>
    </row>
    <row r="186" spans="2:57" ht="15.75" customHeight="1">
      <c r="B186" s="91"/>
      <c r="C186" s="546"/>
      <c r="D186" s="106"/>
      <c r="E186" s="106"/>
      <c r="F186" s="106"/>
      <c r="G186" s="768">
        <f>H186-1</f>
        <v>-4</v>
      </c>
      <c r="H186" s="768">
        <f>I186-1</f>
        <v>-3</v>
      </c>
      <c r="I186" s="768">
        <f>J186-1</f>
        <v>-2</v>
      </c>
      <c r="J186" s="768">
        <v>-1</v>
      </c>
      <c r="K186" s="768">
        <f>J186+2</f>
        <v>1</v>
      </c>
      <c r="L186" s="768">
        <f t="shared" ref="L186:AI186" si="76">K186+1</f>
        <v>2</v>
      </c>
      <c r="M186" s="768">
        <f t="shared" si="76"/>
        <v>3</v>
      </c>
      <c r="N186" s="768">
        <f t="shared" si="76"/>
        <v>4</v>
      </c>
      <c r="O186" s="768">
        <f t="shared" si="76"/>
        <v>5</v>
      </c>
      <c r="P186" s="768">
        <f t="shared" si="76"/>
        <v>6</v>
      </c>
      <c r="Q186" s="768">
        <f t="shared" si="76"/>
        <v>7</v>
      </c>
      <c r="R186" s="768">
        <f t="shared" si="76"/>
        <v>8</v>
      </c>
      <c r="S186" s="768">
        <f t="shared" si="76"/>
        <v>9</v>
      </c>
      <c r="T186" s="768">
        <f t="shared" si="76"/>
        <v>10</v>
      </c>
      <c r="U186" s="768">
        <f t="shared" si="76"/>
        <v>11</v>
      </c>
      <c r="V186" s="768">
        <f t="shared" si="76"/>
        <v>12</v>
      </c>
      <c r="W186" s="768">
        <f t="shared" si="76"/>
        <v>13</v>
      </c>
      <c r="X186" s="768">
        <f t="shared" si="76"/>
        <v>14</v>
      </c>
      <c r="Y186" s="768">
        <f t="shared" si="76"/>
        <v>15</v>
      </c>
      <c r="Z186" s="768">
        <f t="shared" si="76"/>
        <v>16</v>
      </c>
      <c r="AA186" s="768">
        <f t="shared" si="76"/>
        <v>17</v>
      </c>
      <c r="AB186" s="768">
        <f t="shared" si="76"/>
        <v>18</v>
      </c>
      <c r="AC186" s="768">
        <f t="shared" si="76"/>
        <v>19</v>
      </c>
      <c r="AD186" s="768">
        <f t="shared" si="76"/>
        <v>20</v>
      </c>
      <c r="AE186" s="768">
        <f t="shared" si="76"/>
        <v>21</v>
      </c>
      <c r="AF186" s="768">
        <f t="shared" si="76"/>
        <v>22</v>
      </c>
      <c r="AG186" s="768">
        <f t="shared" si="76"/>
        <v>23</v>
      </c>
      <c r="AH186" s="768">
        <f t="shared" si="76"/>
        <v>24</v>
      </c>
      <c r="AI186" s="768">
        <f t="shared" si="76"/>
        <v>25</v>
      </c>
    </row>
    <row r="187" spans="2:57" ht="15.75" customHeight="1">
      <c r="B187" s="91"/>
      <c r="C187" s="548"/>
      <c r="D187" s="469"/>
      <c r="E187" s="469"/>
      <c r="F187" s="469"/>
      <c r="G187" s="469"/>
      <c r="H187" s="469"/>
      <c r="I187" s="548"/>
      <c r="J187" s="548"/>
      <c r="K187" s="769">
        <f>INT(ROUNDUP(K186/12,0))</f>
        <v>1</v>
      </c>
      <c r="L187" s="769">
        <f>INT(ROUNDUP(L186/12,0))</f>
        <v>1</v>
      </c>
      <c r="M187" s="769">
        <f t="shared" ref="M187:AI187" si="77">INT(ROUNDUP(M186/12,0))</f>
        <v>1</v>
      </c>
      <c r="N187" s="769">
        <f t="shared" si="77"/>
        <v>1</v>
      </c>
      <c r="O187" s="769">
        <f t="shared" si="77"/>
        <v>1</v>
      </c>
      <c r="P187" s="769">
        <f t="shared" si="77"/>
        <v>1</v>
      </c>
      <c r="Q187" s="769">
        <f t="shared" si="77"/>
        <v>1</v>
      </c>
      <c r="R187" s="769">
        <f t="shared" si="77"/>
        <v>1</v>
      </c>
      <c r="S187" s="769">
        <f t="shared" si="77"/>
        <v>1</v>
      </c>
      <c r="T187" s="769">
        <f t="shared" si="77"/>
        <v>1</v>
      </c>
      <c r="U187" s="769">
        <f t="shared" si="77"/>
        <v>1</v>
      </c>
      <c r="V187" s="769">
        <f t="shared" si="77"/>
        <v>1</v>
      </c>
      <c r="W187" s="769">
        <f t="shared" si="77"/>
        <v>2</v>
      </c>
      <c r="X187" s="769">
        <f t="shared" si="77"/>
        <v>2</v>
      </c>
      <c r="Y187" s="769">
        <f t="shared" si="77"/>
        <v>2</v>
      </c>
      <c r="Z187" s="769">
        <f t="shared" si="77"/>
        <v>2</v>
      </c>
      <c r="AA187" s="769">
        <f t="shared" si="77"/>
        <v>2</v>
      </c>
      <c r="AB187" s="769">
        <f t="shared" si="77"/>
        <v>2</v>
      </c>
      <c r="AC187" s="769">
        <f t="shared" si="77"/>
        <v>2</v>
      </c>
      <c r="AD187" s="769">
        <f t="shared" si="77"/>
        <v>2</v>
      </c>
      <c r="AE187" s="769">
        <f t="shared" si="77"/>
        <v>2</v>
      </c>
      <c r="AF187" s="769">
        <f t="shared" si="77"/>
        <v>2</v>
      </c>
      <c r="AG187" s="769">
        <f t="shared" si="77"/>
        <v>2</v>
      </c>
      <c r="AH187" s="769">
        <f t="shared" si="77"/>
        <v>2</v>
      </c>
      <c r="AI187" s="769">
        <f t="shared" si="77"/>
        <v>3</v>
      </c>
    </row>
    <row r="188" spans="2:57" ht="15.75" customHeight="1">
      <c r="B188" s="91"/>
      <c r="C188" s="471"/>
      <c r="D188" s="472"/>
      <c r="E188" s="506"/>
      <c r="F188" s="506"/>
      <c r="G188" s="94" t="s">
        <v>499</v>
      </c>
      <c r="H188" s="94" t="s">
        <v>499</v>
      </c>
      <c r="I188" s="94" t="s">
        <v>499</v>
      </c>
      <c r="J188" s="94" t="s">
        <v>499</v>
      </c>
      <c r="K188" s="94" t="s">
        <v>499</v>
      </c>
      <c r="L188" s="94" t="s">
        <v>499</v>
      </c>
      <c r="M188" s="94" t="s">
        <v>499</v>
      </c>
      <c r="N188" s="94" t="s">
        <v>499</v>
      </c>
      <c r="O188" s="94" t="s">
        <v>499</v>
      </c>
      <c r="P188" s="94" t="s">
        <v>499</v>
      </c>
      <c r="Q188" s="94" t="s">
        <v>499</v>
      </c>
      <c r="R188" s="94" t="s">
        <v>499</v>
      </c>
      <c r="S188" s="94" t="s">
        <v>499</v>
      </c>
      <c r="T188" s="94" t="s">
        <v>499</v>
      </c>
      <c r="U188" s="94" t="s">
        <v>499</v>
      </c>
      <c r="V188" s="94" t="s">
        <v>499</v>
      </c>
      <c r="W188" s="94" t="s">
        <v>499</v>
      </c>
      <c r="X188" s="94" t="s">
        <v>499</v>
      </c>
      <c r="Y188" s="94" t="s">
        <v>499</v>
      </c>
      <c r="Z188" s="94" t="s">
        <v>499</v>
      </c>
      <c r="AA188" s="94" t="s">
        <v>499</v>
      </c>
      <c r="AB188" s="94" t="s">
        <v>499</v>
      </c>
      <c r="AC188" s="94" t="s">
        <v>499</v>
      </c>
      <c r="AD188" s="94" t="s">
        <v>499</v>
      </c>
      <c r="AE188" s="94" t="s">
        <v>499</v>
      </c>
      <c r="AF188" s="94" t="s">
        <v>499</v>
      </c>
      <c r="AG188" s="94" t="s">
        <v>499</v>
      </c>
      <c r="AH188" s="94" t="s">
        <v>499</v>
      </c>
      <c r="AI188" s="94" t="s">
        <v>499</v>
      </c>
    </row>
    <row r="189" spans="2:57" ht="15.75" customHeight="1">
      <c r="B189" s="159"/>
      <c r="C189" s="76"/>
      <c r="D189" s="76"/>
      <c r="E189" s="76"/>
      <c r="F189" s="76"/>
      <c r="G189" s="76"/>
      <c r="H189" s="76"/>
      <c r="I189" s="76"/>
      <c r="M189" s="76"/>
      <c r="N189" s="76"/>
      <c r="O189" s="76"/>
    </row>
    <row r="190" spans="2:57" ht="15.75" customHeight="1">
      <c r="B190" s="159"/>
      <c r="C190" s="162" t="s">
        <v>648</v>
      </c>
      <c r="D190" s="76"/>
      <c r="E190" s="76"/>
      <c r="F190" s="76"/>
      <c r="G190" s="76"/>
      <c r="H190" s="76"/>
      <c r="I190" s="76"/>
      <c r="K190" s="475">
        <f t="shared" ref="K190:AI190" si="78">SUM(K191:K195)</f>
        <v>405.83018447043042</v>
      </c>
      <c r="L190" s="475">
        <f t="shared" si="78"/>
        <v>404.29159265523049</v>
      </c>
      <c r="M190" s="475">
        <f t="shared" si="78"/>
        <v>405.19898891264972</v>
      </c>
      <c r="N190" s="475">
        <f t="shared" si="78"/>
        <v>405.66567686498723</v>
      </c>
      <c r="O190" s="475">
        <f t="shared" si="78"/>
        <v>429.38183048438674</v>
      </c>
      <c r="P190" s="475">
        <f t="shared" si="78"/>
        <v>428.91759054919521</v>
      </c>
      <c r="Q190" s="475">
        <f t="shared" si="78"/>
        <v>429.38183048438674</v>
      </c>
      <c r="R190" s="475">
        <f t="shared" si="78"/>
        <v>429.38183048438674</v>
      </c>
      <c r="S190" s="475">
        <f t="shared" si="78"/>
        <v>429.03490825678341</v>
      </c>
      <c r="T190" s="475">
        <f t="shared" si="78"/>
        <v>431.10729483830931</v>
      </c>
      <c r="U190" s="475">
        <f t="shared" si="78"/>
        <v>430.58667618394463</v>
      </c>
      <c r="V190" s="475">
        <f t="shared" si="78"/>
        <v>430.09776640771759</v>
      </c>
      <c r="W190" s="475">
        <f t="shared" si="78"/>
        <v>430.58667618394469</v>
      </c>
      <c r="X190" s="475">
        <f t="shared" si="78"/>
        <v>430.58667618394469</v>
      </c>
      <c r="Y190" s="475">
        <f t="shared" si="78"/>
        <v>430.09776640771759</v>
      </c>
      <c r="Z190" s="475">
        <f t="shared" si="78"/>
        <v>430.58667618394469</v>
      </c>
      <c r="AA190" s="475">
        <f t="shared" si="78"/>
        <v>430.58667618394469</v>
      </c>
      <c r="AB190" s="475">
        <f t="shared" si="78"/>
        <v>430.09776640771759</v>
      </c>
      <c r="AC190" s="475">
        <f t="shared" si="78"/>
        <v>430.58667618394463</v>
      </c>
      <c r="AD190" s="475">
        <f t="shared" si="78"/>
        <v>431.69211662255594</v>
      </c>
      <c r="AE190" s="475">
        <f t="shared" si="78"/>
        <v>432.17550932046743</v>
      </c>
      <c r="AF190" s="475">
        <f t="shared" si="78"/>
        <v>432.28054336990601</v>
      </c>
      <c r="AG190" s="475">
        <f t="shared" si="78"/>
        <v>432.28054336990601</v>
      </c>
      <c r="AH190" s="475">
        <f t="shared" si="78"/>
        <v>431.75695078389805</v>
      </c>
      <c r="AI190" s="475">
        <f t="shared" si="78"/>
        <v>432.28054336990607</v>
      </c>
    </row>
    <row r="191" spans="2:57" ht="15.75" customHeight="1">
      <c r="B191" s="159"/>
      <c r="C191" s="544" t="s">
        <v>598</v>
      </c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100"/>
      <c r="O191" s="100"/>
      <c r="P191" s="100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</row>
    <row r="192" spans="2:57" ht="15.75" customHeight="1">
      <c r="B192" s="159"/>
      <c r="C192" s="678" t="s">
        <v>803</v>
      </c>
      <c r="D192" s="76"/>
      <c r="E192" s="76"/>
      <c r="F192" s="76"/>
      <c r="G192" s="74"/>
      <c r="H192" s="74"/>
      <c r="I192" s="74"/>
      <c r="J192" s="74"/>
      <c r="K192" s="74">
        <f t="shared" ref="K192:AI192" si="79">K138/K15</f>
        <v>50</v>
      </c>
      <c r="L192" s="74">
        <f t="shared" si="79"/>
        <v>50</v>
      </c>
      <c r="M192" s="74">
        <f t="shared" si="79"/>
        <v>50</v>
      </c>
      <c r="N192" s="74">
        <f t="shared" si="79"/>
        <v>50</v>
      </c>
      <c r="O192" s="74">
        <f t="shared" si="79"/>
        <v>50</v>
      </c>
      <c r="P192" s="74">
        <f t="shared" si="79"/>
        <v>50</v>
      </c>
      <c r="Q192" s="74">
        <f t="shared" si="79"/>
        <v>50</v>
      </c>
      <c r="R192" s="74">
        <f t="shared" si="79"/>
        <v>50</v>
      </c>
      <c r="S192" s="74">
        <f t="shared" si="79"/>
        <v>50</v>
      </c>
      <c r="T192" s="74">
        <f t="shared" si="79"/>
        <v>50</v>
      </c>
      <c r="U192" s="74">
        <f t="shared" si="79"/>
        <v>50</v>
      </c>
      <c r="V192" s="74">
        <f t="shared" si="79"/>
        <v>50</v>
      </c>
      <c r="W192" s="74">
        <f t="shared" si="79"/>
        <v>50</v>
      </c>
      <c r="X192" s="74">
        <f t="shared" si="79"/>
        <v>50</v>
      </c>
      <c r="Y192" s="74">
        <f t="shared" si="79"/>
        <v>50</v>
      </c>
      <c r="Z192" s="74">
        <f t="shared" si="79"/>
        <v>50</v>
      </c>
      <c r="AA192" s="74">
        <f t="shared" si="79"/>
        <v>50</v>
      </c>
      <c r="AB192" s="74">
        <f t="shared" si="79"/>
        <v>50</v>
      </c>
      <c r="AC192" s="74">
        <f t="shared" si="79"/>
        <v>50</v>
      </c>
      <c r="AD192" s="74">
        <f t="shared" si="79"/>
        <v>50</v>
      </c>
      <c r="AE192" s="74">
        <f t="shared" si="79"/>
        <v>50</v>
      </c>
      <c r="AF192" s="74">
        <f t="shared" si="79"/>
        <v>50</v>
      </c>
      <c r="AG192" s="74">
        <f t="shared" si="79"/>
        <v>50</v>
      </c>
      <c r="AH192" s="74">
        <f t="shared" si="79"/>
        <v>50</v>
      </c>
      <c r="AI192" s="74">
        <f t="shared" si="79"/>
        <v>50</v>
      </c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</row>
    <row r="193" spans="2:57" ht="15.75" customHeight="1">
      <c r="B193" s="159"/>
      <c r="C193" s="678" t="s">
        <v>804</v>
      </c>
      <c r="D193" s="76"/>
      <c r="E193" s="76"/>
      <c r="F193" s="76"/>
      <c r="G193" s="74"/>
      <c r="H193" s="74"/>
      <c r="I193" s="74"/>
      <c r="J193" s="74"/>
      <c r="K193" s="74">
        <f t="shared" ref="K193:AI193" si="80">K140/K15</f>
        <v>160</v>
      </c>
      <c r="L193" s="74">
        <f t="shared" si="80"/>
        <v>160</v>
      </c>
      <c r="M193" s="74">
        <f t="shared" si="80"/>
        <v>160</v>
      </c>
      <c r="N193" s="74">
        <f t="shared" si="80"/>
        <v>160</v>
      </c>
      <c r="O193" s="74">
        <f t="shared" si="80"/>
        <v>160</v>
      </c>
      <c r="P193" s="74">
        <f t="shared" si="80"/>
        <v>160</v>
      </c>
      <c r="Q193" s="74">
        <f t="shared" si="80"/>
        <v>160</v>
      </c>
      <c r="R193" s="74">
        <f t="shared" si="80"/>
        <v>160</v>
      </c>
      <c r="S193" s="74">
        <f t="shared" si="80"/>
        <v>160</v>
      </c>
      <c r="T193" s="74">
        <f t="shared" si="80"/>
        <v>160</v>
      </c>
      <c r="U193" s="74">
        <f t="shared" si="80"/>
        <v>160</v>
      </c>
      <c r="V193" s="74">
        <f t="shared" si="80"/>
        <v>160</v>
      </c>
      <c r="W193" s="74">
        <f t="shared" si="80"/>
        <v>160</v>
      </c>
      <c r="X193" s="74">
        <f t="shared" si="80"/>
        <v>160</v>
      </c>
      <c r="Y193" s="74">
        <f t="shared" si="80"/>
        <v>160</v>
      </c>
      <c r="Z193" s="74">
        <f t="shared" si="80"/>
        <v>160</v>
      </c>
      <c r="AA193" s="74">
        <f t="shared" si="80"/>
        <v>160</v>
      </c>
      <c r="AB193" s="74">
        <f t="shared" si="80"/>
        <v>160</v>
      </c>
      <c r="AC193" s="74">
        <f t="shared" si="80"/>
        <v>160</v>
      </c>
      <c r="AD193" s="74">
        <f t="shared" si="80"/>
        <v>160</v>
      </c>
      <c r="AE193" s="74">
        <f t="shared" si="80"/>
        <v>160</v>
      </c>
      <c r="AF193" s="74">
        <f t="shared" si="80"/>
        <v>160</v>
      </c>
      <c r="AG193" s="74">
        <f t="shared" si="80"/>
        <v>160</v>
      </c>
      <c r="AH193" s="74">
        <f t="shared" si="80"/>
        <v>160</v>
      </c>
      <c r="AI193" s="74">
        <f t="shared" si="80"/>
        <v>160</v>
      </c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</row>
    <row r="194" spans="2:57" ht="15.75" customHeight="1">
      <c r="B194" s="159"/>
      <c r="C194" s="164" t="s">
        <v>805</v>
      </c>
      <c r="D194" s="76"/>
      <c r="E194" s="76"/>
      <c r="F194" s="76"/>
      <c r="G194" s="74"/>
      <c r="H194" s="74"/>
      <c r="I194" s="74"/>
      <c r="J194" s="74"/>
      <c r="K194" s="74">
        <f t="shared" ref="K194:AI194" si="81">K142/K15</f>
        <v>100</v>
      </c>
      <c r="L194" s="74">
        <f t="shared" si="81"/>
        <v>100</v>
      </c>
      <c r="M194" s="74">
        <f t="shared" si="81"/>
        <v>100</v>
      </c>
      <c r="N194" s="74">
        <f t="shared" si="81"/>
        <v>100</v>
      </c>
      <c r="O194" s="74">
        <f t="shared" si="81"/>
        <v>100</v>
      </c>
      <c r="P194" s="74">
        <f t="shared" si="81"/>
        <v>100</v>
      </c>
      <c r="Q194" s="74">
        <f t="shared" si="81"/>
        <v>100</v>
      </c>
      <c r="R194" s="74">
        <f t="shared" si="81"/>
        <v>100</v>
      </c>
      <c r="S194" s="74">
        <f t="shared" si="81"/>
        <v>100</v>
      </c>
      <c r="T194" s="74">
        <f t="shared" si="81"/>
        <v>100</v>
      </c>
      <c r="U194" s="74">
        <f t="shared" si="81"/>
        <v>100</v>
      </c>
      <c r="V194" s="74">
        <f t="shared" si="81"/>
        <v>100</v>
      </c>
      <c r="W194" s="74">
        <f t="shared" si="81"/>
        <v>100</v>
      </c>
      <c r="X194" s="74">
        <f t="shared" si="81"/>
        <v>100</v>
      </c>
      <c r="Y194" s="74">
        <f t="shared" si="81"/>
        <v>100</v>
      </c>
      <c r="Z194" s="74">
        <f t="shared" si="81"/>
        <v>100</v>
      </c>
      <c r="AA194" s="74">
        <f t="shared" si="81"/>
        <v>100</v>
      </c>
      <c r="AB194" s="74">
        <f t="shared" si="81"/>
        <v>100</v>
      </c>
      <c r="AC194" s="74">
        <f t="shared" si="81"/>
        <v>100</v>
      </c>
      <c r="AD194" s="74">
        <f t="shared" si="81"/>
        <v>100</v>
      </c>
      <c r="AE194" s="74">
        <f t="shared" si="81"/>
        <v>100</v>
      </c>
      <c r="AF194" s="74">
        <f t="shared" si="81"/>
        <v>100</v>
      </c>
      <c r="AG194" s="74">
        <f t="shared" si="81"/>
        <v>100</v>
      </c>
      <c r="AH194" s="74">
        <f t="shared" si="81"/>
        <v>100</v>
      </c>
      <c r="AI194" s="74">
        <f t="shared" si="81"/>
        <v>100</v>
      </c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</row>
    <row r="195" spans="2:57" ht="15.75" customHeight="1">
      <c r="B195" s="159"/>
      <c r="C195" s="164" t="s">
        <v>599</v>
      </c>
      <c r="D195" s="76"/>
      <c r="E195" s="76"/>
      <c r="F195" s="76"/>
      <c r="G195" s="74"/>
      <c r="H195" s="74"/>
      <c r="I195" s="74"/>
      <c r="J195" s="74"/>
      <c r="K195" s="74">
        <f t="shared" ref="K195:AI195" si="82">K158/K15</f>
        <v>95.830184470430424</v>
      </c>
      <c r="L195" s="74">
        <f t="shared" si="82"/>
        <v>94.291592655230502</v>
      </c>
      <c r="M195" s="74">
        <f t="shared" si="82"/>
        <v>95.198988912649696</v>
      </c>
      <c r="N195" s="74">
        <f t="shared" si="82"/>
        <v>95.665676864987219</v>
      </c>
      <c r="O195" s="74">
        <f t="shared" si="82"/>
        <v>119.38183048438673</v>
      </c>
      <c r="P195" s="74">
        <f t="shared" si="82"/>
        <v>118.91759054919522</v>
      </c>
      <c r="Q195" s="74">
        <f t="shared" si="82"/>
        <v>119.38183048438673</v>
      </c>
      <c r="R195" s="74">
        <f t="shared" si="82"/>
        <v>119.38183048438673</v>
      </c>
      <c r="S195" s="74">
        <f t="shared" si="82"/>
        <v>119.0349082567834</v>
      </c>
      <c r="T195" s="74">
        <f t="shared" si="82"/>
        <v>121.10729483830933</v>
      </c>
      <c r="U195" s="74">
        <f t="shared" si="82"/>
        <v>120.58667618394466</v>
      </c>
      <c r="V195" s="74">
        <f t="shared" si="82"/>
        <v>120.0977664077176</v>
      </c>
      <c r="W195" s="74">
        <f t="shared" si="82"/>
        <v>120.58667618394468</v>
      </c>
      <c r="X195" s="74">
        <f t="shared" si="82"/>
        <v>120.58667618394468</v>
      </c>
      <c r="Y195" s="74">
        <f t="shared" si="82"/>
        <v>120.09776640771757</v>
      </c>
      <c r="Z195" s="74">
        <f t="shared" si="82"/>
        <v>120.58667618394468</v>
      </c>
      <c r="AA195" s="74">
        <f t="shared" si="82"/>
        <v>120.58667618394468</v>
      </c>
      <c r="AB195" s="74">
        <f t="shared" si="82"/>
        <v>120.0977664077176</v>
      </c>
      <c r="AC195" s="74">
        <f t="shared" si="82"/>
        <v>120.58667618394466</v>
      </c>
      <c r="AD195" s="74">
        <f t="shared" si="82"/>
        <v>121.69211662255593</v>
      </c>
      <c r="AE195" s="74">
        <f t="shared" si="82"/>
        <v>122.17550932046743</v>
      </c>
      <c r="AF195" s="74">
        <f t="shared" si="82"/>
        <v>122.28054336990603</v>
      </c>
      <c r="AG195" s="74">
        <f t="shared" si="82"/>
        <v>122.280543369906</v>
      </c>
      <c r="AH195" s="74">
        <f t="shared" si="82"/>
        <v>121.75695078389803</v>
      </c>
      <c r="AI195" s="74">
        <f t="shared" si="82"/>
        <v>122.28054336990606</v>
      </c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</row>
    <row r="196" spans="2:57" ht="15.75" customHeight="1">
      <c r="B196" s="159"/>
      <c r="C196" s="162" t="s">
        <v>0</v>
      </c>
      <c r="D196" s="76"/>
      <c r="E196" s="76"/>
      <c r="F196" s="76"/>
      <c r="G196" s="76"/>
      <c r="H196" s="76"/>
      <c r="I196" s="76"/>
      <c r="J196" s="76"/>
      <c r="K196" s="475">
        <f t="shared" ref="K196:AI196" si="83">SUM(K197:K202)</f>
        <v>4101.8951409724477</v>
      </c>
      <c r="L196" s="475">
        <f t="shared" si="83"/>
        <v>3871.8158676741223</v>
      </c>
      <c r="M196" s="475">
        <f t="shared" si="83"/>
        <v>4119.8161107398664</v>
      </c>
      <c r="N196" s="475">
        <f t="shared" si="83"/>
        <v>4206.450159341045</v>
      </c>
      <c r="O196" s="475">
        <f t="shared" si="83"/>
        <v>4173.8233284987491</v>
      </c>
      <c r="P196" s="475">
        <f t="shared" si="83"/>
        <v>4124.7338302010321</v>
      </c>
      <c r="Q196" s="475">
        <f t="shared" si="83"/>
        <v>4184.7388126555961</v>
      </c>
      <c r="R196" s="475">
        <f t="shared" si="83"/>
        <v>4198.8646385559578</v>
      </c>
      <c r="S196" s="475">
        <f t="shared" si="83"/>
        <v>4158.5642254042868</v>
      </c>
      <c r="T196" s="475">
        <f t="shared" si="83"/>
        <v>4497.3721990106069</v>
      </c>
      <c r="U196" s="475">
        <f t="shared" si="83"/>
        <v>4411.6485571693911</v>
      </c>
      <c r="V196" s="475">
        <f t="shared" si="83"/>
        <v>4346.1875868652951</v>
      </c>
      <c r="W196" s="475">
        <f t="shared" si="83"/>
        <v>4411.6485571693947</v>
      </c>
      <c r="X196" s="475">
        <f t="shared" si="83"/>
        <v>4323.5503949015347</v>
      </c>
      <c r="Y196" s="475">
        <f t="shared" si="83"/>
        <v>4256.4165530430364</v>
      </c>
      <c r="Z196" s="475">
        <f t="shared" si="83"/>
        <v>4310.8287807228689</v>
      </c>
      <c r="AA196" s="475">
        <f t="shared" si="83"/>
        <v>4310.8287807228689</v>
      </c>
      <c r="AB196" s="475">
        <f t="shared" si="83"/>
        <v>4256.4165530430446</v>
      </c>
      <c r="AC196" s="475">
        <f t="shared" si="83"/>
        <v>4310.8287807228662</v>
      </c>
      <c r="AD196" s="475">
        <f t="shared" si="83"/>
        <v>4542.3917845706783</v>
      </c>
      <c r="AE196" s="475">
        <f t="shared" si="83"/>
        <v>4732.5342830638483</v>
      </c>
      <c r="AF196" s="475">
        <f t="shared" si="83"/>
        <v>4737.9387265183232</v>
      </c>
      <c r="AG196" s="475">
        <f t="shared" si="83"/>
        <v>4737.9387265183213</v>
      </c>
      <c r="AH196" s="475">
        <f t="shared" si="83"/>
        <v>4662.6413974007783</v>
      </c>
      <c r="AI196" s="475">
        <f t="shared" si="83"/>
        <v>4737.9387265183304</v>
      </c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</row>
    <row r="197" spans="2:57" ht="15.75" customHeight="1">
      <c r="B197" s="159"/>
      <c r="C197" s="544" t="str">
        <f>C135</f>
        <v>Total Contract Mining Costs, $</v>
      </c>
      <c r="D197" s="76"/>
      <c r="E197" s="76"/>
      <c r="F197" s="76"/>
      <c r="G197" s="799"/>
      <c r="H197" s="799"/>
      <c r="I197" s="799"/>
      <c r="J197" s="799"/>
      <c r="K197" s="799">
        <f t="shared" ref="K197:AI197" si="84">K135/K13</f>
        <v>446.7308021081584</v>
      </c>
      <c r="L197" s="799">
        <f t="shared" si="84"/>
        <v>481.24913888833481</v>
      </c>
      <c r="M197" s="799">
        <f t="shared" si="84"/>
        <v>486.57179403542273</v>
      </c>
      <c r="N197" s="799">
        <f t="shared" si="84"/>
        <v>532.41357818987831</v>
      </c>
      <c r="O197" s="799">
        <f t="shared" si="84"/>
        <v>527.75204589749035</v>
      </c>
      <c r="P197" s="799">
        <f t="shared" si="84"/>
        <v>478.66254759977352</v>
      </c>
      <c r="Q197" s="799">
        <f t="shared" si="84"/>
        <v>538.66753005433679</v>
      </c>
      <c r="R197" s="799">
        <f t="shared" si="84"/>
        <v>552.79335595469672</v>
      </c>
      <c r="S197" s="799">
        <f t="shared" si="84"/>
        <v>495.7681254237794</v>
      </c>
      <c r="T197" s="799">
        <f t="shared" si="84"/>
        <v>610.3552594702935</v>
      </c>
      <c r="U197" s="799">
        <f t="shared" si="84"/>
        <v>597.33135402493315</v>
      </c>
      <c r="V197" s="799">
        <f t="shared" si="84"/>
        <v>531.87038372083168</v>
      </c>
      <c r="W197" s="799">
        <f t="shared" si="84"/>
        <v>597.3313540249336</v>
      </c>
      <c r="X197" s="799">
        <f t="shared" si="84"/>
        <v>509.23319175707428</v>
      </c>
      <c r="Y197" s="799">
        <f t="shared" si="84"/>
        <v>442.09934989857913</v>
      </c>
      <c r="Z197" s="799">
        <f t="shared" si="84"/>
        <v>496.51157757840525</v>
      </c>
      <c r="AA197" s="799">
        <f t="shared" si="84"/>
        <v>496.51157757840525</v>
      </c>
      <c r="AB197" s="799">
        <f t="shared" si="84"/>
        <v>442.0993498985801</v>
      </c>
      <c r="AC197" s="799">
        <f t="shared" si="84"/>
        <v>496.51157757840491</v>
      </c>
      <c r="AD197" s="799">
        <f t="shared" si="84"/>
        <v>573.70971605958243</v>
      </c>
      <c r="AE197" s="799">
        <f t="shared" si="84"/>
        <v>622.01396198288023</v>
      </c>
      <c r="AF197" s="799">
        <f t="shared" si="84"/>
        <v>687.08812819757657</v>
      </c>
      <c r="AG197" s="799">
        <f t="shared" si="84"/>
        <v>687.08812819757611</v>
      </c>
      <c r="AH197" s="799">
        <f t="shared" si="84"/>
        <v>611.79079908003337</v>
      </c>
      <c r="AI197" s="799">
        <f t="shared" si="84"/>
        <v>687.08812819757759</v>
      </c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</row>
    <row r="198" spans="2:57" ht="15.75" customHeight="1">
      <c r="B198" s="159"/>
      <c r="C198" s="678" t="s">
        <v>783</v>
      </c>
      <c r="D198" s="76"/>
      <c r="E198" s="76"/>
      <c r="F198" s="76"/>
      <c r="G198" s="76"/>
      <c r="H198" s="76"/>
      <c r="I198" s="76"/>
      <c r="J198" s="76"/>
      <c r="K198" s="74">
        <f t="shared" ref="K198:AI198" si="85">K150/K15</f>
        <v>1022.1085471244691</v>
      </c>
      <c r="L198" s="74">
        <f t="shared" si="85"/>
        <v>936.93264756561985</v>
      </c>
      <c r="M198" s="74">
        <f t="shared" si="85"/>
        <v>1015.0523321977324</v>
      </c>
      <c r="N198" s="74">
        <f t="shared" si="85"/>
        <v>1028.1836594922659</v>
      </c>
      <c r="O198" s="74">
        <f t="shared" si="85"/>
        <v>1019.1814260264629</v>
      </c>
      <c r="P198" s="74">
        <f t="shared" si="85"/>
        <v>1019.1814260264626</v>
      </c>
      <c r="Q198" s="74">
        <f t="shared" si="85"/>
        <v>1019.1814260264629</v>
      </c>
      <c r="R198" s="74">
        <f t="shared" si="85"/>
        <v>1019.1814260264632</v>
      </c>
      <c r="S198" s="74">
        <f t="shared" si="85"/>
        <v>1024.565266662107</v>
      </c>
      <c r="T198" s="74">
        <f t="shared" si="85"/>
        <v>1096.7435894507394</v>
      </c>
      <c r="U198" s="74">
        <f t="shared" si="85"/>
        <v>1073.3410143353747</v>
      </c>
      <c r="V198" s="74">
        <f t="shared" si="85"/>
        <v>1073.3410143353763</v>
      </c>
      <c r="W198" s="74">
        <f t="shared" si="85"/>
        <v>1073.3410143353753</v>
      </c>
      <c r="X198" s="74">
        <f t="shared" si="85"/>
        <v>1073.3410143353753</v>
      </c>
      <c r="Y198" s="74">
        <f t="shared" si="85"/>
        <v>1073.3410143353742</v>
      </c>
      <c r="Z198" s="74">
        <f t="shared" si="85"/>
        <v>1073.3410143353763</v>
      </c>
      <c r="AA198" s="74">
        <f t="shared" si="85"/>
        <v>1073.3410143353763</v>
      </c>
      <c r="AB198" s="74">
        <f t="shared" si="85"/>
        <v>1073.3410143353765</v>
      </c>
      <c r="AC198" s="74">
        <f t="shared" si="85"/>
        <v>1073.3410143353756</v>
      </c>
      <c r="AD198" s="74">
        <f t="shared" si="85"/>
        <v>1123.0321897922622</v>
      </c>
      <c r="AE198" s="74">
        <f t="shared" si="85"/>
        <v>1168.6909572728523</v>
      </c>
      <c r="AF198" s="74">
        <f t="shared" si="85"/>
        <v>1149.4828385335293</v>
      </c>
      <c r="AG198" s="74">
        <f t="shared" si="85"/>
        <v>1149.4828385335286</v>
      </c>
      <c r="AH198" s="74">
        <f t="shared" si="85"/>
        <v>1149.4828385335284</v>
      </c>
      <c r="AI198" s="74">
        <f t="shared" si="85"/>
        <v>1149.4828385335309</v>
      </c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</row>
    <row r="199" spans="2:57" ht="15.75" customHeight="1">
      <c r="B199" s="159"/>
      <c r="C199" s="678" t="s">
        <v>8</v>
      </c>
      <c r="D199" s="76"/>
      <c r="E199" s="76"/>
      <c r="F199" s="76"/>
      <c r="G199" s="76"/>
      <c r="H199" s="76"/>
      <c r="I199" s="76"/>
      <c r="J199" s="76"/>
      <c r="K199" s="74">
        <f t="shared" ref="K199:AI199" si="86">K146/K76*(K71+K73)/K15</f>
        <v>1163.6551540279336</v>
      </c>
      <c r="L199" s="74">
        <f t="shared" si="86"/>
        <v>1066.6836779557837</v>
      </c>
      <c r="M199" s="74">
        <f t="shared" si="86"/>
        <v>1155.6217598346004</v>
      </c>
      <c r="N199" s="74">
        <f t="shared" si="86"/>
        <v>1170.5715777658761</v>
      </c>
      <c r="O199" s="74">
        <f t="shared" si="86"/>
        <v>1160.3226708374334</v>
      </c>
      <c r="P199" s="74">
        <f t="shared" si="86"/>
        <v>1160.3226708374332</v>
      </c>
      <c r="Q199" s="74">
        <f t="shared" si="86"/>
        <v>1160.3226708374334</v>
      </c>
      <c r="R199" s="74">
        <f t="shared" si="86"/>
        <v>1160.3226708374339</v>
      </c>
      <c r="S199" s="74">
        <f t="shared" si="86"/>
        <v>1166.452092141812</v>
      </c>
      <c r="T199" s="74">
        <f t="shared" si="86"/>
        <v>1248.6260232358998</v>
      </c>
      <c r="U199" s="74">
        <f t="shared" si="86"/>
        <v>1221.98254468645</v>
      </c>
      <c r="V199" s="74">
        <f t="shared" si="86"/>
        <v>1221.9825446864518</v>
      </c>
      <c r="W199" s="74">
        <f t="shared" si="86"/>
        <v>1221.9825446864506</v>
      </c>
      <c r="X199" s="74">
        <f t="shared" si="86"/>
        <v>1221.9825446864506</v>
      </c>
      <c r="Y199" s="74">
        <f t="shared" si="86"/>
        <v>1221.9825446864493</v>
      </c>
      <c r="Z199" s="74">
        <f t="shared" si="86"/>
        <v>1221.9825446864518</v>
      </c>
      <c r="AA199" s="74">
        <f t="shared" si="86"/>
        <v>1221.9825446864518</v>
      </c>
      <c r="AB199" s="74">
        <f t="shared" si="86"/>
        <v>1221.982544686452</v>
      </c>
      <c r="AC199" s="74">
        <f t="shared" si="86"/>
        <v>1221.9825446864511</v>
      </c>
      <c r="AD199" s="74">
        <f t="shared" si="86"/>
        <v>1278.5551979460181</v>
      </c>
      <c r="AE199" s="74">
        <f t="shared" si="86"/>
        <v>1330.5370155864505</v>
      </c>
      <c r="AF199" s="74">
        <f t="shared" si="86"/>
        <v>1308.6688623134189</v>
      </c>
      <c r="AG199" s="74">
        <f t="shared" si="86"/>
        <v>1308.668862313418</v>
      </c>
      <c r="AH199" s="74">
        <f t="shared" si="86"/>
        <v>1308.6688623134175</v>
      </c>
      <c r="AI199" s="74">
        <f t="shared" si="86"/>
        <v>1308.6688623134207</v>
      </c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</row>
    <row r="200" spans="2:57" ht="15.75" customHeight="1">
      <c r="B200" s="159"/>
      <c r="C200" s="678" t="s">
        <v>806</v>
      </c>
      <c r="D200" s="76"/>
      <c r="E200" s="76"/>
      <c r="F200" s="76"/>
      <c r="G200" s="76"/>
      <c r="H200" s="76"/>
      <c r="I200" s="76"/>
      <c r="J200" s="76"/>
      <c r="K200" s="74">
        <f t="shared" ref="K200:AI200" si="87">K152/K15</f>
        <v>857.34538989523355</v>
      </c>
      <c r="L200" s="74">
        <f t="shared" si="87"/>
        <v>785.89978363119951</v>
      </c>
      <c r="M200" s="74">
        <f t="shared" si="87"/>
        <v>851.42663170211699</v>
      </c>
      <c r="N200" s="74">
        <f t="shared" si="87"/>
        <v>862.44119855105509</v>
      </c>
      <c r="O200" s="74">
        <f t="shared" si="87"/>
        <v>854.8901185973848</v>
      </c>
      <c r="P200" s="74">
        <f t="shared" si="87"/>
        <v>854.89011859738457</v>
      </c>
      <c r="Q200" s="74">
        <f t="shared" si="87"/>
        <v>854.8901185973848</v>
      </c>
      <c r="R200" s="74">
        <f t="shared" si="87"/>
        <v>854.89011859738514</v>
      </c>
      <c r="S200" s="74">
        <f t="shared" si="87"/>
        <v>859.40608802341683</v>
      </c>
      <c r="T200" s="74">
        <f t="shared" si="87"/>
        <v>919.94931747521809</v>
      </c>
      <c r="U200" s="74">
        <f t="shared" si="87"/>
        <v>900.31922051214917</v>
      </c>
      <c r="V200" s="74">
        <f t="shared" si="87"/>
        <v>900.31922051215054</v>
      </c>
      <c r="W200" s="74">
        <f t="shared" si="87"/>
        <v>900.31922051214974</v>
      </c>
      <c r="X200" s="74">
        <f t="shared" si="87"/>
        <v>900.31922051214974</v>
      </c>
      <c r="Y200" s="74">
        <f t="shared" si="87"/>
        <v>900.31922051214883</v>
      </c>
      <c r="Z200" s="74">
        <f t="shared" si="87"/>
        <v>900.31922051215054</v>
      </c>
      <c r="AA200" s="74">
        <f t="shared" si="87"/>
        <v>900.31922051215054</v>
      </c>
      <c r="AB200" s="74">
        <f t="shared" si="87"/>
        <v>900.31922051215076</v>
      </c>
      <c r="AC200" s="74">
        <f t="shared" si="87"/>
        <v>900.31922051214997</v>
      </c>
      <c r="AD200" s="74">
        <f t="shared" si="87"/>
        <v>942.00021448905375</v>
      </c>
      <c r="AE200" s="74">
        <f t="shared" si="87"/>
        <v>980.29882173376484</v>
      </c>
      <c r="AF200" s="74">
        <f t="shared" si="87"/>
        <v>964.18703781800684</v>
      </c>
      <c r="AG200" s="74">
        <f t="shared" si="87"/>
        <v>964.18703781800627</v>
      </c>
      <c r="AH200" s="74">
        <f t="shared" si="87"/>
        <v>964.18703781800605</v>
      </c>
      <c r="AI200" s="74">
        <f t="shared" si="87"/>
        <v>964.18703781800832</v>
      </c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</row>
    <row r="201" spans="2:57" ht="15.75" customHeight="1">
      <c r="B201" s="159"/>
      <c r="C201" s="678" t="s">
        <v>807</v>
      </c>
      <c r="D201" s="76"/>
      <c r="E201" s="76"/>
      <c r="F201" s="76"/>
      <c r="G201" s="76"/>
      <c r="H201" s="76"/>
      <c r="I201" s="76"/>
      <c r="J201" s="76"/>
      <c r="K201" s="74">
        <f t="shared" ref="K201:AI201" si="88">K154/K15</f>
        <v>132.05524781665315</v>
      </c>
      <c r="L201" s="74">
        <f t="shared" si="88"/>
        <v>121.05061963318445</v>
      </c>
      <c r="M201" s="74">
        <f t="shared" si="88"/>
        <v>131.14359296999399</v>
      </c>
      <c r="N201" s="74">
        <f t="shared" si="88"/>
        <v>132.84014534197021</v>
      </c>
      <c r="O201" s="74">
        <f t="shared" si="88"/>
        <v>131.67706713997842</v>
      </c>
      <c r="P201" s="74">
        <f t="shared" si="88"/>
        <v>131.67706713997836</v>
      </c>
      <c r="Q201" s="74">
        <f t="shared" si="88"/>
        <v>131.67706713997842</v>
      </c>
      <c r="R201" s="74">
        <f t="shared" si="88"/>
        <v>131.67706713997848</v>
      </c>
      <c r="S201" s="74">
        <f t="shared" si="88"/>
        <v>132.37265315317194</v>
      </c>
      <c r="T201" s="74">
        <f t="shared" si="88"/>
        <v>141.69800937845605</v>
      </c>
      <c r="U201" s="74">
        <f t="shared" si="88"/>
        <v>138.67442361048478</v>
      </c>
      <c r="V201" s="74">
        <f t="shared" si="88"/>
        <v>138.67442361048498</v>
      </c>
      <c r="W201" s="74">
        <f t="shared" si="88"/>
        <v>138.67442361048487</v>
      </c>
      <c r="X201" s="74">
        <f t="shared" si="88"/>
        <v>138.67442361048487</v>
      </c>
      <c r="Y201" s="74">
        <f t="shared" si="88"/>
        <v>138.67442361048469</v>
      </c>
      <c r="Z201" s="74">
        <f t="shared" si="88"/>
        <v>138.67442361048498</v>
      </c>
      <c r="AA201" s="74">
        <f t="shared" si="88"/>
        <v>138.67442361048498</v>
      </c>
      <c r="AB201" s="74">
        <f t="shared" si="88"/>
        <v>138.67442361048501</v>
      </c>
      <c r="AC201" s="74">
        <f t="shared" si="88"/>
        <v>138.67442361048489</v>
      </c>
      <c r="AD201" s="74">
        <f t="shared" si="88"/>
        <v>145.09446628376162</v>
      </c>
      <c r="AE201" s="74">
        <f t="shared" si="88"/>
        <v>150.99352648790057</v>
      </c>
      <c r="AF201" s="74">
        <f t="shared" si="88"/>
        <v>148.51185965579248</v>
      </c>
      <c r="AG201" s="74">
        <f t="shared" si="88"/>
        <v>148.51185965579239</v>
      </c>
      <c r="AH201" s="74">
        <f t="shared" si="88"/>
        <v>148.51185965579234</v>
      </c>
      <c r="AI201" s="74">
        <f t="shared" si="88"/>
        <v>148.5118596557927</v>
      </c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</row>
    <row r="202" spans="2:57" ht="15.75" customHeight="1">
      <c r="B202" s="159"/>
      <c r="C202" s="678" t="s">
        <v>5</v>
      </c>
      <c r="D202" s="76"/>
      <c r="E202" s="76"/>
      <c r="F202" s="76"/>
      <c r="G202" s="76"/>
      <c r="H202" s="76"/>
      <c r="I202" s="76"/>
      <c r="J202" s="76"/>
      <c r="K202" s="74">
        <f t="shared" ref="K202:AI202" si="89">K156/K15</f>
        <v>480</v>
      </c>
      <c r="L202" s="74">
        <f t="shared" si="89"/>
        <v>480</v>
      </c>
      <c r="M202" s="74">
        <f t="shared" si="89"/>
        <v>480.00000000000006</v>
      </c>
      <c r="N202" s="74">
        <f t="shared" si="89"/>
        <v>479.99999999999994</v>
      </c>
      <c r="O202" s="74">
        <f t="shared" si="89"/>
        <v>480</v>
      </c>
      <c r="P202" s="74">
        <f t="shared" si="89"/>
        <v>480</v>
      </c>
      <c r="Q202" s="74">
        <f t="shared" si="89"/>
        <v>480</v>
      </c>
      <c r="R202" s="74">
        <f t="shared" si="89"/>
        <v>480</v>
      </c>
      <c r="S202" s="74">
        <f t="shared" si="89"/>
        <v>479.99999999999994</v>
      </c>
      <c r="T202" s="74">
        <f t="shared" si="89"/>
        <v>480</v>
      </c>
      <c r="U202" s="74">
        <f t="shared" si="89"/>
        <v>480</v>
      </c>
      <c r="V202" s="74">
        <f t="shared" si="89"/>
        <v>480</v>
      </c>
      <c r="W202" s="74">
        <f t="shared" si="89"/>
        <v>480</v>
      </c>
      <c r="X202" s="74">
        <f t="shared" si="89"/>
        <v>480</v>
      </c>
      <c r="Y202" s="74">
        <f t="shared" si="89"/>
        <v>480</v>
      </c>
      <c r="Z202" s="74">
        <f t="shared" si="89"/>
        <v>480</v>
      </c>
      <c r="AA202" s="74">
        <f t="shared" si="89"/>
        <v>480</v>
      </c>
      <c r="AB202" s="74">
        <f t="shared" si="89"/>
        <v>480</v>
      </c>
      <c r="AC202" s="74">
        <f t="shared" si="89"/>
        <v>480</v>
      </c>
      <c r="AD202" s="74">
        <f t="shared" si="89"/>
        <v>480</v>
      </c>
      <c r="AE202" s="74">
        <f t="shared" si="89"/>
        <v>480</v>
      </c>
      <c r="AF202" s="74">
        <f t="shared" si="89"/>
        <v>480</v>
      </c>
      <c r="AG202" s="74">
        <f t="shared" si="89"/>
        <v>480.00000000000006</v>
      </c>
      <c r="AH202" s="74">
        <f t="shared" si="89"/>
        <v>480</v>
      </c>
      <c r="AI202" s="74">
        <f t="shared" si="89"/>
        <v>480</v>
      </c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</row>
    <row r="203" spans="2:57" ht="15.75" customHeight="1">
      <c r="B203" s="159"/>
      <c r="C203" s="162" t="s">
        <v>808</v>
      </c>
      <c r="D203" s="76"/>
      <c r="E203" s="76"/>
      <c r="F203" s="76"/>
      <c r="G203" s="76"/>
      <c r="H203" s="76"/>
      <c r="I203" s="76"/>
      <c r="J203" s="76"/>
      <c r="K203" s="475">
        <f t="shared" ref="K203:AI203" si="90">SUM(K204:K211)</f>
        <v>14545.984999261507</v>
      </c>
      <c r="L203" s="475">
        <f t="shared" si="90"/>
        <v>14329.396557478103</v>
      </c>
      <c r="M203" s="475">
        <f t="shared" si="90"/>
        <v>12716.594833994604</v>
      </c>
      <c r="N203" s="475">
        <f t="shared" si="90"/>
        <v>13620.239153378379</v>
      </c>
      <c r="O203" s="475">
        <f t="shared" si="90"/>
        <v>13529.875006210808</v>
      </c>
      <c r="P203" s="475">
        <f t="shared" si="90"/>
        <v>2098.764732832155</v>
      </c>
      <c r="Q203" s="475">
        <f t="shared" si="90"/>
        <v>2378.6401265864733</v>
      </c>
      <c r="R203" s="475">
        <f t="shared" si="90"/>
        <v>2407.5276049303707</v>
      </c>
      <c r="S203" s="475">
        <f t="shared" si="90"/>
        <v>2161.5666932914869</v>
      </c>
      <c r="T203" s="475">
        <f t="shared" si="90"/>
        <v>2590.746259404963</v>
      </c>
      <c r="U203" s="475">
        <f t="shared" si="90"/>
        <v>2530.7955272755385</v>
      </c>
      <c r="V203" s="475">
        <f t="shared" si="90"/>
        <v>2260.3137297624685</v>
      </c>
      <c r="W203" s="475">
        <f t="shared" si="90"/>
        <v>2530.7955272755398</v>
      </c>
      <c r="X203" s="475">
        <f t="shared" si="90"/>
        <v>2530.7955272755398</v>
      </c>
      <c r="Y203" s="475">
        <f t="shared" si="90"/>
        <v>2260.3137297624639</v>
      </c>
      <c r="Z203" s="475">
        <f t="shared" si="90"/>
        <v>2530.7955272755416</v>
      </c>
      <c r="AA203" s="475">
        <f t="shared" si="90"/>
        <v>2561.2180943626536</v>
      </c>
      <c r="AB203" s="475">
        <f t="shared" si="90"/>
        <v>2287.4023168948288</v>
      </c>
      <c r="AC203" s="475">
        <f t="shared" si="90"/>
        <v>2469.9503931013173</v>
      </c>
      <c r="AD203" s="475">
        <f t="shared" si="90"/>
        <v>2647.9607179388486</v>
      </c>
      <c r="AE203" s="475">
        <f t="shared" si="90"/>
        <v>2461.1080554009959</v>
      </c>
      <c r="AF203" s="475">
        <f t="shared" si="90"/>
        <v>2677.747117908817</v>
      </c>
      <c r="AG203" s="475">
        <f t="shared" si="90"/>
        <v>2742.9085499303501</v>
      </c>
      <c r="AH203" s="475">
        <f t="shared" si="90"/>
        <v>2420.6583065052214</v>
      </c>
      <c r="AI203" s="475">
        <f t="shared" si="90"/>
        <v>2677.7471179088211</v>
      </c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</row>
    <row r="204" spans="2:57" ht="15.75" customHeight="1">
      <c r="B204" s="159"/>
      <c r="C204" s="678" t="s">
        <v>809</v>
      </c>
      <c r="D204" s="76"/>
      <c r="E204" s="76"/>
      <c r="F204" s="76"/>
      <c r="G204" s="74"/>
      <c r="H204" s="74"/>
      <c r="I204" s="74"/>
      <c r="J204" s="74"/>
      <c r="K204" s="74">
        <f t="shared" ref="K204:AI204" si="91">SUM(K160:K168)/K13</f>
        <v>57.133113847108973</v>
      </c>
      <c r="L204" s="74">
        <f t="shared" si="91"/>
        <v>57.133102425857849</v>
      </c>
      <c r="M204" s="74">
        <f t="shared" si="91"/>
        <v>50.702659546370697</v>
      </c>
      <c r="N204" s="74">
        <f t="shared" si="91"/>
        <v>54.218857456240855</v>
      </c>
      <c r="O204" s="74">
        <f t="shared" si="91"/>
        <v>53.744145756084876</v>
      </c>
      <c r="P204" s="74">
        <f t="shared" si="91"/>
        <v>47.854376358157751</v>
      </c>
      <c r="Q204" s="74">
        <f t="shared" si="91"/>
        <v>53.744145756084876</v>
      </c>
      <c r="R204" s="74">
        <f t="shared" si="91"/>
        <v>53.744145756084897</v>
      </c>
      <c r="S204" s="74">
        <f t="shared" si="91"/>
        <v>48.107167793962219</v>
      </c>
      <c r="T204" s="74">
        <f t="shared" si="91"/>
        <v>57.834204807183951</v>
      </c>
      <c r="U204" s="74">
        <f t="shared" si="91"/>
        <v>56.600124813230813</v>
      </c>
      <c r="V204" s="74">
        <f t="shared" si="91"/>
        <v>50.397371409041206</v>
      </c>
      <c r="W204" s="74">
        <f t="shared" si="91"/>
        <v>56.600124813230849</v>
      </c>
      <c r="X204" s="74">
        <f t="shared" si="91"/>
        <v>56.600124813230849</v>
      </c>
      <c r="Y204" s="74">
        <f t="shared" si="91"/>
        <v>50.397371409041114</v>
      </c>
      <c r="Z204" s="74">
        <f t="shared" si="91"/>
        <v>56.600124813230899</v>
      </c>
      <c r="AA204" s="74">
        <f t="shared" si="91"/>
        <v>56.600124813230899</v>
      </c>
      <c r="AB204" s="74">
        <f t="shared" si="91"/>
        <v>50.39737140904122</v>
      </c>
      <c r="AC204" s="74">
        <f t="shared" si="91"/>
        <v>56.600124813230863</v>
      </c>
      <c r="AD204" s="74">
        <f t="shared" si="91"/>
        <v>59.220472582870023</v>
      </c>
      <c r="AE204" s="74">
        <f t="shared" si="91"/>
        <v>54.874407526985884</v>
      </c>
      <c r="AF204" s="74">
        <f t="shared" si="91"/>
        <v>60.615285601427473</v>
      </c>
      <c r="AG204" s="74">
        <f t="shared" si="91"/>
        <v>60.615285601427438</v>
      </c>
      <c r="AH204" s="74">
        <f t="shared" si="91"/>
        <v>53.972514576613456</v>
      </c>
      <c r="AI204" s="74">
        <f t="shared" si="91"/>
        <v>60.615285601427566</v>
      </c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</row>
    <row r="205" spans="2:57" ht="15.75" customHeight="1">
      <c r="B205" s="159"/>
      <c r="C205" s="482" t="s">
        <v>810</v>
      </c>
      <c r="D205" s="76"/>
      <c r="E205" s="76"/>
      <c r="F205" s="76"/>
      <c r="G205" s="76"/>
      <c r="H205" s="76"/>
      <c r="I205" s="76"/>
      <c r="J205" s="76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</row>
    <row r="206" spans="2:57" ht="15.75" customHeight="1">
      <c r="B206" s="159"/>
      <c r="C206" s="678" t="s">
        <v>9</v>
      </c>
      <c r="D206" s="76"/>
      <c r="E206" s="76"/>
      <c r="F206" s="76"/>
      <c r="G206" s="76"/>
      <c r="H206" s="76"/>
      <c r="I206" s="76"/>
      <c r="J206" s="76"/>
      <c r="K206" s="74">
        <f t="shared" ref="K206:AI206" si="92">K146/K76*(K74+K75+K72)/K15</f>
        <v>568.73417875076666</v>
      </c>
      <c r="L206" s="74">
        <f t="shared" si="92"/>
        <v>521.33955963595292</v>
      </c>
      <c r="M206" s="74">
        <f t="shared" si="92"/>
        <v>462.66176836063261</v>
      </c>
      <c r="N206" s="74">
        <f t="shared" si="92"/>
        <v>516.50344980457419</v>
      </c>
      <c r="O206" s="74">
        <f t="shared" si="92"/>
        <v>511.98121819925035</v>
      </c>
      <c r="P206" s="74">
        <f t="shared" si="92"/>
        <v>436.67118426818951</v>
      </c>
      <c r="Q206" s="74">
        <f t="shared" si="92"/>
        <v>511.98121819925035</v>
      </c>
      <c r="R206" s="74">
        <f t="shared" si="92"/>
        <v>511.98121819925058</v>
      </c>
      <c r="S206" s="74">
        <f t="shared" si="92"/>
        <v>438.97790611990524</v>
      </c>
      <c r="T206" s="74">
        <f t="shared" si="92"/>
        <v>550.94422311874871</v>
      </c>
      <c r="U206" s="74">
        <f t="shared" si="92"/>
        <v>539.18804447322782</v>
      </c>
      <c r="V206" s="74">
        <f t="shared" si="92"/>
        <v>459.87601410750102</v>
      </c>
      <c r="W206" s="74">
        <f t="shared" si="92"/>
        <v>539.18804447322816</v>
      </c>
      <c r="X206" s="74">
        <f t="shared" si="92"/>
        <v>539.18804447322816</v>
      </c>
      <c r="Y206" s="74">
        <f t="shared" si="92"/>
        <v>459.87601410750011</v>
      </c>
      <c r="Z206" s="74">
        <f t="shared" si="92"/>
        <v>539.18804447322862</v>
      </c>
      <c r="AA206" s="74">
        <f t="shared" si="92"/>
        <v>539.18804447322862</v>
      </c>
      <c r="AB206" s="74">
        <f t="shared" si="92"/>
        <v>459.87601410750108</v>
      </c>
      <c r="AC206" s="74">
        <f t="shared" si="92"/>
        <v>539.18804447322827</v>
      </c>
      <c r="AD206" s="74">
        <f t="shared" si="92"/>
        <v>564.15018359242072</v>
      </c>
      <c r="AE206" s="74">
        <f t="shared" si="92"/>
        <v>500.72896868374619</v>
      </c>
      <c r="AF206" s="74">
        <f t="shared" si="92"/>
        <v>577.43754835289542</v>
      </c>
      <c r="AG206" s="74">
        <f t="shared" si="92"/>
        <v>577.43754835289508</v>
      </c>
      <c r="AH206" s="74">
        <f t="shared" si="92"/>
        <v>492.4991955115978</v>
      </c>
      <c r="AI206" s="74">
        <f t="shared" si="92"/>
        <v>577.43754835289621</v>
      </c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</row>
    <row r="207" spans="2:57" ht="15.75" customHeight="1">
      <c r="B207" s="159"/>
      <c r="C207" s="678" t="s">
        <v>811</v>
      </c>
      <c r="D207" s="76"/>
      <c r="E207" s="76"/>
      <c r="F207" s="76"/>
      <c r="G207" s="76"/>
      <c r="H207" s="76"/>
      <c r="I207" s="76"/>
      <c r="J207" s="76"/>
      <c r="K207" s="74">
        <f t="shared" ref="K207:AI207" si="93">(K169+K170)/K15</f>
        <v>158.18155747749037</v>
      </c>
      <c r="L207" s="74">
        <f t="shared" si="93"/>
        <v>144.9997320347135</v>
      </c>
      <c r="M207" s="74">
        <f t="shared" si="93"/>
        <v>128.67972743492533</v>
      </c>
      <c r="N207" s="74">
        <f t="shared" si="93"/>
        <v>137.60358651248595</v>
      </c>
      <c r="O207" s="74">
        <f t="shared" si="93"/>
        <v>136.39880213366308</v>
      </c>
      <c r="P207" s="74">
        <f t="shared" si="93"/>
        <v>121.45098820120681</v>
      </c>
      <c r="Q207" s="74">
        <f t="shared" si="93"/>
        <v>136.39880213366308</v>
      </c>
      <c r="R207" s="74">
        <f t="shared" si="93"/>
        <v>136.39880213366314</v>
      </c>
      <c r="S207" s="74">
        <f t="shared" si="93"/>
        <v>122.09255480438375</v>
      </c>
      <c r="T207" s="74">
        <f t="shared" si="93"/>
        <v>146.77907978767524</v>
      </c>
      <c r="U207" s="74">
        <f t="shared" si="93"/>
        <v>143.64707293289575</v>
      </c>
      <c r="V207" s="74">
        <f t="shared" si="93"/>
        <v>127.90492795394846</v>
      </c>
      <c r="W207" s="74">
        <f t="shared" si="93"/>
        <v>143.64707293289584</v>
      </c>
      <c r="X207" s="74">
        <f t="shared" si="93"/>
        <v>143.64707293289584</v>
      </c>
      <c r="Y207" s="74">
        <f t="shared" si="93"/>
        <v>127.90492795394822</v>
      </c>
      <c r="Z207" s="74">
        <f t="shared" si="93"/>
        <v>143.64707293289598</v>
      </c>
      <c r="AA207" s="74">
        <f t="shared" si="93"/>
        <v>143.64707293289598</v>
      </c>
      <c r="AB207" s="74">
        <f t="shared" si="93"/>
        <v>127.90492795394849</v>
      </c>
      <c r="AC207" s="74">
        <f t="shared" si="93"/>
        <v>143.64707293289587</v>
      </c>
      <c r="AD207" s="74">
        <f t="shared" si="93"/>
        <v>150.29732835931003</v>
      </c>
      <c r="AE207" s="74">
        <f t="shared" si="93"/>
        <v>139.26732575571575</v>
      </c>
      <c r="AF207" s="74">
        <f t="shared" si="93"/>
        <v>153.83726414683039</v>
      </c>
      <c r="AG207" s="74">
        <f t="shared" si="93"/>
        <v>153.83726414683031</v>
      </c>
      <c r="AH207" s="74">
        <f t="shared" si="93"/>
        <v>136.97838588416394</v>
      </c>
      <c r="AI207" s="74">
        <f t="shared" si="93"/>
        <v>153.83726414683062</v>
      </c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</row>
    <row r="208" spans="2:57" ht="15.75" customHeight="1">
      <c r="B208" s="159"/>
      <c r="C208" s="678" t="s">
        <v>812</v>
      </c>
      <c r="D208" s="76"/>
      <c r="E208" s="76"/>
      <c r="F208" s="76"/>
      <c r="G208" s="76"/>
      <c r="H208" s="76"/>
      <c r="I208" s="76"/>
      <c r="J208" s="76"/>
      <c r="K208" s="74">
        <f t="shared" ref="K208:AI208" si="94">(K173)/K15</f>
        <v>347.07253215638616</v>
      </c>
      <c r="L208" s="74">
        <f t="shared" si="94"/>
        <v>318.14975754330214</v>
      </c>
      <c r="M208" s="74">
        <f t="shared" si="94"/>
        <v>282.34137752998492</v>
      </c>
      <c r="N208" s="74">
        <f t="shared" si="94"/>
        <v>301.92157648646861</v>
      </c>
      <c r="O208" s="74">
        <f t="shared" si="94"/>
        <v>299.27811051149229</v>
      </c>
      <c r="P208" s="74">
        <f t="shared" si="94"/>
        <v>266.48050935954785</v>
      </c>
      <c r="Q208" s="74">
        <f t="shared" si="94"/>
        <v>299.27811051149229</v>
      </c>
      <c r="R208" s="74">
        <f t="shared" si="94"/>
        <v>299.2781105114924</v>
      </c>
      <c r="S208" s="74">
        <f t="shared" si="94"/>
        <v>267.88819650754721</v>
      </c>
      <c r="T208" s="74">
        <f t="shared" si="94"/>
        <v>322.05389618029267</v>
      </c>
      <c r="U208" s="74">
        <f t="shared" si="94"/>
        <v>315.18183367721508</v>
      </c>
      <c r="V208" s="74">
        <f t="shared" si="94"/>
        <v>280.64135875368504</v>
      </c>
      <c r="W208" s="74">
        <f t="shared" si="94"/>
        <v>315.18183367721525</v>
      </c>
      <c r="X208" s="74">
        <f t="shared" si="94"/>
        <v>315.18183367721525</v>
      </c>
      <c r="Y208" s="74">
        <f t="shared" si="94"/>
        <v>280.64135875368453</v>
      </c>
      <c r="Z208" s="74">
        <f t="shared" si="94"/>
        <v>315.18183367721554</v>
      </c>
      <c r="AA208" s="74">
        <f t="shared" si="94"/>
        <v>315.18183367721554</v>
      </c>
      <c r="AB208" s="74">
        <f t="shared" si="94"/>
        <v>280.6413587536851</v>
      </c>
      <c r="AC208" s="74">
        <f t="shared" si="94"/>
        <v>315.18183367721531</v>
      </c>
      <c r="AD208" s="74">
        <f t="shared" si="94"/>
        <v>329.77342720518249</v>
      </c>
      <c r="AE208" s="74">
        <f t="shared" si="94"/>
        <v>305.57205383164131</v>
      </c>
      <c r="AF208" s="74">
        <f t="shared" si="94"/>
        <v>337.54054302474026</v>
      </c>
      <c r="AG208" s="74">
        <f t="shared" si="94"/>
        <v>337.54054302474003</v>
      </c>
      <c r="AH208" s="74">
        <f t="shared" si="94"/>
        <v>300.54979858367255</v>
      </c>
      <c r="AI208" s="74">
        <f t="shared" si="94"/>
        <v>337.54054302474077</v>
      </c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</row>
    <row r="209" spans="2:57" ht="15.75" customHeight="1">
      <c r="B209" s="159"/>
      <c r="C209" s="678" t="s">
        <v>10</v>
      </c>
      <c r="D209" s="76"/>
      <c r="E209" s="76"/>
      <c r="F209" s="76"/>
      <c r="G209" s="76"/>
      <c r="H209" s="76"/>
      <c r="I209" s="76"/>
      <c r="J209" s="76"/>
      <c r="K209" s="801">
        <f t="shared" ref="K209:AI209" si="95">K177/K13</f>
        <v>11889.824958405201</v>
      </c>
      <c r="L209" s="801">
        <f t="shared" si="95"/>
        <v>11889.822581558088</v>
      </c>
      <c r="M209" s="801">
        <f t="shared" si="95"/>
        <v>10551.599700047942</v>
      </c>
      <c r="N209" s="801">
        <f t="shared" si="95"/>
        <v>11283.346577687835</v>
      </c>
      <c r="O209" s="801">
        <f t="shared" si="95"/>
        <v>11213.443028543437</v>
      </c>
      <c r="P209" s="801">
        <f t="shared" si="95"/>
        <v>55.390817530708766</v>
      </c>
      <c r="Q209" s="801">
        <f t="shared" si="95"/>
        <v>62.208148919103714</v>
      </c>
      <c r="R209" s="801">
        <f t="shared" si="95"/>
        <v>91.095627262999372</v>
      </c>
      <c r="S209" s="801">
        <f t="shared" si="95"/>
        <v>107.39862570460666</v>
      </c>
      <c r="T209" s="801">
        <f t="shared" si="95"/>
        <v>98.028224098635036</v>
      </c>
      <c r="U209" s="801">
        <f t="shared" si="95"/>
        <v>91.267701261334679</v>
      </c>
      <c r="V209" s="801">
        <f t="shared" si="95"/>
        <v>108.3543485294386</v>
      </c>
      <c r="W209" s="801">
        <f t="shared" si="95"/>
        <v>91.26770126133475</v>
      </c>
      <c r="X209" s="801">
        <f t="shared" si="95"/>
        <v>91.26770126133475</v>
      </c>
      <c r="Y209" s="801">
        <f t="shared" si="95"/>
        <v>108.35434852943838</v>
      </c>
      <c r="Z209" s="801">
        <f t="shared" si="95"/>
        <v>91.267701261334821</v>
      </c>
      <c r="AA209" s="801">
        <f t="shared" si="95"/>
        <v>121.69026834844642</v>
      </c>
      <c r="AB209" s="801">
        <f t="shared" si="95"/>
        <v>135.44293566179826</v>
      </c>
      <c r="AC209" s="801">
        <f t="shared" si="95"/>
        <v>30.422567087111588</v>
      </c>
      <c r="AD209" s="801">
        <f t="shared" si="95"/>
        <v>95.493012039877911</v>
      </c>
      <c r="AE209" s="801">
        <f t="shared" si="95"/>
        <v>117.97997618301966</v>
      </c>
      <c r="AF209" s="801">
        <f t="shared" si="95"/>
        <v>65.161432021534537</v>
      </c>
      <c r="AG209" s="801">
        <f t="shared" si="95"/>
        <v>130.32286404306899</v>
      </c>
      <c r="AH209" s="801">
        <f t="shared" si="95"/>
        <v>116.04090633971893</v>
      </c>
      <c r="AI209" s="801">
        <f t="shared" si="95"/>
        <v>65.161432021534637</v>
      </c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</row>
    <row r="210" spans="2:57" ht="15.75" customHeight="1">
      <c r="B210" s="159"/>
      <c r="C210" s="802" t="str">
        <f>C171</f>
        <v>Техническое обслуживание и содержание технологического оборудования/ материалы</v>
      </c>
      <c r="D210" s="76"/>
      <c r="E210" s="76"/>
      <c r="F210" s="76"/>
      <c r="G210" s="76"/>
      <c r="H210" s="76"/>
      <c r="I210" s="76"/>
      <c r="J210" s="76"/>
      <c r="K210" s="74">
        <f t="shared" ref="K210:AI210" si="96">K171/K15</f>
        <v>1355.8791948420062</v>
      </c>
      <c r="L210" s="74">
        <f t="shared" si="96"/>
        <v>1242.8890134775095</v>
      </c>
      <c r="M210" s="74">
        <f t="shared" si="96"/>
        <v>1102.999414149677</v>
      </c>
      <c r="N210" s="74">
        <f t="shared" si="96"/>
        <v>1179.4917376159462</v>
      </c>
      <c r="O210" s="74">
        <f t="shared" si="96"/>
        <v>1169.1647304757553</v>
      </c>
      <c r="P210" s="74">
        <f t="shared" si="96"/>
        <v>1041.0370887797817</v>
      </c>
      <c r="Q210" s="74">
        <f t="shared" si="96"/>
        <v>1169.1647304757553</v>
      </c>
      <c r="R210" s="74">
        <f t="shared" si="96"/>
        <v>1169.1647304757557</v>
      </c>
      <c r="S210" s="74">
        <f t="shared" si="96"/>
        <v>1046.5363822702814</v>
      </c>
      <c r="T210" s="74">
        <f t="shared" si="96"/>
        <v>1258.1409849279298</v>
      </c>
      <c r="U210" s="74">
        <f t="shared" si="96"/>
        <v>1231.294473866725</v>
      </c>
      <c r="V210" s="74">
        <f t="shared" si="96"/>
        <v>1096.3580931690033</v>
      </c>
      <c r="W210" s="74">
        <f t="shared" si="96"/>
        <v>1231.2944738667259</v>
      </c>
      <c r="X210" s="74">
        <f t="shared" si="96"/>
        <v>1231.2944738667259</v>
      </c>
      <c r="Y210" s="74">
        <f t="shared" si="96"/>
        <v>1096.3580931690012</v>
      </c>
      <c r="Z210" s="74">
        <f t="shared" si="96"/>
        <v>1231.2944738667268</v>
      </c>
      <c r="AA210" s="74">
        <f t="shared" si="96"/>
        <v>1231.2944738667268</v>
      </c>
      <c r="AB210" s="74">
        <f t="shared" si="96"/>
        <v>1096.3580931690035</v>
      </c>
      <c r="AC210" s="74">
        <f t="shared" si="96"/>
        <v>1231.2944738667261</v>
      </c>
      <c r="AD210" s="74">
        <f t="shared" si="96"/>
        <v>1288.2982302897417</v>
      </c>
      <c r="AE210" s="74">
        <f t="shared" si="96"/>
        <v>1193.7527517411768</v>
      </c>
      <c r="AF210" s="74">
        <f t="shared" si="96"/>
        <v>1318.6413711837649</v>
      </c>
      <c r="AG210" s="74">
        <f t="shared" si="96"/>
        <v>1318.6413711837642</v>
      </c>
      <c r="AH210" s="74">
        <f t="shared" si="96"/>
        <v>1174.132727766365</v>
      </c>
      <c r="AI210" s="74">
        <f t="shared" si="96"/>
        <v>1318.641371183767</v>
      </c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</row>
    <row r="211" spans="2:57" ht="15.75" customHeight="1">
      <c r="B211" s="159"/>
      <c r="C211" s="802" t="str">
        <f>C172</f>
        <v>Сервисные услуги по ТО оборудования/ по контракту</v>
      </c>
      <c r="D211" s="76"/>
      <c r="E211" s="76"/>
      <c r="F211" s="76"/>
      <c r="G211" s="76"/>
      <c r="H211" s="76"/>
      <c r="I211" s="76"/>
      <c r="J211" s="76"/>
      <c r="K211" s="74">
        <f t="shared" ref="K211:AI211" si="97">K172/K15</f>
        <v>169.15946378254822</v>
      </c>
      <c r="L211" s="74">
        <f t="shared" si="97"/>
        <v>155.06281080267982</v>
      </c>
      <c r="M211" s="74">
        <f t="shared" si="97"/>
        <v>137.6101869250717</v>
      </c>
      <c r="N211" s="74">
        <f t="shared" si="97"/>
        <v>147.1533678148287</v>
      </c>
      <c r="O211" s="74">
        <f t="shared" si="97"/>
        <v>145.86497059112412</v>
      </c>
      <c r="P211" s="74">
        <f t="shared" si="97"/>
        <v>129.87976833456253</v>
      </c>
      <c r="Q211" s="74">
        <f t="shared" si="97"/>
        <v>145.86497059112412</v>
      </c>
      <c r="R211" s="74">
        <f t="shared" si="97"/>
        <v>145.86497059112418</v>
      </c>
      <c r="S211" s="74">
        <f t="shared" si="97"/>
        <v>130.56586009080058</v>
      </c>
      <c r="T211" s="74">
        <f t="shared" si="97"/>
        <v>156.96564648449768</v>
      </c>
      <c r="U211" s="74">
        <f t="shared" si="97"/>
        <v>153.61627625090927</v>
      </c>
      <c r="V211" s="74">
        <f t="shared" si="97"/>
        <v>136.7816158398509</v>
      </c>
      <c r="W211" s="74">
        <f t="shared" si="97"/>
        <v>153.61627625090935</v>
      </c>
      <c r="X211" s="74">
        <f t="shared" si="97"/>
        <v>153.61627625090935</v>
      </c>
      <c r="Y211" s="74">
        <f t="shared" si="97"/>
        <v>136.78161583985064</v>
      </c>
      <c r="Z211" s="74">
        <f t="shared" si="97"/>
        <v>153.61627625090949</v>
      </c>
      <c r="AA211" s="74">
        <f t="shared" si="97"/>
        <v>153.61627625090949</v>
      </c>
      <c r="AB211" s="74">
        <f t="shared" si="97"/>
        <v>136.78161583985093</v>
      </c>
      <c r="AC211" s="74">
        <f t="shared" si="97"/>
        <v>153.61627625090938</v>
      </c>
      <c r="AD211" s="74">
        <f t="shared" si="97"/>
        <v>160.72806386944566</v>
      </c>
      <c r="AE211" s="74">
        <f t="shared" si="97"/>
        <v>148.93257167871013</v>
      </c>
      <c r="AF211" s="74">
        <f t="shared" si="97"/>
        <v>164.51367357762425</v>
      </c>
      <c r="AG211" s="74">
        <f t="shared" si="97"/>
        <v>164.51367357762416</v>
      </c>
      <c r="AH211" s="74">
        <f t="shared" si="97"/>
        <v>146.48477784308994</v>
      </c>
      <c r="AI211" s="74">
        <f t="shared" si="97"/>
        <v>164.5136735776245</v>
      </c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</row>
    <row r="212" spans="2:57" ht="15.75" customHeight="1">
      <c r="B212" s="159"/>
      <c r="C212" s="162" t="s">
        <v>813</v>
      </c>
      <c r="D212" s="76"/>
      <c r="E212" s="76"/>
      <c r="F212" s="76"/>
      <c r="G212" s="76"/>
      <c r="H212" s="76"/>
      <c r="I212" s="76"/>
      <c r="J212" s="76"/>
      <c r="K212" s="475">
        <f>K190+K196+K203-K209</f>
        <v>7163.8853662991842</v>
      </c>
      <c r="L212" s="475">
        <f t="shared" ref="L212:AI212" si="98">L190+L196+L203-L209</f>
        <v>6715.6814362493678</v>
      </c>
      <c r="M212" s="475">
        <f t="shared" si="98"/>
        <v>6690.0102335991778</v>
      </c>
      <c r="N212" s="475">
        <f t="shared" si="98"/>
        <v>6949.0084118965769</v>
      </c>
      <c r="O212" s="475">
        <f t="shared" si="98"/>
        <v>6919.6371366505064</v>
      </c>
      <c r="P212" s="475">
        <f t="shared" si="98"/>
        <v>6597.0253360516735</v>
      </c>
      <c r="Q212" s="475">
        <f t="shared" si="98"/>
        <v>6930.5526208073525</v>
      </c>
      <c r="R212" s="475">
        <f t="shared" si="98"/>
        <v>6944.6784467077159</v>
      </c>
      <c r="S212" s="475">
        <f t="shared" si="98"/>
        <v>6641.7672012479516</v>
      </c>
      <c r="T212" s="475">
        <f t="shared" si="98"/>
        <v>7421.1975291552435</v>
      </c>
      <c r="U212" s="475">
        <f t="shared" si="98"/>
        <v>7281.7630593675385</v>
      </c>
      <c r="V212" s="475">
        <f t="shared" si="98"/>
        <v>6928.2447345060418</v>
      </c>
      <c r="W212" s="475">
        <f t="shared" si="98"/>
        <v>7281.763059367544</v>
      </c>
      <c r="X212" s="475">
        <f t="shared" si="98"/>
        <v>7193.6648970996839</v>
      </c>
      <c r="Y212" s="475">
        <f t="shared" si="98"/>
        <v>6838.4737006837795</v>
      </c>
      <c r="Z212" s="475">
        <f t="shared" si="98"/>
        <v>7180.94328292102</v>
      </c>
      <c r="AA212" s="475">
        <f t="shared" si="98"/>
        <v>7180.94328292102</v>
      </c>
      <c r="AB212" s="475">
        <f t="shared" si="98"/>
        <v>6838.4737006837922</v>
      </c>
      <c r="AC212" s="475">
        <f t="shared" si="98"/>
        <v>7180.9432829210155</v>
      </c>
      <c r="AD212" s="475">
        <f t="shared" si="98"/>
        <v>7526.5516070922049</v>
      </c>
      <c r="AE212" s="475">
        <f t="shared" si="98"/>
        <v>7507.8378716022917</v>
      </c>
      <c r="AF212" s="475">
        <f t="shared" si="98"/>
        <v>7782.8049557755112</v>
      </c>
      <c r="AG212" s="475">
        <f t="shared" si="98"/>
        <v>7782.8049557755085</v>
      </c>
      <c r="AH212" s="475">
        <f t="shared" si="98"/>
        <v>7399.015748350178</v>
      </c>
      <c r="AI212" s="475">
        <f t="shared" si="98"/>
        <v>7782.804955775523</v>
      </c>
    </row>
    <row r="213" spans="2:57" ht="15.75" customHeight="1">
      <c r="B213" s="159"/>
      <c r="C213" s="162" t="s">
        <v>814</v>
      </c>
      <c r="K213" s="803">
        <f>K212/2204</f>
        <v>3.2504017088471797</v>
      </c>
      <c r="L213" s="803">
        <f t="shared" ref="L213:AI213" si="99">L212/2204</f>
        <v>3.0470423939425442</v>
      </c>
      <c r="M213" s="803">
        <f t="shared" si="99"/>
        <v>3.035394842830843</v>
      </c>
      <c r="N213" s="803">
        <f t="shared" si="99"/>
        <v>3.1529076279022581</v>
      </c>
      <c r="O213" s="803">
        <f t="shared" si="99"/>
        <v>3.1395812779720993</v>
      </c>
      <c r="P213" s="803">
        <f t="shared" si="99"/>
        <v>2.9932056878637359</v>
      </c>
      <c r="Q213" s="803">
        <f t="shared" si="99"/>
        <v>3.1445338569906318</v>
      </c>
      <c r="R213" s="803">
        <f t="shared" si="99"/>
        <v>3.1509430338964228</v>
      </c>
      <c r="S213" s="803">
        <f t="shared" si="99"/>
        <v>3.0135059896769292</v>
      </c>
      <c r="T213" s="803">
        <f t="shared" si="99"/>
        <v>3.367149514135773</v>
      </c>
      <c r="U213" s="803">
        <f t="shared" si="99"/>
        <v>3.3038852356477033</v>
      </c>
      <c r="V213" s="803">
        <f t="shared" si="99"/>
        <v>3.1434867216452096</v>
      </c>
      <c r="W213" s="803">
        <f t="shared" si="99"/>
        <v>3.303885235647706</v>
      </c>
      <c r="X213" s="803">
        <f t="shared" si="99"/>
        <v>3.2639132926949563</v>
      </c>
      <c r="Y213" s="803">
        <f t="shared" si="99"/>
        <v>3.1027557625606983</v>
      </c>
      <c r="Z213" s="803">
        <f t="shared" si="99"/>
        <v>3.2581412354451089</v>
      </c>
      <c r="AA213" s="803">
        <f t="shared" si="99"/>
        <v>3.2581412354451089</v>
      </c>
      <c r="AB213" s="803">
        <f t="shared" si="99"/>
        <v>3.1027557625607041</v>
      </c>
      <c r="AC213" s="803">
        <f t="shared" si="99"/>
        <v>3.2581412354451067</v>
      </c>
      <c r="AD213" s="803">
        <f t="shared" si="99"/>
        <v>3.4149508199147935</v>
      </c>
      <c r="AE213" s="803">
        <f t="shared" si="99"/>
        <v>3.4064600143386077</v>
      </c>
      <c r="AF213" s="803">
        <f t="shared" si="99"/>
        <v>3.5312182194988706</v>
      </c>
      <c r="AG213" s="803">
        <f t="shared" si="99"/>
        <v>3.5312182194988697</v>
      </c>
      <c r="AH213" s="803">
        <f t="shared" si="99"/>
        <v>3.3570851852768504</v>
      </c>
      <c r="AI213" s="803">
        <f t="shared" si="99"/>
        <v>3.5312182194988759</v>
      </c>
    </row>
    <row r="214" spans="2:57" ht="15.75" customHeight="1">
      <c r="B214" s="159"/>
      <c r="C214" s="75"/>
      <c r="N214" s="75"/>
      <c r="O214" s="76"/>
    </row>
    <row r="215" spans="2:57" ht="15.75" customHeight="1">
      <c r="B215" s="159"/>
      <c r="C215" s="75"/>
      <c r="N215" s="75"/>
      <c r="O215" s="76"/>
    </row>
    <row r="216" spans="2:57" ht="15.75" customHeight="1">
      <c r="B216" s="159"/>
      <c r="C216" s="75"/>
      <c r="N216" s="75"/>
      <c r="O216" s="76"/>
    </row>
    <row r="217" spans="2:57" ht="27" customHeight="1">
      <c r="B217" s="76"/>
      <c r="C217" s="499" t="s">
        <v>182</v>
      </c>
      <c r="K217" s="102"/>
      <c r="L217" s="102"/>
      <c r="M217" s="103"/>
      <c r="N217" s="137"/>
      <c r="O217" s="137"/>
      <c r="P217" s="137"/>
    </row>
    <row r="218" spans="2:57" ht="3" customHeight="1">
      <c r="B218" s="76"/>
      <c r="C218" s="104"/>
      <c r="D218" s="104"/>
      <c r="E218" s="104"/>
      <c r="F218" s="104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</row>
    <row r="219" spans="2:57" ht="15" customHeight="1">
      <c r="B219" s="76"/>
      <c r="C219" s="75"/>
      <c r="K219" s="102"/>
      <c r="L219" s="102"/>
      <c r="M219" s="103"/>
      <c r="N219" s="137"/>
      <c r="O219" s="137"/>
      <c r="P219" s="137"/>
    </row>
    <row r="220" spans="2:57" ht="9.75" customHeight="1">
      <c r="B220" s="76"/>
      <c r="C220" s="480" t="s">
        <v>181</v>
      </c>
      <c r="K220" s="102"/>
      <c r="L220" s="500"/>
      <c r="M220" s="105"/>
      <c r="N220" s="138"/>
      <c r="O220" s="138"/>
      <c r="P220" s="138"/>
    </row>
    <row r="221" spans="2:57">
      <c r="B221" s="91"/>
      <c r="C221" s="546"/>
      <c r="D221" s="106"/>
      <c r="E221" s="106"/>
      <c r="F221" s="106"/>
      <c r="G221" s="768">
        <f>H221-1</f>
        <v>-4</v>
      </c>
      <c r="H221" s="768">
        <f>I221-1</f>
        <v>-3</v>
      </c>
      <c r="I221" s="768">
        <f>J221-1</f>
        <v>-2</v>
      </c>
      <c r="J221" s="768">
        <v>-1</v>
      </c>
      <c r="K221" s="768">
        <f>J221+2</f>
        <v>1</v>
      </c>
      <c r="L221" s="768">
        <f t="shared" ref="L221:AI221" si="100">K221+1</f>
        <v>2</v>
      </c>
      <c r="M221" s="768">
        <f t="shared" si="100"/>
        <v>3</v>
      </c>
      <c r="N221" s="768">
        <f t="shared" si="100"/>
        <v>4</v>
      </c>
      <c r="O221" s="768">
        <f t="shared" si="100"/>
        <v>5</v>
      </c>
      <c r="P221" s="768">
        <f t="shared" si="100"/>
        <v>6</v>
      </c>
      <c r="Q221" s="768">
        <f t="shared" si="100"/>
        <v>7</v>
      </c>
      <c r="R221" s="768">
        <f t="shared" si="100"/>
        <v>8</v>
      </c>
      <c r="S221" s="768">
        <f t="shared" si="100"/>
        <v>9</v>
      </c>
      <c r="T221" s="768">
        <f t="shared" si="100"/>
        <v>10</v>
      </c>
      <c r="U221" s="768">
        <f t="shared" si="100"/>
        <v>11</v>
      </c>
      <c r="V221" s="768">
        <f t="shared" si="100"/>
        <v>12</v>
      </c>
      <c r="W221" s="768">
        <f t="shared" si="100"/>
        <v>13</v>
      </c>
      <c r="X221" s="768">
        <f t="shared" si="100"/>
        <v>14</v>
      </c>
      <c r="Y221" s="768">
        <f t="shared" si="100"/>
        <v>15</v>
      </c>
      <c r="Z221" s="768">
        <f t="shared" si="100"/>
        <v>16</v>
      </c>
      <c r="AA221" s="768">
        <f t="shared" si="100"/>
        <v>17</v>
      </c>
      <c r="AB221" s="768">
        <f t="shared" si="100"/>
        <v>18</v>
      </c>
      <c r="AC221" s="768">
        <f t="shared" si="100"/>
        <v>19</v>
      </c>
      <c r="AD221" s="768">
        <f t="shared" si="100"/>
        <v>20</v>
      </c>
      <c r="AE221" s="768">
        <f t="shared" si="100"/>
        <v>21</v>
      </c>
      <c r="AF221" s="768">
        <f t="shared" si="100"/>
        <v>22</v>
      </c>
      <c r="AG221" s="768">
        <f t="shared" si="100"/>
        <v>23</v>
      </c>
      <c r="AH221" s="768">
        <f t="shared" si="100"/>
        <v>24</v>
      </c>
      <c r="AI221" s="768">
        <f t="shared" si="100"/>
        <v>25</v>
      </c>
    </row>
    <row r="222" spans="2:57">
      <c r="B222" s="91"/>
      <c r="C222" s="548"/>
      <c r="D222" s="469"/>
      <c r="E222" s="469"/>
      <c r="F222" s="469"/>
      <c r="G222" s="469"/>
      <c r="H222" s="469"/>
      <c r="I222" s="548"/>
      <c r="J222" s="548"/>
      <c r="K222" s="769">
        <f>INT(ROUNDUP(K221/12,0))</f>
        <v>1</v>
      </c>
      <c r="L222" s="769">
        <f>INT(ROUNDUP(L221/12,0))</f>
        <v>1</v>
      </c>
      <c r="M222" s="769">
        <f t="shared" ref="M222:AI222" si="101">INT(ROUNDUP(M221/12,0))</f>
        <v>1</v>
      </c>
      <c r="N222" s="769">
        <f t="shared" si="101"/>
        <v>1</v>
      </c>
      <c r="O222" s="769">
        <f t="shared" si="101"/>
        <v>1</v>
      </c>
      <c r="P222" s="769">
        <f t="shared" si="101"/>
        <v>1</v>
      </c>
      <c r="Q222" s="769">
        <f t="shared" si="101"/>
        <v>1</v>
      </c>
      <c r="R222" s="769">
        <f t="shared" si="101"/>
        <v>1</v>
      </c>
      <c r="S222" s="769">
        <f t="shared" si="101"/>
        <v>1</v>
      </c>
      <c r="T222" s="769">
        <f t="shared" si="101"/>
        <v>1</v>
      </c>
      <c r="U222" s="769">
        <f t="shared" si="101"/>
        <v>1</v>
      </c>
      <c r="V222" s="769">
        <f t="shared" si="101"/>
        <v>1</v>
      </c>
      <c r="W222" s="769">
        <f t="shared" si="101"/>
        <v>2</v>
      </c>
      <c r="X222" s="769">
        <f t="shared" si="101"/>
        <v>2</v>
      </c>
      <c r="Y222" s="769">
        <f t="shared" si="101"/>
        <v>2</v>
      </c>
      <c r="Z222" s="769">
        <f t="shared" si="101"/>
        <v>2</v>
      </c>
      <c r="AA222" s="769">
        <f t="shared" si="101"/>
        <v>2</v>
      </c>
      <c r="AB222" s="769">
        <f t="shared" si="101"/>
        <v>2</v>
      </c>
      <c r="AC222" s="769">
        <f t="shared" si="101"/>
        <v>2</v>
      </c>
      <c r="AD222" s="769">
        <f t="shared" si="101"/>
        <v>2</v>
      </c>
      <c r="AE222" s="769">
        <f t="shared" si="101"/>
        <v>2</v>
      </c>
      <c r="AF222" s="769">
        <f t="shared" si="101"/>
        <v>2</v>
      </c>
      <c r="AG222" s="769">
        <f t="shared" si="101"/>
        <v>2</v>
      </c>
      <c r="AH222" s="769">
        <f t="shared" si="101"/>
        <v>2</v>
      </c>
      <c r="AI222" s="769">
        <f t="shared" si="101"/>
        <v>3</v>
      </c>
    </row>
    <row r="223" spans="2:57">
      <c r="B223" s="91"/>
      <c r="C223" s="471"/>
      <c r="D223" s="472"/>
      <c r="E223" s="506"/>
      <c r="F223" s="506"/>
      <c r="G223" s="94" t="s">
        <v>499</v>
      </c>
      <c r="H223" s="94" t="s">
        <v>499</v>
      </c>
      <c r="I223" s="94" t="s">
        <v>499</v>
      </c>
      <c r="J223" s="94" t="s">
        <v>499</v>
      </c>
      <c r="K223" s="94" t="s">
        <v>499</v>
      </c>
      <c r="L223" s="94" t="s">
        <v>499</v>
      </c>
      <c r="M223" s="94" t="s">
        <v>499</v>
      </c>
      <c r="N223" s="94" t="s">
        <v>499</v>
      </c>
      <c r="O223" s="94" t="s">
        <v>499</v>
      </c>
      <c r="P223" s="94" t="s">
        <v>499</v>
      </c>
      <c r="Q223" s="94" t="s">
        <v>499</v>
      </c>
      <c r="R223" s="94" t="s">
        <v>499</v>
      </c>
      <c r="S223" s="94" t="s">
        <v>499</v>
      </c>
      <c r="T223" s="94" t="s">
        <v>499</v>
      </c>
      <c r="U223" s="94" t="s">
        <v>499</v>
      </c>
      <c r="V223" s="94" t="s">
        <v>499</v>
      </c>
      <c r="W223" s="94" t="s">
        <v>499</v>
      </c>
      <c r="X223" s="94" t="s">
        <v>499</v>
      </c>
      <c r="Y223" s="94" t="s">
        <v>499</v>
      </c>
      <c r="Z223" s="94" t="s">
        <v>499</v>
      </c>
      <c r="AA223" s="94" t="s">
        <v>499</v>
      </c>
      <c r="AB223" s="94" t="s">
        <v>499</v>
      </c>
      <c r="AC223" s="94" t="s">
        <v>499</v>
      </c>
      <c r="AD223" s="94" t="s">
        <v>499</v>
      </c>
      <c r="AE223" s="94" t="s">
        <v>499</v>
      </c>
      <c r="AF223" s="94" t="s">
        <v>499</v>
      </c>
      <c r="AG223" s="94" t="s">
        <v>499</v>
      </c>
      <c r="AH223" s="94" t="s">
        <v>499</v>
      </c>
      <c r="AI223" s="94" t="s">
        <v>499</v>
      </c>
    </row>
    <row r="224" spans="2:57" ht="9" customHeight="1">
      <c r="B224" s="76"/>
      <c r="C224" s="501"/>
      <c r="D224" s="689"/>
      <c r="E224" s="689"/>
      <c r="F224" s="689"/>
      <c r="G224" s="689"/>
      <c r="H224" s="689"/>
      <c r="I224" s="689"/>
      <c r="J224" s="689"/>
      <c r="K224" s="107"/>
      <c r="L224" s="107"/>
      <c r="M224" s="107"/>
      <c r="N224" s="690"/>
      <c r="O224" s="690"/>
      <c r="P224" s="690"/>
    </row>
    <row r="225" spans="1:35" ht="15.75" customHeight="1">
      <c r="A225" s="75">
        <v>1</v>
      </c>
      <c r="B225" s="88" t="s">
        <v>522</v>
      </c>
      <c r="C225" s="110" t="s">
        <v>183</v>
      </c>
      <c r="D225" s="100"/>
      <c r="E225" s="100"/>
      <c r="F225" s="100"/>
      <c r="G225" s="100"/>
      <c r="H225" s="100"/>
      <c r="I225" s="100"/>
      <c r="J225" s="100"/>
      <c r="K225" s="804">
        <f>K11</f>
        <v>786153125.14202809</v>
      </c>
      <c r="L225" s="804">
        <f>L11</f>
        <v>857621762.50774968</v>
      </c>
      <c r="M225" s="804">
        <f>M11</f>
        <v>966390963.28246403</v>
      </c>
      <c r="N225" s="804">
        <f>N11</f>
        <v>903718637.73680496</v>
      </c>
      <c r="O225" s="804">
        <f t="shared" ref="O225:AI225" si="102">O11</f>
        <v>911701010.60639536</v>
      </c>
      <c r="P225" s="804">
        <f t="shared" si="102"/>
        <v>1023910365.7579521</v>
      </c>
      <c r="Q225" s="804">
        <f t="shared" si="102"/>
        <v>911701010.60639536</v>
      </c>
      <c r="R225" s="804">
        <f t="shared" si="102"/>
        <v>911701010.60639501</v>
      </c>
      <c r="S225" s="804">
        <f t="shared" si="102"/>
        <v>1018529966.4668612</v>
      </c>
      <c r="T225" s="804">
        <f t="shared" si="102"/>
        <v>847225135.42562926</v>
      </c>
      <c r="U225" s="804">
        <f t="shared" si="102"/>
        <v>865697596.28067315</v>
      </c>
      <c r="V225" s="804">
        <f t="shared" si="102"/>
        <v>972244992.74598539</v>
      </c>
      <c r="W225" s="804">
        <f t="shared" si="102"/>
        <v>865697596.28067255</v>
      </c>
      <c r="X225" s="804">
        <f t="shared" si="102"/>
        <v>865697596.28067255</v>
      </c>
      <c r="Y225" s="804">
        <f t="shared" si="102"/>
        <v>972244992.7459873</v>
      </c>
      <c r="Z225" s="804">
        <f t="shared" si="102"/>
        <v>865697596.28067183</v>
      </c>
      <c r="AA225" s="804">
        <f t="shared" si="102"/>
        <v>865697596.28067183</v>
      </c>
      <c r="AB225" s="804">
        <f t="shared" si="102"/>
        <v>972244992.74598515</v>
      </c>
      <c r="AC225" s="804">
        <f t="shared" si="102"/>
        <v>865697596.28067243</v>
      </c>
      <c r="AD225" s="804">
        <f t="shared" si="102"/>
        <v>827392789.40123177</v>
      </c>
      <c r="AE225" s="804">
        <f t="shared" si="102"/>
        <v>892922478.9516623</v>
      </c>
      <c r="AF225" s="804">
        <f t="shared" si="102"/>
        <v>808353726.52019799</v>
      </c>
      <c r="AG225" s="804">
        <f t="shared" si="102"/>
        <v>808353726.52019846</v>
      </c>
      <c r="AH225" s="804">
        <f t="shared" si="102"/>
        <v>907843415.93806934</v>
      </c>
      <c r="AI225" s="804">
        <f t="shared" si="102"/>
        <v>808353726.5201968</v>
      </c>
    </row>
    <row r="226" spans="1:35" ht="6" customHeight="1">
      <c r="C226" s="75"/>
      <c r="N226" s="75"/>
      <c r="P226" s="75"/>
    </row>
    <row r="227" spans="1:35" ht="15.75" customHeight="1">
      <c r="A227" s="75">
        <v>3</v>
      </c>
      <c r="B227" s="88" t="s">
        <v>523</v>
      </c>
      <c r="C227" s="110" t="s">
        <v>191</v>
      </c>
      <c r="D227" s="100"/>
      <c r="E227" s="100"/>
      <c r="F227" s="100"/>
      <c r="G227" s="100"/>
      <c r="H227" s="100"/>
      <c r="I227" s="100"/>
      <c r="J227" s="100"/>
      <c r="K227" s="804">
        <f t="shared" ref="K227:AI227" si="103">-(K135+K146+K150+K152+K154+K156+K171+K172+K173+K176)</f>
        <v>-202801833.23862234</v>
      </c>
      <c r="L227" s="804">
        <f t="shared" si="103"/>
        <v>-205306082.80476773</v>
      </c>
      <c r="M227" s="804">
        <f t="shared" si="103"/>
        <v>-231199379.11882454</v>
      </c>
      <c r="N227" s="804">
        <f t="shared" si="103"/>
        <v>-224920249.72460946</v>
      </c>
      <c r="O227" s="804">
        <f t="shared" si="103"/>
        <v>-225070387.81095722</v>
      </c>
      <c r="P227" s="804">
        <f t="shared" si="103"/>
        <v>-240682283.37589341</v>
      </c>
      <c r="Q227" s="804">
        <f t="shared" si="103"/>
        <v>-225460341.53124258</v>
      </c>
      <c r="R227" s="804">
        <f t="shared" si="103"/>
        <v>-225964984.13644427</v>
      </c>
      <c r="S227" s="804">
        <f t="shared" si="103"/>
        <v>-241162867.55526495</v>
      </c>
      <c r="T227" s="804">
        <f t="shared" si="103"/>
        <v>-225266618.37750524</v>
      </c>
      <c r="U227" s="804">
        <f t="shared" si="103"/>
        <v>-225614061.42084837</v>
      </c>
      <c r="V227" s="804">
        <f t="shared" si="103"/>
        <v>-240768544.56331834</v>
      </c>
      <c r="W227" s="804">
        <f t="shared" si="103"/>
        <v>-225614061.42084837</v>
      </c>
      <c r="X227" s="804">
        <f t="shared" si="103"/>
        <v>-222625579.11427313</v>
      </c>
      <c r="Y227" s="804">
        <f t="shared" si="103"/>
        <v>-237348517.2857092</v>
      </c>
      <c r="Z227" s="804">
        <f t="shared" si="103"/>
        <v>-222194034.14323911</v>
      </c>
      <c r="AA227" s="804">
        <f t="shared" si="103"/>
        <v>-222194034.14323911</v>
      </c>
      <c r="AB227" s="804">
        <f t="shared" si="103"/>
        <v>-237348517.28570914</v>
      </c>
      <c r="AC227" s="804">
        <f t="shared" si="103"/>
        <v>-222194034.14323911</v>
      </c>
      <c r="AD227" s="804">
        <f t="shared" si="103"/>
        <v>-223231181.16616791</v>
      </c>
      <c r="AE227" s="804">
        <f t="shared" si="103"/>
        <v>-240777444.40667942</v>
      </c>
      <c r="AF227" s="804">
        <f t="shared" si="103"/>
        <v>-226036351.06817758</v>
      </c>
      <c r="AG227" s="804">
        <f t="shared" si="103"/>
        <v>-226036351.06817758</v>
      </c>
      <c r="AH227" s="804">
        <f t="shared" si="103"/>
        <v>-241058087.88979569</v>
      </c>
      <c r="AI227" s="804">
        <f t="shared" si="103"/>
        <v>-226036351.06817755</v>
      </c>
    </row>
    <row r="228" spans="1:35" ht="15.75" customHeight="1">
      <c r="A228" s="75">
        <v>3</v>
      </c>
      <c r="B228" s="88" t="s">
        <v>523</v>
      </c>
      <c r="C228" s="110" t="s">
        <v>815</v>
      </c>
      <c r="D228" s="436">
        <v>1.4999999999999999E-2</v>
      </c>
      <c r="E228" s="100"/>
      <c r="F228" s="100"/>
      <c r="G228" s="100"/>
      <c r="H228" s="100"/>
      <c r="I228" s="100"/>
      <c r="J228" s="100"/>
      <c r="K228" s="804">
        <f>K225*$D$228*-1</f>
        <v>-11792296.877130421</v>
      </c>
      <c r="L228" s="804">
        <f t="shared" ref="L228:AI228" si="104">L225*$D$228*-1</f>
        <v>-12864326.437616244</v>
      </c>
      <c r="M228" s="804">
        <f t="shared" si="104"/>
        <v>-14495864.449236959</v>
      </c>
      <c r="N228" s="804">
        <f t="shared" si="104"/>
        <v>-13555779.566052074</v>
      </c>
      <c r="O228" s="804">
        <f t="shared" si="104"/>
        <v>-13675515.15909593</v>
      </c>
      <c r="P228" s="804">
        <f t="shared" si="104"/>
        <v>-15358655.48636928</v>
      </c>
      <c r="Q228" s="804">
        <f t="shared" si="104"/>
        <v>-13675515.15909593</v>
      </c>
      <c r="R228" s="804">
        <f t="shared" si="104"/>
        <v>-13675515.159095924</v>
      </c>
      <c r="S228" s="804">
        <f t="shared" si="104"/>
        <v>-15277949.497002918</v>
      </c>
      <c r="T228" s="804">
        <f t="shared" si="104"/>
        <v>-12708377.031384438</v>
      </c>
      <c r="U228" s="804">
        <f t="shared" si="104"/>
        <v>-12985463.944210097</v>
      </c>
      <c r="V228" s="804">
        <f t="shared" si="104"/>
        <v>-14583674.89118978</v>
      </c>
      <c r="W228" s="804">
        <f t="shared" si="104"/>
        <v>-12985463.944210088</v>
      </c>
      <c r="X228" s="804">
        <f t="shared" si="104"/>
        <v>-12985463.944210088</v>
      </c>
      <c r="Y228" s="804">
        <f t="shared" si="104"/>
        <v>-14583674.891189808</v>
      </c>
      <c r="Z228" s="804">
        <f t="shared" si="104"/>
        <v>-12985463.944210077</v>
      </c>
      <c r="AA228" s="804">
        <f t="shared" si="104"/>
        <v>-12985463.944210077</v>
      </c>
      <c r="AB228" s="804">
        <f t="shared" si="104"/>
        <v>-14583674.891189776</v>
      </c>
      <c r="AC228" s="804">
        <f t="shared" si="104"/>
        <v>-12985463.944210086</v>
      </c>
      <c r="AD228" s="804">
        <f t="shared" si="104"/>
        <v>-12410891.841018476</v>
      </c>
      <c r="AE228" s="804">
        <f t="shared" si="104"/>
        <v>-13393837.184274934</v>
      </c>
      <c r="AF228" s="804">
        <f t="shared" si="104"/>
        <v>-12125305.897802969</v>
      </c>
      <c r="AG228" s="804">
        <f t="shared" si="104"/>
        <v>-12125305.897802977</v>
      </c>
      <c r="AH228" s="804">
        <f t="shared" si="104"/>
        <v>-13617651.239071039</v>
      </c>
      <c r="AI228" s="804">
        <f t="shared" si="104"/>
        <v>-12125305.897802951</v>
      </c>
    </row>
    <row r="229" spans="1:35" ht="9" customHeight="1">
      <c r="B229" s="100"/>
      <c r="C229" s="75"/>
      <c r="N229" s="75"/>
      <c r="P229" s="75"/>
    </row>
    <row r="230" spans="1:35" ht="15.75" customHeight="1">
      <c r="B230" s="88" t="s">
        <v>524</v>
      </c>
      <c r="C230" s="110" t="s">
        <v>185</v>
      </c>
      <c r="D230" s="100"/>
      <c r="E230" s="100"/>
      <c r="F230" s="100"/>
      <c r="G230" s="100"/>
      <c r="H230" s="100"/>
      <c r="I230" s="100"/>
      <c r="J230" s="100"/>
      <c r="K230" s="804">
        <f>K225+K227+K228</f>
        <v>571558995.0262754</v>
      </c>
      <c r="L230" s="804">
        <f t="shared" ref="L230:AI230" si="105">L225+L227+L228</f>
        <v>639451353.26536572</v>
      </c>
      <c r="M230" s="804">
        <f t="shared" si="105"/>
        <v>720695719.71440256</v>
      </c>
      <c r="N230" s="804">
        <f t="shared" si="105"/>
        <v>665242608.44614339</v>
      </c>
      <c r="O230" s="804">
        <f t="shared" si="105"/>
        <v>672955107.63634229</v>
      </c>
      <c r="P230" s="804">
        <f t="shared" si="105"/>
        <v>767869426.89568937</v>
      </c>
      <c r="Q230" s="804">
        <f t="shared" si="105"/>
        <v>672565153.91605687</v>
      </c>
      <c r="R230" s="804">
        <f t="shared" si="105"/>
        <v>672060511.31085479</v>
      </c>
      <c r="S230" s="804">
        <f t="shared" si="105"/>
        <v>762089149.41459334</v>
      </c>
      <c r="T230" s="804">
        <f t="shared" si="105"/>
        <v>609250140.01673961</v>
      </c>
      <c r="U230" s="804">
        <f t="shared" si="105"/>
        <v>627098070.91561472</v>
      </c>
      <c r="V230" s="804">
        <f t="shared" si="105"/>
        <v>716892773.2914772</v>
      </c>
      <c r="W230" s="804">
        <f t="shared" si="105"/>
        <v>627098070.91561413</v>
      </c>
      <c r="X230" s="804">
        <f t="shared" si="105"/>
        <v>630086553.22218943</v>
      </c>
      <c r="Y230" s="804">
        <f t="shared" si="105"/>
        <v>720312800.56908822</v>
      </c>
      <c r="Z230" s="804">
        <f t="shared" si="105"/>
        <v>630518098.19322264</v>
      </c>
      <c r="AA230" s="804">
        <f t="shared" si="105"/>
        <v>630518098.19322264</v>
      </c>
      <c r="AB230" s="804">
        <f t="shared" si="105"/>
        <v>720312800.56908619</v>
      </c>
      <c r="AC230" s="804">
        <f t="shared" si="105"/>
        <v>630518098.19322324</v>
      </c>
      <c r="AD230" s="804">
        <f t="shared" si="105"/>
        <v>591750716.39404535</v>
      </c>
      <c r="AE230" s="804">
        <f t="shared" si="105"/>
        <v>638751197.360708</v>
      </c>
      <c r="AF230" s="804">
        <f t="shared" si="105"/>
        <v>570192069.55421746</v>
      </c>
      <c r="AG230" s="804">
        <f t="shared" si="105"/>
        <v>570192069.55421793</v>
      </c>
      <c r="AH230" s="804">
        <f t="shared" si="105"/>
        <v>653167676.80920267</v>
      </c>
      <c r="AI230" s="804">
        <f t="shared" si="105"/>
        <v>570192069.55421627</v>
      </c>
    </row>
    <row r="231" spans="1:35" ht="3.75" customHeight="1">
      <c r="B231" s="88"/>
      <c r="C231" s="110"/>
      <c r="D231" s="100"/>
      <c r="E231" s="100"/>
      <c r="F231" s="100"/>
      <c r="G231" s="100"/>
      <c r="H231" s="100"/>
      <c r="I231" s="100"/>
      <c r="J231" s="100"/>
      <c r="K231" s="804"/>
      <c r="L231" s="804"/>
      <c r="M231" s="804"/>
      <c r="N231" s="804"/>
      <c r="O231" s="804"/>
      <c r="P231" s="804"/>
      <c r="Q231" s="804"/>
      <c r="R231" s="804"/>
      <c r="S231" s="804"/>
      <c r="T231" s="804"/>
      <c r="U231" s="804"/>
      <c r="V231" s="804"/>
      <c r="W231" s="804"/>
      <c r="X231" s="804"/>
      <c r="Y231" s="804"/>
      <c r="Z231" s="804"/>
      <c r="AA231" s="804"/>
      <c r="AB231" s="804"/>
      <c r="AC231" s="804"/>
      <c r="AD231" s="804"/>
      <c r="AE231" s="804"/>
      <c r="AF231" s="804"/>
      <c r="AG231" s="804"/>
      <c r="AH231" s="804"/>
      <c r="AI231" s="804"/>
    </row>
    <row r="232" spans="1:35" ht="15.75" customHeight="1">
      <c r="A232" s="75">
        <v>5</v>
      </c>
      <c r="B232" s="88" t="s">
        <v>523</v>
      </c>
      <c r="C232" s="110" t="s">
        <v>192</v>
      </c>
      <c r="D232" s="100"/>
      <c r="E232" s="100"/>
      <c r="F232" s="100"/>
      <c r="G232" s="100"/>
      <c r="H232" s="100"/>
      <c r="I232" s="100"/>
      <c r="J232" s="100"/>
      <c r="K232" s="804">
        <f>-(SUM(K160:K168)+K169)</f>
        <v>-3855575.824</v>
      </c>
      <c r="L232" s="804">
        <f>-(SUM(L160:L168)+L169)</f>
        <v>-3855575.824</v>
      </c>
      <c r="M232" s="804">
        <f>-(SUM(M160:M168)+M169)</f>
        <v>-3855575.824</v>
      </c>
      <c r="N232" s="804">
        <f>-(SUM(N160:N168)+N169)</f>
        <v>-3855575.824</v>
      </c>
      <c r="O232" s="804">
        <f t="shared" ref="O232:AI232" si="106">-(SUM(O160:O168)+O169)</f>
        <v>-3855575.824</v>
      </c>
      <c r="P232" s="804">
        <f t="shared" si="106"/>
        <v>-3855575.824</v>
      </c>
      <c r="Q232" s="804">
        <f t="shared" si="106"/>
        <v>-3855575.824</v>
      </c>
      <c r="R232" s="804">
        <f t="shared" si="106"/>
        <v>-3855575.824</v>
      </c>
      <c r="S232" s="804">
        <f t="shared" si="106"/>
        <v>-3855575.824</v>
      </c>
      <c r="T232" s="804">
        <f t="shared" si="106"/>
        <v>-3855575.824</v>
      </c>
      <c r="U232" s="804">
        <f t="shared" si="106"/>
        <v>-3855575.824</v>
      </c>
      <c r="V232" s="804">
        <f t="shared" si="106"/>
        <v>-3855575.824</v>
      </c>
      <c r="W232" s="804">
        <f t="shared" si="106"/>
        <v>-3855575.824</v>
      </c>
      <c r="X232" s="804">
        <f t="shared" si="106"/>
        <v>-3855575.824</v>
      </c>
      <c r="Y232" s="804">
        <f t="shared" si="106"/>
        <v>-3855575.824</v>
      </c>
      <c r="Z232" s="804">
        <f t="shared" si="106"/>
        <v>-3855575.824</v>
      </c>
      <c r="AA232" s="804">
        <f t="shared" si="106"/>
        <v>-3855575.824</v>
      </c>
      <c r="AB232" s="804">
        <f t="shared" si="106"/>
        <v>-3855575.824</v>
      </c>
      <c r="AC232" s="804">
        <f t="shared" si="106"/>
        <v>-3855575.824</v>
      </c>
      <c r="AD232" s="804">
        <f t="shared" si="106"/>
        <v>-3855575.824</v>
      </c>
      <c r="AE232" s="804">
        <f t="shared" si="106"/>
        <v>-3855575.824</v>
      </c>
      <c r="AF232" s="804">
        <f t="shared" si="106"/>
        <v>-3855575.824</v>
      </c>
      <c r="AG232" s="804">
        <f t="shared" si="106"/>
        <v>-3855575.824</v>
      </c>
      <c r="AH232" s="804">
        <f t="shared" si="106"/>
        <v>-3855575.824</v>
      </c>
      <c r="AI232" s="804">
        <f t="shared" si="106"/>
        <v>-3855575.824</v>
      </c>
    </row>
    <row r="233" spans="1:35" ht="15.75" customHeight="1">
      <c r="A233" s="75">
        <v>5</v>
      </c>
      <c r="B233" s="88" t="s">
        <v>523</v>
      </c>
      <c r="C233" s="110" t="s">
        <v>15</v>
      </c>
      <c r="D233" s="100"/>
      <c r="E233" s="100"/>
      <c r="F233" s="100"/>
      <c r="G233" s="100"/>
      <c r="H233" s="100"/>
      <c r="I233" s="100"/>
      <c r="J233" s="100"/>
      <c r="K233" s="804">
        <f>-(K138+K140+K142+K169)</f>
        <v>-11485204.10892164</v>
      </c>
      <c r="L233" s="804">
        <f>-(L138+L140+L142+L169)</f>
        <v>-12353354.217399806</v>
      </c>
      <c r="M233" s="804">
        <f>-(M138+M140+M142+M169)</f>
        <v>-13674605.005608376</v>
      </c>
      <c r="N233" s="804">
        <f>-(N138+N140+N142+N169)</f>
        <v>-12913306.228599105</v>
      </c>
      <c r="O233" s="804">
        <f t="shared" ref="O233:AI233" si="107">-(O138+O140+O142+O169)</f>
        <v>-13010270.409365363</v>
      </c>
      <c r="P233" s="804">
        <f t="shared" si="107"/>
        <v>-14373309.742948797</v>
      </c>
      <c r="Q233" s="804">
        <f t="shared" si="107"/>
        <v>-13010270.409365363</v>
      </c>
      <c r="R233" s="804">
        <f t="shared" si="107"/>
        <v>-13010270.40936536</v>
      </c>
      <c r="S233" s="804">
        <f t="shared" si="107"/>
        <v>-14307952.484151293</v>
      </c>
      <c r="T233" s="804">
        <f t="shared" si="107"/>
        <v>-12227063.395833381</v>
      </c>
      <c r="U233" s="804">
        <f t="shared" si="107"/>
        <v>-12451453.694659155</v>
      </c>
      <c r="V233" s="804">
        <f t="shared" si="107"/>
        <v>-13745715.586432572</v>
      </c>
      <c r="W233" s="804">
        <f t="shared" si="107"/>
        <v>-12451453.694659147</v>
      </c>
      <c r="X233" s="804">
        <f t="shared" si="107"/>
        <v>-12451453.694659147</v>
      </c>
      <c r="Y233" s="804">
        <f t="shared" si="107"/>
        <v>-13745715.586432595</v>
      </c>
      <c r="Z233" s="804">
        <f t="shared" si="107"/>
        <v>-12451453.69465914</v>
      </c>
      <c r="AA233" s="804">
        <f t="shared" si="107"/>
        <v>-12451453.69465914</v>
      </c>
      <c r="AB233" s="804">
        <f t="shared" si="107"/>
        <v>-13745715.586432569</v>
      </c>
      <c r="AC233" s="804">
        <f t="shared" si="107"/>
        <v>-12451453.694659147</v>
      </c>
      <c r="AD233" s="804">
        <f t="shared" si="107"/>
        <v>-11986154.180447739</v>
      </c>
      <c r="AE233" s="804">
        <f t="shared" si="107"/>
        <v>-12782162.180441212</v>
      </c>
      <c r="AF233" s="804">
        <f t="shared" si="107"/>
        <v>-11754881.203730542</v>
      </c>
      <c r="AG233" s="804">
        <f t="shared" si="107"/>
        <v>-11754881.203730546</v>
      </c>
      <c r="AH233" s="804">
        <f t="shared" si="107"/>
        <v>-12963411.096620467</v>
      </c>
      <c r="AI233" s="804">
        <f t="shared" si="107"/>
        <v>-11754881.203730527</v>
      </c>
    </row>
    <row r="234" spans="1:35" ht="6.75" customHeight="1">
      <c r="B234" s="110"/>
      <c r="C234" s="482"/>
      <c r="D234" s="100"/>
      <c r="E234" s="100"/>
      <c r="F234" s="100"/>
      <c r="G234" s="100"/>
      <c r="H234" s="100"/>
      <c r="I234" s="100"/>
      <c r="J234" s="100"/>
      <c r="K234" s="804"/>
      <c r="L234" s="804"/>
      <c r="M234" s="804"/>
      <c r="N234" s="804"/>
      <c r="O234" s="804"/>
      <c r="P234" s="804"/>
      <c r="Q234" s="804"/>
      <c r="R234" s="804"/>
      <c r="S234" s="804"/>
      <c r="T234" s="804"/>
      <c r="U234" s="804"/>
      <c r="V234" s="804"/>
      <c r="W234" s="804"/>
      <c r="X234" s="804"/>
      <c r="Y234" s="804"/>
      <c r="Z234" s="804"/>
      <c r="AA234" s="804"/>
      <c r="AB234" s="804"/>
      <c r="AC234" s="804"/>
      <c r="AD234" s="804"/>
      <c r="AE234" s="804"/>
      <c r="AF234" s="804"/>
      <c r="AG234" s="804"/>
      <c r="AH234" s="804"/>
      <c r="AI234" s="804"/>
    </row>
    <row r="235" spans="1:35" ht="15.75" customHeight="1">
      <c r="B235" s="88" t="s">
        <v>524</v>
      </c>
      <c r="C235" s="110" t="s">
        <v>347</v>
      </c>
      <c r="D235" s="100"/>
      <c r="E235" s="100"/>
      <c r="F235" s="100"/>
      <c r="G235" s="100"/>
      <c r="H235" s="100"/>
      <c r="I235" s="100"/>
      <c r="J235" s="100"/>
      <c r="K235" s="804">
        <f>K230+K232+K233</f>
        <v>556218215.09335375</v>
      </c>
      <c r="L235" s="804">
        <f>L230+L232+L233</f>
        <v>623242423.22396588</v>
      </c>
      <c r="M235" s="804">
        <f>M230+M232+M233</f>
        <v>703165538.88479424</v>
      </c>
      <c r="N235" s="804">
        <f>N230+N232+N233</f>
        <v>648473726.39354432</v>
      </c>
      <c r="O235" s="804">
        <f t="shared" ref="O235:AI235" si="108">O230+O232+O233</f>
        <v>656089261.40297687</v>
      </c>
      <c r="P235" s="804">
        <f t="shared" si="108"/>
        <v>749640541.3287406</v>
      </c>
      <c r="Q235" s="804">
        <f t="shared" si="108"/>
        <v>655699307.68269145</v>
      </c>
      <c r="R235" s="804">
        <f t="shared" si="108"/>
        <v>655194665.07748938</v>
      </c>
      <c r="S235" s="804">
        <f t="shared" si="108"/>
        <v>743925621.10644209</v>
      </c>
      <c r="T235" s="804">
        <f t="shared" si="108"/>
        <v>593167500.79690623</v>
      </c>
      <c r="U235" s="804">
        <f t="shared" si="108"/>
        <v>610791041.39695561</v>
      </c>
      <c r="V235" s="804">
        <f t="shared" si="108"/>
        <v>699291481.88104463</v>
      </c>
      <c r="W235" s="804">
        <f t="shared" si="108"/>
        <v>610791041.39695501</v>
      </c>
      <c r="X235" s="804">
        <f t="shared" si="108"/>
        <v>613779523.70353031</v>
      </c>
      <c r="Y235" s="804">
        <f t="shared" si="108"/>
        <v>702711509.15865564</v>
      </c>
      <c r="Z235" s="804">
        <f t="shared" si="108"/>
        <v>614211068.67456353</v>
      </c>
      <c r="AA235" s="804">
        <f t="shared" si="108"/>
        <v>614211068.67456353</v>
      </c>
      <c r="AB235" s="804">
        <f t="shared" si="108"/>
        <v>702711509.15865362</v>
      </c>
      <c r="AC235" s="804">
        <f t="shared" si="108"/>
        <v>614211068.67456412</v>
      </c>
      <c r="AD235" s="804">
        <f t="shared" si="108"/>
        <v>575908986.38959765</v>
      </c>
      <c r="AE235" s="804">
        <f t="shared" si="108"/>
        <v>622113459.35626674</v>
      </c>
      <c r="AF235" s="804">
        <f t="shared" si="108"/>
        <v>554581612.52648687</v>
      </c>
      <c r="AG235" s="804">
        <f t="shared" si="108"/>
        <v>554581612.52648735</v>
      </c>
      <c r="AH235" s="804">
        <f t="shared" si="108"/>
        <v>636348689.88858223</v>
      </c>
      <c r="AI235" s="804">
        <f t="shared" si="108"/>
        <v>554581612.52648568</v>
      </c>
    </row>
    <row r="236" spans="1:35" ht="6" customHeight="1">
      <c r="B236" s="100"/>
      <c r="C236" s="100"/>
      <c r="D236" s="100"/>
      <c r="E236" s="100"/>
      <c r="F236" s="100"/>
      <c r="G236" s="100"/>
      <c r="H236" s="100"/>
      <c r="I236" s="100"/>
      <c r="J236" s="10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</row>
    <row r="237" spans="1:35" ht="15.75" customHeight="1">
      <c r="A237" s="88">
        <v>7</v>
      </c>
      <c r="B237" s="88" t="s">
        <v>523</v>
      </c>
      <c r="C237" s="482" t="s">
        <v>193</v>
      </c>
      <c r="D237" s="100"/>
      <c r="E237" s="100"/>
      <c r="F237" s="100"/>
      <c r="G237" s="100"/>
      <c r="H237" s="100"/>
      <c r="I237" s="100"/>
      <c r="J237" s="100"/>
      <c r="K237" s="805">
        <f ca="1">K485</f>
        <v>-380554047.68293267</v>
      </c>
      <c r="L237" s="805">
        <f t="shared" ref="L237:AI237" ca="1" si="109">L485</f>
        <v>-380554047.68293267</v>
      </c>
      <c r="M237" s="805">
        <f t="shared" ca="1" si="109"/>
        <v>-380554047.68293267</v>
      </c>
      <c r="N237" s="805">
        <f t="shared" ca="1" si="109"/>
        <v>-381586047.68293267</v>
      </c>
      <c r="O237" s="805">
        <f t="shared" ca="1" si="109"/>
        <v>-382618047.68293267</v>
      </c>
      <c r="P237" s="805">
        <f t="shared" ca="1" si="109"/>
        <v>-2222375</v>
      </c>
      <c r="Q237" s="805">
        <f t="shared" ca="1" si="109"/>
        <v>-3254375</v>
      </c>
      <c r="R237" s="805">
        <f t="shared" ca="1" si="109"/>
        <v>-4286375</v>
      </c>
      <c r="S237" s="805">
        <f t="shared" ca="1" si="109"/>
        <v>-3254375</v>
      </c>
      <c r="T237" s="805">
        <f t="shared" ca="1" si="109"/>
        <v>-3254375</v>
      </c>
      <c r="U237" s="805">
        <f t="shared" ca="1" si="109"/>
        <v>-4128000</v>
      </c>
      <c r="V237" s="805">
        <f t="shared" ca="1" si="109"/>
        <v>-3096000</v>
      </c>
      <c r="W237" s="805">
        <f t="shared" ca="1" si="109"/>
        <v>-3096000</v>
      </c>
      <c r="X237" s="805">
        <f t="shared" ca="1" si="109"/>
        <v>-4128000</v>
      </c>
      <c r="Y237" s="805">
        <f t="shared" ca="1" si="109"/>
        <v>-3096000</v>
      </c>
      <c r="Z237" s="805">
        <f t="shared" ca="1" si="109"/>
        <v>-3096000</v>
      </c>
      <c r="AA237" s="805">
        <f t="shared" ca="1" si="109"/>
        <v>-4128000</v>
      </c>
      <c r="AB237" s="805">
        <f t="shared" ca="1" si="109"/>
        <v>-3096000</v>
      </c>
      <c r="AC237" s="805">
        <f t="shared" ca="1" si="109"/>
        <v>-3096000</v>
      </c>
      <c r="AD237" s="805">
        <f t="shared" ca="1" si="109"/>
        <v>-4128000</v>
      </c>
      <c r="AE237" s="805">
        <f t="shared" ca="1" si="109"/>
        <v>-3096000</v>
      </c>
      <c r="AF237" s="805">
        <f t="shared" ca="1" si="109"/>
        <v>-3096000</v>
      </c>
      <c r="AG237" s="805">
        <f t="shared" ca="1" si="109"/>
        <v>-4128000</v>
      </c>
      <c r="AH237" s="805">
        <f t="shared" ca="1" si="109"/>
        <v>-3096000</v>
      </c>
      <c r="AI237" s="805">
        <f t="shared" ca="1" si="109"/>
        <v>-3096000</v>
      </c>
    </row>
    <row r="238" spans="1:35" ht="4.5" customHeight="1">
      <c r="A238" s="88"/>
      <c r="B238" s="88"/>
      <c r="C238" s="482"/>
      <c r="D238" s="100"/>
      <c r="E238" s="100"/>
      <c r="F238" s="100"/>
      <c r="G238" s="100"/>
      <c r="H238" s="100"/>
      <c r="I238" s="100"/>
      <c r="J238" s="100"/>
      <c r="K238" s="805"/>
      <c r="L238" s="805"/>
      <c r="M238" s="805"/>
      <c r="N238" s="805"/>
      <c r="O238" s="805"/>
      <c r="P238" s="805"/>
      <c r="Q238" s="805"/>
      <c r="R238" s="805"/>
      <c r="S238" s="805"/>
      <c r="T238" s="805"/>
      <c r="U238" s="805"/>
      <c r="V238" s="805"/>
      <c r="W238" s="805"/>
      <c r="X238" s="805"/>
      <c r="Y238" s="805"/>
      <c r="Z238" s="805"/>
      <c r="AA238" s="805"/>
      <c r="AB238" s="805"/>
      <c r="AC238" s="805"/>
      <c r="AD238" s="805"/>
      <c r="AE238" s="805"/>
      <c r="AF238" s="805"/>
      <c r="AG238" s="805"/>
      <c r="AH238" s="805"/>
      <c r="AI238" s="805"/>
    </row>
    <row r="239" spans="1:35" ht="15.75" customHeight="1">
      <c r="A239" s="88"/>
      <c r="B239" s="88" t="s">
        <v>524</v>
      </c>
      <c r="C239" s="110" t="s">
        <v>363</v>
      </c>
      <c r="D239" s="100"/>
      <c r="E239" s="100"/>
      <c r="F239" s="100"/>
      <c r="G239" s="100"/>
      <c r="H239" s="100"/>
      <c r="I239" s="100"/>
      <c r="J239" s="100"/>
      <c r="K239" s="804">
        <f ca="1">SUM(K235:K238)</f>
        <v>175664167.41042107</v>
      </c>
      <c r="L239" s="804">
        <f ca="1">SUM(L235:L238)</f>
        <v>242688375.54103321</v>
      </c>
      <c r="M239" s="804">
        <f ca="1">SUM(M235:M238)</f>
        <v>322611491.20186156</v>
      </c>
      <c r="N239" s="804">
        <f ca="1">SUM(N235:N238)</f>
        <v>266887678.71061164</v>
      </c>
      <c r="O239" s="804">
        <f t="shared" ref="O239:AI239" ca="1" si="110">SUM(O235:O238)</f>
        <v>273471213.7200442</v>
      </c>
      <c r="P239" s="804">
        <f t="shared" ca="1" si="110"/>
        <v>747418166.3287406</v>
      </c>
      <c r="Q239" s="804">
        <f t="shared" ca="1" si="110"/>
        <v>652444932.68269145</v>
      </c>
      <c r="R239" s="804">
        <f t="shared" ca="1" si="110"/>
        <v>650908290.07748938</v>
      </c>
      <c r="S239" s="804">
        <f t="shared" ca="1" si="110"/>
        <v>740671246.10644209</v>
      </c>
      <c r="T239" s="804">
        <f t="shared" ca="1" si="110"/>
        <v>589913125.79690623</v>
      </c>
      <c r="U239" s="804">
        <f t="shared" ca="1" si="110"/>
        <v>606663041.39695561</v>
      </c>
      <c r="V239" s="804">
        <f t="shared" ca="1" si="110"/>
        <v>696195481.88104463</v>
      </c>
      <c r="W239" s="804">
        <f t="shared" ca="1" si="110"/>
        <v>607695041.39695501</v>
      </c>
      <c r="X239" s="804">
        <f t="shared" ca="1" si="110"/>
        <v>609651523.70353031</v>
      </c>
      <c r="Y239" s="804">
        <f t="shared" ca="1" si="110"/>
        <v>699615509.15865564</v>
      </c>
      <c r="Z239" s="804">
        <f t="shared" ca="1" si="110"/>
        <v>611115068.67456353</v>
      </c>
      <c r="AA239" s="804">
        <f t="shared" ca="1" si="110"/>
        <v>610083068.67456353</v>
      </c>
      <c r="AB239" s="804">
        <f t="shared" ca="1" si="110"/>
        <v>699615509.15865362</v>
      </c>
      <c r="AC239" s="804">
        <f t="shared" ca="1" si="110"/>
        <v>611115068.67456412</v>
      </c>
      <c r="AD239" s="804">
        <f t="shared" ca="1" si="110"/>
        <v>571780986.38959765</v>
      </c>
      <c r="AE239" s="804">
        <f t="shared" ca="1" si="110"/>
        <v>619017459.35626674</v>
      </c>
      <c r="AF239" s="804">
        <f t="shared" ca="1" si="110"/>
        <v>551485612.52648687</v>
      </c>
      <c r="AG239" s="804">
        <f t="shared" ca="1" si="110"/>
        <v>550453612.52648735</v>
      </c>
      <c r="AH239" s="804">
        <f t="shared" ca="1" si="110"/>
        <v>633252689.88858223</v>
      </c>
      <c r="AI239" s="804">
        <f t="shared" ca="1" si="110"/>
        <v>551485612.52648568</v>
      </c>
    </row>
    <row r="240" spans="1:35" ht="6" customHeight="1">
      <c r="A240" s="88"/>
      <c r="B240" s="88"/>
      <c r="C240" s="100"/>
      <c r="D240" s="100"/>
      <c r="E240" s="100"/>
      <c r="F240" s="100"/>
      <c r="G240" s="100"/>
      <c r="H240" s="100"/>
      <c r="I240" s="100"/>
      <c r="J240" s="100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</row>
    <row r="241" spans="1:35" ht="15.75" customHeight="1">
      <c r="A241" s="88">
        <v>8</v>
      </c>
      <c r="B241" s="88" t="s">
        <v>523</v>
      </c>
      <c r="C241" s="482" t="s">
        <v>194</v>
      </c>
      <c r="D241" s="100"/>
      <c r="E241" s="100"/>
      <c r="F241" s="100"/>
      <c r="G241" s="100"/>
      <c r="H241" s="100"/>
      <c r="I241" s="100"/>
      <c r="J241" s="100"/>
      <c r="K241" s="108">
        <f>-K158</f>
        <v>-2952073.0328002605</v>
      </c>
      <c r="L241" s="108">
        <f>-L158</f>
        <v>-3168738.4407836008</v>
      </c>
      <c r="M241" s="108">
        <f>-M158</f>
        <v>-3604979.7061458286</v>
      </c>
      <c r="N241" s="108">
        <f>-N158</f>
        <v>-3387716.1599913649</v>
      </c>
      <c r="O241" s="108">
        <f t="shared" ref="O241:AI241" si="111">-O158</f>
        <v>-4264894.5537304617</v>
      </c>
      <c r="P241" s="108">
        <f t="shared" si="111"/>
        <v>-4771178.5468819039</v>
      </c>
      <c r="Q241" s="108">
        <f t="shared" si="111"/>
        <v>-4264894.5537304617</v>
      </c>
      <c r="R241" s="108">
        <f t="shared" si="111"/>
        <v>-4264894.5537304599</v>
      </c>
      <c r="S241" s="108">
        <f t="shared" si="111"/>
        <v>-4750789.421482184</v>
      </c>
      <c r="T241" s="108">
        <f t="shared" si="111"/>
        <v>-4020561.9989897464</v>
      </c>
      <c r="U241" s="108">
        <f t="shared" si="111"/>
        <v>-4090563.7405776936</v>
      </c>
      <c r="V241" s="108">
        <f t="shared" si="111"/>
        <v>-4575391.6336487886</v>
      </c>
      <c r="W241" s="108">
        <f t="shared" si="111"/>
        <v>-4090563.7405776912</v>
      </c>
      <c r="X241" s="108">
        <f t="shared" si="111"/>
        <v>-4090563.7405776912</v>
      </c>
      <c r="Y241" s="108">
        <f t="shared" si="111"/>
        <v>-4575391.633648796</v>
      </c>
      <c r="Z241" s="108">
        <f t="shared" si="111"/>
        <v>-4090563.7405776875</v>
      </c>
      <c r="AA241" s="108">
        <f t="shared" si="111"/>
        <v>-4090563.7405776875</v>
      </c>
      <c r="AB241" s="108">
        <f t="shared" si="111"/>
        <v>-4575391.6336487876</v>
      </c>
      <c r="AC241" s="108">
        <f t="shared" si="111"/>
        <v>-4090563.7405776898</v>
      </c>
      <c r="AD241" s="108">
        <f t="shared" si="111"/>
        <v>-3945406.9466999173</v>
      </c>
      <c r="AE241" s="108">
        <f t="shared" si="111"/>
        <v>-4274797.4596343162</v>
      </c>
      <c r="AF241" s="108">
        <f t="shared" si="111"/>
        <v>-3873258.0559628773</v>
      </c>
      <c r="AG241" s="108">
        <f t="shared" si="111"/>
        <v>-3873258.0559628787</v>
      </c>
      <c r="AH241" s="108">
        <f t="shared" si="111"/>
        <v>-4331340.6340044662</v>
      </c>
      <c r="AI241" s="108">
        <f t="shared" si="111"/>
        <v>-3873258.0559628727</v>
      </c>
    </row>
    <row r="242" spans="1:35" ht="15.75" customHeight="1">
      <c r="A242" s="88"/>
      <c r="B242" s="88"/>
      <c r="C242" s="482"/>
      <c r="D242" s="100"/>
      <c r="E242" s="100"/>
      <c r="F242" s="100"/>
      <c r="G242" s="100"/>
      <c r="H242" s="100"/>
      <c r="I242" s="100"/>
      <c r="J242" s="100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  <c r="AA242" s="108"/>
      <c r="AB242" s="108"/>
      <c r="AC242" s="108"/>
      <c r="AD242" s="108"/>
      <c r="AE242" s="108"/>
      <c r="AF242" s="108"/>
      <c r="AG242" s="108"/>
      <c r="AH242" s="108"/>
      <c r="AI242" s="108"/>
    </row>
    <row r="243" spans="1:35" ht="15.75" customHeight="1">
      <c r="A243" s="88">
        <v>9</v>
      </c>
      <c r="B243" s="88" t="s">
        <v>525</v>
      </c>
      <c r="C243" s="482" t="s">
        <v>187</v>
      </c>
      <c r="D243" s="100"/>
      <c r="E243" s="100"/>
      <c r="F243" s="100"/>
      <c r="G243" s="100"/>
      <c r="H243" s="100"/>
      <c r="I243" s="100"/>
      <c r="J243" s="100"/>
      <c r="K243" s="108">
        <f>K604</f>
        <v>0</v>
      </c>
      <c r="L243" s="108">
        <f>L604</f>
        <v>0</v>
      </c>
      <c r="M243" s="108">
        <f ca="1">M604</f>
        <v>0</v>
      </c>
      <c r="N243" s="108">
        <f ca="1">N604</f>
        <v>0</v>
      </c>
      <c r="O243" s="108">
        <f ca="1">O604</f>
        <v>0</v>
      </c>
      <c r="P243" s="108">
        <f t="shared" ref="P243:AI243" ca="1" si="112">P604</f>
        <v>20051220.521823037</v>
      </c>
      <c r="Q243" s="108">
        <f t="shared" ca="1" si="112"/>
        <v>38458937.864366256</v>
      </c>
      <c r="R243" s="108">
        <f t="shared" ca="1" si="112"/>
        <v>55856364.038906604</v>
      </c>
      <c r="S243" s="108">
        <f t="shared" ca="1" si="112"/>
        <v>72530046.591368183</v>
      </c>
      <c r="T243" s="108">
        <f t="shared" ca="1" si="112"/>
        <v>90653444.233462706</v>
      </c>
      <c r="U243" s="108">
        <f t="shared" ca="1" si="112"/>
        <v>108513597.62312552</v>
      </c>
      <c r="V243" s="108">
        <f t="shared" ca="1" si="112"/>
        <v>125178081.68516052</v>
      </c>
      <c r="W243" s="108">
        <f t="shared" ca="1" si="112"/>
        <v>143494049.01832002</v>
      </c>
      <c r="X243" s="108">
        <f t="shared" ca="1" si="112"/>
        <v>162277321.40160707</v>
      </c>
      <c r="Y243" s="108">
        <f t="shared" ca="1" si="112"/>
        <v>180451088.52789465</v>
      </c>
      <c r="Z243" s="108">
        <f t="shared" ca="1" si="112"/>
        <v>200154878.13942036</v>
      </c>
      <c r="AA243" s="108">
        <f t="shared" ca="1" si="112"/>
        <v>220363091.97295919</v>
      </c>
      <c r="AB243" s="108">
        <f t="shared" ca="1" si="112"/>
        <v>239962427.94838521</v>
      </c>
      <c r="AC243" s="108">
        <f t="shared" ca="1" si="112"/>
        <v>261085297.44128746</v>
      </c>
      <c r="AD243" s="108">
        <f t="shared" ca="1" si="112"/>
        <v>282739157.61547142</v>
      </c>
      <c r="AE243" s="108">
        <f t="shared" ca="1" si="112"/>
        <v>303372509.17126042</v>
      </c>
      <c r="AF243" s="108">
        <f t="shared" ca="1" si="112"/>
        <v>324609692.06029624</v>
      </c>
      <c r="AG243" s="108">
        <f t="shared" ca="1" si="112"/>
        <v>346118156.6766448</v>
      </c>
      <c r="AH243" s="108">
        <f t="shared" ca="1" si="112"/>
        <v>367287914.24934769</v>
      </c>
      <c r="AI243" s="108">
        <f t="shared" ca="1" si="112"/>
        <v>389943371.96549428</v>
      </c>
    </row>
    <row r="244" spans="1:35" ht="15.75" customHeight="1">
      <c r="A244" s="88">
        <v>4</v>
      </c>
      <c r="B244" s="483" t="s">
        <v>195</v>
      </c>
      <c r="C244" s="110"/>
      <c r="D244" s="100"/>
      <c r="E244" s="100"/>
      <c r="F244" s="100"/>
      <c r="G244" s="100"/>
      <c r="H244" s="100"/>
      <c r="I244" s="100"/>
      <c r="J244" s="100"/>
      <c r="K244" s="804"/>
      <c r="L244" s="804"/>
      <c r="M244" s="804"/>
      <c r="N244" s="804"/>
      <c r="O244" s="804"/>
      <c r="P244" s="804"/>
    </row>
    <row r="245" spans="1:35" ht="15.75" customHeight="1">
      <c r="A245" s="88"/>
      <c r="B245" s="88" t="s">
        <v>524</v>
      </c>
      <c r="C245" s="110" t="s">
        <v>188</v>
      </c>
      <c r="D245" s="100"/>
      <c r="E245" s="100"/>
      <c r="F245" s="100"/>
      <c r="G245" s="100"/>
      <c r="H245" s="100"/>
      <c r="I245" s="100"/>
      <c r="J245" s="100"/>
      <c r="K245" s="804">
        <f ca="1">SUM(K239:K244)</f>
        <v>172712094.37762082</v>
      </c>
      <c r="L245" s="804">
        <f ca="1">SUM(L239:L244)</f>
        <v>239519637.10024962</v>
      </c>
      <c r="M245" s="804">
        <f ca="1">SUM(M239:M244)</f>
        <v>319006511.49571574</v>
      </c>
      <c r="N245" s="804">
        <f ca="1">SUM(N239:N244)</f>
        <v>263499962.55062029</v>
      </c>
      <c r="O245" s="804">
        <f t="shared" ref="O245:AI245" ca="1" si="113">SUM(O239:O244)</f>
        <v>269206319.16631371</v>
      </c>
      <c r="P245" s="804">
        <f t="shared" ca="1" si="113"/>
        <v>762698208.30368173</v>
      </c>
      <c r="Q245" s="804">
        <f t="shared" ca="1" si="113"/>
        <v>686638975.99332726</v>
      </c>
      <c r="R245" s="804">
        <f t="shared" ca="1" si="113"/>
        <v>702499759.56266546</v>
      </c>
      <c r="S245" s="804">
        <f t="shared" ca="1" si="113"/>
        <v>808450503.27632809</v>
      </c>
      <c r="T245" s="804">
        <f t="shared" ca="1" si="113"/>
        <v>676546008.03137922</v>
      </c>
      <c r="U245" s="804">
        <f t="shared" ca="1" si="113"/>
        <v>711086075.27950346</v>
      </c>
      <c r="V245" s="804">
        <f t="shared" ca="1" si="113"/>
        <v>816798171.93255639</v>
      </c>
      <c r="W245" s="804">
        <f t="shared" ca="1" si="113"/>
        <v>747098526.6746974</v>
      </c>
      <c r="X245" s="804">
        <f t="shared" ca="1" si="113"/>
        <v>767838281.36455965</v>
      </c>
      <c r="Y245" s="804">
        <f t="shared" ca="1" si="113"/>
        <v>875491206.05290151</v>
      </c>
      <c r="Z245" s="804">
        <f t="shared" ca="1" si="113"/>
        <v>807179383.07340622</v>
      </c>
      <c r="AA245" s="804">
        <f t="shared" ca="1" si="113"/>
        <v>826355596.90694499</v>
      </c>
      <c r="AB245" s="804">
        <f t="shared" ca="1" si="113"/>
        <v>935002545.4733901</v>
      </c>
      <c r="AC245" s="804">
        <f t="shared" ca="1" si="113"/>
        <v>868109802.37527394</v>
      </c>
      <c r="AD245" s="804">
        <f t="shared" ca="1" si="113"/>
        <v>850574737.05836916</v>
      </c>
      <c r="AE245" s="804">
        <f t="shared" ca="1" si="113"/>
        <v>918115171.06789279</v>
      </c>
      <c r="AF245" s="804">
        <f t="shared" ca="1" si="113"/>
        <v>872222046.53082013</v>
      </c>
      <c r="AG245" s="804">
        <f t="shared" ca="1" si="113"/>
        <v>892698511.14716923</v>
      </c>
      <c r="AH245" s="804">
        <f t="shared" ca="1" si="113"/>
        <v>996209263.50392544</v>
      </c>
      <c r="AI245" s="804">
        <f t="shared" ca="1" si="113"/>
        <v>937555726.43601704</v>
      </c>
    </row>
    <row r="246" spans="1:35" ht="6.75" customHeight="1">
      <c r="C246" s="75"/>
      <c r="N246" s="75"/>
      <c r="P246" s="75"/>
    </row>
    <row r="247" spans="1:35" ht="15.75" customHeight="1">
      <c r="A247" s="88">
        <v>10</v>
      </c>
      <c r="B247" s="88" t="s">
        <v>523</v>
      </c>
      <c r="C247" s="110" t="s">
        <v>189</v>
      </c>
      <c r="D247" s="100"/>
      <c r="E247" s="100"/>
      <c r="F247" s="100"/>
      <c r="G247" s="100"/>
      <c r="H247" s="804">
        <f>IF(SUM($G$245:H245)&lt;0,0,IF((SUM($G$245:H245)*H250+SUM($G$247:G247))&gt;0,-SUM($G$245:H245)*H250-SUM($G$247:G247),0))</f>
        <v>0</v>
      </c>
      <c r="I247" s="804">
        <f>IF(SUM($G$245:I245)&lt;0,0,IF((SUM($G$245:I245)*I250+SUM($G$247:H247))&gt;0,-SUM($G$245:I245)*I250-SUM($G$247:H247),0))</f>
        <v>0</v>
      </c>
      <c r="J247" s="804">
        <f>IF(SUM($G$245:J245)&lt;0,0,IF((SUM($G$245:J245)*J250+SUM($G$247:I247))&gt;0,-SUM($G$245:J245)*J250-SUM($G$247:I247),0))</f>
        <v>0</v>
      </c>
      <c r="K247" s="804">
        <f ca="1">IF(SUM($G$245:K245)&lt;0,0,IF((SUM($G$245:K245)*K250+SUM($G$247:J247))&gt;0,-SUM($G$245:K245)*K250-SUM($G$247:J247),0))</f>
        <v>-43178023.594405204</v>
      </c>
      <c r="L247" s="804">
        <f ca="1">IF(SUM($G$245:L245)&lt;0,0,IF((SUM($G$245:L245)*L250+SUM($G$247:K247))&gt;0,-SUM($G$245:L245)*L250-SUM($G$247:K247),0))</f>
        <v>-59879909.275062412</v>
      </c>
      <c r="M247" s="804">
        <f ca="1">IF(SUM($G$245:M245)&lt;0,0,IF((SUM($G$245:M245)*M250+SUM($G$247:L247))&gt;0,-SUM($G$245:M245)*M250-SUM($G$247:L247),0))</f>
        <v>-79751627.873928934</v>
      </c>
      <c r="N247" s="804">
        <f ca="1">IF(SUM($G$245:N245)&lt;0,0,IF((SUM($G$245:N245)*N250+SUM($G$247:M247))&gt;0,-SUM($G$245:N245)*N250-SUM($G$247:M247),0))</f>
        <v>-65874990.637655079</v>
      </c>
      <c r="O247" s="804">
        <f ca="1">IF(SUM($G$245:O245)&lt;0,0,IF((SUM($G$245:O245)*O250+SUM($G$247:N247))&gt;0,-SUM($G$245:O245)*O250-SUM($G$247:N247),0))</f>
        <v>-67301579.791578442</v>
      </c>
      <c r="P247" s="804">
        <f ca="1">IF(SUM($G$245:P245)&lt;0,0,IF((SUM($G$245:P245)*P250+SUM($G$247:O247))&gt;0,-SUM($G$245:P245)*P250-SUM($G$247:O247),0))</f>
        <v>-190674552.07592046</v>
      </c>
      <c r="Q247" s="804">
        <f ca="1">IF(SUM($G$245:Q245)&lt;0,0,IF((SUM($G$245:Q245)*Q250+SUM($G$247:P247))&gt;0,-SUM($G$245:Q245)*Q250-SUM($G$247:P247),0))</f>
        <v>-171659743.99833179</v>
      </c>
      <c r="R247" s="804">
        <f ca="1">IF(SUM($G$245:R245)&lt;0,0,IF((SUM($G$245:R245)*R250+SUM($G$247:Q247))&gt;0,-SUM($G$245:R245)*R250-SUM($G$247:Q247),0))</f>
        <v>-175624939.89066637</v>
      </c>
      <c r="S247" s="804">
        <f ca="1">IF(SUM($G$245:S245)&lt;0,0,IF((SUM($G$245:S245)*S250+SUM($G$247:R247))&gt;0,-SUM($G$245:S245)*S250-SUM($G$247:R247),0))</f>
        <v>-202112625.81908202</v>
      </c>
      <c r="T247" s="804">
        <f ca="1">IF(SUM($G$245:T245)&lt;0,0,IF((SUM($G$245:T245)*T250+SUM($G$247:S247))&gt;0,-SUM($G$245:T245)*T250-SUM($G$247:S247),0))</f>
        <v>-169136502.00784492</v>
      </c>
      <c r="U247" s="804">
        <f ca="1">IF(SUM($G$245:U245)&lt;0,0,IF((SUM($G$245:U245)*U250+SUM($G$247:T247))&gt;0,-SUM($G$245:U245)*U250-SUM($G$247:T247),0))</f>
        <v>-177771518.81987596</v>
      </c>
      <c r="V247" s="804">
        <f ca="1">IF(SUM($G$245:V245)&lt;0,0,IF((SUM($G$245:V245)*V250+SUM($G$247:U247))&gt;0,-SUM($G$245:V245)*V250-SUM($G$247:U247),0))</f>
        <v>-204199542.98313904</v>
      </c>
      <c r="W247" s="804">
        <f ca="1">IF(SUM($G$245:W245)&lt;0,0,IF((SUM($G$245:W245)*W250+SUM($G$247:V247))&gt;0,-SUM($G$245:W245)*W250-SUM($G$247:V247),0))</f>
        <v>-186774631.66867423</v>
      </c>
      <c r="X247" s="804">
        <f ca="1">IF(SUM($G$245:X245)&lt;0,0,IF((SUM($G$245:X245)*X250+SUM($G$247:W247))&gt;0,-SUM($G$245:X245)*X250-SUM($G$247:W247),0))</f>
        <v>-191959570.34113979</v>
      </c>
      <c r="Y247" s="804">
        <f ca="1">IF(SUM($G$245:Y245)&lt;0,0,IF((SUM($G$245:Y245)*Y250+SUM($G$247:X247))&gt;0,-SUM($G$245:Y245)*Y250-SUM($G$247:X247),0))</f>
        <v>-218872801.51322556</v>
      </c>
      <c r="Z247" s="804">
        <f ca="1">IF(SUM($G$245:Z245)&lt;0,0,IF((SUM($G$245:Z245)*Z250+SUM($G$247:Y247))&gt;0,-SUM($G$245:Z245)*Z250-SUM($G$247:Y247),0))</f>
        <v>-201794845.76835155</v>
      </c>
      <c r="AA247" s="804">
        <f ca="1">IF(SUM($G$245:AA245)&lt;0,0,IF((SUM($G$245:AA245)*AA250+SUM($G$247:Z247))&gt;0,-SUM($G$245:AA245)*AA250-SUM($G$247:Z247),0))</f>
        <v>-206588899.22673607</v>
      </c>
      <c r="AB247" s="804">
        <f ca="1">IF(SUM($G$245:AB245)&lt;0,0,IF((SUM($G$245:AB245)*AB250+SUM($G$247:AA247))&gt;0,-SUM($G$245:AB245)*AB250-SUM($G$247:AA247),0))</f>
        <v>-233750636.36834764</v>
      </c>
      <c r="AC247" s="804">
        <f ca="1">IF(SUM($G$245:AC245)&lt;0,0,IF((SUM($G$245:AC245)*AC250+SUM($G$247:AB247))&gt;0,-SUM($G$245:AC245)*AC250-SUM($G$247:AB247),0))</f>
        <v>-217027450.59381866</v>
      </c>
      <c r="AD247" s="804">
        <f ca="1">IF(SUM($G$245:AD245)&lt;0,0,IF((SUM($G$245:AD245)*AD250+SUM($G$247:AC247))&gt;0,-SUM($G$245:AD245)*AD250-SUM($G$247:AC247),0))</f>
        <v>-212643684.26459217</v>
      </c>
      <c r="AE247" s="804">
        <f ca="1">IF(SUM($G$245:AE245)&lt;0,0,IF((SUM($G$245:AE245)*AE250+SUM($G$247:AD247))&gt;0,-SUM($G$245:AE245)*AE250-SUM($G$247:AD247),0))</f>
        <v>-229528792.76697302</v>
      </c>
      <c r="AF247" s="804">
        <f ca="1">IF(SUM($G$245:AF245)&lt;0,0,IF((SUM($G$245:AF245)*AF250+SUM($G$247:AE247))&gt;0,-SUM($G$245:AF245)*AF250-SUM($G$247:AE247),0))</f>
        <v>-218055511.63270521</v>
      </c>
      <c r="AG247" s="804">
        <f ca="1">IF(SUM($G$245:AG245)&lt;0,0,IF((SUM($G$245:AG245)*AG250+SUM($G$247:AF247))&gt;0,-SUM($G$245:AG245)*AG250-SUM($G$247:AF247),0))</f>
        <v>-223174627.78679228</v>
      </c>
      <c r="AH247" s="804">
        <f ca="1">IF(SUM($G$245:AH245)&lt;0,0,IF((SUM($G$245:AH245)*AH250+SUM($G$247:AG247))&gt;0,-SUM($G$245:AH245)*AH250-SUM($G$247:AG247),0))</f>
        <v>-249052315.87598133</v>
      </c>
      <c r="AI247" s="804">
        <f ca="1">IF(SUM($G$245:AI245)&lt;0,0,IF((SUM($G$245:AI245)*AI250+SUM($G$247:AH247))&gt;0,-SUM($G$245:AI245)*AI250-SUM($G$247:AH247),0))</f>
        <v>-234388931.60900402</v>
      </c>
    </row>
    <row r="248" spans="1:35" ht="15.75" customHeight="1">
      <c r="A248" s="88"/>
      <c r="B248" s="88" t="s">
        <v>524</v>
      </c>
      <c r="C248" s="110" t="s">
        <v>190</v>
      </c>
      <c r="D248" s="100"/>
      <c r="E248" s="100"/>
      <c r="F248" s="100"/>
      <c r="G248" s="100"/>
      <c r="H248" s="100"/>
      <c r="I248" s="100"/>
      <c r="J248" s="100"/>
      <c r="K248" s="804">
        <f ca="1">SUM(K245:K247)</f>
        <v>129534070.78321561</v>
      </c>
      <c r="L248" s="804">
        <f ca="1">SUM(L245:L247)</f>
        <v>179639727.82518721</v>
      </c>
      <c r="M248" s="804">
        <f ca="1">SUM(M245:M247)</f>
        <v>239254883.6217868</v>
      </c>
      <c r="N248" s="804">
        <f ca="1">SUM(N245:N247)</f>
        <v>197624971.91296521</v>
      </c>
      <c r="O248" s="804">
        <f ca="1">SUM(O245:O247)</f>
        <v>201904739.37473527</v>
      </c>
      <c r="P248" s="804">
        <f t="shared" ref="P248:AI248" ca="1" si="114">SUM(P245:P247)</f>
        <v>572023656.22776127</v>
      </c>
      <c r="Q248" s="804">
        <f t="shared" ca="1" si="114"/>
        <v>514979231.99499547</v>
      </c>
      <c r="R248" s="804">
        <f t="shared" ca="1" si="114"/>
        <v>526874819.6719991</v>
      </c>
      <c r="S248" s="804">
        <f t="shared" ca="1" si="114"/>
        <v>606337877.45724607</v>
      </c>
      <c r="T248" s="804">
        <f t="shared" ca="1" si="114"/>
        <v>507409506.0235343</v>
      </c>
      <c r="U248" s="804">
        <f t="shared" ca="1" si="114"/>
        <v>533314556.45962751</v>
      </c>
      <c r="V248" s="804">
        <f t="shared" ca="1" si="114"/>
        <v>612598628.94941735</v>
      </c>
      <c r="W248" s="804">
        <f t="shared" ca="1" si="114"/>
        <v>560323895.00602317</v>
      </c>
      <c r="X248" s="804">
        <f t="shared" ca="1" si="114"/>
        <v>575878711.02341986</v>
      </c>
      <c r="Y248" s="804">
        <f t="shared" ca="1" si="114"/>
        <v>656618404.53967595</v>
      </c>
      <c r="Z248" s="804">
        <f t="shared" ca="1" si="114"/>
        <v>605384537.30505466</v>
      </c>
      <c r="AA248" s="804">
        <f t="shared" ca="1" si="114"/>
        <v>619766697.68020892</v>
      </c>
      <c r="AB248" s="804">
        <f t="shared" ca="1" si="114"/>
        <v>701251909.10504246</v>
      </c>
      <c r="AC248" s="804">
        <f t="shared" ca="1" si="114"/>
        <v>651082351.78145528</v>
      </c>
      <c r="AD248" s="804">
        <f t="shared" ca="1" si="114"/>
        <v>637931052.79377699</v>
      </c>
      <c r="AE248" s="804">
        <f t="shared" ca="1" si="114"/>
        <v>688586378.30091977</v>
      </c>
      <c r="AF248" s="804">
        <f t="shared" ca="1" si="114"/>
        <v>654166534.89811492</v>
      </c>
      <c r="AG248" s="804">
        <f t="shared" ca="1" si="114"/>
        <v>669523883.36037695</v>
      </c>
      <c r="AH248" s="804">
        <f t="shared" ca="1" si="114"/>
        <v>747156947.62794411</v>
      </c>
      <c r="AI248" s="804">
        <f t="shared" ca="1" si="114"/>
        <v>703166794.82701302</v>
      </c>
    </row>
    <row r="249" spans="1:35" ht="15.75" customHeight="1">
      <c r="A249" s="88"/>
      <c r="B249" s="88"/>
      <c r="C249" s="110"/>
      <c r="D249" s="100"/>
      <c r="E249" s="100"/>
      <c r="F249" s="100"/>
      <c r="G249" s="100"/>
      <c r="H249" s="100"/>
      <c r="I249" s="100"/>
      <c r="J249" s="100"/>
      <c r="K249" s="804"/>
      <c r="L249" s="804"/>
      <c r="M249" s="804"/>
      <c r="N249" s="804"/>
      <c r="O249" s="804"/>
      <c r="P249" s="804"/>
    </row>
    <row r="250" spans="1:35" ht="15.75" customHeight="1">
      <c r="B250" s="111"/>
      <c r="C250" s="483" t="s">
        <v>444</v>
      </c>
      <c r="D250" s="110"/>
      <c r="E250" s="114"/>
      <c r="F250" s="110"/>
      <c r="G250" s="110"/>
      <c r="H250" s="110"/>
      <c r="I250" s="110"/>
      <c r="J250" s="110"/>
      <c r="K250" s="806">
        <v>0.25</v>
      </c>
      <c r="L250" s="806">
        <f>K250</f>
        <v>0.25</v>
      </c>
      <c r="M250" s="806">
        <f>L250</f>
        <v>0.25</v>
      </c>
      <c r="N250" s="806">
        <f>M250</f>
        <v>0.25</v>
      </c>
      <c r="O250" s="806">
        <f>N250</f>
        <v>0.25</v>
      </c>
      <c r="P250" s="806">
        <f>O250</f>
        <v>0.25</v>
      </c>
      <c r="Q250" s="806">
        <f t="shared" ref="Q250:AI250" si="115">P250</f>
        <v>0.25</v>
      </c>
      <c r="R250" s="806">
        <f t="shared" si="115"/>
        <v>0.25</v>
      </c>
      <c r="S250" s="806">
        <f t="shared" si="115"/>
        <v>0.25</v>
      </c>
      <c r="T250" s="806">
        <f t="shared" si="115"/>
        <v>0.25</v>
      </c>
      <c r="U250" s="806">
        <f t="shared" si="115"/>
        <v>0.25</v>
      </c>
      <c r="V250" s="806">
        <f t="shared" si="115"/>
        <v>0.25</v>
      </c>
      <c r="W250" s="806">
        <f t="shared" si="115"/>
        <v>0.25</v>
      </c>
      <c r="X250" s="806">
        <f t="shared" si="115"/>
        <v>0.25</v>
      </c>
      <c r="Y250" s="806">
        <f t="shared" si="115"/>
        <v>0.25</v>
      </c>
      <c r="Z250" s="806">
        <f t="shared" si="115"/>
        <v>0.25</v>
      </c>
      <c r="AA250" s="806">
        <f t="shared" si="115"/>
        <v>0.25</v>
      </c>
      <c r="AB250" s="806">
        <f t="shared" si="115"/>
        <v>0.25</v>
      </c>
      <c r="AC250" s="806">
        <f t="shared" si="115"/>
        <v>0.25</v>
      </c>
      <c r="AD250" s="806">
        <f t="shared" si="115"/>
        <v>0.25</v>
      </c>
      <c r="AE250" s="806">
        <f t="shared" si="115"/>
        <v>0.25</v>
      </c>
      <c r="AF250" s="806">
        <f t="shared" si="115"/>
        <v>0.25</v>
      </c>
      <c r="AG250" s="806">
        <f t="shared" si="115"/>
        <v>0.25</v>
      </c>
      <c r="AH250" s="806">
        <f t="shared" si="115"/>
        <v>0.25</v>
      </c>
      <c r="AI250" s="806">
        <f t="shared" si="115"/>
        <v>0.25</v>
      </c>
    </row>
    <row r="251" spans="1:35" ht="15.75" customHeight="1"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76"/>
    </row>
    <row r="252" spans="1:35" ht="15.75" customHeight="1"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76"/>
    </row>
    <row r="253" spans="1:35" ht="15.75" customHeight="1"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76"/>
    </row>
    <row r="254" spans="1:35" ht="15.75" customHeight="1"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76"/>
    </row>
    <row r="255" spans="1:35" ht="15.75" customHeight="1">
      <c r="B255" s="111"/>
      <c r="C255" s="110"/>
      <c r="D255" s="110"/>
      <c r="E255" s="114"/>
      <c r="F255" s="110"/>
      <c r="G255" s="110"/>
      <c r="H255" s="110"/>
      <c r="I255" s="110"/>
      <c r="J255" s="110"/>
      <c r="K255" s="108"/>
      <c r="L255" s="108"/>
      <c r="M255" s="108"/>
      <c r="N255" s="108"/>
      <c r="O255" s="76"/>
    </row>
    <row r="256" spans="1:35" ht="15.75" customHeight="1">
      <c r="B256" s="111"/>
      <c r="C256" s="110"/>
      <c r="D256" s="110"/>
      <c r="E256" s="114"/>
      <c r="F256" s="110"/>
      <c r="G256" s="110"/>
      <c r="H256" s="110"/>
      <c r="I256" s="110"/>
      <c r="J256" s="110"/>
      <c r="K256" s="108"/>
      <c r="L256" s="108"/>
      <c r="M256" s="108"/>
      <c r="N256" s="108"/>
      <c r="O256" s="76"/>
    </row>
    <row r="257" spans="2:35" ht="27" customHeight="1">
      <c r="B257" s="111"/>
      <c r="C257" s="499" t="s">
        <v>370</v>
      </c>
      <c r="K257" s="102"/>
      <c r="L257" s="102"/>
      <c r="M257" s="103"/>
      <c r="N257" s="137"/>
      <c r="O257" s="103"/>
      <c r="P257" s="137"/>
    </row>
    <row r="258" spans="2:35" ht="3" customHeight="1">
      <c r="B258" s="111"/>
      <c r="C258" s="104"/>
      <c r="D258" s="104"/>
      <c r="E258" s="104"/>
      <c r="F258" s="104"/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</row>
    <row r="259" spans="2:35" ht="15.75" customHeight="1">
      <c r="B259" s="111"/>
      <c r="C259" s="75"/>
      <c r="K259" s="102"/>
      <c r="L259" s="102"/>
      <c r="M259" s="103"/>
      <c r="N259" s="137"/>
      <c r="O259" s="103"/>
      <c r="P259" s="137"/>
    </row>
    <row r="260" spans="2:35" ht="15.75" customHeight="1">
      <c r="B260" s="76"/>
      <c r="C260" s="480" t="s">
        <v>418</v>
      </c>
      <c r="K260" s="102"/>
      <c r="L260" s="500"/>
      <c r="M260" s="105"/>
      <c r="N260" s="138"/>
      <c r="O260" s="105"/>
      <c r="P260" s="138"/>
    </row>
    <row r="261" spans="2:35" ht="15.75" customHeight="1">
      <c r="B261" s="91"/>
      <c r="C261" s="546"/>
      <c r="D261" s="106"/>
      <c r="E261" s="106"/>
      <c r="F261" s="106"/>
      <c r="G261" s="768">
        <f>H261-1</f>
        <v>-4</v>
      </c>
      <c r="H261" s="768">
        <f>I261-1</f>
        <v>-3</v>
      </c>
      <c r="I261" s="768">
        <f>J261-1</f>
        <v>-2</v>
      </c>
      <c r="J261" s="768">
        <v>-1</v>
      </c>
      <c r="K261" s="768">
        <f>J261+2</f>
        <v>1</v>
      </c>
      <c r="L261" s="768">
        <f t="shared" ref="L261:AI261" si="116">K261+1</f>
        <v>2</v>
      </c>
      <c r="M261" s="768">
        <f t="shared" si="116"/>
        <v>3</v>
      </c>
      <c r="N261" s="768">
        <f t="shared" si="116"/>
        <v>4</v>
      </c>
      <c r="O261" s="768">
        <f t="shared" si="116"/>
        <v>5</v>
      </c>
      <c r="P261" s="768">
        <f t="shared" si="116"/>
        <v>6</v>
      </c>
      <c r="Q261" s="768">
        <f t="shared" si="116"/>
        <v>7</v>
      </c>
      <c r="R261" s="768">
        <f t="shared" si="116"/>
        <v>8</v>
      </c>
      <c r="S261" s="768">
        <f t="shared" si="116"/>
        <v>9</v>
      </c>
      <c r="T261" s="768">
        <f t="shared" si="116"/>
        <v>10</v>
      </c>
      <c r="U261" s="768">
        <f t="shared" si="116"/>
        <v>11</v>
      </c>
      <c r="V261" s="768">
        <f t="shared" si="116"/>
        <v>12</v>
      </c>
      <c r="W261" s="768">
        <f t="shared" si="116"/>
        <v>13</v>
      </c>
      <c r="X261" s="768">
        <f t="shared" si="116"/>
        <v>14</v>
      </c>
      <c r="Y261" s="768">
        <f t="shared" si="116"/>
        <v>15</v>
      </c>
      <c r="Z261" s="768">
        <f t="shared" si="116"/>
        <v>16</v>
      </c>
      <c r="AA261" s="768">
        <f t="shared" si="116"/>
        <v>17</v>
      </c>
      <c r="AB261" s="768">
        <f t="shared" si="116"/>
        <v>18</v>
      </c>
      <c r="AC261" s="768">
        <f t="shared" si="116"/>
        <v>19</v>
      </c>
      <c r="AD261" s="768">
        <f t="shared" si="116"/>
        <v>20</v>
      </c>
      <c r="AE261" s="768">
        <f t="shared" si="116"/>
        <v>21</v>
      </c>
      <c r="AF261" s="768">
        <f t="shared" si="116"/>
        <v>22</v>
      </c>
      <c r="AG261" s="768">
        <f t="shared" si="116"/>
        <v>23</v>
      </c>
      <c r="AH261" s="768">
        <f t="shared" si="116"/>
        <v>24</v>
      </c>
      <c r="AI261" s="768">
        <f t="shared" si="116"/>
        <v>25</v>
      </c>
    </row>
    <row r="262" spans="2:35" ht="15.75" customHeight="1">
      <c r="B262" s="91"/>
      <c r="C262" s="548"/>
      <c r="D262" s="469"/>
      <c r="E262" s="469"/>
      <c r="F262" s="469"/>
      <c r="G262" s="469"/>
      <c r="H262" s="469"/>
      <c r="I262" s="548"/>
      <c r="J262" s="548"/>
      <c r="K262" s="769">
        <f>INT(ROUNDUP(K261/12,0))</f>
        <v>1</v>
      </c>
      <c r="L262" s="769">
        <f>INT(ROUNDUP(L261/12,0))</f>
        <v>1</v>
      </c>
      <c r="M262" s="769">
        <f t="shared" ref="M262:AI262" si="117">INT(ROUNDUP(M261/12,0))</f>
        <v>1</v>
      </c>
      <c r="N262" s="769">
        <f t="shared" si="117"/>
        <v>1</v>
      </c>
      <c r="O262" s="769">
        <f t="shared" si="117"/>
        <v>1</v>
      </c>
      <c r="P262" s="769">
        <f t="shared" si="117"/>
        <v>1</v>
      </c>
      <c r="Q262" s="769">
        <f t="shared" si="117"/>
        <v>1</v>
      </c>
      <c r="R262" s="769">
        <f t="shared" si="117"/>
        <v>1</v>
      </c>
      <c r="S262" s="769">
        <f t="shared" si="117"/>
        <v>1</v>
      </c>
      <c r="T262" s="769">
        <f t="shared" si="117"/>
        <v>1</v>
      </c>
      <c r="U262" s="769">
        <f t="shared" si="117"/>
        <v>1</v>
      </c>
      <c r="V262" s="769">
        <f t="shared" si="117"/>
        <v>1</v>
      </c>
      <c r="W262" s="769">
        <f t="shared" si="117"/>
        <v>2</v>
      </c>
      <c r="X262" s="769">
        <f t="shared" si="117"/>
        <v>2</v>
      </c>
      <c r="Y262" s="769">
        <f t="shared" si="117"/>
        <v>2</v>
      </c>
      <c r="Z262" s="769">
        <f t="shared" si="117"/>
        <v>2</v>
      </c>
      <c r="AA262" s="769">
        <f t="shared" si="117"/>
        <v>2</v>
      </c>
      <c r="AB262" s="769">
        <f t="shared" si="117"/>
        <v>2</v>
      </c>
      <c r="AC262" s="769">
        <f t="shared" si="117"/>
        <v>2</v>
      </c>
      <c r="AD262" s="769">
        <f t="shared" si="117"/>
        <v>2</v>
      </c>
      <c r="AE262" s="769">
        <f t="shared" si="117"/>
        <v>2</v>
      </c>
      <c r="AF262" s="769">
        <f t="shared" si="117"/>
        <v>2</v>
      </c>
      <c r="AG262" s="769">
        <f t="shared" si="117"/>
        <v>2</v>
      </c>
      <c r="AH262" s="769">
        <f t="shared" si="117"/>
        <v>2</v>
      </c>
      <c r="AI262" s="769">
        <f t="shared" si="117"/>
        <v>3</v>
      </c>
    </row>
    <row r="263" spans="2:35" ht="15.75" customHeight="1">
      <c r="B263" s="91"/>
      <c r="C263" s="471"/>
      <c r="D263" s="472"/>
      <c r="E263" s="506"/>
      <c r="F263" s="506"/>
      <c r="G263" s="94" t="s">
        <v>499</v>
      </c>
      <c r="H263" s="94" t="s">
        <v>499</v>
      </c>
      <c r="I263" s="94" t="s">
        <v>499</v>
      </c>
      <c r="J263" s="94" t="s">
        <v>499</v>
      </c>
      <c r="K263" s="94" t="s">
        <v>499</v>
      </c>
      <c r="L263" s="94" t="s">
        <v>499</v>
      </c>
      <c r="M263" s="94" t="s">
        <v>499</v>
      </c>
      <c r="N263" s="94" t="s">
        <v>499</v>
      </c>
      <c r="O263" s="94" t="s">
        <v>499</v>
      </c>
      <c r="P263" s="94" t="s">
        <v>499</v>
      </c>
      <c r="Q263" s="94" t="s">
        <v>499</v>
      </c>
      <c r="R263" s="94" t="s">
        <v>499</v>
      </c>
      <c r="S263" s="94" t="s">
        <v>499</v>
      </c>
      <c r="T263" s="94" t="s">
        <v>499</v>
      </c>
      <c r="U263" s="94" t="s">
        <v>499</v>
      </c>
      <c r="V263" s="94" t="s">
        <v>499</v>
      </c>
      <c r="W263" s="94" t="s">
        <v>499</v>
      </c>
      <c r="X263" s="94" t="s">
        <v>499</v>
      </c>
      <c r="Y263" s="94" t="s">
        <v>499</v>
      </c>
      <c r="Z263" s="94" t="s">
        <v>499</v>
      </c>
      <c r="AA263" s="94" t="s">
        <v>499</v>
      </c>
      <c r="AB263" s="94" t="s">
        <v>499</v>
      </c>
      <c r="AC263" s="94" t="s">
        <v>499</v>
      </c>
      <c r="AD263" s="94" t="s">
        <v>499</v>
      </c>
      <c r="AE263" s="94" t="s">
        <v>499</v>
      </c>
      <c r="AF263" s="94" t="s">
        <v>499</v>
      </c>
      <c r="AG263" s="94" t="s">
        <v>499</v>
      </c>
      <c r="AH263" s="94" t="s">
        <v>499</v>
      </c>
      <c r="AI263" s="94" t="s">
        <v>499</v>
      </c>
    </row>
    <row r="264" spans="2:35" ht="15.75" customHeight="1">
      <c r="B264" s="76"/>
      <c r="C264" s="110"/>
      <c r="D264" s="110"/>
      <c r="E264" s="515"/>
      <c r="F264" s="80"/>
      <c r="G264" s="80"/>
      <c r="H264" s="80"/>
      <c r="I264" s="80"/>
      <c r="J264" s="80"/>
      <c r="K264" s="110"/>
      <c r="L264" s="107"/>
      <c r="M264" s="113"/>
      <c r="N264" s="113"/>
      <c r="O264" s="76"/>
    </row>
    <row r="265" spans="2:35" ht="15.75" customHeight="1">
      <c r="B265" s="76"/>
      <c r="C265" s="807" t="s">
        <v>378</v>
      </c>
      <c r="D265" s="100"/>
      <c r="E265" s="508"/>
      <c r="F265" s="508"/>
      <c r="G265" s="508"/>
      <c r="H265" s="508"/>
      <c r="I265" s="508"/>
      <c r="J265" s="508"/>
      <c r="K265" s="110"/>
      <c r="L265" s="110"/>
      <c r="M265" s="564"/>
      <c r="N265" s="564"/>
      <c r="O265" s="76"/>
    </row>
    <row r="266" spans="2:35" ht="15.75" customHeight="1">
      <c r="B266" s="76"/>
      <c r="C266" s="110" t="s">
        <v>379</v>
      </c>
      <c r="D266" s="100"/>
      <c r="E266" s="114"/>
      <c r="F266" s="114"/>
      <c r="G266" s="80">
        <v>0</v>
      </c>
      <c r="H266" s="80">
        <f t="shared" ref="H266:AI266" si="118">H348</f>
        <v>-500000000</v>
      </c>
      <c r="I266" s="80">
        <f t="shared" si="118"/>
        <v>-1500000000</v>
      </c>
      <c r="J266" s="80">
        <f t="shared" si="118"/>
        <v>-2000000000</v>
      </c>
      <c r="K266" s="80">
        <f t="shared" ca="1" si="118"/>
        <v>-1413922691.674005</v>
      </c>
      <c r="L266" s="80">
        <f t="shared" ca="1" si="118"/>
        <v>-854932045.32599401</v>
      </c>
      <c r="M266" s="80">
        <f t="shared" ca="1" si="118"/>
        <v>-238616508.03703141</v>
      </c>
      <c r="N266" s="80">
        <f t="shared" ca="1" si="118"/>
        <v>336989675.94358516</v>
      </c>
      <c r="O266" s="80">
        <f t="shared" ca="1" si="118"/>
        <v>916211606.67035472</v>
      </c>
      <c r="P266" s="80">
        <f t="shared" ca="1" si="118"/>
        <v>1487472009.8525364</v>
      </c>
      <c r="Q266" s="80">
        <f t="shared" ca="1" si="118"/>
        <v>2003550742.5791259</v>
      </c>
      <c r="R266" s="80">
        <f t="shared" ca="1" si="118"/>
        <v>2529577169.3813853</v>
      </c>
      <c r="S266" s="80">
        <f t="shared" ca="1" si="118"/>
        <v>3136263095.2100339</v>
      </c>
      <c r="T266" s="80">
        <f t="shared" ca="1" si="118"/>
        <v>3645836756.2353106</v>
      </c>
      <c r="U266" s="80">
        <f t="shared" ca="1" si="118"/>
        <v>4177793349.0872221</v>
      </c>
      <c r="V266" s="80">
        <f t="shared" ca="1" si="118"/>
        <v>4790584714.5577774</v>
      </c>
      <c r="W266" s="80">
        <f t="shared" ca="1" si="118"/>
        <v>5351747873.0426626</v>
      </c>
      <c r="X266" s="80">
        <f t="shared" ca="1" si="118"/>
        <v>5926445159.9507542</v>
      </c>
      <c r="Y266" s="80">
        <f t="shared" ca="1" si="118"/>
        <v>6583234723.7630167</v>
      </c>
      <c r="Z266" s="80">
        <f t="shared" ca="1" si="118"/>
        <v>7189458524.5469332</v>
      </c>
      <c r="AA266" s="80">
        <f t="shared" ca="1" si="118"/>
        <v>7808193222.2271423</v>
      </c>
      <c r="AB266" s="80">
        <f t="shared" ca="1" si="118"/>
        <v>8509637867.853323</v>
      </c>
      <c r="AC266" s="80">
        <f t="shared" ca="1" si="118"/>
        <v>9161559483.1136398</v>
      </c>
      <c r="AD266" s="80">
        <f t="shared" ca="1" si="118"/>
        <v>9799222340.0901375</v>
      </c>
      <c r="AE266" s="80">
        <f t="shared" ca="1" si="118"/>
        <v>10488883413.678375</v>
      </c>
      <c r="AF266" s="80">
        <f t="shared" ca="1" si="118"/>
        <v>11143501378.611925</v>
      </c>
      <c r="AG266" s="80">
        <f t="shared" ca="1" si="118"/>
        <v>11811993261.972301</v>
      </c>
      <c r="AH266" s="80">
        <f t="shared" ca="1" si="118"/>
        <v>12559467485.871092</v>
      </c>
      <c r="AI266" s="80">
        <f t="shared" ca="1" si="118"/>
        <v>13263349004.427258</v>
      </c>
    </row>
    <row r="267" spans="2:35" ht="15.75" customHeight="1">
      <c r="B267" s="76"/>
      <c r="C267" s="110" t="s">
        <v>380</v>
      </c>
      <c r="D267" s="110"/>
      <c r="E267" s="110"/>
      <c r="F267" s="110"/>
      <c r="G267" s="110"/>
      <c r="H267" s="80">
        <f t="shared" ref="H267:AI267" si="119">SUM(H268:H269)</f>
        <v>0</v>
      </c>
      <c r="I267" s="80">
        <f t="shared" si="119"/>
        <v>0</v>
      </c>
      <c r="J267" s="80">
        <f t="shared" si="119"/>
        <v>0</v>
      </c>
      <c r="K267" s="80">
        <f t="shared" si="119"/>
        <v>13364603.127414478</v>
      </c>
      <c r="L267" s="80">
        <f t="shared" si="119"/>
        <v>14579569.962631745</v>
      </c>
      <c r="M267" s="80">
        <f t="shared" si="119"/>
        <v>16428646.375801889</v>
      </c>
      <c r="N267" s="80">
        <f t="shared" si="119"/>
        <v>15363216.841525685</v>
      </c>
      <c r="O267" s="80">
        <f t="shared" si="119"/>
        <v>15498917.180308722</v>
      </c>
      <c r="P267" s="80">
        <f t="shared" si="119"/>
        <v>17406476.217885185</v>
      </c>
      <c r="Q267" s="80">
        <f t="shared" si="119"/>
        <v>15498917.180308722</v>
      </c>
      <c r="R267" s="80">
        <f t="shared" si="119"/>
        <v>15498917.180308716</v>
      </c>
      <c r="S267" s="80">
        <f t="shared" si="119"/>
        <v>17315009.429936644</v>
      </c>
      <c r="T267" s="80">
        <f t="shared" si="119"/>
        <v>14402827.302235698</v>
      </c>
      <c r="U267" s="80">
        <f t="shared" si="119"/>
        <v>14716859.136771444</v>
      </c>
      <c r="V267" s="80">
        <f t="shared" si="119"/>
        <v>16528164.876681753</v>
      </c>
      <c r="W267" s="80">
        <f t="shared" si="119"/>
        <v>14716859.136771435</v>
      </c>
      <c r="X267" s="80">
        <f t="shared" si="119"/>
        <v>14716859.136771435</v>
      </c>
      <c r="Y267" s="80">
        <f t="shared" si="119"/>
        <v>16528164.876681786</v>
      </c>
      <c r="Z267" s="80">
        <f t="shared" si="119"/>
        <v>14716859.136771422</v>
      </c>
      <c r="AA267" s="80">
        <f t="shared" si="119"/>
        <v>14716859.136771422</v>
      </c>
      <c r="AB267" s="80">
        <f t="shared" si="119"/>
        <v>16528164.876681749</v>
      </c>
      <c r="AC267" s="80">
        <f t="shared" si="119"/>
        <v>14716859.136771433</v>
      </c>
      <c r="AD267" s="80">
        <f t="shared" si="119"/>
        <v>14065677.41982094</v>
      </c>
      <c r="AE267" s="80">
        <f t="shared" si="119"/>
        <v>15179682.14217826</v>
      </c>
      <c r="AF267" s="80">
        <f t="shared" si="119"/>
        <v>13742013.350843366</v>
      </c>
      <c r="AG267" s="80">
        <f t="shared" si="119"/>
        <v>13742013.350843376</v>
      </c>
      <c r="AH267" s="80">
        <f t="shared" si="119"/>
        <v>15433338.07094718</v>
      </c>
      <c r="AI267" s="80">
        <f t="shared" si="119"/>
        <v>13742013.350843346</v>
      </c>
    </row>
    <row r="268" spans="2:35" ht="15.75" customHeight="1">
      <c r="B268" s="76"/>
      <c r="C268" s="516" t="s">
        <v>381</v>
      </c>
      <c r="D268" s="110"/>
      <c r="E268" s="515"/>
      <c r="F268" s="80"/>
      <c r="G268" s="80"/>
      <c r="H268" s="80">
        <f t="shared" ref="H268:AI268" si="120">H442</f>
        <v>0</v>
      </c>
      <c r="I268" s="80">
        <f t="shared" si="120"/>
        <v>0</v>
      </c>
      <c r="J268" s="80">
        <f t="shared" si="120"/>
        <v>0</v>
      </c>
      <c r="K268" s="80">
        <f t="shared" si="120"/>
        <v>13364603.127414478</v>
      </c>
      <c r="L268" s="80">
        <f t="shared" si="120"/>
        <v>14579569.962631745</v>
      </c>
      <c r="M268" s="80">
        <f t="shared" si="120"/>
        <v>16428646.375801889</v>
      </c>
      <c r="N268" s="80">
        <f t="shared" si="120"/>
        <v>15363216.841525685</v>
      </c>
      <c r="O268" s="80">
        <f t="shared" si="120"/>
        <v>15498917.180308722</v>
      </c>
      <c r="P268" s="80">
        <f t="shared" si="120"/>
        <v>17406476.217885185</v>
      </c>
      <c r="Q268" s="80">
        <f t="shared" si="120"/>
        <v>15498917.180308722</v>
      </c>
      <c r="R268" s="80">
        <f t="shared" si="120"/>
        <v>15498917.180308716</v>
      </c>
      <c r="S268" s="80">
        <f t="shared" si="120"/>
        <v>17315009.429936644</v>
      </c>
      <c r="T268" s="80">
        <f t="shared" si="120"/>
        <v>14402827.302235698</v>
      </c>
      <c r="U268" s="80">
        <f t="shared" si="120"/>
        <v>14716859.136771444</v>
      </c>
      <c r="V268" s="80">
        <f t="shared" si="120"/>
        <v>16528164.876681753</v>
      </c>
      <c r="W268" s="80">
        <f t="shared" si="120"/>
        <v>14716859.136771435</v>
      </c>
      <c r="X268" s="80">
        <f t="shared" si="120"/>
        <v>14716859.136771435</v>
      </c>
      <c r="Y268" s="80">
        <f t="shared" si="120"/>
        <v>16528164.876681786</v>
      </c>
      <c r="Z268" s="80">
        <f t="shared" si="120"/>
        <v>14716859.136771422</v>
      </c>
      <c r="AA268" s="80">
        <f t="shared" si="120"/>
        <v>14716859.136771422</v>
      </c>
      <c r="AB268" s="80">
        <f t="shared" si="120"/>
        <v>16528164.876681749</v>
      </c>
      <c r="AC268" s="80">
        <f t="shared" si="120"/>
        <v>14716859.136771433</v>
      </c>
      <c r="AD268" s="80">
        <f t="shared" si="120"/>
        <v>14065677.41982094</v>
      </c>
      <c r="AE268" s="80">
        <f t="shared" si="120"/>
        <v>15179682.14217826</v>
      </c>
      <c r="AF268" s="80">
        <f t="shared" si="120"/>
        <v>13742013.350843366</v>
      </c>
      <c r="AG268" s="80">
        <f t="shared" si="120"/>
        <v>13742013.350843376</v>
      </c>
      <c r="AH268" s="80">
        <f t="shared" si="120"/>
        <v>15433338.07094718</v>
      </c>
      <c r="AI268" s="80">
        <f t="shared" si="120"/>
        <v>13742013.350843346</v>
      </c>
    </row>
    <row r="269" spans="2:35" ht="15.75" customHeight="1">
      <c r="B269" s="76"/>
      <c r="C269" s="516" t="s">
        <v>382</v>
      </c>
      <c r="D269" s="110"/>
      <c r="E269" s="515"/>
      <c r="F269" s="80"/>
      <c r="G269" s="80"/>
      <c r="H269" s="80"/>
      <c r="I269" s="80"/>
      <c r="J269" s="80"/>
      <c r="K269" s="80">
        <f>K444</f>
        <v>0</v>
      </c>
      <c r="L269" s="80">
        <f>L444</f>
        <v>0</v>
      </c>
      <c r="M269" s="80">
        <f>M444</f>
        <v>0</v>
      </c>
      <c r="N269" s="80">
        <f>N444</f>
        <v>0</v>
      </c>
      <c r="O269" s="80">
        <f t="shared" ref="O269:AI269" si="121">O444</f>
        <v>0</v>
      </c>
      <c r="P269" s="80">
        <f t="shared" si="121"/>
        <v>0</v>
      </c>
      <c r="Q269" s="80">
        <f t="shared" si="121"/>
        <v>0</v>
      </c>
      <c r="R269" s="80">
        <f t="shared" si="121"/>
        <v>0</v>
      </c>
      <c r="S269" s="80">
        <f t="shared" si="121"/>
        <v>0</v>
      </c>
      <c r="T269" s="80">
        <f t="shared" si="121"/>
        <v>0</v>
      </c>
      <c r="U269" s="80">
        <f t="shared" si="121"/>
        <v>0</v>
      </c>
      <c r="V269" s="80">
        <f t="shared" si="121"/>
        <v>0</v>
      </c>
      <c r="W269" s="80">
        <f t="shared" si="121"/>
        <v>0</v>
      </c>
      <c r="X269" s="80">
        <f t="shared" si="121"/>
        <v>0</v>
      </c>
      <c r="Y269" s="80">
        <f t="shared" si="121"/>
        <v>0</v>
      </c>
      <c r="Z269" s="80">
        <f t="shared" si="121"/>
        <v>0</v>
      </c>
      <c r="AA269" s="80">
        <f t="shared" si="121"/>
        <v>0</v>
      </c>
      <c r="AB269" s="80">
        <f t="shared" si="121"/>
        <v>0</v>
      </c>
      <c r="AC269" s="80">
        <f t="shared" si="121"/>
        <v>0</v>
      </c>
      <c r="AD269" s="80">
        <f t="shared" si="121"/>
        <v>0</v>
      </c>
      <c r="AE269" s="80">
        <f t="shared" si="121"/>
        <v>0</v>
      </c>
      <c r="AF269" s="80">
        <f t="shared" si="121"/>
        <v>0</v>
      </c>
      <c r="AG269" s="80">
        <f t="shared" si="121"/>
        <v>0</v>
      </c>
      <c r="AH269" s="80">
        <f t="shared" si="121"/>
        <v>0</v>
      </c>
      <c r="AI269" s="80">
        <f t="shared" si="121"/>
        <v>0</v>
      </c>
    </row>
    <row r="270" spans="2:35" ht="15.75" customHeight="1">
      <c r="B270" s="76"/>
      <c r="C270" s="110" t="s">
        <v>383</v>
      </c>
      <c r="D270" s="110"/>
      <c r="E270" s="515"/>
      <c r="F270" s="80"/>
      <c r="G270" s="80"/>
      <c r="H270" s="80">
        <f t="shared" ref="H270:AI270" si="122">H446</f>
        <v>0</v>
      </c>
      <c r="I270" s="80">
        <f t="shared" si="122"/>
        <v>0</v>
      </c>
      <c r="J270" s="80">
        <f t="shared" si="122"/>
        <v>0</v>
      </c>
      <c r="K270" s="80">
        <f t="shared" si="122"/>
        <v>3772104.8096170234</v>
      </c>
      <c r="L270" s="80">
        <f t="shared" si="122"/>
        <v>3884124.178452916</v>
      </c>
      <c r="M270" s="80">
        <f t="shared" si="122"/>
        <v>4615364.1256928565</v>
      </c>
      <c r="N270" s="80">
        <f t="shared" si="122"/>
        <v>4353559.372094701</v>
      </c>
      <c r="O270" s="80">
        <f t="shared" si="122"/>
        <v>4366070.8792903479</v>
      </c>
      <c r="P270" s="80">
        <f t="shared" si="122"/>
        <v>4903433.4490491608</v>
      </c>
      <c r="Q270" s="80">
        <f t="shared" si="122"/>
        <v>4366070.8792903479</v>
      </c>
      <c r="R270" s="80">
        <f t="shared" si="122"/>
        <v>4366070.879290347</v>
      </c>
      <c r="S270" s="80">
        <f t="shared" si="122"/>
        <v>4895000.2543656118</v>
      </c>
      <c r="T270" s="80">
        <f t="shared" si="122"/>
        <v>4265011.9098023502</v>
      </c>
      <c r="U270" s="80">
        <f t="shared" si="122"/>
        <v>4293965.496747612</v>
      </c>
      <c r="V270" s="80">
        <f t="shared" si="122"/>
        <v>4822453.5578857772</v>
      </c>
      <c r="W270" s="80">
        <f t="shared" si="122"/>
        <v>4293965.4967476102</v>
      </c>
      <c r="X270" s="80">
        <f t="shared" si="122"/>
        <v>4293965.4967476102</v>
      </c>
      <c r="Y270" s="80">
        <f t="shared" si="122"/>
        <v>4822453.55788578</v>
      </c>
      <c r="Z270" s="80">
        <f t="shared" si="122"/>
        <v>4293965.4967476092</v>
      </c>
      <c r="AA270" s="80">
        <f t="shared" si="122"/>
        <v>4293965.4967476092</v>
      </c>
      <c r="AB270" s="80">
        <f t="shared" si="122"/>
        <v>4822453.5578857763</v>
      </c>
      <c r="AC270" s="80">
        <f t="shared" si="122"/>
        <v>4293965.4967476102</v>
      </c>
      <c r="AD270" s="80">
        <f t="shared" si="122"/>
        <v>4233926.8497525901</v>
      </c>
      <c r="AE270" s="80">
        <f t="shared" si="122"/>
        <v>4698124.0861449568</v>
      </c>
      <c r="AF270" s="80">
        <f t="shared" si="122"/>
        <v>4204085.1753374683</v>
      </c>
      <c r="AG270" s="80">
        <f t="shared" si="122"/>
        <v>4204085.1753374683</v>
      </c>
      <c r="AH270" s="80">
        <f t="shared" si="122"/>
        <v>4721511.043071311</v>
      </c>
      <c r="AI270" s="80">
        <f t="shared" si="122"/>
        <v>4204085.1753374664</v>
      </c>
    </row>
    <row r="271" spans="2:35" ht="15.75" customHeight="1">
      <c r="B271" s="76"/>
      <c r="C271" s="110" t="s">
        <v>344</v>
      </c>
      <c r="D271" s="110"/>
      <c r="E271" s="515"/>
      <c r="F271" s="80"/>
      <c r="G271" s="80"/>
      <c r="H271" s="80">
        <v>23638896.577679202</v>
      </c>
      <c r="I271" s="80">
        <v>54834110.743204579</v>
      </c>
      <c r="J271" s="80">
        <v>96437886.585336521</v>
      </c>
      <c r="K271" s="80">
        <f>K445</f>
        <v>5723819.1681063306</v>
      </c>
      <c r="L271" s="80">
        <f>L445</f>
        <v>5768582.1078931522</v>
      </c>
      <c r="M271" s="80">
        <f>M445</f>
        <v>6555814.3294987688</v>
      </c>
      <c r="N271" s="80">
        <f>N445</f>
        <v>6332452.7159669893</v>
      </c>
      <c r="O271" s="80">
        <f t="shared" ref="O271:AI271" si="123">O445</f>
        <v>6337452.3142423695</v>
      </c>
      <c r="P271" s="80">
        <f t="shared" si="123"/>
        <v>6845642.85653143</v>
      </c>
      <c r="Q271" s="80">
        <f t="shared" si="123"/>
        <v>6337452.3142423695</v>
      </c>
      <c r="R271" s="80">
        <f t="shared" si="123"/>
        <v>6337452.3142423686</v>
      </c>
      <c r="S271" s="80">
        <f t="shared" si="123"/>
        <v>6842272.9519358845</v>
      </c>
      <c r="T271" s="80">
        <f t="shared" si="123"/>
        <v>6297069.1500349659</v>
      </c>
      <c r="U271" s="80">
        <f t="shared" si="123"/>
        <v>6308639.0033782916</v>
      </c>
      <c r="V271" s="80">
        <f t="shared" si="123"/>
        <v>6813283.2920225421</v>
      </c>
      <c r="W271" s="80">
        <f t="shared" si="123"/>
        <v>6308639.0033782916</v>
      </c>
      <c r="X271" s="80">
        <f t="shared" si="123"/>
        <v>6308639.0033782916</v>
      </c>
      <c r="Y271" s="80">
        <f t="shared" si="123"/>
        <v>6813283.292022543</v>
      </c>
      <c r="Z271" s="80">
        <f t="shared" si="123"/>
        <v>6308639.0033782907</v>
      </c>
      <c r="AA271" s="80">
        <f t="shared" si="123"/>
        <v>6308639.0033782907</v>
      </c>
      <c r="AB271" s="80">
        <f t="shared" si="123"/>
        <v>6813283.2920225421</v>
      </c>
      <c r="AC271" s="80">
        <f t="shared" si="123"/>
        <v>6308639.0033782907</v>
      </c>
      <c r="AD271" s="80">
        <f t="shared" si="123"/>
        <v>6284647.5600390816</v>
      </c>
      <c r="AE271" s="80">
        <f t="shared" si="123"/>
        <v>6763601.2351149106</v>
      </c>
      <c r="AF271" s="80">
        <f t="shared" si="123"/>
        <v>6272722.8269427987</v>
      </c>
      <c r="AG271" s="80">
        <f t="shared" si="123"/>
        <v>6272722.8269427987</v>
      </c>
      <c r="AH271" s="80">
        <f t="shared" si="123"/>
        <v>6772946.6631026817</v>
      </c>
      <c r="AI271" s="80">
        <f t="shared" si="123"/>
        <v>6272722.8269427978</v>
      </c>
    </row>
    <row r="272" spans="2:35" ht="15.75" customHeight="1">
      <c r="B272" s="76"/>
      <c r="C272" s="110" t="s">
        <v>550</v>
      </c>
      <c r="D272" s="110"/>
      <c r="E272" s="515"/>
      <c r="F272" s="80"/>
      <c r="G272" s="80"/>
      <c r="H272" s="80">
        <f t="shared" ref="H272:AI272" si="124">H443</f>
        <v>0</v>
      </c>
      <c r="I272" s="80">
        <f t="shared" si="124"/>
        <v>0</v>
      </c>
      <c r="J272" s="80">
        <f t="shared" si="124"/>
        <v>0</v>
      </c>
      <c r="K272" s="80">
        <f t="shared" si="124"/>
        <v>8485300.2789290287</v>
      </c>
      <c r="L272" s="80">
        <f t="shared" si="124"/>
        <v>8485300.2789290287</v>
      </c>
      <c r="M272" s="80">
        <f t="shared" si="124"/>
        <v>9971873.0677834898</v>
      </c>
      <c r="N272" s="80">
        <f t="shared" si="124"/>
        <v>9615283.1759097464</v>
      </c>
      <c r="O272" s="80">
        <f t="shared" si="124"/>
        <v>9615283.1759097464</v>
      </c>
      <c r="P272" s="80">
        <f t="shared" si="124"/>
        <v>10496545.816790948</v>
      </c>
      <c r="Q272" s="80">
        <f t="shared" si="124"/>
        <v>9615283.1759097464</v>
      </c>
      <c r="R272" s="80">
        <f t="shared" si="124"/>
        <v>9615283.1759097464</v>
      </c>
      <c r="S272" s="80">
        <f t="shared" si="124"/>
        <v>10496545.816790948</v>
      </c>
      <c r="T272" s="80">
        <f t="shared" si="124"/>
        <v>9615283.1759097464</v>
      </c>
      <c r="U272" s="80">
        <f t="shared" si="124"/>
        <v>9615283.1759097464</v>
      </c>
      <c r="V272" s="80">
        <f t="shared" si="124"/>
        <v>10496545.816790948</v>
      </c>
      <c r="W272" s="80">
        <f t="shared" si="124"/>
        <v>9615283.1759097464</v>
      </c>
      <c r="X272" s="80">
        <f t="shared" si="124"/>
        <v>9615283.1759097464</v>
      </c>
      <c r="Y272" s="80">
        <f t="shared" si="124"/>
        <v>10496545.816790948</v>
      </c>
      <c r="Z272" s="80">
        <f t="shared" si="124"/>
        <v>9615283.1759097464</v>
      </c>
      <c r="AA272" s="80">
        <f t="shared" si="124"/>
        <v>9615283.1759097464</v>
      </c>
      <c r="AB272" s="80">
        <f t="shared" si="124"/>
        <v>10496545.816790948</v>
      </c>
      <c r="AC272" s="80">
        <f t="shared" si="124"/>
        <v>9615283.1759097464</v>
      </c>
      <c r="AD272" s="80">
        <f t="shared" si="124"/>
        <v>9615283.1759097464</v>
      </c>
      <c r="AE272" s="80">
        <f t="shared" si="124"/>
        <v>10496545.816790948</v>
      </c>
      <c r="AF272" s="80">
        <f t="shared" si="124"/>
        <v>9615283.1759097464</v>
      </c>
      <c r="AG272" s="80">
        <f t="shared" si="124"/>
        <v>9615283.1759097464</v>
      </c>
      <c r="AH272" s="80">
        <f t="shared" si="124"/>
        <v>10496545.816790948</v>
      </c>
      <c r="AI272" s="80">
        <f t="shared" si="124"/>
        <v>9615283.1759097464</v>
      </c>
    </row>
    <row r="273" spans="2:35" ht="15.75" customHeight="1">
      <c r="B273" s="76"/>
      <c r="C273" s="110" t="s">
        <v>384</v>
      </c>
      <c r="D273" s="110"/>
      <c r="E273" s="515"/>
      <c r="F273" s="80"/>
      <c r="G273" s="80"/>
      <c r="H273" s="80">
        <f t="shared" ref="H273:AI273" si="125">SUM(H266:H267,H270:H272)</f>
        <v>-476361103.42232078</v>
      </c>
      <c r="I273" s="80">
        <f t="shared" si="125"/>
        <v>-1445165889.2567954</v>
      </c>
      <c r="J273" s="80">
        <f t="shared" si="125"/>
        <v>-1903562113.4146636</v>
      </c>
      <c r="K273" s="80">
        <f t="shared" ca="1" si="125"/>
        <v>-1382576864.2899382</v>
      </c>
      <c r="L273" s="80">
        <f t="shared" ca="1" si="125"/>
        <v>-822214468.79808724</v>
      </c>
      <c r="M273" s="80">
        <f t="shared" ca="1" si="125"/>
        <v>-201044810.1382544</v>
      </c>
      <c r="N273" s="80">
        <f t="shared" ca="1" si="125"/>
        <v>372654188.04908228</v>
      </c>
      <c r="O273" s="80">
        <f t="shared" ca="1" si="125"/>
        <v>952029330.22010589</v>
      </c>
      <c r="P273" s="80">
        <f t="shared" ca="1" si="125"/>
        <v>1527124108.1927934</v>
      </c>
      <c r="Q273" s="80">
        <f t="shared" ca="1" si="125"/>
        <v>2039368466.1288772</v>
      </c>
      <c r="R273" s="80">
        <f t="shared" ca="1" si="125"/>
        <v>2565394892.9311366</v>
      </c>
      <c r="S273" s="80">
        <f t="shared" ca="1" si="125"/>
        <v>3175811923.6630626</v>
      </c>
      <c r="T273" s="80">
        <f t="shared" ca="1" si="125"/>
        <v>3680416947.773293</v>
      </c>
      <c r="U273" s="80">
        <f t="shared" ca="1" si="125"/>
        <v>4212728095.9000292</v>
      </c>
      <c r="V273" s="80">
        <f t="shared" ca="1" si="125"/>
        <v>4829245162.1011581</v>
      </c>
      <c r="W273" s="80">
        <f t="shared" ca="1" si="125"/>
        <v>5386682619.8554697</v>
      </c>
      <c r="X273" s="80">
        <f t="shared" ca="1" si="125"/>
        <v>5961379906.7635612</v>
      </c>
      <c r="Y273" s="80">
        <f t="shared" ca="1" si="125"/>
        <v>6621895171.3063974</v>
      </c>
      <c r="Z273" s="80">
        <f t="shared" ca="1" si="125"/>
        <v>7224393271.3597403</v>
      </c>
      <c r="AA273" s="80">
        <f t="shared" ca="1" si="125"/>
        <v>7843127969.0399494</v>
      </c>
      <c r="AB273" s="80">
        <f t="shared" ca="1" si="125"/>
        <v>8548298315.3967037</v>
      </c>
      <c r="AC273" s="80">
        <f t="shared" ca="1" si="125"/>
        <v>9196494229.9264469</v>
      </c>
      <c r="AD273" s="80">
        <f t="shared" ca="1" si="125"/>
        <v>9833421875.0956593</v>
      </c>
      <c r="AE273" s="80">
        <f t="shared" ca="1" si="125"/>
        <v>10526021366.958605</v>
      </c>
      <c r="AF273" s="80">
        <f t="shared" ca="1" si="125"/>
        <v>11177335483.140957</v>
      </c>
      <c r="AG273" s="80">
        <f t="shared" ca="1" si="125"/>
        <v>11845827366.501333</v>
      </c>
      <c r="AH273" s="80">
        <f t="shared" ca="1" si="125"/>
        <v>12596891827.465006</v>
      </c>
      <c r="AI273" s="80">
        <f t="shared" ca="1" si="125"/>
        <v>13297183108.956289</v>
      </c>
    </row>
    <row r="274" spans="2:35" ht="15.75" customHeight="1">
      <c r="B274" s="76"/>
      <c r="C274" s="110"/>
      <c r="D274" s="110"/>
      <c r="E274" s="515"/>
      <c r="F274" s="80"/>
      <c r="G274" s="80"/>
      <c r="H274" s="80"/>
      <c r="I274" s="80"/>
      <c r="J274" s="80"/>
      <c r="K274" s="80"/>
      <c r="L274" s="80"/>
      <c r="M274" s="80"/>
      <c r="N274" s="80"/>
      <c r="O274" s="76"/>
    </row>
    <row r="275" spans="2:35" ht="15.75" customHeight="1">
      <c r="B275" s="76"/>
      <c r="C275" s="110" t="s">
        <v>28</v>
      </c>
      <c r="D275" s="110"/>
      <c r="E275" s="110"/>
      <c r="F275" s="110"/>
      <c r="G275" s="110"/>
      <c r="H275" s="80">
        <f>H488</f>
        <v>476361103.42232078</v>
      </c>
      <c r="I275" s="80">
        <f>I488</f>
        <v>1445165889.2567954</v>
      </c>
      <c r="J275" s="80">
        <f>J488</f>
        <v>1903562113.4146633</v>
      </c>
      <c r="K275" s="80">
        <f ca="1">K488</f>
        <v>1523008065.7317307</v>
      </c>
      <c r="L275" s="80">
        <f t="shared" ref="L275:AI275" ca="1" si="126">L488</f>
        <v>1142454018.0487981</v>
      </c>
      <c r="M275" s="80">
        <f t="shared" ca="1" si="126"/>
        <v>761899970.36586547</v>
      </c>
      <c r="N275" s="80">
        <f t="shared" ca="1" si="126"/>
        <v>385473922.68293279</v>
      </c>
      <c r="O275" s="80">
        <f t="shared" ca="1" si="126"/>
        <v>8015875.0000001192</v>
      </c>
      <c r="P275" s="80">
        <f t="shared" ca="1" si="126"/>
        <v>5793500.0000001192</v>
      </c>
      <c r="Q275" s="80">
        <f t="shared" ca="1" si="126"/>
        <v>7699125.0000001192</v>
      </c>
      <c r="R275" s="80">
        <f t="shared" ca="1" si="126"/>
        <v>8572750.0000001192</v>
      </c>
      <c r="S275" s="80">
        <f t="shared" ca="1" si="126"/>
        <v>5318375.0000001192</v>
      </c>
      <c r="T275" s="80">
        <f t="shared" ca="1" si="126"/>
        <v>7224000.0000001192</v>
      </c>
      <c r="U275" s="80">
        <f t="shared" ca="1" si="126"/>
        <v>8256000.0000001192</v>
      </c>
      <c r="V275" s="80">
        <f t="shared" ca="1" si="126"/>
        <v>5160000.0000001192</v>
      </c>
      <c r="W275" s="80">
        <f t="shared" ca="1" si="126"/>
        <v>7224000.0000001192</v>
      </c>
      <c r="X275" s="80">
        <f t="shared" ca="1" si="126"/>
        <v>8256000.0000001192</v>
      </c>
      <c r="Y275" s="80">
        <f t="shared" ca="1" si="126"/>
        <v>5160000.0000001192</v>
      </c>
      <c r="Z275" s="80">
        <f t="shared" ca="1" si="126"/>
        <v>7224000.0000001192</v>
      </c>
      <c r="AA275" s="80">
        <f t="shared" ca="1" si="126"/>
        <v>8256000.0000001192</v>
      </c>
      <c r="AB275" s="80">
        <f t="shared" ca="1" si="126"/>
        <v>5160000.0000001192</v>
      </c>
      <c r="AC275" s="80">
        <f t="shared" ca="1" si="126"/>
        <v>7224000.0000001192</v>
      </c>
      <c r="AD275" s="80">
        <f t="shared" ca="1" si="126"/>
        <v>8256000.0000001192</v>
      </c>
      <c r="AE275" s="80">
        <f t="shared" ca="1" si="126"/>
        <v>5160000.0000001192</v>
      </c>
      <c r="AF275" s="80">
        <f t="shared" ca="1" si="126"/>
        <v>7224000.0000001192</v>
      </c>
      <c r="AG275" s="80">
        <f t="shared" ca="1" si="126"/>
        <v>8256000.0000001192</v>
      </c>
      <c r="AH275" s="80">
        <f t="shared" ca="1" si="126"/>
        <v>5160000.0000001192</v>
      </c>
      <c r="AI275" s="80">
        <f t="shared" ca="1" si="126"/>
        <v>7224000.0000001192</v>
      </c>
    </row>
    <row r="276" spans="2:35" ht="15.75" customHeight="1">
      <c r="B276" s="76"/>
      <c r="C276" s="110"/>
      <c r="D276" s="110"/>
      <c r="E276" s="515"/>
      <c r="F276" s="80"/>
      <c r="G276" s="80"/>
      <c r="H276" s="80"/>
      <c r="I276" s="80"/>
      <c r="J276" s="80"/>
      <c r="K276" s="80"/>
      <c r="L276" s="80"/>
      <c r="M276" s="80"/>
      <c r="N276" s="80"/>
      <c r="O276" s="76"/>
    </row>
    <row r="277" spans="2:35" ht="15.75" customHeight="1">
      <c r="B277" s="76"/>
      <c r="C277" s="110" t="s">
        <v>385</v>
      </c>
      <c r="D277" s="110"/>
      <c r="E277" s="515"/>
      <c r="F277" s="80"/>
      <c r="G277" s="80">
        <f t="shared" ref="G277:M277" si="127">SUM(G273:G275)</f>
        <v>0</v>
      </c>
      <c r="H277" s="80">
        <f t="shared" si="127"/>
        <v>0</v>
      </c>
      <c r="I277" s="80">
        <f t="shared" si="127"/>
        <v>0</v>
      </c>
      <c r="J277" s="80">
        <f t="shared" si="127"/>
        <v>0</v>
      </c>
      <c r="K277" s="80">
        <f ca="1">SUM(K273:K275)</f>
        <v>140431201.44179249</v>
      </c>
      <c r="L277" s="80">
        <f t="shared" ca="1" si="127"/>
        <v>320239549.25071084</v>
      </c>
      <c r="M277" s="80">
        <f t="shared" ca="1" si="127"/>
        <v>560855160.22761106</v>
      </c>
      <c r="N277" s="80">
        <f ca="1">SUM(N273:N275)</f>
        <v>758128110.73201513</v>
      </c>
      <c r="O277" s="80">
        <f ca="1">SUM(O273:O275)</f>
        <v>960045205.22010601</v>
      </c>
      <c r="P277" s="80">
        <f ca="1">SUM(P273:P275)</f>
        <v>1532917608.1927934</v>
      </c>
      <c r="Q277" s="80">
        <f t="shared" ref="Q277:AI277" ca="1" si="128">SUM(Q273:Q275)</f>
        <v>2047067591.1288772</v>
      </c>
      <c r="R277" s="80">
        <f t="shared" ca="1" si="128"/>
        <v>2573967642.9311366</v>
      </c>
      <c r="S277" s="80">
        <f t="shared" ca="1" si="128"/>
        <v>3181130298.6630626</v>
      </c>
      <c r="T277" s="80">
        <f t="shared" ca="1" si="128"/>
        <v>3687640947.773293</v>
      </c>
      <c r="U277" s="80">
        <f t="shared" ca="1" si="128"/>
        <v>4220984095.9000292</v>
      </c>
      <c r="V277" s="80">
        <f t="shared" ca="1" si="128"/>
        <v>4834405162.1011581</v>
      </c>
      <c r="W277" s="80">
        <f t="shared" ca="1" si="128"/>
        <v>5393906619.8554697</v>
      </c>
      <c r="X277" s="80">
        <f t="shared" ca="1" si="128"/>
        <v>5969635906.7635612</v>
      </c>
      <c r="Y277" s="80">
        <f t="shared" ca="1" si="128"/>
        <v>6627055171.3063974</v>
      </c>
      <c r="Z277" s="80">
        <f t="shared" ca="1" si="128"/>
        <v>7231617271.3597403</v>
      </c>
      <c r="AA277" s="80">
        <f t="shared" ca="1" si="128"/>
        <v>7851383969.0399494</v>
      </c>
      <c r="AB277" s="80">
        <f t="shared" ca="1" si="128"/>
        <v>8553458315.3967037</v>
      </c>
      <c r="AC277" s="80">
        <f t="shared" ca="1" si="128"/>
        <v>9203718229.9264469</v>
      </c>
      <c r="AD277" s="80">
        <f t="shared" ca="1" si="128"/>
        <v>9841677875.0956593</v>
      </c>
      <c r="AE277" s="80">
        <f t="shared" ca="1" si="128"/>
        <v>10531181366.958605</v>
      </c>
      <c r="AF277" s="80">
        <f t="shared" ca="1" si="128"/>
        <v>11184559483.140957</v>
      </c>
      <c r="AG277" s="80">
        <f t="shared" ca="1" si="128"/>
        <v>11854083366.501333</v>
      </c>
      <c r="AH277" s="80">
        <f t="shared" ca="1" si="128"/>
        <v>12602051827.465006</v>
      </c>
      <c r="AI277" s="80">
        <f t="shared" ca="1" si="128"/>
        <v>13304407108.956289</v>
      </c>
    </row>
    <row r="278" spans="2:35" ht="15.75" customHeight="1">
      <c r="B278" s="76"/>
      <c r="C278" s="808"/>
      <c r="D278" s="110"/>
      <c r="E278" s="110"/>
      <c r="F278" s="110"/>
      <c r="G278" s="110"/>
      <c r="H278" s="110"/>
      <c r="I278" s="110"/>
      <c r="J278" s="110"/>
      <c r="K278" s="80"/>
      <c r="L278" s="80"/>
      <c r="M278" s="80"/>
      <c r="N278" s="80"/>
      <c r="O278" s="76"/>
    </row>
    <row r="279" spans="2:35" ht="15.75" customHeight="1">
      <c r="B279" s="76"/>
      <c r="C279" s="807" t="s">
        <v>386</v>
      </c>
      <c r="D279" s="110"/>
      <c r="E279" s="110"/>
      <c r="F279" s="110"/>
      <c r="G279" s="110"/>
      <c r="H279" s="110"/>
      <c r="I279" s="110"/>
      <c r="J279" s="110"/>
      <c r="K279" s="80"/>
      <c r="L279" s="80"/>
      <c r="M279" s="80"/>
      <c r="N279" s="80"/>
      <c r="O279" s="76"/>
    </row>
    <row r="280" spans="2:35" ht="15.75" customHeight="1">
      <c r="B280" s="76"/>
      <c r="C280" s="110" t="s">
        <v>387</v>
      </c>
      <c r="D280" s="110"/>
      <c r="E280" s="110"/>
      <c r="F280" s="110"/>
      <c r="G280" s="110"/>
      <c r="H280" s="80">
        <f t="shared" ref="H280:AI280" si="129">SUM(H281:H282)</f>
        <v>0</v>
      </c>
      <c r="I280" s="80">
        <f t="shared" si="129"/>
        <v>0</v>
      </c>
      <c r="J280" s="80">
        <f t="shared" si="129"/>
        <v>0</v>
      </c>
      <c r="K280" s="80">
        <f t="shared" si="129"/>
        <v>10897130.6585772</v>
      </c>
      <c r="L280" s="80">
        <f t="shared" si="129"/>
        <v>11065750.642308377</v>
      </c>
      <c r="M280" s="80">
        <f t="shared" si="129"/>
        <v>12426477.997421646</v>
      </c>
      <c r="N280" s="80">
        <f t="shared" si="129"/>
        <v>12074456.58886043</v>
      </c>
      <c r="O280" s="80">
        <f t="shared" si="129"/>
        <v>12086811.70221613</v>
      </c>
      <c r="P280" s="80">
        <f t="shared" si="129"/>
        <v>12935558.447142111</v>
      </c>
      <c r="Q280" s="80">
        <f t="shared" si="129"/>
        <v>12106309.388230398</v>
      </c>
      <c r="R280" s="80">
        <f t="shared" si="129"/>
        <v>12131541.518490482</v>
      </c>
      <c r="S280" s="80">
        <f t="shared" si="129"/>
        <v>12956319.793170813</v>
      </c>
      <c r="T280" s="80">
        <f t="shared" si="129"/>
        <v>12057462.879866932</v>
      </c>
      <c r="U280" s="80">
        <f t="shared" si="129"/>
        <v>12086054.546975376</v>
      </c>
      <c r="V280" s="80">
        <f t="shared" si="129"/>
        <v>12908491.798687547</v>
      </c>
      <c r="W280" s="80">
        <f t="shared" si="129"/>
        <v>12086054.546975376</v>
      </c>
      <c r="X280" s="80">
        <f t="shared" si="129"/>
        <v>11936630.431646615</v>
      </c>
      <c r="Y280" s="80">
        <f t="shared" si="129"/>
        <v>12737490.434807092</v>
      </c>
      <c r="Z280" s="80">
        <f t="shared" si="129"/>
        <v>11915053.183094913</v>
      </c>
      <c r="AA280" s="80">
        <f t="shared" si="129"/>
        <v>11915053.183094913</v>
      </c>
      <c r="AB280" s="80">
        <f t="shared" si="129"/>
        <v>12737490.434807086</v>
      </c>
      <c r="AC280" s="80">
        <f t="shared" si="129"/>
        <v>11915053.183094913</v>
      </c>
      <c r="AD280" s="80">
        <f t="shared" si="129"/>
        <v>11943645.558530783</v>
      </c>
      <c r="AE280" s="80">
        <f t="shared" si="129"/>
        <v>12860759.120556032</v>
      </c>
      <c r="AF280" s="80">
        <f t="shared" si="129"/>
        <v>12072340.404795408</v>
      </c>
      <c r="AG280" s="80">
        <f t="shared" si="129"/>
        <v>12072340.404795408</v>
      </c>
      <c r="AH280" s="80">
        <f t="shared" si="129"/>
        <v>12883853.740520809</v>
      </c>
      <c r="AI280" s="80">
        <f t="shared" si="129"/>
        <v>12072340.404795405</v>
      </c>
    </row>
    <row r="281" spans="2:35" ht="15.75" customHeight="1">
      <c r="B281" s="76"/>
      <c r="C281" s="516" t="s">
        <v>388</v>
      </c>
      <c r="D281" s="110"/>
      <c r="E281" s="515"/>
      <c r="F281" s="80"/>
      <c r="G281" s="80"/>
      <c r="H281" s="80">
        <f t="shared" ref="H281:AI281" si="130">H448</f>
        <v>0</v>
      </c>
      <c r="I281" s="80">
        <f t="shared" si="130"/>
        <v>0</v>
      </c>
      <c r="J281" s="80">
        <f t="shared" si="130"/>
        <v>0</v>
      </c>
      <c r="K281" s="80">
        <f t="shared" si="130"/>
        <v>10897130.6585772</v>
      </c>
      <c r="L281" s="80">
        <f t="shared" si="130"/>
        <v>11065750.642308377</v>
      </c>
      <c r="M281" s="80">
        <f t="shared" si="130"/>
        <v>12426477.997421646</v>
      </c>
      <c r="N281" s="80">
        <f t="shared" si="130"/>
        <v>12074456.58886043</v>
      </c>
      <c r="O281" s="80">
        <f t="shared" si="130"/>
        <v>12086811.70221613</v>
      </c>
      <c r="P281" s="80">
        <f t="shared" si="130"/>
        <v>12935558.447142111</v>
      </c>
      <c r="Q281" s="80">
        <f t="shared" si="130"/>
        <v>12106309.388230398</v>
      </c>
      <c r="R281" s="80">
        <f t="shared" si="130"/>
        <v>12131541.518490482</v>
      </c>
      <c r="S281" s="80">
        <f t="shared" si="130"/>
        <v>12956319.793170813</v>
      </c>
      <c r="T281" s="80">
        <f t="shared" si="130"/>
        <v>12057462.879866932</v>
      </c>
      <c r="U281" s="80">
        <f t="shared" si="130"/>
        <v>12086054.546975376</v>
      </c>
      <c r="V281" s="80">
        <f t="shared" si="130"/>
        <v>12908491.798687547</v>
      </c>
      <c r="W281" s="80">
        <f t="shared" si="130"/>
        <v>12086054.546975376</v>
      </c>
      <c r="X281" s="80">
        <f t="shared" si="130"/>
        <v>11936630.431646615</v>
      </c>
      <c r="Y281" s="80">
        <f t="shared" si="130"/>
        <v>12737490.434807092</v>
      </c>
      <c r="Z281" s="80">
        <f t="shared" si="130"/>
        <v>11915053.183094913</v>
      </c>
      <c r="AA281" s="80">
        <f t="shared" si="130"/>
        <v>11915053.183094913</v>
      </c>
      <c r="AB281" s="80">
        <f t="shared" si="130"/>
        <v>12737490.434807086</v>
      </c>
      <c r="AC281" s="80">
        <f t="shared" si="130"/>
        <v>11915053.183094913</v>
      </c>
      <c r="AD281" s="80">
        <f t="shared" si="130"/>
        <v>11943645.558530783</v>
      </c>
      <c r="AE281" s="80">
        <f t="shared" si="130"/>
        <v>12860759.120556032</v>
      </c>
      <c r="AF281" s="80">
        <f t="shared" si="130"/>
        <v>12072340.404795408</v>
      </c>
      <c r="AG281" s="80">
        <f t="shared" si="130"/>
        <v>12072340.404795408</v>
      </c>
      <c r="AH281" s="80">
        <f t="shared" si="130"/>
        <v>12883853.740520809</v>
      </c>
      <c r="AI281" s="80">
        <f t="shared" si="130"/>
        <v>12072340.404795405</v>
      </c>
    </row>
    <row r="282" spans="2:35" ht="15.75" customHeight="1">
      <c r="B282" s="76"/>
      <c r="C282" s="516" t="s">
        <v>389</v>
      </c>
      <c r="D282" s="110"/>
      <c r="E282" s="515"/>
      <c r="F282" s="80"/>
      <c r="G282" s="80"/>
      <c r="H282" s="80">
        <f t="shared" ref="H282:AI282" si="131">H461</f>
        <v>0</v>
      </c>
      <c r="I282" s="80">
        <f t="shared" si="131"/>
        <v>0</v>
      </c>
      <c r="J282" s="80">
        <f t="shared" si="131"/>
        <v>0</v>
      </c>
      <c r="K282" s="80">
        <f t="shared" si="131"/>
        <v>0</v>
      </c>
      <c r="L282" s="80">
        <f t="shared" si="131"/>
        <v>0</v>
      </c>
      <c r="M282" s="80">
        <f t="shared" si="131"/>
        <v>0</v>
      </c>
      <c r="N282" s="80">
        <f t="shared" si="131"/>
        <v>0</v>
      </c>
      <c r="O282" s="80">
        <f t="shared" si="131"/>
        <v>0</v>
      </c>
      <c r="P282" s="80">
        <f t="shared" si="131"/>
        <v>0</v>
      </c>
      <c r="Q282" s="80">
        <f t="shared" si="131"/>
        <v>0</v>
      </c>
      <c r="R282" s="80">
        <f t="shared" si="131"/>
        <v>0</v>
      </c>
      <c r="S282" s="80">
        <f t="shared" si="131"/>
        <v>0</v>
      </c>
      <c r="T282" s="80">
        <f t="shared" si="131"/>
        <v>0</v>
      </c>
      <c r="U282" s="80">
        <f t="shared" si="131"/>
        <v>0</v>
      </c>
      <c r="V282" s="80">
        <f t="shared" si="131"/>
        <v>0</v>
      </c>
      <c r="W282" s="80">
        <f t="shared" si="131"/>
        <v>0</v>
      </c>
      <c r="X282" s="80">
        <f t="shared" si="131"/>
        <v>0</v>
      </c>
      <c r="Y282" s="80">
        <f t="shared" si="131"/>
        <v>0</v>
      </c>
      <c r="Z282" s="80">
        <f t="shared" si="131"/>
        <v>0</v>
      </c>
      <c r="AA282" s="80">
        <f t="shared" si="131"/>
        <v>0</v>
      </c>
      <c r="AB282" s="80">
        <f t="shared" si="131"/>
        <v>0</v>
      </c>
      <c r="AC282" s="80">
        <f t="shared" si="131"/>
        <v>0</v>
      </c>
      <c r="AD282" s="80">
        <f t="shared" si="131"/>
        <v>0</v>
      </c>
      <c r="AE282" s="80">
        <f t="shared" si="131"/>
        <v>0</v>
      </c>
      <c r="AF282" s="80">
        <f t="shared" si="131"/>
        <v>0</v>
      </c>
      <c r="AG282" s="80">
        <f t="shared" si="131"/>
        <v>0</v>
      </c>
      <c r="AH282" s="80">
        <f t="shared" si="131"/>
        <v>0</v>
      </c>
      <c r="AI282" s="80">
        <f t="shared" si="131"/>
        <v>0</v>
      </c>
    </row>
    <row r="283" spans="2:35" ht="15.75" customHeight="1">
      <c r="B283" s="76"/>
      <c r="C283" s="110" t="s">
        <v>390</v>
      </c>
      <c r="D283" s="110"/>
      <c r="E283" s="515"/>
      <c r="F283" s="80"/>
      <c r="G283" s="80"/>
      <c r="H283" s="80">
        <f t="shared" ref="H283:AI283" si="132">H460</f>
        <v>0</v>
      </c>
      <c r="I283" s="80">
        <f t="shared" si="132"/>
        <v>0</v>
      </c>
      <c r="J283" s="80">
        <f t="shared" si="132"/>
        <v>0</v>
      </c>
      <c r="K283" s="80">
        <f t="shared" si="132"/>
        <v>0</v>
      </c>
      <c r="L283" s="80">
        <f t="shared" si="132"/>
        <v>0</v>
      </c>
      <c r="M283" s="80">
        <f t="shared" si="132"/>
        <v>0</v>
      </c>
      <c r="N283" s="80">
        <f t="shared" si="132"/>
        <v>0</v>
      </c>
      <c r="O283" s="80">
        <f t="shared" si="132"/>
        <v>0</v>
      </c>
      <c r="P283" s="80">
        <f t="shared" si="132"/>
        <v>0</v>
      </c>
      <c r="Q283" s="80">
        <f t="shared" si="132"/>
        <v>0</v>
      </c>
      <c r="R283" s="80">
        <f t="shared" si="132"/>
        <v>0</v>
      </c>
      <c r="S283" s="80">
        <f t="shared" si="132"/>
        <v>0</v>
      </c>
      <c r="T283" s="80">
        <f t="shared" si="132"/>
        <v>0</v>
      </c>
      <c r="U283" s="80">
        <f t="shared" si="132"/>
        <v>0</v>
      </c>
      <c r="V283" s="80">
        <f t="shared" si="132"/>
        <v>0</v>
      </c>
      <c r="W283" s="80">
        <f t="shared" si="132"/>
        <v>0</v>
      </c>
      <c r="X283" s="80">
        <f t="shared" si="132"/>
        <v>0</v>
      </c>
      <c r="Y283" s="80">
        <f t="shared" si="132"/>
        <v>0</v>
      </c>
      <c r="Z283" s="80">
        <f t="shared" si="132"/>
        <v>0</v>
      </c>
      <c r="AA283" s="80">
        <f t="shared" si="132"/>
        <v>0</v>
      </c>
      <c r="AB283" s="80">
        <f t="shared" si="132"/>
        <v>0</v>
      </c>
      <c r="AC283" s="80">
        <f t="shared" si="132"/>
        <v>0</v>
      </c>
      <c r="AD283" s="80">
        <f t="shared" si="132"/>
        <v>0</v>
      </c>
      <c r="AE283" s="80">
        <f t="shared" si="132"/>
        <v>0</v>
      </c>
      <c r="AF283" s="80">
        <f t="shared" si="132"/>
        <v>0</v>
      </c>
      <c r="AG283" s="80">
        <f t="shared" si="132"/>
        <v>0</v>
      </c>
      <c r="AH283" s="80">
        <f t="shared" si="132"/>
        <v>0</v>
      </c>
      <c r="AI283" s="80">
        <f t="shared" si="132"/>
        <v>0</v>
      </c>
    </row>
    <row r="284" spans="2:35" ht="15.75" customHeight="1">
      <c r="B284" s="76"/>
      <c r="C284" s="110" t="s">
        <v>391</v>
      </c>
      <c r="D284" s="110"/>
      <c r="E284" s="515"/>
      <c r="F284" s="80"/>
      <c r="G284" s="80"/>
      <c r="H284" s="80">
        <f t="shared" ref="H284:AI284" si="133">SUM(H283,H280)</f>
        <v>0</v>
      </c>
      <c r="I284" s="80">
        <f t="shared" si="133"/>
        <v>0</v>
      </c>
      <c r="J284" s="80">
        <f t="shared" si="133"/>
        <v>0</v>
      </c>
      <c r="K284" s="80">
        <f t="shared" si="133"/>
        <v>10897130.6585772</v>
      </c>
      <c r="L284" s="80">
        <f t="shared" si="133"/>
        <v>11065750.642308377</v>
      </c>
      <c r="M284" s="80">
        <f t="shared" si="133"/>
        <v>12426477.997421646</v>
      </c>
      <c r="N284" s="80">
        <f t="shared" si="133"/>
        <v>12074456.58886043</v>
      </c>
      <c r="O284" s="80">
        <f t="shared" si="133"/>
        <v>12086811.70221613</v>
      </c>
      <c r="P284" s="80">
        <f t="shared" si="133"/>
        <v>12935558.447142111</v>
      </c>
      <c r="Q284" s="80">
        <f t="shared" si="133"/>
        <v>12106309.388230398</v>
      </c>
      <c r="R284" s="80">
        <f t="shared" si="133"/>
        <v>12131541.518490482</v>
      </c>
      <c r="S284" s="80">
        <f t="shared" si="133"/>
        <v>12956319.793170813</v>
      </c>
      <c r="T284" s="80">
        <f t="shared" si="133"/>
        <v>12057462.879866932</v>
      </c>
      <c r="U284" s="80">
        <f t="shared" si="133"/>
        <v>12086054.546975376</v>
      </c>
      <c r="V284" s="80">
        <f t="shared" si="133"/>
        <v>12908491.798687547</v>
      </c>
      <c r="W284" s="80">
        <f t="shared" si="133"/>
        <v>12086054.546975376</v>
      </c>
      <c r="X284" s="80">
        <f t="shared" si="133"/>
        <v>11936630.431646615</v>
      </c>
      <c r="Y284" s="80">
        <f t="shared" si="133"/>
        <v>12737490.434807092</v>
      </c>
      <c r="Z284" s="80">
        <f t="shared" si="133"/>
        <v>11915053.183094913</v>
      </c>
      <c r="AA284" s="80">
        <f t="shared" si="133"/>
        <v>11915053.183094913</v>
      </c>
      <c r="AB284" s="80">
        <f t="shared" si="133"/>
        <v>12737490.434807086</v>
      </c>
      <c r="AC284" s="80">
        <f t="shared" si="133"/>
        <v>11915053.183094913</v>
      </c>
      <c r="AD284" s="80">
        <f t="shared" si="133"/>
        <v>11943645.558530783</v>
      </c>
      <c r="AE284" s="80">
        <f t="shared" si="133"/>
        <v>12860759.120556032</v>
      </c>
      <c r="AF284" s="80">
        <f t="shared" si="133"/>
        <v>12072340.404795408</v>
      </c>
      <c r="AG284" s="80">
        <f t="shared" si="133"/>
        <v>12072340.404795408</v>
      </c>
      <c r="AH284" s="80">
        <f t="shared" si="133"/>
        <v>12883853.740520809</v>
      </c>
      <c r="AI284" s="80">
        <f t="shared" si="133"/>
        <v>12072340.404795405</v>
      </c>
    </row>
    <row r="285" spans="2:35" ht="15.75" customHeight="1">
      <c r="B285" s="76"/>
      <c r="C285" s="110"/>
      <c r="D285" s="110"/>
      <c r="E285" s="110"/>
      <c r="F285" s="110"/>
      <c r="G285" s="11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</row>
    <row r="286" spans="2:35" ht="15.75" customHeight="1">
      <c r="B286" s="76"/>
      <c r="C286" s="110" t="s">
        <v>392</v>
      </c>
      <c r="D286" s="110"/>
      <c r="E286" s="110"/>
      <c r="F286" s="110"/>
      <c r="G286" s="110"/>
      <c r="H286" s="80">
        <f t="shared" ref="H286:AI286" si="134">H559</f>
        <v>0</v>
      </c>
      <c r="I286" s="80">
        <f t="shared" si="134"/>
        <v>0</v>
      </c>
      <c r="J286" s="80">
        <f t="shared" si="134"/>
        <v>0</v>
      </c>
      <c r="K286" s="80">
        <f t="shared" si="134"/>
        <v>0</v>
      </c>
      <c r="L286" s="80">
        <f t="shared" si="134"/>
        <v>0</v>
      </c>
      <c r="M286" s="80">
        <f t="shared" si="134"/>
        <v>0</v>
      </c>
      <c r="N286" s="80">
        <f t="shared" si="134"/>
        <v>0</v>
      </c>
      <c r="O286" s="80">
        <f t="shared" si="134"/>
        <v>0</v>
      </c>
      <c r="P286" s="80">
        <f t="shared" ca="1" si="134"/>
        <v>0</v>
      </c>
      <c r="Q286" s="80">
        <f t="shared" ca="1" si="134"/>
        <v>0</v>
      </c>
      <c r="R286" s="80">
        <f t="shared" ca="1" si="134"/>
        <v>0</v>
      </c>
      <c r="S286" s="80">
        <f t="shared" ca="1" si="134"/>
        <v>0</v>
      </c>
      <c r="T286" s="80">
        <f t="shared" ca="1" si="134"/>
        <v>0</v>
      </c>
      <c r="U286" s="80">
        <f t="shared" ca="1" si="134"/>
        <v>0</v>
      </c>
      <c r="V286" s="80">
        <f t="shared" ca="1" si="134"/>
        <v>0</v>
      </c>
      <c r="W286" s="80">
        <f t="shared" ca="1" si="134"/>
        <v>0</v>
      </c>
      <c r="X286" s="80">
        <f t="shared" ca="1" si="134"/>
        <v>0</v>
      </c>
      <c r="Y286" s="80">
        <f t="shared" ca="1" si="134"/>
        <v>0</v>
      </c>
      <c r="Z286" s="80">
        <f t="shared" ca="1" si="134"/>
        <v>0</v>
      </c>
      <c r="AA286" s="80">
        <f t="shared" ca="1" si="134"/>
        <v>0</v>
      </c>
      <c r="AB286" s="80">
        <f t="shared" ca="1" si="134"/>
        <v>0</v>
      </c>
      <c r="AC286" s="80">
        <f t="shared" ca="1" si="134"/>
        <v>0</v>
      </c>
      <c r="AD286" s="80">
        <f t="shared" ca="1" si="134"/>
        <v>0</v>
      </c>
      <c r="AE286" s="80">
        <f t="shared" ca="1" si="134"/>
        <v>0</v>
      </c>
      <c r="AF286" s="80">
        <f t="shared" ca="1" si="134"/>
        <v>0</v>
      </c>
      <c r="AG286" s="80">
        <f t="shared" ca="1" si="134"/>
        <v>0</v>
      </c>
      <c r="AH286" s="80">
        <f t="shared" ca="1" si="134"/>
        <v>0</v>
      </c>
      <c r="AI286" s="80">
        <f t="shared" ca="1" si="134"/>
        <v>0</v>
      </c>
    </row>
    <row r="287" spans="2:35" ht="15.75" customHeight="1">
      <c r="B287" s="76"/>
      <c r="C287" s="110" t="s">
        <v>496</v>
      </c>
      <c r="D287" s="110"/>
      <c r="E287" s="515"/>
      <c r="F287" s="80"/>
      <c r="G287" s="80"/>
      <c r="H287" s="80">
        <f t="shared" ref="H287:AI287" si="135">H546</f>
        <v>0</v>
      </c>
      <c r="I287" s="80">
        <f t="shared" si="135"/>
        <v>0</v>
      </c>
      <c r="J287" s="80">
        <f t="shared" si="135"/>
        <v>0</v>
      </c>
      <c r="K287" s="80">
        <f t="shared" si="135"/>
        <v>0</v>
      </c>
      <c r="L287" s="80">
        <f t="shared" si="135"/>
        <v>0</v>
      </c>
      <c r="M287" s="80">
        <f t="shared" si="135"/>
        <v>0</v>
      </c>
      <c r="N287" s="80">
        <f t="shared" si="135"/>
        <v>0</v>
      </c>
      <c r="O287" s="80">
        <f t="shared" si="135"/>
        <v>0</v>
      </c>
      <c r="P287" s="80">
        <f t="shared" si="135"/>
        <v>0</v>
      </c>
      <c r="Q287" s="80">
        <f t="shared" si="135"/>
        <v>0</v>
      </c>
      <c r="R287" s="80">
        <f t="shared" si="135"/>
        <v>0</v>
      </c>
      <c r="S287" s="80">
        <f t="shared" si="135"/>
        <v>0</v>
      </c>
      <c r="T287" s="80">
        <f t="shared" si="135"/>
        <v>0</v>
      </c>
      <c r="U287" s="80">
        <f t="shared" si="135"/>
        <v>0</v>
      </c>
      <c r="V287" s="80">
        <f t="shared" si="135"/>
        <v>0</v>
      </c>
      <c r="W287" s="80">
        <f t="shared" si="135"/>
        <v>0</v>
      </c>
      <c r="X287" s="80">
        <f t="shared" si="135"/>
        <v>0</v>
      </c>
      <c r="Y287" s="80">
        <f t="shared" si="135"/>
        <v>0</v>
      </c>
      <c r="Z287" s="80">
        <f t="shared" si="135"/>
        <v>0</v>
      </c>
      <c r="AA287" s="80">
        <f t="shared" si="135"/>
        <v>0</v>
      </c>
      <c r="AB287" s="80">
        <f t="shared" si="135"/>
        <v>0</v>
      </c>
      <c r="AC287" s="80">
        <f t="shared" si="135"/>
        <v>0</v>
      </c>
      <c r="AD287" s="80">
        <f t="shared" si="135"/>
        <v>0</v>
      </c>
      <c r="AE287" s="80">
        <f t="shared" si="135"/>
        <v>0</v>
      </c>
      <c r="AF287" s="80">
        <f t="shared" si="135"/>
        <v>0</v>
      </c>
      <c r="AG287" s="80">
        <f t="shared" si="135"/>
        <v>0</v>
      </c>
      <c r="AH287" s="80">
        <f t="shared" si="135"/>
        <v>0</v>
      </c>
      <c r="AI287" s="80">
        <f t="shared" si="135"/>
        <v>0</v>
      </c>
    </row>
    <row r="288" spans="2:35" ht="15.75" customHeight="1">
      <c r="B288" s="76"/>
      <c r="C288" s="110" t="s">
        <v>534</v>
      </c>
      <c r="D288" s="110"/>
      <c r="E288" s="515"/>
      <c r="F288" s="80"/>
      <c r="G288" s="80"/>
      <c r="H288" s="80">
        <f t="shared" ref="H288:AI288" si="136">G288</f>
        <v>0</v>
      </c>
      <c r="I288" s="80">
        <f t="shared" si="136"/>
        <v>0</v>
      </c>
      <c r="J288" s="80">
        <f t="shared" si="136"/>
        <v>0</v>
      </c>
      <c r="K288" s="80">
        <f t="shared" si="136"/>
        <v>0</v>
      </c>
      <c r="L288" s="80">
        <f t="shared" si="136"/>
        <v>0</v>
      </c>
      <c r="M288" s="80">
        <f t="shared" si="136"/>
        <v>0</v>
      </c>
      <c r="N288" s="80">
        <f t="shared" si="136"/>
        <v>0</v>
      </c>
      <c r="O288" s="80">
        <f t="shared" si="136"/>
        <v>0</v>
      </c>
      <c r="P288" s="80">
        <f t="shared" si="136"/>
        <v>0</v>
      </c>
      <c r="Q288" s="80">
        <f t="shared" si="136"/>
        <v>0</v>
      </c>
      <c r="R288" s="80">
        <f t="shared" si="136"/>
        <v>0</v>
      </c>
      <c r="S288" s="80">
        <f t="shared" si="136"/>
        <v>0</v>
      </c>
      <c r="T288" s="80">
        <f t="shared" si="136"/>
        <v>0</v>
      </c>
      <c r="U288" s="80">
        <f t="shared" si="136"/>
        <v>0</v>
      </c>
      <c r="V288" s="80">
        <f t="shared" si="136"/>
        <v>0</v>
      </c>
      <c r="W288" s="80">
        <f t="shared" si="136"/>
        <v>0</v>
      </c>
      <c r="X288" s="80">
        <f t="shared" si="136"/>
        <v>0</v>
      </c>
      <c r="Y288" s="80">
        <f t="shared" si="136"/>
        <v>0</v>
      </c>
      <c r="Z288" s="80">
        <f t="shared" si="136"/>
        <v>0</v>
      </c>
      <c r="AA288" s="80">
        <f t="shared" si="136"/>
        <v>0</v>
      </c>
      <c r="AB288" s="80">
        <f t="shared" si="136"/>
        <v>0</v>
      </c>
      <c r="AC288" s="80">
        <f t="shared" si="136"/>
        <v>0</v>
      </c>
      <c r="AD288" s="80">
        <f t="shared" si="136"/>
        <v>0</v>
      </c>
      <c r="AE288" s="80">
        <f t="shared" si="136"/>
        <v>0</v>
      </c>
      <c r="AF288" s="80">
        <f t="shared" si="136"/>
        <v>0</v>
      </c>
      <c r="AG288" s="80">
        <f t="shared" si="136"/>
        <v>0</v>
      </c>
      <c r="AH288" s="80">
        <f t="shared" si="136"/>
        <v>0</v>
      </c>
      <c r="AI288" s="80">
        <f t="shared" si="136"/>
        <v>0</v>
      </c>
    </row>
    <row r="289" spans="1:35" ht="15.75" customHeight="1">
      <c r="B289" s="76"/>
      <c r="C289" s="110"/>
      <c r="D289" s="110"/>
      <c r="E289" s="110"/>
      <c r="F289" s="110"/>
      <c r="G289" s="110"/>
      <c r="H289" s="76"/>
      <c r="I289" s="76"/>
      <c r="J289" s="76"/>
      <c r="K289" s="80"/>
      <c r="L289" s="80"/>
      <c r="M289" s="80"/>
      <c r="N289" s="80"/>
      <c r="O289" s="76"/>
    </row>
    <row r="290" spans="1:35" ht="15.75" customHeight="1">
      <c r="B290" s="76"/>
      <c r="C290" s="110" t="s">
        <v>393</v>
      </c>
      <c r="D290" s="110"/>
      <c r="E290" s="110"/>
      <c r="F290" s="110"/>
      <c r="G290" s="110"/>
      <c r="H290" s="80">
        <f t="shared" ref="H290:AI290" si="137">SUM(H284:H288)</f>
        <v>0</v>
      </c>
      <c r="I290" s="80">
        <f t="shared" si="137"/>
        <v>0</v>
      </c>
      <c r="J290" s="80">
        <f t="shared" si="137"/>
        <v>0</v>
      </c>
      <c r="K290" s="80">
        <f t="shared" si="137"/>
        <v>10897130.6585772</v>
      </c>
      <c r="L290" s="80">
        <f t="shared" si="137"/>
        <v>11065750.642308377</v>
      </c>
      <c r="M290" s="80">
        <f t="shared" si="137"/>
        <v>12426477.997421646</v>
      </c>
      <c r="N290" s="80">
        <f t="shared" si="137"/>
        <v>12074456.58886043</v>
      </c>
      <c r="O290" s="80">
        <f t="shared" si="137"/>
        <v>12086811.70221613</v>
      </c>
      <c r="P290" s="80">
        <f t="shared" ca="1" si="137"/>
        <v>12935558.447142111</v>
      </c>
      <c r="Q290" s="80">
        <f t="shared" ca="1" si="137"/>
        <v>12106309.388230398</v>
      </c>
      <c r="R290" s="80">
        <f t="shared" ca="1" si="137"/>
        <v>12131541.518490482</v>
      </c>
      <c r="S290" s="80">
        <f t="shared" ca="1" si="137"/>
        <v>12956319.793170813</v>
      </c>
      <c r="T290" s="80">
        <f t="shared" ca="1" si="137"/>
        <v>12057462.879866932</v>
      </c>
      <c r="U290" s="80">
        <f t="shared" ca="1" si="137"/>
        <v>12086054.546975376</v>
      </c>
      <c r="V290" s="80">
        <f t="shared" ca="1" si="137"/>
        <v>12908491.798687547</v>
      </c>
      <c r="W290" s="80">
        <f t="shared" ca="1" si="137"/>
        <v>12086054.546975376</v>
      </c>
      <c r="X290" s="80">
        <f t="shared" ca="1" si="137"/>
        <v>11936630.431646615</v>
      </c>
      <c r="Y290" s="80">
        <f t="shared" ca="1" si="137"/>
        <v>12737490.434807092</v>
      </c>
      <c r="Z290" s="80">
        <f t="shared" ca="1" si="137"/>
        <v>11915053.183094913</v>
      </c>
      <c r="AA290" s="80">
        <f t="shared" ca="1" si="137"/>
        <v>11915053.183094913</v>
      </c>
      <c r="AB290" s="80">
        <f t="shared" ca="1" si="137"/>
        <v>12737490.434807086</v>
      </c>
      <c r="AC290" s="80">
        <f t="shared" ca="1" si="137"/>
        <v>11915053.183094913</v>
      </c>
      <c r="AD290" s="80">
        <f t="shared" ca="1" si="137"/>
        <v>11943645.558530783</v>
      </c>
      <c r="AE290" s="80">
        <f t="shared" ca="1" si="137"/>
        <v>12860759.120556032</v>
      </c>
      <c r="AF290" s="80">
        <f t="shared" ca="1" si="137"/>
        <v>12072340.404795408</v>
      </c>
      <c r="AG290" s="80">
        <f t="shared" ca="1" si="137"/>
        <v>12072340.404795408</v>
      </c>
      <c r="AH290" s="80">
        <f t="shared" ca="1" si="137"/>
        <v>12883853.740520809</v>
      </c>
      <c r="AI290" s="80">
        <f t="shared" ca="1" si="137"/>
        <v>12072340.404795405</v>
      </c>
    </row>
    <row r="291" spans="1:35" ht="15.75" customHeight="1">
      <c r="B291" s="76"/>
      <c r="C291" s="808"/>
      <c r="D291" s="110"/>
      <c r="E291" s="515"/>
      <c r="F291" s="80"/>
      <c r="G291" s="80"/>
      <c r="H291" s="152"/>
      <c r="I291" s="152"/>
      <c r="J291" s="152"/>
      <c r="K291" s="152"/>
      <c r="L291" s="152"/>
      <c r="M291" s="152"/>
      <c r="N291" s="152"/>
      <c r="O291" s="152"/>
      <c r="Q291" s="152"/>
      <c r="R291" s="152"/>
      <c r="S291" s="152"/>
      <c r="T291" s="152"/>
      <c r="U291" s="152"/>
      <c r="V291" s="152"/>
      <c r="W291" s="152"/>
      <c r="X291" s="152"/>
      <c r="Y291" s="152"/>
      <c r="Z291" s="152"/>
      <c r="AA291" s="152"/>
      <c r="AB291" s="152"/>
      <c r="AC291" s="152"/>
      <c r="AD291" s="152"/>
      <c r="AE291" s="152"/>
      <c r="AF291" s="152"/>
      <c r="AG291" s="152"/>
      <c r="AH291" s="152"/>
      <c r="AI291" s="152"/>
    </row>
    <row r="292" spans="1:35" ht="15.75" customHeight="1">
      <c r="B292" s="76"/>
      <c r="C292" s="110" t="s">
        <v>394</v>
      </c>
      <c r="D292" s="110"/>
      <c r="E292" s="110"/>
      <c r="F292" s="110"/>
      <c r="G292" s="80">
        <f>+G536</f>
        <v>0</v>
      </c>
      <c r="H292" s="80">
        <f t="shared" ref="H292:AI292" si="138">G292+G294+H536</f>
        <v>0</v>
      </c>
      <c r="I292" s="80">
        <f t="shared" si="138"/>
        <v>0</v>
      </c>
      <c r="J292" s="80">
        <f t="shared" si="138"/>
        <v>0</v>
      </c>
      <c r="K292" s="80">
        <f t="shared" si="138"/>
        <v>0</v>
      </c>
      <c r="L292" s="80">
        <f t="shared" ca="1" si="138"/>
        <v>129534070.78321561</v>
      </c>
      <c r="M292" s="80">
        <f t="shared" ca="1" si="138"/>
        <v>309173798.60840285</v>
      </c>
      <c r="N292" s="80">
        <f t="shared" ca="1" si="138"/>
        <v>548428682.23018968</v>
      </c>
      <c r="O292" s="80">
        <f t="shared" ca="1" si="138"/>
        <v>746053654.14315486</v>
      </c>
      <c r="P292" s="80">
        <f t="shared" ca="1" si="138"/>
        <v>947958393.5178901</v>
      </c>
      <c r="Q292" s="80">
        <f t="shared" ca="1" si="138"/>
        <v>1519982049.7456512</v>
      </c>
      <c r="R292" s="80">
        <f t="shared" ca="1" si="138"/>
        <v>2034961281.7406468</v>
      </c>
      <c r="S292" s="80">
        <f t="shared" ca="1" si="138"/>
        <v>2561836101.4126458</v>
      </c>
      <c r="T292" s="80">
        <f t="shared" ca="1" si="138"/>
        <v>3168173978.8698921</v>
      </c>
      <c r="U292" s="80">
        <f t="shared" ca="1" si="138"/>
        <v>3675583484.8934264</v>
      </c>
      <c r="V292" s="80">
        <f t="shared" ca="1" si="138"/>
        <v>4208898041.353054</v>
      </c>
      <c r="W292" s="80">
        <f t="shared" ca="1" si="138"/>
        <v>4821496670.3024712</v>
      </c>
      <c r="X292" s="80">
        <f t="shared" ca="1" si="138"/>
        <v>5381820565.3084946</v>
      </c>
      <c r="Y292" s="80">
        <f t="shared" ca="1" si="138"/>
        <v>5957699276.3319149</v>
      </c>
      <c r="Z292" s="80">
        <f t="shared" ca="1" si="138"/>
        <v>6614317680.8715906</v>
      </c>
      <c r="AA292" s="80">
        <f t="shared" ca="1" si="138"/>
        <v>7219702218.1766453</v>
      </c>
      <c r="AB292" s="80">
        <f t="shared" ca="1" si="138"/>
        <v>7839468915.8568544</v>
      </c>
      <c r="AC292" s="80">
        <f t="shared" ca="1" si="138"/>
        <v>8540720824.9618969</v>
      </c>
      <c r="AD292" s="80">
        <f t="shared" ca="1" si="138"/>
        <v>9191803176.7433529</v>
      </c>
      <c r="AE292" s="80">
        <f t="shared" ca="1" si="138"/>
        <v>9829734229.5371304</v>
      </c>
      <c r="AF292" s="80">
        <f t="shared" ca="1" si="138"/>
        <v>10518320607.838051</v>
      </c>
      <c r="AG292" s="80">
        <f t="shared" ca="1" si="138"/>
        <v>11172487142.736166</v>
      </c>
      <c r="AH292" s="80">
        <f t="shared" ca="1" si="138"/>
        <v>11842011026.096542</v>
      </c>
      <c r="AI292" s="80">
        <f t="shared" ca="1" si="138"/>
        <v>12589167973.724487</v>
      </c>
    </row>
    <row r="293" spans="1:35" ht="15.75" customHeight="1">
      <c r="B293" s="76"/>
      <c r="C293" s="110" t="s">
        <v>553</v>
      </c>
      <c r="D293" s="110"/>
      <c r="E293" s="110"/>
      <c r="F293" s="110"/>
      <c r="G293" s="110"/>
      <c r="H293" s="80">
        <f t="shared" ref="H293:AI293" si="139">G293</f>
        <v>0</v>
      </c>
      <c r="I293" s="80">
        <f t="shared" si="139"/>
        <v>0</v>
      </c>
      <c r="J293" s="80">
        <f t="shared" si="139"/>
        <v>0</v>
      </c>
      <c r="K293" s="80">
        <f t="shared" si="139"/>
        <v>0</v>
      </c>
      <c r="L293" s="80">
        <f t="shared" si="139"/>
        <v>0</v>
      </c>
      <c r="M293" s="80">
        <f t="shared" si="139"/>
        <v>0</v>
      </c>
      <c r="N293" s="80">
        <f t="shared" si="139"/>
        <v>0</v>
      </c>
      <c r="O293" s="80">
        <f t="shared" si="139"/>
        <v>0</v>
      </c>
      <c r="P293" s="80">
        <f t="shared" si="139"/>
        <v>0</v>
      </c>
      <c r="Q293" s="80">
        <f t="shared" si="139"/>
        <v>0</v>
      </c>
      <c r="R293" s="80">
        <f t="shared" si="139"/>
        <v>0</v>
      </c>
      <c r="S293" s="80">
        <f t="shared" si="139"/>
        <v>0</v>
      </c>
      <c r="T293" s="80">
        <f t="shared" si="139"/>
        <v>0</v>
      </c>
      <c r="U293" s="80">
        <f t="shared" si="139"/>
        <v>0</v>
      </c>
      <c r="V293" s="80">
        <f t="shared" si="139"/>
        <v>0</v>
      </c>
      <c r="W293" s="80">
        <f t="shared" si="139"/>
        <v>0</v>
      </c>
      <c r="X293" s="80">
        <f t="shared" si="139"/>
        <v>0</v>
      </c>
      <c r="Y293" s="80">
        <f t="shared" si="139"/>
        <v>0</v>
      </c>
      <c r="Z293" s="80">
        <f t="shared" si="139"/>
        <v>0</v>
      </c>
      <c r="AA293" s="80">
        <f t="shared" si="139"/>
        <v>0</v>
      </c>
      <c r="AB293" s="80">
        <f t="shared" si="139"/>
        <v>0</v>
      </c>
      <c r="AC293" s="80">
        <f t="shared" si="139"/>
        <v>0</v>
      </c>
      <c r="AD293" s="80">
        <f t="shared" si="139"/>
        <v>0</v>
      </c>
      <c r="AE293" s="80">
        <f t="shared" si="139"/>
        <v>0</v>
      </c>
      <c r="AF293" s="80">
        <f t="shared" si="139"/>
        <v>0</v>
      </c>
      <c r="AG293" s="80">
        <f t="shared" si="139"/>
        <v>0</v>
      </c>
      <c r="AH293" s="80">
        <f t="shared" si="139"/>
        <v>0</v>
      </c>
      <c r="AI293" s="80">
        <f t="shared" si="139"/>
        <v>0</v>
      </c>
    </row>
    <row r="294" spans="1:35" ht="15.75" customHeight="1">
      <c r="B294" s="76"/>
      <c r="C294" s="110" t="s">
        <v>552</v>
      </c>
      <c r="D294" s="110"/>
      <c r="E294" s="110"/>
      <c r="F294" s="110"/>
      <c r="G294" s="110"/>
      <c r="H294" s="80">
        <f t="shared" ref="H294:AI294" si="140">H248</f>
        <v>0</v>
      </c>
      <c r="I294" s="80">
        <f t="shared" si="140"/>
        <v>0</v>
      </c>
      <c r="J294" s="80">
        <f t="shared" si="140"/>
        <v>0</v>
      </c>
      <c r="K294" s="80">
        <f t="shared" ca="1" si="140"/>
        <v>129534070.78321561</v>
      </c>
      <c r="L294" s="80">
        <f t="shared" ca="1" si="140"/>
        <v>179639727.82518721</v>
      </c>
      <c r="M294" s="80">
        <f t="shared" ca="1" si="140"/>
        <v>239254883.6217868</v>
      </c>
      <c r="N294" s="80">
        <f t="shared" ca="1" si="140"/>
        <v>197624971.91296521</v>
      </c>
      <c r="O294" s="80">
        <f t="shared" ca="1" si="140"/>
        <v>201904739.37473527</v>
      </c>
      <c r="P294" s="80">
        <f t="shared" ca="1" si="140"/>
        <v>572023656.22776127</v>
      </c>
      <c r="Q294" s="80">
        <f t="shared" ca="1" si="140"/>
        <v>514979231.99499547</v>
      </c>
      <c r="R294" s="80">
        <f t="shared" ca="1" si="140"/>
        <v>526874819.6719991</v>
      </c>
      <c r="S294" s="80">
        <f t="shared" ca="1" si="140"/>
        <v>606337877.45724607</v>
      </c>
      <c r="T294" s="80">
        <f t="shared" ca="1" si="140"/>
        <v>507409506.0235343</v>
      </c>
      <c r="U294" s="80">
        <f t="shared" ca="1" si="140"/>
        <v>533314556.45962751</v>
      </c>
      <c r="V294" s="80">
        <f t="shared" ca="1" si="140"/>
        <v>612598628.94941735</v>
      </c>
      <c r="W294" s="80">
        <f t="shared" ca="1" si="140"/>
        <v>560323895.00602317</v>
      </c>
      <c r="X294" s="80">
        <f t="shared" ca="1" si="140"/>
        <v>575878711.02341986</v>
      </c>
      <c r="Y294" s="80">
        <f t="shared" ca="1" si="140"/>
        <v>656618404.53967595</v>
      </c>
      <c r="Z294" s="80">
        <f t="shared" ca="1" si="140"/>
        <v>605384537.30505466</v>
      </c>
      <c r="AA294" s="80">
        <f t="shared" ca="1" si="140"/>
        <v>619766697.68020892</v>
      </c>
      <c r="AB294" s="80">
        <f t="shared" ca="1" si="140"/>
        <v>701251909.10504246</v>
      </c>
      <c r="AC294" s="80">
        <f t="shared" ca="1" si="140"/>
        <v>651082351.78145528</v>
      </c>
      <c r="AD294" s="80">
        <f t="shared" ca="1" si="140"/>
        <v>637931052.79377699</v>
      </c>
      <c r="AE294" s="80">
        <f t="shared" ca="1" si="140"/>
        <v>688586378.30091977</v>
      </c>
      <c r="AF294" s="80">
        <f t="shared" ca="1" si="140"/>
        <v>654166534.89811492</v>
      </c>
      <c r="AG294" s="80">
        <f t="shared" ca="1" si="140"/>
        <v>669523883.36037695</v>
      </c>
      <c r="AH294" s="80">
        <f t="shared" ca="1" si="140"/>
        <v>747156947.62794411</v>
      </c>
      <c r="AI294" s="80">
        <f t="shared" ca="1" si="140"/>
        <v>703166794.82701302</v>
      </c>
    </row>
    <row r="295" spans="1:35" ht="15.75" customHeight="1">
      <c r="B295" s="76"/>
      <c r="C295" s="110" t="s">
        <v>554</v>
      </c>
      <c r="D295" s="110"/>
      <c r="E295" s="110"/>
      <c r="F295" s="110"/>
      <c r="G295" s="110"/>
      <c r="H295" s="80">
        <f t="shared" ref="H295:AI295" si="141">G295</f>
        <v>0</v>
      </c>
      <c r="I295" s="80">
        <f t="shared" si="141"/>
        <v>0</v>
      </c>
      <c r="J295" s="80">
        <f t="shared" si="141"/>
        <v>0</v>
      </c>
      <c r="K295" s="80">
        <f t="shared" si="141"/>
        <v>0</v>
      </c>
      <c r="L295" s="80">
        <f t="shared" si="141"/>
        <v>0</v>
      </c>
      <c r="M295" s="80">
        <f t="shared" si="141"/>
        <v>0</v>
      </c>
      <c r="N295" s="80">
        <f t="shared" si="141"/>
        <v>0</v>
      </c>
      <c r="O295" s="80">
        <f t="shared" si="141"/>
        <v>0</v>
      </c>
      <c r="P295" s="80">
        <f t="shared" si="141"/>
        <v>0</v>
      </c>
      <c r="Q295" s="80">
        <f t="shared" si="141"/>
        <v>0</v>
      </c>
      <c r="R295" s="80">
        <f t="shared" si="141"/>
        <v>0</v>
      </c>
      <c r="S295" s="80">
        <f t="shared" si="141"/>
        <v>0</v>
      </c>
      <c r="T295" s="80">
        <f t="shared" si="141"/>
        <v>0</v>
      </c>
      <c r="U295" s="80">
        <f t="shared" si="141"/>
        <v>0</v>
      </c>
      <c r="V295" s="80">
        <f t="shared" si="141"/>
        <v>0</v>
      </c>
      <c r="W295" s="80">
        <f t="shared" si="141"/>
        <v>0</v>
      </c>
      <c r="X295" s="80">
        <f t="shared" si="141"/>
        <v>0</v>
      </c>
      <c r="Y295" s="80">
        <f t="shared" si="141"/>
        <v>0</v>
      </c>
      <c r="Z295" s="80">
        <f t="shared" si="141"/>
        <v>0</v>
      </c>
      <c r="AA295" s="80">
        <f t="shared" si="141"/>
        <v>0</v>
      </c>
      <c r="AB295" s="80">
        <f t="shared" si="141"/>
        <v>0</v>
      </c>
      <c r="AC295" s="80">
        <f t="shared" si="141"/>
        <v>0</v>
      </c>
      <c r="AD295" s="80">
        <f t="shared" si="141"/>
        <v>0</v>
      </c>
      <c r="AE295" s="80">
        <f t="shared" si="141"/>
        <v>0</v>
      </c>
      <c r="AF295" s="80">
        <f t="shared" si="141"/>
        <v>0</v>
      </c>
      <c r="AG295" s="80">
        <f t="shared" si="141"/>
        <v>0</v>
      </c>
      <c r="AH295" s="80">
        <f t="shared" si="141"/>
        <v>0</v>
      </c>
      <c r="AI295" s="80">
        <f t="shared" si="141"/>
        <v>0</v>
      </c>
    </row>
    <row r="296" spans="1:35" ht="15.75" customHeight="1">
      <c r="B296" s="76"/>
      <c r="C296" s="110" t="s">
        <v>551</v>
      </c>
      <c r="D296" s="110"/>
      <c r="E296" s="110"/>
      <c r="F296" s="110"/>
      <c r="G296" s="110"/>
      <c r="H296" s="152"/>
      <c r="I296" s="152"/>
      <c r="J296" s="152"/>
      <c r="K296" s="152"/>
      <c r="L296" s="152"/>
      <c r="M296" s="152"/>
      <c r="N296" s="152"/>
      <c r="O296" s="152"/>
      <c r="Q296" s="152"/>
      <c r="R296" s="152"/>
      <c r="S296" s="152"/>
      <c r="T296" s="152"/>
      <c r="U296" s="152"/>
      <c r="V296" s="152"/>
      <c r="W296" s="152"/>
      <c r="X296" s="152"/>
      <c r="Y296" s="152"/>
      <c r="Z296" s="152"/>
      <c r="AA296" s="152"/>
      <c r="AB296" s="152"/>
      <c r="AC296" s="152"/>
      <c r="AD296" s="152"/>
      <c r="AE296" s="152"/>
      <c r="AF296" s="152"/>
      <c r="AG296" s="152"/>
      <c r="AH296" s="152"/>
      <c r="AI296" s="152"/>
    </row>
    <row r="297" spans="1:35" ht="15.75" customHeight="1">
      <c r="B297" s="76"/>
      <c r="C297" s="110"/>
      <c r="D297" s="110"/>
      <c r="E297" s="515"/>
      <c r="F297" s="80"/>
      <c r="G297" s="80"/>
      <c r="H297" s="152"/>
      <c r="I297" s="152"/>
      <c r="J297" s="152"/>
      <c r="K297" s="152"/>
      <c r="L297" s="152"/>
      <c r="M297" s="152"/>
      <c r="N297" s="152"/>
      <c r="O297" s="152"/>
      <c r="Q297" s="152"/>
      <c r="R297" s="152"/>
      <c r="S297" s="152"/>
      <c r="T297" s="152"/>
      <c r="U297" s="152"/>
      <c r="V297" s="152"/>
      <c r="W297" s="152"/>
      <c r="X297" s="152"/>
      <c r="Y297" s="152"/>
      <c r="Z297" s="152"/>
      <c r="AA297" s="152"/>
      <c r="AB297" s="152"/>
      <c r="AC297" s="152"/>
      <c r="AD297" s="152"/>
      <c r="AE297" s="152"/>
      <c r="AF297" s="152"/>
      <c r="AG297" s="152"/>
      <c r="AH297" s="152"/>
      <c r="AI297" s="152"/>
    </row>
    <row r="298" spans="1:35" ht="15.75" customHeight="1">
      <c r="B298" s="76"/>
      <c r="C298" s="472" t="s">
        <v>395</v>
      </c>
      <c r="D298" s="472"/>
      <c r="E298" s="517"/>
      <c r="F298" s="115"/>
      <c r="G298" s="115"/>
      <c r="H298" s="115">
        <f t="shared" ref="H298:AI298" si="142">SUM(H290:H296)</f>
        <v>0</v>
      </c>
      <c r="I298" s="115">
        <f t="shared" si="142"/>
        <v>0</v>
      </c>
      <c r="J298" s="115">
        <f t="shared" si="142"/>
        <v>0</v>
      </c>
      <c r="K298" s="115">
        <f t="shared" ca="1" si="142"/>
        <v>140431201.44179282</v>
      </c>
      <c r="L298" s="115">
        <f t="shared" ca="1" si="142"/>
        <v>320239549.2507112</v>
      </c>
      <c r="M298" s="115">
        <f t="shared" ca="1" si="142"/>
        <v>560855160.2276113</v>
      </c>
      <c r="N298" s="115">
        <f t="shared" ca="1" si="142"/>
        <v>758128110.73201525</v>
      </c>
      <c r="O298" s="115">
        <f t="shared" ca="1" si="142"/>
        <v>960045205.22010624</v>
      </c>
      <c r="P298" s="115">
        <f t="shared" ca="1" si="142"/>
        <v>1532917608.1927934</v>
      </c>
      <c r="Q298" s="115">
        <f t="shared" ca="1" si="142"/>
        <v>2047067591.1288772</v>
      </c>
      <c r="R298" s="115">
        <f t="shared" ca="1" si="142"/>
        <v>2573967642.9311366</v>
      </c>
      <c r="S298" s="115">
        <f t="shared" ca="1" si="142"/>
        <v>3181130298.663063</v>
      </c>
      <c r="T298" s="115">
        <f t="shared" ca="1" si="142"/>
        <v>3687640947.7732935</v>
      </c>
      <c r="U298" s="115">
        <f t="shared" ca="1" si="142"/>
        <v>4220984095.9000297</v>
      </c>
      <c r="V298" s="115">
        <f t="shared" ca="1" si="142"/>
        <v>4834405162.1011591</v>
      </c>
      <c r="W298" s="115">
        <f t="shared" ca="1" si="142"/>
        <v>5393906619.8554697</v>
      </c>
      <c r="X298" s="115">
        <f t="shared" ca="1" si="142"/>
        <v>5969635906.7635612</v>
      </c>
      <c r="Y298" s="115">
        <f t="shared" ca="1" si="142"/>
        <v>6627055171.3063974</v>
      </c>
      <c r="Z298" s="115">
        <f t="shared" ca="1" si="142"/>
        <v>7231617271.3597403</v>
      </c>
      <c r="AA298" s="115">
        <f t="shared" ca="1" si="142"/>
        <v>7851383969.0399494</v>
      </c>
      <c r="AB298" s="115">
        <f t="shared" ca="1" si="142"/>
        <v>8553458315.3967037</v>
      </c>
      <c r="AC298" s="115">
        <f t="shared" ca="1" si="142"/>
        <v>9203718229.9264469</v>
      </c>
      <c r="AD298" s="115">
        <f t="shared" ca="1" si="142"/>
        <v>9841677875.0956612</v>
      </c>
      <c r="AE298" s="115">
        <f t="shared" ca="1" si="142"/>
        <v>10531181366.958607</v>
      </c>
      <c r="AF298" s="115">
        <f t="shared" ca="1" si="142"/>
        <v>11184559483.140961</v>
      </c>
      <c r="AG298" s="115">
        <f t="shared" ca="1" si="142"/>
        <v>11854083366.501337</v>
      </c>
      <c r="AH298" s="115">
        <f t="shared" ca="1" si="142"/>
        <v>12602051827.465008</v>
      </c>
      <c r="AI298" s="115">
        <f t="shared" ca="1" si="142"/>
        <v>13304407108.956295</v>
      </c>
    </row>
    <row r="299" spans="1:35" ht="15.75" customHeight="1">
      <c r="B299" s="76"/>
      <c r="C299" s="809"/>
      <c r="D299" s="110"/>
      <c r="E299" s="515"/>
      <c r="F299" s="80"/>
      <c r="G299" s="80"/>
      <c r="H299" s="80"/>
      <c r="I299" s="80"/>
      <c r="J299" s="80"/>
      <c r="K299" s="152"/>
      <c r="L299" s="152"/>
      <c r="M299" s="152"/>
      <c r="N299" s="152"/>
      <c r="O299" s="152"/>
      <c r="Q299" s="152"/>
      <c r="R299" s="152"/>
      <c r="S299" s="152"/>
      <c r="T299" s="152"/>
      <c r="U299" s="152"/>
      <c r="V299" s="152"/>
      <c r="W299" s="152"/>
      <c r="X299" s="152"/>
      <c r="Y299" s="152"/>
      <c r="Z299" s="152"/>
      <c r="AA299" s="152"/>
      <c r="AB299" s="152"/>
      <c r="AC299" s="152"/>
      <c r="AD299" s="152"/>
      <c r="AE299" s="152"/>
      <c r="AF299" s="152"/>
      <c r="AG299" s="152"/>
      <c r="AH299" s="152"/>
      <c r="AI299" s="152"/>
    </row>
    <row r="300" spans="1:35" s="811" customFormat="1" ht="15.75" customHeight="1">
      <c r="A300" s="565"/>
      <c r="B300" s="810"/>
      <c r="C300" s="946" t="s">
        <v>365</v>
      </c>
      <c r="D300" s="533"/>
      <c r="E300" s="533"/>
      <c r="F300" s="533"/>
      <c r="G300" s="693">
        <f>G298-G277</f>
        <v>0</v>
      </c>
      <c r="H300" s="693">
        <f>H298-H277</f>
        <v>0</v>
      </c>
      <c r="I300" s="693">
        <f>I298-I277</f>
        <v>0</v>
      </c>
      <c r="J300" s="693">
        <f>J298-J277</f>
        <v>0</v>
      </c>
      <c r="K300" s="693">
        <f t="shared" ref="K300:AI300" ca="1" si="143">K298-K277</f>
        <v>3.2782554626464844E-7</v>
      </c>
      <c r="L300" s="693">
        <f t="shared" ca="1" si="143"/>
        <v>0</v>
      </c>
      <c r="M300" s="693">
        <f t="shared" ca="1" si="143"/>
        <v>0</v>
      </c>
      <c r="N300" s="693">
        <f t="shared" ca="1" si="143"/>
        <v>0</v>
      </c>
      <c r="O300" s="693">
        <f t="shared" ca="1" si="143"/>
        <v>0</v>
      </c>
      <c r="P300" s="693">
        <f t="shared" ca="1" si="143"/>
        <v>0</v>
      </c>
      <c r="Q300" s="693">
        <f t="shared" ca="1" si="143"/>
        <v>0</v>
      </c>
      <c r="R300" s="693">
        <f t="shared" ca="1" si="143"/>
        <v>0</v>
      </c>
      <c r="S300" s="693">
        <f t="shared" ca="1" si="143"/>
        <v>0</v>
      </c>
      <c r="T300" s="693">
        <f t="shared" ca="1" si="143"/>
        <v>0</v>
      </c>
      <c r="U300" s="693">
        <f t="shared" ca="1" si="143"/>
        <v>0</v>
      </c>
      <c r="V300" s="693">
        <f t="shared" ca="1" si="143"/>
        <v>0</v>
      </c>
      <c r="W300" s="693">
        <f t="shared" ca="1" si="143"/>
        <v>0</v>
      </c>
      <c r="X300" s="693">
        <f t="shared" ca="1" si="143"/>
        <v>0</v>
      </c>
      <c r="Y300" s="693">
        <f t="shared" ca="1" si="143"/>
        <v>0</v>
      </c>
      <c r="Z300" s="693">
        <f t="shared" ca="1" si="143"/>
        <v>0</v>
      </c>
      <c r="AA300" s="693">
        <f t="shared" ca="1" si="143"/>
        <v>0</v>
      </c>
      <c r="AB300" s="693">
        <f t="shared" ca="1" si="143"/>
        <v>0</v>
      </c>
      <c r="AC300" s="693">
        <f t="shared" ca="1" si="143"/>
        <v>0</v>
      </c>
      <c r="AD300" s="693">
        <f t="shared" ca="1" si="143"/>
        <v>0</v>
      </c>
      <c r="AE300" s="693">
        <f t="shared" ca="1" si="143"/>
        <v>0</v>
      </c>
      <c r="AF300" s="693">
        <f t="shared" ca="1" si="143"/>
        <v>0</v>
      </c>
      <c r="AG300" s="693">
        <f t="shared" ca="1" si="143"/>
        <v>0</v>
      </c>
      <c r="AH300" s="693">
        <f t="shared" ca="1" si="143"/>
        <v>0</v>
      </c>
      <c r="AI300" s="693">
        <f t="shared" ca="1" si="143"/>
        <v>0</v>
      </c>
    </row>
    <row r="301" spans="1:35" ht="15.75" customHeight="1">
      <c r="B301" s="76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21"/>
      <c r="O301" s="76"/>
    </row>
    <row r="302" spans="1:35" ht="15.75" customHeight="1">
      <c r="B302" s="111"/>
      <c r="D302" s="111" t="s">
        <v>447</v>
      </c>
      <c r="E302" s="947"/>
      <c r="F302" s="948"/>
      <c r="G302" s="948"/>
      <c r="H302" s="948"/>
      <c r="I302" s="948"/>
      <c r="J302" s="948"/>
      <c r="L302" s="116">
        <v>1</v>
      </c>
      <c r="M302" s="116">
        <v>1</v>
      </c>
      <c r="N302" s="116">
        <f ca="1">N292/(N292+N287+N288+N286)</f>
        <v>1</v>
      </c>
      <c r="O302" s="116">
        <f ca="1">O292/(O292+O287+O288+O286)</f>
        <v>1</v>
      </c>
      <c r="P302" s="116">
        <f ca="1">P292/(P292+P287+P288+P286)</f>
        <v>1</v>
      </c>
    </row>
    <row r="303" spans="1:35" ht="15.75" customHeight="1">
      <c r="B303" s="111"/>
      <c r="D303" s="110" t="s">
        <v>448</v>
      </c>
      <c r="E303" s="102"/>
      <c r="F303" s="102"/>
      <c r="G303" s="102"/>
      <c r="H303" s="102"/>
      <c r="I303" s="102"/>
      <c r="J303" s="102"/>
      <c r="L303" s="116">
        <v>0</v>
      </c>
      <c r="M303" s="116">
        <v>0</v>
      </c>
      <c r="N303" s="116">
        <f ca="1">1-N302</f>
        <v>0</v>
      </c>
      <c r="O303" s="116">
        <f ca="1">1-O302</f>
        <v>0</v>
      </c>
      <c r="P303" s="116">
        <f ca="1">1-P302</f>
        <v>0</v>
      </c>
    </row>
    <row r="304" spans="1:35" ht="15.75" customHeight="1">
      <c r="B304" s="111"/>
      <c r="D304" s="110"/>
      <c r="E304" s="102"/>
      <c r="F304" s="102"/>
      <c r="G304" s="102"/>
      <c r="H304" s="102"/>
      <c r="I304" s="102"/>
      <c r="J304" s="102"/>
      <c r="L304" s="116"/>
      <c r="M304" s="116"/>
      <c r="N304" s="116"/>
      <c r="O304" s="76"/>
    </row>
    <row r="305" spans="1:35" ht="15.75" customHeight="1">
      <c r="B305" s="111"/>
      <c r="C305" s="117"/>
      <c r="D305" s="117"/>
      <c r="E305" s="117"/>
      <c r="F305" s="117"/>
      <c r="G305" s="117"/>
      <c r="H305" s="117"/>
      <c r="I305" s="117"/>
      <c r="J305" s="117"/>
      <c r="K305" s="117"/>
      <c r="L305" s="117"/>
      <c r="M305" s="118"/>
      <c r="N305" s="139"/>
      <c r="O305" s="139"/>
      <c r="P305" s="139"/>
    </row>
    <row r="306" spans="1:35" ht="15.75" customHeight="1">
      <c r="B306" s="111"/>
      <c r="C306" s="117"/>
      <c r="D306" s="117"/>
      <c r="E306" s="117"/>
      <c r="F306" s="117"/>
      <c r="G306" s="117"/>
      <c r="H306" s="117"/>
      <c r="I306" s="117"/>
      <c r="J306" s="117"/>
      <c r="K306" s="117"/>
      <c r="L306" s="117"/>
      <c r="M306" s="118"/>
      <c r="N306" s="118"/>
      <c r="O306" s="76"/>
    </row>
    <row r="307" spans="1:35" ht="15.75" customHeight="1">
      <c r="B307" s="111"/>
      <c r="C307" s="117"/>
      <c r="D307" s="117"/>
      <c r="E307" s="117"/>
      <c r="F307" s="117"/>
      <c r="G307" s="117"/>
      <c r="H307" s="117"/>
      <c r="I307" s="117"/>
      <c r="J307" s="117"/>
      <c r="K307" s="117"/>
      <c r="L307" s="117"/>
      <c r="M307" s="118"/>
      <c r="N307" s="118"/>
      <c r="O307" s="76"/>
    </row>
    <row r="308" spans="1:35" ht="27">
      <c r="B308" s="111"/>
      <c r="C308" s="499" t="s">
        <v>197</v>
      </c>
      <c r="K308" s="102"/>
      <c r="L308" s="102"/>
      <c r="M308" s="103"/>
      <c r="N308" s="137"/>
      <c r="O308" s="137"/>
      <c r="P308" s="137"/>
    </row>
    <row r="309" spans="1:35" ht="3" customHeight="1">
      <c r="B309" s="111"/>
      <c r="C309" s="104"/>
      <c r="D309" s="104"/>
      <c r="E309" s="104"/>
      <c r="F309" s="104"/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</row>
    <row r="310" spans="1:35" ht="9.75" customHeight="1">
      <c r="B310" s="111"/>
      <c r="C310" s="75"/>
      <c r="K310" s="102"/>
      <c r="L310" s="102"/>
      <c r="M310" s="103"/>
      <c r="N310" s="137"/>
      <c r="O310" s="137"/>
      <c r="P310" s="137"/>
    </row>
    <row r="311" spans="1:35" ht="10.5" customHeight="1">
      <c r="B311" s="76"/>
      <c r="C311" s="480" t="s">
        <v>196</v>
      </c>
      <c r="K311" s="102"/>
      <c r="L311" s="500"/>
      <c r="M311" s="105"/>
      <c r="N311" s="138"/>
      <c r="O311" s="138"/>
      <c r="P311" s="138"/>
    </row>
    <row r="312" spans="1:35">
      <c r="B312" s="91"/>
      <c r="C312" s="546"/>
      <c r="D312" s="106"/>
      <c r="E312" s="106"/>
      <c r="F312" s="106"/>
      <c r="G312" s="768">
        <f>H312-1</f>
        <v>-4</v>
      </c>
      <c r="H312" s="768">
        <f>I312-1</f>
        <v>-3</v>
      </c>
      <c r="I312" s="768">
        <f>J312-1</f>
        <v>-2</v>
      </c>
      <c r="J312" s="768">
        <v>-1</v>
      </c>
      <c r="K312" s="768">
        <f>J312+2</f>
        <v>1</v>
      </c>
      <c r="L312" s="768">
        <f t="shared" ref="L312:AI312" si="144">K312+1</f>
        <v>2</v>
      </c>
      <c r="M312" s="768">
        <f t="shared" si="144"/>
        <v>3</v>
      </c>
      <c r="N312" s="768">
        <f t="shared" si="144"/>
        <v>4</v>
      </c>
      <c r="O312" s="768">
        <f t="shared" si="144"/>
        <v>5</v>
      </c>
      <c r="P312" s="768">
        <f t="shared" si="144"/>
        <v>6</v>
      </c>
      <c r="Q312" s="768">
        <f t="shared" si="144"/>
        <v>7</v>
      </c>
      <c r="R312" s="768">
        <f t="shared" si="144"/>
        <v>8</v>
      </c>
      <c r="S312" s="768">
        <f t="shared" si="144"/>
        <v>9</v>
      </c>
      <c r="T312" s="768">
        <f t="shared" si="144"/>
        <v>10</v>
      </c>
      <c r="U312" s="768">
        <f t="shared" si="144"/>
        <v>11</v>
      </c>
      <c r="V312" s="768">
        <f t="shared" si="144"/>
        <v>12</v>
      </c>
      <c r="W312" s="768">
        <f t="shared" si="144"/>
        <v>13</v>
      </c>
      <c r="X312" s="768">
        <f t="shared" si="144"/>
        <v>14</v>
      </c>
      <c r="Y312" s="768">
        <f t="shared" si="144"/>
        <v>15</v>
      </c>
      <c r="Z312" s="768">
        <f t="shared" si="144"/>
        <v>16</v>
      </c>
      <c r="AA312" s="768">
        <f t="shared" si="144"/>
        <v>17</v>
      </c>
      <c r="AB312" s="768">
        <f t="shared" si="144"/>
        <v>18</v>
      </c>
      <c r="AC312" s="768">
        <f t="shared" si="144"/>
        <v>19</v>
      </c>
      <c r="AD312" s="768">
        <f t="shared" si="144"/>
        <v>20</v>
      </c>
      <c r="AE312" s="768">
        <f t="shared" si="144"/>
        <v>21</v>
      </c>
      <c r="AF312" s="768">
        <f t="shared" si="144"/>
        <v>22</v>
      </c>
      <c r="AG312" s="768">
        <f t="shared" si="144"/>
        <v>23</v>
      </c>
      <c r="AH312" s="768">
        <f t="shared" si="144"/>
        <v>24</v>
      </c>
      <c r="AI312" s="768">
        <f t="shared" si="144"/>
        <v>25</v>
      </c>
    </row>
    <row r="313" spans="1:35">
      <c r="B313" s="91"/>
      <c r="C313" s="548"/>
      <c r="D313" s="469"/>
      <c r="E313" s="469"/>
      <c r="F313" s="469"/>
      <c r="G313" s="469"/>
      <c r="H313" s="469"/>
      <c r="I313" s="548"/>
      <c r="J313" s="548"/>
      <c r="K313" s="769">
        <f>INT(ROUNDUP(K312/12,0))</f>
        <v>1</v>
      </c>
      <c r="L313" s="769">
        <f>INT(ROUNDUP(L312/12,0))</f>
        <v>1</v>
      </c>
      <c r="M313" s="769">
        <f t="shared" ref="M313:AI313" si="145">INT(ROUNDUP(M312/12,0))</f>
        <v>1</v>
      </c>
      <c r="N313" s="769">
        <f t="shared" si="145"/>
        <v>1</v>
      </c>
      <c r="O313" s="769">
        <f t="shared" si="145"/>
        <v>1</v>
      </c>
      <c r="P313" s="769">
        <f t="shared" si="145"/>
        <v>1</v>
      </c>
      <c r="Q313" s="769">
        <f t="shared" si="145"/>
        <v>1</v>
      </c>
      <c r="R313" s="769">
        <f t="shared" si="145"/>
        <v>1</v>
      </c>
      <c r="S313" s="769">
        <f t="shared" si="145"/>
        <v>1</v>
      </c>
      <c r="T313" s="769">
        <f t="shared" si="145"/>
        <v>1</v>
      </c>
      <c r="U313" s="769">
        <f t="shared" si="145"/>
        <v>1</v>
      </c>
      <c r="V313" s="769">
        <f t="shared" si="145"/>
        <v>1</v>
      </c>
      <c r="W313" s="769">
        <f t="shared" si="145"/>
        <v>2</v>
      </c>
      <c r="X313" s="769">
        <f t="shared" si="145"/>
        <v>2</v>
      </c>
      <c r="Y313" s="769">
        <f t="shared" si="145"/>
        <v>2</v>
      </c>
      <c r="Z313" s="769">
        <f t="shared" si="145"/>
        <v>2</v>
      </c>
      <c r="AA313" s="769">
        <f t="shared" si="145"/>
        <v>2</v>
      </c>
      <c r="AB313" s="769">
        <f t="shared" si="145"/>
        <v>2</v>
      </c>
      <c r="AC313" s="769">
        <f t="shared" si="145"/>
        <v>2</v>
      </c>
      <c r="AD313" s="769">
        <f t="shared" si="145"/>
        <v>2</v>
      </c>
      <c r="AE313" s="769">
        <f t="shared" si="145"/>
        <v>2</v>
      </c>
      <c r="AF313" s="769">
        <f t="shared" si="145"/>
        <v>2</v>
      </c>
      <c r="AG313" s="769">
        <f t="shared" si="145"/>
        <v>2</v>
      </c>
      <c r="AH313" s="769">
        <f t="shared" si="145"/>
        <v>2</v>
      </c>
      <c r="AI313" s="769">
        <f t="shared" si="145"/>
        <v>3</v>
      </c>
    </row>
    <row r="314" spans="1:35">
      <c r="B314" s="91"/>
      <c r="C314" s="471"/>
      <c r="D314" s="472"/>
      <c r="E314" s="506"/>
      <c r="F314" s="506"/>
      <c r="G314" s="94" t="s">
        <v>499</v>
      </c>
      <c r="H314" s="94" t="s">
        <v>499</v>
      </c>
      <c r="I314" s="94" t="s">
        <v>499</v>
      </c>
      <c r="J314" s="94" t="s">
        <v>499</v>
      </c>
      <c r="K314" s="94" t="s">
        <v>499</v>
      </c>
      <c r="L314" s="94" t="s">
        <v>499</v>
      </c>
      <c r="M314" s="94" t="s">
        <v>499</v>
      </c>
      <c r="N314" s="94" t="s">
        <v>499</v>
      </c>
      <c r="O314" s="94" t="s">
        <v>499</v>
      </c>
      <c r="P314" s="94" t="s">
        <v>499</v>
      </c>
      <c r="Q314" s="94" t="s">
        <v>499</v>
      </c>
      <c r="R314" s="94" t="s">
        <v>499</v>
      </c>
      <c r="S314" s="94" t="s">
        <v>499</v>
      </c>
      <c r="T314" s="94" t="s">
        <v>499</v>
      </c>
      <c r="U314" s="94" t="s">
        <v>499</v>
      </c>
      <c r="V314" s="94" t="s">
        <v>499</v>
      </c>
      <c r="W314" s="94" t="s">
        <v>499</v>
      </c>
      <c r="X314" s="94" t="s">
        <v>499</v>
      </c>
      <c r="Y314" s="94" t="s">
        <v>499</v>
      </c>
      <c r="Z314" s="94" t="s">
        <v>499</v>
      </c>
      <c r="AA314" s="94" t="s">
        <v>499</v>
      </c>
      <c r="AB314" s="94" t="s">
        <v>499</v>
      </c>
      <c r="AC314" s="94" t="s">
        <v>499</v>
      </c>
      <c r="AD314" s="94" t="s">
        <v>499</v>
      </c>
      <c r="AE314" s="94" t="s">
        <v>499</v>
      </c>
      <c r="AF314" s="94" t="s">
        <v>499</v>
      </c>
      <c r="AG314" s="94" t="s">
        <v>499</v>
      </c>
      <c r="AH314" s="94" t="s">
        <v>499</v>
      </c>
      <c r="AI314" s="94" t="s">
        <v>499</v>
      </c>
    </row>
    <row r="315" spans="1:35" ht="7.5" customHeight="1">
      <c r="B315" s="111"/>
      <c r="C315" s="110"/>
      <c r="D315" s="110"/>
      <c r="E315" s="110"/>
      <c r="F315" s="110"/>
      <c r="G315" s="110"/>
      <c r="H315" s="110"/>
      <c r="I315" s="110"/>
      <c r="J315" s="110"/>
      <c r="K315" s="110"/>
      <c r="L315" s="107"/>
      <c r="M315" s="812"/>
      <c r="N315" s="812"/>
      <c r="O315" s="76"/>
    </row>
    <row r="316" spans="1:35" ht="15.75" customHeight="1">
      <c r="B316" s="76"/>
      <c r="C316" s="483" t="s">
        <v>198</v>
      </c>
      <c r="D316" s="110"/>
      <c r="E316" s="110"/>
      <c r="F316" s="110"/>
      <c r="G316" s="110"/>
      <c r="H316" s="110"/>
      <c r="I316" s="110"/>
      <c r="J316" s="110"/>
      <c r="K316" s="110"/>
      <c r="L316" s="110"/>
      <c r="M316" s="110"/>
      <c r="N316" s="110"/>
      <c r="O316" s="76"/>
    </row>
    <row r="317" spans="1:35" ht="15.75" customHeight="1">
      <c r="B317" s="76"/>
      <c r="C317" s="516" t="s">
        <v>363</v>
      </c>
      <c r="D317" s="110"/>
      <c r="E317" s="515"/>
      <c r="F317" s="80"/>
      <c r="G317" s="80"/>
      <c r="H317" s="108">
        <f t="shared" ref="H317:AI317" si="146">H239</f>
        <v>0</v>
      </c>
      <c r="I317" s="108">
        <f t="shared" si="146"/>
        <v>0</v>
      </c>
      <c r="J317" s="108">
        <f t="shared" si="146"/>
        <v>0</v>
      </c>
      <c r="K317" s="108">
        <f t="shared" ca="1" si="146"/>
        <v>175664167.41042107</v>
      </c>
      <c r="L317" s="108">
        <f t="shared" ca="1" si="146"/>
        <v>242688375.54103321</v>
      </c>
      <c r="M317" s="108">
        <f t="shared" ca="1" si="146"/>
        <v>322611491.20186156</v>
      </c>
      <c r="N317" s="108">
        <f t="shared" ca="1" si="146"/>
        <v>266887678.71061164</v>
      </c>
      <c r="O317" s="108">
        <f t="shared" ca="1" si="146"/>
        <v>273471213.7200442</v>
      </c>
      <c r="P317" s="108">
        <f t="shared" ca="1" si="146"/>
        <v>747418166.3287406</v>
      </c>
      <c r="Q317" s="108">
        <f t="shared" ca="1" si="146"/>
        <v>652444932.68269145</v>
      </c>
      <c r="R317" s="108">
        <f t="shared" ca="1" si="146"/>
        <v>650908290.07748938</v>
      </c>
      <c r="S317" s="108">
        <f t="shared" ca="1" si="146"/>
        <v>740671246.10644209</v>
      </c>
      <c r="T317" s="108">
        <f t="shared" ca="1" si="146"/>
        <v>589913125.79690623</v>
      </c>
      <c r="U317" s="108">
        <f t="shared" ca="1" si="146"/>
        <v>606663041.39695561</v>
      </c>
      <c r="V317" s="108">
        <f t="shared" ca="1" si="146"/>
        <v>696195481.88104463</v>
      </c>
      <c r="W317" s="108">
        <f t="shared" ca="1" si="146"/>
        <v>607695041.39695501</v>
      </c>
      <c r="X317" s="108">
        <f t="shared" ca="1" si="146"/>
        <v>609651523.70353031</v>
      </c>
      <c r="Y317" s="108">
        <f t="shared" ca="1" si="146"/>
        <v>699615509.15865564</v>
      </c>
      <c r="Z317" s="108">
        <f t="shared" ca="1" si="146"/>
        <v>611115068.67456353</v>
      </c>
      <c r="AA317" s="108">
        <f t="shared" ca="1" si="146"/>
        <v>610083068.67456353</v>
      </c>
      <c r="AB317" s="108">
        <f t="shared" ca="1" si="146"/>
        <v>699615509.15865362</v>
      </c>
      <c r="AC317" s="108">
        <f t="shared" ca="1" si="146"/>
        <v>611115068.67456412</v>
      </c>
      <c r="AD317" s="108">
        <f t="shared" ca="1" si="146"/>
        <v>571780986.38959765</v>
      </c>
      <c r="AE317" s="108">
        <f t="shared" ca="1" si="146"/>
        <v>619017459.35626674</v>
      </c>
      <c r="AF317" s="108">
        <f t="shared" ca="1" si="146"/>
        <v>551485612.52648687</v>
      </c>
      <c r="AG317" s="108">
        <f t="shared" ca="1" si="146"/>
        <v>550453612.52648735</v>
      </c>
      <c r="AH317" s="108">
        <f t="shared" ca="1" si="146"/>
        <v>633252689.88858223</v>
      </c>
      <c r="AI317" s="108">
        <f t="shared" ca="1" si="146"/>
        <v>551485612.52648568</v>
      </c>
    </row>
    <row r="318" spans="1:35" ht="15.75" customHeight="1">
      <c r="B318" s="76"/>
      <c r="C318" s="516" t="s">
        <v>199</v>
      </c>
      <c r="D318" s="110"/>
      <c r="E318" s="515"/>
      <c r="F318" s="80"/>
      <c r="G318" s="80"/>
      <c r="H318" s="108">
        <f t="shared" ref="H318:AI318" si="147">-H237</f>
        <v>0</v>
      </c>
      <c r="I318" s="108">
        <f t="shared" si="147"/>
        <v>0</v>
      </c>
      <c r="J318" s="108">
        <f t="shared" si="147"/>
        <v>0</v>
      </c>
      <c r="K318" s="108">
        <f t="shared" ca="1" si="147"/>
        <v>380554047.68293267</v>
      </c>
      <c r="L318" s="108">
        <f t="shared" ca="1" si="147"/>
        <v>380554047.68293267</v>
      </c>
      <c r="M318" s="108">
        <f t="shared" ca="1" si="147"/>
        <v>380554047.68293267</v>
      </c>
      <c r="N318" s="108">
        <f t="shared" ca="1" si="147"/>
        <v>381586047.68293267</v>
      </c>
      <c r="O318" s="108">
        <f t="shared" ca="1" si="147"/>
        <v>382618047.68293267</v>
      </c>
      <c r="P318" s="108">
        <f t="shared" ca="1" si="147"/>
        <v>2222375</v>
      </c>
      <c r="Q318" s="108">
        <f t="shared" ca="1" si="147"/>
        <v>3254375</v>
      </c>
      <c r="R318" s="108">
        <f t="shared" ca="1" si="147"/>
        <v>4286375</v>
      </c>
      <c r="S318" s="108">
        <f t="shared" ca="1" si="147"/>
        <v>3254375</v>
      </c>
      <c r="T318" s="108">
        <f t="shared" ca="1" si="147"/>
        <v>3254375</v>
      </c>
      <c r="U318" s="108">
        <f t="shared" ca="1" si="147"/>
        <v>4128000</v>
      </c>
      <c r="V318" s="108">
        <f t="shared" ca="1" si="147"/>
        <v>3096000</v>
      </c>
      <c r="W318" s="108">
        <f t="shared" ca="1" si="147"/>
        <v>3096000</v>
      </c>
      <c r="X318" s="108">
        <f t="shared" ca="1" si="147"/>
        <v>4128000</v>
      </c>
      <c r="Y318" s="108">
        <f t="shared" ca="1" si="147"/>
        <v>3096000</v>
      </c>
      <c r="Z318" s="108">
        <f t="shared" ca="1" si="147"/>
        <v>3096000</v>
      </c>
      <c r="AA318" s="108">
        <f t="shared" ca="1" si="147"/>
        <v>4128000</v>
      </c>
      <c r="AB318" s="108">
        <f t="shared" ca="1" si="147"/>
        <v>3096000</v>
      </c>
      <c r="AC318" s="108">
        <f t="shared" ca="1" si="147"/>
        <v>3096000</v>
      </c>
      <c r="AD318" s="108">
        <f t="shared" ca="1" si="147"/>
        <v>4128000</v>
      </c>
      <c r="AE318" s="108">
        <f t="shared" ca="1" si="147"/>
        <v>3096000</v>
      </c>
      <c r="AF318" s="108">
        <f t="shared" ca="1" si="147"/>
        <v>3096000</v>
      </c>
      <c r="AG318" s="108">
        <f t="shared" ca="1" si="147"/>
        <v>4128000</v>
      </c>
      <c r="AH318" s="108">
        <f t="shared" ca="1" si="147"/>
        <v>3096000</v>
      </c>
      <c r="AI318" s="108">
        <f t="shared" ca="1" si="147"/>
        <v>3096000</v>
      </c>
    </row>
    <row r="319" spans="1:35" ht="15.75" customHeight="1">
      <c r="A319" s="75">
        <v>11</v>
      </c>
      <c r="B319" s="76"/>
      <c r="C319" s="516" t="s">
        <v>200</v>
      </c>
      <c r="D319" s="110"/>
      <c r="E319" s="515"/>
      <c r="F319" s="80"/>
      <c r="G319" s="80"/>
      <c r="H319" s="108">
        <f>-H452</f>
        <v>0</v>
      </c>
      <c r="I319" s="108">
        <f>-I452</f>
        <v>0</v>
      </c>
      <c r="J319" s="108">
        <f>-J452</f>
        <v>0</v>
      </c>
      <c r="K319" s="108">
        <f>-K452+J271+K271-K445</f>
        <v>75989189.85984686</v>
      </c>
      <c r="L319" s="108">
        <f>-L452</f>
        <v>-1203129.1601088047</v>
      </c>
      <c r="M319" s="108">
        <f>-M452</f>
        <v>-3493394.0157568976</v>
      </c>
      <c r="N319" s="108">
        <f>-N452</f>
        <v>1555164.3847186714</v>
      </c>
      <c r="O319" s="108">
        <f>-O452</f>
        <v>-140856.33089836314</v>
      </c>
      <c r="P319" s="108">
        <f t="shared" ref="P319:AI319" si="148">-P452</f>
        <v>-2985628.0455795564</v>
      </c>
      <c r="Q319" s="108">
        <f t="shared" si="148"/>
        <v>3005125.7315938249</v>
      </c>
      <c r="R319" s="108">
        <f t="shared" si="148"/>
        <v>25232.130260083824</v>
      </c>
      <c r="S319" s="108">
        <f t="shared" si="148"/>
        <v>-2906326.6285975799</v>
      </c>
      <c r="T319" s="108">
        <f t="shared" si="148"/>
        <v>4069780.0017424598</v>
      </c>
      <c r="U319" s="108">
        <f t="shared" si="148"/>
        <v>-325963.60771589354</v>
      </c>
      <c r="V319" s="108">
        <f t="shared" si="148"/>
        <v>-2903263.4788617566</v>
      </c>
      <c r="W319" s="108">
        <f t="shared" si="148"/>
        <v>2903263.4788617641</v>
      </c>
      <c r="X319" s="108">
        <f t="shared" si="148"/>
        <v>-149424.11532875896</v>
      </c>
      <c r="Y319" s="108">
        <f t="shared" si="148"/>
        <v>-2924840.7274134979</v>
      </c>
      <c r="Z319" s="108">
        <f t="shared" si="148"/>
        <v>2903263.4788618088</v>
      </c>
      <c r="AA319" s="108">
        <f t="shared" si="148"/>
        <v>0</v>
      </c>
      <c r="AB319" s="108">
        <f t="shared" si="148"/>
        <v>-2903263.4788617715</v>
      </c>
      <c r="AC319" s="108">
        <f t="shared" si="148"/>
        <v>2903263.4788617566</v>
      </c>
      <c r="AD319" s="108">
        <f t="shared" si="148"/>
        <v>763804.18272060156</v>
      </c>
      <c r="AE319" s="108">
        <f t="shared" si="148"/>
        <v>-2021304.7126814649</v>
      </c>
      <c r="AF319" s="108">
        <f t="shared" si="148"/>
        <v>2515430.0354350656</v>
      </c>
      <c r="AG319" s="108">
        <f t="shared" si="148"/>
        <v>0</v>
      </c>
      <c r="AH319" s="108">
        <f t="shared" si="148"/>
        <v>-2778723.7291533388</v>
      </c>
      <c r="AI319" s="108">
        <f t="shared" si="148"/>
        <v>2778723.7291533649</v>
      </c>
    </row>
    <row r="320" spans="1:35" ht="15.75" customHeight="1">
      <c r="A320" s="75">
        <v>12</v>
      </c>
      <c r="B320" s="76"/>
      <c r="C320" s="516" t="s">
        <v>201</v>
      </c>
      <c r="D320" s="110"/>
      <c r="E320" s="110"/>
      <c r="F320" s="110"/>
      <c r="G320" s="110"/>
      <c r="H320" s="108">
        <f t="shared" ref="H320:AI320" si="149">-H464</f>
        <v>0</v>
      </c>
      <c r="I320" s="108">
        <f t="shared" si="149"/>
        <v>0</v>
      </c>
      <c r="J320" s="108">
        <f t="shared" si="149"/>
        <v>0</v>
      </c>
      <c r="K320" s="108">
        <f t="shared" si="149"/>
        <v>0</v>
      </c>
      <c r="L320" s="108">
        <f t="shared" si="149"/>
        <v>0</v>
      </c>
      <c r="M320" s="108">
        <f t="shared" si="149"/>
        <v>0</v>
      </c>
      <c r="N320" s="108">
        <f t="shared" si="149"/>
        <v>0</v>
      </c>
      <c r="O320" s="108">
        <f t="shared" si="149"/>
        <v>0</v>
      </c>
      <c r="P320" s="108">
        <f t="shared" si="149"/>
        <v>0</v>
      </c>
      <c r="Q320" s="108">
        <f t="shared" si="149"/>
        <v>0</v>
      </c>
      <c r="R320" s="108">
        <f t="shared" si="149"/>
        <v>0</v>
      </c>
      <c r="S320" s="108">
        <f t="shared" si="149"/>
        <v>0</v>
      </c>
      <c r="T320" s="108">
        <f t="shared" si="149"/>
        <v>0</v>
      </c>
      <c r="U320" s="108">
        <f t="shared" si="149"/>
        <v>0</v>
      </c>
      <c r="V320" s="108">
        <f t="shared" si="149"/>
        <v>0</v>
      </c>
      <c r="W320" s="108">
        <f t="shared" si="149"/>
        <v>0</v>
      </c>
      <c r="X320" s="108">
        <f t="shared" si="149"/>
        <v>0</v>
      </c>
      <c r="Y320" s="108">
        <f t="shared" si="149"/>
        <v>0</v>
      </c>
      <c r="Z320" s="108">
        <f t="shared" si="149"/>
        <v>0</v>
      </c>
      <c r="AA320" s="108">
        <f t="shared" si="149"/>
        <v>0</v>
      </c>
      <c r="AB320" s="108">
        <f t="shared" si="149"/>
        <v>0</v>
      </c>
      <c r="AC320" s="108">
        <f t="shared" si="149"/>
        <v>0</v>
      </c>
      <c r="AD320" s="108">
        <f t="shared" si="149"/>
        <v>0</v>
      </c>
      <c r="AE320" s="108">
        <f t="shared" si="149"/>
        <v>0</v>
      </c>
      <c r="AF320" s="108">
        <f t="shared" si="149"/>
        <v>0</v>
      </c>
      <c r="AG320" s="108">
        <f t="shared" si="149"/>
        <v>0</v>
      </c>
      <c r="AH320" s="108">
        <f t="shared" si="149"/>
        <v>0</v>
      </c>
      <c r="AI320" s="108">
        <f t="shared" si="149"/>
        <v>0</v>
      </c>
    </row>
    <row r="321" spans="1:35" ht="15.75" customHeight="1">
      <c r="B321" s="76"/>
      <c r="C321" s="483" t="s">
        <v>202</v>
      </c>
      <c r="D321" s="110"/>
      <c r="E321" s="515"/>
      <c r="F321" s="80"/>
      <c r="G321" s="80"/>
      <c r="H321" s="108">
        <f t="shared" ref="H321:AI321" si="150">SUM(H316:H320)</f>
        <v>0</v>
      </c>
      <c r="I321" s="108">
        <f t="shared" si="150"/>
        <v>0</v>
      </c>
      <c r="J321" s="108">
        <f t="shared" si="150"/>
        <v>0</v>
      </c>
      <c r="K321" s="108">
        <f t="shared" ca="1" si="150"/>
        <v>632207404.95320058</v>
      </c>
      <c r="L321" s="108">
        <f t="shared" ca="1" si="150"/>
        <v>622039294.06385708</v>
      </c>
      <c r="M321" s="108">
        <f t="shared" ca="1" si="150"/>
        <v>699672144.86903739</v>
      </c>
      <c r="N321" s="108">
        <f t="shared" ca="1" si="150"/>
        <v>650028890.77826297</v>
      </c>
      <c r="O321" s="108">
        <f t="shared" ca="1" si="150"/>
        <v>655948405.07207847</v>
      </c>
      <c r="P321" s="108">
        <f t="shared" ca="1" si="150"/>
        <v>746654913.28316104</v>
      </c>
      <c r="Q321" s="108">
        <f t="shared" ca="1" si="150"/>
        <v>658704433.4142853</v>
      </c>
      <c r="R321" s="108">
        <f t="shared" ca="1" si="150"/>
        <v>655219897.20774949</v>
      </c>
      <c r="S321" s="108">
        <f t="shared" ca="1" si="150"/>
        <v>741019294.47784448</v>
      </c>
      <c r="T321" s="108">
        <f t="shared" ca="1" si="150"/>
        <v>597237280.79864872</v>
      </c>
      <c r="U321" s="108">
        <f t="shared" ca="1" si="150"/>
        <v>610465077.78923976</v>
      </c>
      <c r="V321" s="108">
        <f t="shared" ca="1" si="150"/>
        <v>696388218.40218282</v>
      </c>
      <c r="W321" s="108">
        <f t="shared" ca="1" si="150"/>
        <v>613694304.87581682</v>
      </c>
      <c r="X321" s="108">
        <f t="shared" ca="1" si="150"/>
        <v>613630099.58820152</v>
      </c>
      <c r="Y321" s="108">
        <f t="shared" ca="1" si="150"/>
        <v>699786668.43124211</v>
      </c>
      <c r="Z321" s="108">
        <f t="shared" ca="1" si="150"/>
        <v>617114332.15342534</v>
      </c>
      <c r="AA321" s="108">
        <f t="shared" ca="1" si="150"/>
        <v>614211068.67456353</v>
      </c>
      <c r="AB321" s="108">
        <f t="shared" ca="1" si="150"/>
        <v>699808245.67979181</v>
      </c>
      <c r="AC321" s="108">
        <f t="shared" ca="1" si="150"/>
        <v>617114332.15342593</v>
      </c>
      <c r="AD321" s="108">
        <f t="shared" ca="1" si="150"/>
        <v>576672790.57231832</v>
      </c>
      <c r="AE321" s="108">
        <f t="shared" ca="1" si="150"/>
        <v>620092154.64358532</v>
      </c>
      <c r="AF321" s="108">
        <f t="shared" ca="1" si="150"/>
        <v>557097042.56192195</v>
      </c>
      <c r="AG321" s="108">
        <f t="shared" ca="1" si="150"/>
        <v>554581612.52648735</v>
      </c>
      <c r="AH321" s="108">
        <f t="shared" ca="1" si="150"/>
        <v>633569966.15942883</v>
      </c>
      <c r="AI321" s="108">
        <f t="shared" ca="1" si="150"/>
        <v>557360336.25563908</v>
      </c>
    </row>
    <row r="322" spans="1:35" ht="15.75" customHeight="1">
      <c r="A322" s="75">
        <v>13</v>
      </c>
      <c r="B322" s="76"/>
      <c r="C322" s="516" t="s">
        <v>203</v>
      </c>
      <c r="D322" s="110"/>
      <c r="E322" s="110"/>
      <c r="F322" s="110"/>
      <c r="G322" s="110"/>
      <c r="H322" s="108">
        <f t="shared" ref="H322:AI322" si="151">H241</f>
        <v>0</v>
      </c>
      <c r="I322" s="108">
        <f t="shared" si="151"/>
        <v>0</v>
      </c>
      <c r="J322" s="108">
        <f t="shared" si="151"/>
        <v>0</v>
      </c>
      <c r="K322" s="108">
        <f t="shared" si="151"/>
        <v>-2952073.0328002605</v>
      </c>
      <c r="L322" s="108">
        <f t="shared" si="151"/>
        <v>-3168738.4407836008</v>
      </c>
      <c r="M322" s="108">
        <f t="shared" si="151"/>
        <v>-3604979.7061458286</v>
      </c>
      <c r="N322" s="108">
        <f t="shared" si="151"/>
        <v>-3387716.1599913649</v>
      </c>
      <c r="O322" s="108">
        <f t="shared" si="151"/>
        <v>-4264894.5537304617</v>
      </c>
      <c r="P322" s="108">
        <f t="shared" si="151"/>
        <v>-4771178.5468819039</v>
      </c>
      <c r="Q322" s="108">
        <f t="shared" si="151"/>
        <v>-4264894.5537304617</v>
      </c>
      <c r="R322" s="108">
        <f t="shared" si="151"/>
        <v>-4264894.5537304599</v>
      </c>
      <c r="S322" s="108">
        <f t="shared" si="151"/>
        <v>-4750789.421482184</v>
      </c>
      <c r="T322" s="108">
        <f t="shared" si="151"/>
        <v>-4020561.9989897464</v>
      </c>
      <c r="U322" s="108">
        <f t="shared" si="151"/>
        <v>-4090563.7405776936</v>
      </c>
      <c r="V322" s="108">
        <f t="shared" si="151"/>
        <v>-4575391.6336487886</v>
      </c>
      <c r="W322" s="108">
        <f t="shared" si="151"/>
        <v>-4090563.7405776912</v>
      </c>
      <c r="X322" s="108">
        <f t="shared" si="151"/>
        <v>-4090563.7405776912</v>
      </c>
      <c r="Y322" s="108">
        <f t="shared" si="151"/>
        <v>-4575391.633648796</v>
      </c>
      <c r="Z322" s="108">
        <f t="shared" si="151"/>
        <v>-4090563.7405776875</v>
      </c>
      <c r="AA322" s="108">
        <f t="shared" si="151"/>
        <v>-4090563.7405776875</v>
      </c>
      <c r="AB322" s="108">
        <f t="shared" si="151"/>
        <v>-4575391.6336487876</v>
      </c>
      <c r="AC322" s="108">
        <f t="shared" si="151"/>
        <v>-4090563.7405776898</v>
      </c>
      <c r="AD322" s="108">
        <f t="shared" si="151"/>
        <v>-3945406.9466999173</v>
      </c>
      <c r="AE322" s="108">
        <f t="shared" si="151"/>
        <v>-4274797.4596343162</v>
      </c>
      <c r="AF322" s="108">
        <f t="shared" si="151"/>
        <v>-3873258.0559628773</v>
      </c>
      <c r="AG322" s="108">
        <f t="shared" si="151"/>
        <v>-3873258.0559628787</v>
      </c>
      <c r="AH322" s="108">
        <f t="shared" si="151"/>
        <v>-4331340.6340044662</v>
      </c>
      <c r="AI322" s="108">
        <f t="shared" si="151"/>
        <v>-3873258.0559628727</v>
      </c>
    </row>
    <row r="323" spans="1:35" ht="15.75" customHeight="1">
      <c r="A323" s="75">
        <v>14</v>
      </c>
      <c r="B323" s="76"/>
      <c r="C323" s="516" t="s">
        <v>187</v>
      </c>
      <c r="D323" s="110"/>
      <c r="E323" s="110"/>
      <c r="F323" s="110"/>
      <c r="G323" s="110"/>
      <c r="H323" s="108">
        <f>H243</f>
        <v>0</v>
      </c>
      <c r="I323" s="108">
        <f t="shared" ref="I323:AI323" si="152">I243</f>
        <v>0</v>
      </c>
      <c r="J323" s="108">
        <f t="shared" si="152"/>
        <v>0</v>
      </c>
      <c r="K323" s="108">
        <f t="shared" si="152"/>
        <v>0</v>
      </c>
      <c r="L323" s="108">
        <f t="shared" si="152"/>
        <v>0</v>
      </c>
      <c r="M323" s="108">
        <f t="shared" ca="1" si="152"/>
        <v>0</v>
      </c>
      <c r="N323" s="108">
        <f t="shared" ca="1" si="152"/>
        <v>0</v>
      </c>
      <c r="O323" s="108">
        <f t="shared" ca="1" si="152"/>
        <v>0</v>
      </c>
      <c r="P323" s="108">
        <f t="shared" ca="1" si="152"/>
        <v>20051220.521823037</v>
      </c>
      <c r="Q323" s="108">
        <f t="shared" ca="1" si="152"/>
        <v>38458937.864366256</v>
      </c>
      <c r="R323" s="108">
        <f t="shared" ca="1" si="152"/>
        <v>55856364.038906604</v>
      </c>
      <c r="S323" s="108">
        <f t="shared" ca="1" si="152"/>
        <v>72530046.591368183</v>
      </c>
      <c r="T323" s="108">
        <f t="shared" ca="1" si="152"/>
        <v>90653444.233462706</v>
      </c>
      <c r="U323" s="108">
        <f t="shared" ca="1" si="152"/>
        <v>108513597.62312552</v>
      </c>
      <c r="V323" s="108">
        <f t="shared" ca="1" si="152"/>
        <v>125178081.68516052</v>
      </c>
      <c r="W323" s="108">
        <f t="shared" ca="1" si="152"/>
        <v>143494049.01832002</v>
      </c>
      <c r="X323" s="108">
        <f t="shared" ca="1" si="152"/>
        <v>162277321.40160707</v>
      </c>
      <c r="Y323" s="108">
        <f t="shared" ca="1" si="152"/>
        <v>180451088.52789465</v>
      </c>
      <c r="Z323" s="108">
        <f t="shared" ca="1" si="152"/>
        <v>200154878.13942036</v>
      </c>
      <c r="AA323" s="108">
        <f t="shared" ca="1" si="152"/>
        <v>220363091.97295919</v>
      </c>
      <c r="AB323" s="108">
        <f t="shared" ca="1" si="152"/>
        <v>239962427.94838521</v>
      </c>
      <c r="AC323" s="108">
        <f t="shared" ca="1" si="152"/>
        <v>261085297.44128746</v>
      </c>
      <c r="AD323" s="108">
        <f t="shared" ca="1" si="152"/>
        <v>282739157.61547142</v>
      </c>
      <c r="AE323" s="108">
        <f t="shared" ca="1" si="152"/>
        <v>303372509.17126042</v>
      </c>
      <c r="AF323" s="108">
        <f t="shared" ca="1" si="152"/>
        <v>324609692.06029624</v>
      </c>
      <c r="AG323" s="108">
        <f t="shared" ca="1" si="152"/>
        <v>346118156.6766448</v>
      </c>
      <c r="AH323" s="108">
        <f t="shared" ca="1" si="152"/>
        <v>367287914.24934769</v>
      </c>
      <c r="AI323" s="108">
        <f t="shared" ca="1" si="152"/>
        <v>389943371.96549428</v>
      </c>
    </row>
    <row r="324" spans="1:35" ht="15.75" customHeight="1">
      <c r="A324" s="75">
        <v>15</v>
      </c>
      <c r="B324" s="76"/>
      <c r="C324" s="516" t="s">
        <v>204</v>
      </c>
      <c r="D324" s="163"/>
      <c r="E324" s="524"/>
      <c r="F324" s="525"/>
      <c r="G324" s="525"/>
      <c r="H324" s="108">
        <f t="shared" ref="H324:AI324" si="153">H247</f>
        <v>0</v>
      </c>
      <c r="I324" s="108">
        <f t="shared" si="153"/>
        <v>0</v>
      </c>
      <c r="J324" s="108">
        <f t="shared" si="153"/>
        <v>0</v>
      </c>
      <c r="K324" s="108">
        <f ca="1">K247</f>
        <v>-43178023.594405204</v>
      </c>
      <c r="L324" s="108">
        <f t="shared" ca="1" si="153"/>
        <v>-59879909.275062412</v>
      </c>
      <c r="M324" s="108">
        <f t="shared" ca="1" si="153"/>
        <v>-79751627.873928934</v>
      </c>
      <c r="N324" s="108">
        <f t="shared" ca="1" si="153"/>
        <v>-65874990.637655079</v>
      </c>
      <c r="O324" s="108">
        <f t="shared" ca="1" si="153"/>
        <v>-67301579.791578442</v>
      </c>
      <c r="P324" s="108">
        <f t="shared" ca="1" si="153"/>
        <v>-190674552.07592046</v>
      </c>
      <c r="Q324" s="108">
        <f t="shared" ca="1" si="153"/>
        <v>-171659743.99833179</v>
      </c>
      <c r="R324" s="108">
        <f t="shared" ca="1" si="153"/>
        <v>-175624939.89066637</v>
      </c>
      <c r="S324" s="108">
        <f t="shared" ca="1" si="153"/>
        <v>-202112625.81908202</v>
      </c>
      <c r="T324" s="108">
        <f t="shared" ca="1" si="153"/>
        <v>-169136502.00784492</v>
      </c>
      <c r="U324" s="108">
        <f t="shared" ca="1" si="153"/>
        <v>-177771518.81987596</v>
      </c>
      <c r="V324" s="108">
        <f t="shared" ca="1" si="153"/>
        <v>-204199542.98313904</v>
      </c>
      <c r="W324" s="108">
        <f t="shared" ca="1" si="153"/>
        <v>-186774631.66867423</v>
      </c>
      <c r="X324" s="108">
        <f t="shared" ca="1" si="153"/>
        <v>-191959570.34113979</v>
      </c>
      <c r="Y324" s="108">
        <f t="shared" ca="1" si="153"/>
        <v>-218872801.51322556</v>
      </c>
      <c r="Z324" s="108">
        <f t="shared" ca="1" si="153"/>
        <v>-201794845.76835155</v>
      </c>
      <c r="AA324" s="108">
        <f t="shared" ca="1" si="153"/>
        <v>-206588899.22673607</v>
      </c>
      <c r="AB324" s="108">
        <f t="shared" ca="1" si="153"/>
        <v>-233750636.36834764</v>
      </c>
      <c r="AC324" s="108">
        <f t="shared" ca="1" si="153"/>
        <v>-217027450.59381866</v>
      </c>
      <c r="AD324" s="108">
        <f t="shared" ca="1" si="153"/>
        <v>-212643684.26459217</v>
      </c>
      <c r="AE324" s="108">
        <f t="shared" ca="1" si="153"/>
        <v>-229528792.76697302</v>
      </c>
      <c r="AF324" s="108">
        <f t="shared" ca="1" si="153"/>
        <v>-218055511.63270521</v>
      </c>
      <c r="AG324" s="108">
        <f t="shared" ca="1" si="153"/>
        <v>-223174627.78679228</v>
      </c>
      <c r="AH324" s="108">
        <f t="shared" ca="1" si="153"/>
        <v>-249052315.87598133</v>
      </c>
      <c r="AI324" s="108">
        <f t="shared" ca="1" si="153"/>
        <v>-234388931.60900402</v>
      </c>
    </row>
    <row r="325" spans="1:35" ht="15.75" customHeight="1">
      <c r="B325" s="76"/>
      <c r="C325" s="95" t="s">
        <v>205</v>
      </c>
      <c r="D325" s="110"/>
      <c r="E325" s="110"/>
      <c r="F325" s="110"/>
      <c r="G325" s="110"/>
      <c r="H325" s="108">
        <f t="shared" ref="H325:AI325" si="154">SUM(H322:H324,H317:H320)</f>
        <v>0</v>
      </c>
      <c r="I325" s="108">
        <f t="shared" si="154"/>
        <v>0</v>
      </c>
      <c r="J325" s="108">
        <f t="shared" si="154"/>
        <v>0</v>
      </c>
      <c r="K325" s="108">
        <f t="shared" ca="1" si="154"/>
        <v>586077308.32599509</v>
      </c>
      <c r="L325" s="108">
        <f t="shared" ca="1" si="154"/>
        <v>558990646.34801102</v>
      </c>
      <c r="M325" s="108">
        <f t="shared" ca="1" si="154"/>
        <v>616315537.2889626</v>
      </c>
      <c r="N325" s="108">
        <f t="shared" ca="1" si="154"/>
        <v>580766183.98061657</v>
      </c>
      <c r="O325" s="108">
        <f t="shared" ca="1" si="154"/>
        <v>584381930.72676957</v>
      </c>
      <c r="P325" s="108">
        <f t="shared" ca="1" si="154"/>
        <v>571260403.18218172</v>
      </c>
      <c r="Q325" s="108">
        <f t="shared" ca="1" si="154"/>
        <v>521238732.72658932</v>
      </c>
      <c r="R325" s="108">
        <f t="shared" ca="1" si="154"/>
        <v>531186426.80225927</v>
      </c>
      <c r="S325" s="108">
        <f t="shared" ca="1" si="154"/>
        <v>606685925.82864845</v>
      </c>
      <c r="T325" s="108">
        <f t="shared" ca="1" si="154"/>
        <v>514733661.02527678</v>
      </c>
      <c r="U325" s="108">
        <f t="shared" ca="1" si="154"/>
        <v>537116592.85191166</v>
      </c>
      <c r="V325" s="108">
        <f t="shared" ca="1" si="154"/>
        <v>612791365.47055554</v>
      </c>
      <c r="W325" s="108">
        <f t="shared" ca="1" si="154"/>
        <v>566323158.48488498</v>
      </c>
      <c r="X325" s="108">
        <f t="shared" ca="1" si="154"/>
        <v>579857286.90809107</v>
      </c>
      <c r="Y325" s="108">
        <f t="shared" ca="1" si="154"/>
        <v>656789563.81226242</v>
      </c>
      <c r="Z325" s="108">
        <f t="shared" ca="1" si="154"/>
        <v>611383800.78391647</v>
      </c>
      <c r="AA325" s="108">
        <f t="shared" ca="1" si="154"/>
        <v>623894697.68020892</v>
      </c>
      <c r="AB325" s="108">
        <f t="shared" ca="1" si="154"/>
        <v>701444645.62618065</v>
      </c>
      <c r="AC325" s="108">
        <f t="shared" ca="1" si="154"/>
        <v>657081615.26031709</v>
      </c>
      <c r="AD325" s="108">
        <f t="shared" ca="1" si="154"/>
        <v>642822856.97649765</v>
      </c>
      <c r="AE325" s="108">
        <f t="shared" ca="1" si="154"/>
        <v>689661073.58823836</v>
      </c>
      <c r="AF325" s="108">
        <f t="shared" ca="1" si="154"/>
        <v>659777964.93355012</v>
      </c>
      <c r="AG325" s="108">
        <f t="shared" ca="1" si="154"/>
        <v>673651883.36037707</v>
      </c>
      <c r="AH325" s="108">
        <f t="shared" ca="1" si="154"/>
        <v>747474223.89879072</v>
      </c>
      <c r="AI325" s="108">
        <f t="shared" ca="1" si="154"/>
        <v>709041518.55616641</v>
      </c>
    </row>
    <row r="326" spans="1:35" ht="7.5" customHeight="1">
      <c r="B326" s="76"/>
      <c r="C326" s="110"/>
      <c r="D326" s="110"/>
      <c r="E326" s="110"/>
      <c r="F326" s="110"/>
      <c r="G326" s="110"/>
      <c r="H326" s="110"/>
      <c r="I326" s="110"/>
      <c r="J326" s="110"/>
      <c r="K326" s="110"/>
      <c r="L326" s="110"/>
      <c r="M326" s="110"/>
      <c r="N326" s="110"/>
      <c r="O326" s="76"/>
    </row>
    <row r="327" spans="1:35" ht="15.75" customHeight="1">
      <c r="B327" s="76"/>
      <c r="C327" s="483" t="s">
        <v>206</v>
      </c>
      <c r="D327" s="100"/>
      <c r="E327" s="100"/>
      <c r="F327" s="100"/>
      <c r="G327" s="100"/>
      <c r="H327" s="100"/>
      <c r="I327" s="100"/>
      <c r="J327" s="100"/>
      <c r="K327" s="108"/>
      <c r="L327" s="108"/>
      <c r="M327" s="108"/>
      <c r="N327" s="108"/>
      <c r="O327" s="76"/>
    </row>
    <row r="328" spans="1:35" ht="15.75" customHeight="1">
      <c r="A328" s="75">
        <v>16</v>
      </c>
      <c r="B328" s="76"/>
      <c r="C328" s="516" t="s">
        <v>207</v>
      </c>
      <c r="D328" s="100"/>
      <c r="E328" s="100"/>
      <c r="F328" s="100"/>
      <c r="G328" s="108"/>
      <c r="H328" s="108">
        <f t="shared" ref="H328:AI328" si="155">-H481</f>
        <v>-500000000</v>
      </c>
      <c r="I328" s="108">
        <f t="shared" si="155"/>
        <v>-1000000000</v>
      </c>
      <c r="J328" s="108">
        <f t="shared" si="155"/>
        <v>-500000000</v>
      </c>
      <c r="K328" s="108">
        <f t="shared" si="155"/>
        <v>0</v>
      </c>
      <c r="L328" s="108">
        <f t="shared" si="155"/>
        <v>0</v>
      </c>
      <c r="M328" s="108">
        <f t="shared" si="155"/>
        <v>0</v>
      </c>
      <c r="N328" s="108">
        <f t="shared" si="155"/>
        <v>-5160000</v>
      </c>
      <c r="O328" s="108">
        <f t="shared" si="155"/>
        <v>-5160000</v>
      </c>
      <c r="P328" s="108">
        <f t="shared" si="155"/>
        <v>0</v>
      </c>
      <c r="Q328" s="108">
        <f t="shared" si="155"/>
        <v>-5160000</v>
      </c>
      <c r="R328" s="108">
        <f t="shared" si="155"/>
        <v>-5160000</v>
      </c>
      <c r="S328" s="108">
        <f t="shared" si="155"/>
        <v>0</v>
      </c>
      <c r="T328" s="108">
        <f t="shared" si="155"/>
        <v>-5160000</v>
      </c>
      <c r="U328" s="108">
        <f t="shared" si="155"/>
        <v>-5160000</v>
      </c>
      <c r="V328" s="108">
        <f t="shared" si="155"/>
        <v>0</v>
      </c>
      <c r="W328" s="108">
        <f t="shared" si="155"/>
        <v>-5160000</v>
      </c>
      <c r="X328" s="108">
        <f t="shared" si="155"/>
        <v>-5160000</v>
      </c>
      <c r="Y328" s="108">
        <f t="shared" si="155"/>
        <v>0</v>
      </c>
      <c r="Z328" s="108">
        <f t="shared" si="155"/>
        <v>-5160000</v>
      </c>
      <c r="AA328" s="108">
        <f t="shared" si="155"/>
        <v>-5160000</v>
      </c>
      <c r="AB328" s="108">
        <f t="shared" si="155"/>
        <v>0</v>
      </c>
      <c r="AC328" s="108">
        <f t="shared" si="155"/>
        <v>-5160000</v>
      </c>
      <c r="AD328" s="108">
        <f t="shared" si="155"/>
        <v>-5160000</v>
      </c>
      <c r="AE328" s="108">
        <f t="shared" si="155"/>
        <v>0</v>
      </c>
      <c r="AF328" s="108">
        <f t="shared" si="155"/>
        <v>-5160000</v>
      </c>
      <c r="AG328" s="108">
        <f t="shared" si="155"/>
        <v>-5160000</v>
      </c>
      <c r="AH328" s="108">
        <f t="shared" si="155"/>
        <v>0</v>
      </c>
      <c r="AI328" s="108">
        <f t="shared" si="155"/>
        <v>-5160000</v>
      </c>
    </row>
    <row r="329" spans="1:35" ht="15.75" customHeight="1">
      <c r="B329" s="76"/>
      <c r="C329" s="516" t="s">
        <v>208</v>
      </c>
      <c r="D329" s="100"/>
      <c r="E329" s="100"/>
      <c r="F329" s="100"/>
      <c r="G329" s="100"/>
      <c r="H329" s="108">
        <f t="shared" ref="H329:AI329" si="156">-H486</f>
        <v>0</v>
      </c>
      <c r="I329" s="108">
        <f t="shared" si="156"/>
        <v>0</v>
      </c>
      <c r="J329" s="108">
        <f t="shared" si="156"/>
        <v>0</v>
      </c>
      <c r="K329" s="108">
        <f t="shared" si="156"/>
        <v>0</v>
      </c>
      <c r="L329" s="108">
        <f t="shared" si="156"/>
        <v>0</v>
      </c>
      <c r="M329" s="108">
        <f t="shared" si="156"/>
        <v>0</v>
      </c>
      <c r="N329" s="108">
        <f t="shared" si="156"/>
        <v>0</v>
      </c>
      <c r="O329" s="108">
        <f t="shared" si="156"/>
        <v>0</v>
      </c>
      <c r="P329" s="108">
        <f t="shared" si="156"/>
        <v>0</v>
      </c>
      <c r="Q329" s="108">
        <f t="shared" si="156"/>
        <v>0</v>
      </c>
      <c r="R329" s="108">
        <f t="shared" si="156"/>
        <v>0</v>
      </c>
      <c r="S329" s="108">
        <f t="shared" si="156"/>
        <v>0</v>
      </c>
      <c r="T329" s="108">
        <f t="shared" si="156"/>
        <v>0</v>
      </c>
      <c r="U329" s="108">
        <f t="shared" si="156"/>
        <v>0</v>
      </c>
      <c r="V329" s="108">
        <f t="shared" si="156"/>
        <v>0</v>
      </c>
      <c r="W329" s="108">
        <f t="shared" si="156"/>
        <v>0</v>
      </c>
      <c r="X329" s="108">
        <f t="shared" si="156"/>
        <v>0</v>
      </c>
      <c r="Y329" s="108">
        <f t="shared" si="156"/>
        <v>0</v>
      </c>
      <c r="Z329" s="108">
        <f t="shared" si="156"/>
        <v>0</v>
      </c>
      <c r="AA329" s="108">
        <f t="shared" si="156"/>
        <v>0</v>
      </c>
      <c r="AB329" s="108">
        <f t="shared" si="156"/>
        <v>0</v>
      </c>
      <c r="AC329" s="108">
        <f t="shared" si="156"/>
        <v>0</v>
      </c>
      <c r="AD329" s="108">
        <f t="shared" si="156"/>
        <v>0</v>
      </c>
      <c r="AE329" s="108">
        <f t="shared" si="156"/>
        <v>0</v>
      </c>
      <c r="AF329" s="108">
        <f t="shared" si="156"/>
        <v>0</v>
      </c>
      <c r="AG329" s="108">
        <f t="shared" si="156"/>
        <v>0</v>
      </c>
      <c r="AH329" s="108">
        <f t="shared" si="156"/>
        <v>0</v>
      </c>
      <c r="AI329" s="108">
        <f t="shared" si="156"/>
        <v>0</v>
      </c>
    </row>
    <row r="330" spans="1:35" ht="15.75" customHeight="1">
      <c r="B330" s="76"/>
      <c r="C330" s="516" t="s">
        <v>209</v>
      </c>
      <c r="D330" s="110"/>
      <c r="E330" s="110"/>
      <c r="F330" s="110"/>
      <c r="G330" s="110"/>
      <c r="H330" s="804">
        <v>0</v>
      </c>
      <c r="I330" s="804">
        <v>0</v>
      </c>
      <c r="J330" s="804">
        <v>0</v>
      </c>
      <c r="K330" s="804">
        <v>0</v>
      </c>
      <c r="L330" s="804">
        <v>0</v>
      </c>
      <c r="M330" s="804">
        <v>0</v>
      </c>
      <c r="N330" s="804">
        <v>0</v>
      </c>
      <c r="O330" s="804">
        <v>0</v>
      </c>
      <c r="P330" s="804">
        <v>0</v>
      </c>
      <c r="Q330" s="804">
        <v>0</v>
      </c>
      <c r="R330" s="804">
        <v>0</v>
      </c>
      <c r="S330" s="804">
        <v>0</v>
      </c>
      <c r="T330" s="804">
        <v>0</v>
      </c>
      <c r="U330" s="804">
        <v>0</v>
      </c>
      <c r="V330" s="804">
        <v>0</v>
      </c>
      <c r="W330" s="804">
        <v>0</v>
      </c>
      <c r="X330" s="804">
        <v>0</v>
      </c>
      <c r="Y330" s="804">
        <v>0</v>
      </c>
      <c r="Z330" s="804">
        <v>0</v>
      </c>
      <c r="AA330" s="804">
        <v>0</v>
      </c>
      <c r="AB330" s="804">
        <v>0</v>
      </c>
      <c r="AC330" s="804">
        <v>0</v>
      </c>
      <c r="AD330" s="804">
        <v>0</v>
      </c>
      <c r="AE330" s="804">
        <v>0</v>
      </c>
      <c r="AF330" s="804">
        <v>0</v>
      </c>
      <c r="AG330" s="804">
        <v>0</v>
      </c>
      <c r="AH330" s="804">
        <v>0</v>
      </c>
      <c r="AI330" s="804">
        <v>0</v>
      </c>
    </row>
    <row r="331" spans="1:35" ht="15.75" customHeight="1">
      <c r="B331" s="76"/>
      <c r="C331" s="516" t="s">
        <v>210</v>
      </c>
      <c r="D331" s="110"/>
      <c r="E331" s="110"/>
      <c r="F331" s="110"/>
      <c r="G331" s="110"/>
      <c r="H331" s="804">
        <v>0</v>
      </c>
      <c r="I331" s="804">
        <v>0</v>
      </c>
      <c r="J331" s="804">
        <v>0</v>
      </c>
      <c r="K331" s="804">
        <v>0</v>
      </c>
      <c r="L331" s="804">
        <v>0</v>
      </c>
      <c r="M331" s="804">
        <v>0</v>
      </c>
      <c r="N331" s="804">
        <v>0</v>
      </c>
      <c r="O331" s="804">
        <v>0</v>
      </c>
      <c r="P331" s="804">
        <v>0</v>
      </c>
      <c r="Q331" s="804">
        <v>0</v>
      </c>
      <c r="R331" s="804">
        <v>0</v>
      </c>
      <c r="S331" s="804">
        <v>0</v>
      </c>
      <c r="T331" s="804">
        <v>0</v>
      </c>
      <c r="U331" s="804">
        <v>0</v>
      </c>
      <c r="V331" s="804">
        <v>0</v>
      </c>
      <c r="W331" s="804">
        <v>0</v>
      </c>
      <c r="X331" s="804">
        <v>0</v>
      </c>
      <c r="Y331" s="804">
        <v>0</v>
      </c>
      <c r="Z331" s="804">
        <v>0</v>
      </c>
      <c r="AA331" s="804">
        <v>0</v>
      </c>
      <c r="AB331" s="804">
        <v>0</v>
      </c>
      <c r="AC331" s="804">
        <v>0</v>
      </c>
      <c r="AD331" s="804">
        <v>0</v>
      </c>
      <c r="AE331" s="804">
        <v>0</v>
      </c>
      <c r="AF331" s="804">
        <v>0</v>
      </c>
      <c r="AG331" s="804">
        <v>0</v>
      </c>
      <c r="AH331" s="804">
        <v>0</v>
      </c>
      <c r="AI331" s="804">
        <v>0</v>
      </c>
    </row>
    <row r="332" spans="1:35" ht="15.75" customHeight="1">
      <c r="B332" s="76"/>
      <c r="C332" s="95" t="s">
        <v>211</v>
      </c>
      <c r="D332" s="110"/>
      <c r="E332" s="110"/>
      <c r="F332" s="110"/>
      <c r="G332" s="110"/>
      <c r="H332" s="108">
        <f t="shared" ref="H332:AI332" si="157">SUM(H328:H331)</f>
        <v>-500000000</v>
      </c>
      <c r="I332" s="108">
        <f t="shared" si="157"/>
        <v>-1000000000</v>
      </c>
      <c r="J332" s="108">
        <f t="shared" si="157"/>
        <v>-500000000</v>
      </c>
      <c r="K332" s="108">
        <f t="shared" si="157"/>
        <v>0</v>
      </c>
      <c r="L332" s="108">
        <f t="shared" si="157"/>
        <v>0</v>
      </c>
      <c r="M332" s="108">
        <f t="shared" si="157"/>
        <v>0</v>
      </c>
      <c r="N332" s="108">
        <f t="shared" si="157"/>
        <v>-5160000</v>
      </c>
      <c r="O332" s="108">
        <f t="shared" si="157"/>
        <v>-5160000</v>
      </c>
      <c r="P332" s="108">
        <f t="shared" si="157"/>
        <v>0</v>
      </c>
      <c r="Q332" s="108">
        <f t="shared" si="157"/>
        <v>-5160000</v>
      </c>
      <c r="R332" s="108">
        <f t="shared" si="157"/>
        <v>-5160000</v>
      </c>
      <c r="S332" s="108">
        <f t="shared" si="157"/>
        <v>0</v>
      </c>
      <c r="T332" s="108">
        <f t="shared" si="157"/>
        <v>-5160000</v>
      </c>
      <c r="U332" s="108">
        <f t="shared" si="157"/>
        <v>-5160000</v>
      </c>
      <c r="V332" s="108">
        <f t="shared" si="157"/>
        <v>0</v>
      </c>
      <c r="W332" s="108">
        <f t="shared" si="157"/>
        <v>-5160000</v>
      </c>
      <c r="X332" s="108">
        <f t="shared" si="157"/>
        <v>-5160000</v>
      </c>
      <c r="Y332" s="108">
        <f t="shared" si="157"/>
        <v>0</v>
      </c>
      <c r="Z332" s="108">
        <f t="shared" si="157"/>
        <v>-5160000</v>
      </c>
      <c r="AA332" s="108">
        <f t="shared" si="157"/>
        <v>-5160000</v>
      </c>
      <c r="AB332" s="108">
        <f t="shared" si="157"/>
        <v>0</v>
      </c>
      <c r="AC332" s="108">
        <f t="shared" si="157"/>
        <v>-5160000</v>
      </c>
      <c r="AD332" s="108">
        <f t="shared" si="157"/>
        <v>-5160000</v>
      </c>
      <c r="AE332" s="108">
        <f t="shared" si="157"/>
        <v>0</v>
      </c>
      <c r="AF332" s="108">
        <f t="shared" si="157"/>
        <v>-5160000</v>
      </c>
      <c r="AG332" s="108">
        <f t="shared" si="157"/>
        <v>-5160000</v>
      </c>
      <c r="AH332" s="108">
        <f t="shared" si="157"/>
        <v>0</v>
      </c>
      <c r="AI332" s="108">
        <f t="shared" si="157"/>
        <v>-5160000</v>
      </c>
    </row>
    <row r="333" spans="1:35" ht="7.5" customHeight="1">
      <c r="B333" s="76"/>
      <c r="C333" s="110"/>
      <c r="D333" s="110"/>
      <c r="E333" s="110"/>
      <c r="F333" s="110"/>
      <c r="G333" s="110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</row>
    <row r="334" spans="1:35" ht="15.75" customHeight="1">
      <c r="B334" s="76"/>
      <c r="C334" s="95" t="s">
        <v>212</v>
      </c>
      <c r="D334" s="110"/>
      <c r="E334" s="110"/>
      <c r="F334" s="110"/>
      <c r="G334" s="110"/>
      <c r="H334" s="108">
        <f t="shared" ref="H334:AI334" si="158">SUM(H332,H325)</f>
        <v>-500000000</v>
      </c>
      <c r="I334" s="108">
        <f t="shared" si="158"/>
        <v>-1000000000</v>
      </c>
      <c r="J334" s="108">
        <f t="shared" si="158"/>
        <v>-500000000</v>
      </c>
      <c r="K334" s="108">
        <f t="shared" ca="1" si="158"/>
        <v>586077308.32599509</v>
      </c>
      <c r="L334" s="108">
        <f t="shared" ca="1" si="158"/>
        <v>558990646.34801102</v>
      </c>
      <c r="M334" s="108">
        <f t="shared" ca="1" si="158"/>
        <v>616315537.2889626</v>
      </c>
      <c r="N334" s="108">
        <f t="shared" ca="1" si="158"/>
        <v>575606183.98061657</v>
      </c>
      <c r="O334" s="108">
        <f t="shared" ca="1" si="158"/>
        <v>579221930.72676957</v>
      </c>
      <c r="P334" s="108">
        <f t="shared" ca="1" si="158"/>
        <v>571260403.18218172</v>
      </c>
      <c r="Q334" s="108">
        <f t="shared" ca="1" si="158"/>
        <v>516078732.72658932</v>
      </c>
      <c r="R334" s="108">
        <f t="shared" ca="1" si="158"/>
        <v>526026426.80225927</v>
      </c>
      <c r="S334" s="108">
        <f t="shared" ca="1" si="158"/>
        <v>606685925.82864845</v>
      </c>
      <c r="T334" s="108">
        <f t="shared" ca="1" si="158"/>
        <v>509573661.02527678</v>
      </c>
      <c r="U334" s="108">
        <f t="shared" ca="1" si="158"/>
        <v>531956592.85191166</v>
      </c>
      <c r="V334" s="108">
        <f t="shared" ca="1" si="158"/>
        <v>612791365.47055554</v>
      </c>
      <c r="W334" s="108">
        <f t="shared" ca="1" si="158"/>
        <v>561163158.48488498</v>
      </c>
      <c r="X334" s="108">
        <f t="shared" ca="1" si="158"/>
        <v>574697286.90809107</v>
      </c>
      <c r="Y334" s="108">
        <f t="shared" ca="1" si="158"/>
        <v>656789563.81226242</v>
      </c>
      <c r="Z334" s="108">
        <f t="shared" ca="1" si="158"/>
        <v>606223800.78391647</v>
      </c>
      <c r="AA334" s="108">
        <f t="shared" ca="1" si="158"/>
        <v>618734697.68020892</v>
      </c>
      <c r="AB334" s="108">
        <f t="shared" ca="1" si="158"/>
        <v>701444645.62618065</v>
      </c>
      <c r="AC334" s="108">
        <f t="shared" ca="1" si="158"/>
        <v>651921615.26031709</v>
      </c>
      <c r="AD334" s="108">
        <f t="shared" ca="1" si="158"/>
        <v>637662856.97649765</v>
      </c>
      <c r="AE334" s="108">
        <f t="shared" ca="1" si="158"/>
        <v>689661073.58823836</v>
      </c>
      <c r="AF334" s="108">
        <f t="shared" ca="1" si="158"/>
        <v>654617964.93355012</v>
      </c>
      <c r="AG334" s="108">
        <f t="shared" ca="1" si="158"/>
        <v>668491883.36037707</v>
      </c>
      <c r="AH334" s="108">
        <f t="shared" ca="1" si="158"/>
        <v>747474223.89879072</v>
      </c>
      <c r="AI334" s="108">
        <f t="shared" ca="1" si="158"/>
        <v>703881518.55616641</v>
      </c>
    </row>
    <row r="335" spans="1:35" ht="7.5" customHeight="1">
      <c r="B335" s="76"/>
      <c r="C335" s="95"/>
      <c r="D335" s="508"/>
      <c r="E335" s="508"/>
      <c r="F335" s="508"/>
      <c r="G335" s="508"/>
      <c r="H335" s="508"/>
      <c r="I335" s="508"/>
      <c r="J335" s="508"/>
      <c r="K335" s="108"/>
      <c r="L335" s="108"/>
      <c r="M335" s="108"/>
      <c r="N335" s="108"/>
      <c r="O335" s="76"/>
    </row>
    <row r="336" spans="1:35" ht="15.75" customHeight="1">
      <c r="B336" s="76"/>
      <c r="C336" s="110" t="s">
        <v>453</v>
      </c>
      <c r="D336" s="110"/>
      <c r="E336" s="110"/>
      <c r="F336" s="110"/>
      <c r="G336" s="110"/>
      <c r="H336" s="108">
        <f t="shared" ref="H336:N336" si="159">IF(H334&lt;0,H334,0)</f>
        <v>-500000000</v>
      </c>
      <c r="I336" s="108">
        <f t="shared" si="159"/>
        <v>-1000000000</v>
      </c>
      <c r="J336" s="108">
        <f t="shared" si="159"/>
        <v>-500000000</v>
      </c>
      <c r="K336" s="108">
        <f t="shared" ca="1" si="159"/>
        <v>0</v>
      </c>
      <c r="L336" s="108">
        <f t="shared" ca="1" si="159"/>
        <v>0</v>
      </c>
      <c r="M336" s="108">
        <f t="shared" ca="1" si="159"/>
        <v>0</v>
      </c>
      <c r="N336" s="108">
        <f t="shared" ca="1" si="159"/>
        <v>0</v>
      </c>
      <c r="O336" s="108">
        <f ca="1">IF(O334&lt;0,O334,0)</f>
        <v>0</v>
      </c>
      <c r="P336" s="108">
        <f t="shared" ref="P336:AI336" ca="1" si="160">IF(P334&lt;0,P334,0)</f>
        <v>0</v>
      </c>
      <c r="Q336" s="108">
        <f t="shared" ca="1" si="160"/>
        <v>0</v>
      </c>
      <c r="R336" s="108">
        <f t="shared" ca="1" si="160"/>
        <v>0</v>
      </c>
      <c r="S336" s="108">
        <f t="shared" ca="1" si="160"/>
        <v>0</v>
      </c>
      <c r="T336" s="108">
        <f t="shared" ca="1" si="160"/>
        <v>0</v>
      </c>
      <c r="U336" s="108">
        <f t="shared" ca="1" si="160"/>
        <v>0</v>
      </c>
      <c r="V336" s="108">
        <f t="shared" ca="1" si="160"/>
        <v>0</v>
      </c>
      <c r="W336" s="108">
        <f t="shared" ca="1" si="160"/>
        <v>0</v>
      </c>
      <c r="X336" s="108">
        <f t="shared" ca="1" si="160"/>
        <v>0</v>
      </c>
      <c r="Y336" s="108">
        <f t="shared" ca="1" si="160"/>
        <v>0</v>
      </c>
      <c r="Z336" s="108">
        <f t="shared" ca="1" si="160"/>
        <v>0</v>
      </c>
      <c r="AA336" s="108">
        <f t="shared" ca="1" si="160"/>
        <v>0</v>
      </c>
      <c r="AB336" s="108">
        <f t="shared" ca="1" si="160"/>
        <v>0</v>
      </c>
      <c r="AC336" s="108">
        <f t="shared" ca="1" si="160"/>
        <v>0</v>
      </c>
      <c r="AD336" s="108">
        <f t="shared" ca="1" si="160"/>
        <v>0</v>
      </c>
      <c r="AE336" s="108">
        <f t="shared" ca="1" si="160"/>
        <v>0</v>
      </c>
      <c r="AF336" s="108">
        <f t="shared" ca="1" si="160"/>
        <v>0</v>
      </c>
      <c r="AG336" s="108">
        <f t="shared" ca="1" si="160"/>
        <v>0</v>
      </c>
      <c r="AH336" s="108">
        <f t="shared" ca="1" si="160"/>
        <v>0</v>
      </c>
      <c r="AI336" s="108">
        <f t="shared" ca="1" si="160"/>
        <v>0</v>
      </c>
    </row>
    <row r="337" spans="1:35" ht="15.75" customHeight="1">
      <c r="B337" s="76"/>
      <c r="C337" s="110"/>
      <c r="D337" s="110"/>
      <c r="E337" s="110"/>
      <c r="F337" s="110"/>
      <c r="G337" s="110"/>
      <c r="H337" s="110"/>
      <c r="I337" s="110"/>
      <c r="J337" s="110"/>
      <c r="K337" s="110"/>
      <c r="L337" s="110"/>
      <c r="M337" s="110"/>
      <c r="N337" s="110"/>
      <c r="O337" s="76"/>
    </row>
    <row r="338" spans="1:35" ht="15.75" customHeight="1">
      <c r="B338" s="76"/>
      <c r="C338" s="483" t="s">
        <v>213</v>
      </c>
      <c r="D338" s="100"/>
      <c r="E338" s="114"/>
      <c r="F338" s="114"/>
      <c r="G338" s="114"/>
      <c r="H338" s="114"/>
      <c r="I338" s="114"/>
      <c r="J338" s="114"/>
      <c r="K338" s="108"/>
      <c r="L338" s="108"/>
      <c r="M338" s="108"/>
      <c r="N338" s="108"/>
      <c r="O338" s="76"/>
    </row>
    <row r="339" spans="1:35" ht="15.75" customHeight="1">
      <c r="A339" s="75">
        <v>27</v>
      </c>
      <c r="B339" s="76"/>
      <c r="C339" s="482" t="s">
        <v>214</v>
      </c>
      <c r="D339" s="110"/>
      <c r="E339" s="110"/>
      <c r="F339" s="110"/>
      <c r="G339" s="110"/>
      <c r="H339" s="108">
        <f t="shared" ref="H339:AI339" si="161">H552</f>
        <v>0</v>
      </c>
      <c r="I339" s="108">
        <f t="shared" si="161"/>
        <v>0</v>
      </c>
      <c r="J339" s="108">
        <f t="shared" si="161"/>
        <v>0</v>
      </c>
      <c r="K339" s="108">
        <f t="shared" si="161"/>
        <v>0</v>
      </c>
      <c r="L339" s="108">
        <f t="shared" si="161"/>
        <v>0</v>
      </c>
      <c r="M339" s="108">
        <f t="shared" si="161"/>
        <v>0</v>
      </c>
      <c r="N339" s="108">
        <f t="shared" si="161"/>
        <v>0</v>
      </c>
      <c r="O339" s="108">
        <f t="shared" si="161"/>
        <v>0</v>
      </c>
      <c r="P339" s="108">
        <f t="shared" si="161"/>
        <v>0</v>
      </c>
      <c r="Q339" s="108">
        <f t="shared" si="161"/>
        <v>0</v>
      </c>
      <c r="R339" s="108">
        <f t="shared" si="161"/>
        <v>0</v>
      </c>
      <c r="S339" s="108">
        <f t="shared" si="161"/>
        <v>0</v>
      </c>
      <c r="T339" s="108">
        <f t="shared" si="161"/>
        <v>0</v>
      </c>
      <c r="U339" s="108">
        <f t="shared" si="161"/>
        <v>0</v>
      </c>
      <c r="V339" s="108">
        <f t="shared" si="161"/>
        <v>0</v>
      </c>
      <c r="W339" s="108">
        <f t="shared" si="161"/>
        <v>0</v>
      </c>
      <c r="X339" s="108">
        <f t="shared" si="161"/>
        <v>0</v>
      </c>
      <c r="Y339" s="108">
        <f t="shared" si="161"/>
        <v>0</v>
      </c>
      <c r="Z339" s="108">
        <f t="shared" si="161"/>
        <v>0</v>
      </c>
      <c r="AA339" s="108">
        <f t="shared" si="161"/>
        <v>0</v>
      </c>
      <c r="AB339" s="108">
        <f t="shared" si="161"/>
        <v>0</v>
      </c>
      <c r="AC339" s="108">
        <f t="shared" si="161"/>
        <v>0</v>
      </c>
      <c r="AD339" s="108">
        <f t="shared" si="161"/>
        <v>0</v>
      </c>
      <c r="AE339" s="108">
        <f t="shared" si="161"/>
        <v>0</v>
      </c>
      <c r="AF339" s="108">
        <f t="shared" si="161"/>
        <v>0</v>
      </c>
      <c r="AG339" s="108">
        <f t="shared" si="161"/>
        <v>0</v>
      </c>
      <c r="AH339" s="108">
        <f t="shared" si="161"/>
        <v>0</v>
      </c>
      <c r="AI339" s="108">
        <f t="shared" si="161"/>
        <v>0</v>
      </c>
    </row>
    <row r="340" spans="1:35" ht="15.75" customHeight="1">
      <c r="A340" s="75">
        <v>27</v>
      </c>
      <c r="B340" s="76"/>
      <c r="C340" s="482" t="s">
        <v>215</v>
      </c>
      <c r="D340" s="110"/>
      <c r="E340" s="110"/>
      <c r="F340" s="110"/>
      <c r="G340" s="110"/>
      <c r="H340" s="108">
        <f t="shared" ref="H340:AI340" si="162">H558</f>
        <v>0</v>
      </c>
      <c r="I340" s="108">
        <f t="shared" si="162"/>
        <v>0</v>
      </c>
      <c r="J340" s="108">
        <f t="shared" si="162"/>
        <v>0</v>
      </c>
      <c r="K340" s="108">
        <f t="shared" si="162"/>
        <v>0</v>
      </c>
      <c r="L340" s="108">
        <f t="shared" si="162"/>
        <v>0</v>
      </c>
      <c r="M340" s="108">
        <f t="shared" si="162"/>
        <v>0</v>
      </c>
      <c r="N340" s="108">
        <f t="shared" si="162"/>
        <v>0</v>
      </c>
      <c r="O340" s="108">
        <f t="shared" si="162"/>
        <v>0</v>
      </c>
      <c r="P340" s="108">
        <f t="shared" ca="1" si="162"/>
        <v>0</v>
      </c>
      <c r="Q340" s="108">
        <f t="shared" ca="1" si="162"/>
        <v>0</v>
      </c>
      <c r="R340" s="108">
        <f t="shared" ca="1" si="162"/>
        <v>0</v>
      </c>
      <c r="S340" s="108">
        <f t="shared" ca="1" si="162"/>
        <v>0</v>
      </c>
      <c r="T340" s="108">
        <f t="shared" ca="1" si="162"/>
        <v>0</v>
      </c>
      <c r="U340" s="108">
        <f t="shared" ca="1" si="162"/>
        <v>0</v>
      </c>
      <c r="V340" s="108">
        <f t="shared" ca="1" si="162"/>
        <v>0</v>
      </c>
      <c r="W340" s="108">
        <f t="shared" ca="1" si="162"/>
        <v>0</v>
      </c>
      <c r="X340" s="108">
        <f t="shared" ca="1" si="162"/>
        <v>0</v>
      </c>
      <c r="Y340" s="108">
        <f t="shared" ca="1" si="162"/>
        <v>0</v>
      </c>
      <c r="Z340" s="108">
        <f t="shared" ca="1" si="162"/>
        <v>0</v>
      </c>
      <c r="AA340" s="108">
        <f t="shared" ca="1" si="162"/>
        <v>0</v>
      </c>
      <c r="AB340" s="108">
        <f t="shared" ca="1" si="162"/>
        <v>0</v>
      </c>
      <c r="AC340" s="108">
        <f t="shared" ca="1" si="162"/>
        <v>0</v>
      </c>
      <c r="AD340" s="108">
        <f t="shared" ca="1" si="162"/>
        <v>0</v>
      </c>
      <c r="AE340" s="108">
        <f t="shared" ca="1" si="162"/>
        <v>0</v>
      </c>
      <c r="AF340" s="108">
        <f t="shared" ca="1" si="162"/>
        <v>0</v>
      </c>
      <c r="AG340" s="108">
        <f t="shared" ca="1" si="162"/>
        <v>0</v>
      </c>
      <c r="AH340" s="108">
        <f t="shared" ca="1" si="162"/>
        <v>0</v>
      </c>
      <c r="AI340" s="108">
        <f t="shared" ca="1" si="162"/>
        <v>0</v>
      </c>
    </row>
    <row r="341" spans="1:35" ht="15.75" customHeight="1">
      <c r="A341" s="75">
        <v>20</v>
      </c>
      <c r="B341" s="76"/>
      <c r="C341" s="482" t="s">
        <v>816</v>
      </c>
      <c r="D341" s="110"/>
      <c r="E341" s="110"/>
      <c r="F341" s="110"/>
      <c r="G341" s="108">
        <f>G536</f>
        <v>0</v>
      </c>
      <c r="H341" s="108">
        <f>H536</f>
        <v>0</v>
      </c>
      <c r="I341" s="108">
        <f t="shared" ref="I341:AI341" si="163">I536</f>
        <v>0</v>
      </c>
      <c r="J341" s="108">
        <f t="shared" si="163"/>
        <v>0</v>
      </c>
      <c r="K341" s="108">
        <f t="shared" si="163"/>
        <v>0</v>
      </c>
      <c r="L341" s="108">
        <f t="shared" si="163"/>
        <v>0</v>
      </c>
      <c r="M341" s="108">
        <f t="shared" si="163"/>
        <v>0</v>
      </c>
      <c r="N341" s="108">
        <f t="shared" si="163"/>
        <v>0</v>
      </c>
      <c r="O341" s="108">
        <f t="shared" si="163"/>
        <v>0</v>
      </c>
      <c r="P341" s="108">
        <f t="shared" si="163"/>
        <v>0</v>
      </c>
      <c r="Q341" s="108">
        <f t="shared" si="163"/>
        <v>0</v>
      </c>
      <c r="R341" s="108">
        <f t="shared" si="163"/>
        <v>0</v>
      </c>
      <c r="S341" s="108">
        <f t="shared" si="163"/>
        <v>0</v>
      </c>
      <c r="T341" s="108">
        <f t="shared" si="163"/>
        <v>0</v>
      </c>
      <c r="U341" s="108">
        <f t="shared" si="163"/>
        <v>0</v>
      </c>
      <c r="V341" s="108">
        <f t="shared" si="163"/>
        <v>0</v>
      </c>
      <c r="W341" s="108">
        <f t="shared" si="163"/>
        <v>0</v>
      </c>
      <c r="X341" s="108">
        <f t="shared" si="163"/>
        <v>0</v>
      </c>
      <c r="Y341" s="108">
        <f t="shared" si="163"/>
        <v>0</v>
      </c>
      <c r="Z341" s="108">
        <f t="shared" si="163"/>
        <v>0</v>
      </c>
      <c r="AA341" s="108">
        <f t="shared" si="163"/>
        <v>0</v>
      </c>
      <c r="AB341" s="108">
        <f t="shared" si="163"/>
        <v>0</v>
      </c>
      <c r="AC341" s="108">
        <f t="shared" si="163"/>
        <v>0</v>
      </c>
      <c r="AD341" s="108">
        <f t="shared" si="163"/>
        <v>0</v>
      </c>
      <c r="AE341" s="108">
        <f t="shared" si="163"/>
        <v>0</v>
      </c>
      <c r="AF341" s="108">
        <f t="shared" si="163"/>
        <v>0</v>
      </c>
      <c r="AG341" s="108">
        <f t="shared" si="163"/>
        <v>0</v>
      </c>
      <c r="AH341" s="108">
        <f t="shared" si="163"/>
        <v>0</v>
      </c>
      <c r="AI341" s="108">
        <f t="shared" si="163"/>
        <v>0</v>
      </c>
    </row>
    <row r="342" spans="1:35" ht="15.75" customHeight="1">
      <c r="A342" s="75">
        <v>23</v>
      </c>
      <c r="B342" s="76"/>
      <c r="C342" s="482" t="s">
        <v>216</v>
      </c>
      <c r="D342" s="110"/>
      <c r="E342" s="110"/>
      <c r="F342" s="110"/>
      <c r="G342" s="110"/>
      <c r="H342" s="108">
        <v>0</v>
      </c>
      <c r="I342" s="108">
        <v>0</v>
      </c>
      <c r="J342" s="108">
        <v>0</v>
      </c>
      <c r="K342" s="108">
        <v>0</v>
      </c>
      <c r="L342" s="108">
        <v>0</v>
      </c>
      <c r="M342" s="108">
        <v>0</v>
      </c>
      <c r="N342" s="108">
        <v>0</v>
      </c>
      <c r="O342" s="108">
        <v>0</v>
      </c>
      <c r="P342" s="108">
        <v>0</v>
      </c>
      <c r="Q342" s="108">
        <v>0</v>
      </c>
      <c r="R342" s="108">
        <v>0</v>
      </c>
      <c r="S342" s="108">
        <v>0</v>
      </c>
      <c r="T342" s="108">
        <v>0</v>
      </c>
      <c r="U342" s="108">
        <v>0</v>
      </c>
      <c r="V342" s="108">
        <v>0</v>
      </c>
      <c r="W342" s="108">
        <v>0</v>
      </c>
      <c r="X342" s="108">
        <v>0</v>
      </c>
      <c r="Y342" s="108">
        <v>0</v>
      </c>
      <c r="Z342" s="108">
        <v>0</v>
      </c>
      <c r="AA342" s="108">
        <v>0</v>
      </c>
      <c r="AB342" s="108">
        <v>0</v>
      </c>
      <c r="AC342" s="108">
        <v>0</v>
      </c>
      <c r="AD342" s="108">
        <v>0</v>
      </c>
      <c r="AE342" s="108">
        <v>0</v>
      </c>
      <c r="AF342" s="108">
        <v>0</v>
      </c>
      <c r="AG342" s="108">
        <v>0</v>
      </c>
      <c r="AH342" s="108">
        <v>0</v>
      </c>
      <c r="AI342" s="108">
        <v>0</v>
      </c>
    </row>
    <row r="343" spans="1:35" ht="15.75" customHeight="1">
      <c r="B343" s="76"/>
      <c r="C343" s="95" t="s">
        <v>217</v>
      </c>
      <c r="D343" s="110"/>
      <c r="E343" s="806"/>
      <c r="F343" s="806"/>
      <c r="G343" s="806"/>
      <c r="H343" s="108">
        <f t="shared" ref="H343:M343" si="164">SUM(H339:H342)</f>
        <v>0</v>
      </c>
      <c r="I343" s="108">
        <f t="shared" si="164"/>
        <v>0</v>
      </c>
      <c r="J343" s="108">
        <f t="shared" si="164"/>
        <v>0</v>
      </c>
      <c r="K343" s="108">
        <f t="shared" si="164"/>
        <v>0</v>
      </c>
      <c r="L343" s="108">
        <f t="shared" si="164"/>
        <v>0</v>
      </c>
      <c r="M343" s="108">
        <f t="shared" si="164"/>
        <v>0</v>
      </c>
      <c r="N343" s="108">
        <f>SUM(N339:N342)</f>
        <v>0</v>
      </c>
      <c r="O343" s="108">
        <f t="shared" ref="O343:AI343" si="165">SUM(O339:O342)</f>
        <v>0</v>
      </c>
      <c r="P343" s="108">
        <f t="shared" ca="1" si="165"/>
        <v>0</v>
      </c>
      <c r="Q343" s="108">
        <f t="shared" ca="1" si="165"/>
        <v>0</v>
      </c>
      <c r="R343" s="108">
        <f t="shared" ca="1" si="165"/>
        <v>0</v>
      </c>
      <c r="S343" s="108">
        <f t="shared" ca="1" si="165"/>
        <v>0</v>
      </c>
      <c r="T343" s="108">
        <f t="shared" ca="1" si="165"/>
        <v>0</v>
      </c>
      <c r="U343" s="108">
        <f t="shared" ca="1" si="165"/>
        <v>0</v>
      </c>
      <c r="V343" s="108">
        <f t="shared" ca="1" si="165"/>
        <v>0</v>
      </c>
      <c r="W343" s="108">
        <f t="shared" ca="1" si="165"/>
        <v>0</v>
      </c>
      <c r="X343" s="108">
        <f t="shared" ca="1" si="165"/>
        <v>0</v>
      </c>
      <c r="Y343" s="108">
        <f t="shared" ca="1" si="165"/>
        <v>0</v>
      </c>
      <c r="Z343" s="108">
        <f t="shared" ca="1" si="165"/>
        <v>0</v>
      </c>
      <c r="AA343" s="108">
        <f t="shared" ca="1" si="165"/>
        <v>0</v>
      </c>
      <c r="AB343" s="108">
        <f t="shared" ca="1" si="165"/>
        <v>0</v>
      </c>
      <c r="AC343" s="108">
        <f t="shared" ca="1" si="165"/>
        <v>0</v>
      </c>
      <c r="AD343" s="108">
        <f t="shared" ca="1" si="165"/>
        <v>0</v>
      </c>
      <c r="AE343" s="108">
        <f t="shared" ca="1" si="165"/>
        <v>0</v>
      </c>
      <c r="AF343" s="108">
        <f t="shared" ca="1" si="165"/>
        <v>0</v>
      </c>
      <c r="AG343" s="108">
        <f t="shared" ca="1" si="165"/>
        <v>0</v>
      </c>
      <c r="AH343" s="108">
        <f t="shared" ca="1" si="165"/>
        <v>0</v>
      </c>
      <c r="AI343" s="108">
        <f t="shared" ca="1" si="165"/>
        <v>0</v>
      </c>
    </row>
    <row r="344" spans="1:35" ht="7.5" customHeight="1">
      <c r="B344" s="76"/>
      <c r="C344" s="110"/>
      <c r="D344" s="110"/>
      <c r="E344" s="806"/>
      <c r="F344" s="806"/>
      <c r="G344" s="806"/>
      <c r="H344" s="806"/>
      <c r="I344" s="806"/>
      <c r="J344" s="806"/>
      <c r="K344" s="108"/>
      <c r="L344" s="108"/>
      <c r="M344" s="108"/>
      <c r="N344" s="108"/>
      <c r="O344" s="76"/>
    </row>
    <row r="345" spans="1:35" ht="15.75" customHeight="1">
      <c r="B345" s="111"/>
      <c r="C345" s="483" t="s">
        <v>219</v>
      </c>
      <c r="D345" s="110"/>
      <c r="E345" s="806"/>
      <c r="F345" s="806"/>
      <c r="G345" s="806"/>
      <c r="H345" s="108">
        <f t="shared" ref="H345:O345" si="166">H325+H332+H343</f>
        <v>-500000000</v>
      </c>
      <c r="I345" s="108">
        <f t="shared" si="166"/>
        <v>-1000000000</v>
      </c>
      <c r="J345" s="108">
        <f t="shared" si="166"/>
        <v>-500000000</v>
      </c>
      <c r="K345" s="108">
        <f t="shared" ca="1" si="166"/>
        <v>586077308.32599509</v>
      </c>
      <c r="L345" s="108">
        <f t="shared" ca="1" si="166"/>
        <v>558990646.34801102</v>
      </c>
      <c r="M345" s="108">
        <f t="shared" ca="1" si="166"/>
        <v>616315537.2889626</v>
      </c>
      <c r="N345" s="108">
        <f t="shared" ca="1" si="166"/>
        <v>575606183.98061657</v>
      </c>
      <c r="O345" s="108">
        <f t="shared" ca="1" si="166"/>
        <v>579221930.72676957</v>
      </c>
      <c r="P345" s="108">
        <f ca="1">P325+P332+P343</f>
        <v>571260403.18218172</v>
      </c>
      <c r="Q345" s="108">
        <f t="shared" ref="Q345:AI345" ca="1" si="167">Q325+Q332+Q343</f>
        <v>516078732.72658932</v>
      </c>
      <c r="R345" s="108">
        <f t="shared" ca="1" si="167"/>
        <v>526026426.80225927</v>
      </c>
      <c r="S345" s="108">
        <f t="shared" ca="1" si="167"/>
        <v>606685925.82864845</v>
      </c>
      <c r="T345" s="108">
        <f t="shared" ca="1" si="167"/>
        <v>509573661.02527678</v>
      </c>
      <c r="U345" s="108">
        <f t="shared" ca="1" si="167"/>
        <v>531956592.85191166</v>
      </c>
      <c r="V345" s="108">
        <f t="shared" ca="1" si="167"/>
        <v>612791365.47055554</v>
      </c>
      <c r="W345" s="108">
        <f t="shared" ca="1" si="167"/>
        <v>561163158.48488498</v>
      </c>
      <c r="X345" s="108">
        <f t="shared" ca="1" si="167"/>
        <v>574697286.90809107</v>
      </c>
      <c r="Y345" s="108">
        <f t="shared" ca="1" si="167"/>
        <v>656789563.81226242</v>
      </c>
      <c r="Z345" s="108">
        <f t="shared" ca="1" si="167"/>
        <v>606223800.78391647</v>
      </c>
      <c r="AA345" s="108">
        <f t="shared" ca="1" si="167"/>
        <v>618734697.68020892</v>
      </c>
      <c r="AB345" s="108">
        <f t="shared" ca="1" si="167"/>
        <v>701444645.62618065</v>
      </c>
      <c r="AC345" s="108">
        <f t="shared" ca="1" si="167"/>
        <v>651921615.26031709</v>
      </c>
      <c r="AD345" s="108">
        <f t="shared" ca="1" si="167"/>
        <v>637662856.97649765</v>
      </c>
      <c r="AE345" s="108">
        <f t="shared" ca="1" si="167"/>
        <v>689661073.58823836</v>
      </c>
      <c r="AF345" s="108">
        <f t="shared" ca="1" si="167"/>
        <v>654617964.93355012</v>
      </c>
      <c r="AG345" s="108">
        <f t="shared" ca="1" si="167"/>
        <v>668491883.36037707</v>
      </c>
      <c r="AH345" s="108">
        <f t="shared" ca="1" si="167"/>
        <v>747474223.89879072</v>
      </c>
      <c r="AI345" s="108">
        <f t="shared" ca="1" si="167"/>
        <v>703881518.55616641</v>
      </c>
    </row>
    <row r="346" spans="1:35" ht="15.75" customHeight="1">
      <c r="B346" s="111"/>
      <c r="C346" s="110"/>
      <c r="D346" s="100"/>
      <c r="E346" s="528"/>
      <c r="F346" s="806"/>
      <c r="G346" s="806"/>
      <c r="H346" s="806"/>
      <c r="I346" s="806"/>
      <c r="J346" s="806"/>
      <c r="K346" s="110"/>
      <c r="L346" s="108"/>
      <c r="M346" s="108"/>
      <c r="N346" s="108"/>
      <c r="O346" s="76"/>
    </row>
    <row r="347" spans="1:35" ht="15.75" customHeight="1">
      <c r="B347" s="111"/>
      <c r="C347" s="483" t="s">
        <v>376</v>
      </c>
      <c r="D347" s="110"/>
      <c r="E347" s="110"/>
      <c r="F347" s="110"/>
      <c r="G347" s="110"/>
      <c r="H347" s="108">
        <f t="shared" ref="H347:AI347" si="168">G348</f>
        <v>0</v>
      </c>
      <c r="I347" s="108">
        <f t="shared" si="168"/>
        <v>-500000000</v>
      </c>
      <c r="J347" s="108">
        <f t="shared" si="168"/>
        <v>-1500000000</v>
      </c>
      <c r="K347" s="108">
        <f t="shared" si="168"/>
        <v>-2000000000</v>
      </c>
      <c r="L347" s="108">
        <f ca="1">K348</f>
        <v>-1413922691.674005</v>
      </c>
      <c r="M347" s="108">
        <f t="shared" ca="1" si="168"/>
        <v>-854932045.32599401</v>
      </c>
      <c r="N347" s="108">
        <f t="shared" ca="1" si="168"/>
        <v>-238616508.03703141</v>
      </c>
      <c r="O347" s="108">
        <f t="shared" ca="1" si="168"/>
        <v>336989675.94358516</v>
      </c>
      <c r="P347" s="108">
        <f t="shared" ca="1" si="168"/>
        <v>916211606.67035472</v>
      </c>
      <c r="Q347" s="108">
        <f t="shared" ca="1" si="168"/>
        <v>1487472009.8525364</v>
      </c>
      <c r="R347" s="108">
        <f t="shared" ca="1" si="168"/>
        <v>2003550742.5791259</v>
      </c>
      <c r="S347" s="108">
        <f t="shared" ca="1" si="168"/>
        <v>2529577169.3813853</v>
      </c>
      <c r="T347" s="108">
        <f t="shared" ca="1" si="168"/>
        <v>3136263095.2100339</v>
      </c>
      <c r="U347" s="108">
        <f t="shared" ca="1" si="168"/>
        <v>3645836756.2353106</v>
      </c>
      <c r="V347" s="108">
        <f t="shared" ca="1" si="168"/>
        <v>4177793349.0872221</v>
      </c>
      <c r="W347" s="108">
        <f t="shared" ca="1" si="168"/>
        <v>4790584714.5577774</v>
      </c>
      <c r="X347" s="108">
        <f t="shared" ca="1" si="168"/>
        <v>5351747873.0426626</v>
      </c>
      <c r="Y347" s="108">
        <f t="shared" ca="1" si="168"/>
        <v>5926445159.9507542</v>
      </c>
      <c r="Z347" s="108">
        <f t="shared" ca="1" si="168"/>
        <v>6583234723.7630167</v>
      </c>
      <c r="AA347" s="108">
        <f t="shared" ca="1" si="168"/>
        <v>7189458524.5469332</v>
      </c>
      <c r="AB347" s="108">
        <f t="shared" ca="1" si="168"/>
        <v>7808193222.2271423</v>
      </c>
      <c r="AC347" s="108">
        <f t="shared" ca="1" si="168"/>
        <v>8509637867.853323</v>
      </c>
      <c r="AD347" s="108">
        <f t="shared" ca="1" si="168"/>
        <v>9161559483.1136398</v>
      </c>
      <c r="AE347" s="108">
        <f t="shared" ca="1" si="168"/>
        <v>9799222340.0901375</v>
      </c>
      <c r="AF347" s="108">
        <f t="shared" ca="1" si="168"/>
        <v>10488883413.678375</v>
      </c>
      <c r="AG347" s="108">
        <f t="shared" ca="1" si="168"/>
        <v>11143501378.611925</v>
      </c>
      <c r="AH347" s="108">
        <f t="shared" ca="1" si="168"/>
        <v>11811993261.972301</v>
      </c>
      <c r="AI347" s="108">
        <f t="shared" ca="1" si="168"/>
        <v>12559467485.871092</v>
      </c>
    </row>
    <row r="348" spans="1:35" ht="15.75" customHeight="1">
      <c r="B348" s="111"/>
      <c r="C348" s="529" t="s">
        <v>377</v>
      </c>
      <c r="D348" s="472"/>
      <c r="E348" s="472"/>
      <c r="F348" s="472"/>
      <c r="G348" s="472"/>
      <c r="H348" s="120">
        <f>H345+H347</f>
        <v>-500000000</v>
      </c>
      <c r="I348" s="120">
        <f t="shared" ref="I348:O348" si="169">I345+I347</f>
        <v>-1500000000</v>
      </c>
      <c r="J348" s="120">
        <f t="shared" si="169"/>
        <v>-2000000000</v>
      </c>
      <c r="K348" s="120">
        <f t="shared" ca="1" si="169"/>
        <v>-1413922691.674005</v>
      </c>
      <c r="L348" s="120">
        <f t="shared" ca="1" si="169"/>
        <v>-854932045.32599401</v>
      </c>
      <c r="M348" s="120">
        <f t="shared" ca="1" si="169"/>
        <v>-238616508.03703141</v>
      </c>
      <c r="N348" s="120">
        <f t="shared" ca="1" si="169"/>
        <v>336989675.94358516</v>
      </c>
      <c r="O348" s="120">
        <f t="shared" ca="1" si="169"/>
        <v>916211606.67035472</v>
      </c>
      <c r="P348" s="120">
        <f ca="1">P345+P347</f>
        <v>1487472009.8525364</v>
      </c>
      <c r="Q348" s="120">
        <f t="shared" ref="Q348:AI348" ca="1" si="170">Q345+Q347</f>
        <v>2003550742.5791259</v>
      </c>
      <c r="R348" s="120">
        <f t="shared" ca="1" si="170"/>
        <v>2529577169.3813853</v>
      </c>
      <c r="S348" s="120">
        <f t="shared" ca="1" si="170"/>
        <v>3136263095.2100339</v>
      </c>
      <c r="T348" s="120">
        <f t="shared" ca="1" si="170"/>
        <v>3645836756.2353106</v>
      </c>
      <c r="U348" s="120">
        <f t="shared" ca="1" si="170"/>
        <v>4177793349.0872221</v>
      </c>
      <c r="V348" s="120">
        <f t="shared" ca="1" si="170"/>
        <v>4790584714.5577774</v>
      </c>
      <c r="W348" s="120">
        <f t="shared" ca="1" si="170"/>
        <v>5351747873.0426626</v>
      </c>
      <c r="X348" s="120">
        <f t="shared" ca="1" si="170"/>
        <v>5926445159.9507542</v>
      </c>
      <c r="Y348" s="120">
        <f t="shared" ca="1" si="170"/>
        <v>6583234723.7630167</v>
      </c>
      <c r="Z348" s="120">
        <f t="shared" ca="1" si="170"/>
        <v>7189458524.5469332</v>
      </c>
      <c r="AA348" s="120">
        <f t="shared" ca="1" si="170"/>
        <v>7808193222.2271423</v>
      </c>
      <c r="AB348" s="120">
        <f t="shared" ca="1" si="170"/>
        <v>8509637867.853323</v>
      </c>
      <c r="AC348" s="120">
        <f t="shared" ca="1" si="170"/>
        <v>9161559483.1136398</v>
      </c>
      <c r="AD348" s="120">
        <f t="shared" ca="1" si="170"/>
        <v>9799222340.0901375</v>
      </c>
      <c r="AE348" s="120">
        <f t="shared" ca="1" si="170"/>
        <v>10488883413.678375</v>
      </c>
      <c r="AF348" s="120">
        <f t="shared" ca="1" si="170"/>
        <v>11143501378.611925</v>
      </c>
      <c r="AG348" s="120">
        <f t="shared" ca="1" si="170"/>
        <v>11811993261.972301</v>
      </c>
      <c r="AH348" s="120">
        <f t="shared" ca="1" si="170"/>
        <v>12559467485.871092</v>
      </c>
      <c r="AI348" s="120">
        <f t="shared" ca="1" si="170"/>
        <v>13263349004.427258</v>
      </c>
    </row>
    <row r="349" spans="1:35" ht="15.75" customHeight="1">
      <c r="B349" s="111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21"/>
      <c r="N349" s="121"/>
      <c r="O349" s="76"/>
    </row>
    <row r="350" spans="1:35" ht="15.75" customHeight="1">
      <c r="B350" s="100"/>
      <c r="C350" s="483"/>
      <c r="D350" s="110"/>
      <c r="E350" s="806"/>
      <c r="F350" s="806"/>
      <c r="G350" s="806"/>
      <c r="H350" s="806"/>
      <c r="I350" s="806"/>
      <c r="J350" s="806"/>
      <c r="K350" s="110"/>
      <c r="L350" s="108"/>
      <c r="M350" s="108"/>
      <c r="N350" s="108"/>
      <c r="O350" s="76"/>
    </row>
    <row r="351" spans="1:35" ht="15.75" customHeight="1">
      <c r="B351" s="111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21"/>
      <c r="N351" s="121"/>
      <c r="O351" s="76"/>
    </row>
    <row r="352" spans="1:35" ht="15.75" customHeight="1">
      <c r="B352" s="111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21"/>
      <c r="N352" s="121"/>
      <c r="O352" s="76"/>
    </row>
    <row r="353" spans="2:35" ht="27">
      <c r="B353" s="111"/>
      <c r="C353" s="499" t="s">
        <v>817</v>
      </c>
      <c r="K353" s="102"/>
      <c r="L353" s="102"/>
      <c r="M353" s="103"/>
      <c r="N353" s="137"/>
      <c r="O353" s="137"/>
      <c r="P353" s="137"/>
    </row>
    <row r="354" spans="2:35" ht="3" customHeight="1">
      <c r="B354" s="111"/>
      <c r="C354" s="104"/>
      <c r="D354" s="104"/>
      <c r="E354" s="104"/>
      <c r="F354" s="104"/>
      <c r="G354" s="104"/>
      <c r="H354" s="104"/>
      <c r="I354" s="104"/>
      <c r="J354" s="104"/>
      <c r="K354" s="104"/>
      <c r="L354" s="104"/>
      <c r="M354" s="104"/>
      <c r="N354" s="104"/>
      <c r="O354" s="104"/>
      <c r="P354" s="104"/>
    </row>
    <row r="355" spans="2:35" ht="15.75" customHeight="1">
      <c r="B355" s="111"/>
      <c r="C355" s="75"/>
      <c r="K355" s="102"/>
      <c r="L355" s="102"/>
      <c r="M355" s="103"/>
      <c r="N355" s="137"/>
      <c r="O355" s="137"/>
      <c r="P355" s="137"/>
    </row>
    <row r="356" spans="2:35" ht="15.75" customHeight="1">
      <c r="B356" s="76"/>
      <c r="C356" s="480" t="s">
        <v>818</v>
      </c>
      <c r="K356" s="102"/>
      <c r="L356" s="500"/>
      <c r="M356" s="105"/>
      <c r="N356" s="138"/>
      <c r="O356" s="138"/>
      <c r="P356" s="138"/>
    </row>
    <row r="357" spans="2:35" ht="15.75" customHeight="1">
      <c r="B357" s="91"/>
      <c r="C357" s="546" t="s">
        <v>819</v>
      </c>
      <c r="D357" s="949">
        <f>1*(1+D358)</f>
        <v>1</v>
      </c>
      <c r="E357" s="106"/>
      <c r="F357" s="106"/>
      <c r="G357" s="768">
        <f>H357-1</f>
        <v>-4</v>
      </c>
      <c r="H357" s="768">
        <f>I357-1</f>
        <v>-3</v>
      </c>
      <c r="I357" s="768">
        <f>J357-1</f>
        <v>-2</v>
      </c>
      <c r="J357" s="768">
        <v>-1</v>
      </c>
      <c r="K357" s="768">
        <f>J357+2</f>
        <v>1</v>
      </c>
      <c r="L357" s="768">
        <f t="shared" ref="L357:AI357" si="171">K357+1</f>
        <v>2</v>
      </c>
      <c r="M357" s="768">
        <f t="shared" si="171"/>
        <v>3</v>
      </c>
      <c r="N357" s="768">
        <f t="shared" si="171"/>
        <v>4</v>
      </c>
      <c r="O357" s="768">
        <f t="shared" si="171"/>
        <v>5</v>
      </c>
      <c r="P357" s="768">
        <f t="shared" si="171"/>
        <v>6</v>
      </c>
      <c r="Q357" s="768">
        <f t="shared" si="171"/>
        <v>7</v>
      </c>
      <c r="R357" s="768">
        <f t="shared" si="171"/>
        <v>8</v>
      </c>
      <c r="S357" s="768">
        <f t="shared" si="171"/>
        <v>9</v>
      </c>
      <c r="T357" s="768">
        <f t="shared" si="171"/>
        <v>10</v>
      </c>
      <c r="U357" s="768">
        <f t="shared" si="171"/>
        <v>11</v>
      </c>
      <c r="V357" s="768">
        <f t="shared" si="171"/>
        <v>12</v>
      </c>
      <c r="W357" s="768">
        <f t="shared" si="171"/>
        <v>13</v>
      </c>
      <c r="X357" s="768">
        <f t="shared" si="171"/>
        <v>14</v>
      </c>
      <c r="Y357" s="768">
        <f t="shared" si="171"/>
        <v>15</v>
      </c>
      <c r="Z357" s="768">
        <f t="shared" si="171"/>
        <v>16</v>
      </c>
      <c r="AA357" s="768">
        <f t="shared" si="171"/>
        <v>17</v>
      </c>
      <c r="AB357" s="768">
        <f t="shared" si="171"/>
        <v>18</v>
      </c>
      <c r="AC357" s="768">
        <f t="shared" si="171"/>
        <v>19</v>
      </c>
      <c r="AD357" s="768">
        <f t="shared" si="171"/>
        <v>20</v>
      </c>
      <c r="AE357" s="768">
        <f t="shared" si="171"/>
        <v>21</v>
      </c>
      <c r="AF357" s="768">
        <f t="shared" si="171"/>
        <v>22</v>
      </c>
      <c r="AG357" s="768">
        <f t="shared" si="171"/>
        <v>23</v>
      </c>
      <c r="AH357" s="768">
        <f t="shared" si="171"/>
        <v>24</v>
      </c>
      <c r="AI357" s="768">
        <f t="shared" si="171"/>
        <v>25</v>
      </c>
    </row>
    <row r="358" spans="2:35" ht="15.75" customHeight="1">
      <c r="B358" s="91"/>
      <c r="C358" s="548"/>
      <c r="D358" s="944">
        <v>0</v>
      </c>
      <c r="E358" s="469"/>
      <c r="F358" s="469"/>
      <c r="G358" s="469"/>
      <c r="H358" s="469"/>
      <c r="I358" s="548"/>
      <c r="J358" s="548"/>
      <c r="K358" s="769">
        <f>INT(ROUNDUP(K357/12,0))</f>
        <v>1</v>
      </c>
      <c r="L358" s="769">
        <f>INT(ROUNDUP(L357/12,0))</f>
        <v>1</v>
      </c>
      <c r="M358" s="769">
        <f t="shared" ref="M358:AI358" si="172">INT(ROUNDUP(M357/12,0))</f>
        <v>1</v>
      </c>
      <c r="N358" s="769">
        <f t="shared" si="172"/>
        <v>1</v>
      </c>
      <c r="O358" s="769">
        <f t="shared" si="172"/>
        <v>1</v>
      </c>
      <c r="P358" s="769">
        <f t="shared" si="172"/>
        <v>1</v>
      </c>
      <c r="Q358" s="769">
        <f t="shared" si="172"/>
        <v>1</v>
      </c>
      <c r="R358" s="769">
        <f t="shared" si="172"/>
        <v>1</v>
      </c>
      <c r="S358" s="769">
        <f t="shared" si="172"/>
        <v>1</v>
      </c>
      <c r="T358" s="769">
        <f t="shared" si="172"/>
        <v>1</v>
      </c>
      <c r="U358" s="769">
        <f t="shared" si="172"/>
        <v>1</v>
      </c>
      <c r="V358" s="769">
        <f t="shared" si="172"/>
        <v>1</v>
      </c>
      <c r="W358" s="769">
        <f t="shared" si="172"/>
        <v>2</v>
      </c>
      <c r="X358" s="769">
        <f t="shared" si="172"/>
        <v>2</v>
      </c>
      <c r="Y358" s="769">
        <f t="shared" si="172"/>
        <v>2</v>
      </c>
      <c r="Z358" s="769">
        <f t="shared" si="172"/>
        <v>2</v>
      </c>
      <c r="AA358" s="769">
        <f t="shared" si="172"/>
        <v>2</v>
      </c>
      <c r="AB358" s="769">
        <f t="shared" si="172"/>
        <v>2</v>
      </c>
      <c r="AC358" s="769">
        <f t="shared" si="172"/>
        <v>2</v>
      </c>
      <c r="AD358" s="769">
        <f t="shared" si="172"/>
        <v>2</v>
      </c>
      <c r="AE358" s="769">
        <f t="shared" si="172"/>
        <v>2</v>
      </c>
      <c r="AF358" s="769">
        <f t="shared" si="172"/>
        <v>2</v>
      </c>
      <c r="AG358" s="769">
        <f t="shared" si="172"/>
        <v>2</v>
      </c>
      <c r="AH358" s="769">
        <f t="shared" si="172"/>
        <v>2</v>
      </c>
      <c r="AI358" s="769">
        <f t="shared" si="172"/>
        <v>3</v>
      </c>
    </row>
    <row r="359" spans="2:35" ht="15.75" customHeight="1">
      <c r="B359" s="91"/>
      <c r="C359" s="471"/>
      <c r="D359" s="472"/>
      <c r="E359" s="506"/>
      <c r="F359" s="506"/>
      <c r="G359" s="94" t="s">
        <v>499</v>
      </c>
      <c r="H359" s="94" t="s">
        <v>499</v>
      </c>
      <c r="I359" s="94" t="s">
        <v>499</v>
      </c>
      <c r="J359" s="94" t="s">
        <v>499</v>
      </c>
      <c r="K359" s="94" t="s">
        <v>499</v>
      </c>
      <c r="L359" s="94" t="s">
        <v>499</v>
      </c>
      <c r="M359" s="94" t="s">
        <v>499</v>
      </c>
      <c r="N359" s="94" t="s">
        <v>499</v>
      </c>
      <c r="O359" s="94" t="s">
        <v>499</v>
      </c>
      <c r="P359" s="94" t="s">
        <v>499</v>
      </c>
      <c r="Q359" s="94" t="s">
        <v>499</v>
      </c>
      <c r="R359" s="94" t="s">
        <v>499</v>
      </c>
      <c r="S359" s="94" t="s">
        <v>499</v>
      </c>
      <c r="T359" s="94" t="s">
        <v>499</v>
      </c>
      <c r="U359" s="94" t="s">
        <v>499</v>
      </c>
      <c r="V359" s="94" t="s">
        <v>499</v>
      </c>
      <c r="W359" s="94" t="s">
        <v>499</v>
      </c>
      <c r="X359" s="94" t="s">
        <v>499</v>
      </c>
      <c r="Y359" s="94" t="s">
        <v>499</v>
      </c>
      <c r="Z359" s="94" t="s">
        <v>499</v>
      </c>
      <c r="AA359" s="94" t="s">
        <v>499</v>
      </c>
      <c r="AB359" s="94" t="s">
        <v>499</v>
      </c>
      <c r="AC359" s="94" t="s">
        <v>499</v>
      </c>
      <c r="AD359" s="94" t="s">
        <v>499</v>
      </c>
      <c r="AE359" s="94" t="s">
        <v>499</v>
      </c>
      <c r="AF359" s="94" t="s">
        <v>499</v>
      </c>
      <c r="AG359" s="94" t="s">
        <v>499</v>
      </c>
      <c r="AH359" s="94" t="s">
        <v>499</v>
      </c>
      <c r="AI359" s="94" t="s">
        <v>499</v>
      </c>
    </row>
    <row r="360" spans="2:35" ht="15.75" customHeight="1">
      <c r="B360" s="76"/>
      <c r="C360" s="110"/>
      <c r="D360" s="110"/>
      <c r="E360" s="110"/>
      <c r="F360" s="110"/>
      <c r="G360" s="110"/>
      <c r="H360" s="110"/>
      <c r="I360" s="110"/>
      <c r="J360" s="110"/>
      <c r="K360" s="107"/>
      <c r="L360" s="812"/>
      <c r="M360" s="812"/>
      <c r="N360" s="812"/>
      <c r="O360" s="812"/>
      <c r="P360" s="812"/>
    </row>
    <row r="361" spans="2:35" ht="15.75" customHeight="1">
      <c r="B361" s="111"/>
      <c r="C361" s="102" t="s">
        <v>820</v>
      </c>
      <c r="D361" s="102"/>
      <c r="E361" s="102"/>
      <c r="F361" s="102"/>
      <c r="G361" s="108">
        <f>G334</f>
        <v>0</v>
      </c>
      <c r="H361" s="108">
        <f t="shared" ref="H361:AI361" si="173">H334</f>
        <v>-500000000</v>
      </c>
      <c r="I361" s="108">
        <f t="shared" si="173"/>
        <v>-1000000000</v>
      </c>
      <c r="J361" s="108">
        <f t="shared" si="173"/>
        <v>-500000000</v>
      </c>
      <c r="K361" s="108">
        <f t="shared" ca="1" si="173"/>
        <v>586077308.32599509</v>
      </c>
      <c r="L361" s="108">
        <f t="shared" ca="1" si="173"/>
        <v>558990646.34801102</v>
      </c>
      <c r="M361" s="108">
        <f t="shared" ca="1" si="173"/>
        <v>616315537.2889626</v>
      </c>
      <c r="N361" s="108">
        <f t="shared" ca="1" si="173"/>
        <v>575606183.98061657</v>
      </c>
      <c r="O361" s="108">
        <f t="shared" ca="1" si="173"/>
        <v>579221930.72676957</v>
      </c>
      <c r="P361" s="108">
        <f t="shared" ca="1" si="173"/>
        <v>571260403.18218172</v>
      </c>
      <c r="Q361" s="108">
        <f t="shared" ca="1" si="173"/>
        <v>516078732.72658932</v>
      </c>
      <c r="R361" s="108">
        <f t="shared" ca="1" si="173"/>
        <v>526026426.80225927</v>
      </c>
      <c r="S361" s="108">
        <f t="shared" ca="1" si="173"/>
        <v>606685925.82864845</v>
      </c>
      <c r="T361" s="108">
        <f t="shared" ca="1" si="173"/>
        <v>509573661.02527678</v>
      </c>
      <c r="U361" s="108">
        <f t="shared" ca="1" si="173"/>
        <v>531956592.85191166</v>
      </c>
      <c r="V361" s="108">
        <f t="shared" ca="1" si="173"/>
        <v>612791365.47055554</v>
      </c>
      <c r="W361" s="108">
        <f t="shared" ca="1" si="173"/>
        <v>561163158.48488498</v>
      </c>
      <c r="X361" s="108">
        <f t="shared" ca="1" si="173"/>
        <v>574697286.90809107</v>
      </c>
      <c r="Y361" s="108">
        <f t="shared" ca="1" si="173"/>
        <v>656789563.81226242</v>
      </c>
      <c r="Z361" s="108">
        <f t="shared" ca="1" si="173"/>
        <v>606223800.78391647</v>
      </c>
      <c r="AA361" s="108">
        <f t="shared" ca="1" si="173"/>
        <v>618734697.68020892</v>
      </c>
      <c r="AB361" s="108">
        <f t="shared" ca="1" si="173"/>
        <v>701444645.62618065</v>
      </c>
      <c r="AC361" s="108">
        <f t="shared" ca="1" si="173"/>
        <v>651921615.26031709</v>
      </c>
      <c r="AD361" s="108">
        <f t="shared" ca="1" si="173"/>
        <v>637662856.97649765</v>
      </c>
      <c r="AE361" s="108">
        <f t="shared" ca="1" si="173"/>
        <v>689661073.58823836</v>
      </c>
      <c r="AF361" s="108">
        <f t="shared" ca="1" si="173"/>
        <v>654617964.93355012</v>
      </c>
      <c r="AG361" s="108">
        <f t="shared" ca="1" si="173"/>
        <v>668491883.36037707</v>
      </c>
      <c r="AH361" s="108">
        <f t="shared" ca="1" si="173"/>
        <v>747474223.89879072</v>
      </c>
      <c r="AI361" s="108">
        <f t="shared" ca="1" si="173"/>
        <v>703881518.55616641</v>
      </c>
    </row>
    <row r="362" spans="2:35" ht="15.75" customHeight="1" thickBot="1">
      <c r="B362" s="111"/>
      <c r="C362" s="102" t="s">
        <v>821</v>
      </c>
      <c r="D362" s="102"/>
      <c r="E362" s="102"/>
      <c r="F362" s="102"/>
      <c r="G362" s="108">
        <f>G361</f>
        <v>0</v>
      </c>
      <c r="H362" s="108">
        <f>G362+H361</f>
        <v>-500000000</v>
      </c>
      <c r="I362" s="108">
        <f t="shared" ref="I362:AI362" si="174">H362+I361</f>
        <v>-1500000000</v>
      </c>
      <c r="J362" s="108">
        <f t="shared" si="174"/>
        <v>-2000000000</v>
      </c>
      <c r="K362" s="108">
        <f t="shared" ca="1" si="174"/>
        <v>-1413922691.674005</v>
      </c>
      <c r="L362" s="108">
        <f t="shared" ca="1" si="174"/>
        <v>-854932045.32599401</v>
      </c>
      <c r="M362" s="108">
        <f t="shared" ca="1" si="174"/>
        <v>-238616508.03703141</v>
      </c>
      <c r="N362" s="108">
        <f t="shared" ca="1" si="174"/>
        <v>336989675.94358516</v>
      </c>
      <c r="O362" s="108">
        <f t="shared" ca="1" si="174"/>
        <v>916211606.67035472</v>
      </c>
      <c r="P362" s="108">
        <f t="shared" ca="1" si="174"/>
        <v>1487472009.8525364</v>
      </c>
      <c r="Q362" s="108">
        <f t="shared" ca="1" si="174"/>
        <v>2003550742.5791259</v>
      </c>
      <c r="R362" s="108">
        <f t="shared" ca="1" si="174"/>
        <v>2529577169.3813853</v>
      </c>
      <c r="S362" s="108">
        <f t="shared" ca="1" si="174"/>
        <v>3136263095.2100339</v>
      </c>
      <c r="T362" s="108">
        <f t="shared" ca="1" si="174"/>
        <v>3645836756.2353106</v>
      </c>
      <c r="U362" s="108">
        <f t="shared" ca="1" si="174"/>
        <v>4177793349.0872221</v>
      </c>
      <c r="V362" s="108">
        <f t="shared" ca="1" si="174"/>
        <v>4790584714.5577774</v>
      </c>
      <c r="W362" s="108">
        <f t="shared" ca="1" si="174"/>
        <v>5351747873.0426626</v>
      </c>
      <c r="X362" s="108">
        <f t="shared" ca="1" si="174"/>
        <v>5926445159.9507542</v>
      </c>
      <c r="Y362" s="108">
        <f t="shared" ca="1" si="174"/>
        <v>6583234723.7630167</v>
      </c>
      <c r="Z362" s="108">
        <f t="shared" ca="1" si="174"/>
        <v>7189458524.5469332</v>
      </c>
      <c r="AA362" s="108">
        <f t="shared" ca="1" si="174"/>
        <v>7808193222.2271423</v>
      </c>
      <c r="AB362" s="108">
        <f t="shared" ca="1" si="174"/>
        <v>8509637867.853323</v>
      </c>
      <c r="AC362" s="108">
        <f t="shared" ca="1" si="174"/>
        <v>9161559483.1136398</v>
      </c>
      <c r="AD362" s="108">
        <f t="shared" ca="1" si="174"/>
        <v>9799222340.0901375</v>
      </c>
      <c r="AE362" s="108">
        <f t="shared" ca="1" si="174"/>
        <v>10488883413.678375</v>
      </c>
      <c r="AF362" s="108">
        <f t="shared" ca="1" si="174"/>
        <v>11143501378.611925</v>
      </c>
      <c r="AG362" s="108">
        <f t="shared" ca="1" si="174"/>
        <v>11811993261.972301</v>
      </c>
      <c r="AH362" s="108">
        <f t="shared" ca="1" si="174"/>
        <v>12559467485.871092</v>
      </c>
      <c r="AI362" s="108">
        <f t="shared" ca="1" si="174"/>
        <v>13263349004.427258</v>
      </c>
    </row>
    <row r="363" spans="2:35" ht="15.75" customHeight="1">
      <c r="B363" s="111"/>
      <c r="C363" s="930" t="s">
        <v>822</v>
      </c>
      <c r="D363" s="931"/>
      <c r="E363" s="931"/>
      <c r="F363" s="932">
        <f ca="1">SUM(G363:AI363)</f>
        <v>3.4145482009711463</v>
      </c>
      <c r="G363" s="813">
        <f>IF(AND(G362&gt;0,F362&lt;=0),G357-F362/G361,0)</f>
        <v>0</v>
      </c>
      <c r="H363" s="813">
        <f t="shared" ref="H363:N363" si="175">IF(AND(H362&gt;0,G362&lt;=0),H357-H362/H361,0)</f>
        <v>0</v>
      </c>
      <c r="I363" s="813">
        <f t="shared" si="175"/>
        <v>0</v>
      </c>
      <c r="J363" s="813">
        <f t="shared" si="175"/>
        <v>0</v>
      </c>
      <c r="K363" s="813">
        <f t="shared" ca="1" si="175"/>
        <v>0</v>
      </c>
      <c r="L363" s="813">
        <f t="shared" ca="1" si="175"/>
        <v>0</v>
      </c>
      <c r="M363" s="813">
        <f t="shared" ca="1" si="175"/>
        <v>0</v>
      </c>
      <c r="N363" s="813">
        <f t="shared" ca="1" si="175"/>
        <v>3.4145482009711463</v>
      </c>
      <c r="O363" s="813">
        <f ca="1">IF(AND(O362&gt;0,N362&lt;=0),O357-O362/O361,0)</f>
        <v>0</v>
      </c>
      <c r="P363" s="813">
        <f t="shared" ref="P363:AI363" ca="1" si="176">IF(AND(P362&gt;0,O362&lt;=0),P357-P362/P361,0)</f>
        <v>0</v>
      </c>
      <c r="Q363" s="813">
        <f t="shared" ca="1" si="176"/>
        <v>0</v>
      </c>
      <c r="R363" s="813">
        <f t="shared" ca="1" si="176"/>
        <v>0</v>
      </c>
      <c r="S363" s="813">
        <f t="shared" ca="1" si="176"/>
        <v>0</v>
      </c>
      <c r="T363" s="813">
        <f t="shared" ca="1" si="176"/>
        <v>0</v>
      </c>
      <c r="U363" s="813">
        <f t="shared" ca="1" si="176"/>
        <v>0</v>
      </c>
      <c r="V363" s="813">
        <f t="shared" ca="1" si="176"/>
        <v>0</v>
      </c>
      <c r="W363" s="813">
        <f t="shared" ca="1" si="176"/>
        <v>0</v>
      </c>
      <c r="X363" s="813">
        <f t="shared" ca="1" si="176"/>
        <v>0</v>
      </c>
      <c r="Y363" s="813">
        <f t="shared" ca="1" si="176"/>
        <v>0</v>
      </c>
      <c r="Z363" s="813">
        <f t="shared" ca="1" si="176"/>
        <v>0</v>
      </c>
      <c r="AA363" s="813">
        <f t="shared" ca="1" si="176"/>
        <v>0</v>
      </c>
      <c r="AB363" s="813">
        <f t="shared" ca="1" si="176"/>
        <v>0</v>
      </c>
      <c r="AC363" s="813">
        <f t="shared" ca="1" si="176"/>
        <v>0</v>
      </c>
      <c r="AD363" s="813">
        <f t="shared" ca="1" si="176"/>
        <v>0</v>
      </c>
      <c r="AE363" s="813">
        <f t="shared" ca="1" si="176"/>
        <v>0</v>
      </c>
      <c r="AF363" s="813">
        <f t="shared" ca="1" si="176"/>
        <v>0</v>
      </c>
      <c r="AG363" s="813">
        <f t="shared" ca="1" si="176"/>
        <v>0</v>
      </c>
      <c r="AH363" s="813">
        <f t="shared" ca="1" si="176"/>
        <v>0</v>
      </c>
      <c r="AI363" s="813">
        <f t="shared" ca="1" si="176"/>
        <v>0</v>
      </c>
    </row>
    <row r="364" spans="2:35" ht="15.75" customHeight="1">
      <c r="B364" s="111"/>
      <c r="C364" s="821" t="s">
        <v>823</v>
      </c>
      <c r="D364" s="117"/>
      <c r="E364" s="117"/>
      <c r="F364" s="933">
        <f ca="1">F363+2.5</f>
        <v>5.9145482009711463</v>
      </c>
      <c r="G364" s="102"/>
      <c r="H364" s="102"/>
      <c r="I364" s="102"/>
      <c r="J364" s="102"/>
      <c r="K364" s="102"/>
      <c r="L364" s="102"/>
      <c r="M364" s="121"/>
      <c r="N364" s="121"/>
      <c r="O364" s="76"/>
    </row>
    <row r="365" spans="2:35" ht="15.75" customHeight="1">
      <c r="B365" s="111"/>
      <c r="C365" s="821" t="s">
        <v>824</v>
      </c>
      <c r="D365" s="117"/>
      <c r="E365" s="117"/>
      <c r="F365" s="934">
        <f ca="1">IRR(H361:AI361)</f>
        <v>0.23067675885455152</v>
      </c>
      <c r="G365" s="102"/>
      <c r="H365" s="102"/>
      <c r="I365" s="102"/>
      <c r="J365" s="102"/>
      <c r="K365" s="102"/>
      <c r="L365" s="102"/>
      <c r="M365" s="121"/>
      <c r="N365" s="121"/>
      <c r="O365" s="76"/>
    </row>
    <row r="366" spans="2:35" ht="15.75" customHeight="1" thickBot="1">
      <c r="B366" s="111"/>
      <c r="C366" s="935" t="s">
        <v>825</v>
      </c>
      <c r="D366" s="936"/>
      <c r="E366" s="936"/>
      <c r="F366" s="937">
        <f ca="1">NPV(12.5%,H361:AI361)/1000000</f>
        <v>1517.2312809541008</v>
      </c>
      <c r="G366" s="102"/>
      <c r="H366" s="102"/>
      <c r="I366" s="102"/>
      <c r="J366" s="102"/>
      <c r="K366" s="102"/>
      <c r="L366" s="102"/>
      <c r="M366" s="121"/>
      <c r="N366" s="121"/>
      <c r="O366" s="76"/>
    </row>
    <row r="367" spans="2:35" ht="15.75" customHeight="1">
      <c r="B367" s="111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21"/>
      <c r="N367" s="121"/>
      <c r="O367" s="76"/>
    </row>
    <row r="368" spans="2:35" ht="15.75" customHeight="1" thickBot="1">
      <c r="B368" s="111"/>
      <c r="C368" s="950">
        <v>0</v>
      </c>
      <c r="D368" s="102"/>
      <c r="E368" s="102"/>
      <c r="F368" s="102"/>
      <c r="G368" s="102"/>
      <c r="I368" s="102"/>
      <c r="J368" s="102"/>
      <c r="K368" s="102"/>
      <c r="L368" s="102"/>
      <c r="M368" s="121"/>
      <c r="N368" s="121"/>
      <c r="O368" s="76"/>
    </row>
    <row r="369" spans="2:16" ht="15.75" customHeight="1">
      <c r="B369" s="111"/>
      <c r="C369" s="102"/>
      <c r="D369" s="102"/>
      <c r="E369" s="102"/>
      <c r="F369" s="102"/>
      <c r="G369" s="102"/>
      <c r="H369" s="1980" t="s">
        <v>826</v>
      </c>
      <c r="I369" s="1981"/>
      <c r="J369" s="1981"/>
      <c r="K369" s="1981"/>
      <c r="L369" s="1981"/>
      <c r="M369" s="1981"/>
      <c r="N369" s="1982"/>
      <c r="O369" s="76"/>
    </row>
    <row r="370" spans="2:16" ht="15.75" customHeight="1">
      <c r="B370" s="111"/>
      <c r="C370" s="102"/>
      <c r="D370" s="102"/>
      <c r="E370" s="102"/>
      <c r="F370" s="102"/>
      <c r="G370" s="951">
        <f ca="1">F366</f>
        <v>1517.2312809541008</v>
      </c>
      <c r="H370" s="814">
        <v>12000</v>
      </c>
      <c r="I370" s="815">
        <f t="shared" ref="I370:N370" si="177">H370+2000</f>
        <v>14000</v>
      </c>
      <c r="J370" s="815">
        <f t="shared" si="177"/>
        <v>16000</v>
      </c>
      <c r="K370" s="815">
        <f t="shared" si="177"/>
        <v>18000</v>
      </c>
      <c r="L370" s="815">
        <f t="shared" si="177"/>
        <v>20000</v>
      </c>
      <c r="M370" s="815">
        <f t="shared" si="177"/>
        <v>22000</v>
      </c>
      <c r="N370" s="816">
        <f t="shared" si="177"/>
        <v>24000</v>
      </c>
      <c r="O370" s="76"/>
    </row>
    <row r="371" spans="2:16" ht="15.75" customHeight="1">
      <c r="B371" s="111"/>
      <c r="C371" s="102"/>
      <c r="D371" s="102"/>
      <c r="E371" s="102"/>
      <c r="F371" s="102"/>
      <c r="G371" s="102">
        <v>1</v>
      </c>
      <c r="H371" s="817">
        <f t="dataTable" ref="H371:N371" dt2D="1" dtr="0" r1="K17" r2="D357" ca="1"/>
        <v>-572.33438244632407</v>
      </c>
      <c r="I371" s="818">
        <v>-242.74252607550744</v>
      </c>
      <c r="J371" s="818">
        <v>84.366350410943056</v>
      </c>
      <c r="K371" s="818">
        <v>409.13846294012234</v>
      </c>
      <c r="L371" s="818">
        <v>724.79533615021296</v>
      </c>
      <c r="M371" s="819">
        <v>1042.1051991344218</v>
      </c>
      <c r="N371" s="820">
        <v>1358.8559203475413</v>
      </c>
      <c r="O371" s="76"/>
    </row>
    <row r="372" spans="2:16" ht="15.75" customHeight="1">
      <c r="B372" s="111"/>
      <c r="C372" s="102"/>
      <c r="D372" s="102"/>
      <c r="E372" s="102"/>
      <c r="F372" s="102"/>
      <c r="G372" s="102"/>
      <c r="H372" s="952">
        <f>(H371-$J$371)/$J$371</f>
        <v>-7.7839177546322693</v>
      </c>
      <c r="I372" s="953">
        <f>(I371-$J$371)/$J$371</f>
        <v>-3.8772434139099805</v>
      </c>
      <c r="J372" s="818">
        <v>0</v>
      </c>
      <c r="K372" s="954">
        <f>(K371-$J$371)/$J$371</f>
        <v>3.849545594271119</v>
      </c>
      <c r="L372" s="954">
        <f>(L371-$J$371)/$J$371</f>
        <v>7.5910476466005887</v>
      </c>
      <c r="M372" s="954">
        <f>(M371-$J$371)/$J$371</f>
        <v>11.352142697395283</v>
      </c>
      <c r="N372" s="955">
        <f>(N371-$J$371)/$J$371</f>
        <v>15.106610203341043</v>
      </c>
      <c r="O372" s="76"/>
    </row>
    <row r="373" spans="2:16" ht="15.75" customHeight="1">
      <c r="B373" s="111"/>
      <c r="C373" s="102"/>
      <c r="D373" s="102"/>
      <c r="E373" s="102"/>
      <c r="F373" s="102"/>
      <c r="G373" s="102"/>
      <c r="H373" s="821"/>
      <c r="I373" s="117"/>
      <c r="J373" s="117"/>
      <c r="K373" s="117"/>
      <c r="L373" s="117"/>
      <c r="M373" s="118"/>
      <c r="N373" s="822"/>
      <c r="O373" s="76"/>
    </row>
    <row r="374" spans="2:16" ht="15.75" customHeight="1">
      <c r="B374" s="111"/>
      <c r="C374" s="102"/>
      <c r="D374" s="102"/>
      <c r="E374" s="102"/>
      <c r="F374" s="102"/>
      <c r="G374" s="102"/>
      <c r="H374" s="1984" t="s">
        <v>827</v>
      </c>
      <c r="I374" s="1985"/>
      <c r="J374" s="1985"/>
      <c r="K374" s="1985"/>
      <c r="L374" s="1985"/>
      <c r="M374" s="1985"/>
      <c r="N374" s="1986"/>
      <c r="O374" s="76"/>
    </row>
    <row r="375" spans="2:16" ht="15.75" customHeight="1">
      <c r="B375" s="111"/>
      <c r="C375" s="102"/>
      <c r="D375" s="102"/>
      <c r="E375" s="102"/>
      <c r="F375" s="102"/>
      <c r="G375" s="951">
        <f ca="1">F363</f>
        <v>3.4145482009711463</v>
      </c>
      <c r="H375" s="814">
        <v>12000</v>
      </c>
      <c r="I375" s="815">
        <f t="shared" ref="I375:N375" si="178">H375+2000</f>
        <v>14000</v>
      </c>
      <c r="J375" s="815">
        <f t="shared" si="178"/>
        <v>16000</v>
      </c>
      <c r="K375" s="815">
        <f t="shared" si="178"/>
        <v>18000</v>
      </c>
      <c r="L375" s="815">
        <f t="shared" si="178"/>
        <v>20000</v>
      </c>
      <c r="M375" s="815">
        <f t="shared" si="178"/>
        <v>22000</v>
      </c>
      <c r="N375" s="816">
        <f t="shared" si="178"/>
        <v>24000</v>
      </c>
      <c r="O375" s="76"/>
    </row>
    <row r="376" spans="2:16" ht="15.75" customHeight="1">
      <c r="B376" s="111"/>
      <c r="C376" s="102"/>
      <c r="D376" s="102"/>
      <c r="E376" s="102"/>
      <c r="F376" s="102"/>
      <c r="G376" s="102">
        <v>1</v>
      </c>
      <c r="H376" s="823">
        <f t="dataTable" ref="H376:N376" dt2D="1" dtr="0" r1="K17" r2="D357" ca="1"/>
        <v>9.8794846952453668</v>
      </c>
      <c r="I376" s="824">
        <v>7.3015992238858098</v>
      </c>
      <c r="J376" s="824">
        <v>5.8226920047943427</v>
      </c>
      <c r="K376" s="824">
        <v>4.9327995698379903</v>
      </c>
      <c r="L376" s="824">
        <v>4.3730454374246044</v>
      </c>
      <c r="M376" s="825">
        <v>3.930480507508098</v>
      </c>
      <c r="N376" s="826">
        <v>3.5701738547374466</v>
      </c>
      <c r="O376" s="76"/>
      <c r="P376" s="75"/>
    </row>
    <row r="377" spans="2:16" ht="15.75" customHeight="1">
      <c r="B377" s="111"/>
      <c r="C377" s="102"/>
      <c r="D377" s="102"/>
      <c r="E377" s="102"/>
      <c r="F377" s="102"/>
      <c r="G377" s="102"/>
      <c r="H377" s="956">
        <f>(H376-$J$376)/$J$376</f>
        <v>0.69672115356792086</v>
      </c>
      <c r="I377" s="954">
        <f>(I376-$J$376)/$J$376</f>
        <v>0.25399028797569073</v>
      </c>
      <c r="J377" s="824">
        <v>0</v>
      </c>
      <c r="K377" s="953">
        <f>(K376-$J$376)/$J$376</f>
        <v>-0.15283178883987414</v>
      </c>
      <c r="L377" s="953">
        <f>(L376-$J$376)/$J$376</f>
        <v>-0.2489650089986066</v>
      </c>
      <c r="M377" s="953">
        <f>(M376-$J$376)/$J$376</f>
        <v>-0.32497193664514934</v>
      </c>
      <c r="N377" s="957">
        <f>(N376-$J$376)/$J$376</f>
        <v>-0.38685167414010507</v>
      </c>
      <c r="O377" s="76"/>
      <c r="P377" s="75"/>
    </row>
    <row r="378" spans="2:16" ht="15.75" customHeight="1">
      <c r="B378" s="111"/>
      <c r="C378" s="102"/>
      <c r="D378" s="102"/>
      <c r="E378" s="102"/>
      <c r="F378" s="102"/>
      <c r="G378" s="102"/>
      <c r="H378" s="821"/>
      <c r="I378" s="117"/>
      <c r="J378" s="117"/>
      <c r="K378" s="117"/>
      <c r="L378" s="117"/>
      <c r="M378" s="118"/>
      <c r="N378" s="822"/>
      <c r="O378" s="76"/>
      <c r="P378" s="75"/>
    </row>
    <row r="379" spans="2:16" ht="15.75" customHeight="1">
      <c r="B379" s="111"/>
      <c r="C379" s="102"/>
      <c r="D379" s="102"/>
      <c r="E379" s="102"/>
      <c r="F379" s="102"/>
      <c r="G379" s="102"/>
      <c r="H379" s="1984" t="s">
        <v>828</v>
      </c>
      <c r="I379" s="1985"/>
      <c r="J379" s="1985"/>
      <c r="K379" s="1985"/>
      <c r="L379" s="1985"/>
      <c r="M379" s="1985"/>
      <c r="N379" s="1986"/>
      <c r="O379" s="76"/>
      <c r="P379" s="75"/>
    </row>
    <row r="380" spans="2:16" ht="15.75" customHeight="1">
      <c r="B380" s="111"/>
      <c r="C380" s="102"/>
      <c r="D380" s="102"/>
      <c r="E380" s="102"/>
      <c r="F380" s="102"/>
      <c r="G380" s="951">
        <f ca="1">F365</f>
        <v>0.23067675885455152</v>
      </c>
      <c r="H380" s="814">
        <v>12000</v>
      </c>
      <c r="I380" s="815">
        <f t="shared" ref="I380:N380" si="179">H380+2000</f>
        <v>14000</v>
      </c>
      <c r="J380" s="815">
        <f t="shared" si="179"/>
        <v>16000</v>
      </c>
      <c r="K380" s="815">
        <f t="shared" si="179"/>
        <v>18000</v>
      </c>
      <c r="L380" s="815">
        <f t="shared" si="179"/>
        <v>20000</v>
      </c>
      <c r="M380" s="815">
        <f t="shared" si="179"/>
        <v>22000</v>
      </c>
      <c r="N380" s="816">
        <f t="shared" si="179"/>
        <v>24000</v>
      </c>
      <c r="O380" s="76"/>
      <c r="P380" s="75"/>
    </row>
    <row r="381" spans="2:16" ht="15.75" customHeight="1">
      <c r="B381" s="111"/>
      <c r="C381" s="102"/>
      <c r="D381" s="102"/>
      <c r="E381" s="102"/>
      <c r="F381" s="102"/>
      <c r="G381" s="102">
        <v>1</v>
      </c>
      <c r="H381" s="827">
        <f t="dataTable" ref="H381:N381" dt2D="1" dtr="0" r1="K17" r2="D357" ca="1"/>
        <v>6.9446545512580116E-2</v>
      </c>
      <c r="I381" s="828">
        <v>0.10321628405490069</v>
      </c>
      <c r="J381" s="828">
        <v>0.13212219208450393</v>
      </c>
      <c r="K381" s="828">
        <v>0.15785257614540638</v>
      </c>
      <c r="L381" s="828">
        <v>0.18049937268469307</v>
      </c>
      <c r="M381" s="829">
        <v>0.20153721791656398</v>
      </c>
      <c r="N381" s="830">
        <v>0.22123339206332093</v>
      </c>
      <c r="O381" s="76"/>
      <c r="P381" s="75"/>
    </row>
    <row r="382" spans="2:16" ht="15.75" customHeight="1" thickBot="1">
      <c r="B382" s="111"/>
      <c r="C382" s="102"/>
      <c r="D382" s="102"/>
      <c r="E382" s="102"/>
      <c r="F382" s="102"/>
      <c r="G382" s="102"/>
      <c r="H382" s="958">
        <f>(H381-$J$381)/$J$381</f>
        <v>-0.47437637525599896</v>
      </c>
      <c r="I382" s="959">
        <f>(I381-$J$381)/$J$381</f>
        <v>-0.21878162611104224</v>
      </c>
      <c r="J382" s="938">
        <v>0</v>
      </c>
      <c r="K382" s="960">
        <f>(K381-$J$381)/$J$381</f>
        <v>0.19474687525957463</v>
      </c>
      <c r="L382" s="960">
        <f>(L381-$J$381)/$J$381</f>
        <v>0.3661548437619595</v>
      </c>
      <c r="M382" s="960">
        <f>(M381-$J$381)/$J$381</f>
        <v>0.52538506012421404</v>
      </c>
      <c r="N382" s="961">
        <f>(N381-$J$381)/$J$381</f>
        <v>0.67446050184985151</v>
      </c>
      <c r="O382" s="76"/>
      <c r="P382" s="75"/>
    </row>
    <row r="383" spans="2:16" ht="15.75" customHeight="1">
      <c r="B383" s="111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21"/>
      <c r="N383" s="121"/>
      <c r="O383" s="76"/>
      <c r="P383" s="75"/>
    </row>
    <row r="384" spans="2:16" ht="15.75" customHeight="1" thickBot="1">
      <c r="B384" s="111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21"/>
      <c r="N384" s="121"/>
      <c r="O384" s="76"/>
      <c r="P384" s="75"/>
    </row>
    <row r="385" spans="1:237" ht="15.75" customHeight="1">
      <c r="B385" s="111"/>
      <c r="C385" s="102"/>
      <c r="D385" s="102"/>
      <c r="E385" s="102"/>
      <c r="F385" s="102"/>
      <c r="G385" s="102"/>
      <c r="H385" s="1980" t="s">
        <v>829</v>
      </c>
      <c r="I385" s="1981"/>
      <c r="J385" s="1981"/>
      <c r="K385" s="1981"/>
      <c r="L385" s="1981"/>
      <c r="M385" s="1981"/>
      <c r="N385" s="1982"/>
      <c r="O385" s="76"/>
      <c r="P385" s="75"/>
    </row>
    <row r="386" spans="1:237" ht="15.75" customHeight="1">
      <c r="B386" s="111"/>
      <c r="C386" s="102"/>
      <c r="D386" s="102"/>
      <c r="E386" s="102"/>
      <c r="F386" s="102"/>
      <c r="G386" s="951">
        <f ca="1">F366</f>
        <v>1517.2312809541008</v>
      </c>
      <c r="H386" s="952">
        <v>-0.2</v>
      </c>
      <c r="I386" s="953">
        <v>-0.1</v>
      </c>
      <c r="J386" s="954">
        <v>0</v>
      </c>
      <c r="K386" s="954">
        <v>0.1</v>
      </c>
      <c r="L386" s="954">
        <v>0.2</v>
      </c>
      <c r="M386" s="954">
        <v>0.3</v>
      </c>
      <c r="N386" s="955">
        <v>0.4</v>
      </c>
      <c r="O386" s="76"/>
      <c r="P386" s="75"/>
    </row>
    <row r="387" spans="1:237" ht="15.75" customHeight="1">
      <c r="B387" s="111"/>
      <c r="C387" s="102"/>
      <c r="D387" s="102"/>
      <c r="E387" s="102"/>
      <c r="F387" s="102"/>
      <c r="G387" s="102">
        <v>250</v>
      </c>
      <c r="H387" s="817">
        <f t="dataTable" ref="H387:N387" dt2D="1" dtr="0" r1="D358" r2="K18" ca="1"/>
        <v>1517.2312809541008</v>
      </c>
      <c r="I387" s="818">
        <v>1517.2312809541008</v>
      </c>
      <c r="J387" s="818">
        <v>1517.2312809541008</v>
      </c>
      <c r="K387" s="818">
        <v>1517.2312809541008</v>
      </c>
      <c r="L387" s="818">
        <v>1517.2312809541008</v>
      </c>
      <c r="M387" s="819">
        <v>1517.2312809541008</v>
      </c>
      <c r="N387" s="820">
        <v>1517.2312809541008</v>
      </c>
      <c r="O387" s="76"/>
      <c r="P387" s="75"/>
    </row>
    <row r="388" spans="1:237" ht="15.75" customHeight="1">
      <c r="B388" s="111"/>
      <c r="C388" s="102"/>
      <c r="D388" s="102"/>
      <c r="E388" s="102"/>
      <c r="F388" s="102"/>
      <c r="G388" s="102"/>
      <c r="H388" s="952">
        <f>(H387-$J$371)/$J$371</f>
        <v>16.983843956313923</v>
      </c>
      <c r="I388" s="953">
        <f>(I387-$J$371)/$J$371</f>
        <v>16.983843956313923</v>
      </c>
      <c r="J388" s="818">
        <v>0</v>
      </c>
      <c r="K388" s="953">
        <f>(K387-$J$371)/$J$371</f>
        <v>16.983843956313923</v>
      </c>
      <c r="L388" s="953">
        <f>(L387-$J$371)/$J$371</f>
        <v>16.983843956313923</v>
      </c>
      <c r="M388" s="953">
        <f>(M387-$J$371)/$J$371</f>
        <v>16.983843956313923</v>
      </c>
      <c r="N388" s="957">
        <f>(N387-$J$371)/$J$371</f>
        <v>16.983843956313923</v>
      </c>
      <c r="O388" s="76"/>
      <c r="P388" s="75"/>
    </row>
    <row r="389" spans="1:237" ht="15.75" customHeight="1">
      <c r="B389" s="111"/>
      <c r="C389" s="102"/>
      <c r="D389" s="102"/>
      <c r="E389" s="102"/>
      <c r="F389" s="102"/>
      <c r="G389" s="102"/>
      <c r="H389" s="821"/>
      <c r="I389" s="117"/>
      <c r="J389" s="117"/>
      <c r="K389" s="117"/>
      <c r="L389" s="117"/>
      <c r="M389" s="118"/>
      <c r="N389" s="822"/>
      <c r="O389" s="76"/>
      <c r="P389" s="75"/>
    </row>
    <row r="390" spans="1:237" ht="15.75" customHeight="1">
      <c r="B390" s="111"/>
      <c r="C390" s="102"/>
      <c r="D390" s="102"/>
      <c r="E390" s="102"/>
      <c r="F390" s="102"/>
      <c r="G390" s="102"/>
      <c r="H390" s="1984" t="s">
        <v>830</v>
      </c>
      <c r="I390" s="1985"/>
      <c r="J390" s="1985"/>
      <c r="K390" s="1985"/>
      <c r="L390" s="1985"/>
      <c r="M390" s="1985"/>
      <c r="N390" s="1986"/>
      <c r="O390" s="76"/>
      <c r="P390" s="75"/>
    </row>
    <row r="391" spans="1:237" ht="15.75" customHeight="1">
      <c r="B391" s="111"/>
      <c r="C391" s="102"/>
      <c r="D391" s="102"/>
      <c r="E391" s="102"/>
      <c r="F391" s="102"/>
      <c r="G391" s="962">
        <f ca="1">F363</f>
        <v>3.4145482009711463</v>
      </c>
      <c r="H391" s="952">
        <v>-0.2</v>
      </c>
      <c r="I391" s="953">
        <v>-0.1</v>
      </c>
      <c r="J391" s="954">
        <v>0</v>
      </c>
      <c r="K391" s="954">
        <v>0.1</v>
      </c>
      <c r="L391" s="954">
        <v>0.2</v>
      </c>
      <c r="M391" s="954">
        <v>0.3</v>
      </c>
      <c r="N391" s="955">
        <v>0.4</v>
      </c>
      <c r="O391" s="76"/>
      <c r="P391" s="75"/>
    </row>
    <row r="392" spans="1:237" s="152" customFormat="1" ht="15.75" customHeight="1">
      <c r="A392" s="75"/>
      <c r="B392" s="111"/>
      <c r="C392" s="102"/>
      <c r="D392" s="102"/>
      <c r="E392" s="102"/>
      <c r="F392" s="102"/>
      <c r="G392" s="75">
        <v>250</v>
      </c>
      <c r="H392" s="823">
        <f t="dataTable" ref="H392:N392" dt2D="1" dtr="0" r1="D358" r2="K18" ca="1"/>
        <v>3.4145482009711463</v>
      </c>
      <c r="I392" s="824">
        <v>3.4145482009711463</v>
      </c>
      <c r="J392" s="824">
        <v>3.4145482009711463</v>
      </c>
      <c r="K392" s="824">
        <v>3.4145482009711463</v>
      </c>
      <c r="L392" s="824">
        <v>3.4145482009711463</v>
      </c>
      <c r="M392" s="825">
        <v>3.4145482009711463</v>
      </c>
      <c r="N392" s="826">
        <v>3.4145482009711463</v>
      </c>
      <c r="O392" s="76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  <c r="CQ392" s="75"/>
      <c r="CR392" s="75"/>
      <c r="CS392" s="75"/>
      <c r="CT392" s="75"/>
      <c r="CU392" s="75"/>
      <c r="CV392" s="75"/>
      <c r="CW392" s="75"/>
      <c r="CX392" s="75"/>
      <c r="CY392" s="75"/>
      <c r="CZ392" s="75"/>
      <c r="DA392" s="75"/>
      <c r="DB392" s="75"/>
      <c r="DC392" s="75"/>
      <c r="DD392" s="75"/>
      <c r="DE392" s="75"/>
      <c r="DF392" s="75"/>
      <c r="DG392" s="75"/>
      <c r="DH392" s="75"/>
      <c r="DI392" s="75"/>
      <c r="DJ392" s="75"/>
      <c r="DK392" s="75"/>
      <c r="DL392" s="75"/>
      <c r="DM392" s="75"/>
      <c r="DN392" s="75"/>
      <c r="DO392" s="75"/>
      <c r="DP392" s="75"/>
      <c r="DQ392" s="75"/>
      <c r="DR392" s="75"/>
      <c r="DS392" s="75"/>
      <c r="DT392" s="75"/>
      <c r="DU392" s="75"/>
      <c r="DV392" s="75"/>
      <c r="DW392" s="75"/>
      <c r="DX392" s="75"/>
      <c r="DY392" s="75"/>
      <c r="DZ392" s="75"/>
      <c r="EA392" s="75"/>
      <c r="EB392" s="75"/>
      <c r="EC392" s="75"/>
      <c r="ED392" s="75"/>
      <c r="EE392" s="75"/>
      <c r="EF392" s="75"/>
      <c r="EG392" s="75"/>
      <c r="EH392" s="75"/>
      <c r="EI392" s="75"/>
      <c r="EJ392" s="75"/>
      <c r="EK392" s="75"/>
      <c r="EL392" s="75"/>
      <c r="EM392" s="75"/>
      <c r="EN392" s="75"/>
      <c r="EO392" s="75"/>
      <c r="EP392" s="75"/>
      <c r="EQ392" s="75"/>
      <c r="ER392" s="75"/>
      <c r="ES392" s="75"/>
      <c r="ET392" s="75"/>
      <c r="EU392" s="75"/>
      <c r="EV392" s="75"/>
      <c r="EW392" s="75"/>
      <c r="EX392" s="75"/>
      <c r="EY392" s="75"/>
      <c r="EZ392" s="75"/>
      <c r="FA392" s="75"/>
      <c r="FB392" s="75"/>
      <c r="FC392" s="75"/>
      <c r="FD392" s="75"/>
      <c r="FE392" s="75"/>
      <c r="FF392" s="75"/>
      <c r="FG392" s="75"/>
      <c r="FH392" s="75"/>
      <c r="FI392" s="75"/>
      <c r="FJ392" s="75"/>
      <c r="FK392" s="75"/>
      <c r="FL392" s="75"/>
      <c r="FM392" s="75"/>
      <c r="FN392" s="75"/>
      <c r="FO392" s="75"/>
      <c r="FP392" s="75"/>
      <c r="FQ392" s="75"/>
      <c r="FR392" s="75"/>
      <c r="FS392" s="75"/>
      <c r="FT392" s="75"/>
      <c r="FU392" s="75"/>
      <c r="FV392" s="75"/>
      <c r="FW392" s="75"/>
      <c r="FX392" s="75"/>
      <c r="FY392" s="75"/>
      <c r="FZ392" s="75"/>
      <c r="GA392" s="75"/>
      <c r="GB392" s="75"/>
      <c r="GC392" s="75"/>
      <c r="GD392" s="75"/>
      <c r="GE392" s="75"/>
      <c r="GF392" s="75"/>
      <c r="GG392" s="75"/>
      <c r="GH392" s="75"/>
      <c r="GI392" s="75"/>
      <c r="GJ392" s="75"/>
      <c r="GK392" s="75"/>
      <c r="GL392" s="75"/>
      <c r="GM392" s="75"/>
      <c r="GN392" s="75"/>
      <c r="GO392" s="75"/>
      <c r="GP392" s="75"/>
      <c r="GQ392" s="75"/>
      <c r="GR392" s="75"/>
      <c r="GS392" s="75"/>
      <c r="GT392" s="75"/>
      <c r="GU392" s="75"/>
      <c r="GV392" s="75"/>
      <c r="GW392" s="75"/>
      <c r="GX392" s="75"/>
      <c r="GY392" s="75"/>
      <c r="GZ392" s="75"/>
      <c r="HA392" s="75"/>
      <c r="HB392" s="75"/>
      <c r="HC392" s="75"/>
      <c r="HD392" s="75"/>
      <c r="HE392" s="75"/>
      <c r="HF392" s="75"/>
      <c r="HG392" s="75"/>
      <c r="HH392" s="75"/>
      <c r="HI392" s="75"/>
      <c r="HJ392" s="75"/>
      <c r="HK392" s="75"/>
      <c r="HL392" s="75"/>
      <c r="HM392" s="75"/>
      <c r="HN392" s="75"/>
      <c r="HO392" s="75"/>
      <c r="HP392" s="75"/>
      <c r="HQ392" s="75"/>
      <c r="HR392" s="75"/>
      <c r="HS392" s="75"/>
      <c r="HT392" s="75"/>
      <c r="HU392" s="75"/>
      <c r="HV392" s="75"/>
      <c r="HW392" s="75"/>
      <c r="HX392" s="75"/>
      <c r="HY392" s="75"/>
      <c r="HZ392" s="75"/>
      <c r="IA392" s="75"/>
      <c r="IB392" s="75"/>
      <c r="IC392" s="75"/>
    </row>
    <row r="393" spans="1:237" s="152" customFormat="1" ht="15.75" customHeight="1" thickBot="1">
      <c r="A393" s="75"/>
      <c r="B393" s="111"/>
      <c r="C393" s="102"/>
      <c r="D393" s="102"/>
      <c r="E393" s="102"/>
      <c r="F393" s="102"/>
      <c r="G393" s="102"/>
      <c r="H393" s="958">
        <f>(H392-$J$376)/$J$376</f>
        <v>-0.41357911458142665</v>
      </c>
      <c r="I393" s="959">
        <f>(I392-$J$376)/$J$376</f>
        <v>-0.41357911458142665</v>
      </c>
      <c r="J393" s="938">
        <v>0</v>
      </c>
      <c r="K393" s="959">
        <f>(K392-$J$376)/$J$376</f>
        <v>-0.41357911458142665</v>
      </c>
      <c r="L393" s="959">
        <f>(L392-$J$376)/$J$376</f>
        <v>-0.41357911458142665</v>
      </c>
      <c r="M393" s="959">
        <f>(M392-$J$376)/$J$376</f>
        <v>-0.41357911458142665</v>
      </c>
      <c r="N393" s="963">
        <f>(N392-$J$376)/$J$376</f>
        <v>-0.41357911458142665</v>
      </c>
      <c r="O393" s="76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</row>
    <row r="394" spans="1:237" s="152" customFormat="1" ht="15.75" customHeight="1">
      <c r="A394" s="75"/>
      <c r="B394" s="111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21"/>
      <c r="N394" s="121"/>
      <c r="O394" s="76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</row>
    <row r="395" spans="1:237" s="152" customFormat="1" ht="15.75" customHeight="1" thickBot="1">
      <c r="A395" s="75"/>
      <c r="B395" s="111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21"/>
      <c r="N395" s="121"/>
      <c r="O395" s="76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  <c r="BE395" s="75"/>
      <c r="BF395" s="75"/>
      <c r="BG395" s="75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/>
      <c r="CM395" s="75"/>
      <c r="CN395" s="75"/>
      <c r="CO395" s="75"/>
      <c r="CP395" s="75"/>
      <c r="CQ395" s="75"/>
      <c r="CR395" s="75"/>
      <c r="CS395" s="75"/>
      <c r="CT395" s="75"/>
      <c r="CU395" s="75"/>
      <c r="CV395" s="75"/>
      <c r="CW395" s="75"/>
      <c r="CX395" s="75"/>
      <c r="CY395" s="75"/>
      <c r="CZ395" s="75"/>
      <c r="DA395" s="75"/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/>
      <c r="ER395" s="75"/>
      <c r="ES395" s="75"/>
      <c r="ET395" s="75"/>
      <c r="EU395" s="75"/>
      <c r="EV395" s="75"/>
      <c r="EW395" s="75"/>
      <c r="EX395" s="75"/>
      <c r="EY395" s="75"/>
      <c r="EZ395" s="75"/>
      <c r="FA395" s="75"/>
      <c r="FB395" s="75"/>
      <c r="FC395" s="75"/>
      <c r="FD395" s="75"/>
      <c r="FE395" s="75"/>
      <c r="FF395" s="75"/>
      <c r="FG395" s="75"/>
      <c r="FH395" s="75"/>
      <c r="FI395" s="75"/>
      <c r="FJ395" s="75"/>
      <c r="FK395" s="75"/>
      <c r="FL395" s="75"/>
      <c r="FM395" s="75"/>
      <c r="FN395" s="75"/>
      <c r="FO395" s="75"/>
      <c r="FP395" s="75"/>
      <c r="FQ395" s="75"/>
      <c r="FR395" s="75"/>
      <c r="FS395" s="75"/>
      <c r="FT395" s="75"/>
      <c r="FU395" s="75"/>
      <c r="FV395" s="75"/>
      <c r="FW395" s="75"/>
      <c r="FX395" s="75"/>
      <c r="FY395" s="75"/>
      <c r="FZ395" s="75"/>
      <c r="GA395" s="75"/>
      <c r="GB395" s="75"/>
      <c r="GC395" s="75"/>
      <c r="GD395" s="75"/>
      <c r="GE395" s="75"/>
      <c r="GF395" s="75"/>
      <c r="GG395" s="75"/>
      <c r="GH395" s="75"/>
      <c r="GI395" s="75"/>
      <c r="GJ395" s="75"/>
      <c r="GK395" s="75"/>
      <c r="GL395" s="75"/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/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/>
      <c r="HQ395" s="75"/>
      <c r="HR395" s="75"/>
      <c r="HS395" s="75"/>
      <c r="HT395" s="75"/>
      <c r="HU395" s="75"/>
      <c r="HV395" s="75"/>
      <c r="HW395" s="75"/>
      <c r="HX395" s="75"/>
      <c r="HY395" s="75"/>
      <c r="HZ395" s="75"/>
      <c r="IA395" s="75"/>
      <c r="IB395" s="75"/>
      <c r="IC395" s="75"/>
    </row>
    <row r="396" spans="1:237" s="152" customFormat="1" ht="15.75" customHeight="1">
      <c r="A396" s="75"/>
      <c r="B396" s="111"/>
      <c r="C396" s="102"/>
      <c r="D396" s="102"/>
      <c r="E396" s="102"/>
      <c r="F396" s="102"/>
      <c r="G396" s="102"/>
      <c r="H396" s="1980" t="s">
        <v>831</v>
      </c>
      <c r="I396" s="1981"/>
      <c r="J396" s="1981"/>
      <c r="K396" s="1981"/>
      <c r="L396" s="1981"/>
      <c r="M396" s="1981"/>
      <c r="N396" s="1982"/>
      <c r="O396" s="76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</row>
    <row r="397" spans="1:237" s="152" customFormat="1" ht="15.75" customHeight="1">
      <c r="A397" s="75"/>
      <c r="B397" s="111"/>
      <c r="C397" s="102"/>
      <c r="D397" s="102"/>
      <c r="E397" s="102"/>
      <c r="F397" s="102"/>
      <c r="G397" s="951">
        <f ca="1">F366</f>
        <v>1517.2312809541008</v>
      </c>
      <c r="H397" s="952">
        <v>-0.2</v>
      </c>
      <c r="I397" s="953">
        <v>-0.1</v>
      </c>
      <c r="J397" s="954">
        <v>0</v>
      </c>
      <c r="K397" s="954">
        <v>0.1</v>
      </c>
      <c r="L397" s="954">
        <v>0.2</v>
      </c>
      <c r="M397" s="954">
        <v>0.3</v>
      </c>
      <c r="N397" s="955">
        <v>0.4</v>
      </c>
      <c r="O397" s="76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</row>
    <row r="398" spans="1:237" s="152" customFormat="1" ht="15.75" customHeight="1">
      <c r="A398" s="75"/>
      <c r="B398" s="111"/>
      <c r="C398" s="102"/>
      <c r="D398" s="102"/>
      <c r="E398" s="102"/>
      <c r="F398" s="102"/>
      <c r="G398" s="951">
        <v>250</v>
      </c>
      <c r="H398" s="817">
        <f t="dataTable" ref="H398:N398" dt2D="1" dtr="0" r1="D131" r2="K18" ca="1"/>
        <v>1606.7835445997468</v>
      </c>
      <c r="I398" s="818">
        <v>1562.0074127769237</v>
      </c>
      <c r="J398" s="818">
        <v>1517.2312809541008</v>
      </c>
      <c r="K398" s="818">
        <v>1472.4551491312775</v>
      </c>
      <c r="L398" s="818">
        <v>1427.6790173084544</v>
      </c>
      <c r="M398" s="819">
        <v>1382.9028854856317</v>
      </c>
      <c r="N398" s="820">
        <v>1338.1267536628084</v>
      </c>
      <c r="O398" s="76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</row>
    <row r="399" spans="1:237" s="152" customFormat="1" ht="15.75" customHeight="1">
      <c r="A399" s="75"/>
      <c r="B399" s="111"/>
      <c r="C399" s="102"/>
      <c r="D399" s="102"/>
      <c r="E399" s="102"/>
      <c r="F399" s="102"/>
      <c r="G399" s="102"/>
      <c r="H399" s="952">
        <f>(H398-$J$371)/$J$371</f>
        <v>18.045312933097232</v>
      </c>
      <c r="I399" s="953">
        <f>(I398-$J$371)/$J$371</f>
        <v>17.514578444705574</v>
      </c>
      <c r="J399" s="818">
        <v>0</v>
      </c>
      <c r="K399" s="953">
        <f>(K398-$J$371)/$J$371</f>
        <v>16.45310946792226</v>
      </c>
      <c r="L399" s="953">
        <f>(L398-$J$371)/$J$371</f>
        <v>15.922374979530604</v>
      </c>
      <c r="M399" s="953">
        <f>(M398-$J$371)/$J$371</f>
        <v>15.391640491138952</v>
      </c>
      <c r="N399" s="957">
        <f>(N398-$J$371)/$J$371</f>
        <v>14.860906002747294</v>
      </c>
      <c r="O399" s="76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  <c r="BE399" s="75"/>
      <c r="BF399" s="75"/>
      <c r="BG399" s="75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75"/>
      <c r="CM399" s="75"/>
      <c r="CN399" s="75"/>
      <c r="CO399" s="75"/>
      <c r="CP399" s="75"/>
      <c r="CQ399" s="75"/>
      <c r="CR399" s="75"/>
      <c r="CS399" s="75"/>
      <c r="CT399" s="75"/>
      <c r="CU399" s="75"/>
      <c r="CV399" s="75"/>
      <c r="CW399" s="75"/>
      <c r="CX399" s="75"/>
      <c r="CY399" s="75"/>
      <c r="CZ399" s="75"/>
      <c r="DA399" s="75"/>
      <c r="DB399" s="75"/>
      <c r="DC399" s="75"/>
      <c r="DD399" s="75"/>
      <c r="DE399" s="75"/>
      <c r="DF399" s="75"/>
      <c r="DG399" s="75"/>
      <c r="DH399" s="75"/>
      <c r="DI399" s="75"/>
      <c r="DJ399" s="75"/>
      <c r="DK399" s="75"/>
      <c r="DL399" s="75"/>
      <c r="DM399" s="75"/>
      <c r="DN399" s="75"/>
      <c r="DO399" s="75"/>
      <c r="DP399" s="75"/>
      <c r="DQ399" s="75"/>
      <c r="DR399" s="75"/>
      <c r="DS399" s="75"/>
      <c r="DT399" s="75"/>
      <c r="DU399" s="75"/>
      <c r="DV399" s="75"/>
      <c r="DW399" s="75"/>
      <c r="DX399" s="75"/>
      <c r="DY399" s="75"/>
      <c r="DZ399" s="75"/>
      <c r="EA399" s="75"/>
      <c r="EB399" s="75"/>
      <c r="EC399" s="75"/>
      <c r="ED399" s="75"/>
      <c r="EE399" s="75"/>
      <c r="EF399" s="75"/>
      <c r="EG399" s="75"/>
      <c r="EH399" s="75"/>
      <c r="EI399" s="75"/>
      <c r="EJ399" s="75"/>
      <c r="EK399" s="75"/>
      <c r="EL399" s="75"/>
      <c r="EM399" s="75"/>
      <c r="EN399" s="75"/>
      <c r="EO399" s="75"/>
      <c r="EP399" s="75"/>
      <c r="EQ399" s="75"/>
      <c r="ER399" s="75"/>
      <c r="ES399" s="75"/>
      <c r="ET399" s="75"/>
      <c r="EU399" s="75"/>
      <c r="EV399" s="75"/>
      <c r="EW399" s="75"/>
      <c r="EX399" s="75"/>
      <c r="EY399" s="75"/>
      <c r="EZ399" s="75"/>
      <c r="FA399" s="75"/>
      <c r="FB399" s="75"/>
      <c r="FC399" s="75"/>
      <c r="FD399" s="75"/>
      <c r="FE399" s="75"/>
      <c r="FF399" s="75"/>
      <c r="FG399" s="75"/>
      <c r="FH399" s="75"/>
      <c r="FI399" s="75"/>
      <c r="FJ399" s="75"/>
      <c r="FK399" s="75"/>
      <c r="FL399" s="75"/>
      <c r="FM399" s="75"/>
      <c r="FN399" s="75"/>
      <c r="FO399" s="75"/>
      <c r="FP399" s="75"/>
      <c r="FQ399" s="75"/>
      <c r="FR399" s="75"/>
      <c r="FS399" s="75"/>
      <c r="FT399" s="75"/>
      <c r="FU399" s="75"/>
      <c r="FV399" s="75"/>
      <c r="FW399" s="75"/>
      <c r="FX399" s="75"/>
      <c r="FY399" s="75"/>
      <c r="FZ399" s="75"/>
      <c r="GA399" s="75"/>
      <c r="GB399" s="75"/>
      <c r="GC399" s="75"/>
      <c r="GD399" s="75"/>
      <c r="GE399" s="75"/>
      <c r="GF399" s="75"/>
      <c r="GG399" s="75"/>
      <c r="GH399" s="75"/>
      <c r="GI399" s="75"/>
      <c r="GJ399" s="75"/>
      <c r="GK399" s="75"/>
      <c r="GL399" s="75"/>
      <c r="GM399" s="75"/>
      <c r="GN399" s="75"/>
      <c r="GO399" s="75"/>
      <c r="GP399" s="75"/>
      <c r="GQ399" s="75"/>
      <c r="GR399" s="75"/>
      <c r="GS399" s="75"/>
      <c r="GT399" s="75"/>
      <c r="GU399" s="75"/>
      <c r="GV399" s="75"/>
      <c r="GW399" s="75"/>
      <c r="GX399" s="75"/>
      <c r="GY399" s="75"/>
      <c r="GZ399" s="75"/>
      <c r="HA399" s="75"/>
      <c r="HB399" s="75"/>
      <c r="HC399" s="75"/>
      <c r="HD399" s="75"/>
      <c r="HE399" s="75"/>
      <c r="HF399" s="75"/>
      <c r="HG399" s="75"/>
      <c r="HH399" s="75"/>
      <c r="HI399" s="75"/>
      <c r="HJ399" s="75"/>
      <c r="HK399" s="75"/>
      <c r="HL399" s="75"/>
      <c r="HM399" s="75"/>
      <c r="HN399" s="75"/>
      <c r="HO399" s="75"/>
      <c r="HP399" s="75"/>
      <c r="HQ399" s="75"/>
      <c r="HR399" s="75"/>
      <c r="HS399" s="75"/>
      <c r="HT399" s="75"/>
      <c r="HU399" s="75"/>
      <c r="HV399" s="75"/>
      <c r="HW399" s="75"/>
      <c r="HX399" s="75"/>
      <c r="HY399" s="75"/>
      <c r="HZ399" s="75"/>
      <c r="IA399" s="75"/>
      <c r="IB399" s="75"/>
      <c r="IC399" s="75"/>
    </row>
    <row r="400" spans="1:237" s="152" customFormat="1" ht="15.75" customHeight="1">
      <c r="A400" s="75"/>
      <c r="B400" s="111"/>
      <c r="C400" s="102"/>
      <c r="D400" s="102"/>
      <c r="E400" s="102"/>
      <c r="F400" s="102"/>
      <c r="G400" s="102"/>
      <c r="H400" s="821"/>
      <c r="I400" s="117"/>
      <c r="J400" s="117"/>
      <c r="K400" s="117"/>
      <c r="L400" s="117"/>
      <c r="M400" s="118"/>
      <c r="N400" s="822"/>
      <c r="O400" s="76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</row>
    <row r="401" spans="1:237" s="152" customFormat="1" ht="15.75" customHeight="1">
      <c r="A401" s="75"/>
      <c r="B401" s="111"/>
      <c r="C401" s="102"/>
      <c r="D401" s="102"/>
      <c r="E401" s="102"/>
      <c r="F401" s="102"/>
      <c r="G401" s="102"/>
      <c r="H401" s="1984" t="s">
        <v>832</v>
      </c>
      <c r="I401" s="1985"/>
      <c r="J401" s="1985"/>
      <c r="K401" s="1985"/>
      <c r="L401" s="1985"/>
      <c r="M401" s="1985"/>
      <c r="N401" s="1986"/>
      <c r="O401" s="76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</row>
    <row r="402" spans="1:237" s="152" customFormat="1" ht="15.75" customHeight="1">
      <c r="A402" s="75"/>
      <c r="B402" s="111"/>
      <c r="C402" s="102"/>
      <c r="D402" s="102"/>
      <c r="E402" s="102"/>
      <c r="F402" s="102"/>
      <c r="G402" s="962">
        <f ca="1">F363</f>
        <v>3.4145482009711463</v>
      </c>
      <c r="H402" s="952">
        <v>-0.2</v>
      </c>
      <c r="I402" s="953">
        <v>-0.1</v>
      </c>
      <c r="J402" s="954">
        <v>0</v>
      </c>
      <c r="K402" s="954">
        <v>0.1</v>
      </c>
      <c r="L402" s="954">
        <v>0.2</v>
      </c>
      <c r="M402" s="954">
        <v>0.3</v>
      </c>
      <c r="N402" s="955">
        <v>0.4</v>
      </c>
      <c r="O402" s="76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</row>
    <row r="403" spans="1:237" s="152" customFormat="1" ht="15.75" customHeight="1">
      <c r="A403" s="75"/>
      <c r="B403" s="111"/>
      <c r="C403" s="102"/>
      <c r="D403" s="102"/>
      <c r="E403" s="102"/>
      <c r="F403" s="102"/>
      <c r="G403" s="102">
        <v>250</v>
      </c>
      <c r="H403" s="823">
        <f t="dataTable" ref="H403:N403" dt2D="1" dtr="0" r1="D131" r2="K18" ca="1"/>
        <v>3.3097363041240926</v>
      </c>
      <c r="I403" s="824">
        <v>3.361586325834546</v>
      </c>
      <c r="J403" s="824">
        <v>3.4145482009711463</v>
      </c>
      <c r="K403" s="824">
        <v>3.4686580804214757</v>
      </c>
      <c r="L403" s="824">
        <v>3.5239536994617353</v>
      </c>
      <c r="M403" s="825">
        <v>3.5804744655172702</v>
      </c>
      <c r="N403" s="826">
        <v>3.6382615518217887</v>
      </c>
      <c r="O403" s="76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75"/>
      <c r="CM403" s="75"/>
      <c r="CN403" s="75"/>
      <c r="CO403" s="75"/>
      <c r="CP403" s="75"/>
      <c r="CQ403" s="75"/>
      <c r="CR403" s="75"/>
      <c r="CS403" s="75"/>
      <c r="CT403" s="75"/>
      <c r="CU403" s="75"/>
      <c r="CV403" s="75"/>
      <c r="CW403" s="75"/>
      <c r="CX403" s="75"/>
      <c r="CY403" s="75"/>
      <c r="CZ403" s="75"/>
      <c r="DA403" s="75"/>
      <c r="DB403" s="75"/>
      <c r="DC403" s="75"/>
      <c r="DD403" s="75"/>
      <c r="DE403" s="75"/>
      <c r="DF403" s="75"/>
      <c r="DG403" s="75"/>
      <c r="DH403" s="75"/>
      <c r="DI403" s="75"/>
      <c r="DJ403" s="75"/>
      <c r="DK403" s="75"/>
      <c r="DL403" s="75"/>
      <c r="DM403" s="75"/>
      <c r="DN403" s="75"/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/>
      <c r="EE403" s="75"/>
      <c r="EF403" s="75"/>
      <c r="EG403" s="75"/>
      <c r="EH403" s="75"/>
      <c r="EI403" s="75"/>
      <c r="EJ403" s="75"/>
      <c r="EK403" s="75"/>
      <c r="EL403" s="75"/>
      <c r="EM403" s="75"/>
      <c r="EN403" s="75"/>
      <c r="EO403" s="75"/>
      <c r="EP403" s="75"/>
      <c r="EQ403" s="75"/>
      <c r="ER403" s="75"/>
      <c r="ES403" s="75"/>
      <c r="ET403" s="75"/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/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/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/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</row>
    <row r="404" spans="1:237" s="152" customFormat="1" ht="15.75" customHeight="1" thickBot="1">
      <c r="A404" s="75"/>
      <c r="B404" s="111"/>
      <c r="C404" s="102"/>
      <c r="D404" s="102"/>
      <c r="E404" s="102"/>
      <c r="F404" s="102"/>
      <c r="G404" s="102"/>
      <c r="H404" s="958">
        <f>(H403-$J$376)/$J$376</f>
        <v>-0.43157970550410518</v>
      </c>
      <c r="I404" s="959">
        <f>(I403-$J$376)/$J$376</f>
        <v>-0.4226748859347787</v>
      </c>
      <c r="J404" s="938">
        <v>0</v>
      </c>
      <c r="K404" s="959">
        <f>(K403-$J$376)/$J$376</f>
        <v>-0.40428618282309636</v>
      </c>
      <c r="L404" s="959">
        <f>(L403-$J$376)/$J$376</f>
        <v>-0.39478960993297441</v>
      </c>
      <c r="M404" s="959">
        <f>(M403-$J$376)/$J$376</f>
        <v>-0.3850826280062305</v>
      </c>
      <c r="N404" s="963">
        <f>(N403-$J$376)/$J$376</f>
        <v>-0.37515816587480794</v>
      </c>
      <c r="O404" s="76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</row>
    <row r="405" spans="1:237" s="152" customFormat="1" ht="15.75" customHeight="1">
      <c r="A405" s="75"/>
      <c r="B405" s="111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21"/>
      <c r="N405" s="121"/>
      <c r="O405" s="76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</row>
    <row r="406" spans="1:237" s="152" customFormat="1" ht="15.75" customHeight="1" thickBot="1">
      <c r="A406" s="75"/>
      <c r="B406" s="111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21"/>
      <c r="N406" s="121"/>
      <c r="O406" s="76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</row>
    <row r="407" spans="1:237" s="152" customFormat="1" ht="15.75" customHeight="1">
      <c r="A407" s="75"/>
      <c r="B407" s="111"/>
      <c r="C407" s="102"/>
      <c r="D407" s="102"/>
      <c r="E407" s="102"/>
      <c r="F407" s="102"/>
      <c r="G407" s="102"/>
      <c r="H407" s="1980" t="s">
        <v>833</v>
      </c>
      <c r="I407" s="1981"/>
      <c r="J407" s="1981"/>
      <c r="K407" s="1981"/>
      <c r="L407" s="1981"/>
      <c r="M407" s="1981"/>
      <c r="N407" s="1982"/>
      <c r="O407" s="76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</row>
    <row r="408" spans="1:237" ht="15.75" customHeight="1">
      <c r="B408" s="111"/>
      <c r="C408" s="102"/>
      <c r="D408" s="102"/>
      <c r="E408" s="102"/>
      <c r="F408" s="102"/>
      <c r="G408" s="951">
        <f ca="1">F366</f>
        <v>1517.2312809541008</v>
      </c>
      <c r="H408" s="952">
        <v>-0.2</v>
      </c>
      <c r="I408" s="953">
        <v>-0.1</v>
      </c>
      <c r="J408" s="954">
        <v>0</v>
      </c>
      <c r="K408" s="954">
        <v>0.1</v>
      </c>
      <c r="L408" s="954">
        <v>0.2</v>
      </c>
      <c r="M408" s="954">
        <v>0.3</v>
      </c>
      <c r="N408" s="955">
        <v>0.4</v>
      </c>
      <c r="O408" s="76"/>
    </row>
    <row r="409" spans="1:237" ht="15.75" customHeight="1">
      <c r="B409" s="111"/>
      <c r="C409" s="102"/>
      <c r="D409" s="102"/>
      <c r="E409" s="102"/>
      <c r="F409" s="102"/>
      <c r="G409" s="951">
        <v>250</v>
      </c>
      <c r="H409" s="817">
        <f t="dataTable" ref="H409:N409" dt2D="1" dtr="0" r1="C368" r2="K18" ca="1"/>
        <v>733.92802423404066</v>
      </c>
      <c r="I409" s="818">
        <v>1125.8922539961709</v>
      </c>
      <c r="J409" s="818">
        <v>1517.2312809541008</v>
      </c>
      <c r="K409" s="818">
        <v>1908.570307912031</v>
      </c>
      <c r="L409" s="818">
        <v>2305.2659553795952</v>
      </c>
      <c r="M409" s="819">
        <v>2699.0103702581628</v>
      </c>
      <c r="N409" s="820">
        <v>3092.7547851367326</v>
      </c>
      <c r="O409" s="76"/>
    </row>
    <row r="410" spans="1:237" ht="15.75" customHeight="1">
      <c r="B410" s="111"/>
      <c r="C410" s="102"/>
      <c r="D410" s="102"/>
      <c r="E410" s="102"/>
      <c r="F410" s="102"/>
      <c r="G410" s="102"/>
      <c r="H410" s="952">
        <f>(H409-$J$371)/$J$371</f>
        <v>7.6992980099189374</v>
      </c>
      <c r="I410" s="953">
        <f>(I409-$J$371)/$J$371</f>
        <v>12.345276268465119</v>
      </c>
      <c r="J410" s="818">
        <v>0</v>
      </c>
      <c r="K410" s="953">
        <f>(K409-$J$371)/$J$371</f>
        <v>21.622411644162725</v>
      </c>
      <c r="L410" s="953">
        <f>(L409-$J$371)/$J$371</f>
        <v>26.324471713553962</v>
      </c>
      <c r="M410" s="953">
        <f>(M409-$J$371)/$J$371</f>
        <v>30.991550625473984</v>
      </c>
      <c r="N410" s="957">
        <f>(N409-$J$371)/$J$371</f>
        <v>35.658629537394035</v>
      </c>
      <c r="O410" s="76"/>
    </row>
    <row r="411" spans="1:237" ht="15.75" customHeight="1">
      <c r="B411" s="111"/>
      <c r="C411" s="102"/>
      <c r="D411" s="102"/>
      <c r="E411" s="102"/>
      <c r="F411" s="102"/>
      <c r="G411" s="102"/>
      <c r="H411" s="821"/>
      <c r="I411" s="117"/>
      <c r="J411" s="117"/>
      <c r="K411" s="117"/>
      <c r="L411" s="117"/>
      <c r="M411" s="118"/>
      <c r="N411" s="822"/>
      <c r="O411" s="76"/>
    </row>
    <row r="412" spans="1:237" ht="15.75" customHeight="1">
      <c r="B412" s="111"/>
      <c r="C412" s="102"/>
      <c r="D412" s="102"/>
      <c r="E412" s="102"/>
      <c r="F412" s="102"/>
      <c r="G412" s="102"/>
      <c r="H412" s="1984" t="s">
        <v>834</v>
      </c>
      <c r="I412" s="1985"/>
      <c r="J412" s="1985"/>
      <c r="K412" s="1985"/>
      <c r="L412" s="1985"/>
      <c r="M412" s="1985"/>
      <c r="N412" s="1986"/>
      <c r="O412" s="76"/>
    </row>
    <row r="413" spans="1:237" ht="15.75" customHeight="1">
      <c r="B413" s="111"/>
      <c r="C413" s="102"/>
      <c r="D413" s="102"/>
      <c r="E413" s="102"/>
      <c r="F413" s="102"/>
      <c r="G413" s="962">
        <f ca="1">F363</f>
        <v>3.4145482009711463</v>
      </c>
      <c r="H413" s="952">
        <v>-0.2</v>
      </c>
      <c r="I413" s="953">
        <v>-0.1</v>
      </c>
      <c r="J413" s="954">
        <v>0</v>
      </c>
      <c r="K413" s="954">
        <v>0.1</v>
      </c>
      <c r="L413" s="954">
        <v>0.2</v>
      </c>
      <c r="M413" s="954">
        <v>0.3</v>
      </c>
      <c r="N413" s="955">
        <v>0.4</v>
      </c>
      <c r="O413" s="76"/>
    </row>
    <row r="414" spans="1:237" ht="15.75" customHeight="1">
      <c r="B414" s="111"/>
      <c r="C414" s="102"/>
      <c r="D414" s="102"/>
      <c r="E414" s="102"/>
      <c r="F414" s="102"/>
      <c r="G414" s="102">
        <v>250</v>
      </c>
      <c r="H414" s="823">
        <f t="dataTable" ref="H414:N414" dt2D="1" dtr="0" r1="C368" r2="K18" ca="1"/>
        <v>4.3585217891908403</v>
      </c>
      <c r="I414" s="824">
        <v>3.8278925206657881</v>
      </c>
      <c r="J414" s="824">
        <v>3.4145482009711463</v>
      </c>
      <c r="K414" s="824">
        <v>3.0845850888009747</v>
      </c>
      <c r="L414" s="824">
        <v>2.8271161995978646</v>
      </c>
      <c r="M414" s="825">
        <v>2.6172945610399068</v>
      </c>
      <c r="N414" s="826">
        <v>2.4398370446724607</v>
      </c>
      <c r="O414" s="76"/>
    </row>
    <row r="415" spans="1:237" ht="15.75" customHeight="1" thickBot="1">
      <c r="B415" s="111"/>
      <c r="C415" s="102"/>
      <c r="D415" s="102"/>
      <c r="E415" s="102"/>
      <c r="F415" s="102"/>
      <c r="G415" s="102"/>
      <c r="H415" s="958">
        <f>(H414-$J$376)/$J$376</f>
        <v>-0.25145932747222766</v>
      </c>
      <c r="I415" s="959">
        <f>(I414-$J$376)/$J$376</f>
        <v>-0.34259058910999551</v>
      </c>
      <c r="J415" s="938">
        <v>0</v>
      </c>
      <c r="K415" s="959">
        <f>(K414-$J$376)/$J$376</f>
        <v>-0.47024759574073982</v>
      </c>
      <c r="L415" s="959">
        <f>(L414-$J$376)/$J$376</f>
        <v>-0.51446578364954776</v>
      </c>
      <c r="M415" s="959">
        <f>(M414-$J$376)/$J$376</f>
        <v>-0.55050094374133918</v>
      </c>
      <c r="N415" s="963">
        <f>(N414-$J$376)/$J$376</f>
        <v>-0.58097782904135664</v>
      </c>
      <c r="O415" s="76"/>
    </row>
    <row r="416" spans="1:237" ht="15.75" customHeight="1">
      <c r="B416" s="111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21"/>
      <c r="N416" s="121"/>
      <c r="O416" s="76"/>
    </row>
    <row r="417" spans="2:35" ht="15.75" customHeight="1">
      <c r="B417" s="111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21"/>
      <c r="N417" s="121"/>
      <c r="O417" s="76"/>
    </row>
    <row r="418" spans="2:35" ht="15.75" customHeight="1">
      <c r="B418" s="111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21"/>
      <c r="N418" s="121"/>
      <c r="O418" s="76"/>
    </row>
    <row r="419" spans="2:35" ht="15.75" customHeight="1">
      <c r="B419" s="111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21"/>
      <c r="N419" s="121"/>
      <c r="O419" s="76"/>
    </row>
    <row r="420" spans="2:35" ht="15.75" customHeight="1">
      <c r="B420" s="111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21"/>
      <c r="N420" s="121"/>
      <c r="O420" s="76"/>
    </row>
    <row r="421" spans="2:35" ht="15.75" customHeight="1">
      <c r="B421" s="111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21"/>
      <c r="N421" s="121"/>
      <c r="O421" s="76"/>
    </row>
    <row r="422" spans="2:35" ht="27">
      <c r="B422" s="111"/>
      <c r="C422" s="499" t="s">
        <v>835</v>
      </c>
      <c r="K422" s="102"/>
      <c r="L422" s="102"/>
      <c r="M422" s="103"/>
      <c r="N422" s="137"/>
      <c r="O422" s="137"/>
      <c r="P422" s="137"/>
    </row>
    <row r="423" spans="2:35" ht="3" customHeight="1">
      <c r="B423" s="111"/>
      <c r="C423" s="104"/>
      <c r="D423" s="104"/>
      <c r="E423" s="104"/>
      <c r="F423" s="104"/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</row>
    <row r="424" spans="2:35" ht="15.75" customHeight="1">
      <c r="B424" s="111"/>
      <c r="C424" s="75"/>
      <c r="K424" s="102"/>
      <c r="L424" s="102"/>
      <c r="M424" s="103"/>
      <c r="N424" s="137"/>
      <c r="O424" s="137"/>
      <c r="P424" s="137"/>
    </row>
    <row r="425" spans="2:35" ht="15.75" customHeight="1">
      <c r="B425" s="76"/>
      <c r="C425" s="480" t="s">
        <v>417</v>
      </c>
      <c r="K425" s="102"/>
      <c r="L425" s="500"/>
      <c r="M425" s="105"/>
      <c r="N425" s="138"/>
      <c r="O425" s="138"/>
      <c r="P425" s="138"/>
    </row>
    <row r="426" spans="2:35" ht="15.75" customHeight="1">
      <c r="B426" s="91"/>
      <c r="C426" s="546"/>
      <c r="D426" s="106"/>
      <c r="E426" s="106"/>
      <c r="F426" s="106"/>
      <c r="G426" s="768">
        <f>H426-1</f>
        <v>-4</v>
      </c>
      <c r="H426" s="768">
        <f>I426-1</f>
        <v>-3</v>
      </c>
      <c r="I426" s="768">
        <f>J426-1</f>
        <v>-2</v>
      </c>
      <c r="J426" s="768">
        <v>-1</v>
      </c>
      <c r="K426" s="768">
        <f>J426+2</f>
        <v>1</v>
      </c>
      <c r="L426" s="768">
        <f t="shared" ref="L426:AI426" si="180">K426+1</f>
        <v>2</v>
      </c>
      <c r="M426" s="768">
        <f t="shared" si="180"/>
        <v>3</v>
      </c>
      <c r="N426" s="768">
        <f t="shared" si="180"/>
        <v>4</v>
      </c>
      <c r="O426" s="768">
        <f t="shared" si="180"/>
        <v>5</v>
      </c>
      <c r="P426" s="768">
        <f t="shared" si="180"/>
        <v>6</v>
      </c>
      <c r="Q426" s="768">
        <f t="shared" si="180"/>
        <v>7</v>
      </c>
      <c r="R426" s="768">
        <f t="shared" si="180"/>
        <v>8</v>
      </c>
      <c r="S426" s="768">
        <f t="shared" si="180"/>
        <v>9</v>
      </c>
      <c r="T426" s="768">
        <f t="shared" si="180"/>
        <v>10</v>
      </c>
      <c r="U426" s="768">
        <f t="shared" si="180"/>
        <v>11</v>
      </c>
      <c r="V426" s="768">
        <f t="shared" si="180"/>
        <v>12</v>
      </c>
      <c r="W426" s="768">
        <f t="shared" si="180"/>
        <v>13</v>
      </c>
      <c r="X426" s="768">
        <f t="shared" si="180"/>
        <v>14</v>
      </c>
      <c r="Y426" s="768">
        <f t="shared" si="180"/>
        <v>15</v>
      </c>
      <c r="Z426" s="768">
        <f t="shared" si="180"/>
        <v>16</v>
      </c>
      <c r="AA426" s="768">
        <f t="shared" si="180"/>
        <v>17</v>
      </c>
      <c r="AB426" s="768">
        <f t="shared" si="180"/>
        <v>18</v>
      </c>
      <c r="AC426" s="768">
        <f t="shared" si="180"/>
        <v>19</v>
      </c>
      <c r="AD426" s="768">
        <f t="shared" si="180"/>
        <v>20</v>
      </c>
      <c r="AE426" s="768">
        <f t="shared" si="180"/>
        <v>21</v>
      </c>
      <c r="AF426" s="768">
        <f t="shared" si="180"/>
        <v>22</v>
      </c>
      <c r="AG426" s="768">
        <f t="shared" si="180"/>
        <v>23</v>
      </c>
      <c r="AH426" s="768">
        <f t="shared" si="180"/>
        <v>24</v>
      </c>
      <c r="AI426" s="768">
        <f t="shared" si="180"/>
        <v>25</v>
      </c>
    </row>
    <row r="427" spans="2:35" ht="15.75" customHeight="1">
      <c r="B427" s="91"/>
      <c r="C427" s="548"/>
      <c r="D427" s="469"/>
      <c r="E427" s="469"/>
      <c r="F427" s="469"/>
      <c r="G427" s="469"/>
      <c r="H427" s="469"/>
      <c r="I427" s="548"/>
      <c r="J427" s="548"/>
      <c r="K427" s="769">
        <f>INT(ROUNDUP(K426/12,0))</f>
        <v>1</v>
      </c>
      <c r="L427" s="769">
        <f>INT(ROUNDUP(L426/12,0))</f>
        <v>1</v>
      </c>
      <c r="M427" s="769">
        <f t="shared" ref="M427:AI427" si="181">INT(ROUNDUP(M426/12,0))</f>
        <v>1</v>
      </c>
      <c r="N427" s="769">
        <f t="shared" si="181"/>
        <v>1</v>
      </c>
      <c r="O427" s="769">
        <f t="shared" si="181"/>
        <v>1</v>
      </c>
      <c r="P427" s="769">
        <f t="shared" si="181"/>
        <v>1</v>
      </c>
      <c r="Q427" s="769">
        <f t="shared" si="181"/>
        <v>1</v>
      </c>
      <c r="R427" s="769">
        <f t="shared" si="181"/>
        <v>1</v>
      </c>
      <c r="S427" s="769">
        <f t="shared" si="181"/>
        <v>1</v>
      </c>
      <c r="T427" s="769">
        <f t="shared" si="181"/>
        <v>1</v>
      </c>
      <c r="U427" s="769">
        <f t="shared" si="181"/>
        <v>1</v>
      </c>
      <c r="V427" s="769">
        <f t="shared" si="181"/>
        <v>1</v>
      </c>
      <c r="W427" s="769">
        <f t="shared" si="181"/>
        <v>2</v>
      </c>
      <c r="X427" s="769">
        <f t="shared" si="181"/>
        <v>2</v>
      </c>
      <c r="Y427" s="769">
        <f t="shared" si="181"/>
        <v>2</v>
      </c>
      <c r="Z427" s="769">
        <f t="shared" si="181"/>
        <v>2</v>
      </c>
      <c r="AA427" s="769">
        <f t="shared" si="181"/>
        <v>2</v>
      </c>
      <c r="AB427" s="769">
        <f t="shared" si="181"/>
        <v>2</v>
      </c>
      <c r="AC427" s="769">
        <f t="shared" si="181"/>
        <v>2</v>
      </c>
      <c r="AD427" s="769">
        <f t="shared" si="181"/>
        <v>2</v>
      </c>
      <c r="AE427" s="769">
        <f t="shared" si="181"/>
        <v>2</v>
      </c>
      <c r="AF427" s="769">
        <f t="shared" si="181"/>
        <v>2</v>
      </c>
      <c r="AG427" s="769">
        <f t="shared" si="181"/>
        <v>2</v>
      </c>
      <c r="AH427" s="769">
        <f t="shared" si="181"/>
        <v>2</v>
      </c>
      <c r="AI427" s="769">
        <f t="shared" si="181"/>
        <v>3</v>
      </c>
    </row>
    <row r="428" spans="2:35" ht="15.75" customHeight="1">
      <c r="B428" s="91"/>
      <c r="C428" s="471"/>
      <c r="D428" s="472"/>
      <c r="E428" s="506"/>
      <c r="F428" s="506"/>
      <c r="G428" s="94" t="s">
        <v>499</v>
      </c>
      <c r="H428" s="94" t="s">
        <v>499</v>
      </c>
      <c r="I428" s="94" t="s">
        <v>499</v>
      </c>
      <c r="J428" s="94" t="s">
        <v>499</v>
      </c>
      <c r="K428" s="94" t="s">
        <v>499</v>
      </c>
      <c r="L428" s="94" t="s">
        <v>499</v>
      </c>
      <c r="M428" s="94" t="s">
        <v>499</v>
      </c>
      <c r="N428" s="94" t="s">
        <v>499</v>
      </c>
      <c r="O428" s="94" t="s">
        <v>499</v>
      </c>
      <c r="P428" s="94" t="s">
        <v>499</v>
      </c>
      <c r="Q428" s="94" t="s">
        <v>499</v>
      </c>
      <c r="R428" s="94" t="s">
        <v>499</v>
      </c>
      <c r="S428" s="94" t="s">
        <v>499</v>
      </c>
      <c r="T428" s="94" t="s">
        <v>499</v>
      </c>
      <c r="U428" s="94" t="s">
        <v>499</v>
      </c>
      <c r="V428" s="94" t="s">
        <v>499</v>
      </c>
      <c r="W428" s="94" t="s">
        <v>499</v>
      </c>
      <c r="X428" s="94" t="s">
        <v>499</v>
      </c>
      <c r="Y428" s="94" t="s">
        <v>499</v>
      </c>
      <c r="Z428" s="94" t="s">
        <v>499</v>
      </c>
      <c r="AA428" s="94" t="s">
        <v>499</v>
      </c>
      <c r="AB428" s="94" t="s">
        <v>499</v>
      </c>
      <c r="AC428" s="94" t="s">
        <v>499</v>
      </c>
      <c r="AD428" s="94" t="s">
        <v>499</v>
      </c>
      <c r="AE428" s="94" t="s">
        <v>499</v>
      </c>
      <c r="AF428" s="94" t="s">
        <v>499</v>
      </c>
      <c r="AG428" s="94" t="s">
        <v>499</v>
      </c>
      <c r="AH428" s="94" t="s">
        <v>499</v>
      </c>
      <c r="AI428" s="94" t="s">
        <v>499</v>
      </c>
    </row>
    <row r="429" spans="2:35" ht="15.75" customHeight="1">
      <c r="B429" s="76"/>
      <c r="C429" s="110"/>
      <c r="D429" s="110"/>
      <c r="E429" s="110"/>
      <c r="F429" s="110"/>
      <c r="G429" s="110"/>
      <c r="H429" s="110"/>
      <c r="I429" s="110"/>
      <c r="J429" s="110"/>
      <c r="K429" s="107"/>
      <c r="L429" s="812"/>
      <c r="M429" s="812"/>
      <c r="N429" s="812"/>
      <c r="O429" s="812"/>
      <c r="P429" s="812"/>
    </row>
    <row r="430" spans="2:35" ht="15.75" customHeight="1">
      <c r="B430" s="76"/>
      <c r="C430" s="110" t="s">
        <v>458</v>
      </c>
      <c r="D430" s="100"/>
      <c r="E430" s="528"/>
      <c r="F430" s="806"/>
      <c r="G430" s="806"/>
      <c r="H430" s="80">
        <f t="shared" ref="H430:AI430" si="182">H225</f>
        <v>0</v>
      </c>
      <c r="I430" s="80">
        <f t="shared" si="182"/>
        <v>0</v>
      </c>
      <c r="J430" s="80">
        <f t="shared" si="182"/>
        <v>0</v>
      </c>
      <c r="K430" s="80">
        <f t="shared" si="182"/>
        <v>786153125.14202809</v>
      </c>
      <c r="L430" s="80">
        <f t="shared" si="182"/>
        <v>857621762.50774968</v>
      </c>
      <c r="M430" s="80">
        <f t="shared" si="182"/>
        <v>966390963.28246403</v>
      </c>
      <c r="N430" s="80">
        <f t="shared" si="182"/>
        <v>903718637.73680496</v>
      </c>
      <c r="O430" s="80">
        <f t="shared" si="182"/>
        <v>911701010.60639536</v>
      </c>
      <c r="P430" s="80">
        <f t="shared" si="182"/>
        <v>1023910365.7579521</v>
      </c>
      <c r="Q430" s="80">
        <f t="shared" si="182"/>
        <v>911701010.60639536</v>
      </c>
      <c r="R430" s="80">
        <f t="shared" si="182"/>
        <v>911701010.60639501</v>
      </c>
      <c r="S430" s="80">
        <f t="shared" si="182"/>
        <v>1018529966.4668612</v>
      </c>
      <c r="T430" s="80">
        <f t="shared" si="182"/>
        <v>847225135.42562926</v>
      </c>
      <c r="U430" s="80">
        <f t="shared" si="182"/>
        <v>865697596.28067315</v>
      </c>
      <c r="V430" s="80">
        <f t="shared" si="182"/>
        <v>972244992.74598539</v>
      </c>
      <c r="W430" s="80">
        <f t="shared" si="182"/>
        <v>865697596.28067255</v>
      </c>
      <c r="X430" s="80">
        <f t="shared" si="182"/>
        <v>865697596.28067255</v>
      </c>
      <c r="Y430" s="80">
        <f t="shared" si="182"/>
        <v>972244992.7459873</v>
      </c>
      <c r="Z430" s="80">
        <f t="shared" si="182"/>
        <v>865697596.28067183</v>
      </c>
      <c r="AA430" s="80">
        <f t="shared" si="182"/>
        <v>865697596.28067183</v>
      </c>
      <c r="AB430" s="80">
        <f t="shared" si="182"/>
        <v>972244992.74598515</v>
      </c>
      <c r="AC430" s="80">
        <f t="shared" si="182"/>
        <v>865697596.28067243</v>
      </c>
      <c r="AD430" s="80">
        <f t="shared" si="182"/>
        <v>827392789.40123177</v>
      </c>
      <c r="AE430" s="80">
        <f t="shared" si="182"/>
        <v>892922478.9516623</v>
      </c>
      <c r="AF430" s="80">
        <f t="shared" si="182"/>
        <v>808353726.52019799</v>
      </c>
      <c r="AG430" s="80">
        <f t="shared" si="182"/>
        <v>808353726.52019846</v>
      </c>
      <c r="AH430" s="80">
        <f t="shared" si="182"/>
        <v>907843415.93806934</v>
      </c>
      <c r="AI430" s="80">
        <f t="shared" si="182"/>
        <v>808353726.5201968</v>
      </c>
    </row>
    <row r="431" spans="2:35" ht="15.75" customHeight="1">
      <c r="B431" s="76"/>
      <c r="C431" s="110" t="s">
        <v>450</v>
      </c>
      <c r="D431" s="100"/>
      <c r="E431" s="100"/>
      <c r="F431" s="100"/>
      <c r="G431" s="100"/>
      <c r="H431" s="80">
        <f t="shared" ref="H431:AI431" si="183">-H227</f>
        <v>0</v>
      </c>
      <c r="I431" s="80">
        <f t="shared" si="183"/>
        <v>0</v>
      </c>
      <c r="J431" s="80">
        <f t="shared" si="183"/>
        <v>0</v>
      </c>
      <c r="K431" s="80">
        <f t="shared" si="183"/>
        <v>202801833.23862234</v>
      </c>
      <c r="L431" s="80">
        <f t="shared" si="183"/>
        <v>205306082.80476773</v>
      </c>
      <c r="M431" s="80">
        <f t="shared" si="183"/>
        <v>231199379.11882454</v>
      </c>
      <c r="N431" s="80">
        <f t="shared" si="183"/>
        <v>224920249.72460946</v>
      </c>
      <c r="O431" s="80">
        <f t="shared" si="183"/>
        <v>225070387.81095722</v>
      </c>
      <c r="P431" s="80">
        <f t="shared" si="183"/>
        <v>240682283.37589341</v>
      </c>
      <c r="Q431" s="80">
        <f t="shared" si="183"/>
        <v>225460341.53124258</v>
      </c>
      <c r="R431" s="80">
        <f t="shared" si="183"/>
        <v>225964984.13644427</v>
      </c>
      <c r="S431" s="80">
        <f t="shared" si="183"/>
        <v>241162867.55526495</v>
      </c>
      <c r="T431" s="80">
        <f t="shared" si="183"/>
        <v>225266618.37750524</v>
      </c>
      <c r="U431" s="80">
        <f t="shared" si="183"/>
        <v>225614061.42084837</v>
      </c>
      <c r="V431" s="80">
        <f t="shared" si="183"/>
        <v>240768544.56331834</v>
      </c>
      <c r="W431" s="80">
        <f t="shared" si="183"/>
        <v>225614061.42084837</v>
      </c>
      <c r="X431" s="80">
        <f t="shared" si="183"/>
        <v>222625579.11427313</v>
      </c>
      <c r="Y431" s="80">
        <f t="shared" si="183"/>
        <v>237348517.2857092</v>
      </c>
      <c r="Z431" s="80">
        <f t="shared" si="183"/>
        <v>222194034.14323911</v>
      </c>
      <c r="AA431" s="80">
        <f t="shared" si="183"/>
        <v>222194034.14323911</v>
      </c>
      <c r="AB431" s="80">
        <f t="shared" si="183"/>
        <v>237348517.28570914</v>
      </c>
      <c r="AC431" s="80">
        <f t="shared" si="183"/>
        <v>222194034.14323911</v>
      </c>
      <c r="AD431" s="80">
        <f t="shared" si="183"/>
        <v>223231181.16616791</v>
      </c>
      <c r="AE431" s="80">
        <f t="shared" si="183"/>
        <v>240777444.40667942</v>
      </c>
      <c r="AF431" s="80">
        <f t="shared" si="183"/>
        <v>226036351.06817758</v>
      </c>
      <c r="AG431" s="80">
        <f t="shared" si="183"/>
        <v>226036351.06817758</v>
      </c>
      <c r="AH431" s="80">
        <f t="shared" si="183"/>
        <v>241058087.88979569</v>
      </c>
      <c r="AI431" s="80">
        <f t="shared" si="183"/>
        <v>226036351.06817755</v>
      </c>
    </row>
    <row r="432" spans="2:35" ht="15.75" customHeight="1">
      <c r="B432" s="76"/>
      <c r="C432" s="831"/>
      <c r="D432" s="100"/>
      <c r="E432" s="100"/>
      <c r="F432" s="100"/>
      <c r="G432" s="100"/>
      <c r="H432" s="152"/>
      <c r="I432" s="152"/>
      <c r="J432" s="152"/>
      <c r="K432" s="152"/>
      <c r="L432" s="152"/>
      <c r="M432" s="152"/>
      <c r="N432" s="152"/>
      <c r="O432" s="152"/>
      <c r="Q432" s="152"/>
      <c r="R432" s="152"/>
      <c r="S432" s="152"/>
      <c r="T432" s="152"/>
      <c r="U432" s="152"/>
      <c r="V432" s="152"/>
      <c r="W432" s="152"/>
      <c r="X432" s="152"/>
      <c r="Y432" s="152"/>
      <c r="Z432" s="152"/>
      <c r="AA432" s="152"/>
      <c r="AB432" s="152"/>
      <c r="AC432" s="152"/>
      <c r="AD432" s="152"/>
      <c r="AE432" s="152"/>
      <c r="AF432" s="152"/>
      <c r="AG432" s="152"/>
      <c r="AH432" s="152"/>
      <c r="AI432" s="152"/>
    </row>
    <row r="433" spans="2:35" ht="15.75" customHeight="1">
      <c r="B433" s="76"/>
      <c r="C433" s="163" t="s">
        <v>396</v>
      </c>
      <c r="D433" s="530"/>
      <c r="E433" s="530"/>
      <c r="F433" s="530"/>
      <c r="G433" s="530"/>
      <c r="H433" s="152"/>
      <c r="I433" s="152"/>
      <c r="J433" s="152"/>
      <c r="K433" s="152"/>
      <c r="L433" s="152"/>
      <c r="M433" s="152"/>
      <c r="N433" s="152"/>
      <c r="O433" s="152"/>
      <c r="Q433" s="152"/>
      <c r="R433" s="152"/>
      <c r="S433" s="152"/>
      <c r="T433" s="152"/>
      <c r="U433" s="152"/>
      <c r="V433" s="152"/>
      <c r="W433" s="152"/>
      <c r="X433" s="152"/>
      <c r="Y433" s="152"/>
      <c r="Z433" s="152"/>
      <c r="AA433" s="152"/>
      <c r="AB433" s="152"/>
      <c r="AC433" s="152"/>
      <c r="AD433" s="152"/>
      <c r="AE433" s="152"/>
      <c r="AF433" s="152"/>
      <c r="AG433" s="152"/>
      <c r="AH433" s="152"/>
      <c r="AI433" s="152"/>
    </row>
    <row r="434" spans="2:35" ht="15.75" customHeight="1">
      <c r="B434" s="76"/>
      <c r="C434" s="482" t="s">
        <v>341</v>
      </c>
      <c r="D434" s="530"/>
      <c r="E434" s="531"/>
      <c r="F434" s="832"/>
      <c r="G434" s="832"/>
      <c r="H434" s="123">
        <f>17%*0.1</f>
        <v>1.7000000000000001E-2</v>
      </c>
      <c r="I434" s="123">
        <f>H434</f>
        <v>1.7000000000000001E-2</v>
      </c>
      <c r="J434" s="123">
        <f t="shared" ref="J434:AI434" si="184">I434</f>
        <v>1.7000000000000001E-2</v>
      </c>
      <c r="K434" s="123">
        <f t="shared" si="184"/>
        <v>1.7000000000000001E-2</v>
      </c>
      <c r="L434" s="123">
        <f t="shared" si="184"/>
        <v>1.7000000000000001E-2</v>
      </c>
      <c r="M434" s="123">
        <f t="shared" si="184"/>
        <v>1.7000000000000001E-2</v>
      </c>
      <c r="N434" s="123">
        <f t="shared" si="184"/>
        <v>1.7000000000000001E-2</v>
      </c>
      <c r="O434" s="123">
        <f t="shared" si="184"/>
        <v>1.7000000000000001E-2</v>
      </c>
      <c r="P434" s="123">
        <f t="shared" si="184"/>
        <v>1.7000000000000001E-2</v>
      </c>
      <c r="Q434" s="123">
        <f t="shared" si="184"/>
        <v>1.7000000000000001E-2</v>
      </c>
      <c r="R434" s="123">
        <f t="shared" si="184"/>
        <v>1.7000000000000001E-2</v>
      </c>
      <c r="S434" s="123">
        <f t="shared" si="184"/>
        <v>1.7000000000000001E-2</v>
      </c>
      <c r="T434" s="123">
        <f t="shared" si="184"/>
        <v>1.7000000000000001E-2</v>
      </c>
      <c r="U434" s="123">
        <f t="shared" si="184"/>
        <v>1.7000000000000001E-2</v>
      </c>
      <c r="V434" s="123">
        <f t="shared" si="184"/>
        <v>1.7000000000000001E-2</v>
      </c>
      <c r="W434" s="123">
        <f t="shared" si="184"/>
        <v>1.7000000000000001E-2</v>
      </c>
      <c r="X434" s="123">
        <f t="shared" si="184"/>
        <v>1.7000000000000001E-2</v>
      </c>
      <c r="Y434" s="123">
        <f t="shared" si="184"/>
        <v>1.7000000000000001E-2</v>
      </c>
      <c r="Z434" s="123">
        <f t="shared" si="184"/>
        <v>1.7000000000000001E-2</v>
      </c>
      <c r="AA434" s="123">
        <f t="shared" si="184"/>
        <v>1.7000000000000001E-2</v>
      </c>
      <c r="AB434" s="123">
        <f t="shared" si="184"/>
        <v>1.7000000000000001E-2</v>
      </c>
      <c r="AC434" s="123">
        <f t="shared" si="184"/>
        <v>1.7000000000000001E-2</v>
      </c>
      <c r="AD434" s="123">
        <f t="shared" si="184"/>
        <v>1.7000000000000001E-2</v>
      </c>
      <c r="AE434" s="123">
        <f t="shared" si="184"/>
        <v>1.7000000000000001E-2</v>
      </c>
      <c r="AF434" s="123">
        <f t="shared" si="184"/>
        <v>1.7000000000000001E-2</v>
      </c>
      <c r="AG434" s="123">
        <f t="shared" si="184"/>
        <v>1.7000000000000001E-2</v>
      </c>
      <c r="AH434" s="123">
        <f t="shared" si="184"/>
        <v>1.7000000000000001E-2</v>
      </c>
      <c r="AI434" s="123">
        <f t="shared" si="184"/>
        <v>1.7000000000000001E-2</v>
      </c>
    </row>
    <row r="435" spans="2:35" ht="15.75" customHeight="1">
      <c r="B435" s="76"/>
      <c r="C435" s="482" t="s">
        <v>836</v>
      </c>
      <c r="D435" s="530"/>
      <c r="E435" s="531"/>
      <c r="F435" s="832"/>
      <c r="G435" s="832"/>
      <c r="H435" s="964">
        <v>1</v>
      </c>
      <c r="I435" s="964">
        <v>1</v>
      </c>
      <c r="J435" s="964">
        <v>1</v>
      </c>
      <c r="K435" s="964">
        <v>1</v>
      </c>
      <c r="L435" s="964">
        <v>1</v>
      </c>
      <c r="M435" s="964">
        <v>1</v>
      </c>
      <c r="N435" s="964">
        <v>1</v>
      </c>
      <c r="O435" s="964">
        <v>1</v>
      </c>
      <c r="P435" s="964">
        <v>1</v>
      </c>
      <c r="Q435" s="964">
        <v>1</v>
      </c>
      <c r="R435" s="964">
        <v>1</v>
      </c>
      <c r="S435" s="964">
        <v>1</v>
      </c>
      <c r="T435" s="964">
        <v>1</v>
      </c>
      <c r="U435" s="964">
        <v>1</v>
      </c>
      <c r="V435" s="964">
        <v>1</v>
      </c>
      <c r="W435" s="964">
        <v>1</v>
      </c>
      <c r="X435" s="964">
        <v>1</v>
      </c>
      <c r="Y435" s="964">
        <v>1</v>
      </c>
      <c r="Z435" s="964">
        <v>1</v>
      </c>
      <c r="AA435" s="964">
        <v>1</v>
      </c>
      <c r="AB435" s="964">
        <v>1</v>
      </c>
      <c r="AC435" s="964">
        <v>1</v>
      </c>
      <c r="AD435" s="964">
        <v>1</v>
      </c>
      <c r="AE435" s="964">
        <v>1</v>
      </c>
      <c r="AF435" s="964">
        <v>1</v>
      </c>
      <c r="AG435" s="964">
        <v>1</v>
      </c>
      <c r="AH435" s="964">
        <v>1</v>
      </c>
      <c r="AI435" s="964">
        <v>1</v>
      </c>
    </row>
    <row r="436" spans="2:35" ht="15.75" customHeight="1">
      <c r="B436" s="76"/>
      <c r="C436" s="482" t="s">
        <v>397</v>
      </c>
      <c r="D436" s="100"/>
      <c r="E436" s="528"/>
      <c r="F436" s="806"/>
      <c r="G436" s="806"/>
      <c r="H436" s="806">
        <f t="shared" ref="H436:AI436" si="185">G436</f>
        <v>0</v>
      </c>
      <c r="I436" s="806">
        <f t="shared" si="185"/>
        <v>0</v>
      </c>
      <c r="J436" s="806">
        <f t="shared" si="185"/>
        <v>0</v>
      </c>
      <c r="K436" s="806">
        <f t="shared" si="185"/>
        <v>0</v>
      </c>
      <c r="L436" s="806">
        <f t="shared" si="185"/>
        <v>0</v>
      </c>
      <c r="M436" s="806">
        <f t="shared" si="185"/>
        <v>0</v>
      </c>
      <c r="N436" s="806">
        <f t="shared" si="185"/>
        <v>0</v>
      </c>
      <c r="O436" s="806">
        <f t="shared" si="185"/>
        <v>0</v>
      </c>
      <c r="P436" s="806">
        <f t="shared" si="185"/>
        <v>0</v>
      </c>
      <c r="Q436" s="806">
        <f t="shared" si="185"/>
        <v>0</v>
      </c>
      <c r="R436" s="806">
        <f t="shared" si="185"/>
        <v>0</v>
      </c>
      <c r="S436" s="806">
        <f t="shared" si="185"/>
        <v>0</v>
      </c>
      <c r="T436" s="806">
        <f t="shared" si="185"/>
        <v>0</v>
      </c>
      <c r="U436" s="806">
        <f t="shared" si="185"/>
        <v>0</v>
      </c>
      <c r="V436" s="806">
        <f t="shared" si="185"/>
        <v>0</v>
      </c>
      <c r="W436" s="806">
        <f t="shared" si="185"/>
        <v>0</v>
      </c>
      <c r="X436" s="806">
        <f t="shared" si="185"/>
        <v>0</v>
      </c>
      <c r="Y436" s="806">
        <f t="shared" si="185"/>
        <v>0</v>
      </c>
      <c r="Z436" s="806">
        <f t="shared" si="185"/>
        <v>0</v>
      </c>
      <c r="AA436" s="806">
        <f t="shared" si="185"/>
        <v>0</v>
      </c>
      <c r="AB436" s="806">
        <f t="shared" si="185"/>
        <v>0</v>
      </c>
      <c r="AC436" s="806">
        <f t="shared" si="185"/>
        <v>0</v>
      </c>
      <c r="AD436" s="806">
        <f t="shared" si="185"/>
        <v>0</v>
      </c>
      <c r="AE436" s="806">
        <f t="shared" si="185"/>
        <v>0</v>
      </c>
      <c r="AF436" s="806">
        <f t="shared" si="185"/>
        <v>0</v>
      </c>
      <c r="AG436" s="806">
        <f t="shared" si="185"/>
        <v>0</v>
      </c>
      <c r="AH436" s="806">
        <f t="shared" si="185"/>
        <v>0</v>
      </c>
      <c r="AI436" s="806">
        <f t="shared" si="185"/>
        <v>0</v>
      </c>
    </row>
    <row r="437" spans="2:35" ht="15.75" customHeight="1">
      <c r="B437" s="76"/>
      <c r="C437" s="482" t="s">
        <v>21</v>
      </c>
      <c r="D437" s="100"/>
      <c r="E437" s="528"/>
      <c r="F437" s="806"/>
      <c r="G437" s="806"/>
      <c r="H437" s="123">
        <v>0.33300000000000002</v>
      </c>
      <c r="I437" s="123">
        <v>0.33300000000000002</v>
      </c>
      <c r="J437" s="123">
        <v>0.33300000000000002</v>
      </c>
      <c r="K437" s="123">
        <v>0.33300000000000002</v>
      </c>
      <c r="L437" s="123">
        <v>0.33300000000000002</v>
      </c>
      <c r="M437" s="123">
        <v>0.33300000000000002</v>
      </c>
      <c r="N437" s="123">
        <v>0.33300000000000002</v>
      </c>
      <c r="O437" s="123">
        <v>0.33300000000000002</v>
      </c>
      <c r="P437" s="123">
        <v>0.33300000000000002</v>
      </c>
      <c r="Q437" s="123">
        <v>0.33300000000000002</v>
      </c>
      <c r="R437" s="123">
        <v>0.33300000000000002</v>
      </c>
      <c r="S437" s="123">
        <v>0.33300000000000002</v>
      </c>
      <c r="T437" s="123">
        <v>0.33300000000000002</v>
      </c>
      <c r="U437" s="123">
        <v>0.33300000000000002</v>
      </c>
      <c r="V437" s="123">
        <v>0.33300000000000002</v>
      </c>
      <c r="W437" s="123">
        <v>0.33300000000000002</v>
      </c>
      <c r="X437" s="123">
        <v>0.33300000000000002</v>
      </c>
      <c r="Y437" s="123">
        <v>0.33300000000000002</v>
      </c>
      <c r="Z437" s="123">
        <v>0.33300000000000002</v>
      </c>
      <c r="AA437" s="123">
        <v>0.33300000000000002</v>
      </c>
      <c r="AB437" s="123">
        <v>0.33300000000000002</v>
      </c>
      <c r="AC437" s="123">
        <v>0.33300000000000002</v>
      </c>
      <c r="AD437" s="123">
        <v>0.33300000000000002</v>
      </c>
      <c r="AE437" s="123">
        <v>0.33300000000000002</v>
      </c>
      <c r="AF437" s="123">
        <v>0.33300000000000002</v>
      </c>
      <c r="AG437" s="123">
        <v>0.33300000000000002</v>
      </c>
      <c r="AH437" s="123">
        <v>0.33300000000000002</v>
      </c>
      <c r="AI437" s="123">
        <v>0.33300000000000002</v>
      </c>
    </row>
    <row r="438" spans="2:35" ht="15.75" customHeight="1">
      <c r="B438" s="76"/>
      <c r="C438" s="482" t="s">
        <v>22</v>
      </c>
      <c r="D438" s="110"/>
      <c r="E438" s="110"/>
      <c r="F438" s="110"/>
      <c r="G438" s="110"/>
      <c r="H438" s="806">
        <v>1</v>
      </c>
      <c r="I438" s="806">
        <v>1</v>
      </c>
      <c r="J438" s="806">
        <v>1</v>
      </c>
      <c r="K438" s="806">
        <v>1</v>
      </c>
      <c r="L438" s="806">
        <v>1</v>
      </c>
      <c r="M438" s="806">
        <v>1</v>
      </c>
      <c r="N438" s="806">
        <v>1</v>
      </c>
      <c r="O438" s="806">
        <v>1</v>
      </c>
      <c r="P438" s="806">
        <v>1</v>
      </c>
      <c r="Q438" s="806">
        <v>1</v>
      </c>
      <c r="R438" s="806">
        <v>1</v>
      </c>
      <c r="S438" s="806">
        <v>1</v>
      </c>
      <c r="T438" s="806">
        <v>1</v>
      </c>
      <c r="U438" s="806">
        <v>1</v>
      </c>
      <c r="V438" s="806">
        <v>1</v>
      </c>
      <c r="W438" s="806">
        <v>1</v>
      </c>
      <c r="X438" s="806">
        <v>1</v>
      </c>
      <c r="Y438" s="806">
        <v>1</v>
      </c>
      <c r="Z438" s="806">
        <v>1</v>
      </c>
      <c r="AA438" s="806">
        <v>1</v>
      </c>
      <c r="AB438" s="806">
        <v>1</v>
      </c>
      <c r="AC438" s="806">
        <v>1</v>
      </c>
      <c r="AD438" s="806">
        <v>1</v>
      </c>
      <c r="AE438" s="806">
        <v>1</v>
      </c>
      <c r="AF438" s="806">
        <v>1</v>
      </c>
      <c r="AG438" s="806">
        <v>1</v>
      </c>
      <c r="AH438" s="806">
        <v>1</v>
      </c>
      <c r="AI438" s="806">
        <v>1</v>
      </c>
    </row>
    <row r="439" spans="2:35" ht="15.75" customHeight="1">
      <c r="B439" s="76"/>
      <c r="C439" s="482" t="s">
        <v>24</v>
      </c>
      <c r="D439" s="110"/>
      <c r="E439" s="110"/>
      <c r="F439" s="110"/>
      <c r="G439" s="110"/>
      <c r="H439" s="84">
        <v>0.05</v>
      </c>
      <c r="I439" s="123">
        <f>H439</f>
        <v>0.05</v>
      </c>
      <c r="J439" s="123">
        <f t="shared" ref="J439:AI439" si="186">I439</f>
        <v>0.05</v>
      </c>
      <c r="K439" s="123">
        <f t="shared" si="186"/>
        <v>0.05</v>
      </c>
      <c r="L439" s="123">
        <f t="shared" si="186"/>
        <v>0.05</v>
      </c>
      <c r="M439" s="123">
        <f t="shared" si="186"/>
        <v>0.05</v>
      </c>
      <c r="N439" s="123">
        <f t="shared" si="186"/>
        <v>0.05</v>
      </c>
      <c r="O439" s="123">
        <f t="shared" si="186"/>
        <v>0.05</v>
      </c>
      <c r="P439" s="123">
        <f t="shared" si="186"/>
        <v>0.05</v>
      </c>
      <c r="Q439" s="123">
        <f t="shared" si="186"/>
        <v>0.05</v>
      </c>
      <c r="R439" s="123">
        <f t="shared" si="186"/>
        <v>0.05</v>
      </c>
      <c r="S439" s="123">
        <f t="shared" si="186"/>
        <v>0.05</v>
      </c>
      <c r="T439" s="123">
        <f t="shared" si="186"/>
        <v>0.05</v>
      </c>
      <c r="U439" s="123">
        <f t="shared" si="186"/>
        <v>0.05</v>
      </c>
      <c r="V439" s="123">
        <f t="shared" si="186"/>
        <v>0.05</v>
      </c>
      <c r="W439" s="123">
        <f t="shared" si="186"/>
        <v>0.05</v>
      </c>
      <c r="X439" s="123">
        <f t="shared" si="186"/>
        <v>0.05</v>
      </c>
      <c r="Y439" s="123">
        <f t="shared" si="186"/>
        <v>0.05</v>
      </c>
      <c r="Z439" s="123">
        <f t="shared" si="186"/>
        <v>0.05</v>
      </c>
      <c r="AA439" s="123">
        <f t="shared" si="186"/>
        <v>0.05</v>
      </c>
      <c r="AB439" s="123">
        <f t="shared" si="186"/>
        <v>0.05</v>
      </c>
      <c r="AC439" s="123">
        <f t="shared" si="186"/>
        <v>0.05</v>
      </c>
      <c r="AD439" s="123">
        <f t="shared" si="186"/>
        <v>0.05</v>
      </c>
      <c r="AE439" s="123">
        <f t="shared" si="186"/>
        <v>0.05</v>
      </c>
      <c r="AF439" s="123">
        <f t="shared" si="186"/>
        <v>0.05</v>
      </c>
      <c r="AG439" s="123">
        <f t="shared" si="186"/>
        <v>0.05</v>
      </c>
      <c r="AH439" s="123">
        <f t="shared" si="186"/>
        <v>0.05</v>
      </c>
      <c r="AI439" s="123">
        <f t="shared" si="186"/>
        <v>0.05</v>
      </c>
    </row>
    <row r="440" spans="2:35" ht="15.75" customHeight="1">
      <c r="B440" s="100"/>
      <c r="C440" s="164"/>
      <c r="D440" s="111"/>
      <c r="E440" s="111"/>
      <c r="F440" s="111"/>
      <c r="G440" s="111"/>
      <c r="H440" s="152"/>
      <c r="I440" s="152"/>
      <c r="J440" s="152"/>
      <c r="K440" s="152"/>
      <c r="L440" s="152"/>
      <c r="M440" s="152"/>
      <c r="N440" s="152"/>
      <c r="O440" s="152"/>
      <c r="Q440" s="152"/>
      <c r="R440" s="152"/>
      <c r="S440" s="152"/>
      <c r="T440" s="152"/>
      <c r="U440" s="152"/>
      <c r="V440" s="152"/>
      <c r="W440" s="152"/>
      <c r="X440" s="152"/>
      <c r="Y440" s="152"/>
      <c r="Z440" s="152"/>
      <c r="AA440" s="152"/>
      <c r="AB440" s="152"/>
      <c r="AC440" s="152"/>
      <c r="AD440" s="152"/>
      <c r="AE440" s="152"/>
      <c r="AF440" s="152"/>
      <c r="AG440" s="152"/>
      <c r="AH440" s="152"/>
      <c r="AI440" s="152"/>
    </row>
    <row r="441" spans="2:35" ht="15.75" customHeight="1">
      <c r="B441" s="100"/>
      <c r="C441" s="163" t="s">
        <v>398</v>
      </c>
      <c r="D441" s="100"/>
      <c r="E441" s="528"/>
      <c r="F441" s="806"/>
      <c r="G441" s="806"/>
      <c r="H441" s="152"/>
      <c r="I441" s="152"/>
      <c r="J441" s="152"/>
      <c r="K441" s="152"/>
      <c r="L441" s="152"/>
      <c r="M441" s="152"/>
      <c r="N441" s="152"/>
      <c r="O441" s="152"/>
      <c r="Q441" s="152"/>
      <c r="R441" s="152"/>
      <c r="S441" s="152"/>
      <c r="T441" s="152"/>
      <c r="U441" s="152"/>
      <c r="V441" s="152"/>
      <c r="W441" s="152"/>
      <c r="X441" s="152"/>
      <c r="Y441" s="152"/>
      <c r="Z441" s="152"/>
      <c r="AA441" s="152"/>
      <c r="AB441" s="152"/>
      <c r="AC441" s="152"/>
      <c r="AD441" s="152"/>
      <c r="AE441" s="152"/>
      <c r="AF441" s="152"/>
      <c r="AG441" s="152"/>
      <c r="AH441" s="152"/>
      <c r="AI441" s="152"/>
    </row>
    <row r="442" spans="2:35" ht="15.75" customHeight="1">
      <c r="B442" s="100"/>
      <c r="C442" s="478" t="s">
        <v>23</v>
      </c>
      <c r="D442" s="110"/>
      <c r="E442" s="806"/>
      <c r="F442" s="806"/>
      <c r="G442" s="806"/>
      <c r="H442" s="833">
        <f t="shared" ref="H442:AI442" si="187">H11*H434</f>
        <v>0</v>
      </c>
      <c r="I442" s="833">
        <f t="shared" si="187"/>
        <v>0</v>
      </c>
      <c r="J442" s="833">
        <f t="shared" si="187"/>
        <v>0</v>
      </c>
      <c r="K442" s="833">
        <f t="shared" si="187"/>
        <v>13364603.127414478</v>
      </c>
      <c r="L442" s="833">
        <f t="shared" si="187"/>
        <v>14579569.962631745</v>
      </c>
      <c r="M442" s="833">
        <f t="shared" si="187"/>
        <v>16428646.375801889</v>
      </c>
      <c r="N442" s="833">
        <f t="shared" si="187"/>
        <v>15363216.841525685</v>
      </c>
      <c r="O442" s="833">
        <f t="shared" si="187"/>
        <v>15498917.180308722</v>
      </c>
      <c r="P442" s="833">
        <f t="shared" si="187"/>
        <v>17406476.217885185</v>
      </c>
      <c r="Q442" s="833">
        <f t="shared" si="187"/>
        <v>15498917.180308722</v>
      </c>
      <c r="R442" s="833">
        <f t="shared" si="187"/>
        <v>15498917.180308716</v>
      </c>
      <c r="S442" s="833">
        <f t="shared" si="187"/>
        <v>17315009.429936644</v>
      </c>
      <c r="T442" s="833">
        <f t="shared" si="187"/>
        <v>14402827.302235698</v>
      </c>
      <c r="U442" s="833">
        <f t="shared" si="187"/>
        <v>14716859.136771444</v>
      </c>
      <c r="V442" s="833">
        <f t="shared" si="187"/>
        <v>16528164.876681753</v>
      </c>
      <c r="W442" s="833">
        <f t="shared" si="187"/>
        <v>14716859.136771435</v>
      </c>
      <c r="X442" s="833">
        <f t="shared" si="187"/>
        <v>14716859.136771435</v>
      </c>
      <c r="Y442" s="833">
        <f t="shared" si="187"/>
        <v>16528164.876681786</v>
      </c>
      <c r="Z442" s="833">
        <f t="shared" si="187"/>
        <v>14716859.136771422</v>
      </c>
      <c r="AA442" s="833">
        <f t="shared" si="187"/>
        <v>14716859.136771422</v>
      </c>
      <c r="AB442" s="833">
        <f t="shared" si="187"/>
        <v>16528164.876681749</v>
      </c>
      <c r="AC442" s="833">
        <f t="shared" si="187"/>
        <v>14716859.136771433</v>
      </c>
      <c r="AD442" s="833">
        <f t="shared" si="187"/>
        <v>14065677.41982094</v>
      </c>
      <c r="AE442" s="833">
        <f t="shared" si="187"/>
        <v>15179682.14217826</v>
      </c>
      <c r="AF442" s="833">
        <f t="shared" si="187"/>
        <v>13742013.350843366</v>
      </c>
      <c r="AG442" s="833">
        <f t="shared" si="187"/>
        <v>13742013.350843376</v>
      </c>
      <c r="AH442" s="833">
        <f t="shared" si="187"/>
        <v>15433338.07094718</v>
      </c>
      <c r="AI442" s="833">
        <f t="shared" si="187"/>
        <v>13742013.350843346</v>
      </c>
    </row>
    <row r="443" spans="2:35" ht="15.75" customHeight="1">
      <c r="B443" s="100"/>
      <c r="C443" s="478" t="s">
        <v>837</v>
      </c>
      <c r="D443" s="110"/>
      <c r="E443" s="806"/>
      <c r="F443" s="806"/>
      <c r="G443" s="806"/>
      <c r="H443" s="833">
        <f t="shared" ref="H443:AI443" si="188">(H146+H150)/12*H435*1.2</f>
        <v>0</v>
      </c>
      <c r="I443" s="833">
        <f t="shared" si="188"/>
        <v>0</v>
      </c>
      <c r="J443" s="833">
        <f t="shared" si="188"/>
        <v>0</v>
      </c>
      <c r="K443" s="833">
        <f t="shared" si="188"/>
        <v>8485300.2789290287</v>
      </c>
      <c r="L443" s="833">
        <f t="shared" si="188"/>
        <v>8485300.2789290287</v>
      </c>
      <c r="M443" s="833">
        <f t="shared" si="188"/>
        <v>9971873.0677834898</v>
      </c>
      <c r="N443" s="833">
        <f t="shared" si="188"/>
        <v>9615283.1759097464</v>
      </c>
      <c r="O443" s="833">
        <f t="shared" si="188"/>
        <v>9615283.1759097464</v>
      </c>
      <c r="P443" s="833">
        <f t="shared" si="188"/>
        <v>10496545.816790948</v>
      </c>
      <c r="Q443" s="833">
        <f t="shared" si="188"/>
        <v>9615283.1759097464</v>
      </c>
      <c r="R443" s="833">
        <f t="shared" si="188"/>
        <v>9615283.1759097464</v>
      </c>
      <c r="S443" s="833">
        <f t="shared" si="188"/>
        <v>10496545.816790948</v>
      </c>
      <c r="T443" s="833">
        <f t="shared" si="188"/>
        <v>9615283.1759097464</v>
      </c>
      <c r="U443" s="833">
        <f t="shared" si="188"/>
        <v>9615283.1759097464</v>
      </c>
      <c r="V443" s="833">
        <f t="shared" si="188"/>
        <v>10496545.816790948</v>
      </c>
      <c r="W443" s="833">
        <f t="shared" si="188"/>
        <v>9615283.1759097464</v>
      </c>
      <c r="X443" s="833">
        <f t="shared" si="188"/>
        <v>9615283.1759097464</v>
      </c>
      <c r="Y443" s="833">
        <f t="shared" si="188"/>
        <v>10496545.816790948</v>
      </c>
      <c r="Z443" s="833">
        <f t="shared" si="188"/>
        <v>9615283.1759097464</v>
      </c>
      <c r="AA443" s="833">
        <f t="shared" si="188"/>
        <v>9615283.1759097464</v>
      </c>
      <c r="AB443" s="833">
        <f t="shared" si="188"/>
        <v>10496545.816790948</v>
      </c>
      <c r="AC443" s="833">
        <f t="shared" si="188"/>
        <v>9615283.1759097464</v>
      </c>
      <c r="AD443" s="833">
        <f t="shared" si="188"/>
        <v>9615283.1759097464</v>
      </c>
      <c r="AE443" s="833">
        <f t="shared" si="188"/>
        <v>10496545.816790948</v>
      </c>
      <c r="AF443" s="833">
        <f t="shared" si="188"/>
        <v>9615283.1759097464</v>
      </c>
      <c r="AG443" s="833">
        <f t="shared" si="188"/>
        <v>9615283.1759097464</v>
      </c>
      <c r="AH443" s="833">
        <f t="shared" si="188"/>
        <v>10496545.816790948</v>
      </c>
      <c r="AI443" s="833">
        <f t="shared" si="188"/>
        <v>9615283.1759097464</v>
      </c>
    </row>
    <row r="444" spans="2:35" ht="15.75" customHeight="1">
      <c r="B444" s="100"/>
      <c r="C444" s="478" t="s">
        <v>382</v>
      </c>
      <c r="D444" s="110"/>
      <c r="E444" s="806"/>
      <c r="F444" s="806"/>
      <c r="G444" s="806"/>
      <c r="H444" s="833">
        <f t="shared" ref="H444:AI444" si="189">H436*H11</f>
        <v>0</v>
      </c>
      <c r="I444" s="833">
        <f t="shared" si="189"/>
        <v>0</v>
      </c>
      <c r="J444" s="833">
        <f t="shared" si="189"/>
        <v>0</v>
      </c>
      <c r="K444" s="833">
        <f t="shared" si="189"/>
        <v>0</v>
      </c>
      <c r="L444" s="833">
        <f t="shared" si="189"/>
        <v>0</v>
      </c>
      <c r="M444" s="833">
        <f t="shared" si="189"/>
        <v>0</v>
      </c>
      <c r="N444" s="833">
        <f t="shared" si="189"/>
        <v>0</v>
      </c>
      <c r="O444" s="833">
        <f t="shared" si="189"/>
        <v>0</v>
      </c>
      <c r="P444" s="833">
        <f t="shared" si="189"/>
        <v>0</v>
      </c>
      <c r="Q444" s="833">
        <f t="shared" si="189"/>
        <v>0</v>
      </c>
      <c r="R444" s="833">
        <f t="shared" si="189"/>
        <v>0</v>
      </c>
      <c r="S444" s="833">
        <f t="shared" si="189"/>
        <v>0</v>
      </c>
      <c r="T444" s="833">
        <f t="shared" si="189"/>
        <v>0</v>
      </c>
      <c r="U444" s="833">
        <f t="shared" si="189"/>
        <v>0</v>
      </c>
      <c r="V444" s="833">
        <f t="shared" si="189"/>
        <v>0</v>
      </c>
      <c r="W444" s="833">
        <f t="shared" si="189"/>
        <v>0</v>
      </c>
      <c r="X444" s="833">
        <f t="shared" si="189"/>
        <v>0</v>
      </c>
      <c r="Y444" s="833">
        <f t="shared" si="189"/>
        <v>0</v>
      </c>
      <c r="Z444" s="833">
        <f t="shared" si="189"/>
        <v>0</v>
      </c>
      <c r="AA444" s="833">
        <f t="shared" si="189"/>
        <v>0</v>
      </c>
      <c r="AB444" s="833">
        <f t="shared" si="189"/>
        <v>0</v>
      </c>
      <c r="AC444" s="833">
        <f t="shared" si="189"/>
        <v>0</v>
      </c>
      <c r="AD444" s="833">
        <f t="shared" si="189"/>
        <v>0</v>
      </c>
      <c r="AE444" s="833">
        <f t="shared" si="189"/>
        <v>0</v>
      </c>
      <c r="AF444" s="833">
        <f t="shared" si="189"/>
        <v>0</v>
      </c>
      <c r="AG444" s="833">
        <f t="shared" si="189"/>
        <v>0</v>
      </c>
      <c r="AH444" s="833">
        <f t="shared" si="189"/>
        <v>0</v>
      </c>
      <c r="AI444" s="833">
        <f t="shared" si="189"/>
        <v>0</v>
      </c>
    </row>
    <row r="445" spans="2:35" ht="15.75" customHeight="1">
      <c r="B445" s="100"/>
      <c r="C445" s="478" t="s">
        <v>838</v>
      </c>
      <c r="D445" s="110"/>
      <c r="E445" s="806"/>
      <c r="F445" s="806"/>
      <c r="G445" s="833">
        <f t="shared" ref="G445:AI445" si="190">(G146+G150+G152+G154+G156+G171)*10%*G437</f>
        <v>0</v>
      </c>
      <c r="H445" s="833">
        <f t="shared" si="190"/>
        <v>0</v>
      </c>
      <c r="I445" s="833">
        <f t="shared" si="190"/>
        <v>0</v>
      </c>
      <c r="J445" s="833">
        <f t="shared" si="190"/>
        <v>0</v>
      </c>
      <c r="K445" s="833">
        <f t="shared" si="190"/>
        <v>5723819.1681063306</v>
      </c>
      <c r="L445" s="833">
        <f t="shared" si="190"/>
        <v>5768582.1078931522</v>
      </c>
      <c r="M445" s="833">
        <f t="shared" si="190"/>
        <v>6555814.3294987688</v>
      </c>
      <c r="N445" s="833">
        <f t="shared" si="190"/>
        <v>6332452.7159669893</v>
      </c>
      <c r="O445" s="833">
        <f t="shared" si="190"/>
        <v>6337452.3142423695</v>
      </c>
      <c r="P445" s="833">
        <f t="shared" si="190"/>
        <v>6845642.85653143</v>
      </c>
      <c r="Q445" s="833">
        <f t="shared" si="190"/>
        <v>6337452.3142423695</v>
      </c>
      <c r="R445" s="833">
        <f t="shared" si="190"/>
        <v>6337452.3142423686</v>
      </c>
      <c r="S445" s="833">
        <f t="shared" si="190"/>
        <v>6842272.9519358845</v>
      </c>
      <c r="T445" s="833">
        <f t="shared" si="190"/>
        <v>6297069.1500349659</v>
      </c>
      <c r="U445" s="833">
        <f t="shared" si="190"/>
        <v>6308639.0033782916</v>
      </c>
      <c r="V445" s="833">
        <f t="shared" si="190"/>
        <v>6813283.2920225421</v>
      </c>
      <c r="W445" s="833">
        <f t="shared" si="190"/>
        <v>6308639.0033782916</v>
      </c>
      <c r="X445" s="833">
        <f t="shared" si="190"/>
        <v>6308639.0033782916</v>
      </c>
      <c r="Y445" s="833">
        <f t="shared" si="190"/>
        <v>6813283.292022543</v>
      </c>
      <c r="Z445" s="833">
        <f t="shared" si="190"/>
        <v>6308639.0033782907</v>
      </c>
      <c r="AA445" s="833">
        <f t="shared" si="190"/>
        <v>6308639.0033782907</v>
      </c>
      <c r="AB445" s="833">
        <f t="shared" si="190"/>
        <v>6813283.2920225421</v>
      </c>
      <c r="AC445" s="833">
        <f t="shared" si="190"/>
        <v>6308639.0033782907</v>
      </c>
      <c r="AD445" s="833">
        <f t="shared" si="190"/>
        <v>6284647.5600390816</v>
      </c>
      <c r="AE445" s="833">
        <f t="shared" si="190"/>
        <v>6763601.2351149106</v>
      </c>
      <c r="AF445" s="833">
        <f t="shared" si="190"/>
        <v>6272722.8269427987</v>
      </c>
      <c r="AG445" s="833">
        <f t="shared" si="190"/>
        <v>6272722.8269427987</v>
      </c>
      <c r="AH445" s="833">
        <f t="shared" si="190"/>
        <v>6772946.6631026817</v>
      </c>
      <c r="AI445" s="833">
        <f t="shared" si="190"/>
        <v>6272722.8269427978</v>
      </c>
    </row>
    <row r="446" spans="2:35" ht="15.75" customHeight="1">
      <c r="B446" s="76"/>
      <c r="C446" s="478" t="s">
        <v>383</v>
      </c>
      <c r="D446" s="100"/>
      <c r="E446" s="508"/>
      <c r="F446" s="508"/>
      <c r="G446" s="508"/>
      <c r="H446" s="80">
        <f t="shared" ref="H446:AI446" si="191">(H152+H154+H156)/12*H438</f>
        <v>0</v>
      </c>
      <c r="I446" s="80">
        <f t="shared" si="191"/>
        <v>0</v>
      </c>
      <c r="J446" s="80">
        <f t="shared" si="191"/>
        <v>0</v>
      </c>
      <c r="K446" s="80">
        <f t="shared" si="191"/>
        <v>3772104.8096170234</v>
      </c>
      <c r="L446" s="80">
        <f t="shared" si="191"/>
        <v>3884124.178452916</v>
      </c>
      <c r="M446" s="80">
        <f t="shared" si="191"/>
        <v>4615364.1256928565</v>
      </c>
      <c r="N446" s="80">
        <f t="shared" si="191"/>
        <v>4353559.372094701</v>
      </c>
      <c r="O446" s="80">
        <f t="shared" si="191"/>
        <v>4366070.8792903479</v>
      </c>
      <c r="P446" s="80">
        <f t="shared" si="191"/>
        <v>4903433.4490491608</v>
      </c>
      <c r="Q446" s="80">
        <f t="shared" si="191"/>
        <v>4366070.8792903479</v>
      </c>
      <c r="R446" s="80">
        <f t="shared" si="191"/>
        <v>4366070.879290347</v>
      </c>
      <c r="S446" s="80">
        <f t="shared" si="191"/>
        <v>4895000.2543656118</v>
      </c>
      <c r="T446" s="80">
        <f t="shared" si="191"/>
        <v>4265011.9098023502</v>
      </c>
      <c r="U446" s="80">
        <f t="shared" si="191"/>
        <v>4293965.496747612</v>
      </c>
      <c r="V446" s="80">
        <f t="shared" si="191"/>
        <v>4822453.5578857772</v>
      </c>
      <c r="W446" s="80">
        <f t="shared" si="191"/>
        <v>4293965.4967476102</v>
      </c>
      <c r="X446" s="80">
        <f t="shared" si="191"/>
        <v>4293965.4967476102</v>
      </c>
      <c r="Y446" s="80">
        <f t="shared" si="191"/>
        <v>4822453.55788578</v>
      </c>
      <c r="Z446" s="80">
        <f t="shared" si="191"/>
        <v>4293965.4967476092</v>
      </c>
      <c r="AA446" s="80">
        <f t="shared" si="191"/>
        <v>4293965.4967476092</v>
      </c>
      <c r="AB446" s="80">
        <f t="shared" si="191"/>
        <v>4822453.5578857763</v>
      </c>
      <c r="AC446" s="80">
        <f t="shared" si="191"/>
        <v>4293965.4967476102</v>
      </c>
      <c r="AD446" s="80">
        <f t="shared" si="191"/>
        <v>4233926.8497525901</v>
      </c>
      <c r="AE446" s="80">
        <f t="shared" si="191"/>
        <v>4698124.0861449568</v>
      </c>
      <c r="AF446" s="80">
        <f t="shared" si="191"/>
        <v>4204085.1753374683</v>
      </c>
      <c r="AG446" s="80">
        <f t="shared" si="191"/>
        <v>4204085.1753374683</v>
      </c>
      <c r="AH446" s="80">
        <f t="shared" si="191"/>
        <v>4721511.043071311</v>
      </c>
      <c r="AI446" s="80">
        <f t="shared" si="191"/>
        <v>4204085.1753374664</v>
      </c>
    </row>
    <row r="447" spans="2:35" ht="15.75" customHeight="1">
      <c r="B447" s="110"/>
      <c r="C447" s="482" t="s">
        <v>399</v>
      </c>
      <c r="D447" s="100"/>
      <c r="E447" s="100"/>
      <c r="F447" s="100"/>
      <c r="G447" s="100"/>
      <c r="H447" s="833">
        <f t="shared" ref="H447:AI447" si="192">SUM(H442:H446)</f>
        <v>0</v>
      </c>
      <c r="I447" s="833">
        <f t="shared" si="192"/>
        <v>0</v>
      </c>
      <c r="J447" s="833">
        <f t="shared" si="192"/>
        <v>0</v>
      </c>
      <c r="K447" s="833">
        <f t="shared" si="192"/>
        <v>31345827.384066861</v>
      </c>
      <c r="L447" s="833">
        <f t="shared" si="192"/>
        <v>32717576.527906843</v>
      </c>
      <c r="M447" s="833">
        <f t="shared" si="192"/>
        <v>37571697.898777008</v>
      </c>
      <c r="N447" s="833">
        <f t="shared" si="192"/>
        <v>35664512.105497122</v>
      </c>
      <c r="O447" s="833">
        <f t="shared" si="192"/>
        <v>35817723.549751185</v>
      </c>
      <c r="P447" s="833">
        <f t="shared" si="192"/>
        <v>39652098.340256721</v>
      </c>
      <c r="Q447" s="833">
        <f t="shared" si="192"/>
        <v>35817723.549751185</v>
      </c>
      <c r="R447" s="833">
        <f t="shared" si="192"/>
        <v>35817723.549751185</v>
      </c>
      <c r="S447" s="833">
        <f t="shared" si="192"/>
        <v>39548828.453029096</v>
      </c>
      <c r="T447" s="833">
        <f t="shared" si="192"/>
        <v>34580191.537982754</v>
      </c>
      <c r="U447" s="833">
        <f t="shared" si="192"/>
        <v>34934746.812807091</v>
      </c>
      <c r="V447" s="833">
        <f t="shared" si="192"/>
        <v>38660447.54338102</v>
      </c>
      <c r="W447" s="833">
        <f t="shared" si="192"/>
        <v>34934746.812807083</v>
      </c>
      <c r="X447" s="833">
        <f t="shared" si="192"/>
        <v>34934746.812807083</v>
      </c>
      <c r="Y447" s="833">
        <f t="shared" si="192"/>
        <v>38660447.543381058</v>
      </c>
      <c r="Z447" s="833">
        <f t="shared" si="192"/>
        <v>34934746.812807068</v>
      </c>
      <c r="AA447" s="833">
        <f t="shared" si="192"/>
        <v>34934746.812807068</v>
      </c>
      <c r="AB447" s="833">
        <f t="shared" si="192"/>
        <v>38660447.543381013</v>
      </c>
      <c r="AC447" s="833">
        <f t="shared" si="192"/>
        <v>34934746.812807083</v>
      </c>
      <c r="AD447" s="833">
        <f t="shared" si="192"/>
        <v>34199535.005522355</v>
      </c>
      <c r="AE447" s="833">
        <f t="shared" si="192"/>
        <v>37137953.280229069</v>
      </c>
      <c r="AF447" s="833">
        <f t="shared" si="192"/>
        <v>33834104.529033378</v>
      </c>
      <c r="AG447" s="833">
        <f t="shared" si="192"/>
        <v>33834104.529033385</v>
      </c>
      <c r="AH447" s="833">
        <f t="shared" si="192"/>
        <v>37424341.593912125</v>
      </c>
      <c r="AI447" s="833">
        <f t="shared" si="192"/>
        <v>33834104.529033355</v>
      </c>
    </row>
    <row r="448" spans="2:35" ht="15.75" customHeight="1">
      <c r="B448" s="110"/>
      <c r="C448" s="478" t="s">
        <v>400</v>
      </c>
      <c r="D448" s="110"/>
      <c r="E448" s="110"/>
      <c r="F448" s="110"/>
      <c r="G448" s="110"/>
      <c r="H448" s="833">
        <f t="shared" ref="H448:AI448" si="193">H439*(-H227-H232-H233-H168)</f>
        <v>0</v>
      </c>
      <c r="I448" s="833">
        <f t="shared" si="193"/>
        <v>0</v>
      </c>
      <c r="J448" s="833">
        <f t="shared" si="193"/>
        <v>0</v>
      </c>
      <c r="K448" s="833">
        <f t="shared" si="193"/>
        <v>10897130.6585772</v>
      </c>
      <c r="L448" s="833">
        <f t="shared" si="193"/>
        <v>11065750.642308377</v>
      </c>
      <c r="M448" s="833">
        <f t="shared" si="193"/>
        <v>12426477.997421646</v>
      </c>
      <c r="N448" s="833">
        <f t="shared" si="193"/>
        <v>12074456.58886043</v>
      </c>
      <c r="O448" s="833">
        <f t="shared" si="193"/>
        <v>12086811.70221613</v>
      </c>
      <c r="P448" s="833">
        <f t="shared" si="193"/>
        <v>12935558.447142111</v>
      </c>
      <c r="Q448" s="833">
        <f t="shared" si="193"/>
        <v>12106309.388230398</v>
      </c>
      <c r="R448" s="833">
        <f t="shared" si="193"/>
        <v>12131541.518490482</v>
      </c>
      <c r="S448" s="833">
        <f t="shared" si="193"/>
        <v>12956319.793170813</v>
      </c>
      <c r="T448" s="833">
        <f t="shared" si="193"/>
        <v>12057462.879866932</v>
      </c>
      <c r="U448" s="833">
        <f t="shared" si="193"/>
        <v>12086054.546975376</v>
      </c>
      <c r="V448" s="833">
        <f t="shared" si="193"/>
        <v>12908491.798687547</v>
      </c>
      <c r="W448" s="833">
        <f t="shared" si="193"/>
        <v>12086054.546975376</v>
      </c>
      <c r="X448" s="833">
        <f t="shared" si="193"/>
        <v>11936630.431646615</v>
      </c>
      <c r="Y448" s="833">
        <f t="shared" si="193"/>
        <v>12737490.434807092</v>
      </c>
      <c r="Z448" s="833">
        <f t="shared" si="193"/>
        <v>11915053.183094913</v>
      </c>
      <c r="AA448" s="833">
        <f t="shared" si="193"/>
        <v>11915053.183094913</v>
      </c>
      <c r="AB448" s="833">
        <f t="shared" si="193"/>
        <v>12737490.434807086</v>
      </c>
      <c r="AC448" s="833">
        <f t="shared" si="193"/>
        <v>11915053.183094913</v>
      </c>
      <c r="AD448" s="833">
        <f t="shared" si="193"/>
        <v>11943645.558530783</v>
      </c>
      <c r="AE448" s="833">
        <f t="shared" si="193"/>
        <v>12860759.120556032</v>
      </c>
      <c r="AF448" s="833">
        <f t="shared" si="193"/>
        <v>12072340.404795408</v>
      </c>
      <c r="AG448" s="833">
        <f t="shared" si="193"/>
        <v>12072340.404795408</v>
      </c>
      <c r="AH448" s="833">
        <f t="shared" si="193"/>
        <v>12883853.740520809</v>
      </c>
      <c r="AI448" s="833">
        <f t="shared" si="193"/>
        <v>12072340.404795405</v>
      </c>
    </row>
    <row r="449" spans="2:35" ht="15.75" customHeight="1">
      <c r="B449" s="110"/>
      <c r="C449" s="482" t="s">
        <v>446</v>
      </c>
      <c r="D449" s="110"/>
      <c r="E449" s="110"/>
      <c r="F449" s="110"/>
      <c r="G449" s="110"/>
      <c r="H449" s="80">
        <f t="shared" ref="H449:AI449" si="194">SUM(H448)</f>
        <v>0</v>
      </c>
      <c r="I449" s="80">
        <f t="shared" si="194"/>
        <v>0</v>
      </c>
      <c r="J449" s="80">
        <f t="shared" si="194"/>
        <v>0</v>
      </c>
      <c r="K449" s="80">
        <f t="shared" si="194"/>
        <v>10897130.6585772</v>
      </c>
      <c r="L449" s="80">
        <f t="shared" si="194"/>
        <v>11065750.642308377</v>
      </c>
      <c r="M449" s="80">
        <f t="shared" si="194"/>
        <v>12426477.997421646</v>
      </c>
      <c r="N449" s="80">
        <f t="shared" si="194"/>
        <v>12074456.58886043</v>
      </c>
      <c r="O449" s="80">
        <f t="shared" si="194"/>
        <v>12086811.70221613</v>
      </c>
      <c r="P449" s="80">
        <f t="shared" si="194"/>
        <v>12935558.447142111</v>
      </c>
      <c r="Q449" s="80">
        <f t="shared" si="194"/>
        <v>12106309.388230398</v>
      </c>
      <c r="R449" s="80">
        <f t="shared" si="194"/>
        <v>12131541.518490482</v>
      </c>
      <c r="S449" s="80">
        <f t="shared" si="194"/>
        <v>12956319.793170813</v>
      </c>
      <c r="T449" s="80">
        <f t="shared" si="194"/>
        <v>12057462.879866932</v>
      </c>
      <c r="U449" s="80">
        <f t="shared" si="194"/>
        <v>12086054.546975376</v>
      </c>
      <c r="V449" s="80">
        <f t="shared" si="194"/>
        <v>12908491.798687547</v>
      </c>
      <c r="W449" s="80">
        <f t="shared" si="194"/>
        <v>12086054.546975376</v>
      </c>
      <c r="X449" s="80">
        <f t="shared" si="194"/>
        <v>11936630.431646615</v>
      </c>
      <c r="Y449" s="80">
        <f t="shared" si="194"/>
        <v>12737490.434807092</v>
      </c>
      <c r="Z449" s="80">
        <f t="shared" si="194"/>
        <v>11915053.183094913</v>
      </c>
      <c r="AA449" s="80">
        <f t="shared" si="194"/>
        <v>11915053.183094913</v>
      </c>
      <c r="AB449" s="80">
        <f t="shared" si="194"/>
        <v>12737490.434807086</v>
      </c>
      <c r="AC449" s="80">
        <f t="shared" si="194"/>
        <v>11915053.183094913</v>
      </c>
      <c r="AD449" s="80">
        <f t="shared" si="194"/>
        <v>11943645.558530783</v>
      </c>
      <c r="AE449" s="80">
        <f t="shared" si="194"/>
        <v>12860759.120556032</v>
      </c>
      <c r="AF449" s="80">
        <f t="shared" si="194"/>
        <v>12072340.404795408</v>
      </c>
      <c r="AG449" s="80">
        <f t="shared" si="194"/>
        <v>12072340.404795408</v>
      </c>
      <c r="AH449" s="80">
        <f t="shared" si="194"/>
        <v>12883853.740520809</v>
      </c>
      <c r="AI449" s="80">
        <f t="shared" si="194"/>
        <v>12072340.404795405</v>
      </c>
    </row>
    <row r="450" spans="2:35" ht="15.75" customHeight="1">
      <c r="B450" s="76"/>
      <c r="C450" s="164"/>
      <c r="D450" s="111"/>
      <c r="E450" s="111"/>
      <c r="F450" s="111"/>
      <c r="G450" s="111"/>
      <c r="H450" s="152"/>
      <c r="I450" s="152"/>
      <c r="J450" s="152"/>
      <c r="K450" s="152"/>
      <c r="L450" s="152"/>
      <c r="M450" s="152"/>
      <c r="N450" s="152"/>
      <c r="O450" s="152"/>
      <c r="Q450" s="152"/>
      <c r="R450" s="152"/>
      <c r="S450" s="152"/>
      <c r="T450" s="152"/>
      <c r="U450" s="152"/>
      <c r="V450" s="152"/>
      <c r="W450" s="152"/>
      <c r="X450" s="152"/>
      <c r="Y450" s="152"/>
      <c r="Z450" s="152"/>
      <c r="AA450" s="152"/>
      <c r="AB450" s="152"/>
      <c r="AC450" s="152"/>
      <c r="AD450" s="152"/>
      <c r="AE450" s="152"/>
      <c r="AF450" s="152"/>
      <c r="AG450" s="152"/>
      <c r="AH450" s="152"/>
      <c r="AI450" s="152"/>
    </row>
    <row r="451" spans="2:35" ht="15.75" customHeight="1">
      <c r="B451" s="110"/>
      <c r="C451" s="163" t="s">
        <v>401</v>
      </c>
      <c r="D451" s="110"/>
      <c r="E451" s="110"/>
      <c r="F451" s="110"/>
      <c r="G451" s="110"/>
      <c r="H451" s="833">
        <f t="shared" ref="H451:AI451" si="195">H447-H449</f>
        <v>0</v>
      </c>
      <c r="I451" s="833">
        <f t="shared" si="195"/>
        <v>0</v>
      </c>
      <c r="J451" s="833">
        <f t="shared" si="195"/>
        <v>0</v>
      </c>
      <c r="K451" s="833">
        <f t="shared" si="195"/>
        <v>20448696.725489661</v>
      </c>
      <c r="L451" s="833">
        <f t="shared" si="195"/>
        <v>21651825.885598466</v>
      </c>
      <c r="M451" s="833">
        <f t="shared" si="195"/>
        <v>25145219.901355363</v>
      </c>
      <c r="N451" s="833">
        <f t="shared" si="195"/>
        <v>23590055.516636692</v>
      </c>
      <c r="O451" s="833">
        <f t="shared" si="195"/>
        <v>23730911.847535055</v>
      </c>
      <c r="P451" s="833">
        <f t="shared" si="195"/>
        <v>26716539.893114612</v>
      </c>
      <c r="Q451" s="833">
        <f t="shared" si="195"/>
        <v>23711414.161520787</v>
      </c>
      <c r="R451" s="833">
        <f t="shared" si="195"/>
        <v>23686182.031260703</v>
      </c>
      <c r="S451" s="833">
        <f t="shared" si="195"/>
        <v>26592508.659858283</v>
      </c>
      <c r="T451" s="833">
        <f t="shared" si="195"/>
        <v>22522728.658115823</v>
      </c>
      <c r="U451" s="833">
        <f t="shared" si="195"/>
        <v>22848692.265831716</v>
      </c>
      <c r="V451" s="833">
        <f t="shared" si="195"/>
        <v>25751955.744693473</v>
      </c>
      <c r="W451" s="833">
        <f t="shared" si="195"/>
        <v>22848692.265831709</v>
      </c>
      <c r="X451" s="833">
        <f t="shared" si="195"/>
        <v>22998116.381160468</v>
      </c>
      <c r="Y451" s="833">
        <f t="shared" si="195"/>
        <v>25922957.108573966</v>
      </c>
      <c r="Z451" s="833">
        <f t="shared" si="195"/>
        <v>23019693.629712157</v>
      </c>
      <c r="AA451" s="833">
        <f t="shared" si="195"/>
        <v>23019693.629712157</v>
      </c>
      <c r="AB451" s="833">
        <f t="shared" si="195"/>
        <v>25922957.108573928</v>
      </c>
      <c r="AC451" s="833">
        <f t="shared" si="195"/>
        <v>23019693.629712172</v>
      </c>
      <c r="AD451" s="833">
        <f t="shared" si="195"/>
        <v>22255889.44699157</v>
      </c>
      <c r="AE451" s="833">
        <f t="shared" si="195"/>
        <v>24277194.159673035</v>
      </c>
      <c r="AF451" s="833">
        <f t="shared" si="195"/>
        <v>21761764.12423797</v>
      </c>
      <c r="AG451" s="833">
        <f t="shared" si="195"/>
        <v>21761764.124237977</v>
      </c>
      <c r="AH451" s="833">
        <f t="shared" si="195"/>
        <v>24540487.853391316</v>
      </c>
      <c r="AI451" s="833">
        <f t="shared" si="195"/>
        <v>21761764.124237951</v>
      </c>
    </row>
    <row r="452" spans="2:35" ht="15.75" customHeight="1">
      <c r="B452" s="110"/>
      <c r="C452" s="163" t="s">
        <v>402</v>
      </c>
      <c r="D452" s="110"/>
      <c r="E452" s="110"/>
      <c r="F452" s="110"/>
      <c r="G452" s="110"/>
      <c r="H452" s="833">
        <f t="shared" ref="H452:AI452" si="196">H451-G451</f>
        <v>0</v>
      </c>
      <c r="I452" s="833">
        <f t="shared" si="196"/>
        <v>0</v>
      </c>
      <c r="J452" s="833">
        <f t="shared" si="196"/>
        <v>0</v>
      </c>
      <c r="K452" s="833">
        <f t="shared" si="196"/>
        <v>20448696.725489661</v>
      </c>
      <c r="L452" s="833">
        <f t="shared" si="196"/>
        <v>1203129.1601088047</v>
      </c>
      <c r="M452" s="833">
        <f t="shared" si="196"/>
        <v>3493394.0157568976</v>
      </c>
      <c r="N452" s="833">
        <f t="shared" si="196"/>
        <v>-1555164.3847186714</v>
      </c>
      <c r="O452" s="833">
        <f t="shared" si="196"/>
        <v>140856.33089836314</v>
      </c>
      <c r="P452" s="833">
        <f t="shared" si="196"/>
        <v>2985628.0455795564</v>
      </c>
      <c r="Q452" s="833">
        <f t="shared" si="196"/>
        <v>-3005125.7315938249</v>
      </c>
      <c r="R452" s="833">
        <f t="shared" si="196"/>
        <v>-25232.130260083824</v>
      </c>
      <c r="S452" s="833">
        <f t="shared" si="196"/>
        <v>2906326.6285975799</v>
      </c>
      <c r="T452" s="833">
        <f t="shared" si="196"/>
        <v>-4069780.0017424598</v>
      </c>
      <c r="U452" s="833">
        <f t="shared" si="196"/>
        <v>325963.60771589354</v>
      </c>
      <c r="V452" s="833">
        <f t="shared" si="196"/>
        <v>2903263.4788617566</v>
      </c>
      <c r="W452" s="833">
        <f t="shared" si="196"/>
        <v>-2903263.4788617641</v>
      </c>
      <c r="X452" s="833">
        <f t="shared" si="196"/>
        <v>149424.11532875896</v>
      </c>
      <c r="Y452" s="833">
        <f t="shared" si="196"/>
        <v>2924840.7274134979</v>
      </c>
      <c r="Z452" s="833">
        <f t="shared" si="196"/>
        <v>-2903263.4788618088</v>
      </c>
      <c r="AA452" s="833">
        <f t="shared" si="196"/>
        <v>0</v>
      </c>
      <c r="AB452" s="833">
        <f t="shared" si="196"/>
        <v>2903263.4788617715</v>
      </c>
      <c r="AC452" s="833">
        <f t="shared" si="196"/>
        <v>-2903263.4788617566</v>
      </c>
      <c r="AD452" s="833">
        <f t="shared" si="196"/>
        <v>-763804.18272060156</v>
      </c>
      <c r="AE452" s="833">
        <f t="shared" si="196"/>
        <v>2021304.7126814649</v>
      </c>
      <c r="AF452" s="833">
        <f t="shared" si="196"/>
        <v>-2515430.0354350656</v>
      </c>
      <c r="AG452" s="833">
        <f t="shared" si="196"/>
        <v>0</v>
      </c>
      <c r="AH452" s="833">
        <f t="shared" si="196"/>
        <v>2778723.7291533388</v>
      </c>
      <c r="AI452" s="833">
        <f t="shared" si="196"/>
        <v>-2778723.7291533649</v>
      </c>
    </row>
    <row r="453" spans="2:35" ht="15.75" customHeight="1">
      <c r="B453" s="110"/>
      <c r="C453" s="482" t="s">
        <v>538</v>
      </c>
      <c r="D453" s="100"/>
      <c r="E453" s="834"/>
      <c r="F453" s="806"/>
      <c r="G453" s="806"/>
      <c r="H453" s="806">
        <f t="shared" ref="H453:W456" si="197">G453</f>
        <v>0</v>
      </c>
      <c r="I453" s="806">
        <f t="shared" si="197"/>
        <v>0</v>
      </c>
      <c r="J453" s="806">
        <f t="shared" si="197"/>
        <v>0</v>
      </c>
      <c r="K453" s="806">
        <f t="shared" si="197"/>
        <v>0</v>
      </c>
      <c r="L453" s="806">
        <f t="shared" si="197"/>
        <v>0</v>
      </c>
      <c r="M453" s="806">
        <f t="shared" si="197"/>
        <v>0</v>
      </c>
      <c r="N453" s="806">
        <f t="shared" si="197"/>
        <v>0</v>
      </c>
      <c r="O453" s="806">
        <f t="shared" si="197"/>
        <v>0</v>
      </c>
      <c r="P453" s="806">
        <f t="shared" si="197"/>
        <v>0</v>
      </c>
      <c r="Q453" s="806">
        <f t="shared" si="197"/>
        <v>0</v>
      </c>
      <c r="R453" s="806">
        <f t="shared" si="197"/>
        <v>0</v>
      </c>
      <c r="S453" s="806">
        <f t="shared" si="197"/>
        <v>0</v>
      </c>
      <c r="T453" s="806">
        <f t="shared" si="197"/>
        <v>0</v>
      </c>
      <c r="U453" s="806">
        <f t="shared" si="197"/>
        <v>0</v>
      </c>
      <c r="V453" s="806">
        <f t="shared" si="197"/>
        <v>0</v>
      </c>
      <c r="W453" s="806">
        <f t="shared" si="197"/>
        <v>0</v>
      </c>
      <c r="X453" s="806">
        <f t="shared" ref="X453:AI456" si="198">W453</f>
        <v>0</v>
      </c>
      <c r="Y453" s="806">
        <f t="shared" si="198"/>
        <v>0</v>
      </c>
      <c r="Z453" s="806">
        <f t="shared" si="198"/>
        <v>0</v>
      </c>
      <c r="AA453" s="806">
        <f t="shared" si="198"/>
        <v>0</v>
      </c>
      <c r="AB453" s="806">
        <f t="shared" si="198"/>
        <v>0</v>
      </c>
      <c r="AC453" s="806">
        <f t="shared" si="198"/>
        <v>0</v>
      </c>
      <c r="AD453" s="806">
        <f t="shared" si="198"/>
        <v>0</v>
      </c>
      <c r="AE453" s="806">
        <f t="shared" si="198"/>
        <v>0</v>
      </c>
      <c r="AF453" s="806">
        <f t="shared" si="198"/>
        <v>0</v>
      </c>
      <c r="AG453" s="806">
        <f t="shared" si="198"/>
        <v>0</v>
      </c>
      <c r="AH453" s="806">
        <f t="shared" si="198"/>
        <v>0</v>
      </c>
      <c r="AI453" s="806">
        <f t="shared" si="198"/>
        <v>0</v>
      </c>
    </row>
    <row r="454" spans="2:35" ht="15.75" customHeight="1">
      <c r="B454" s="110"/>
      <c r="C454" s="482" t="s">
        <v>32</v>
      </c>
      <c r="D454" s="100"/>
      <c r="E454" s="100"/>
      <c r="F454" s="806"/>
      <c r="G454" s="806"/>
      <c r="H454" s="806">
        <f t="shared" si="197"/>
        <v>0</v>
      </c>
      <c r="I454" s="806">
        <f t="shared" si="197"/>
        <v>0</v>
      </c>
      <c r="J454" s="806">
        <f t="shared" si="197"/>
        <v>0</v>
      </c>
      <c r="K454" s="806">
        <f t="shared" si="197"/>
        <v>0</v>
      </c>
      <c r="L454" s="806">
        <f t="shared" si="197"/>
        <v>0</v>
      </c>
      <c r="M454" s="806">
        <f t="shared" si="197"/>
        <v>0</v>
      </c>
      <c r="N454" s="806">
        <f t="shared" si="197"/>
        <v>0</v>
      </c>
      <c r="O454" s="806">
        <f t="shared" si="197"/>
        <v>0</v>
      </c>
      <c r="P454" s="806">
        <f t="shared" si="197"/>
        <v>0</v>
      </c>
      <c r="Q454" s="806">
        <f t="shared" si="197"/>
        <v>0</v>
      </c>
      <c r="R454" s="806">
        <f t="shared" si="197"/>
        <v>0</v>
      </c>
      <c r="S454" s="806">
        <f t="shared" si="197"/>
        <v>0</v>
      </c>
      <c r="T454" s="806">
        <f t="shared" si="197"/>
        <v>0</v>
      </c>
      <c r="U454" s="806">
        <f t="shared" si="197"/>
        <v>0</v>
      </c>
      <c r="V454" s="806">
        <f t="shared" si="197"/>
        <v>0</v>
      </c>
      <c r="W454" s="806">
        <f t="shared" si="197"/>
        <v>0</v>
      </c>
      <c r="X454" s="806">
        <f t="shared" si="198"/>
        <v>0</v>
      </c>
      <c r="Y454" s="806">
        <f t="shared" si="198"/>
        <v>0</v>
      </c>
      <c r="Z454" s="806">
        <f t="shared" si="198"/>
        <v>0</v>
      </c>
      <c r="AA454" s="806">
        <f t="shared" si="198"/>
        <v>0</v>
      </c>
      <c r="AB454" s="806">
        <f t="shared" si="198"/>
        <v>0</v>
      </c>
      <c r="AC454" s="806">
        <f t="shared" si="198"/>
        <v>0</v>
      </c>
      <c r="AD454" s="806">
        <f t="shared" si="198"/>
        <v>0</v>
      </c>
      <c r="AE454" s="806">
        <f t="shared" si="198"/>
        <v>0</v>
      </c>
      <c r="AF454" s="806">
        <f t="shared" si="198"/>
        <v>0</v>
      </c>
      <c r="AG454" s="806">
        <f t="shared" si="198"/>
        <v>0</v>
      </c>
      <c r="AH454" s="806">
        <f t="shared" si="198"/>
        <v>0</v>
      </c>
      <c r="AI454" s="806">
        <f t="shared" si="198"/>
        <v>0</v>
      </c>
    </row>
    <row r="455" spans="2:35" ht="15.75" customHeight="1">
      <c r="B455" s="110"/>
      <c r="C455" s="482" t="s">
        <v>498</v>
      </c>
      <c r="D455" s="110"/>
      <c r="E455" s="110"/>
      <c r="F455" s="110"/>
      <c r="G455" s="110"/>
      <c r="H455" s="806">
        <f t="shared" si="197"/>
        <v>0</v>
      </c>
      <c r="I455" s="806">
        <f t="shared" si="197"/>
        <v>0</v>
      </c>
      <c r="J455" s="806">
        <f t="shared" si="197"/>
        <v>0</v>
      </c>
      <c r="K455" s="806">
        <f t="shared" si="197"/>
        <v>0</v>
      </c>
      <c r="L455" s="806">
        <f t="shared" si="197"/>
        <v>0</v>
      </c>
      <c r="M455" s="806">
        <f t="shared" si="197"/>
        <v>0</v>
      </c>
      <c r="N455" s="806">
        <f t="shared" si="197"/>
        <v>0</v>
      </c>
      <c r="O455" s="806">
        <f t="shared" si="197"/>
        <v>0</v>
      </c>
      <c r="P455" s="806">
        <f t="shared" si="197"/>
        <v>0</v>
      </c>
      <c r="Q455" s="806">
        <f t="shared" si="197"/>
        <v>0</v>
      </c>
      <c r="R455" s="806">
        <f t="shared" si="197"/>
        <v>0</v>
      </c>
      <c r="S455" s="806">
        <f t="shared" si="197"/>
        <v>0</v>
      </c>
      <c r="T455" s="806">
        <f t="shared" si="197"/>
        <v>0</v>
      </c>
      <c r="U455" s="806">
        <f t="shared" si="197"/>
        <v>0</v>
      </c>
      <c r="V455" s="806">
        <f t="shared" si="197"/>
        <v>0</v>
      </c>
      <c r="W455" s="806">
        <f t="shared" si="197"/>
        <v>0</v>
      </c>
      <c r="X455" s="806">
        <f t="shared" si="198"/>
        <v>0</v>
      </c>
      <c r="Y455" s="806">
        <f t="shared" si="198"/>
        <v>0</v>
      </c>
      <c r="Z455" s="806">
        <f t="shared" si="198"/>
        <v>0</v>
      </c>
      <c r="AA455" s="806">
        <f t="shared" si="198"/>
        <v>0</v>
      </c>
      <c r="AB455" s="806">
        <f t="shared" si="198"/>
        <v>0</v>
      </c>
      <c r="AC455" s="806">
        <f t="shared" si="198"/>
        <v>0</v>
      </c>
      <c r="AD455" s="806">
        <f t="shared" si="198"/>
        <v>0</v>
      </c>
      <c r="AE455" s="806">
        <f t="shared" si="198"/>
        <v>0</v>
      </c>
      <c r="AF455" s="806">
        <f t="shared" si="198"/>
        <v>0</v>
      </c>
      <c r="AG455" s="806">
        <f t="shared" si="198"/>
        <v>0</v>
      </c>
      <c r="AH455" s="806">
        <f t="shared" si="198"/>
        <v>0</v>
      </c>
      <c r="AI455" s="806">
        <f t="shared" si="198"/>
        <v>0</v>
      </c>
    </row>
    <row r="456" spans="2:35" ht="15.75" customHeight="1">
      <c r="B456" s="110"/>
      <c r="C456" s="482" t="s">
        <v>403</v>
      </c>
      <c r="D456" s="100"/>
      <c r="E456" s="100"/>
      <c r="F456" s="806"/>
      <c r="G456" s="806"/>
      <c r="H456" s="806">
        <f t="shared" si="197"/>
        <v>0</v>
      </c>
      <c r="I456" s="806">
        <f t="shared" si="197"/>
        <v>0</v>
      </c>
      <c r="J456" s="806">
        <f t="shared" si="197"/>
        <v>0</v>
      </c>
      <c r="K456" s="806">
        <f t="shared" si="197"/>
        <v>0</v>
      </c>
      <c r="L456" s="806">
        <f t="shared" si="197"/>
        <v>0</v>
      </c>
      <c r="M456" s="806">
        <f t="shared" si="197"/>
        <v>0</v>
      </c>
      <c r="N456" s="806">
        <f t="shared" si="197"/>
        <v>0</v>
      </c>
      <c r="O456" s="806">
        <f t="shared" si="197"/>
        <v>0</v>
      </c>
      <c r="P456" s="806">
        <f t="shared" si="197"/>
        <v>0</v>
      </c>
      <c r="Q456" s="806">
        <f t="shared" si="197"/>
        <v>0</v>
      </c>
      <c r="R456" s="806">
        <f t="shared" si="197"/>
        <v>0</v>
      </c>
      <c r="S456" s="806">
        <f t="shared" si="197"/>
        <v>0</v>
      </c>
      <c r="T456" s="806">
        <f t="shared" si="197"/>
        <v>0</v>
      </c>
      <c r="U456" s="806">
        <f t="shared" si="197"/>
        <v>0</v>
      </c>
      <c r="V456" s="806">
        <f t="shared" si="197"/>
        <v>0</v>
      </c>
      <c r="W456" s="806">
        <f t="shared" si="197"/>
        <v>0</v>
      </c>
      <c r="X456" s="806">
        <f t="shared" si="198"/>
        <v>0</v>
      </c>
      <c r="Y456" s="806">
        <f t="shared" si="198"/>
        <v>0</v>
      </c>
      <c r="Z456" s="806">
        <f t="shared" si="198"/>
        <v>0</v>
      </c>
      <c r="AA456" s="806">
        <f t="shared" si="198"/>
        <v>0</v>
      </c>
      <c r="AB456" s="806">
        <f t="shared" si="198"/>
        <v>0</v>
      </c>
      <c r="AC456" s="806">
        <f t="shared" si="198"/>
        <v>0</v>
      </c>
      <c r="AD456" s="806">
        <f t="shared" si="198"/>
        <v>0</v>
      </c>
      <c r="AE456" s="806">
        <f t="shared" si="198"/>
        <v>0</v>
      </c>
      <c r="AF456" s="806">
        <f t="shared" si="198"/>
        <v>0</v>
      </c>
      <c r="AG456" s="806">
        <f t="shared" si="198"/>
        <v>0</v>
      </c>
      <c r="AH456" s="806">
        <f t="shared" si="198"/>
        <v>0</v>
      </c>
      <c r="AI456" s="806">
        <f t="shared" si="198"/>
        <v>0</v>
      </c>
    </row>
    <row r="457" spans="2:35" ht="15.75" customHeight="1">
      <c r="B457" s="76"/>
      <c r="C457" s="482" t="s">
        <v>497</v>
      </c>
      <c r="D457" s="100"/>
      <c r="E457" s="100"/>
      <c r="F457" s="100"/>
      <c r="G457" s="100"/>
      <c r="H457" s="833">
        <f t="shared" ref="H457:AI457" si="199">H454*H476</f>
        <v>0</v>
      </c>
      <c r="I457" s="833">
        <f t="shared" si="199"/>
        <v>0</v>
      </c>
      <c r="J457" s="833">
        <f t="shared" si="199"/>
        <v>0</v>
      </c>
      <c r="K457" s="833">
        <f t="shared" si="199"/>
        <v>0</v>
      </c>
      <c r="L457" s="833">
        <f t="shared" si="199"/>
        <v>0</v>
      </c>
      <c r="M457" s="833">
        <f t="shared" si="199"/>
        <v>0</v>
      </c>
      <c r="N457" s="833">
        <f t="shared" si="199"/>
        <v>0</v>
      </c>
      <c r="O457" s="833">
        <f t="shared" si="199"/>
        <v>0</v>
      </c>
      <c r="P457" s="833">
        <f t="shared" si="199"/>
        <v>0</v>
      </c>
      <c r="Q457" s="833">
        <f t="shared" si="199"/>
        <v>0</v>
      </c>
      <c r="R457" s="833">
        <f t="shared" si="199"/>
        <v>0</v>
      </c>
      <c r="S457" s="833">
        <f t="shared" si="199"/>
        <v>0</v>
      </c>
      <c r="T457" s="833">
        <f t="shared" si="199"/>
        <v>0</v>
      </c>
      <c r="U457" s="833">
        <f t="shared" si="199"/>
        <v>0</v>
      </c>
      <c r="V457" s="833">
        <f t="shared" si="199"/>
        <v>0</v>
      </c>
      <c r="W457" s="833">
        <f t="shared" si="199"/>
        <v>0</v>
      </c>
      <c r="X457" s="833">
        <f t="shared" si="199"/>
        <v>0</v>
      </c>
      <c r="Y457" s="833">
        <f t="shared" si="199"/>
        <v>0</v>
      </c>
      <c r="Z457" s="833">
        <f t="shared" si="199"/>
        <v>0</v>
      </c>
      <c r="AA457" s="833">
        <f t="shared" si="199"/>
        <v>0</v>
      </c>
      <c r="AB457" s="833">
        <f t="shared" si="199"/>
        <v>0</v>
      </c>
      <c r="AC457" s="833">
        <f t="shared" si="199"/>
        <v>0</v>
      </c>
      <c r="AD457" s="833">
        <f t="shared" si="199"/>
        <v>0</v>
      </c>
      <c r="AE457" s="833">
        <f t="shared" si="199"/>
        <v>0</v>
      </c>
      <c r="AF457" s="833">
        <f t="shared" si="199"/>
        <v>0</v>
      </c>
      <c r="AG457" s="833">
        <f t="shared" si="199"/>
        <v>0</v>
      </c>
      <c r="AH457" s="833">
        <f t="shared" si="199"/>
        <v>0</v>
      </c>
      <c r="AI457" s="833">
        <f t="shared" si="199"/>
        <v>0</v>
      </c>
    </row>
    <row r="458" spans="2:35" ht="15.75" customHeight="1">
      <c r="B458" s="76"/>
      <c r="C458" s="110" t="s">
        <v>404</v>
      </c>
      <c r="D458" s="110"/>
      <c r="E458" s="110"/>
      <c r="F458" s="110"/>
      <c r="G458" s="110"/>
      <c r="H458" s="833">
        <f t="shared" ref="H458:AI458" si="200">SUM(H457:H457)</f>
        <v>0</v>
      </c>
      <c r="I458" s="833">
        <f t="shared" si="200"/>
        <v>0</v>
      </c>
      <c r="J458" s="833">
        <f t="shared" si="200"/>
        <v>0</v>
      </c>
      <c r="K458" s="833">
        <f t="shared" si="200"/>
        <v>0</v>
      </c>
      <c r="L458" s="833">
        <f t="shared" si="200"/>
        <v>0</v>
      </c>
      <c r="M458" s="833">
        <f t="shared" si="200"/>
        <v>0</v>
      </c>
      <c r="N458" s="833">
        <f t="shared" si="200"/>
        <v>0</v>
      </c>
      <c r="O458" s="833">
        <f t="shared" si="200"/>
        <v>0</v>
      </c>
      <c r="P458" s="833">
        <f t="shared" si="200"/>
        <v>0</v>
      </c>
      <c r="Q458" s="833">
        <f t="shared" si="200"/>
        <v>0</v>
      </c>
      <c r="R458" s="833">
        <f t="shared" si="200"/>
        <v>0</v>
      </c>
      <c r="S458" s="833">
        <f t="shared" si="200"/>
        <v>0</v>
      </c>
      <c r="T458" s="833">
        <f t="shared" si="200"/>
        <v>0</v>
      </c>
      <c r="U458" s="833">
        <f t="shared" si="200"/>
        <v>0</v>
      </c>
      <c r="V458" s="833">
        <f t="shared" si="200"/>
        <v>0</v>
      </c>
      <c r="W458" s="833">
        <f t="shared" si="200"/>
        <v>0</v>
      </c>
      <c r="X458" s="833">
        <f t="shared" si="200"/>
        <v>0</v>
      </c>
      <c r="Y458" s="833">
        <f t="shared" si="200"/>
        <v>0</v>
      </c>
      <c r="Z458" s="833">
        <f t="shared" si="200"/>
        <v>0</v>
      </c>
      <c r="AA458" s="833">
        <f t="shared" si="200"/>
        <v>0</v>
      </c>
      <c r="AB458" s="833">
        <f t="shared" si="200"/>
        <v>0</v>
      </c>
      <c r="AC458" s="833">
        <f t="shared" si="200"/>
        <v>0</v>
      </c>
      <c r="AD458" s="833">
        <f t="shared" si="200"/>
        <v>0</v>
      </c>
      <c r="AE458" s="833">
        <f t="shared" si="200"/>
        <v>0</v>
      </c>
      <c r="AF458" s="833">
        <f t="shared" si="200"/>
        <v>0</v>
      </c>
      <c r="AG458" s="833">
        <f t="shared" si="200"/>
        <v>0</v>
      </c>
      <c r="AH458" s="833">
        <f t="shared" si="200"/>
        <v>0</v>
      </c>
      <c r="AI458" s="833">
        <f t="shared" si="200"/>
        <v>0</v>
      </c>
    </row>
    <row r="459" spans="2:35" ht="15.75" customHeight="1">
      <c r="B459" s="76"/>
      <c r="C459" s="533" t="s">
        <v>405</v>
      </c>
      <c r="D459" s="100"/>
      <c r="E459" s="100"/>
      <c r="F459" s="100"/>
      <c r="G459" s="100"/>
      <c r="H459" s="833">
        <f t="shared" ref="H459:AI459" si="201">H458-G458</f>
        <v>0</v>
      </c>
      <c r="I459" s="833">
        <f t="shared" si="201"/>
        <v>0</v>
      </c>
      <c r="J459" s="833">
        <f t="shared" si="201"/>
        <v>0</v>
      </c>
      <c r="K459" s="833">
        <f t="shared" si="201"/>
        <v>0</v>
      </c>
      <c r="L459" s="833">
        <f t="shared" si="201"/>
        <v>0</v>
      </c>
      <c r="M459" s="833">
        <f t="shared" si="201"/>
        <v>0</v>
      </c>
      <c r="N459" s="833">
        <f t="shared" si="201"/>
        <v>0</v>
      </c>
      <c r="O459" s="833">
        <f t="shared" si="201"/>
        <v>0</v>
      </c>
      <c r="P459" s="833">
        <f t="shared" si="201"/>
        <v>0</v>
      </c>
      <c r="Q459" s="833">
        <f t="shared" si="201"/>
        <v>0</v>
      </c>
      <c r="R459" s="833">
        <f t="shared" si="201"/>
        <v>0</v>
      </c>
      <c r="S459" s="833">
        <f t="shared" si="201"/>
        <v>0</v>
      </c>
      <c r="T459" s="833">
        <f t="shared" si="201"/>
        <v>0</v>
      </c>
      <c r="U459" s="833">
        <f t="shared" si="201"/>
        <v>0</v>
      </c>
      <c r="V459" s="833">
        <f t="shared" si="201"/>
        <v>0</v>
      </c>
      <c r="W459" s="833">
        <f t="shared" si="201"/>
        <v>0</v>
      </c>
      <c r="X459" s="833">
        <f t="shared" si="201"/>
        <v>0</v>
      </c>
      <c r="Y459" s="833">
        <f t="shared" si="201"/>
        <v>0</v>
      </c>
      <c r="Z459" s="833">
        <f t="shared" si="201"/>
        <v>0</v>
      </c>
      <c r="AA459" s="833">
        <f t="shared" si="201"/>
        <v>0</v>
      </c>
      <c r="AB459" s="833">
        <f t="shared" si="201"/>
        <v>0</v>
      </c>
      <c r="AC459" s="833">
        <f t="shared" si="201"/>
        <v>0</v>
      </c>
      <c r="AD459" s="833">
        <f t="shared" si="201"/>
        <v>0</v>
      </c>
      <c r="AE459" s="833">
        <f t="shared" si="201"/>
        <v>0</v>
      </c>
      <c r="AF459" s="833">
        <f t="shared" si="201"/>
        <v>0</v>
      </c>
      <c r="AG459" s="833">
        <f t="shared" si="201"/>
        <v>0</v>
      </c>
      <c r="AH459" s="833">
        <f t="shared" si="201"/>
        <v>0</v>
      </c>
      <c r="AI459" s="833">
        <f t="shared" si="201"/>
        <v>0</v>
      </c>
    </row>
    <row r="460" spans="2:35" ht="15.75" customHeight="1">
      <c r="B460" s="76"/>
      <c r="C460" s="482" t="s">
        <v>406</v>
      </c>
      <c r="D460" s="100"/>
      <c r="E460" s="508"/>
      <c r="F460" s="508"/>
      <c r="G460" s="508"/>
      <c r="H460" s="833">
        <f t="shared" ref="H460:AI460" si="202">H455*H430</f>
        <v>0</v>
      </c>
      <c r="I460" s="833">
        <f t="shared" si="202"/>
        <v>0</v>
      </c>
      <c r="J460" s="833">
        <f t="shared" si="202"/>
        <v>0</v>
      </c>
      <c r="K460" s="833">
        <f t="shared" si="202"/>
        <v>0</v>
      </c>
      <c r="L460" s="833">
        <f t="shared" si="202"/>
        <v>0</v>
      </c>
      <c r="M460" s="833">
        <f t="shared" si="202"/>
        <v>0</v>
      </c>
      <c r="N460" s="833">
        <f t="shared" si="202"/>
        <v>0</v>
      </c>
      <c r="O460" s="833">
        <f t="shared" si="202"/>
        <v>0</v>
      </c>
      <c r="P460" s="833">
        <f t="shared" si="202"/>
        <v>0</v>
      </c>
      <c r="Q460" s="833">
        <f t="shared" si="202"/>
        <v>0</v>
      </c>
      <c r="R460" s="833">
        <f t="shared" si="202"/>
        <v>0</v>
      </c>
      <c r="S460" s="833">
        <f t="shared" si="202"/>
        <v>0</v>
      </c>
      <c r="T460" s="833">
        <f t="shared" si="202"/>
        <v>0</v>
      </c>
      <c r="U460" s="833">
        <f t="shared" si="202"/>
        <v>0</v>
      </c>
      <c r="V460" s="833">
        <f t="shared" si="202"/>
        <v>0</v>
      </c>
      <c r="W460" s="833">
        <f t="shared" si="202"/>
        <v>0</v>
      </c>
      <c r="X460" s="833">
        <f t="shared" si="202"/>
        <v>0</v>
      </c>
      <c r="Y460" s="833">
        <f t="shared" si="202"/>
        <v>0</v>
      </c>
      <c r="Z460" s="833">
        <f t="shared" si="202"/>
        <v>0</v>
      </c>
      <c r="AA460" s="833">
        <f t="shared" si="202"/>
        <v>0</v>
      </c>
      <c r="AB460" s="833">
        <f t="shared" si="202"/>
        <v>0</v>
      </c>
      <c r="AC460" s="833">
        <f t="shared" si="202"/>
        <v>0</v>
      </c>
      <c r="AD460" s="833">
        <f t="shared" si="202"/>
        <v>0</v>
      </c>
      <c r="AE460" s="833">
        <f t="shared" si="202"/>
        <v>0</v>
      </c>
      <c r="AF460" s="833">
        <f t="shared" si="202"/>
        <v>0</v>
      </c>
      <c r="AG460" s="833">
        <f t="shared" si="202"/>
        <v>0</v>
      </c>
      <c r="AH460" s="833">
        <f t="shared" si="202"/>
        <v>0</v>
      </c>
      <c r="AI460" s="833">
        <f t="shared" si="202"/>
        <v>0</v>
      </c>
    </row>
    <row r="461" spans="2:35" ht="15.75" customHeight="1">
      <c r="B461" s="76"/>
      <c r="C461" s="482" t="s">
        <v>389</v>
      </c>
      <c r="D461" s="100"/>
      <c r="E461" s="114"/>
      <c r="F461" s="507"/>
      <c r="G461" s="507"/>
      <c r="H461" s="833">
        <f t="shared" ref="H461:AI461" si="203">H456*H430</f>
        <v>0</v>
      </c>
      <c r="I461" s="833">
        <f t="shared" si="203"/>
        <v>0</v>
      </c>
      <c r="J461" s="833">
        <f t="shared" si="203"/>
        <v>0</v>
      </c>
      <c r="K461" s="833">
        <f t="shared" si="203"/>
        <v>0</v>
      </c>
      <c r="L461" s="833">
        <f t="shared" si="203"/>
        <v>0</v>
      </c>
      <c r="M461" s="833">
        <f t="shared" si="203"/>
        <v>0</v>
      </c>
      <c r="N461" s="833">
        <f t="shared" si="203"/>
        <v>0</v>
      </c>
      <c r="O461" s="833">
        <f t="shared" si="203"/>
        <v>0</v>
      </c>
      <c r="P461" s="833">
        <f t="shared" si="203"/>
        <v>0</v>
      </c>
      <c r="Q461" s="833">
        <f t="shared" si="203"/>
        <v>0</v>
      </c>
      <c r="R461" s="833">
        <f t="shared" si="203"/>
        <v>0</v>
      </c>
      <c r="S461" s="833">
        <f t="shared" si="203"/>
        <v>0</v>
      </c>
      <c r="T461" s="833">
        <f t="shared" si="203"/>
        <v>0</v>
      </c>
      <c r="U461" s="833">
        <f t="shared" si="203"/>
        <v>0</v>
      </c>
      <c r="V461" s="833">
        <f t="shared" si="203"/>
        <v>0</v>
      </c>
      <c r="W461" s="833">
        <f t="shared" si="203"/>
        <v>0</v>
      </c>
      <c r="X461" s="833">
        <f t="shared" si="203"/>
        <v>0</v>
      </c>
      <c r="Y461" s="833">
        <f t="shared" si="203"/>
        <v>0</v>
      </c>
      <c r="Z461" s="833">
        <f t="shared" si="203"/>
        <v>0</v>
      </c>
      <c r="AA461" s="833">
        <f t="shared" si="203"/>
        <v>0</v>
      </c>
      <c r="AB461" s="833">
        <f t="shared" si="203"/>
        <v>0</v>
      </c>
      <c r="AC461" s="833">
        <f t="shared" si="203"/>
        <v>0</v>
      </c>
      <c r="AD461" s="833">
        <f t="shared" si="203"/>
        <v>0</v>
      </c>
      <c r="AE461" s="833">
        <f t="shared" si="203"/>
        <v>0</v>
      </c>
      <c r="AF461" s="833">
        <f t="shared" si="203"/>
        <v>0</v>
      </c>
      <c r="AG461" s="833">
        <f t="shared" si="203"/>
        <v>0</v>
      </c>
      <c r="AH461" s="833">
        <f t="shared" si="203"/>
        <v>0</v>
      </c>
      <c r="AI461" s="833">
        <f t="shared" si="203"/>
        <v>0</v>
      </c>
    </row>
    <row r="462" spans="2:35" ht="15.75" customHeight="1">
      <c r="B462" s="111"/>
      <c r="C462" s="110" t="s">
        <v>407</v>
      </c>
      <c r="D462" s="483"/>
      <c r="E462" s="534"/>
      <c r="F462" s="528"/>
      <c r="G462" s="528"/>
      <c r="H462" s="833">
        <f t="shared" ref="H462:AI462" si="204">SUM(H460:H461)</f>
        <v>0</v>
      </c>
      <c r="I462" s="833">
        <f t="shared" si="204"/>
        <v>0</v>
      </c>
      <c r="J462" s="833">
        <f t="shared" si="204"/>
        <v>0</v>
      </c>
      <c r="K462" s="833">
        <f t="shared" si="204"/>
        <v>0</v>
      </c>
      <c r="L462" s="833">
        <f t="shared" si="204"/>
        <v>0</v>
      </c>
      <c r="M462" s="833">
        <f t="shared" si="204"/>
        <v>0</v>
      </c>
      <c r="N462" s="833">
        <f t="shared" si="204"/>
        <v>0</v>
      </c>
      <c r="O462" s="833">
        <f t="shared" si="204"/>
        <v>0</v>
      </c>
      <c r="P462" s="833">
        <f t="shared" si="204"/>
        <v>0</v>
      </c>
      <c r="Q462" s="833">
        <f t="shared" si="204"/>
        <v>0</v>
      </c>
      <c r="R462" s="833">
        <f t="shared" si="204"/>
        <v>0</v>
      </c>
      <c r="S462" s="833">
        <f t="shared" si="204"/>
        <v>0</v>
      </c>
      <c r="T462" s="833">
        <f t="shared" si="204"/>
        <v>0</v>
      </c>
      <c r="U462" s="833">
        <f t="shared" si="204"/>
        <v>0</v>
      </c>
      <c r="V462" s="833">
        <f t="shared" si="204"/>
        <v>0</v>
      </c>
      <c r="W462" s="833">
        <f t="shared" si="204"/>
        <v>0</v>
      </c>
      <c r="X462" s="833">
        <f t="shared" si="204"/>
        <v>0</v>
      </c>
      <c r="Y462" s="833">
        <f t="shared" si="204"/>
        <v>0</v>
      </c>
      <c r="Z462" s="833">
        <f t="shared" si="204"/>
        <v>0</v>
      </c>
      <c r="AA462" s="833">
        <f t="shared" si="204"/>
        <v>0</v>
      </c>
      <c r="AB462" s="833">
        <f t="shared" si="204"/>
        <v>0</v>
      </c>
      <c r="AC462" s="833">
        <f t="shared" si="204"/>
        <v>0</v>
      </c>
      <c r="AD462" s="833">
        <f t="shared" si="204"/>
        <v>0</v>
      </c>
      <c r="AE462" s="833">
        <f t="shared" si="204"/>
        <v>0</v>
      </c>
      <c r="AF462" s="833">
        <f t="shared" si="204"/>
        <v>0</v>
      </c>
      <c r="AG462" s="833">
        <f t="shared" si="204"/>
        <v>0</v>
      </c>
      <c r="AH462" s="833">
        <f t="shared" si="204"/>
        <v>0</v>
      </c>
      <c r="AI462" s="833">
        <f t="shared" si="204"/>
        <v>0</v>
      </c>
    </row>
    <row r="463" spans="2:35" ht="15.75" customHeight="1">
      <c r="B463" s="111"/>
      <c r="C463" s="533" t="s">
        <v>408</v>
      </c>
      <c r="D463" s="483"/>
      <c r="E463" s="534"/>
      <c r="F463" s="82"/>
      <c r="G463" s="82"/>
      <c r="H463" s="833">
        <f t="shared" ref="H463:AI463" si="205">H462-G462</f>
        <v>0</v>
      </c>
      <c r="I463" s="833">
        <f t="shared" si="205"/>
        <v>0</v>
      </c>
      <c r="J463" s="833">
        <f t="shared" si="205"/>
        <v>0</v>
      </c>
      <c r="K463" s="833">
        <f t="shared" si="205"/>
        <v>0</v>
      </c>
      <c r="L463" s="833">
        <f t="shared" si="205"/>
        <v>0</v>
      </c>
      <c r="M463" s="833">
        <f t="shared" si="205"/>
        <v>0</v>
      </c>
      <c r="N463" s="833">
        <f t="shared" si="205"/>
        <v>0</v>
      </c>
      <c r="O463" s="833">
        <f t="shared" si="205"/>
        <v>0</v>
      </c>
      <c r="P463" s="833">
        <f t="shared" si="205"/>
        <v>0</v>
      </c>
      <c r="Q463" s="833">
        <f t="shared" si="205"/>
        <v>0</v>
      </c>
      <c r="R463" s="833">
        <f t="shared" si="205"/>
        <v>0</v>
      </c>
      <c r="S463" s="833">
        <f t="shared" si="205"/>
        <v>0</v>
      </c>
      <c r="T463" s="833">
        <f t="shared" si="205"/>
        <v>0</v>
      </c>
      <c r="U463" s="833">
        <f t="shared" si="205"/>
        <v>0</v>
      </c>
      <c r="V463" s="833">
        <f t="shared" si="205"/>
        <v>0</v>
      </c>
      <c r="W463" s="833">
        <f t="shared" si="205"/>
        <v>0</v>
      </c>
      <c r="X463" s="833">
        <f t="shared" si="205"/>
        <v>0</v>
      </c>
      <c r="Y463" s="833">
        <f t="shared" si="205"/>
        <v>0</v>
      </c>
      <c r="Z463" s="833">
        <f t="shared" si="205"/>
        <v>0</v>
      </c>
      <c r="AA463" s="833">
        <f t="shared" si="205"/>
        <v>0</v>
      </c>
      <c r="AB463" s="833">
        <f t="shared" si="205"/>
        <v>0</v>
      </c>
      <c r="AC463" s="833">
        <f t="shared" si="205"/>
        <v>0</v>
      </c>
      <c r="AD463" s="833">
        <f t="shared" si="205"/>
        <v>0</v>
      </c>
      <c r="AE463" s="833">
        <f t="shared" si="205"/>
        <v>0</v>
      </c>
      <c r="AF463" s="833">
        <f t="shared" si="205"/>
        <v>0</v>
      </c>
      <c r="AG463" s="833">
        <f t="shared" si="205"/>
        <v>0</v>
      </c>
      <c r="AH463" s="833">
        <f t="shared" si="205"/>
        <v>0</v>
      </c>
      <c r="AI463" s="833">
        <f t="shared" si="205"/>
        <v>0</v>
      </c>
    </row>
    <row r="464" spans="2:35" ht="15.75" customHeight="1">
      <c r="B464" s="111"/>
      <c r="C464" s="482" t="s">
        <v>409</v>
      </c>
      <c r="D464" s="483"/>
      <c r="E464" s="534"/>
      <c r="F464" s="82"/>
      <c r="G464" s="82"/>
      <c r="H464" s="833">
        <f t="shared" ref="H464:AI464" si="206">H459-H463</f>
        <v>0</v>
      </c>
      <c r="I464" s="833">
        <f t="shared" si="206"/>
        <v>0</v>
      </c>
      <c r="J464" s="833">
        <f t="shared" si="206"/>
        <v>0</v>
      </c>
      <c r="K464" s="833">
        <f t="shared" si="206"/>
        <v>0</v>
      </c>
      <c r="L464" s="833">
        <f t="shared" si="206"/>
        <v>0</v>
      </c>
      <c r="M464" s="833">
        <f t="shared" si="206"/>
        <v>0</v>
      </c>
      <c r="N464" s="833">
        <f t="shared" si="206"/>
        <v>0</v>
      </c>
      <c r="O464" s="833">
        <f t="shared" si="206"/>
        <v>0</v>
      </c>
      <c r="P464" s="833">
        <f t="shared" si="206"/>
        <v>0</v>
      </c>
      <c r="Q464" s="833">
        <f t="shared" si="206"/>
        <v>0</v>
      </c>
      <c r="R464" s="833">
        <f t="shared" si="206"/>
        <v>0</v>
      </c>
      <c r="S464" s="833">
        <f t="shared" si="206"/>
        <v>0</v>
      </c>
      <c r="T464" s="833">
        <f t="shared" si="206"/>
        <v>0</v>
      </c>
      <c r="U464" s="833">
        <f t="shared" si="206"/>
        <v>0</v>
      </c>
      <c r="V464" s="833">
        <f t="shared" si="206"/>
        <v>0</v>
      </c>
      <c r="W464" s="833">
        <f t="shared" si="206"/>
        <v>0</v>
      </c>
      <c r="X464" s="833">
        <f t="shared" si="206"/>
        <v>0</v>
      </c>
      <c r="Y464" s="833">
        <f t="shared" si="206"/>
        <v>0</v>
      </c>
      <c r="Z464" s="833">
        <f t="shared" si="206"/>
        <v>0</v>
      </c>
      <c r="AA464" s="833">
        <f t="shared" si="206"/>
        <v>0</v>
      </c>
      <c r="AB464" s="833">
        <f t="shared" si="206"/>
        <v>0</v>
      </c>
      <c r="AC464" s="833">
        <f t="shared" si="206"/>
        <v>0</v>
      </c>
      <c r="AD464" s="833">
        <f t="shared" si="206"/>
        <v>0</v>
      </c>
      <c r="AE464" s="833">
        <f t="shared" si="206"/>
        <v>0</v>
      </c>
      <c r="AF464" s="833">
        <f t="shared" si="206"/>
        <v>0</v>
      </c>
      <c r="AG464" s="833">
        <f t="shared" si="206"/>
        <v>0</v>
      </c>
      <c r="AH464" s="833">
        <f t="shared" si="206"/>
        <v>0</v>
      </c>
      <c r="AI464" s="833">
        <f t="shared" si="206"/>
        <v>0</v>
      </c>
    </row>
    <row r="465" spans="2:35" ht="15.75" customHeight="1">
      <c r="B465" s="110"/>
      <c r="C465" s="482"/>
      <c r="D465" s="110"/>
      <c r="E465" s="110"/>
      <c r="F465" s="110"/>
      <c r="G465" s="110"/>
      <c r="H465" s="110"/>
      <c r="I465" s="110"/>
      <c r="J465" s="110"/>
      <c r="K465" s="110"/>
      <c r="L465" s="110"/>
      <c r="M465" s="571"/>
      <c r="N465" s="571"/>
      <c r="O465" s="76"/>
    </row>
    <row r="466" spans="2:35" ht="15.75" customHeight="1">
      <c r="B466" s="111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21"/>
      <c r="N466" s="121"/>
      <c r="O466" s="76"/>
    </row>
    <row r="467" spans="2:35" ht="15.75" customHeight="1">
      <c r="B467" s="111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21"/>
      <c r="N467" s="121"/>
      <c r="O467" s="76"/>
    </row>
    <row r="468" spans="2:35" ht="27">
      <c r="B468" s="111"/>
      <c r="C468" s="499" t="s">
        <v>238</v>
      </c>
      <c r="K468" s="102"/>
      <c r="L468" s="102"/>
      <c r="M468" s="103"/>
      <c r="N468" s="137"/>
      <c r="O468" s="137"/>
      <c r="P468" s="137"/>
    </row>
    <row r="469" spans="2:35" ht="3" customHeight="1">
      <c r="B469" s="111"/>
      <c r="C469" s="104"/>
      <c r="D469" s="104"/>
      <c r="E469" s="104"/>
      <c r="F469" s="104"/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</row>
    <row r="470" spans="2:35" ht="15.75" customHeight="1">
      <c r="B470" s="111"/>
      <c r="C470" s="75"/>
      <c r="K470" s="102"/>
      <c r="L470" s="102"/>
      <c r="M470" s="103"/>
      <c r="N470" s="137"/>
      <c r="O470" s="137"/>
      <c r="P470" s="137"/>
    </row>
    <row r="471" spans="2:35" ht="4.5" customHeight="1">
      <c r="B471" s="111"/>
      <c r="C471" s="480"/>
      <c r="K471" s="102"/>
      <c r="L471" s="500"/>
      <c r="M471" s="105"/>
      <c r="N471" s="138"/>
      <c r="O471" s="105"/>
      <c r="P471" s="138"/>
    </row>
    <row r="472" spans="2:35">
      <c r="B472" s="91"/>
      <c r="C472" s="546"/>
      <c r="D472" s="106"/>
      <c r="E472" s="106"/>
      <c r="F472" s="106"/>
      <c r="G472" s="768">
        <f>H472-1</f>
        <v>-4</v>
      </c>
      <c r="H472" s="768">
        <f>I472-1</f>
        <v>-3</v>
      </c>
      <c r="I472" s="768">
        <f>J472-1</f>
        <v>-2</v>
      </c>
      <c r="J472" s="768">
        <v>-1</v>
      </c>
      <c r="K472" s="768">
        <f>J472+2</f>
        <v>1</v>
      </c>
      <c r="L472" s="768">
        <f t="shared" ref="L472:AI472" si="207">K472+1</f>
        <v>2</v>
      </c>
      <c r="M472" s="768">
        <f t="shared" si="207"/>
        <v>3</v>
      </c>
      <c r="N472" s="768">
        <f t="shared" si="207"/>
        <v>4</v>
      </c>
      <c r="O472" s="768">
        <f t="shared" si="207"/>
        <v>5</v>
      </c>
      <c r="P472" s="768">
        <f t="shared" si="207"/>
        <v>6</v>
      </c>
      <c r="Q472" s="768">
        <f t="shared" si="207"/>
        <v>7</v>
      </c>
      <c r="R472" s="768">
        <f t="shared" si="207"/>
        <v>8</v>
      </c>
      <c r="S472" s="768">
        <f t="shared" si="207"/>
        <v>9</v>
      </c>
      <c r="T472" s="768">
        <f t="shared" si="207"/>
        <v>10</v>
      </c>
      <c r="U472" s="768">
        <f t="shared" si="207"/>
        <v>11</v>
      </c>
      <c r="V472" s="768">
        <f t="shared" si="207"/>
        <v>12</v>
      </c>
      <c r="W472" s="768">
        <f t="shared" si="207"/>
        <v>13</v>
      </c>
      <c r="X472" s="768">
        <f t="shared" si="207"/>
        <v>14</v>
      </c>
      <c r="Y472" s="768">
        <f t="shared" si="207"/>
        <v>15</v>
      </c>
      <c r="Z472" s="768">
        <f t="shared" si="207"/>
        <v>16</v>
      </c>
      <c r="AA472" s="768">
        <f t="shared" si="207"/>
        <v>17</v>
      </c>
      <c r="AB472" s="768">
        <f t="shared" si="207"/>
        <v>18</v>
      </c>
      <c r="AC472" s="768">
        <f t="shared" si="207"/>
        <v>19</v>
      </c>
      <c r="AD472" s="768">
        <f t="shared" si="207"/>
        <v>20</v>
      </c>
      <c r="AE472" s="768">
        <f t="shared" si="207"/>
        <v>21</v>
      </c>
      <c r="AF472" s="768">
        <f t="shared" si="207"/>
        <v>22</v>
      </c>
      <c r="AG472" s="768">
        <f t="shared" si="207"/>
        <v>23</v>
      </c>
      <c r="AH472" s="768">
        <f t="shared" si="207"/>
        <v>24</v>
      </c>
      <c r="AI472" s="768">
        <f t="shared" si="207"/>
        <v>25</v>
      </c>
    </row>
    <row r="473" spans="2:35">
      <c r="B473" s="91"/>
      <c r="C473" s="548"/>
      <c r="D473" s="469"/>
      <c r="E473" s="469"/>
      <c r="F473" s="469"/>
      <c r="G473" s="469"/>
      <c r="H473" s="469"/>
      <c r="I473" s="548"/>
      <c r="J473" s="548"/>
      <c r="K473" s="769">
        <f>INT(ROUNDUP(K472/12,0))</f>
        <v>1</v>
      </c>
      <c r="L473" s="769">
        <f>INT(ROUNDUP(L472/12,0))</f>
        <v>1</v>
      </c>
      <c r="M473" s="769">
        <f t="shared" ref="M473:AI473" si="208">INT(ROUNDUP(M472/12,0))</f>
        <v>1</v>
      </c>
      <c r="N473" s="769">
        <f t="shared" si="208"/>
        <v>1</v>
      </c>
      <c r="O473" s="769">
        <f t="shared" si="208"/>
        <v>1</v>
      </c>
      <c r="P473" s="769">
        <f t="shared" si="208"/>
        <v>1</v>
      </c>
      <c r="Q473" s="769">
        <f t="shared" si="208"/>
        <v>1</v>
      </c>
      <c r="R473" s="769">
        <f t="shared" si="208"/>
        <v>1</v>
      </c>
      <c r="S473" s="769">
        <f t="shared" si="208"/>
        <v>1</v>
      </c>
      <c r="T473" s="769">
        <f t="shared" si="208"/>
        <v>1</v>
      </c>
      <c r="U473" s="769">
        <f t="shared" si="208"/>
        <v>1</v>
      </c>
      <c r="V473" s="769">
        <f t="shared" si="208"/>
        <v>1</v>
      </c>
      <c r="W473" s="769">
        <f t="shared" si="208"/>
        <v>2</v>
      </c>
      <c r="X473" s="769">
        <f t="shared" si="208"/>
        <v>2</v>
      </c>
      <c r="Y473" s="769">
        <f t="shared" si="208"/>
        <v>2</v>
      </c>
      <c r="Z473" s="769">
        <f t="shared" si="208"/>
        <v>2</v>
      </c>
      <c r="AA473" s="769">
        <f t="shared" si="208"/>
        <v>2</v>
      </c>
      <c r="AB473" s="769">
        <f t="shared" si="208"/>
        <v>2</v>
      </c>
      <c r="AC473" s="769">
        <f t="shared" si="208"/>
        <v>2</v>
      </c>
      <c r="AD473" s="769">
        <f t="shared" si="208"/>
        <v>2</v>
      </c>
      <c r="AE473" s="769">
        <f t="shared" si="208"/>
        <v>2</v>
      </c>
      <c r="AF473" s="769">
        <f t="shared" si="208"/>
        <v>2</v>
      </c>
      <c r="AG473" s="769">
        <f t="shared" si="208"/>
        <v>2</v>
      </c>
      <c r="AH473" s="769">
        <f t="shared" si="208"/>
        <v>2</v>
      </c>
      <c r="AI473" s="769">
        <f t="shared" si="208"/>
        <v>3</v>
      </c>
    </row>
    <row r="474" spans="2:35">
      <c r="B474" s="91"/>
      <c r="C474" s="471"/>
      <c r="D474" s="472"/>
      <c r="E474" s="506"/>
      <c r="F474" s="506"/>
      <c r="G474" s="94" t="s">
        <v>499</v>
      </c>
      <c r="H474" s="94" t="s">
        <v>499</v>
      </c>
      <c r="I474" s="94" t="s">
        <v>499</v>
      </c>
      <c r="J474" s="94" t="s">
        <v>499</v>
      </c>
      <c r="K474" s="94" t="s">
        <v>499</v>
      </c>
      <c r="L474" s="94" t="s">
        <v>499</v>
      </c>
      <c r="M474" s="94" t="s">
        <v>499</v>
      </c>
      <c r="N474" s="94" t="s">
        <v>499</v>
      </c>
      <c r="O474" s="94" t="s">
        <v>499</v>
      </c>
      <c r="P474" s="94" t="s">
        <v>499</v>
      </c>
      <c r="Q474" s="94" t="s">
        <v>499</v>
      </c>
      <c r="R474" s="94" t="s">
        <v>499</v>
      </c>
      <c r="S474" s="94" t="s">
        <v>499</v>
      </c>
      <c r="T474" s="94" t="s">
        <v>499</v>
      </c>
      <c r="U474" s="94" t="s">
        <v>499</v>
      </c>
      <c r="V474" s="94" t="s">
        <v>499</v>
      </c>
      <c r="W474" s="94" t="s">
        <v>499</v>
      </c>
      <c r="X474" s="94" t="s">
        <v>499</v>
      </c>
      <c r="Y474" s="94" t="s">
        <v>499</v>
      </c>
      <c r="Z474" s="94" t="s">
        <v>499</v>
      </c>
      <c r="AA474" s="94" t="s">
        <v>499</v>
      </c>
      <c r="AB474" s="94" t="s">
        <v>499</v>
      </c>
      <c r="AC474" s="94" t="s">
        <v>499</v>
      </c>
      <c r="AD474" s="94" t="s">
        <v>499</v>
      </c>
      <c r="AE474" s="94" t="s">
        <v>499</v>
      </c>
      <c r="AF474" s="94" t="s">
        <v>499</v>
      </c>
      <c r="AG474" s="94" t="s">
        <v>499</v>
      </c>
      <c r="AH474" s="94" t="s">
        <v>499</v>
      </c>
      <c r="AI474" s="94" t="s">
        <v>499</v>
      </c>
    </row>
    <row r="475" spans="2:35" ht="15.75" customHeight="1">
      <c r="B475" s="111"/>
      <c r="C475" s="107"/>
      <c r="D475" s="107"/>
      <c r="E475" s="107"/>
      <c r="F475" s="107"/>
      <c r="G475" s="107"/>
      <c r="H475" s="107"/>
      <c r="I475" s="107"/>
      <c r="J475" s="107"/>
      <c r="K475" s="536"/>
      <c r="L475" s="124"/>
      <c r="M475" s="124"/>
      <c r="N475" s="124"/>
      <c r="O475" s="76"/>
    </row>
    <row r="476" spans="2:35" ht="15.75" customHeight="1">
      <c r="B476" s="76"/>
      <c r="C476" s="110" t="s">
        <v>221</v>
      </c>
      <c r="D476" s="110"/>
      <c r="E476" s="110"/>
      <c r="F476" s="110"/>
      <c r="G476" s="835"/>
      <c r="H476" s="835">
        <v>500000000</v>
      </c>
      <c r="I476" s="835">
        <v>1000000000</v>
      </c>
      <c r="J476" s="835">
        <v>500000000</v>
      </c>
      <c r="K476" s="835">
        <v>0</v>
      </c>
      <c r="L476" s="835">
        <v>0</v>
      </c>
      <c r="M476" s="835">
        <v>0</v>
      </c>
      <c r="N476" s="835">
        <v>0</v>
      </c>
      <c r="O476" s="835">
        <v>0</v>
      </c>
      <c r="P476" s="835">
        <v>0</v>
      </c>
      <c r="Q476" s="835">
        <v>0</v>
      </c>
      <c r="R476" s="835">
        <v>0</v>
      </c>
      <c r="S476" s="835">
        <v>0</v>
      </c>
      <c r="T476" s="835">
        <v>0</v>
      </c>
      <c r="U476" s="835">
        <v>0</v>
      </c>
      <c r="V476" s="835">
        <v>0</v>
      </c>
      <c r="W476" s="835">
        <v>0</v>
      </c>
      <c r="X476" s="835">
        <v>0</v>
      </c>
      <c r="Y476" s="835">
        <v>0</v>
      </c>
      <c r="Z476" s="835">
        <v>0</v>
      </c>
      <c r="AA476" s="835">
        <v>0</v>
      </c>
      <c r="AB476" s="835">
        <v>0</v>
      </c>
      <c r="AC476" s="835">
        <v>0</v>
      </c>
      <c r="AD476" s="835">
        <v>0</v>
      </c>
      <c r="AE476" s="835">
        <v>0</v>
      </c>
      <c r="AF476" s="835">
        <v>0</v>
      </c>
      <c r="AG476" s="835">
        <v>0</v>
      </c>
      <c r="AH476" s="835">
        <v>0</v>
      </c>
      <c r="AI476" s="835">
        <v>0</v>
      </c>
    </row>
    <row r="477" spans="2:35" ht="15.75" customHeight="1">
      <c r="B477" s="76"/>
      <c r="C477" s="110" t="s">
        <v>235</v>
      </c>
      <c r="D477" s="110"/>
      <c r="E477" s="110"/>
      <c r="F477" s="110"/>
      <c r="G477" s="833">
        <f t="shared" ref="G477:N477" si="209">(G33)*G41*60%</f>
        <v>0</v>
      </c>
      <c r="H477" s="833">
        <f t="shared" si="209"/>
        <v>0</v>
      </c>
      <c r="I477" s="833">
        <f t="shared" si="209"/>
        <v>0</v>
      </c>
      <c r="J477" s="833">
        <f t="shared" si="209"/>
        <v>0</v>
      </c>
      <c r="K477" s="833">
        <f t="shared" si="209"/>
        <v>0</v>
      </c>
      <c r="L477" s="833">
        <f t="shared" si="209"/>
        <v>0</v>
      </c>
      <c r="M477" s="833">
        <f t="shared" si="209"/>
        <v>0</v>
      </c>
      <c r="N477" s="833">
        <f t="shared" si="209"/>
        <v>0</v>
      </c>
      <c r="O477" s="833">
        <f>(O33)*O41*60%</f>
        <v>5160000</v>
      </c>
      <c r="P477" s="833">
        <f t="shared" ref="P477:AI477" si="210">(P33)*P41*60%</f>
        <v>0</v>
      </c>
      <c r="Q477" s="833">
        <f t="shared" si="210"/>
        <v>0</v>
      </c>
      <c r="R477" s="833">
        <f t="shared" si="210"/>
        <v>5160000</v>
      </c>
      <c r="S477" s="833">
        <f t="shared" si="210"/>
        <v>0</v>
      </c>
      <c r="T477" s="833">
        <f t="shared" si="210"/>
        <v>0</v>
      </c>
      <c r="U477" s="833">
        <f t="shared" si="210"/>
        <v>5160000</v>
      </c>
      <c r="V477" s="833">
        <f t="shared" si="210"/>
        <v>0</v>
      </c>
      <c r="W477" s="833">
        <f t="shared" si="210"/>
        <v>0</v>
      </c>
      <c r="X477" s="833">
        <f t="shared" si="210"/>
        <v>5160000</v>
      </c>
      <c r="Y477" s="833">
        <f t="shared" si="210"/>
        <v>0</v>
      </c>
      <c r="Z477" s="833">
        <f t="shared" si="210"/>
        <v>0</v>
      </c>
      <c r="AA477" s="833">
        <f t="shared" si="210"/>
        <v>5160000</v>
      </c>
      <c r="AB477" s="833">
        <f t="shared" si="210"/>
        <v>0</v>
      </c>
      <c r="AC477" s="833">
        <f t="shared" si="210"/>
        <v>0</v>
      </c>
      <c r="AD477" s="833">
        <f t="shared" si="210"/>
        <v>5160000</v>
      </c>
      <c r="AE477" s="833">
        <f t="shared" si="210"/>
        <v>0</v>
      </c>
      <c r="AF477" s="833">
        <f t="shared" si="210"/>
        <v>0</v>
      </c>
      <c r="AG477" s="833">
        <f t="shared" si="210"/>
        <v>5160000</v>
      </c>
      <c r="AH477" s="833">
        <f t="shared" si="210"/>
        <v>0</v>
      </c>
      <c r="AI477" s="833">
        <f t="shared" si="210"/>
        <v>0</v>
      </c>
    </row>
    <row r="478" spans="2:35" ht="15.75" customHeight="1">
      <c r="B478" s="76"/>
      <c r="C478" s="110" t="s">
        <v>236</v>
      </c>
      <c r="D478" s="110"/>
      <c r="E478" s="110"/>
      <c r="F478" s="110"/>
      <c r="G478" s="833">
        <f t="shared" ref="G478:M478" si="211">(G37)*G41*60%</f>
        <v>0</v>
      </c>
      <c r="H478" s="833">
        <f t="shared" si="211"/>
        <v>0</v>
      </c>
      <c r="I478" s="833">
        <f t="shared" si="211"/>
        <v>0</v>
      </c>
      <c r="J478" s="833">
        <f t="shared" si="211"/>
        <v>0</v>
      </c>
      <c r="K478" s="833">
        <f t="shared" si="211"/>
        <v>0</v>
      </c>
      <c r="L478" s="833">
        <f t="shared" si="211"/>
        <v>0</v>
      </c>
      <c r="M478" s="833">
        <f t="shared" si="211"/>
        <v>0</v>
      </c>
      <c r="N478" s="833">
        <f>(N37)*N41*60%</f>
        <v>5160000</v>
      </c>
      <c r="O478" s="833">
        <f t="shared" ref="O478:AI478" si="212">(O37)*O41*60%</f>
        <v>0</v>
      </c>
      <c r="P478" s="833">
        <f t="shared" si="212"/>
        <v>0</v>
      </c>
      <c r="Q478" s="833">
        <f t="shared" si="212"/>
        <v>5160000</v>
      </c>
      <c r="R478" s="833">
        <f t="shared" si="212"/>
        <v>0</v>
      </c>
      <c r="S478" s="833">
        <f t="shared" si="212"/>
        <v>0</v>
      </c>
      <c r="T478" s="833">
        <f t="shared" si="212"/>
        <v>5160000</v>
      </c>
      <c r="U478" s="833">
        <f t="shared" si="212"/>
        <v>0</v>
      </c>
      <c r="V478" s="833">
        <f t="shared" si="212"/>
        <v>0</v>
      </c>
      <c r="W478" s="833">
        <f t="shared" si="212"/>
        <v>5160000</v>
      </c>
      <c r="X478" s="833">
        <f t="shared" si="212"/>
        <v>0</v>
      </c>
      <c r="Y478" s="833">
        <f t="shared" si="212"/>
        <v>0</v>
      </c>
      <c r="Z478" s="833">
        <f t="shared" si="212"/>
        <v>5160000</v>
      </c>
      <c r="AA478" s="833">
        <f t="shared" si="212"/>
        <v>0</v>
      </c>
      <c r="AB478" s="833">
        <f t="shared" si="212"/>
        <v>0</v>
      </c>
      <c r="AC478" s="833">
        <f t="shared" si="212"/>
        <v>5160000</v>
      </c>
      <c r="AD478" s="833">
        <f t="shared" si="212"/>
        <v>0</v>
      </c>
      <c r="AE478" s="833">
        <f t="shared" si="212"/>
        <v>0</v>
      </c>
      <c r="AF478" s="833">
        <f t="shared" si="212"/>
        <v>5160000</v>
      </c>
      <c r="AG478" s="833">
        <f t="shared" si="212"/>
        <v>0</v>
      </c>
      <c r="AH478" s="833">
        <f t="shared" si="212"/>
        <v>0</v>
      </c>
      <c r="AI478" s="833">
        <f t="shared" si="212"/>
        <v>5160000</v>
      </c>
    </row>
    <row r="479" spans="2:35" ht="15.75" customHeight="1">
      <c r="B479" s="76"/>
      <c r="C479" s="110" t="s">
        <v>839</v>
      </c>
      <c r="D479" s="110"/>
      <c r="E479" s="110"/>
      <c r="F479" s="110"/>
      <c r="G479" s="833">
        <f>SUM(G477:G478)+G476</f>
        <v>0</v>
      </c>
      <c r="H479" s="984">
        <f t="shared" ref="H479:M479" si="213">SUM(H477:H478)+H476</f>
        <v>500000000</v>
      </c>
      <c r="I479" s="984">
        <f t="shared" si="213"/>
        <v>1000000000</v>
      </c>
      <c r="J479" s="984">
        <f>SUM(J477:J478)+J476</f>
        <v>500000000</v>
      </c>
      <c r="K479" s="833">
        <f t="shared" si="213"/>
        <v>0</v>
      </c>
      <c r="L479" s="833">
        <f t="shared" si="213"/>
        <v>0</v>
      </c>
      <c r="M479" s="833">
        <f t="shared" si="213"/>
        <v>0</v>
      </c>
      <c r="N479" s="833">
        <f>SUM(N477:N478)+N476</f>
        <v>5160000</v>
      </c>
      <c r="O479" s="833">
        <f t="shared" ref="O479:AI479" si="214">SUM(O477:O478)+O476</f>
        <v>5160000</v>
      </c>
      <c r="P479" s="833">
        <f t="shared" si="214"/>
        <v>0</v>
      </c>
      <c r="Q479" s="833">
        <f t="shared" si="214"/>
        <v>5160000</v>
      </c>
      <c r="R479" s="833">
        <f t="shared" si="214"/>
        <v>5160000</v>
      </c>
      <c r="S479" s="833">
        <f t="shared" si="214"/>
        <v>0</v>
      </c>
      <c r="T479" s="833">
        <f t="shared" si="214"/>
        <v>5160000</v>
      </c>
      <c r="U479" s="833">
        <f t="shared" si="214"/>
        <v>5160000</v>
      </c>
      <c r="V479" s="833">
        <f t="shared" si="214"/>
        <v>0</v>
      </c>
      <c r="W479" s="833">
        <f t="shared" si="214"/>
        <v>5160000</v>
      </c>
      <c r="X479" s="833">
        <f t="shared" si="214"/>
        <v>5160000</v>
      </c>
      <c r="Y479" s="833">
        <f t="shared" si="214"/>
        <v>0</v>
      </c>
      <c r="Z479" s="833">
        <f t="shared" si="214"/>
        <v>5160000</v>
      </c>
      <c r="AA479" s="833">
        <f t="shared" si="214"/>
        <v>5160000</v>
      </c>
      <c r="AB479" s="833">
        <f t="shared" si="214"/>
        <v>0</v>
      </c>
      <c r="AC479" s="833">
        <f t="shared" si="214"/>
        <v>5160000</v>
      </c>
      <c r="AD479" s="833">
        <f t="shared" si="214"/>
        <v>5160000</v>
      </c>
      <c r="AE479" s="833">
        <f t="shared" si="214"/>
        <v>0</v>
      </c>
      <c r="AF479" s="833">
        <f t="shared" si="214"/>
        <v>5160000</v>
      </c>
      <c r="AG479" s="833">
        <f t="shared" si="214"/>
        <v>5160000</v>
      </c>
      <c r="AH479" s="833">
        <f t="shared" si="214"/>
        <v>0</v>
      </c>
      <c r="AI479" s="833">
        <f t="shared" si="214"/>
        <v>5160000</v>
      </c>
    </row>
    <row r="480" spans="2:35" ht="15.75" customHeight="1">
      <c r="B480" s="76"/>
      <c r="C480" s="110" t="s">
        <v>233</v>
      </c>
      <c r="D480" s="110"/>
      <c r="E480" s="110"/>
      <c r="F480" s="110"/>
      <c r="G480" s="833">
        <v>0</v>
      </c>
      <c r="H480" s="833">
        <v>0</v>
      </c>
      <c r="I480" s="833">
        <v>0</v>
      </c>
      <c r="J480" s="833">
        <v>0</v>
      </c>
      <c r="K480" s="833">
        <v>0</v>
      </c>
      <c r="L480" s="833">
        <v>0</v>
      </c>
      <c r="M480" s="833">
        <v>0</v>
      </c>
      <c r="N480" s="833">
        <v>0</v>
      </c>
      <c r="O480" s="833">
        <v>0</v>
      </c>
      <c r="P480" s="833">
        <v>0</v>
      </c>
      <c r="Q480" s="833">
        <v>0</v>
      </c>
      <c r="R480" s="833">
        <v>0</v>
      </c>
      <c r="S480" s="833">
        <v>0</v>
      </c>
      <c r="T480" s="833">
        <v>0</v>
      </c>
      <c r="U480" s="833">
        <v>0</v>
      </c>
      <c r="V480" s="833">
        <v>0</v>
      </c>
      <c r="W480" s="833">
        <v>0</v>
      </c>
      <c r="X480" s="833"/>
      <c r="Y480" s="833"/>
      <c r="Z480" s="833"/>
      <c r="AA480" s="833"/>
      <c r="AB480" s="833"/>
      <c r="AC480" s="833"/>
      <c r="AD480" s="833"/>
      <c r="AE480" s="833"/>
      <c r="AF480" s="833"/>
      <c r="AG480" s="833"/>
      <c r="AH480" s="833"/>
      <c r="AI480" s="833"/>
    </row>
    <row r="481" spans="2:36" ht="15.75" customHeight="1">
      <c r="B481" s="76"/>
      <c r="C481" s="110" t="s">
        <v>234</v>
      </c>
      <c r="D481" s="110"/>
      <c r="E481" s="110"/>
      <c r="F481" s="110"/>
      <c r="G481" s="833">
        <f t="shared" ref="G481:M481" si="215">G479+G480</f>
        <v>0</v>
      </c>
      <c r="H481" s="833">
        <f t="shared" si="215"/>
        <v>500000000</v>
      </c>
      <c r="I481" s="833">
        <f t="shared" si="215"/>
        <v>1000000000</v>
      </c>
      <c r="J481" s="833">
        <f t="shared" si="215"/>
        <v>500000000</v>
      </c>
      <c r="K481" s="833">
        <f t="shared" si="215"/>
        <v>0</v>
      </c>
      <c r="L481" s="833">
        <f t="shared" si="215"/>
        <v>0</v>
      </c>
      <c r="M481" s="833">
        <f t="shared" si="215"/>
        <v>0</v>
      </c>
      <c r="N481" s="833">
        <f>N479+N480</f>
        <v>5160000</v>
      </c>
      <c r="O481" s="833">
        <f t="shared" ref="O481:AI481" si="216">O479+O480</f>
        <v>5160000</v>
      </c>
      <c r="P481" s="833">
        <f t="shared" si="216"/>
        <v>0</v>
      </c>
      <c r="Q481" s="833">
        <f t="shared" si="216"/>
        <v>5160000</v>
      </c>
      <c r="R481" s="833">
        <f t="shared" si="216"/>
        <v>5160000</v>
      </c>
      <c r="S481" s="833">
        <f t="shared" si="216"/>
        <v>0</v>
      </c>
      <c r="T481" s="833">
        <f t="shared" si="216"/>
        <v>5160000</v>
      </c>
      <c r="U481" s="833">
        <f t="shared" si="216"/>
        <v>5160000</v>
      </c>
      <c r="V481" s="833">
        <f t="shared" si="216"/>
        <v>0</v>
      </c>
      <c r="W481" s="833">
        <f t="shared" si="216"/>
        <v>5160000</v>
      </c>
      <c r="X481" s="833">
        <f t="shared" si="216"/>
        <v>5160000</v>
      </c>
      <c r="Y481" s="833">
        <f t="shared" si="216"/>
        <v>0</v>
      </c>
      <c r="Z481" s="833">
        <f t="shared" si="216"/>
        <v>5160000</v>
      </c>
      <c r="AA481" s="833">
        <f t="shared" si="216"/>
        <v>5160000</v>
      </c>
      <c r="AB481" s="833">
        <f t="shared" si="216"/>
        <v>0</v>
      </c>
      <c r="AC481" s="833">
        <f t="shared" si="216"/>
        <v>5160000</v>
      </c>
      <c r="AD481" s="833">
        <f t="shared" si="216"/>
        <v>5160000</v>
      </c>
      <c r="AE481" s="833">
        <f t="shared" si="216"/>
        <v>0</v>
      </c>
      <c r="AF481" s="833">
        <f t="shared" si="216"/>
        <v>5160000</v>
      </c>
      <c r="AG481" s="833">
        <f t="shared" si="216"/>
        <v>5160000</v>
      </c>
      <c r="AH481" s="833">
        <f t="shared" si="216"/>
        <v>0</v>
      </c>
      <c r="AI481" s="833">
        <f t="shared" si="216"/>
        <v>5160000</v>
      </c>
      <c r="AJ481" s="97">
        <f>SUM(G481:AI481)</f>
        <v>2077400000</v>
      </c>
    </row>
    <row r="482" spans="2:36" ht="25.5" customHeight="1">
      <c r="B482" s="111"/>
      <c r="C482" s="111" t="s">
        <v>841</v>
      </c>
      <c r="D482" s="110"/>
      <c r="E482" s="110"/>
      <c r="F482" s="110"/>
      <c r="G482" s="110"/>
      <c r="H482" s="131">
        <v>23638896.577679202</v>
      </c>
      <c r="I482" s="131">
        <v>31195214.165525381</v>
      </c>
      <c r="J482" s="131">
        <v>41603775.842131943</v>
      </c>
      <c r="K482" s="836"/>
      <c r="L482" s="80"/>
      <c r="M482" s="80"/>
      <c r="N482" s="80"/>
      <c r="O482" s="76"/>
    </row>
    <row r="483" spans="2:36" ht="15.75" customHeight="1">
      <c r="B483" s="111"/>
      <c r="C483" s="111" t="s">
        <v>224</v>
      </c>
      <c r="D483" s="111"/>
      <c r="E483" s="110"/>
      <c r="F483" s="110"/>
      <c r="G483" s="110"/>
      <c r="H483" s="126">
        <f>G488</f>
        <v>0</v>
      </c>
      <c r="I483" s="126">
        <f>H488</f>
        <v>476361103.42232078</v>
      </c>
      <c r="J483" s="126">
        <f>I488</f>
        <v>1445165889.2567954</v>
      </c>
      <c r="K483" s="126">
        <f>J488</f>
        <v>1903562113.4146633</v>
      </c>
      <c r="L483" s="126">
        <f t="shared" ref="L483:AI483" ca="1" si="217">K488</f>
        <v>1523008065.7317307</v>
      </c>
      <c r="M483" s="126">
        <f t="shared" ca="1" si="217"/>
        <v>1142454018.0487981</v>
      </c>
      <c r="N483" s="126">
        <f t="shared" ca="1" si="217"/>
        <v>761899970.36586547</v>
      </c>
      <c r="O483" s="126">
        <f t="shared" ca="1" si="217"/>
        <v>385473922.68293279</v>
      </c>
      <c r="P483" s="126">
        <f t="shared" ca="1" si="217"/>
        <v>8015875.0000001192</v>
      </c>
      <c r="Q483" s="126">
        <f t="shared" ca="1" si="217"/>
        <v>5793500.0000001192</v>
      </c>
      <c r="R483" s="126">
        <f t="shared" ca="1" si="217"/>
        <v>7699125.0000001192</v>
      </c>
      <c r="S483" s="126">
        <f t="shared" ca="1" si="217"/>
        <v>8572750.0000001192</v>
      </c>
      <c r="T483" s="126">
        <f t="shared" ca="1" si="217"/>
        <v>5318375.0000001192</v>
      </c>
      <c r="U483" s="126">
        <f t="shared" ca="1" si="217"/>
        <v>7224000.0000001192</v>
      </c>
      <c r="V483" s="126">
        <f t="shared" ca="1" si="217"/>
        <v>8256000.0000001192</v>
      </c>
      <c r="W483" s="126">
        <f t="shared" ca="1" si="217"/>
        <v>5160000.0000001192</v>
      </c>
      <c r="X483" s="126">
        <f t="shared" ca="1" si="217"/>
        <v>7224000.0000001192</v>
      </c>
      <c r="Y483" s="126">
        <f t="shared" ca="1" si="217"/>
        <v>8256000.0000001192</v>
      </c>
      <c r="Z483" s="126">
        <f t="shared" ca="1" si="217"/>
        <v>5160000.0000001192</v>
      </c>
      <c r="AA483" s="126">
        <f t="shared" ca="1" si="217"/>
        <v>7224000.0000001192</v>
      </c>
      <c r="AB483" s="126">
        <f t="shared" ca="1" si="217"/>
        <v>8256000.0000001192</v>
      </c>
      <c r="AC483" s="126">
        <f t="shared" ca="1" si="217"/>
        <v>5160000.0000001192</v>
      </c>
      <c r="AD483" s="126">
        <f t="shared" ca="1" si="217"/>
        <v>7224000.0000001192</v>
      </c>
      <c r="AE483" s="126">
        <f t="shared" ca="1" si="217"/>
        <v>8256000.0000001192</v>
      </c>
      <c r="AF483" s="126">
        <f t="shared" ca="1" si="217"/>
        <v>5160000.0000001192</v>
      </c>
      <c r="AG483" s="126">
        <f t="shared" ca="1" si="217"/>
        <v>7224000.0000001192</v>
      </c>
      <c r="AH483" s="126">
        <f t="shared" ca="1" si="217"/>
        <v>8256000.0000001192</v>
      </c>
      <c r="AI483" s="126">
        <f t="shared" ca="1" si="217"/>
        <v>5160000.0000001192</v>
      </c>
    </row>
    <row r="484" spans="2:36" ht="15.75" customHeight="1">
      <c r="B484" s="111"/>
      <c r="C484" s="164" t="s">
        <v>225</v>
      </c>
      <c r="D484" s="111"/>
      <c r="E484" s="110"/>
      <c r="F484" s="110"/>
      <c r="G484" s="110"/>
      <c r="H484" s="80">
        <f>H481-H482</f>
        <v>476361103.42232078</v>
      </c>
      <c r="I484" s="80">
        <f>I481-I482</f>
        <v>968804785.83447456</v>
      </c>
      <c r="J484" s="80">
        <f>J481-J482</f>
        <v>458396224.15786803</v>
      </c>
      <c r="K484" s="833">
        <f>K481</f>
        <v>0</v>
      </c>
      <c r="L484" s="833">
        <f>L481</f>
        <v>0</v>
      </c>
      <c r="M484" s="833">
        <f>M481</f>
        <v>0</v>
      </c>
      <c r="N484" s="833">
        <f>N481</f>
        <v>5160000</v>
      </c>
      <c r="O484" s="833">
        <f t="shared" ref="O484:AI484" si="218">O481</f>
        <v>5160000</v>
      </c>
      <c r="P484" s="833">
        <f t="shared" si="218"/>
        <v>0</v>
      </c>
      <c r="Q484" s="833">
        <f t="shared" si="218"/>
        <v>5160000</v>
      </c>
      <c r="R484" s="833">
        <f t="shared" si="218"/>
        <v>5160000</v>
      </c>
      <c r="S484" s="833">
        <f t="shared" si="218"/>
        <v>0</v>
      </c>
      <c r="T484" s="833">
        <f t="shared" si="218"/>
        <v>5160000</v>
      </c>
      <c r="U484" s="833">
        <f t="shared" si="218"/>
        <v>5160000</v>
      </c>
      <c r="V484" s="833">
        <f t="shared" si="218"/>
        <v>0</v>
      </c>
      <c r="W484" s="833">
        <f t="shared" si="218"/>
        <v>5160000</v>
      </c>
      <c r="X484" s="833">
        <f t="shared" si="218"/>
        <v>5160000</v>
      </c>
      <c r="Y484" s="833">
        <f t="shared" si="218"/>
        <v>0</v>
      </c>
      <c r="Z484" s="833">
        <f t="shared" si="218"/>
        <v>5160000</v>
      </c>
      <c r="AA484" s="833">
        <f t="shared" si="218"/>
        <v>5160000</v>
      </c>
      <c r="AB484" s="833">
        <f t="shared" si="218"/>
        <v>0</v>
      </c>
      <c r="AC484" s="833">
        <f t="shared" si="218"/>
        <v>5160000</v>
      </c>
      <c r="AD484" s="833">
        <f t="shared" si="218"/>
        <v>5160000</v>
      </c>
      <c r="AE484" s="833">
        <f t="shared" si="218"/>
        <v>0</v>
      </c>
      <c r="AF484" s="833">
        <f t="shared" si="218"/>
        <v>5160000</v>
      </c>
      <c r="AG484" s="833">
        <f t="shared" si="218"/>
        <v>5160000</v>
      </c>
      <c r="AH484" s="833">
        <f t="shared" si="218"/>
        <v>0</v>
      </c>
      <c r="AI484" s="833">
        <f t="shared" si="218"/>
        <v>5160000</v>
      </c>
    </row>
    <row r="485" spans="2:36" ht="15.75" customHeight="1">
      <c r="B485" s="111"/>
      <c r="C485" s="164" t="s">
        <v>226</v>
      </c>
      <c r="D485" s="111"/>
      <c r="E485" s="110"/>
      <c r="F485" s="110"/>
      <c r="G485" s="110"/>
      <c r="H485" s="110"/>
      <c r="I485" s="110"/>
      <c r="J485" s="110"/>
      <c r="K485" s="80">
        <f ca="1">-K522</f>
        <v>-380554047.68293267</v>
      </c>
      <c r="L485" s="80">
        <f t="shared" ref="L485:AI485" ca="1" si="219">-L522</f>
        <v>-380554047.68293267</v>
      </c>
      <c r="M485" s="80">
        <f t="shared" ca="1" si="219"/>
        <v>-380554047.68293267</v>
      </c>
      <c r="N485" s="80">
        <f t="shared" ca="1" si="219"/>
        <v>-381586047.68293267</v>
      </c>
      <c r="O485" s="80">
        <f t="shared" ca="1" si="219"/>
        <v>-382618047.68293267</v>
      </c>
      <c r="P485" s="80">
        <f t="shared" ca="1" si="219"/>
        <v>-2222375</v>
      </c>
      <c r="Q485" s="80">
        <f t="shared" ca="1" si="219"/>
        <v>-3254375</v>
      </c>
      <c r="R485" s="80">
        <f t="shared" ca="1" si="219"/>
        <v>-4286375</v>
      </c>
      <c r="S485" s="80">
        <f t="shared" ca="1" si="219"/>
        <v>-3254375</v>
      </c>
      <c r="T485" s="80">
        <f t="shared" ca="1" si="219"/>
        <v>-3254375</v>
      </c>
      <c r="U485" s="80">
        <f t="shared" ca="1" si="219"/>
        <v>-4128000</v>
      </c>
      <c r="V485" s="80">
        <f t="shared" ca="1" si="219"/>
        <v>-3096000</v>
      </c>
      <c r="W485" s="80">
        <f t="shared" ca="1" si="219"/>
        <v>-3096000</v>
      </c>
      <c r="X485" s="80">
        <f t="shared" ca="1" si="219"/>
        <v>-4128000</v>
      </c>
      <c r="Y485" s="80">
        <f t="shared" ca="1" si="219"/>
        <v>-3096000</v>
      </c>
      <c r="Z485" s="80">
        <f t="shared" ca="1" si="219"/>
        <v>-3096000</v>
      </c>
      <c r="AA485" s="80">
        <f t="shared" ca="1" si="219"/>
        <v>-4128000</v>
      </c>
      <c r="AB485" s="80">
        <f t="shared" ca="1" si="219"/>
        <v>-3096000</v>
      </c>
      <c r="AC485" s="80">
        <f t="shared" ca="1" si="219"/>
        <v>-3096000</v>
      </c>
      <c r="AD485" s="80">
        <f t="shared" ca="1" si="219"/>
        <v>-4128000</v>
      </c>
      <c r="AE485" s="80">
        <f t="shared" ca="1" si="219"/>
        <v>-3096000</v>
      </c>
      <c r="AF485" s="80">
        <f t="shared" ca="1" si="219"/>
        <v>-3096000</v>
      </c>
      <c r="AG485" s="80">
        <f t="shared" ca="1" si="219"/>
        <v>-4128000</v>
      </c>
      <c r="AH485" s="80">
        <f t="shared" ca="1" si="219"/>
        <v>-3096000</v>
      </c>
      <c r="AI485" s="80">
        <f t="shared" ca="1" si="219"/>
        <v>-3096000</v>
      </c>
    </row>
    <row r="486" spans="2:36" ht="15.75" customHeight="1">
      <c r="B486" s="111"/>
      <c r="C486" s="164" t="s">
        <v>227</v>
      </c>
      <c r="D486" s="111"/>
      <c r="E486" s="110"/>
      <c r="F486" s="110"/>
      <c r="G486" s="110"/>
      <c r="H486" s="110"/>
      <c r="I486" s="110"/>
      <c r="J486" s="110"/>
      <c r="K486" s="804"/>
      <c r="L486" s="804">
        <v>0</v>
      </c>
      <c r="M486" s="804">
        <v>0</v>
      </c>
      <c r="N486" s="804">
        <f>M486</f>
        <v>0</v>
      </c>
      <c r="O486" s="804">
        <f>N486</f>
        <v>0</v>
      </c>
      <c r="P486" s="804">
        <f>O486</f>
        <v>0</v>
      </c>
    </row>
    <row r="487" spans="2:36" ht="15.75" customHeight="1">
      <c r="B487" s="111"/>
      <c r="C487" s="164" t="s">
        <v>228</v>
      </c>
      <c r="D487" s="111"/>
      <c r="E487" s="110"/>
      <c r="F487" s="110"/>
      <c r="G487" s="110"/>
      <c r="H487" s="110"/>
      <c r="I487" s="110"/>
      <c r="J487" s="110"/>
      <c r="K487" s="804">
        <f t="shared" ref="K487:AI487" si="220">-(I480/3+J480/3+K480/3)</f>
        <v>0</v>
      </c>
      <c r="L487" s="804">
        <f t="shared" si="220"/>
        <v>0</v>
      </c>
      <c r="M487" s="804">
        <f t="shared" si="220"/>
        <v>0</v>
      </c>
      <c r="N487" s="804">
        <f>-(L480/3+M480/3+N480/3)</f>
        <v>0</v>
      </c>
      <c r="O487" s="804">
        <f t="shared" si="220"/>
        <v>0</v>
      </c>
      <c r="P487" s="804">
        <f t="shared" si="220"/>
        <v>0</v>
      </c>
      <c r="Q487" s="804">
        <f t="shared" si="220"/>
        <v>0</v>
      </c>
      <c r="R487" s="804">
        <f t="shared" si="220"/>
        <v>0</v>
      </c>
      <c r="S487" s="804">
        <f t="shared" si="220"/>
        <v>0</v>
      </c>
      <c r="T487" s="804">
        <f t="shared" si="220"/>
        <v>0</v>
      </c>
      <c r="U487" s="804">
        <f t="shared" si="220"/>
        <v>0</v>
      </c>
      <c r="V487" s="804">
        <f t="shared" si="220"/>
        <v>0</v>
      </c>
      <c r="W487" s="804">
        <f t="shared" si="220"/>
        <v>0</v>
      </c>
      <c r="X487" s="804">
        <f t="shared" si="220"/>
        <v>0</v>
      </c>
      <c r="Y487" s="804">
        <f t="shared" si="220"/>
        <v>0</v>
      </c>
      <c r="Z487" s="804">
        <f t="shared" si="220"/>
        <v>0</v>
      </c>
      <c r="AA487" s="804">
        <f t="shared" si="220"/>
        <v>0</v>
      </c>
      <c r="AB487" s="804">
        <f t="shared" si="220"/>
        <v>0</v>
      </c>
      <c r="AC487" s="804">
        <f t="shared" si="220"/>
        <v>0</v>
      </c>
      <c r="AD487" s="804">
        <f t="shared" si="220"/>
        <v>0</v>
      </c>
      <c r="AE487" s="804">
        <f t="shared" si="220"/>
        <v>0</v>
      </c>
      <c r="AF487" s="804">
        <f t="shared" si="220"/>
        <v>0</v>
      </c>
      <c r="AG487" s="804">
        <f t="shared" si="220"/>
        <v>0</v>
      </c>
      <c r="AH487" s="804">
        <f t="shared" si="220"/>
        <v>0</v>
      </c>
      <c r="AI487" s="804">
        <f t="shared" si="220"/>
        <v>0</v>
      </c>
    </row>
    <row r="488" spans="2:36" ht="15.75" customHeight="1">
      <c r="B488" s="111"/>
      <c r="C488" s="111" t="s">
        <v>229</v>
      </c>
      <c r="D488" s="111"/>
      <c r="E488" s="110"/>
      <c r="F488" s="110"/>
      <c r="G488" s="110"/>
      <c r="H488" s="80">
        <f t="shared" ref="H488:AI488" si="221">SUM(H483:H487)</f>
        <v>476361103.42232078</v>
      </c>
      <c r="I488" s="80">
        <f t="shared" si="221"/>
        <v>1445165889.2567954</v>
      </c>
      <c r="J488" s="80">
        <f t="shared" si="221"/>
        <v>1903562113.4146633</v>
      </c>
      <c r="K488" s="80">
        <f t="shared" ca="1" si="221"/>
        <v>1523008065.7317307</v>
      </c>
      <c r="L488" s="80">
        <f t="shared" ca="1" si="221"/>
        <v>1142454018.0487981</v>
      </c>
      <c r="M488" s="80">
        <f t="shared" ca="1" si="221"/>
        <v>761899970.36586547</v>
      </c>
      <c r="N488" s="80">
        <f ca="1">SUM(N483:N487)</f>
        <v>385473922.68293279</v>
      </c>
      <c r="O488" s="80">
        <f ca="1">SUM(O483:O487)</f>
        <v>8015875.0000001192</v>
      </c>
      <c r="P488" s="80">
        <f t="shared" ca="1" si="221"/>
        <v>5793500.0000001192</v>
      </c>
      <c r="Q488" s="80">
        <f t="shared" ca="1" si="221"/>
        <v>7699125.0000001192</v>
      </c>
      <c r="R488" s="80">
        <f t="shared" ca="1" si="221"/>
        <v>8572750.0000001192</v>
      </c>
      <c r="S488" s="80">
        <f t="shared" ca="1" si="221"/>
        <v>5318375.0000001192</v>
      </c>
      <c r="T488" s="80">
        <f t="shared" ca="1" si="221"/>
        <v>7224000.0000001192</v>
      </c>
      <c r="U488" s="80">
        <f t="shared" ca="1" si="221"/>
        <v>8256000.0000001192</v>
      </c>
      <c r="V488" s="80">
        <f t="shared" ca="1" si="221"/>
        <v>5160000.0000001192</v>
      </c>
      <c r="W488" s="80">
        <f t="shared" ca="1" si="221"/>
        <v>7224000.0000001192</v>
      </c>
      <c r="X488" s="80">
        <f t="shared" ca="1" si="221"/>
        <v>8256000.0000001192</v>
      </c>
      <c r="Y488" s="80">
        <f t="shared" ca="1" si="221"/>
        <v>5160000.0000001192</v>
      </c>
      <c r="Z488" s="80">
        <f t="shared" ca="1" si="221"/>
        <v>7224000.0000001192</v>
      </c>
      <c r="AA488" s="80">
        <f t="shared" ca="1" si="221"/>
        <v>8256000.0000001192</v>
      </c>
      <c r="AB488" s="80">
        <f t="shared" ca="1" si="221"/>
        <v>5160000.0000001192</v>
      </c>
      <c r="AC488" s="80">
        <f t="shared" ca="1" si="221"/>
        <v>7224000.0000001192</v>
      </c>
      <c r="AD488" s="80">
        <f t="shared" ca="1" si="221"/>
        <v>8256000.0000001192</v>
      </c>
      <c r="AE488" s="80">
        <f t="shared" ca="1" si="221"/>
        <v>5160000.0000001192</v>
      </c>
      <c r="AF488" s="80">
        <f t="shared" ca="1" si="221"/>
        <v>7224000.0000001192</v>
      </c>
      <c r="AG488" s="80">
        <f t="shared" ca="1" si="221"/>
        <v>8256000.0000001192</v>
      </c>
      <c r="AH488" s="80">
        <f t="shared" ca="1" si="221"/>
        <v>5160000.0000001192</v>
      </c>
      <c r="AI488" s="80">
        <f t="shared" ca="1" si="221"/>
        <v>7224000.0000001192</v>
      </c>
    </row>
    <row r="489" spans="2:36" ht="15.75" customHeight="1">
      <c r="B489" s="111"/>
      <c r="C489" s="111"/>
      <c r="D489" s="111"/>
      <c r="E489" s="110"/>
      <c r="F489" s="246" t="s">
        <v>462</v>
      </c>
      <c r="G489" s="11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</row>
    <row r="490" spans="2:36" ht="15.75" customHeight="1">
      <c r="B490" s="111"/>
      <c r="C490" s="593" t="s">
        <v>33</v>
      </c>
      <c r="D490" s="111"/>
      <c r="E490" s="110"/>
      <c r="F490" s="110"/>
      <c r="G490" s="110"/>
      <c r="H490" s="80">
        <f>H488</f>
        <v>476361103.42232078</v>
      </c>
      <c r="I490" s="80">
        <f>I484-I491</f>
        <v>968111035.83447456</v>
      </c>
      <c r="J490" s="80">
        <f>J484-J491</f>
        <v>457506224.15786803</v>
      </c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</row>
    <row r="491" spans="2:36" ht="15.75" customHeight="1">
      <c r="B491" s="111"/>
      <c r="C491" s="593" t="s">
        <v>34</v>
      </c>
      <c r="D491" s="111"/>
      <c r="E491" s="110"/>
      <c r="F491" s="110"/>
      <c r="G491" s="110"/>
      <c r="H491" s="80"/>
      <c r="I491" s="80">
        <v>693750</v>
      </c>
      <c r="J491" s="80">
        <v>890000</v>
      </c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</row>
    <row r="492" spans="2:36" ht="15.75" customHeight="1">
      <c r="B492" s="111"/>
      <c r="C492" s="593" t="s">
        <v>33</v>
      </c>
      <c r="D492" s="111"/>
      <c r="E492" s="110"/>
      <c r="F492" s="110">
        <v>5</v>
      </c>
      <c r="G492" s="110"/>
      <c r="H492" s="80"/>
      <c r="I492" s="80"/>
      <c r="J492" s="80">
        <f>H490+I490+J490</f>
        <v>1901978363.4146633</v>
      </c>
      <c r="K492" s="80">
        <f>SLN($J$492,,$F$492)</f>
        <v>380395672.68293267</v>
      </c>
      <c r="L492" s="80">
        <f>SLN($J$492,,$F$492)</f>
        <v>380395672.68293267</v>
      </c>
      <c r="M492" s="80">
        <f>SLN($J$492,,$F$492)</f>
        <v>380395672.68293267</v>
      </c>
      <c r="N492" s="80">
        <f>SLN($J$492,,$F$492)</f>
        <v>380395672.68293267</v>
      </c>
      <c r="O492" s="80">
        <f>SLN($J$492,,$F$492)</f>
        <v>380395672.68293267</v>
      </c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</row>
    <row r="493" spans="2:36" ht="15.75" customHeight="1">
      <c r="B493" s="111"/>
      <c r="C493" s="593" t="s">
        <v>34</v>
      </c>
      <c r="D493" s="111"/>
      <c r="E493" s="110"/>
      <c r="F493" s="110">
        <v>10</v>
      </c>
      <c r="G493" s="110"/>
      <c r="H493" s="80"/>
      <c r="I493" s="80"/>
      <c r="J493" s="80">
        <f>H491+I491+J491</f>
        <v>1583750</v>
      </c>
      <c r="K493" s="80">
        <f>SLN($J$493,,$F$493)</f>
        <v>158375</v>
      </c>
      <c r="L493" s="80">
        <f t="shared" ref="L493:T493" si="222">SLN($J$493,,$F$493)</f>
        <v>158375</v>
      </c>
      <c r="M493" s="80">
        <f t="shared" si="222"/>
        <v>158375</v>
      </c>
      <c r="N493" s="80">
        <f t="shared" si="222"/>
        <v>158375</v>
      </c>
      <c r="O493" s="80">
        <f t="shared" si="222"/>
        <v>158375</v>
      </c>
      <c r="P493" s="80">
        <f t="shared" si="222"/>
        <v>158375</v>
      </c>
      <c r="Q493" s="80">
        <f t="shared" si="222"/>
        <v>158375</v>
      </c>
      <c r="R493" s="80">
        <f t="shared" si="222"/>
        <v>158375</v>
      </c>
      <c r="S493" s="80">
        <f t="shared" si="222"/>
        <v>158375</v>
      </c>
      <c r="T493" s="80">
        <f t="shared" si="222"/>
        <v>158375</v>
      </c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</row>
    <row r="494" spans="2:36" ht="15.75" customHeight="1">
      <c r="B494" s="111"/>
      <c r="C494" s="111"/>
      <c r="D494" s="111"/>
      <c r="E494" s="110"/>
      <c r="F494" s="110"/>
      <c r="G494" s="11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</row>
    <row r="495" spans="2:36" ht="15.75" customHeight="1">
      <c r="B495" s="111"/>
      <c r="C495" s="595" t="s">
        <v>221</v>
      </c>
      <c r="D495" s="111"/>
      <c r="E495" s="110"/>
      <c r="F495" s="246" t="s">
        <v>462</v>
      </c>
      <c r="G495" s="11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</row>
    <row r="496" spans="2:36" ht="15.75" customHeight="1">
      <c r="B496" s="111"/>
      <c r="C496" s="396">
        <v>1</v>
      </c>
      <c r="D496" s="111"/>
      <c r="E496" s="110"/>
      <c r="F496" s="110">
        <v>5</v>
      </c>
      <c r="G496" s="110"/>
      <c r="H496" s="80"/>
      <c r="I496" s="80"/>
      <c r="J496" s="80">
        <f ca="1">OFFSET($J$481,0,C496)</f>
        <v>0</v>
      </c>
      <c r="K496" s="80">
        <f ca="1">SLN($J496,,$F496)</f>
        <v>0</v>
      </c>
      <c r="L496" s="80">
        <f ca="1">SLN($J496,,$F496)</f>
        <v>0</v>
      </c>
      <c r="M496" s="80">
        <f ca="1">SLN($J496,,$F496)</f>
        <v>0</v>
      </c>
      <c r="N496" s="80">
        <f ca="1">SLN($J496,,$F496)</f>
        <v>0</v>
      </c>
      <c r="O496" s="80">
        <f ca="1">SLN($J496,,$F496)</f>
        <v>0</v>
      </c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</row>
    <row r="497" spans="2:35" ht="15.75" customHeight="1">
      <c r="B497" s="111"/>
      <c r="C497" s="396">
        <f t="shared" ref="C497:C520" si="223">C496+1</f>
        <v>2</v>
      </c>
      <c r="D497" s="111"/>
      <c r="E497" s="110"/>
      <c r="F497" s="110">
        <v>5</v>
      </c>
      <c r="G497" s="110"/>
      <c r="H497" s="80"/>
      <c r="I497" s="80"/>
      <c r="J497" s="80">
        <f ca="1">OFFSET($J$481,0,C497)</f>
        <v>0</v>
      </c>
      <c r="K497" s="80"/>
      <c r="L497" s="80">
        <f ca="1">SLN($J497,,$F497)</f>
        <v>0</v>
      </c>
      <c r="M497" s="80">
        <f ca="1">SLN($J497,,$F497)</f>
        <v>0</v>
      </c>
      <c r="N497" s="80">
        <f ca="1">SLN($J497,,$F497)</f>
        <v>0</v>
      </c>
      <c r="O497" s="80">
        <f ca="1">SLN($J497,,$F497)</f>
        <v>0</v>
      </c>
      <c r="P497" s="80">
        <f ca="1">SLN($J497,,$F497)</f>
        <v>0</v>
      </c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</row>
    <row r="498" spans="2:35" ht="15.75" customHeight="1">
      <c r="B498" s="111"/>
      <c r="C498" s="396">
        <f t="shared" si="223"/>
        <v>3</v>
      </c>
      <c r="D498" s="111"/>
      <c r="E498" s="110"/>
      <c r="F498" s="110">
        <v>5</v>
      </c>
      <c r="G498" s="110"/>
      <c r="H498" s="80"/>
      <c r="I498" s="80"/>
      <c r="J498" s="80">
        <f t="shared" ref="J498:J520" ca="1" si="224">OFFSET($J$481,0,C498)</f>
        <v>0</v>
      </c>
      <c r="K498" s="80"/>
      <c r="L498" s="80"/>
      <c r="M498" s="80">
        <f ca="1">SLN($J498,,$F498)</f>
        <v>0</v>
      </c>
      <c r="N498" s="80">
        <f ca="1">SLN($J498,,$F498)</f>
        <v>0</v>
      </c>
      <c r="O498" s="80">
        <f ca="1">SLN($J498,,$F498)</f>
        <v>0</v>
      </c>
      <c r="P498" s="80">
        <f ca="1">SLN($J498,,$F498)</f>
        <v>0</v>
      </c>
      <c r="Q498" s="80">
        <f ca="1">SLN($J498,,$F498)</f>
        <v>0</v>
      </c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</row>
    <row r="499" spans="2:35" ht="15.75" customHeight="1">
      <c r="B499" s="111"/>
      <c r="C499" s="396">
        <f t="shared" si="223"/>
        <v>4</v>
      </c>
      <c r="D499" s="111"/>
      <c r="E499" s="110"/>
      <c r="F499" s="110">
        <v>5</v>
      </c>
      <c r="G499" s="110"/>
      <c r="H499" s="80"/>
      <c r="I499" s="80"/>
      <c r="J499" s="80">
        <f t="shared" ca="1" si="224"/>
        <v>5160000</v>
      </c>
      <c r="K499" s="80"/>
      <c r="L499" s="80"/>
      <c r="M499" s="80"/>
      <c r="N499" s="80">
        <f ca="1">SLN($J499,,$F499)</f>
        <v>1032000</v>
      </c>
      <c r="O499" s="80">
        <f ca="1">SLN($J499,,$F499)</f>
        <v>1032000</v>
      </c>
      <c r="P499" s="80">
        <f ca="1">SLN($J499,,$F499)</f>
        <v>1032000</v>
      </c>
      <c r="Q499" s="80">
        <f ca="1">SLN($J499,,$F499)</f>
        <v>1032000</v>
      </c>
      <c r="R499" s="80">
        <f ca="1">SLN($J499,,$F499)</f>
        <v>1032000</v>
      </c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</row>
    <row r="500" spans="2:35" ht="15.75" customHeight="1">
      <c r="B500" s="111"/>
      <c r="C500" s="396">
        <f t="shared" si="223"/>
        <v>5</v>
      </c>
      <c r="D500" s="111"/>
      <c r="E500" s="110"/>
      <c r="F500" s="110">
        <v>5</v>
      </c>
      <c r="G500" s="110"/>
      <c r="H500" s="80"/>
      <c r="I500" s="80"/>
      <c r="J500" s="80">
        <f t="shared" ca="1" si="224"/>
        <v>5160000</v>
      </c>
      <c r="K500" s="80"/>
      <c r="L500" s="80"/>
      <c r="M500" s="80"/>
      <c r="N500" s="80"/>
      <c r="O500" s="80">
        <f ca="1">SLN($J500,,$F500)</f>
        <v>1032000</v>
      </c>
      <c r="P500" s="80">
        <f ca="1">SLN($J500,,$F500)</f>
        <v>1032000</v>
      </c>
      <c r="Q500" s="80">
        <f ca="1">SLN($J500,,$F500)</f>
        <v>1032000</v>
      </c>
      <c r="R500" s="80">
        <f ca="1">SLN($J500,,$F500)</f>
        <v>1032000</v>
      </c>
      <c r="S500" s="80">
        <f ca="1">SLN($J500,,$F500)</f>
        <v>1032000</v>
      </c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</row>
    <row r="501" spans="2:35" ht="15.75" customHeight="1">
      <c r="B501" s="111"/>
      <c r="C501" s="396">
        <f t="shared" si="223"/>
        <v>6</v>
      </c>
      <c r="D501" s="111"/>
      <c r="E501" s="110"/>
      <c r="F501" s="110">
        <v>5</v>
      </c>
      <c r="G501" s="110"/>
      <c r="H501" s="80"/>
      <c r="I501" s="80"/>
      <c r="J501" s="80">
        <f t="shared" ca="1" si="224"/>
        <v>0</v>
      </c>
      <c r="K501" s="80"/>
      <c r="L501" s="80"/>
      <c r="M501" s="80"/>
      <c r="N501" s="80"/>
      <c r="O501" s="80"/>
      <c r="P501" s="80">
        <f ca="1">SLN($J501,,$F501)</f>
        <v>0</v>
      </c>
      <c r="Q501" s="80">
        <f ca="1">SLN($J501,,$F501)</f>
        <v>0</v>
      </c>
      <c r="R501" s="80">
        <f ca="1">SLN($J501,,$F501)</f>
        <v>0</v>
      </c>
      <c r="S501" s="80">
        <f ca="1">SLN($J501,,$F501)</f>
        <v>0</v>
      </c>
      <c r="T501" s="80">
        <f ca="1">SLN($J501,,$F501)</f>
        <v>0</v>
      </c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</row>
    <row r="502" spans="2:35" ht="15.75" customHeight="1">
      <c r="B502" s="111"/>
      <c r="C502" s="396">
        <f t="shared" si="223"/>
        <v>7</v>
      </c>
      <c r="D502" s="111"/>
      <c r="E502" s="110"/>
      <c r="F502" s="110">
        <v>5</v>
      </c>
      <c r="G502" s="110"/>
      <c r="H502" s="80"/>
      <c r="I502" s="80"/>
      <c r="J502" s="80">
        <f t="shared" ca="1" si="224"/>
        <v>5160000</v>
      </c>
      <c r="K502" s="80"/>
      <c r="L502" s="80"/>
      <c r="M502" s="80"/>
      <c r="N502" s="80"/>
      <c r="O502" s="80"/>
      <c r="P502" s="80"/>
      <c r="Q502" s="80">
        <f ca="1">SLN($J502,,$F502)</f>
        <v>1032000</v>
      </c>
      <c r="R502" s="80">
        <f ca="1">SLN($J502,,$F502)</f>
        <v>1032000</v>
      </c>
      <c r="S502" s="80">
        <f ca="1">SLN($J502,,$F502)</f>
        <v>1032000</v>
      </c>
      <c r="T502" s="80">
        <f ca="1">SLN($J502,,$F502)</f>
        <v>1032000</v>
      </c>
      <c r="U502" s="80">
        <f ca="1">SLN($J502,,$F502)</f>
        <v>1032000</v>
      </c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</row>
    <row r="503" spans="2:35" ht="15.75" customHeight="1">
      <c r="B503" s="111"/>
      <c r="C503" s="396">
        <f t="shared" si="223"/>
        <v>8</v>
      </c>
      <c r="D503" s="111"/>
      <c r="E503" s="110"/>
      <c r="F503" s="110">
        <v>5</v>
      </c>
      <c r="G503" s="110"/>
      <c r="H503" s="80"/>
      <c r="I503" s="80"/>
      <c r="J503" s="80">
        <f t="shared" ca="1" si="224"/>
        <v>5160000</v>
      </c>
      <c r="K503" s="80"/>
      <c r="L503" s="80"/>
      <c r="M503" s="80"/>
      <c r="N503" s="80"/>
      <c r="O503" s="80"/>
      <c r="P503" s="80"/>
      <c r="Q503" s="80"/>
      <c r="R503" s="80">
        <f ca="1">SLN($J503,,$F503)</f>
        <v>1032000</v>
      </c>
      <c r="S503" s="80">
        <f ca="1">SLN($J503,,$F503)</f>
        <v>1032000</v>
      </c>
      <c r="T503" s="80">
        <f ca="1">SLN($J503,,$F503)</f>
        <v>1032000</v>
      </c>
      <c r="U503" s="80">
        <f ca="1">SLN($J503,,$F503)</f>
        <v>1032000</v>
      </c>
      <c r="V503" s="80">
        <f ca="1">SLN($J503,,$F503)</f>
        <v>1032000</v>
      </c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</row>
    <row r="504" spans="2:35" ht="15.75" customHeight="1">
      <c r="B504" s="111"/>
      <c r="C504" s="396">
        <f t="shared" si="223"/>
        <v>9</v>
      </c>
      <c r="D504" s="111"/>
      <c r="E504" s="110"/>
      <c r="F504" s="110">
        <v>5</v>
      </c>
      <c r="G504" s="110"/>
      <c r="H504" s="80"/>
      <c r="I504" s="80"/>
      <c r="J504" s="80">
        <f t="shared" ca="1" si="224"/>
        <v>0</v>
      </c>
      <c r="K504" s="80"/>
      <c r="L504" s="80"/>
      <c r="M504" s="80"/>
      <c r="N504" s="80"/>
      <c r="O504" s="80"/>
      <c r="P504" s="80"/>
      <c r="Q504" s="80"/>
      <c r="R504" s="80"/>
      <c r="S504" s="80">
        <f ca="1">SLN($J504,,$F504)</f>
        <v>0</v>
      </c>
      <c r="T504" s="80">
        <f ca="1">SLN($J504,,$F504)</f>
        <v>0</v>
      </c>
      <c r="U504" s="80">
        <f ca="1">SLN($J504,,$F504)</f>
        <v>0</v>
      </c>
      <c r="V504" s="80">
        <f ca="1">SLN($J504,,$F504)</f>
        <v>0</v>
      </c>
      <c r="W504" s="80">
        <f ca="1">SLN($J504,,$F504)</f>
        <v>0</v>
      </c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</row>
    <row r="505" spans="2:35" ht="15.75" customHeight="1">
      <c r="B505" s="111"/>
      <c r="C505" s="396">
        <f t="shared" si="223"/>
        <v>10</v>
      </c>
      <c r="D505" s="111"/>
      <c r="E505" s="110"/>
      <c r="F505" s="110">
        <v>5</v>
      </c>
      <c r="G505" s="110"/>
      <c r="H505" s="80"/>
      <c r="I505" s="80"/>
      <c r="J505" s="80">
        <f t="shared" ca="1" si="224"/>
        <v>5160000</v>
      </c>
      <c r="K505" s="80"/>
      <c r="L505" s="80"/>
      <c r="M505" s="80"/>
      <c r="N505" s="80"/>
      <c r="O505" s="80"/>
      <c r="P505" s="80"/>
      <c r="Q505" s="80"/>
      <c r="R505" s="80"/>
      <c r="S505" s="80"/>
      <c r="T505" s="80">
        <f ca="1">SLN($J505,,$F505)</f>
        <v>1032000</v>
      </c>
      <c r="U505" s="80">
        <f ca="1">SLN($J505,,$F505)</f>
        <v>1032000</v>
      </c>
      <c r="V505" s="80">
        <f ca="1">SLN($J505,,$F505)</f>
        <v>1032000</v>
      </c>
      <c r="W505" s="80">
        <f ca="1">SLN($J505,,$F505)</f>
        <v>1032000</v>
      </c>
      <c r="X505" s="80">
        <f ca="1">SLN($J505,,$F505)</f>
        <v>1032000</v>
      </c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</row>
    <row r="506" spans="2:35" ht="15.75" customHeight="1">
      <c r="B506" s="111"/>
      <c r="C506" s="396">
        <f t="shared" si="223"/>
        <v>11</v>
      </c>
      <c r="D506" s="111"/>
      <c r="E506" s="110"/>
      <c r="F506" s="110">
        <v>5</v>
      </c>
      <c r="G506" s="110"/>
      <c r="H506" s="80"/>
      <c r="I506" s="80"/>
      <c r="J506" s="80">
        <f t="shared" ca="1" si="224"/>
        <v>5160000</v>
      </c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>
        <f ca="1">SLN($J506,,$F506)</f>
        <v>1032000</v>
      </c>
      <c r="V506" s="80">
        <f ca="1">SLN($J506,,$F506)</f>
        <v>1032000</v>
      </c>
      <c r="W506" s="80">
        <f ca="1">SLN($J506,,$F506)</f>
        <v>1032000</v>
      </c>
      <c r="X506" s="80">
        <f ca="1">SLN($J506,,$F506)</f>
        <v>1032000</v>
      </c>
      <c r="Y506" s="80">
        <f ca="1">SLN($J506,,$F506)</f>
        <v>1032000</v>
      </c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</row>
    <row r="507" spans="2:35" ht="15.75" customHeight="1">
      <c r="B507" s="111"/>
      <c r="C507" s="396">
        <f t="shared" si="223"/>
        <v>12</v>
      </c>
      <c r="D507" s="111"/>
      <c r="E507" s="110"/>
      <c r="F507" s="110">
        <v>5</v>
      </c>
      <c r="G507" s="110"/>
      <c r="H507" s="80"/>
      <c r="I507" s="80"/>
      <c r="J507" s="80">
        <f t="shared" ca="1" si="224"/>
        <v>0</v>
      </c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>
        <f ca="1">SLN($J507,,$F507)</f>
        <v>0</v>
      </c>
      <c r="W507" s="80">
        <f ca="1">SLN($J507,,$F507)</f>
        <v>0</v>
      </c>
      <c r="X507" s="80">
        <f ca="1">SLN($J507,,$F507)</f>
        <v>0</v>
      </c>
      <c r="Y507" s="80">
        <f ca="1">SLN($J507,,$F507)</f>
        <v>0</v>
      </c>
      <c r="Z507" s="80">
        <f ca="1">SLN($J507,,$F507)</f>
        <v>0</v>
      </c>
      <c r="AA507" s="80"/>
      <c r="AB507" s="80"/>
      <c r="AC507" s="80"/>
      <c r="AD507" s="80"/>
      <c r="AE507" s="80"/>
      <c r="AF507" s="80"/>
      <c r="AG507" s="80"/>
      <c r="AH507" s="80"/>
      <c r="AI507" s="80"/>
    </row>
    <row r="508" spans="2:35" ht="15.75" customHeight="1">
      <c r="B508" s="111"/>
      <c r="C508" s="396">
        <f t="shared" si="223"/>
        <v>13</v>
      </c>
      <c r="D508" s="111"/>
      <c r="E508" s="110"/>
      <c r="F508" s="110">
        <v>5</v>
      </c>
      <c r="G508" s="110"/>
      <c r="H508" s="80"/>
      <c r="I508" s="80"/>
      <c r="J508" s="80">
        <f t="shared" ca="1" si="224"/>
        <v>5160000</v>
      </c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>
        <f ca="1">SLN($J508,,$F508)</f>
        <v>1032000</v>
      </c>
      <c r="X508" s="80">
        <f ca="1">SLN($J508,,$F508)</f>
        <v>1032000</v>
      </c>
      <c r="Y508" s="80">
        <f ca="1">SLN($J508,,$F508)</f>
        <v>1032000</v>
      </c>
      <c r="Z508" s="80">
        <f ca="1">SLN($J508,,$F508)</f>
        <v>1032000</v>
      </c>
      <c r="AA508" s="80">
        <f ca="1">SLN($J508,,$F508)</f>
        <v>1032000</v>
      </c>
      <c r="AB508" s="80"/>
      <c r="AC508" s="80"/>
      <c r="AD508" s="80"/>
      <c r="AE508" s="80"/>
      <c r="AF508" s="80"/>
      <c r="AG508" s="80"/>
      <c r="AH508" s="80"/>
      <c r="AI508" s="80"/>
    </row>
    <row r="509" spans="2:35" ht="15.75" customHeight="1">
      <c r="B509" s="111"/>
      <c r="C509" s="396">
        <f t="shared" si="223"/>
        <v>14</v>
      </c>
      <c r="D509" s="111"/>
      <c r="E509" s="110"/>
      <c r="F509" s="110">
        <v>5</v>
      </c>
      <c r="G509" s="110"/>
      <c r="H509" s="80"/>
      <c r="I509" s="80"/>
      <c r="J509" s="80">
        <f t="shared" ca="1" si="224"/>
        <v>5160000</v>
      </c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>
        <f ca="1">SLN($J509,,$F509)</f>
        <v>1032000</v>
      </c>
      <c r="Y509" s="80">
        <f ca="1">SLN($J509,,$F509)</f>
        <v>1032000</v>
      </c>
      <c r="Z509" s="80">
        <f ca="1">SLN($J509,,$F509)</f>
        <v>1032000</v>
      </c>
      <c r="AA509" s="80">
        <f ca="1">SLN($J509,,$F509)</f>
        <v>1032000</v>
      </c>
      <c r="AB509" s="80">
        <f ca="1">SLN($J509,,$F509)</f>
        <v>1032000</v>
      </c>
      <c r="AC509" s="80"/>
      <c r="AD509" s="80"/>
      <c r="AE509" s="80"/>
      <c r="AF509" s="80"/>
      <c r="AG509" s="80"/>
      <c r="AH509" s="80"/>
      <c r="AI509" s="80"/>
    </row>
    <row r="510" spans="2:35" ht="15.75" customHeight="1">
      <c r="B510" s="111"/>
      <c r="C510" s="396">
        <f t="shared" si="223"/>
        <v>15</v>
      </c>
      <c r="D510" s="111"/>
      <c r="E510" s="110"/>
      <c r="F510" s="110">
        <v>5</v>
      </c>
      <c r="G510" s="110"/>
      <c r="H510" s="80"/>
      <c r="I510" s="80"/>
      <c r="J510" s="80">
        <f t="shared" ca="1" si="224"/>
        <v>0</v>
      </c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>
        <f ca="1">SLN($J510,,$F510)</f>
        <v>0</v>
      </c>
      <c r="Z510" s="80">
        <f ca="1">SLN($J510,,$F510)</f>
        <v>0</v>
      </c>
      <c r="AA510" s="80">
        <f ca="1">SLN($J510,,$F510)</f>
        <v>0</v>
      </c>
      <c r="AB510" s="80">
        <f ca="1">SLN($J510,,$F510)</f>
        <v>0</v>
      </c>
      <c r="AC510" s="80">
        <f ca="1">SLN($J510,,$F510)</f>
        <v>0</v>
      </c>
      <c r="AD510" s="80"/>
      <c r="AE510" s="80"/>
      <c r="AF510" s="80"/>
      <c r="AG510" s="80"/>
      <c r="AH510" s="80"/>
      <c r="AI510" s="80"/>
    </row>
    <row r="511" spans="2:35" ht="15.75" customHeight="1">
      <c r="B511" s="111"/>
      <c r="C511" s="396">
        <f t="shared" si="223"/>
        <v>16</v>
      </c>
      <c r="D511" s="111"/>
      <c r="E511" s="110"/>
      <c r="F511" s="110">
        <v>5</v>
      </c>
      <c r="G511" s="110"/>
      <c r="H511" s="80"/>
      <c r="I511" s="80"/>
      <c r="J511" s="80">
        <f t="shared" ca="1" si="224"/>
        <v>5160000</v>
      </c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>
        <f ca="1">SLN($J511,,$F511)</f>
        <v>1032000</v>
      </c>
      <c r="AA511" s="80">
        <f ca="1">SLN($J511,,$F511)</f>
        <v>1032000</v>
      </c>
      <c r="AB511" s="80">
        <f ca="1">SLN($J511,,$F511)</f>
        <v>1032000</v>
      </c>
      <c r="AC511" s="80">
        <f ca="1">SLN($J511,,$F511)</f>
        <v>1032000</v>
      </c>
      <c r="AD511" s="80">
        <f ca="1">SLN($J511,,$F511)</f>
        <v>1032000</v>
      </c>
      <c r="AE511" s="80"/>
      <c r="AF511" s="80"/>
      <c r="AG511" s="80"/>
      <c r="AH511" s="80"/>
      <c r="AI511" s="80"/>
    </row>
    <row r="512" spans="2:35" ht="15.75" customHeight="1">
      <c r="B512" s="111"/>
      <c r="C512" s="396">
        <f t="shared" si="223"/>
        <v>17</v>
      </c>
      <c r="D512" s="111"/>
      <c r="E512" s="110"/>
      <c r="F512" s="110">
        <v>5</v>
      </c>
      <c r="G512" s="110"/>
      <c r="H512" s="80"/>
      <c r="I512" s="80"/>
      <c r="J512" s="80">
        <f t="shared" ca="1" si="224"/>
        <v>5160000</v>
      </c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>
        <f ca="1">SLN($J512,,$F512)</f>
        <v>1032000</v>
      </c>
      <c r="AB512" s="80">
        <f ca="1">SLN($J512,,$F512)</f>
        <v>1032000</v>
      </c>
      <c r="AC512" s="80">
        <f ca="1">SLN($J512,,$F512)</f>
        <v>1032000</v>
      </c>
      <c r="AD512" s="80">
        <f ca="1">SLN($J512,,$F512)</f>
        <v>1032000</v>
      </c>
      <c r="AE512" s="80">
        <f ca="1">SLN($J512,,$F512)</f>
        <v>1032000</v>
      </c>
      <c r="AF512" s="80"/>
      <c r="AG512" s="80"/>
      <c r="AH512" s="80"/>
      <c r="AI512" s="80"/>
    </row>
    <row r="513" spans="2:39" ht="15.75" customHeight="1">
      <c r="B513" s="111"/>
      <c r="C513" s="396">
        <f t="shared" si="223"/>
        <v>18</v>
      </c>
      <c r="D513" s="111"/>
      <c r="E513" s="110"/>
      <c r="F513" s="110">
        <v>5</v>
      </c>
      <c r="G513" s="110"/>
      <c r="H513" s="80"/>
      <c r="I513" s="80"/>
      <c r="J513" s="80">
        <f t="shared" ca="1" si="224"/>
        <v>0</v>
      </c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>
        <f ca="1">SLN($J513,,$F513)</f>
        <v>0</v>
      </c>
      <c r="AC513" s="80">
        <f ca="1">SLN($J513,,$F513)</f>
        <v>0</v>
      </c>
      <c r="AD513" s="80">
        <f ca="1">SLN($J513,,$F513)</f>
        <v>0</v>
      </c>
      <c r="AE513" s="80">
        <f ca="1">SLN($J513,,$F513)</f>
        <v>0</v>
      </c>
      <c r="AF513" s="80">
        <f ca="1">SLN($J513,,$F513)</f>
        <v>0</v>
      </c>
      <c r="AG513" s="80"/>
      <c r="AH513" s="80"/>
      <c r="AI513" s="80"/>
    </row>
    <row r="514" spans="2:39" ht="15.75" customHeight="1">
      <c r="B514" s="111"/>
      <c r="C514" s="396">
        <f t="shared" si="223"/>
        <v>19</v>
      </c>
      <c r="D514" s="111"/>
      <c r="E514" s="110"/>
      <c r="F514" s="110">
        <v>5</v>
      </c>
      <c r="G514" s="110"/>
      <c r="H514" s="80"/>
      <c r="I514" s="80"/>
      <c r="J514" s="80">
        <f t="shared" ca="1" si="224"/>
        <v>5160000</v>
      </c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>
        <f ca="1">SLN($J514,,$F514)</f>
        <v>1032000</v>
      </c>
      <c r="AD514" s="80">
        <f ca="1">SLN($J514,,$F514)</f>
        <v>1032000</v>
      </c>
      <c r="AE514" s="80">
        <f ca="1">SLN($J514,,$F514)</f>
        <v>1032000</v>
      </c>
      <c r="AF514" s="80">
        <f ca="1">SLN($J514,,$F514)</f>
        <v>1032000</v>
      </c>
      <c r="AG514" s="80">
        <f ca="1">SLN($J514,,$F514)</f>
        <v>1032000</v>
      </c>
      <c r="AH514" s="80"/>
      <c r="AI514" s="80"/>
    </row>
    <row r="515" spans="2:39" ht="15.75" customHeight="1">
      <c r="B515" s="111"/>
      <c r="C515" s="396">
        <f t="shared" si="223"/>
        <v>20</v>
      </c>
      <c r="D515" s="111"/>
      <c r="E515" s="110"/>
      <c r="F515" s="110">
        <v>5</v>
      </c>
      <c r="G515" s="110"/>
      <c r="H515" s="80"/>
      <c r="I515" s="80"/>
      <c r="J515" s="80">
        <f t="shared" ca="1" si="224"/>
        <v>5160000</v>
      </c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>
        <f ca="1">SLN($J515,,$F515)</f>
        <v>1032000</v>
      </c>
      <c r="AE515" s="80">
        <f ca="1">SLN($J515,,$F515)</f>
        <v>1032000</v>
      </c>
      <c r="AF515" s="80">
        <f ca="1">SLN($J515,,$F515)</f>
        <v>1032000</v>
      </c>
      <c r="AG515" s="80">
        <f ca="1">SLN($J515,,$F515)</f>
        <v>1032000</v>
      </c>
      <c r="AH515" s="80">
        <f ca="1">SLN($J515,,$F515)</f>
        <v>1032000</v>
      </c>
      <c r="AI515" s="80"/>
    </row>
    <row r="516" spans="2:39" ht="15.75" customHeight="1">
      <c r="B516" s="111"/>
      <c r="C516" s="396">
        <f t="shared" si="223"/>
        <v>21</v>
      </c>
      <c r="D516" s="111"/>
      <c r="E516" s="110"/>
      <c r="F516" s="110">
        <v>5</v>
      </c>
      <c r="G516" s="110"/>
      <c r="H516" s="80"/>
      <c r="I516" s="80"/>
      <c r="J516" s="80">
        <f t="shared" ca="1" si="224"/>
        <v>0</v>
      </c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>
        <f ca="1">SLN($J516,,$F516)</f>
        <v>0</v>
      </c>
      <c r="AF516" s="80">
        <f ca="1">SLN($J516,,$F516)</f>
        <v>0</v>
      </c>
      <c r="AG516" s="80">
        <f ca="1">SLN($J516,,$F516)</f>
        <v>0</v>
      </c>
      <c r="AH516" s="80">
        <f ca="1">SLN($J516,,$F516)</f>
        <v>0</v>
      </c>
      <c r="AI516" s="80">
        <f ca="1">SLN($J516,,$F516)</f>
        <v>0</v>
      </c>
    </row>
    <row r="517" spans="2:39" ht="15.75" customHeight="1">
      <c r="B517" s="111"/>
      <c r="C517" s="396">
        <f t="shared" si="223"/>
        <v>22</v>
      </c>
      <c r="D517" s="111"/>
      <c r="E517" s="110"/>
      <c r="F517" s="110">
        <v>5</v>
      </c>
      <c r="G517" s="110"/>
      <c r="H517" s="80"/>
      <c r="I517" s="80"/>
      <c r="J517" s="80">
        <f t="shared" ca="1" si="224"/>
        <v>5160000</v>
      </c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>
        <f ca="1">SLN($J517,,$F517)</f>
        <v>1032000</v>
      </c>
      <c r="AG517" s="80">
        <f ca="1">SLN($J517,,$F517)</f>
        <v>1032000</v>
      </c>
      <c r="AH517" s="80">
        <f ca="1">SLN($J517,,$F517)</f>
        <v>1032000</v>
      </c>
      <c r="AI517" s="80">
        <f ca="1">SLN($J517,,$F517)</f>
        <v>1032000</v>
      </c>
      <c r="AJ517" s="80"/>
    </row>
    <row r="518" spans="2:39" ht="15.75" customHeight="1">
      <c r="B518" s="111"/>
      <c r="C518" s="396">
        <f t="shared" si="223"/>
        <v>23</v>
      </c>
      <c r="D518" s="111"/>
      <c r="E518" s="110"/>
      <c r="F518" s="110">
        <v>5</v>
      </c>
      <c r="G518" s="110"/>
      <c r="H518" s="80"/>
      <c r="I518" s="80"/>
      <c r="J518" s="80">
        <f t="shared" ca="1" si="224"/>
        <v>5160000</v>
      </c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>
        <f ca="1">SLN($J518,,$F518)</f>
        <v>1032000</v>
      </c>
      <c r="AH518" s="80">
        <f ca="1">SLN($J518,,$F518)</f>
        <v>1032000</v>
      </c>
      <c r="AI518" s="80">
        <f ca="1">SLN($J518,,$F518)</f>
        <v>1032000</v>
      </c>
      <c r="AJ518" s="80"/>
      <c r="AK518" s="80"/>
    </row>
    <row r="519" spans="2:39" ht="15.75" customHeight="1">
      <c r="B519" s="111"/>
      <c r="C519" s="396">
        <f t="shared" si="223"/>
        <v>24</v>
      </c>
      <c r="D519" s="110"/>
      <c r="E519" s="110"/>
      <c r="F519" s="110">
        <v>5</v>
      </c>
      <c r="G519" s="110"/>
      <c r="H519" s="110"/>
      <c r="I519" s="110"/>
      <c r="J519" s="80">
        <f t="shared" ca="1" si="224"/>
        <v>0</v>
      </c>
      <c r="K519" s="515"/>
      <c r="L519" s="80"/>
      <c r="M519" s="80"/>
      <c r="N519" s="80"/>
      <c r="O519" s="76"/>
      <c r="AH519" s="80">
        <f ca="1">SLN($J519,,$F519)</f>
        <v>0</v>
      </c>
      <c r="AI519" s="80">
        <f ca="1">SLN($J519,,$F519)</f>
        <v>0</v>
      </c>
      <c r="AJ519" s="80"/>
      <c r="AK519" s="80"/>
      <c r="AL519" s="80"/>
    </row>
    <row r="520" spans="2:39" ht="15.75" customHeight="1">
      <c r="B520" s="111"/>
      <c r="C520" s="396">
        <f t="shared" si="223"/>
        <v>25</v>
      </c>
      <c r="D520" s="164"/>
      <c r="E520" s="111"/>
      <c r="F520" s="110">
        <v>5</v>
      </c>
      <c r="G520" s="111"/>
      <c r="H520" s="111"/>
      <c r="I520" s="111"/>
      <c r="J520" s="80">
        <f t="shared" ca="1" si="224"/>
        <v>5160000</v>
      </c>
      <c r="K520" s="111"/>
      <c r="L520" s="111"/>
      <c r="M520" s="128"/>
      <c r="N520" s="128"/>
      <c r="O520" s="76"/>
      <c r="AI520" s="80">
        <f ca="1">SLN($J520,,$F520)</f>
        <v>1032000</v>
      </c>
      <c r="AJ520" s="80"/>
      <c r="AK520" s="80"/>
      <c r="AL520" s="80"/>
      <c r="AM520" s="80"/>
    </row>
    <row r="521" spans="2:39" ht="15.75" customHeight="1">
      <c r="B521" s="111"/>
      <c r="C521" s="396"/>
      <c r="D521" s="164"/>
      <c r="E521" s="111"/>
      <c r="F521" s="111"/>
      <c r="G521" s="111"/>
      <c r="H521" s="111"/>
      <c r="I521" s="111"/>
      <c r="J521" s="111"/>
      <c r="K521" s="111"/>
      <c r="L521" s="111"/>
      <c r="M521" s="128"/>
      <c r="N521" s="128"/>
      <c r="O521" s="76"/>
    </row>
    <row r="522" spans="2:39" ht="15.75" customHeight="1">
      <c r="B522" s="111"/>
      <c r="C522" s="244" t="s">
        <v>463</v>
      </c>
      <c r="D522" s="164"/>
      <c r="E522" s="111"/>
      <c r="F522" s="111"/>
      <c r="G522" s="111"/>
      <c r="H522" s="111"/>
      <c r="I522" s="111"/>
      <c r="J522" s="111"/>
      <c r="K522" s="126">
        <f ca="1">SUM(K492:K520)</f>
        <v>380554047.68293267</v>
      </c>
      <c r="L522" s="126">
        <f t="shared" ref="L522:AI522" ca="1" si="225">SUM(L492:L520)</f>
        <v>380554047.68293267</v>
      </c>
      <c r="M522" s="126">
        <f t="shared" ca="1" si="225"/>
        <v>380554047.68293267</v>
      </c>
      <c r="N522" s="126">
        <f t="shared" ca="1" si="225"/>
        <v>381586047.68293267</v>
      </c>
      <c r="O522" s="126">
        <f t="shared" ca="1" si="225"/>
        <v>382618047.68293267</v>
      </c>
      <c r="P522" s="126">
        <f t="shared" ca="1" si="225"/>
        <v>2222375</v>
      </c>
      <c r="Q522" s="126">
        <f t="shared" ca="1" si="225"/>
        <v>3254375</v>
      </c>
      <c r="R522" s="126">
        <f t="shared" ca="1" si="225"/>
        <v>4286375</v>
      </c>
      <c r="S522" s="126">
        <f t="shared" ca="1" si="225"/>
        <v>3254375</v>
      </c>
      <c r="T522" s="126">
        <f t="shared" ca="1" si="225"/>
        <v>3254375</v>
      </c>
      <c r="U522" s="126">
        <f t="shared" ca="1" si="225"/>
        <v>4128000</v>
      </c>
      <c r="V522" s="126">
        <f t="shared" ca="1" si="225"/>
        <v>3096000</v>
      </c>
      <c r="W522" s="126">
        <f t="shared" ca="1" si="225"/>
        <v>3096000</v>
      </c>
      <c r="X522" s="126">
        <f t="shared" ca="1" si="225"/>
        <v>4128000</v>
      </c>
      <c r="Y522" s="126">
        <f t="shared" ca="1" si="225"/>
        <v>3096000</v>
      </c>
      <c r="Z522" s="126">
        <f t="shared" ca="1" si="225"/>
        <v>3096000</v>
      </c>
      <c r="AA522" s="126">
        <f t="shared" ca="1" si="225"/>
        <v>4128000</v>
      </c>
      <c r="AB522" s="126">
        <f t="shared" ca="1" si="225"/>
        <v>3096000</v>
      </c>
      <c r="AC522" s="126">
        <f t="shared" ca="1" si="225"/>
        <v>3096000</v>
      </c>
      <c r="AD522" s="126">
        <f t="shared" ca="1" si="225"/>
        <v>4128000</v>
      </c>
      <c r="AE522" s="126">
        <f t="shared" ca="1" si="225"/>
        <v>3096000</v>
      </c>
      <c r="AF522" s="126">
        <f t="shared" ca="1" si="225"/>
        <v>3096000</v>
      </c>
      <c r="AG522" s="126">
        <f t="shared" ca="1" si="225"/>
        <v>4128000</v>
      </c>
      <c r="AH522" s="126">
        <f t="shared" ca="1" si="225"/>
        <v>3096000</v>
      </c>
      <c r="AI522" s="126">
        <f t="shared" ca="1" si="225"/>
        <v>3096000</v>
      </c>
    </row>
    <row r="523" spans="2:39" ht="15.75" customHeight="1">
      <c r="B523" s="111"/>
      <c r="C523" s="244" t="s">
        <v>859</v>
      </c>
      <c r="D523" s="164"/>
      <c r="E523" s="111"/>
      <c r="F523" s="111"/>
      <c r="G523" s="111"/>
      <c r="H523" s="111"/>
      <c r="I523" s="111"/>
      <c r="J523" s="111"/>
      <c r="K523" s="126">
        <f ca="1">K488</f>
        <v>1523008065.7317307</v>
      </c>
      <c r="L523" s="126">
        <f t="shared" ref="L523:AI523" ca="1" si="226">L488</f>
        <v>1142454018.0487981</v>
      </c>
      <c r="M523" s="126">
        <f t="shared" ca="1" si="226"/>
        <v>761899970.36586547</v>
      </c>
      <c r="N523" s="126">
        <f t="shared" ca="1" si="226"/>
        <v>385473922.68293279</v>
      </c>
      <c r="O523" s="126">
        <f ca="1">O488</f>
        <v>8015875.0000001192</v>
      </c>
      <c r="P523" s="126">
        <f t="shared" ca="1" si="226"/>
        <v>5793500.0000001192</v>
      </c>
      <c r="Q523" s="126">
        <f t="shared" ca="1" si="226"/>
        <v>7699125.0000001192</v>
      </c>
      <c r="R523" s="126">
        <f t="shared" ca="1" si="226"/>
        <v>8572750.0000001192</v>
      </c>
      <c r="S523" s="126">
        <f t="shared" ca="1" si="226"/>
        <v>5318375.0000001192</v>
      </c>
      <c r="T523" s="126">
        <f t="shared" ca="1" si="226"/>
        <v>7224000.0000001192</v>
      </c>
      <c r="U523" s="126">
        <f t="shared" ca="1" si="226"/>
        <v>8256000.0000001192</v>
      </c>
      <c r="V523" s="126">
        <f t="shared" ca="1" si="226"/>
        <v>5160000.0000001192</v>
      </c>
      <c r="W523" s="126">
        <f t="shared" ca="1" si="226"/>
        <v>7224000.0000001192</v>
      </c>
      <c r="X523" s="126">
        <f t="shared" ca="1" si="226"/>
        <v>8256000.0000001192</v>
      </c>
      <c r="Y523" s="126">
        <f t="shared" ca="1" si="226"/>
        <v>5160000.0000001192</v>
      </c>
      <c r="Z523" s="126">
        <f t="shared" ca="1" si="226"/>
        <v>7224000.0000001192</v>
      </c>
      <c r="AA523" s="126">
        <f t="shared" ca="1" si="226"/>
        <v>8256000.0000001192</v>
      </c>
      <c r="AB523" s="126">
        <f t="shared" ca="1" si="226"/>
        <v>5160000.0000001192</v>
      </c>
      <c r="AC523" s="126">
        <f t="shared" ca="1" si="226"/>
        <v>7224000.0000001192</v>
      </c>
      <c r="AD523" s="126">
        <f t="shared" ca="1" si="226"/>
        <v>8256000.0000001192</v>
      </c>
      <c r="AE523" s="126">
        <f t="shared" ca="1" si="226"/>
        <v>5160000.0000001192</v>
      </c>
      <c r="AF523" s="126">
        <f t="shared" ca="1" si="226"/>
        <v>7224000.0000001192</v>
      </c>
      <c r="AG523" s="126">
        <f t="shared" ca="1" si="226"/>
        <v>8256000.0000001192</v>
      </c>
      <c r="AH523" s="126">
        <f t="shared" ca="1" si="226"/>
        <v>5160000.0000001192</v>
      </c>
      <c r="AI523" s="126">
        <f t="shared" ca="1" si="226"/>
        <v>7224000.0000001192</v>
      </c>
    </row>
    <row r="524" spans="2:39" ht="15.75" customHeight="1">
      <c r="B524" s="111"/>
      <c r="C524" s="331" t="s">
        <v>526</v>
      </c>
      <c r="D524" s="164"/>
      <c r="E524" s="111"/>
      <c r="F524" s="111"/>
      <c r="G524" s="111"/>
      <c r="H524" s="111"/>
      <c r="I524" s="111"/>
      <c r="J524" s="111"/>
      <c r="K524" s="842">
        <f ca="1">K522/K523</f>
        <v>0.24987001464112082</v>
      </c>
      <c r="L524" s="842">
        <f t="shared" ref="L524:AI524" ca="1" si="227">L522/L523</f>
        <v>0.33310228829417793</v>
      </c>
      <c r="M524" s="842">
        <f t="shared" ca="1" si="227"/>
        <v>0.49948032876309217</v>
      </c>
      <c r="N524" s="842">
        <f t="shared" ca="1" si="227"/>
        <v>0.98991403887209761</v>
      </c>
      <c r="O524" s="842">
        <f t="shared" ca="1" si="227"/>
        <v>47.73253670783626</v>
      </c>
      <c r="P524" s="842">
        <f t="shared" ca="1" si="227"/>
        <v>0.3835979977560981</v>
      </c>
      <c r="Q524" s="842">
        <f t="shared" ca="1" si="227"/>
        <v>0.42269413732079292</v>
      </c>
      <c r="R524" s="842">
        <f t="shared" ca="1" si="227"/>
        <v>0.49999999999999306</v>
      </c>
      <c r="S524" s="842">
        <f t="shared" ca="1" si="227"/>
        <v>0.61191153312805646</v>
      </c>
      <c r="T524" s="842">
        <f t="shared" ca="1" si="227"/>
        <v>0.45049487818382422</v>
      </c>
      <c r="U524" s="842">
        <f t="shared" ca="1" si="227"/>
        <v>0.49999999999999278</v>
      </c>
      <c r="V524" s="842">
        <f t="shared" ca="1" si="227"/>
        <v>0.5999999999999861</v>
      </c>
      <c r="W524" s="842">
        <f t="shared" ca="1" si="227"/>
        <v>0.4285714285714215</v>
      </c>
      <c r="X524" s="842">
        <f t="shared" ca="1" si="227"/>
        <v>0.49999999999999278</v>
      </c>
      <c r="Y524" s="842">
        <f t="shared" ca="1" si="227"/>
        <v>0.5999999999999861</v>
      </c>
      <c r="Z524" s="842">
        <f t="shared" ca="1" si="227"/>
        <v>0.4285714285714215</v>
      </c>
      <c r="AA524" s="842">
        <f t="shared" ca="1" si="227"/>
        <v>0.49999999999999278</v>
      </c>
      <c r="AB524" s="842">
        <f t="shared" ca="1" si="227"/>
        <v>0.5999999999999861</v>
      </c>
      <c r="AC524" s="842">
        <f t="shared" ca="1" si="227"/>
        <v>0.4285714285714215</v>
      </c>
      <c r="AD524" s="842">
        <f t="shared" ca="1" si="227"/>
        <v>0.49999999999999278</v>
      </c>
      <c r="AE524" s="842">
        <f t="shared" ca="1" si="227"/>
        <v>0.5999999999999861</v>
      </c>
      <c r="AF524" s="842">
        <f t="shared" ca="1" si="227"/>
        <v>0.4285714285714215</v>
      </c>
      <c r="AG524" s="842">
        <f t="shared" ca="1" si="227"/>
        <v>0.49999999999999278</v>
      </c>
      <c r="AH524" s="842">
        <f t="shared" ca="1" si="227"/>
        <v>0.5999999999999861</v>
      </c>
      <c r="AI524" s="842">
        <f t="shared" ca="1" si="227"/>
        <v>0.4285714285714215</v>
      </c>
    </row>
    <row r="525" spans="2:39" ht="15.75" customHeight="1"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28"/>
      <c r="N525" s="128"/>
      <c r="O525" s="76"/>
    </row>
    <row r="526" spans="2:39" ht="15.75" customHeight="1"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28"/>
      <c r="N526" s="128"/>
      <c r="O526" s="76"/>
    </row>
    <row r="527" spans="2:39" ht="27">
      <c r="B527" s="111"/>
      <c r="C527" s="499" t="s">
        <v>603</v>
      </c>
      <c r="K527" s="102"/>
      <c r="L527" s="102"/>
      <c r="M527" s="103"/>
      <c r="N527" s="137"/>
      <c r="O527" s="137"/>
      <c r="P527" s="137"/>
    </row>
    <row r="528" spans="2:39" ht="3" customHeight="1">
      <c r="B528" s="111"/>
      <c r="C528" s="104"/>
      <c r="D528" s="104"/>
      <c r="E528" s="104"/>
      <c r="F528" s="104"/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</row>
    <row r="529" spans="2:35" ht="15.75" customHeight="1">
      <c r="B529" s="111"/>
      <c r="C529" s="75"/>
      <c r="K529" s="102"/>
      <c r="L529" s="102"/>
      <c r="M529" s="103"/>
      <c r="N529" s="137"/>
      <c r="O529" s="137"/>
      <c r="P529" s="137"/>
    </row>
    <row r="530" spans="2:35" ht="15.75" customHeight="1">
      <c r="B530" s="111"/>
      <c r="C530" s="480" t="s">
        <v>455</v>
      </c>
      <c r="K530" s="102"/>
      <c r="L530" s="500"/>
      <c r="M530" s="105"/>
      <c r="N530" s="138"/>
      <c r="O530" s="76"/>
    </row>
    <row r="531" spans="2:35" ht="15.75" customHeight="1">
      <c r="B531" s="91"/>
      <c r="C531" s="546"/>
      <c r="D531" s="106"/>
      <c r="E531" s="106"/>
      <c r="F531" s="106"/>
      <c r="G531" s="768">
        <f>H531-1</f>
        <v>-4</v>
      </c>
      <c r="H531" s="768">
        <f>I531-1</f>
        <v>-3</v>
      </c>
      <c r="I531" s="768">
        <f>J531-1</f>
        <v>-2</v>
      </c>
      <c r="J531" s="768">
        <v>-1</v>
      </c>
      <c r="K531" s="768">
        <f>J531+2</f>
        <v>1</v>
      </c>
      <c r="L531" s="768">
        <f t="shared" ref="L531:AI531" si="228">K531+1</f>
        <v>2</v>
      </c>
      <c r="M531" s="768">
        <f t="shared" si="228"/>
        <v>3</v>
      </c>
      <c r="N531" s="768">
        <f t="shared" si="228"/>
        <v>4</v>
      </c>
      <c r="O531" s="768">
        <f t="shared" si="228"/>
        <v>5</v>
      </c>
      <c r="P531" s="768">
        <f t="shared" si="228"/>
        <v>6</v>
      </c>
      <c r="Q531" s="768">
        <f t="shared" si="228"/>
        <v>7</v>
      </c>
      <c r="R531" s="768">
        <f t="shared" si="228"/>
        <v>8</v>
      </c>
      <c r="S531" s="768">
        <f t="shared" si="228"/>
        <v>9</v>
      </c>
      <c r="T531" s="768">
        <f t="shared" si="228"/>
        <v>10</v>
      </c>
      <c r="U531" s="768">
        <f t="shared" si="228"/>
        <v>11</v>
      </c>
      <c r="V531" s="768">
        <f t="shared" si="228"/>
        <v>12</v>
      </c>
      <c r="W531" s="768">
        <f t="shared" si="228"/>
        <v>13</v>
      </c>
      <c r="X531" s="768">
        <f t="shared" si="228"/>
        <v>14</v>
      </c>
      <c r="Y531" s="768">
        <f t="shared" si="228"/>
        <v>15</v>
      </c>
      <c r="Z531" s="768">
        <f t="shared" si="228"/>
        <v>16</v>
      </c>
      <c r="AA531" s="768">
        <f t="shared" si="228"/>
        <v>17</v>
      </c>
      <c r="AB531" s="768">
        <f t="shared" si="228"/>
        <v>18</v>
      </c>
      <c r="AC531" s="768">
        <f t="shared" si="228"/>
        <v>19</v>
      </c>
      <c r="AD531" s="768">
        <f t="shared" si="228"/>
        <v>20</v>
      </c>
      <c r="AE531" s="768">
        <f t="shared" si="228"/>
        <v>21</v>
      </c>
      <c r="AF531" s="768">
        <f t="shared" si="228"/>
        <v>22</v>
      </c>
      <c r="AG531" s="768">
        <f t="shared" si="228"/>
        <v>23</v>
      </c>
      <c r="AH531" s="768">
        <f t="shared" si="228"/>
        <v>24</v>
      </c>
      <c r="AI531" s="768">
        <f t="shared" si="228"/>
        <v>25</v>
      </c>
    </row>
    <row r="532" spans="2:35" ht="15.75" customHeight="1">
      <c r="B532" s="91"/>
      <c r="C532" s="548"/>
      <c r="D532" s="469"/>
      <c r="E532" s="469"/>
      <c r="F532" s="469"/>
      <c r="G532" s="469"/>
      <c r="H532" s="469"/>
      <c r="I532" s="548"/>
      <c r="J532" s="548"/>
      <c r="K532" s="769">
        <f>INT(ROUNDUP(K531/12,0))</f>
        <v>1</v>
      </c>
      <c r="L532" s="769">
        <f>INT(ROUNDUP(L531/12,0))</f>
        <v>1</v>
      </c>
      <c r="M532" s="769">
        <f t="shared" ref="M532:AI532" si="229">INT(ROUNDUP(M531/12,0))</f>
        <v>1</v>
      </c>
      <c r="N532" s="769">
        <f t="shared" si="229"/>
        <v>1</v>
      </c>
      <c r="O532" s="769">
        <f t="shared" si="229"/>
        <v>1</v>
      </c>
      <c r="P532" s="769">
        <f t="shared" si="229"/>
        <v>1</v>
      </c>
      <c r="Q532" s="769">
        <f t="shared" si="229"/>
        <v>1</v>
      </c>
      <c r="R532" s="769">
        <f t="shared" si="229"/>
        <v>1</v>
      </c>
      <c r="S532" s="769">
        <f t="shared" si="229"/>
        <v>1</v>
      </c>
      <c r="T532" s="769">
        <f t="shared" si="229"/>
        <v>1</v>
      </c>
      <c r="U532" s="769">
        <f t="shared" si="229"/>
        <v>1</v>
      </c>
      <c r="V532" s="769">
        <f t="shared" si="229"/>
        <v>1</v>
      </c>
      <c r="W532" s="769">
        <f t="shared" si="229"/>
        <v>2</v>
      </c>
      <c r="X532" s="769">
        <f t="shared" si="229"/>
        <v>2</v>
      </c>
      <c r="Y532" s="769">
        <f t="shared" si="229"/>
        <v>2</v>
      </c>
      <c r="Z532" s="769">
        <f t="shared" si="229"/>
        <v>2</v>
      </c>
      <c r="AA532" s="769">
        <f t="shared" si="229"/>
        <v>2</v>
      </c>
      <c r="AB532" s="769">
        <f t="shared" si="229"/>
        <v>2</v>
      </c>
      <c r="AC532" s="769">
        <f t="shared" si="229"/>
        <v>2</v>
      </c>
      <c r="AD532" s="769">
        <f t="shared" si="229"/>
        <v>2</v>
      </c>
      <c r="AE532" s="769">
        <f t="shared" si="229"/>
        <v>2</v>
      </c>
      <c r="AF532" s="769">
        <f t="shared" si="229"/>
        <v>2</v>
      </c>
      <c r="AG532" s="769">
        <f t="shared" si="229"/>
        <v>2</v>
      </c>
      <c r="AH532" s="769">
        <f t="shared" si="229"/>
        <v>2</v>
      </c>
      <c r="AI532" s="769">
        <f t="shared" si="229"/>
        <v>3</v>
      </c>
    </row>
    <row r="533" spans="2:35" ht="15.75" customHeight="1">
      <c r="B533" s="91"/>
      <c r="C533" s="471"/>
      <c r="D533" s="472"/>
      <c r="E533" s="506"/>
      <c r="F533" s="506"/>
      <c r="G533" s="94" t="s">
        <v>499</v>
      </c>
      <c r="H533" s="94" t="s">
        <v>499</v>
      </c>
      <c r="I533" s="94" t="s">
        <v>499</v>
      </c>
      <c r="J533" s="94" t="s">
        <v>499</v>
      </c>
      <c r="K533" s="94" t="s">
        <v>499</v>
      </c>
      <c r="L533" s="94" t="s">
        <v>499</v>
      </c>
      <c r="M533" s="94" t="s">
        <v>499</v>
      </c>
      <c r="N533" s="94" t="s">
        <v>499</v>
      </c>
      <c r="O533" s="94" t="s">
        <v>499</v>
      </c>
      <c r="P533" s="94" t="s">
        <v>499</v>
      </c>
      <c r="Q533" s="94" t="s">
        <v>499</v>
      </c>
      <c r="R533" s="94" t="s">
        <v>499</v>
      </c>
      <c r="S533" s="94" t="s">
        <v>499</v>
      </c>
      <c r="T533" s="94" t="s">
        <v>499</v>
      </c>
      <c r="U533" s="94" t="s">
        <v>499</v>
      </c>
      <c r="V533" s="94" t="s">
        <v>499</v>
      </c>
      <c r="W533" s="94" t="s">
        <v>499</v>
      </c>
      <c r="X533" s="94" t="s">
        <v>499</v>
      </c>
      <c r="Y533" s="94" t="s">
        <v>499</v>
      </c>
      <c r="Z533" s="94" t="s">
        <v>499</v>
      </c>
      <c r="AA533" s="94" t="s">
        <v>499</v>
      </c>
      <c r="AB533" s="94" t="s">
        <v>499</v>
      </c>
      <c r="AC533" s="94" t="s">
        <v>499</v>
      </c>
      <c r="AD533" s="94" t="s">
        <v>499</v>
      </c>
      <c r="AE533" s="94" t="s">
        <v>499</v>
      </c>
      <c r="AF533" s="94" t="s">
        <v>499</v>
      </c>
      <c r="AG533" s="94" t="s">
        <v>499</v>
      </c>
      <c r="AH533" s="94" t="s">
        <v>499</v>
      </c>
      <c r="AI533" s="94" t="s">
        <v>499</v>
      </c>
    </row>
    <row r="534" spans="2:35" ht="15.75" customHeight="1">
      <c r="B534" s="111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21"/>
      <c r="O534" s="76"/>
    </row>
    <row r="535" spans="2:35" ht="15.75" customHeight="1">
      <c r="B535" s="111"/>
      <c r="C535" s="80" t="s">
        <v>372</v>
      </c>
      <c r="D535" s="80"/>
      <c r="E535" s="80"/>
      <c r="F535" s="80"/>
      <c r="G535" s="80">
        <f t="shared" ref="G535:N535" si="230">G334</f>
        <v>0</v>
      </c>
      <c r="H535" s="80">
        <f t="shared" si="230"/>
        <v>-500000000</v>
      </c>
      <c r="I535" s="80">
        <f t="shared" si="230"/>
        <v>-1000000000</v>
      </c>
      <c r="J535" s="80">
        <f t="shared" si="230"/>
        <v>-500000000</v>
      </c>
      <c r="K535" s="80">
        <f t="shared" ca="1" si="230"/>
        <v>586077308.32599509</v>
      </c>
      <c r="L535" s="80">
        <f t="shared" ca="1" si="230"/>
        <v>558990646.34801102</v>
      </c>
      <c r="M535" s="80">
        <f t="shared" ca="1" si="230"/>
        <v>616315537.2889626</v>
      </c>
      <c r="N535" s="80">
        <f t="shared" ca="1" si="230"/>
        <v>575606183.98061657</v>
      </c>
      <c r="O535" s="80">
        <f ca="1">O334</f>
        <v>579221930.72676957</v>
      </c>
      <c r="P535" s="80">
        <f ca="1">P334</f>
        <v>571260403.18218172</v>
      </c>
      <c r="Q535" s="80">
        <f t="shared" ref="Q535:AI535" ca="1" si="231">Q334</f>
        <v>516078732.72658932</v>
      </c>
      <c r="R535" s="80">
        <f t="shared" ca="1" si="231"/>
        <v>526026426.80225927</v>
      </c>
      <c r="S535" s="80">
        <f t="shared" ca="1" si="231"/>
        <v>606685925.82864845</v>
      </c>
      <c r="T535" s="80">
        <f t="shared" ca="1" si="231"/>
        <v>509573661.02527678</v>
      </c>
      <c r="U535" s="80">
        <f t="shared" ca="1" si="231"/>
        <v>531956592.85191166</v>
      </c>
      <c r="V535" s="80">
        <f t="shared" ca="1" si="231"/>
        <v>612791365.47055554</v>
      </c>
      <c r="W535" s="80">
        <f t="shared" ca="1" si="231"/>
        <v>561163158.48488498</v>
      </c>
      <c r="X535" s="80">
        <f t="shared" ca="1" si="231"/>
        <v>574697286.90809107</v>
      </c>
      <c r="Y535" s="80">
        <f t="shared" ca="1" si="231"/>
        <v>656789563.81226242</v>
      </c>
      <c r="Z535" s="80">
        <f t="shared" ca="1" si="231"/>
        <v>606223800.78391647</v>
      </c>
      <c r="AA535" s="80">
        <f t="shared" ca="1" si="231"/>
        <v>618734697.68020892</v>
      </c>
      <c r="AB535" s="80">
        <f t="shared" ca="1" si="231"/>
        <v>701444645.62618065</v>
      </c>
      <c r="AC535" s="80">
        <f t="shared" ca="1" si="231"/>
        <v>651921615.26031709</v>
      </c>
      <c r="AD535" s="80">
        <f t="shared" ca="1" si="231"/>
        <v>637662856.97649765</v>
      </c>
      <c r="AE535" s="80">
        <f t="shared" ca="1" si="231"/>
        <v>689661073.58823836</v>
      </c>
      <c r="AF535" s="80">
        <f t="shared" ca="1" si="231"/>
        <v>654617964.93355012</v>
      </c>
      <c r="AG535" s="80">
        <f t="shared" ca="1" si="231"/>
        <v>668491883.36037707</v>
      </c>
      <c r="AH535" s="80">
        <f t="shared" ca="1" si="231"/>
        <v>747474223.89879072</v>
      </c>
      <c r="AI535" s="80">
        <f t="shared" ca="1" si="231"/>
        <v>703881518.55616641</v>
      </c>
    </row>
    <row r="536" spans="2:35" ht="15.75" customHeight="1">
      <c r="B536" s="111"/>
      <c r="C536" s="80" t="s">
        <v>840</v>
      </c>
      <c r="D536" s="80"/>
      <c r="E536" s="80"/>
      <c r="F536" s="80"/>
      <c r="G536" s="804">
        <f>G535*-1</f>
        <v>0</v>
      </c>
      <c r="H536" s="804">
        <v>0</v>
      </c>
      <c r="I536" s="804">
        <v>0</v>
      </c>
      <c r="J536" s="804"/>
      <c r="K536" s="804"/>
      <c r="L536" s="804">
        <v>0</v>
      </c>
      <c r="M536" s="804">
        <v>0</v>
      </c>
      <c r="N536" s="804">
        <v>0</v>
      </c>
      <c r="O536" s="804">
        <v>0</v>
      </c>
      <c r="P536" s="804">
        <f>-(SUM(H536:O536))</f>
        <v>0</v>
      </c>
      <c r="Q536" s="804"/>
      <c r="R536" s="804"/>
      <c r="S536" s="804"/>
      <c r="T536" s="804"/>
      <c r="U536" s="804"/>
      <c r="V536" s="804"/>
      <c r="W536" s="804"/>
      <c r="X536" s="804"/>
      <c r="Y536" s="804"/>
      <c r="Z536" s="804"/>
      <c r="AA536" s="804"/>
      <c r="AB536" s="804"/>
      <c r="AC536" s="804"/>
      <c r="AD536" s="804"/>
      <c r="AE536" s="804"/>
      <c r="AF536" s="804"/>
      <c r="AG536" s="804"/>
      <c r="AH536" s="804"/>
      <c r="AI536" s="804"/>
    </row>
    <row r="537" spans="2:35" ht="15.75" customHeight="1">
      <c r="B537" s="111"/>
      <c r="C537" s="80" t="s">
        <v>419</v>
      </c>
      <c r="D537" s="80"/>
      <c r="E537" s="80"/>
      <c r="F537" s="80"/>
      <c r="G537" s="80">
        <f t="shared" ref="G537:M537" si="232">G347</f>
        <v>0</v>
      </c>
      <c r="H537" s="80">
        <f t="shared" si="232"/>
        <v>0</v>
      </c>
      <c r="I537" s="80">
        <f t="shared" si="232"/>
        <v>-500000000</v>
      </c>
      <c r="J537" s="80">
        <f t="shared" si="232"/>
        <v>-1500000000</v>
      </c>
      <c r="K537" s="80">
        <f t="shared" si="232"/>
        <v>-2000000000</v>
      </c>
      <c r="L537" s="80">
        <f t="shared" ca="1" si="232"/>
        <v>-1413922691.674005</v>
      </c>
      <c r="M537" s="80">
        <f t="shared" ca="1" si="232"/>
        <v>-854932045.32599401</v>
      </c>
      <c r="N537" s="80">
        <f ca="1">N347</f>
        <v>-238616508.03703141</v>
      </c>
      <c r="O537" s="80">
        <f ca="1">O347</f>
        <v>336989675.94358516</v>
      </c>
      <c r="P537" s="80">
        <f ca="1">P347</f>
        <v>916211606.67035472</v>
      </c>
      <c r="Q537" s="80">
        <f t="shared" ref="Q537:AI537" ca="1" si="233">Q347</f>
        <v>1487472009.8525364</v>
      </c>
      <c r="R537" s="80">
        <f t="shared" ca="1" si="233"/>
        <v>2003550742.5791259</v>
      </c>
      <c r="S537" s="80">
        <f t="shared" ca="1" si="233"/>
        <v>2529577169.3813853</v>
      </c>
      <c r="T537" s="80">
        <f t="shared" ca="1" si="233"/>
        <v>3136263095.2100339</v>
      </c>
      <c r="U537" s="80">
        <f t="shared" ca="1" si="233"/>
        <v>3645836756.2353106</v>
      </c>
      <c r="V537" s="80">
        <f t="shared" ca="1" si="233"/>
        <v>4177793349.0872221</v>
      </c>
      <c r="W537" s="80">
        <f t="shared" ca="1" si="233"/>
        <v>4790584714.5577774</v>
      </c>
      <c r="X537" s="80">
        <f t="shared" ca="1" si="233"/>
        <v>5351747873.0426626</v>
      </c>
      <c r="Y537" s="80">
        <f t="shared" ca="1" si="233"/>
        <v>5926445159.9507542</v>
      </c>
      <c r="Z537" s="80">
        <f t="shared" ca="1" si="233"/>
        <v>6583234723.7630167</v>
      </c>
      <c r="AA537" s="80">
        <f t="shared" ca="1" si="233"/>
        <v>7189458524.5469332</v>
      </c>
      <c r="AB537" s="80">
        <f t="shared" ca="1" si="233"/>
        <v>7808193222.2271423</v>
      </c>
      <c r="AC537" s="80">
        <f t="shared" ca="1" si="233"/>
        <v>8509637867.853323</v>
      </c>
      <c r="AD537" s="80">
        <f t="shared" ca="1" si="233"/>
        <v>9161559483.1136398</v>
      </c>
      <c r="AE537" s="80">
        <f t="shared" ca="1" si="233"/>
        <v>9799222340.0901375</v>
      </c>
      <c r="AF537" s="80">
        <f t="shared" ca="1" si="233"/>
        <v>10488883413.678375</v>
      </c>
      <c r="AG537" s="80">
        <f t="shared" ca="1" si="233"/>
        <v>11143501378.611925</v>
      </c>
      <c r="AH537" s="80">
        <f t="shared" ca="1" si="233"/>
        <v>11811993261.972301</v>
      </c>
      <c r="AI537" s="80">
        <f t="shared" ca="1" si="233"/>
        <v>12559467485.871092</v>
      </c>
    </row>
    <row r="538" spans="2:35" ht="15.75" customHeight="1">
      <c r="B538" s="463"/>
      <c r="C538" s="483" t="s">
        <v>454</v>
      </c>
      <c r="D538" s="110"/>
      <c r="E538" s="513"/>
      <c r="F538" s="80"/>
      <c r="G538" s="806">
        <f t="shared" ref="G538:M538" si="234">F538</f>
        <v>0</v>
      </c>
      <c r="H538" s="806">
        <f t="shared" si="234"/>
        <v>0</v>
      </c>
      <c r="I538" s="806">
        <f t="shared" si="234"/>
        <v>0</v>
      </c>
      <c r="J538" s="806">
        <f t="shared" si="234"/>
        <v>0</v>
      </c>
      <c r="K538" s="806">
        <f t="shared" si="234"/>
        <v>0</v>
      </c>
      <c r="L538" s="806">
        <f t="shared" si="234"/>
        <v>0</v>
      </c>
      <c r="M538" s="806">
        <f t="shared" si="234"/>
        <v>0</v>
      </c>
      <c r="N538" s="806">
        <f>M538</f>
        <v>0</v>
      </c>
      <c r="O538" s="806">
        <f>N538</f>
        <v>0</v>
      </c>
      <c r="P538" s="806">
        <f>O538</f>
        <v>0</v>
      </c>
      <c r="Q538" s="806">
        <f t="shared" ref="Q538:AI538" si="235">P538</f>
        <v>0</v>
      </c>
      <c r="R538" s="806">
        <f t="shared" si="235"/>
        <v>0</v>
      </c>
      <c r="S538" s="806">
        <f t="shared" si="235"/>
        <v>0</v>
      </c>
      <c r="T538" s="806">
        <f t="shared" si="235"/>
        <v>0</v>
      </c>
      <c r="U538" s="806">
        <f t="shared" si="235"/>
        <v>0</v>
      </c>
      <c r="V538" s="806">
        <f t="shared" si="235"/>
        <v>0</v>
      </c>
      <c r="W538" s="806">
        <f t="shared" si="235"/>
        <v>0</v>
      </c>
      <c r="X538" s="806">
        <f t="shared" si="235"/>
        <v>0</v>
      </c>
      <c r="Y538" s="806">
        <f t="shared" si="235"/>
        <v>0</v>
      </c>
      <c r="Z538" s="806">
        <f t="shared" si="235"/>
        <v>0</v>
      </c>
      <c r="AA538" s="806">
        <f t="shared" si="235"/>
        <v>0</v>
      </c>
      <c r="AB538" s="806">
        <f t="shared" si="235"/>
        <v>0</v>
      </c>
      <c r="AC538" s="806">
        <f t="shared" si="235"/>
        <v>0</v>
      </c>
      <c r="AD538" s="806">
        <f t="shared" si="235"/>
        <v>0</v>
      </c>
      <c r="AE538" s="806">
        <f t="shared" si="235"/>
        <v>0</v>
      </c>
      <c r="AF538" s="806">
        <f t="shared" si="235"/>
        <v>0</v>
      </c>
      <c r="AG538" s="806">
        <f t="shared" si="235"/>
        <v>0</v>
      </c>
      <c r="AH538" s="806">
        <f t="shared" si="235"/>
        <v>0</v>
      </c>
      <c r="AI538" s="806">
        <f t="shared" si="235"/>
        <v>0</v>
      </c>
    </row>
    <row r="539" spans="2:35" ht="15.75" customHeight="1">
      <c r="B539" s="111"/>
      <c r="C539" s="80" t="s">
        <v>420</v>
      </c>
      <c r="D539" s="80"/>
      <c r="E539" s="80"/>
      <c r="F539" s="80"/>
      <c r="G539" s="833">
        <f t="shared" ref="G539:AI539" si="236">-G225*G538</f>
        <v>0</v>
      </c>
      <c r="H539" s="833">
        <f t="shared" si="236"/>
        <v>0</v>
      </c>
      <c r="I539" s="833">
        <f t="shared" si="236"/>
        <v>0</v>
      </c>
      <c r="J539" s="833">
        <f t="shared" si="236"/>
        <v>0</v>
      </c>
      <c r="K539" s="833">
        <f t="shared" si="236"/>
        <v>0</v>
      </c>
      <c r="L539" s="833">
        <f t="shared" si="236"/>
        <v>0</v>
      </c>
      <c r="M539" s="833">
        <f t="shared" si="236"/>
        <v>0</v>
      </c>
      <c r="N539" s="833">
        <f t="shared" si="236"/>
        <v>0</v>
      </c>
      <c r="O539" s="833">
        <f t="shared" si="236"/>
        <v>0</v>
      </c>
      <c r="P539" s="833">
        <f t="shared" si="236"/>
        <v>0</v>
      </c>
      <c r="Q539" s="833">
        <f t="shared" si="236"/>
        <v>0</v>
      </c>
      <c r="R539" s="833">
        <f t="shared" si="236"/>
        <v>0</v>
      </c>
      <c r="S539" s="833">
        <f t="shared" si="236"/>
        <v>0</v>
      </c>
      <c r="T539" s="833">
        <f t="shared" si="236"/>
        <v>0</v>
      </c>
      <c r="U539" s="833">
        <f t="shared" si="236"/>
        <v>0</v>
      </c>
      <c r="V539" s="833">
        <f t="shared" si="236"/>
        <v>0</v>
      </c>
      <c r="W539" s="833">
        <f t="shared" si="236"/>
        <v>0</v>
      </c>
      <c r="X539" s="833">
        <f t="shared" si="236"/>
        <v>0</v>
      </c>
      <c r="Y539" s="833">
        <f t="shared" si="236"/>
        <v>0</v>
      </c>
      <c r="Z539" s="833">
        <f t="shared" si="236"/>
        <v>0</v>
      </c>
      <c r="AA539" s="833">
        <f t="shared" si="236"/>
        <v>0</v>
      </c>
      <c r="AB539" s="833">
        <f t="shared" si="236"/>
        <v>0</v>
      </c>
      <c r="AC539" s="833">
        <f t="shared" si="236"/>
        <v>0</v>
      </c>
      <c r="AD539" s="833">
        <f t="shared" si="236"/>
        <v>0</v>
      </c>
      <c r="AE539" s="833">
        <f t="shared" si="236"/>
        <v>0</v>
      </c>
      <c r="AF539" s="833">
        <f t="shared" si="236"/>
        <v>0</v>
      </c>
      <c r="AG539" s="833">
        <f t="shared" si="236"/>
        <v>0</v>
      </c>
      <c r="AH539" s="833">
        <f t="shared" si="236"/>
        <v>0</v>
      </c>
      <c r="AI539" s="833">
        <f t="shared" si="236"/>
        <v>0</v>
      </c>
    </row>
    <row r="540" spans="2:35" ht="15.75" customHeight="1">
      <c r="B540" s="111"/>
      <c r="C540" s="525" t="s">
        <v>421</v>
      </c>
      <c r="D540" s="80"/>
      <c r="E540" s="80"/>
      <c r="F540" s="80"/>
      <c r="G540" s="837">
        <f t="shared" ref="G540:M540" si="237">SUM(G535:G539)</f>
        <v>0</v>
      </c>
      <c r="H540" s="837">
        <f t="shared" si="237"/>
        <v>-500000000</v>
      </c>
      <c r="I540" s="837">
        <f t="shared" si="237"/>
        <v>-1500000000</v>
      </c>
      <c r="J540" s="837">
        <f t="shared" si="237"/>
        <v>-2000000000</v>
      </c>
      <c r="K540" s="837">
        <f t="shared" ca="1" si="237"/>
        <v>-1413922691.674005</v>
      </c>
      <c r="L540" s="837">
        <f t="shared" ca="1" si="237"/>
        <v>-854932045.32599401</v>
      </c>
      <c r="M540" s="837">
        <f t="shared" ca="1" si="237"/>
        <v>-238616508.03703141</v>
      </c>
      <c r="N540" s="837">
        <f ca="1">SUM(N535:N539)</f>
        <v>336989675.94358516</v>
      </c>
      <c r="O540" s="837">
        <f ca="1">SUM(O535:O539)</f>
        <v>916211606.67035472</v>
      </c>
      <c r="P540" s="837">
        <f ca="1">SUM(P535:P539)</f>
        <v>1487472009.8525364</v>
      </c>
      <c r="Q540" s="837">
        <f t="shared" ref="Q540:AI540" ca="1" si="238">SUM(Q535:Q539)</f>
        <v>2003550742.5791259</v>
      </c>
      <c r="R540" s="837">
        <f t="shared" ca="1" si="238"/>
        <v>2529577169.3813853</v>
      </c>
      <c r="S540" s="837">
        <f t="shared" ca="1" si="238"/>
        <v>3136263095.2100339</v>
      </c>
      <c r="T540" s="837">
        <f t="shared" ca="1" si="238"/>
        <v>3645836756.2353106</v>
      </c>
      <c r="U540" s="837">
        <f t="shared" ca="1" si="238"/>
        <v>4177793349.0872221</v>
      </c>
      <c r="V540" s="837">
        <f t="shared" ca="1" si="238"/>
        <v>4790584714.5577774</v>
      </c>
      <c r="W540" s="837">
        <f t="shared" ca="1" si="238"/>
        <v>5351747873.0426626</v>
      </c>
      <c r="X540" s="837">
        <f t="shared" ca="1" si="238"/>
        <v>5926445159.9507542</v>
      </c>
      <c r="Y540" s="837">
        <f t="shared" ca="1" si="238"/>
        <v>6583234723.7630167</v>
      </c>
      <c r="Z540" s="837">
        <f t="shared" ca="1" si="238"/>
        <v>7189458524.5469332</v>
      </c>
      <c r="AA540" s="837">
        <f t="shared" ca="1" si="238"/>
        <v>7808193222.2271423</v>
      </c>
      <c r="AB540" s="837">
        <f t="shared" ca="1" si="238"/>
        <v>8509637867.853323</v>
      </c>
      <c r="AC540" s="837">
        <f t="shared" ca="1" si="238"/>
        <v>9161559483.1136398</v>
      </c>
      <c r="AD540" s="837">
        <f t="shared" ca="1" si="238"/>
        <v>9799222340.0901375</v>
      </c>
      <c r="AE540" s="837">
        <f t="shared" ca="1" si="238"/>
        <v>10488883413.678375</v>
      </c>
      <c r="AF540" s="837">
        <f t="shared" ca="1" si="238"/>
        <v>11143501378.611925</v>
      </c>
      <c r="AG540" s="837">
        <f t="shared" ca="1" si="238"/>
        <v>11811993261.972301</v>
      </c>
      <c r="AH540" s="837">
        <f t="shared" ca="1" si="238"/>
        <v>12559467485.871092</v>
      </c>
      <c r="AI540" s="837">
        <f t="shared" ca="1" si="238"/>
        <v>13263349004.427258</v>
      </c>
    </row>
    <row r="541" spans="2:35" ht="15.75" customHeight="1">
      <c r="B541" s="111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2"/>
      <c r="N541" s="82"/>
      <c r="O541" s="76"/>
      <c r="Q541" s="152"/>
      <c r="R541" s="152"/>
      <c r="S541" s="152"/>
      <c r="T541" s="152"/>
      <c r="U541" s="152"/>
      <c r="V541" s="152"/>
      <c r="W541" s="152"/>
      <c r="X541" s="152"/>
      <c r="Y541" s="152"/>
      <c r="Z541" s="152"/>
      <c r="AA541" s="152"/>
      <c r="AB541" s="152"/>
      <c r="AC541" s="152"/>
      <c r="AD541" s="152"/>
      <c r="AE541" s="152"/>
      <c r="AF541" s="152"/>
      <c r="AG541" s="152"/>
      <c r="AH541" s="152"/>
      <c r="AI541" s="152"/>
    </row>
    <row r="542" spans="2:35" ht="15.75" customHeight="1">
      <c r="B542" s="111"/>
      <c r="C542" s="76" t="s">
        <v>484</v>
      </c>
      <c r="D542" s="80"/>
      <c r="E542" s="80"/>
      <c r="F542" s="80"/>
      <c r="G542" s="80"/>
      <c r="H542" s="80"/>
      <c r="I542" s="80"/>
      <c r="J542" s="80"/>
      <c r="K542" s="80"/>
      <c r="L542" s="80"/>
      <c r="M542" s="82"/>
      <c r="N542" s="82"/>
      <c r="O542" s="76"/>
      <c r="Q542" s="152"/>
      <c r="R542" s="152"/>
      <c r="S542" s="152"/>
      <c r="T542" s="152"/>
      <c r="U542" s="152"/>
      <c r="V542" s="152"/>
      <c r="W542" s="152"/>
      <c r="X542" s="152"/>
      <c r="Y542" s="152"/>
      <c r="Z542" s="152"/>
      <c r="AA542" s="152"/>
      <c r="AB542" s="152"/>
      <c r="AC542" s="152"/>
      <c r="AD542" s="152"/>
      <c r="AE542" s="152"/>
      <c r="AF542" s="152"/>
      <c r="AG542" s="152"/>
      <c r="AH542" s="152"/>
      <c r="AI542" s="152"/>
    </row>
    <row r="543" spans="2:35" ht="15.75" customHeight="1">
      <c r="B543" s="111"/>
      <c r="C543" s="164" t="s">
        <v>487</v>
      </c>
      <c r="D543" s="80"/>
      <c r="E543" s="80"/>
      <c r="F543" s="80"/>
      <c r="G543" s="80">
        <f t="shared" ref="G543:AI545" si="239">F543+G549</f>
        <v>0</v>
      </c>
      <c r="H543" s="80">
        <f t="shared" si="239"/>
        <v>0</v>
      </c>
      <c r="I543" s="80">
        <f>H543+I549</f>
        <v>0</v>
      </c>
      <c r="J543" s="80">
        <f t="shared" si="239"/>
        <v>0</v>
      </c>
      <c r="K543" s="80">
        <f t="shared" si="239"/>
        <v>0</v>
      </c>
      <c r="L543" s="80">
        <f t="shared" si="239"/>
        <v>0</v>
      </c>
      <c r="M543" s="80">
        <f t="shared" si="239"/>
        <v>0</v>
      </c>
      <c r="N543" s="80">
        <f t="shared" si="239"/>
        <v>0</v>
      </c>
      <c r="O543" s="80">
        <f t="shared" si="239"/>
        <v>0</v>
      </c>
      <c r="P543" s="80">
        <f t="shared" si="239"/>
        <v>0</v>
      </c>
      <c r="Q543" s="80">
        <f t="shared" si="239"/>
        <v>0</v>
      </c>
      <c r="R543" s="80">
        <f t="shared" si="239"/>
        <v>0</v>
      </c>
      <c r="S543" s="80">
        <f t="shared" si="239"/>
        <v>0</v>
      </c>
      <c r="T543" s="80">
        <f t="shared" si="239"/>
        <v>0</v>
      </c>
      <c r="U543" s="80">
        <f t="shared" si="239"/>
        <v>0</v>
      </c>
      <c r="V543" s="80">
        <f t="shared" si="239"/>
        <v>0</v>
      </c>
      <c r="W543" s="80">
        <f t="shared" si="239"/>
        <v>0</v>
      </c>
      <c r="X543" s="80">
        <f t="shared" si="239"/>
        <v>0</v>
      </c>
      <c r="Y543" s="80">
        <f t="shared" si="239"/>
        <v>0</v>
      </c>
      <c r="Z543" s="80">
        <f t="shared" si="239"/>
        <v>0</v>
      </c>
      <c r="AA543" s="80">
        <f t="shared" si="239"/>
        <v>0</v>
      </c>
      <c r="AB543" s="80">
        <f t="shared" si="239"/>
        <v>0</v>
      </c>
      <c r="AC543" s="80">
        <f t="shared" si="239"/>
        <v>0</v>
      </c>
      <c r="AD543" s="80">
        <f t="shared" si="239"/>
        <v>0</v>
      </c>
      <c r="AE543" s="80">
        <f t="shared" si="239"/>
        <v>0</v>
      </c>
      <c r="AF543" s="80">
        <f t="shared" si="239"/>
        <v>0</v>
      </c>
      <c r="AG543" s="80">
        <f t="shared" si="239"/>
        <v>0</v>
      </c>
      <c r="AH543" s="80">
        <f t="shared" si="239"/>
        <v>0</v>
      </c>
      <c r="AI543" s="80">
        <f t="shared" si="239"/>
        <v>0</v>
      </c>
    </row>
    <row r="544" spans="2:35" ht="15.75" customHeight="1">
      <c r="B544" s="111"/>
      <c r="C544" s="164" t="s">
        <v>488</v>
      </c>
      <c r="D544" s="80"/>
      <c r="E544" s="80"/>
      <c r="F544" s="80"/>
      <c r="G544" s="82">
        <f t="shared" si="239"/>
        <v>0</v>
      </c>
      <c r="H544" s="82">
        <f t="shared" si="239"/>
        <v>0</v>
      </c>
      <c r="I544" s="82">
        <f t="shared" si="239"/>
        <v>0</v>
      </c>
      <c r="J544" s="82">
        <f t="shared" si="239"/>
        <v>0</v>
      </c>
      <c r="K544" s="82">
        <f t="shared" si="239"/>
        <v>0</v>
      </c>
      <c r="L544" s="82">
        <f t="shared" si="239"/>
        <v>0</v>
      </c>
      <c r="M544" s="82">
        <f t="shared" si="239"/>
        <v>0</v>
      </c>
      <c r="N544" s="82">
        <f t="shared" si="239"/>
        <v>0</v>
      </c>
      <c r="O544" s="82">
        <f t="shared" si="239"/>
        <v>0</v>
      </c>
      <c r="P544" s="82">
        <f t="shared" si="239"/>
        <v>0</v>
      </c>
      <c r="Q544" s="82">
        <f t="shared" si="239"/>
        <v>0</v>
      </c>
      <c r="R544" s="82">
        <f t="shared" si="239"/>
        <v>0</v>
      </c>
      <c r="S544" s="82">
        <f t="shared" si="239"/>
        <v>0</v>
      </c>
      <c r="T544" s="82">
        <f t="shared" si="239"/>
        <v>0</v>
      </c>
      <c r="U544" s="82">
        <f t="shared" si="239"/>
        <v>0</v>
      </c>
      <c r="V544" s="82">
        <f t="shared" si="239"/>
        <v>0</v>
      </c>
      <c r="W544" s="82">
        <f t="shared" si="239"/>
        <v>0</v>
      </c>
      <c r="X544" s="82">
        <f t="shared" si="239"/>
        <v>0</v>
      </c>
      <c r="Y544" s="82">
        <f t="shared" si="239"/>
        <v>0</v>
      </c>
      <c r="Z544" s="82">
        <f t="shared" si="239"/>
        <v>0</v>
      </c>
      <c r="AA544" s="82">
        <f t="shared" si="239"/>
        <v>0</v>
      </c>
      <c r="AB544" s="82">
        <f t="shared" si="239"/>
        <v>0</v>
      </c>
      <c r="AC544" s="82">
        <f t="shared" si="239"/>
        <v>0</v>
      </c>
      <c r="AD544" s="82">
        <f t="shared" si="239"/>
        <v>0</v>
      </c>
      <c r="AE544" s="82">
        <f t="shared" si="239"/>
        <v>0</v>
      </c>
      <c r="AF544" s="82">
        <f t="shared" si="239"/>
        <v>0</v>
      </c>
      <c r="AG544" s="82">
        <f t="shared" si="239"/>
        <v>0</v>
      </c>
      <c r="AH544" s="82">
        <f t="shared" si="239"/>
        <v>0</v>
      </c>
      <c r="AI544" s="82">
        <f t="shared" si="239"/>
        <v>0</v>
      </c>
    </row>
    <row r="545" spans="2:35" ht="15.75" customHeight="1">
      <c r="B545" s="111"/>
      <c r="C545" s="164" t="s">
        <v>489</v>
      </c>
      <c r="D545" s="80"/>
      <c r="E545" s="80"/>
      <c r="F545" s="80"/>
      <c r="G545" s="80">
        <f t="shared" si="239"/>
        <v>0</v>
      </c>
      <c r="H545" s="80">
        <f t="shared" si="239"/>
        <v>0</v>
      </c>
      <c r="I545" s="80">
        <f t="shared" si="239"/>
        <v>0</v>
      </c>
      <c r="J545" s="80">
        <f t="shared" si="239"/>
        <v>0</v>
      </c>
      <c r="K545" s="80">
        <f t="shared" si="239"/>
        <v>0</v>
      </c>
      <c r="L545" s="80">
        <f t="shared" si="239"/>
        <v>0</v>
      </c>
      <c r="M545" s="80">
        <f t="shared" si="239"/>
        <v>0</v>
      </c>
      <c r="N545" s="80">
        <f t="shared" si="239"/>
        <v>0</v>
      </c>
      <c r="O545" s="80">
        <f t="shared" si="239"/>
        <v>0</v>
      </c>
      <c r="P545" s="80">
        <f t="shared" si="239"/>
        <v>0</v>
      </c>
      <c r="Q545" s="80">
        <f t="shared" si="239"/>
        <v>0</v>
      </c>
      <c r="R545" s="80">
        <f t="shared" si="239"/>
        <v>0</v>
      </c>
      <c r="S545" s="80">
        <f t="shared" si="239"/>
        <v>0</v>
      </c>
      <c r="T545" s="80">
        <f t="shared" si="239"/>
        <v>0</v>
      </c>
      <c r="U545" s="80">
        <f t="shared" si="239"/>
        <v>0</v>
      </c>
      <c r="V545" s="80">
        <f t="shared" si="239"/>
        <v>0</v>
      </c>
      <c r="W545" s="80">
        <f t="shared" si="239"/>
        <v>0</v>
      </c>
      <c r="X545" s="80">
        <f t="shared" si="239"/>
        <v>0</v>
      </c>
      <c r="Y545" s="80">
        <f t="shared" si="239"/>
        <v>0</v>
      </c>
      <c r="Z545" s="80">
        <f t="shared" si="239"/>
        <v>0</v>
      </c>
      <c r="AA545" s="80">
        <f t="shared" si="239"/>
        <v>0</v>
      </c>
      <c r="AB545" s="80">
        <f t="shared" si="239"/>
        <v>0</v>
      </c>
      <c r="AC545" s="80">
        <f t="shared" si="239"/>
        <v>0</v>
      </c>
      <c r="AD545" s="80">
        <f t="shared" si="239"/>
        <v>0</v>
      </c>
      <c r="AE545" s="80">
        <f t="shared" si="239"/>
        <v>0</v>
      </c>
      <c r="AF545" s="80">
        <f t="shared" si="239"/>
        <v>0</v>
      </c>
      <c r="AG545" s="80">
        <f t="shared" si="239"/>
        <v>0</v>
      </c>
      <c r="AH545" s="80">
        <f t="shared" si="239"/>
        <v>0</v>
      </c>
      <c r="AI545" s="80">
        <f t="shared" si="239"/>
        <v>0</v>
      </c>
    </row>
    <row r="546" spans="2:35" ht="15.75" customHeight="1">
      <c r="B546" s="111"/>
      <c r="C546" s="76" t="s">
        <v>485</v>
      </c>
      <c r="D546" s="80"/>
      <c r="E546" s="80"/>
      <c r="F546" s="80"/>
      <c r="G546" s="82">
        <f t="shared" ref="G546:N546" si="240">SUM(G543:G545)</f>
        <v>0</v>
      </c>
      <c r="H546" s="82">
        <f t="shared" si="240"/>
        <v>0</v>
      </c>
      <c r="I546" s="82">
        <f t="shared" si="240"/>
        <v>0</v>
      </c>
      <c r="J546" s="82">
        <f t="shared" si="240"/>
        <v>0</v>
      </c>
      <c r="K546" s="82">
        <f t="shared" si="240"/>
        <v>0</v>
      </c>
      <c r="L546" s="82">
        <f t="shared" si="240"/>
        <v>0</v>
      </c>
      <c r="M546" s="82">
        <f t="shared" si="240"/>
        <v>0</v>
      </c>
      <c r="N546" s="82">
        <f t="shared" si="240"/>
        <v>0</v>
      </c>
      <c r="O546" s="82">
        <f>SUM(O543:O545)</f>
        <v>0</v>
      </c>
      <c r="P546" s="82">
        <f>SUM(P543:P545)</f>
        <v>0</v>
      </c>
      <c r="Q546" s="82">
        <f t="shared" ref="Q546:AI546" si="241">SUM(Q543:Q545)</f>
        <v>0</v>
      </c>
      <c r="R546" s="82">
        <f t="shared" si="241"/>
        <v>0</v>
      </c>
      <c r="S546" s="82">
        <f t="shared" si="241"/>
        <v>0</v>
      </c>
      <c r="T546" s="82">
        <f t="shared" si="241"/>
        <v>0</v>
      </c>
      <c r="U546" s="82">
        <f t="shared" si="241"/>
        <v>0</v>
      </c>
      <c r="V546" s="82">
        <f t="shared" si="241"/>
        <v>0</v>
      </c>
      <c r="W546" s="82">
        <f t="shared" si="241"/>
        <v>0</v>
      </c>
      <c r="X546" s="82">
        <f t="shared" si="241"/>
        <v>0</v>
      </c>
      <c r="Y546" s="82">
        <f t="shared" si="241"/>
        <v>0</v>
      </c>
      <c r="Z546" s="82">
        <f t="shared" si="241"/>
        <v>0</v>
      </c>
      <c r="AA546" s="82">
        <f t="shared" si="241"/>
        <v>0</v>
      </c>
      <c r="AB546" s="82">
        <f t="shared" si="241"/>
        <v>0</v>
      </c>
      <c r="AC546" s="82">
        <f t="shared" si="241"/>
        <v>0</v>
      </c>
      <c r="AD546" s="82">
        <f t="shared" si="241"/>
        <v>0</v>
      </c>
      <c r="AE546" s="82">
        <f t="shared" si="241"/>
        <v>0</v>
      </c>
      <c r="AF546" s="82">
        <f t="shared" si="241"/>
        <v>0</v>
      </c>
      <c r="AG546" s="82">
        <f t="shared" si="241"/>
        <v>0</v>
      </c>
      <c r="AH546" s="82">
        <f t="shared" si="241"/>
        <v>0</v>
      </c>
      <c r="AI546" s="82">
        <f t="shared" si="241"/>
        <v>0</v>
      </c>
    </row>
    <row r="547" spans="2:35" ht="15.75" customHeight="1">
      <c r="B547" s="111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21"/>
      <c r="N547" s="121"/>
      <c r="O547" s="76"/>
      <c r="Q547" s="152"/>
      <c r="R547" s="152"/>
      <c r="S547" s="152"/>
      <c r="T547" s="152"/>
      <c r="U547" s="152"/>
      <c r="V547" s="152"/>
      <c r="W547" s="152"/>
      <c r="X547" s="152"/>
      <c r="Y547" s="152"/>
      <c r="Z547" s="152"/>
      <c r="AA547" s="152"/>
      <c r="AB547" s="152"/>
      <c r="AC547" s="152"/>
      <c r="AD547" s="152"/>
      <c r="AE547" s="152"/>
      <c r="AF547" s="152"/>
      <c r="AG547" s="152"/>
      <c r="AH547" s="152"/>
      <c r="AI547" s="152"/>
    </row>
    <row r="548" spans="2:35" ht="15.75" customHeight="1">
      <c r="B548" s="111"/>
      <c r="C548" s="76" t="s">
        <v>486</v>
      </c>
      <c r="D548" s="80"/>
      <c r="E548" s="80"/>
      <c r="F548" s="80"/>
      <c r="G548" s="80"/>
      <c r="H548" s="80"/>
      <c r="I548" s="80"/>
      <c r="J548" s="80"/>
      <c r="K548" s="80"/>
      <c r="L548" s="80"/>
      <c r="M548" s="82"/>
      <c r="N548" s="82"/>
      <c r="O548" s="76"/>
      <c r="Q548" s="152"/>
      <c r="R548" s="152"/>
      <c r="S548" s="152"/>
      <c r="T548" s="152"/>
      <c r="U548" s="152"/>
      <c r="V548" s="152"/>
      <c r="W548" s="152"/>
      <c r="X548" s="152"/>
      <c r="Y548" s="152"/>
      <c r="Z548" s="152"/>
      <c r="AA548" s="152"/>
      <c r="AB548" s="152"/>
      <c r="AC548" s="152"/>
      <c r="AD548" s="152"/>
      <c r="AE548" s="152"/>
      <c r="AF548" s="152"/>
      <c r="AG548" s="152"/>
      <c r="AH548" s="152"/>
      <c r="AI548" s="152"/>
    </row>
    <row r="549" spans="2:35" ht="15.75" customHeight="1">
      <c r="B549" s="110"/>
      <c r="C549" s="164" t="str">
        <f>C543</f>
        <v>LT Debt A - due xx/xx/xx @ LIBOR +x%</v>
      </c>
      <c r="D549" s="80"/>
      <c r="E549" s="80"/>
      <c r="F549" s="80"/>
      <c r="G549" s="804">
        <v>0</v>
      </c>
      <c r="H549" s="804">
        <v>0</v>
      </c>
      <c r="I549" s="804">
        <v>0</v>
      </c>
      <c r="J549" s="804">
        <v>0</v>
      </c>
      <c r="K549" s="804">
        <v>0</v>
      </c>
      <c r="L549" s="804">
        <v>0</v>
      </c>
      <c r="M549" s="804">
        <v>0</v>
      </c>
      <c r="N549" s="804">
        <v>0</v>
      </c>
      <c r="O549" s="804">
        <v>0</v>
      </c>
      <c r="P549" s="804">
        <v>0</v>
      </c>
      <c r="Q549" s="804">
        <v>0</v>
      </c>
      <c r="R549" s="804">
        <v>0</v>
      </c>
      <c r="S549" s="804">
        <v>0</v>
      </c>
      <c r="T549" s="804">
        <v>0</v>
      </c>
      <c r="U549" s="804">
        <v>0</v>
      </c>
      <c r="V549" s="804">
        <v>0</v>
      </c>
      <c r="W549" s="804">
        <v>0</v>
      </c>
      <c r="X549" s="804">
        <v>0</v>
      </c>
      <c r="Y549" s="804">
        <v>0</v>
      </c>
      <c r="Z549" s="804">
        <v>0</v>
      </c>
      <c r="AA549" s="804">
        <v>0</v>
      </c>
      <c r="AB549" s="804">
        <v>0</v>
      </c>
      <c r="AC549" s="804">
        <v>0</v>
      </c>
      <c r="AD549" s="804">
        <v>0</v>
      </c>
      <c r="AE549" s="804">
        <v>0</v>
      </c>
      <c r="AF549" s="804">
        <v>0</v>
      </c>
      <c r="AG549" s="804">
        <v>0</v>
      </c>
      <c r="AH549" s="804">
        <v>0</v>
      </c>
      <c r="AI549" s="804">
        <v>0</v>
      </c>
    </row>
    <row r="550" spans="2:35" ht="15.75" customHeight="1">
      <c r="B550" s="110"/>
      <c r="C550" s="164" t="str">
        <f>C544</f>
        <v>LT Debt B - due xx/xx/xx @ LIBOR +x%</v>
      </c>
      <c r="D550" s="80"/>
      <c r="E550" s="80"/>
      <c r="F550" s="80"/>
      <c r="G550" s="804">
        <v>0</v>
      </c>
      <c r="H550" s="804">
        <v>0</v>
      </c>
      <c r="I550" s="804">
        <v>0</v>
      </c>
      <c r="J550" s="804">
        <v>0</v>
      </c>
      <c r="K550" s="804">
        <v>0</v>
      </c>
      <c r="L550" s="804">
        <v>0</v>
      </c>
      <c r="M550" s="804">
        <v>0</v>
      </c>
      <c r="N550" s="804">
        <v>0</v>
      </c>
      <c r="O550" s="804">
        <v>0</v>
      </c>
      <c r="P550" s="804">
        <v>0</v>
      </c>
      <c r="Q550" s="804">
        <v>0</v>
      </c>
      <c r="R550" s="804">
        <v>0</v>
      </c>
      <c r="S550" s="804">
        <v>0</v>
      </c>
      <c r="T550" s="804">
        <v>0</v>
      </c>
      <c r="U550" s="804">
        <v>0</v>
      </c>
      <c r="V550" s="804">
        <v>0</v>
      </c>
      <c r="W550" s="804">
        <v>0</v>
      </c>
      <c r="X550" s="804">
        <v>0</v>
      </c>
      <c r="Y550" s="804">
        <v>0</v>
      </c>
      <c r="Z550" s="804">
        <v>0</v>
      </c>
      <c r="AA550" s="804">
        <v>0</v>
      </c>
      <c r="AB550" s="804">
        <v>0</v>
      </c>
      <c r="AC550" s="804">
        <v>0</v>
      </c>
      <c r="AD550" s="804">
        <v>0</v>
      </c>
      <c r="AE550" s="804">
        <v>0</v>
      </c>
      <c r="AF550" s="804">
        <v>0</v>
      </c>
      <c r="AG550" s="804">
        <v>0</v>
      </c>
      <c r="AH550" s="804">
        <v>0</v>
      </c>
      <c r="AI550" s="804">
        <v>0</v>
      </c>
    </row>
    <row r="551" spans="2:35" ht="15.75" customHeight="1">
      <c r="B551" s="110"/>
      <c r="C551" s="164" t="str">
        <f>C545</f>
        <v>LT Debt C - due xx/xx/xx @ LIBOR +x%</v>
      </c>
      <c r="D551" s="80"/>
      <c r="E551" s="80"/>
      <c r="F551" s="80"/>
      <c r="G551" s="804">
        <v>0</v>
      </c>
      <c r="H551" s="804">
        <v>0</v>
      </c>
      <c r="I551" s="804">
        <v>0</v>
      </c>
      <c r="J551" s="804">
        <v>0</v>
      </c>
      <c r="K551" s="804">
        <v>0</v>
      </c>
      <c r="L551" s="804">
        <v>0</v>
      </c>
      <c r="M551" s="804">
        <v>0</v>
      </c>
      <c r="N551" s="804">
        <v>0</v>
      </c>
      <c r="O551" s="804">
        <v>0</v>
      </c>
      <c r="P551" s="804">
        <v>0</v>
      </c>
      <c r="Q551" s="804">
        <v>0</v>
      </c>
      <c r="R551" s="804">
        <v>0</v>
      </c>
      <c r="S551" s="804">
        <v>0</v>
      </c>
      <c r="T551" s="804">
        <v>0</v>
      </c>
      <c r="U551" s="804">
        <v>0</v>
      </c>
      <c r="V551" s="804">
        <v>0</v>
      </c>
      <c r="W551" s="804">
        <v>0</v>
      </c>
      <c r="X551" s="804">
        <v>0</v>
      </c>
      <c r="Y551" s="804">
        <v>0</v>
      </c>
      <c r="Z551" s="804">
        <v>0</v>
      </c>
      <c r="AA551" s="804">
        <v>0</v>
      </c>
      <c r="AB551" s="804">
        <v>0</v>
      </c>
      <c r="AC551" s="804">
        <v>0</v>
      </c>
      <c r="AD551" s="804">
        <v>0</v>
      </c>
      <c r="AE551" s="804">
        <v>0</v>
      </c>
      <c r="AF551" s="804">
        <v>0</v>
      </c>
      <c r="AG551" s="804">
        <v>0</v>
      </c>
      <c r="AH551" s="804">
        <v>0</v>
      </c>
      <c r="AI551" s="804">
        <v>0</v>
      </c>
    </row>
    <row r="552" spans="2:35" ht="15.75" customHeight="1">
      <c r="B552" s="110"/>
      <c r="C552" s="76" t="s">
        <v>486</v>
      </c>
      <c r="D552" s="80"/>
      <c r="E552" s="80"/>
      <c r="F552" s="80"/>
      <c r="G552" s="82">
        <f t="shared" ref="G552:N552" si="242">SUM(G549:G551)</f>
        <v>0</v>
      </c>
      <c r="H552" s="82">
        <f t="shared" si="242"/>
        <v>0</v>
      </c>
      <c r="I552" s="82">
        <f t="shared" si="242"/>
        <v>0</v>
      </c>
      <c r="J552" s="82">
        <f t="shared" si="242"/>
        <v>0</v>
      </c>
      <c r="K552" s="82">
        <f t="shared" si="242"/>
        <v>0</v>
      </c>
      <c r="L552" s="82">
        <f t="shared" si="242"/>
        <v>0</v>
      </c>
      <c r="M552" s="82">
        <f t="shared" si="242"/>
        <v>0</v>
      </c>
      <c r="N552" s="82">
        <f t="shared" si="242"/>
        <v>0</v>
      </c>
      <c r="O552" s="82">
        <f>SUM(O549:O551)</f>
        <v>0</v>
      </c>
      <c r="P552" s="82">
        <f>SUM(P549:P551)</f>
        <v>0</v>
      </c>
      <c r="Q552" s="82">
        <f t="shared" ref="Q552:AI552" si="243">SUM(Q549:Q551)</f>
        <v>0</v>
      </c>
      <c r="R552" s="82">
        <f t="shared" si="243"/>
        <v>0</v>
      </c>
      <c r="S552" s="82">
        <f t="shared" si="243"/>
        <v>0</v>
      </c>
      <c r="T552" s="82">
        <f t="shared" si="243"/>
        <v>0</v>
      </c>
      <c r="U552" s="82">
        <f t="shared" si="243"/>
        <v>0</v>
      </c>
      <c r="V552" s="82">
        <f t="shared" si="243"/>
        <v>0</v>
      </c>
      <c r="W552" s="82">
        <f t="shared" si="243"/>
        <v>0</v>
      </c>
      <c r="X552" s="82">
        <f t="shared" si="243"/>
        <v>0</v>
      </c>
      <c r="Y552" s="82">
        <f t="shared" si="243"/>
        <v>0</v>
      </c>
      <c r="Z552" s="82">
        <f t="shared" si="243"/>
        <v>0</v>
      </c>
      <c r="AA552" s="82">
        <f t="shared" si="243"/>
        <v>0</v>
      </c>
      <c r="AB552" s="82">
        <f t="shared" si="243"/>
        <v>0</v>
      </c>
      <c r="AC552" s="82">
        <f t="shared" si="243"/>
        <v>0</v>
      </c>
      <c r="AD552" s="82">
        <f t="shared" si="243"/>
        <v>0</v>
      </c>
      <c r="AE552" s="82">
        <f t="shared" si="243"/>
        <v>0</v>
      </c>
      <c r="AF552" s="82">
        <f t="shared" si="243"/>
        <v>0</v>
      </c>
      <c r="AG552" s="82">
        <f t="shared" si="243"/>
        <v>0</v>
      </c>
      <c r="AH552" s="82">
        <f t="shared" si="243"/>
        <v>0</v>
      </c>
      <c r="AI552" s="82">
        <f t="shared" si="243"/>
        <v>0</v>
      </c>
    </row>
    <row r="553" spans="2:35" ht="15.75" customHeight="1">
      <c r="B553" s="110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21"/>
      <c r="N553" s="121"/>
      <c r="O553" s="76"/>
      <c r="Q553" s="152"/>
      <c r="R553" s="152"/>
      <c r="S553" s="152"/>
      <c r="T553" s="152"/>
      <c r="U553" s="152"/>
      <c r="V553" s="152"/>
      <c r="W553" s="152"/>
      <c r="X553" s="152"/>
      <c r="Y553" s="152"/>
      <c r="Z553" s="152"/>
      <c r="AA553" s="152"/>
      <c r="AB553" s="152"/>
      <c r="AC553" s="152"/>
      <c r="AD553" s="152"/>
      <c r="AE553" s="152"/>
      <c r="AF553" s="152"/>
      <c r="AG553" s="152"/>
      <c r="AH553" s="152"/>
      <c r="AI553" s="152"/>
    </row>
    <row r="554" spans="2:35" ht="15.75" customHeight="1">
      <c r="B554" s="111"/>
      <c r="C554" s="76" t="s">
        <v>422</v>
      </c>
      <c r="D554" s="80"/>
      <c r="E554" s="80"/>
      <c r="F554" s="80"/>
      <c r="G554" s="80">
        <f t="shared" ref="G554:N554" si="244">G540+G552</f>
        <v>0</v>
      </c>
      <c r="H554" s="80">
        <f>H540+H552</f>
        <v>-500000000</v>
      </c>
      <c r="I554" s="80">
        <f t="shared" si="244"/>
        <v>-1500000000</v>
      </c>
      <c r="J554" s="80">
        <f t="shared" si="244"/>
        <v>-2000000000</v>
      </c>
      <c r="K554" s="80">
        <f t="shared" ca="1" si="244"/>
        <v>-1413922691.674005</v>
      </c>
      <c r="L554" s="80">
        <f t="shared" ca="1" si="244"/>
        <v>-854932045.32599401</v>
      </c>
      <c r="M554" s="80">
        <f t="shared" ca="1" si="244"/>
        <v>-238616508.03703141</v>
      </c>
      <c r="N554" s="80">
        <f t="shared" ca="1" si="244"/>
        <v>336989675.94358516</v>
      </c>
      <c r="O554" s="80">
        <f ca="1">O540+O552</f>
        <v>916211606.67035472</v>
      </c>
      <c r="P554" s="80">
        <f ca="1">P540+P552</f>
        <v>1487472009.8525364</v>
      </c>
      <c r="Q554" s="80">
        <f t="shared" ref="Q554:AI554" ca="1" si="245">Q540+Q552</f>
        <v>2003550742.5791259</v>
      </c>
      <c r="R554" s="80">
        <f t="shared" ca="1" si="245"/>
        <v>2529577169.3813853</v>
      </c>
      <c r="S554" s="80">
        <f t="shared" ca="1" si="245"/>
        <v>3136263095.2100339</v>
      </c>
      <c r="T554" s="80">
        <f t="shared" ca="1" si="245"/>
        <v>3645836756.2353106</v>
      </c>
      <c r="U554" s="80">
        <f t="shared" ca="1" si="245"/>
        <v>4177793349.0872221</v>
      </c>
      <c r="V554" s="80">
        <f t="shared" ca="1" si="245"/>
        <v>4790584714.5577774</v>
      </c>
      <c r="W554" s="80">
        <f t="shared" ca="1" si="245"/>
        <v>5351747873.0426626</v>
      </c>
      <c r="X554" s="80">
        <f t="shared" ca="1" si="245"/>
        <v>5926445159.9507542</v>
      </c>
      <c r="Y554" s="80">
        <f t="shared" ca="1" si="245"/>
        <v>6583234723.7630167</v>
      </c>
      <c r="Z554" s="80">
        <f t="shared" ca="1" si="245"/>
        <v>7189458524.5469332</v>
      </c>
      <c r="AA554" s="80">
        <f t="shared" ca="1" si="245"/>
        <v>7808193222.2271423</v>
      </c>
      <c r="AB554" s="80">
        <f t="shared" ca="1" si="245"/>
        <v>8509637867.853323</v>
      </c>
      <c r="AC554" s="80">
        <f t="shared" ca="1" si="245"/>
        <v>9161559483.1136398</v>
      </c>
      <c r="AD554" s="80">
        <f t="shared" ca="1" si="245"/>
        <v>9799222340.0901375</v>
      </c>
      <c r="AE554" s="80">
        <f t="shared" ca="1" si="245"/>
        <v>10488883413.678375</v>
      </c>
      <c r="AF554" s="80">
        <f t="shared" ca="1" si="245"/>
        <v>11143501378.611925</v>
      </c>
      <c r="AG554" s="80">
        <f t="shared" ca="1" si="245"/>
        <v>11811993261.972301</v>
      </c>
      <c r="AH554" s="80">
        <f t="shared" ca="1" si="245"/>
        <v>12559467485.871092</v>
      </c>
      <c r="AI554" s="80">
        <f t="shared" ca="1" si="245"/>
        <v>13263349004.427258</v>
      </c>
    </row>
    <row r="555" spans="2:35" ht="15.75" customHeight="1">
      <c r="B555" s="110"/>
      <c r="C555" s="102"/>
      <c r="D555" s="525"/>
      <c r="E555" s="525"/>
      <c r="F555" s="525"/>
      <c r="G555" s="525"/>
      <c r="H555" s="525"/>
      <c r="I555" s="525"/>
      <c r="J555" s="525"/>
      <c r="K555" s="525"/>
      <c r="L555" s="80"/>
      <c r="M555" s="80"/>
      <c r="N555" s="80"/>
      <c r="O555" s="76"/>
      <c r="Q555" s="152"/>
      <c r="R555" s="152"/>
      <c r="S555" s="152"/>
      <c r="T555" s="152"/>
      <c r="U555" s="152"/>
      <c r="V555" s="152"/>
      <c r="W555" s="152"/>
      <c r="X555" s="152"/>
      <c r="Y555" s="152"/>
      <c r="Z555" s="152"/>
      <c r="AA555" s="152"/>
      <c r="AB555" s="152"/>
      <c r="AC555" s="152"/>
      <c r="AD555" s="152"/>
      <c r="AE555" s="152"/>
      <c r="AF555" s="152"/>
      <c r="AG555" s="152"/>
      <c r="AH555" s="152"/>
      <c r="AI555" s="152"/>
    </row>
    <row r="556" spans="2:35" ht="15.75" customHeight="1">
      <c r="B556" s="111"/>
      <c r="C556" s="76" t="s">
        <v>392</v>
      </c>
      <c r="D556" s="525"/>
      <c r="E556" s="525"/>
      <c r="F556" s="525"/>
      <c r="G556" s="525"/>
      <c r="H556" s="525"/>
      <c r="I556" s="525"/>
      <c r="J556" s="525"/>
      <c r="K556" s="525"/>
      <c r="L556" s="80"/>
      <c r="M556" s="80"/>
      <c r="N556" s="80"/>
      <c r="O556" s="76"/>
      <c r="Q556" s="152"/>
      <c r="R556" s="152"/>
      <c r="S556" s="152"/>
      <c r="T556" s="152"/>
      <c r="U556" s="152"/>
      <c r="V556" s="152"/>
      <c r="W556" s="152"/>
      <c r="X556" s="152"/>
      <c r="Y556" s="152"/>
      <c r="Z556" s="152"/>
      <c r="AA556" s="152"/>
      <c r="AB556" s="152"/>
      <c r="AC556" s="152"/>
      <c r="AD556" s="152"/>
      <c r="AE556" s="152"/>
      <c r="AF556" s="152"/>
      <c r="AG556" s="152"/>
      <c r="AH556" s="152"/>
      <c r="AI556" s="152"/>
    </row>
    <row r="557" spans="2:35" ht="15.75" customHeight="1">
      <c r="B557" s="111"/>
      <c r="C557" s="164" t="s">
        <v>414</v>
      </c>
      <c r="D557" s="82"/>
      <c r="E557" s="87"/>
      <c r="F557" s="80"/>
      <c r="G557" s="131">
        <f t="shared" ref="G557:M557" si="246">F559</f>
        <v>0</v>
      </c>
      <c r="H557" s="131">
        <f t="shared" si="246"/>
        <v>0</v>
      </c>
      <c r="I557" s="131">
        <f t="shared" si="246"/>
        <v>0</v>
      </c>
      <c r="J557" s="131">
        <f t="shared" si="246"/>
        <v>0</v>
      </c>
      <c r="K557" s="131">
        <f t="shared" si="246"/>
        <v>0</v>
      </c>
      <c r="L557" s="131">
        <f t="shared" si="246"/>
        <v>0</v>
      </c>
      <c r="M557" s="131">
        <f t="shared" si="246"/>
        <v>0</v>
      </c>
      <c r="N557" s="131">
        <f>M559</f>
        <v>0</v>
      </c>
      <c r="O557" s="131">
        <f>N559</f>
        <v>0</v>
      </c>
      <c r="P557" s="131">
        <f>O559</f>
        <v>0</v>
      </c>
      <c r="Q557" s="131">
        <f t="shared" ref="Q557:AI557" ca="1" si="247">P559</f>
        <v>0</v>
      </c>
      <c r="R557" s="131">
        <f t="shared" ca="1" si="247"/>
        <v>0</v>
      </c>
      <c r="S557" s="131">
        <f t="shared" ca="1" si="247"/>
        <v>0</v>
      </c>
      <c r="T557" s="131">
        <f t="shared" ca="1" si="247"/>
        <v>0</v>
      </c>
      <c r="U557" s="131">
        <f t="shared" ca="1" si="247"/>
        <v>0</v>
      </c>
      <c r="V557" s="131">
        <f t="shared" ca="1" si="247"/>
        <v>0</v>
      </c>
      <c r="W557" s="131">
        <f t="shared" ca="1" si="247"/>
        <v>0</v>
      </c>
      <c r="X557" s="131">
        <f t="shared" ca="1" si="247"/>
        <v>0</v>
      </c>
      <c r="Y557" s="131">
        <f t="shared" ca="1" si="247"/>
        <v>0</v>
      </c>
      <c r="Z557" s="131">
        <f t="shared" ca="1" si="247"/>
        <v>0</v>
      </c>
      <c r="AA557" s="131">
        <f t="shared" ca="1" si="247"/>
        <v>0</v>
      </c>
      <c r="AB557" s="131">
        <f t="shared" ca="1" si="247"/>
        <v>0</v>
      </c>
      <c r="AC557" s="131">
        <f t="shared" ca="1" si="247"/>
        <v>0</v>
      </c>
      <c r="AD557" s="131">
        <f t="shared" ca="1" si="247"/>
        <v>0</v>
      </c>
      <c r="AE557" s="131">
        <f t="shared" ca="1" si="247"/>
        <v>0</v>
      </c>
      <c r="AF557" s="131">
        <f t="shared" ca="1" si="247"/>
        <v>0</v>
      </c>
      <c r="AG557" s="131">
        <f t="shared" ca="1" si="247"/>
        <v>0</v>
      </c>
      <c r="AH557" s="131">
        <f t="shared" ca="1" si="247"/>
        <v>0</v>
      </c>
      <c r="AI557" s="131">
        <f t="shared" ca="1" si="247"/>
        <v>0</v>
      </c>
    </row>
    <row r="558" spans="2:35" ht="15.75" customHeight="1">
      <c r="B558" s="111"/>
      <c r="C558" s="164" t="s">
        <v>423</v>
      </c>
      <c r="D558" s="80"/>
      <c r="E558" s="80"/>
      <c r="F558" s="80"/>
      <c r="G558" s="131">
        <f>-MIN(G554,G557)</f>
        <v>0</v>
      </c>
      <c r="H558" s="131">
        <v>0</v>
      </c>
      <c r="I558" s="131">
        <v>0</v>
      </c>
      <c r="J558" s="131">
        <v>0</v>
      </c>
      <c r="K558" s="131">
        <v>0</v>
      </c>
      <c r="L558" s="131"/>
      <c r="M558" s="131"/>
      <c r="N558" s="131"/>
      <c r="O558" s="131"/>
      <c r="P558" s="131">
        <f ca="1">-MIN(P554,P557)</f>
        <v>0</v>
      </c>
      <c r="Q558" s="131">
        <f t="shared" ref="Q558:AI558" ca="1" si="248">-MIN(Q554,Q557)</f>
        <v>0</v>
      </c>
      <c r="R558" s="131">
        <f t="shared" ca="1" si="248"/>
        <v>0</v>
      </c>
      <c r="S558" s="131">
        <f t="shared" ca="1" si="248"/>
        <v>0</v>
      </c>
      <c r="T558" s="131">
        <f t="shared" ca="1" si="248"/>
        <v>0</v>
      </c>
      <c r="U558" s="131">
        <f t="shared" ca="1" si="248"/>
        <v>0</v>
      </c>
      <c r="V558" s="131">
        <f t="shared" ca="1" si="248"/>
        <v>0</v>
      </c>
      <c r="W558" s="131">
        <f t="shared" ca="1" si="248"/>
        <v>0</v>
      </c>
      <c r="X558" s="131">
        <f t="shared" ca="1" si="248"/>
        <v>0</v>
      </c>
      <c r="Y558" s="131">
        <f t="shared" ca="1" si="248"/>
        <v>0</v>
      </c>
      <c r="Z558" s="131">
        <f t="shared" ca="1" si="248"/>
        <v>0</v>
      </c>
      <c r="AA558" s="131">
        <f t="shared" ca="1" si="248"/>
        <v>0</v>
      </c>
      <c r="AB558" s="131">
        <f t="shared" ca="1" si="248"/>
        <v>0</v>
      </c>
      <c r="AC558" s="131">
        <f t="shared" ca="1" si="248"/>
        <v>0</v>
      </c>
      <c r="AD558" s="131">
        <f t="shared" ca="1" si="248"/>
        <v>0</v>
      </c>
      <c r="AE558" s="131">
        <f t="shared" ca="1" si="248"/>
        <v>0</v>
      </c>
      <c r="AF558" s="131">
        <f t="shared" ca="1" si="248"/>
        <v>0</v>
      </c>
      <c r="AG558" s="131">
        <f t="shared" ca="1" si="248"/>
        <v>0</v>
      </c>
      <c r="AH558" s="131">
        <f t="shared" ca="1" si="248"/>
        <v>0</v>
      </c>
      <c r="AI558" s="131">
        <f t="shared" ca="1" si="248"/>
        <v>0</v>
      </c>
    </row>
    <row r="559" spans="2:35" ht="15.75" customHeight="1">
      <c r="B559" s="111"/>
      <c r="C559" s="164" t="s">
        <v>415</v>
      </c>
      <c r="D559" s="80"/>
      <c r="E559" s="80"/>
      <c r="F559" s="80"/>
      <c r="G559" s="838">
        <f t="shared" ref="G559:M559" si="249">G557+G558</f>
        <v>0</v>
      </c>
      <c r="H559" s="838">
        <f t="shared" si="249"/>
        <v>0</v>
      </c>
      <c r="I559" s="838">
        <f t="shared" si="249"/>
        <v>0</v>
      </c>
      <c r="J559" s="838">
        <f t="shared" si="249"/>
        <v>0</v>
      </c>
      <c r="K559" s="838">
        <f t="shared" si="249"/>
        <v>0</v>
      </c>
      <c r="L559" s="838">
        <f t="shared" si="249"/>
        <v>0</v>
      </c>
      <c r="M559" s="838">
        <f t="shared" si="249"/>
        <v>0</v>
      </c>
      <c r="N559" s="838">
        <f>N557+N558</f>
        <v>0</v>
      </c>
      <c r="O559" s="838">
        <f>O557+O558</f>
        <v>0</v>
      </c>
      <c r="P559" s="838">
        <f ca="1">P557+P558</f>
        <v>0</v>
      </c>
      <c r="Q559" s="838">
        <f t="shared" ref="Q559:AI559" ca="1" si="250">Q557+Q558</f>
        <v>0</v>
      </c>
      <c r="R559" s="838">
        <f t="shared" ca="1" si="250"/>
        <v>0</v>
      </c>
      <c r="S559" s="838">
        <f t="shared" ca="1" si="250"/>
        <v>0</v>
      </c>
      <c r="T559" s="838">
        <f t="shared" ca="1" si="250"/>
        <v>0</v>
      </c>
      <c r="U559" s="838">
        <f t="shared" ca="1" si="250"/>
        <v>0</v>
      </c>
      <c r="V559" s="838">
        <f t="shared" ca="1" si="250"/>
        <v>0</v>
      </c>
      <c r="W559" s="838">
        <f t="shared" ca="1" si="250"/>
        <v>0</v>
      </c>
      <c r="X559" s="838">
        <f t="shared" ca="1" si="250"/>
        <v>0</v>
      </c>
      <c r="Y559" s="838">
        <f t="shared" ca="1" si="250"/>
        <v>0</v>
      </c>
      <c r="Z559" s="838">
        <f t="shared" ca="1" si="250"/>
        <v>0</v>
      </c>
      <c r="AA559" s="838">
        <f t="shared" ca="1" si="250"/>
        <v>0</v>
      </c>
      <c r="AB559" s="838">
        <f t="shared" ca="1" si="250"/>
        <v>0</v>
      </c>
      <c r="AC559" s="838">
        <f t="shared" ca="1" si="250"/>
        <v>0</v>
      </c>
      <c r="AD559" s="838">
        <f t="shared" ca="1" si="250"/>
        <v>0</v>
      </c>
      <c r="AE559" s="838">
        <f t="shared" ca="1" si="250"/>
        <v>0</v>
      </c>
      <c r="AF559" s="838">
        <f t="shared" ca="1" si="250"/>
        <v>0</v>
      </c>
      <c r="AG559" s="838">
        <f t="shared" ca="1" si="250"/>
        <v>0</v>
      </c>
      <c r="AH559" s="838">
        <f t="shared" ca="1" si="250"/>
        <v>0</v>
      </c>
      <c r="AI559" s="838">
        <f t="shared" ca="1" si="250"/>
        <v>0</v>
      </c>
    </row>
    <row r="560" spans="2:35" ht="15.75" customHeight="1">
      <c r="B560" s="111"/>
      <c r="C560" s="102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76"/>
      <c r="Q560" s="152"/>
      <c r="R560" s="152"/>
      <c r="S560" s="152"/>
      <c r="T560" s="152"/>
      <c r="U560" s="152"/>
      <c r="V560" s="152"/>
      <c r="W560" s="152"/>
      <c r="X560" s="152"/>
      <c r="Y560" s="152"/>
      <c r="Z560" s="152"/>
      <c r="AA560" s="152"/>
      <c r="AB560" s="152"/>
      <c r="AC560" s="152"/>
      <c r="AD560" s="152"/>
      <c r="AE560" s="152"/>
      <c r="AF560" s="152"/>
      <c r="AG560" s="152"/>
      <c r="AH560" s="152"/>
      <c r="AI560" s="152"/>
    </row>
    <row r="561" spans="2:35" ht="15.75" customHeight="1">
      <c r="B561" s="111"/>
      <c r="C561" s="76" t="s">
        <v>424</v>
      </c>
      <c r="D561" s="80"/>
      <c r="E561" s="80"/>
      <c r="F561" s="80"/>
      <c r="G561" s="132">
        <f t="shared" ref="G561:M561" si="251">G554+G558</f>
        <v>0</v>
      </c>
      <c r="H561" s="132">
        <f t="shared" si="251"/>
        <v>-500000000</v>
      </c>
      <c r="I561" s="132">
        <f t="shared" si="251"/>
        <v>-1500000000</v>
      </c>
      <c r="J561" s="132">
        <f t="shared" si="251"/>
        <v>-2000000000</v>
      </c>
      <c r="K561" s="132">
        <f t="shared" ca="1" si="251"/>
        <v>-1413922691.674005</v>
      </c>
      <c r="L561" s="132">
        <f t="shared" ca="1" si="251"/>
        <v>-854932045.32599401</v>
      </c>
      <c r="M561" s="132">
        <f t="shared" ca="1" si="251"/>
        <v>-238616508.03703141</v>
      </c>
      <c r="N561" s="132">
        <f ca="1">N554+N558</f>
        <v>336989675.94358516</v>
      </c>
      <c r="O561" s="132">
        <f ca="1">O554+O558</f>
        <v>916211606.67035472</v>
      </c>
      <c r="P561" s="132">
        <f ca="1">P554+P558</f>
        <v>1487472009.8525364</v>
      </c>
      <c r="Q561" s="132">
        <f t="shared" ref="Q561:AI561" ca="1" si="252">Q554+Q558</f>
        <v>2003550742.5791259</v>
      </c>
      <c r="R561" s="132">
        <f t="shared" ca="1" si="252"/>
        <v>2529577169.3813853</v>
      </c>
      <c r="S561" s="132">
        <f t="shared" ca="1" si="252"/>
        <v>3136263095.2100339</v>
      </c>
      <c r="T561" s="132">
        <f t="shared" ca="1" si="252"/>
        <v>3645836756.2353106</v>
      </c>
      <c r="U561" s="132">
        <f t="shared" ca="1" si="252"/>
        <v>4177793349.0872221</v>
      </c>
      <c r="V561" s="132">
        <f t="shared" ca="1" si="252"/>
        <v>4790584714.5577774</v>
      </c>
      <c r="W561" s="132">
        <f t="shared" ca="1" si="252"/>
        <v>5351747873.0426626</v>
      </c>
      <c r="X561" s="132">
        <f t="shared" ca="1" si="252"/>
        <v>5926445159.9507542</v>
      </c>
      <c r="Y561" s="132">
        <f t="shared" ca="1" si="252"/>
        <v>6583234723.7630167</v>
      </c>
      <c r="Z561" s="132">
        <f t="shared" ca="1" si="252"/>
        <v>7189458524.5469332</v>
      </c>
      <c r="AA561" s="132">
        <f t="shared" ca="1" si="252"/>
        <v>7808193222.2271423</v>
      </c>
      <c r="AB561" s="132">
        <f t="shared" ca="1" si="252"/>
        <v>8509637867.853323</v>
      </c>
      <c r="AC561" s="132">
        <f t="shared" ca="1" si="252"/>
        <v>9161559483.1136398</v>
      </c>
      <c r="AD561" s="132">
        <f t="shared" ca="1" si="252"/>
        <v>9799222340.0901375</v>
      </c>
      <c r="AE561" s="132">
        <f t="shared" ca="1" si="252"/>
        <v>10488883413.678375</v>
      </c>
      <c r="AF561" s="132">
        <f t="shared" ca="1" si="252"/>
        <v>11143501378.611925</v>
      </c>
      <c r="AG561" s="132">
        <f t="shared" ca="1" si="252"/>
        <v>11811993261.972301</v>
      </c>
      <c r="AH561" s="132">
        <f t="shared" ca="1" si="252"/>
        <v>12559467485.871092</v>
      </c>
      <c r="AI561" s="132">
        <f t="shared" ca="1" si="252"/>
        <v>13263349004.427258</v>
      </c>
    </row>
    <row r="562" spans="2:35" ht="15.75" customHeight="1">
      <c r="B562" s="111"/>
      <c r="C562" s="76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76"/>
      <c r="Q562" s="152"/>
      <c r="R562" s="152"/>
      <c r="S562" s="152"/>
      <c r="T562" s="152"/>
      <c r="U562" s="152"/>
      <c r="V562" s="152"/>
      <c r="W562" s="152"/>
      <c r="X562" s="152"/>
      <c r="Y562" s="152"/>
      <c r="Z562" s="152"/>
      <c r="AA562" s="152"/>
      <c r="AB562" s="152"/>
      <c r="AC562" s="152"/>
      <c r="AD562" s="152"/>
      <c r="AE562" s="152"/>
      <c r="AF562" s="152"/>
      <c r="AG562" s="152"/>
      <c r="AH562" s="152"/>
      <c r="AI562" s="152"/>
    </row>
    <row r="563" spans="2:35" ht="15.75" customHeight="1">
      <c r="B563" s="111"/>
      <c r="C563" s="76" t="s">
        <v>425</v>
      </c>
      <c r="D563" s="80"/>
      <c r="E563" s="80"/>
      <c r="F563" s="80"/>
      <c r="G563" s="132">
        <f t="shared" ref="G563:M563" si="253">-G539</f>
        <v>0</v>
      </c>
      <c r="H563" s="132">
        <f t="shared" si="253"/>
        <v>0</v>
      </c>
      <c r="I563" s="132">
        <f t="shared" si="253"/>
        <v>0</v>
      </c>
      <c r="J563" s="132">
        <f t="shared" si="253"/>
        <v>0</v>
      </c>
      <c r="K563" s="132">
        <f t="shared" si="253"/>
        <v>0</v>
      </c>
      <c r="L563" s="132">
        <f t="shared" si="253"/>
        <v>0</v>
      </c>
      <c r="M563" s="132">
        <f t="shared" si="253"/>
        <v>0</v>
      </c>
      <c r="N563" s="132">
        <f>-N539</f>
        <v>0</v>
      </c>
      <c r="O563" s="132">
        <f>-O539</f>
        <v>0</v>
      </c>
      <c r="P563" s="132">
        <f>-P539</f>
        <v>0</v>
      </c>
      <c r="Q563" s="132">
        <f t="shared" ref="Q563:AI563" si="254">-Q539</f>
        <v>0</v>
      </c>
      <c r="R563" s="132">
        <f t="shared" si="254"/>
        <v>0</v>
      </c>
      <c r="S563" s="132">
        <f t="shared" si="254"/>
        <v>0</v>
      </c>
      <c r="T563" s="132">
        <f t="shared" si="254"/>
        <v>0</v>
      </c>
      <c r="U563" s="132">
        <f t="shared" si="254"/>
        <v>0</v>
      </c>
      <c r="V563" s="132">
        <f t="shared" si="254"/>
        <v>0</v>
      </c>
      <c r="W563" s="132">
        <f t="shared" si="254"/>
        <v>0</v>
      </c>
      <c r="X563" s="132">
        <f t="shared" si="254"/>
        <v>0</v>
      </c>
      <c r="Y563" s="132">
        <f t="shared" si="254"/>
        <v>0</v>
      </c>
      <c r="Z563" s="132">
        <f t="shared" si="254"/>
        <v>0</v>
      </c>
      <c r="AA563" s="132">
        <f t="shared" si="254"/>
        <v>0</v>
      </c>
      <c r="AB563" s="132">
        <f t="shared" si="254"/>
        <v>0</v>
      </c>
      <c r="AC563" s="132">
        <f t="shared" si="254"/>
        <v>0</v>
      </c>
      <c r="AD563" s="132">
        <f t="shared" si="254"/>
        <v>0</v>
      </c>
      <c r="AE563" s="132">
        <f t="shared" si="254"/>
        <v>0</v>
      </c>
      <c r="AF563" s="132">
        <f t="shared" si="254"/>
        <v>0</v>
      </c>
      <c r="AG563" s="132">
        <f t="shared" si="254"/>
        <v>0</v>
      </c>
      <c r="AH563" s="132">
        <f t="shared" si="254"/>
        <v>0</v>
      </c>
      <c r="AI563" s="132">
        <f t="shared" si="254"/>
        <v>0</v>
      </c>
    </row>
    <row r="564" spans="2:35" ht="15.75" customHeight="1">
      <c r="B564" s="111"/>
      <c r="C564" s="76" t="s">
        <v>426</v>
      </c>
      <c r="D564" s="126"/>
      <c r="E564" s="126"/>
      <c r="F564" s="126"/>
      <c r="G564" s="132">
        <f t="shared" ref="G564:M564" si="255">G348</f>
        <v>0</v>
      </c>
      <c r="H564" s="132">
        <f t="shared" si="255"/>
        <v>-500000000</v>
      </c>
      <c r="I564" s="132">
        <f t="shared" si="255"/>
        <v>-1500000000</v>
      </c>
      <c r="J564" s="132">
        <f t="shared" si="255"/>
        <v>-2000000000</v>
      </c>
      <c r="K564" s="132">
        <f t="shared" ca="1" si="255"/>
        <v>-1413922691.674005</v>
      </c>
      <c r="L564" s="132">
        <f t="shared" ca="1" si="255"/>
        <v>-854932045.32599401</v>
      </c>
      <c r="M564" s="132">
        <f t="shared" ca="1" si="255"/>
        <v>-238616508.03703141</v>
      </c>
      <c r="N564" s="132">
        <f ca="1">N348</f>
        <v>336989675.94358516</v>
      </c>
      <c r="O564" s="132">
        <f ca="1">O348</f>
        <v>916211606.67035472</v>
      </c>
      <c r="P564" s="132">
        <f ca="1">P348</f>
        <v>1487472009.8525364</v>
      </c>
      <c r="Q564" s="132">
        <f t="shared" ref="Q564:AI564" ca="1" si="256">Q348</f>
        <v>2003550742.5791259</v>
      </c>
      <c r="R564" s="132">
        <f t="shared" ca="1" si="256"/>
        <v>2529577169.3813853</v>
      </c>
      <c r="S564" s="132">
        <f t="shared" ca="1" si="256"/>
        <v>3136263095.2100339</v>
      </c>
      <c r="T564" s="132">
        <f t="shared" ca="1" si="256"/>
        <v>3645836756.2353106</v>
      </c>
      <c r="U564" s="132">
        <f t="shared" ca="1" si="256"/>
        <v>4177793349.0872221</v>
      </c>
      <c r="V564" s="132">
        <f t="shared" ca="1" si="256"/>
        <v>4790584714.5577774</v>
      </c>
      <c r="W564" s="132">
        <f t="shared" ca="1" si="256"/>
        <v>5351747873.0426626</v>
      </c>
      <c r="X564" s="132">
        <f t="shared" ca="1" si="256"/>
        <v>5926445159.9507542</v>
      </c>
      <c r="Y564" s="132">
        <f t="shared" ca="1" si="256"/>
        <v>6583234723.7630167</v>
      </c>
      <c r="Z564" s="132">
        <f t="shared" ca="1" si="256"/>
        <v>7189458524.5469332</v>
      </c>
      <c r="AA564" s="132">
        <f t="shared" ca="1" si="256"/>
        <v>7808193222.2271423</v>
      </c>
      <c r="AB564" s="132">
        <f t="shared" ca="1" si="256"/>
        <v>8509637867.853323</v>
      </c>
      <c r="AC564" s="132">
        <f t="shared" ca="1" si="256"/>
        <v>9161559483.1136398</v>
      </c>
      <c r="AD564" s="132">
        <f t="shared" ca="1" si="256"/>
        <v>9799222340.0901375</v>
      </c>
      <c r="AE564" s="132">
        <f t="shared" ca="1" si="256"/>
        <v>10488883413.678375</v>
      </c>
      <c r="AF564" s="132">
        <f t="shared" ca="1" si="256"/>
        <v>11143501378.611925</v>
      </c>
      <c r="AG564" s="132">
        <f t="shared" ca="1" si="256"/>
        <v>11811993261.972301</v>
      </c>
      <c r="AH564" s="132">
        <f t="shared" ca="1" si="256"/>
        <v>12559467485.871092</v>
      </c>
      <c r="AI564" s="132">
        <f t="shared" ca="1" si="256"/>
        <v>13263349004.427258</v>
      </c>
    </row>
    <row r="565" spans="2:35" ht="15.75" customHeight="1">
      <c r="B565" s="111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21"/>
      <c r="O565" s="76"/>
    </row>
    <row r="566" spans="2:35" ht="15.75" customHeight="1">
      <c r="B566" s="111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21"/>
      <c r="O566" s="76"/>
    </row>
    <row r="567" spans="2:35" ht="15.75" customHeight="1">
      <c r="B567" s="111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21"/>
      <c r="O567" s="76"/>
    </row>
    <row r="568" spans="2:35" ht="15.75" customHeight="1">
      <c r="B568" s="111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21"/>
      <c r="O568" s="76"/>
    </row>
    <row r="569" spans="2:35" ht="27">
      <c r="B569" s="111"/>
      <c r="C569" s="499" t="s">
        <v>602</v>
      </c>
      <c r="K569" s="102"/>
      <c r="L569" s="102"/>
      <c r="M569" s="103"/>
      <c r="N569" s="137"/>
      <c r="O569" s="102"/>
      <c r="P569" s="103"/>
    </row>
    <row r="570" spans="2:35" ht="3" customHeight="1">
      <c r="B570" s="111"/>
      <c r="C570" s="104"/>
      <c r="D570" s="104"/>
      <c r="E570" s="104"/>
      <c r="F570" s="104"/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</row>
    <row r="571" spans="2:35" ht="15.75" customHeight="1">
      <c r="B571" s="111"/>
      <c r="C571" s="75"/>
      <c r="K571" s="102"/>
      <c r="L571" s="102"/>
      <c r="M571" s="103"/>
      <c r="N571" s="137"/>
      <c r="O571" s="102"/>
      <c r="P571" s="103"/>
    </row>
    <row r="572" spans="2:35" ht="15.75" customHeight="1">
      <c r="B572" s="111"/>
      <c r="C572" s="480" t="s">
        <v>427</v>
      </c>
      <c r="K572" s="102"/>
      <c r="L572" s="500"/>
      <c r="M572" s="105"/>
      <c r="N572" s="138"/>
      <c r="O572" s="500"/>
      <c r="P572" s="105"/>
    </row>
    <row r="573" spans="2:35" ht="15.75" customHeight="1">
      <c r="B573" s="91"/>
      <c r="C573" s="546"/>
      <c r="D573" s="106"/>
      <c r="E573" s="106"/>
      <c r="F573" s="106"/>
      <c r="G573" s="768">
        <f>H573-1</f>
        <v>-4</v>
      </c>
      <c r="H573" s="768">
        <f>I573-1</f>
        <v>-3</v>
      </c>
      <c r="I573" s="768">
        <f>J573-1</f>
        <v>-2</v>
      </c>
      <c r="J573" s="768">
        <v>-1</v>
      </c>
      <c r="K573" s="768">
        <f>J573+2</f>
        <v>1</v>
      </c>
      <c r="L573" s="768">
        <f t="shared" ref="L573:AI573" si="257">K573+1</f>
        <v>2</v>
      </c>
      <c r="M573" s="768">
        <f t="shared" si="257"/>
        <v>3</v>
      </c>
      <c r="N573" s="768">
        <f t="shared" si="257"/>
        <v>4</v>
      </c>
      <c r="O573" s="768">
        <f t="shared" si="257"/>
        <v>5</v>
      </c>
      <c r="P573" s="768">
        <f t="shared" si="257"/>
        <v>6</v>
      </c>
      <c r="Q573" s="768">
        <f t="shared" si="257"/>
        <v>7</v>
      </c>
      <c r="R573" s="768">
        <f t="shared" si="257"/>
        <v>8</v>
      </c>
      <c r="S573" s="768">
        <f t="shared" si="257"/>
        <v>9</v>
      </c>
      <c r="T573" s="768">
        <f t="shared" si="257"/>
        <v>10</v>
      </c>
      <c r="U573" s="768">
        <f t="shared" si="257"/>
        <v>11</v>
      </c>
      <c r="V573" s="768">
        <f t="shared" si="257"/>
        <v>12</v>
      </c>
      <c r="W573" s="768">
        <f t="shared" si="257"/>
        <v>13</v>
      </c>
      <c r="X573" s="768">
        <f t="shared" si="257"/>
        <v>14</v>
      </c>
      <c r="Y573" s="768">
        <f t="shared" si="257"/>
        <v>15</v>
      </c>
      <c r="Z573" s="768">
        <f t="shared" si="257"/>
        <v>16</v>
      </c>
      <c r="AA573" s="768">
        <f t="shared" si="257"/>
        <v>17</v>
      </c>
      <c r="AB573" s="768">
        <f t="shared" si="257"/>
        <v>18</v>
      </c>
      <c r="AC573" s="768">
        <f t="shared" si="257"/>
        <v>19</v>
      </c>
      <c r="AD573" s="768">
        <f t="shared" si="257"/>
        <v>20</v>
      </c>
      <c r="AE573" s="768">
        <f t="shared" si="257"/>
        <v>21</v>
      </c>
      <c r="AF573" s="768">
        <f t="shared" si="257"/>
        <v>22</v>
      </c>
      <c r="AG573" s="768">
        <f t="shared" si="257"/>
        <v>23</v>
      </c>
      <c r="AH573" s="768">
        <f t="shared" si="257"/>
        <v>24</v>
      </c>
      <c r="AI573" s="768">
        <f t="shared" si="257"/>
        <v>25</v>
      </c>
    </row>
    <row r="574" spans="2:35" ht="15.75" customHeight="1">
      <c r="B574" s="91"/>
      <c r="C574" s="548"/>
      <c r="D574" s="469"/>
      <c r="E574" s="469"/>
      <c r="F574" s="469"/>
      <c r="G574" s="469"/>
      <c r="H574" s="469"/>
      <c r="I574" s="548"/>
      <c r="J574" s="548"/>
      <c r="K574" s="769">
        <f>INT(ROUNDUP(K573/12,0))</f>
        <v>1</v>
      </c>
      <c r="L574" s="769">
        <f>INT(ROUNDUP(L573/12,0))</f>
        <v>1</v>
      </c>
      <c r="M574" s="769">
        <f t="shared" ref="M574:AI574" si="258">INT(ROUNDUP(M573/12,0))</f>
        <v>1</v>
      </c>
      <c r="N574" s="769">
        <f t="shared" si="258"/>
        <v>1</v>
      </c>
      <c r="O574" s="769">
        <f t="shared" si="258"/>
        <v>1</v>
      </c>
      <c r="P574" s="769">
        <f t="shared" si="258"/>
        <v>1</v>
      </c>
      <c r="Q574" s="769">
        <f t="shared" si="258"/>
        <v>1</v>
      </c>
      <c r="R574" s="769">
        <f t="shared" si="258"/>
        <v>1</v>
      </c>
      <c r="S574" s="769">
        <f t="shared" si="258"/>
        <v>1</v>
      </c>
      <c r="T574" s="769">
        <f t="shared" si="258"/>
        <v>1</v>
      </c>
      <c r="U574" s="769">
        <f t="shared" si="258"/>
        <v>1</v>
      </c>
      <c r="V574" s="769">
        <f t="shared" si="258"/>
        <v>1</v>
      </c>
      <c r="W574" s="769">
        <f t="shared" si="258"/>
        <v>2</v>
      </c>
      <c r="X574" s="769">
        <f t="shared" si="258"/>
        <v>2</v>
      </c>
      <c r="Y574" s="769">
        <f t="shared" si="258"/>
        <v>2</v>
      </c>
      <c r="Z574" s="769">
        <f t="shared" si="258"/>
        <v>2</v>
      </c>
      <c r="AA574" s="769">
        <f t="shared" si="258"/>
        <v>2</v>
      </c>
      <c r="AB574" s="769">
        <f t="shared" si="258"/>
        <v>2</v>
      </c>
      <c r="AC574" s="769">
        <f t="shared" si="258"/>
        <v>2</v>
      </c>
      <c r="AD574" s="769">
        <f t="shared" si="258"/>
        <v>2</v>
      </c>
      <c r="AE574" s="769">
        <f t="shared" si="258"/>
        <v>2</v>
      </c>
      <c r="AF574" s="769">
        <f t="shared" si="258"/>
        <v>2</v>
      </c>
      <c r="AG574" s="769">
        <f t="shared" si="258"/>
        <v>2</v>
      </c>
      <c r="AH574" s="769">
        <f t="shared" si="258"/>
        <v>2</v>
      </c>
      <c r="AI574" s="769">
        <f t="shared" si="258"/>
        <v>3</v>
      </c>
    </row>
    <row r="575" spans="2:35" ht="15.75" customHeight="1">
      <c r="B575" s="91"/>
      <c r="C575" s="471"/>
      <c r="D575" s="472"/>
      <c r="E575" s="506"/>
      <c r="F575" s="506"/>
      <c r="G575" s="94" t="s">
        <v>499</v>
      </c>
      <c r="H575" s="94" t="s">
        <v>499</v>
      </c>
      <c r="I575" s="94" t="s">
        <v>499</v>
      </c>
      <c r="J575" s="94" t="s">
        <v>499</v>
      </c>
      <c r="K575" s="94" t="s">
        <v>499</v>
      </c>
      <c r="L575" s="94" t="s">
        <v>499</v>
      </c>
      <c r="M575" s="94" t="s">
        <v>499</v>
      </c>
      <c r="N575" s="94" t="s">
        <v>499</v>
      </c>
      <c r="O575" s="94" t="s">
        <v>499</v>
      </c>
      <c r="P575" s="94" t="s">
        <v>499</v>
      </c>
      <c r="Q575" s="94" t="s">
        <v>499</v>
      </c>
      <c r="R575" s="94" t="s">
        <v>499</v>
      </c>
      <c r="S575" s="94" t="s">
        <v>499</v>
      </c>
      <c r="T575" s="94" t="s">
        <v>499</v>
      </c>
      <c r="U575" s="94" t="s">
        <v>499</v>
      </c>
      <c r="V575" s="94" t="s">
        <v>499</v>
      </c>
      <c r="W575" s="94" t="s">
        <v>499</v>
      </c>
      <c r="X575" s="94" t="s">
        <v>499</v>
      </c>
      <c r="Y575" s="94" t="s">
        <v>499</v>
      </c>
      <c r="Z575" s="94" t="s">
        <v>499</v>
      </c>
      <c r="AA575" s="94" t="s">
        <v>499</v>
      </c>
      <c r="AB575" s="94" t="s">
        <v>499</v>
      </c>
      <c r="AC575" s="94" t="s">
        <v>499</v>
      </c>
      <c r="AD575" s="94" t="s">
        <v>499</v>
      </c>
      <c r="AE575" s="94" t="s">
        <v>499</v>
      </c>
      <c r="AF575" s="94" t="s">
        <v>499</v>
      </c>
      <c r="AG575" s="94" t="s">
        <v>499</v>
      </c>
      <c r="AH575" s="94" t="s">
        <v>499</v>
      </c>
      <c r="AI575" s="94" t="s">
        <v>499</v>
      </c>
    </row>
    <row r="576" spans="2:35" ht="15.75" customHeight="1">
      <c r="B576" s="111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40"/>
      <c r="O576" s="76"/>
    </row>
    <row r="577" spans="2:35" ht="15.75" customHeight="1">
      <c r="B577" s="111"/>
      <c r="C577" s="76" t="s">
        <v>490</v>
      </c>
      <c r="D577" s="117"/>
      <c r="E577" s="117"/>
      <c r="F577" s="117"/>
      <c r="G577" s="117"/>
      <c r="H577" s="117"/>
      <c r="I577" s="117"/>
      <c r="J577" s="117"/>
      <c r="K577" s="117"/>
      <c r="L577" s="117"/>
      <c r="M577" s="117"/>
      <c r="N577" s="118"/>
      <c r="O577" s="76"/>
    </row>
    <row r="578" spans="2:35" ht="15.75" customHeight="1">
      <c r="B578" s="111"/>
      <c r="C578" s="164" t="str">
        <f>C543</f>
        <v>LT Debt A - due xx/xx/xx @ LIBOR +x%</v>
      </c>
      <c r="D578" s="110"/>
      <c r="E578" s="110"/>
      <c r="F578" s="110"/>
      <c r="G578" s="80">
        <f t="shared" ref="G578:AI580" si="259">AVERAGE(F543:G543)</f>
        <v>0</v>
      </c>
      <c r="H578" s="80">
        <f t="shared" si="259"/>
        <v>0</v>
      </c>
      <c r="I578" s="80">
        <f t="shared" si="259"/>
        <v>0</v>
      </c>
      <c r="J578" s="80">
        <f t="shared" si="259"/>
        <v>0</v>
      </c>
      <c r="K578" s="80">
        <f t="shared" si="259"/>
        <v>0</v>
      </c>
      <c r="L578" s="80">
        <f t="shared" si="259"/>
        <v>0</v>
      </c>
      <c r="M578" s="80">
        <f t="shared" si="259"/>
        <v>0</v>
      </c>
      <c r="N578" s="80">
        <f t="shared" si="259"/>
        <v>0</v>
      </c>
      <c r="O578" s="80">
        <f t="shared" si="259"/>
        <v>0</v>
      </c>
      <c r="P578" s="80">
        <f t="shared" si="259"/>
        <v>0</v>
      </c>
      <c r="Q578" s="80">
        <f t="shared" si="259"/>
        <v>0</v>
      </c>
      <c r="R578" s="80">
        <f t="shared" si="259"/>
        <v>0</v>
      </c>
      <c r="S578" s="80">
        <f t="shared" si="259"/>
        <v>0</v>
      </c>
      <c r="T578" s="80">
        <f t="shared" si="259"/>
        <v>0</v>
      </c>
      <c r="U578" s="80">
        <f t="shared" si="259"/>
        <v>0</v>
      </c>
      <c r="V578" s="80">
        <f t="shared" si="259"/>
        <v>0</v>
      </c>
      <c r="W578" s="80">
        <f t="shared" si="259"/>
        <v>0</v>
      </c>
      <c r="X578" s="80">
        <f t="shared" si="259"/>
        <v>0</v>
      </c>
      <c r="Y578" s="80">
        <f t="shared" si="259"/>
        <v>0</v>
      </c>
      <c r="Z578" s="80">
        <f t="shared" si="259"/>
        <v>0</v>
      </c>
      <c r="AA578" s="80">
        <f t="shared" si="259"/>
        <v>0</v>
      </c>
      <c r="AB578" s="80">
        <f t="shared" si="259"/>
        <v>0</v>
      </c>
      <c r="AC578" s="80">
        <f t="shared" si="259"/>
        <v>0</v>
      </c>
      <c r="AD578" s="80">
        <f t="shared" si="259"/>
        <v>0</v>
      </c>
      <c r="AE578" s="80">
        <f t="shared" si="259"/>
        <v>0</v>
      </c>
      <c r="AF578" s="80">
        <f t="shared" si="259"/>
        <v>0</v>
      </c>
      <c r="AG578" s="80">
        <f t="shared" si="259"/>
        <v>0</v>
      </c>
      <c r="AH578" s="80">
        <f t="shared" si="259"/>
        <v>0</v>
      </c>
      <c r="AI578" s="80">
        <f t="shared" si="259"/>
        <v>0</v>
      </c>
    </row>
    <row r="579" spans="2:35" ht="15.75" customHeight="1">
      <c r="B579" s="111"/>
      <c r="C579" s="164" t="str">
        <f>C544</f>
        <v>LT Debt B - due xx/xx/xx @ LIBOR +x%</v>
      </c>
      <c r="D579" s="110"/>
      <c r="E579" s="110"/>
      <c r="F579" s="110"/>
      <c r="G579" s="80">
        <f t="shared" si="259"/>
        <v>0</v>
      </c>
      <c r="H579" s="80">
        <f t="shared" si="259"/>
        <v>0</v>
      </c>
      <c r="I579" s="80">
        <f t="shared" si="259"/>
        <v>0</v>
      </c>
      <c r="J579" s="80">
        <f t="shared" si="259"/>
        <v>0</v>
      </c>
      <c r="K579" s="80">
        <f t="shared" si="259"/>
        <v>0</v>
      </c>
      <c r="L579" s="80">
        <f t="shared" si="259"/>
        <v>0</v>
      </c>
      <c r="M579" s="80">
        <f t="shared" si="259"/>
        <v>0</v>
      </c>
      <c r="N579" s="80">
        <f t="shared" si="259"/>
        <v>0</v>
      </c>
      <c r="O579" s="80">
        <f t="shared" si="259"/>
        <v>0</v>
      </c>
      <c r="P579" s="80">
        <f t="shared" si="259"/>
        <v>0</v>
      </c>
      <c r="Q579" s="80">
        <f t="shared" si="259"/>
        <v>0</v>
      </c>
      <c r="R579" s="80">
        <f t="shared" si="259"/>
        <v>0</v>
      </c>
      <c r="S579" s="80">
        <f t="shared" si="259"/>
        <v>0</v>
      </c>
      <c r="T579" s="80">
        <f t="shared" si="259"/>
        <v>0</v>
      </c>
      <c r="U579" s="80">
        <f t="shared" si="259"/>
        <v>0</v>
      </c>
      <c r="V579" s="80">
        <f t="shared" si="259"/>
        <v>0</v>
      </c>
      <c r="W579" s="80">
        <f t="shared" si="259"/>
        <v>0</v>
      </c>
      <c r="X579" s="80">
        <f t="shared" si="259"/>
        <v>0</v>
      </c>
      <c r="Y579" s="80">
        <f t="shared" si="259"/>
        <v>0</v>
      </c>
      <c r="Z579" s="80">
        <f t="shared" si="259"/>
        <v>0</v>
      </c>
      <c r="AA579" s="80">
        <f t="shared" si="259"/>
        <v>0</v>
      </c>
      <c r="AB579" s="80">
        <f t="shared" si="259"/>
        <v>0</v>
      </c>
      <c r="AC579" s="80">
        <f t="shared" si="259"/>
        <v>0</v>
      </c>
      <c r="AD579" s="80">
        <f t="shared" si="259"/>
        <v>0</v>
      </c>
      <c r="AE579" s="80">
        <f t="shared" si="259"/>
        <v>0</v>
      </c>
      <c r="AF579" s="80">
        <f t="shared" si="259"/>
        <v>0</v>
      </c>
      <c r="AG579" s="80">
        <f t="shared" si="259"/>
        <v>0</v>
      </c>
      <c r="AH579" s="80">
        <f t="shared" si="259"/>
        <v>0</v>
      </c>
      <c r="AI579" s="80">
        <f t="shared" si="259"/>
        <v>0</v>
      </c>
    </row>
    <row r="580" spans="2:35" ht="15.75" customHeight="1">
      <c r="B580" s="111"/>
      <c r="C580" s="164" t="str">
        <f>C545</f>
        <v>LT Debt C - due xx/xx/xx @ LIBOR +x%</v>
      </c>
      <c r="D580" s="110"/>
      <c r="E580" s="110"/>
      <c r="F580" s="110"/>
      <c r="G580" s="80">
        <f t="shared" si="259"/>
        <v>0</v>
      </c>
      <c r="H580" s="80">
        <f t="shared" si="259"/>
        <v>0</v>
      </c>
      <c r="I580" s="80">
        <f t="shared" si="259"/>
        <v>0</v>
      </c>
      <c r="J580" s="80">
        <f t="shared" si="259"/>
        <v>0</v>
      </c>
      <c r="K580" s="80">
        <f t="shared" si="259"/>
        <v>0</v>
      </c>
      <c r="L580" s="80">
        <f t="shared" si="259"/>
        <v>0</v>
      </c>
      <c r="M580" s="80">
        <f t="shared" si="259"/>
        <v>0</v>
      </c>
      <c r="N580" s="80">
        <f t="shared" si="259"/>
        <v>0</v>
      </c>
      <c r="O580" s="80">
        <f t="shared" si="259"/>
        <v>0</v>
      </c>
      <c r="P580" s="80">
        <f t="shared" si="259"/>
        <v>0</v>
      </c>
      <c r="Q580" s="80">
        <f t="shared" si="259"/>
        <v>0</v>
      </c>
      <c r="R580" s="80">
        <f t="shared" si="259"/>
        <v>0</v>
      </c>
      <c r="S580" s="80">
        <f t="shared" si="259"/>
        <v>0</v>
      </c>
      <c r="T580" s="80">
        <f t="shared" si="259"/>
        <v>0</v>
      </c>
      <c r="U580" s="80">
        <f t="shared" si="259"/>
        <v>0</v>
      </c>
      <c r="V580" s="80">
        <f t="shared" si="259"/>
        <v>0</v>
      </c>
      <c r="W580" s="80">
        <f t="shared" si="259"/>
        <v>0</v>
      </c>
      <c r="X580" s="80">
        <f t="shared" si="259"/>
        <v>0</v>
      </c>
      <c r="Y580" s="80">
        <f t="shared" si="259"/>
        <v>0</v>
      </c>
      <c r="Z580" s="80">
        <f t="shared" si="259"/>
        <v>0</v>
      </c>
      <c r="AA580" s="80">
        <f t="shared" si="259"/>
        <v>0</v>
      </c>
      <c r="AB580" s="80">
        <f t="shared" si="259"/>
        <v>0</v>
      </c>
      <c r="AC580" s="80">
        <f t="shared" si="259"/>
        <v>0</v>
      </c>
      <c r="AD580" s="80">
        <f t="shared" si="259"/>
        <v>0</v>
      </c>
      <c r="AE580" s="80">
        <f t="shared" si="259"/>
        <v>0</v>
      </c>
      <c r="AF580" s="80">
        <f t="shared" si="259"/>
        <v>0</v>
      </c>
      <c r="AG580" s="80">
        <f t="shared" si="259"/>
        <v>0</v>
      </c>
      <c r="AH580" s="80">
        <f t="shared" si="259"/>
        <v>0</v>
      </c>
      <c r="AI580" s="80">
        <f t="shared" si="259"/>
        <v>0</v>
      </c>
    </row>
    <row r="581" spans="2:35" ht="15.75" customHeight="1">
      <c r="B581" s="111"/>
      <c r="C581" s="164" t="s">
        <v>392</v>
      </c>
      <c r="D581" s="110"/>
      <c r="E581" s="110"/>
      <c r="F581" s="110"/>
      <c r="G581" s="80">
        <f>F559</f>
        <v>0</v>
      </c>
      <c r="H581" s="80">
        <f>G559</f>
        <v>0</v>
      </c>
      <c r="I581" s="80">
        <f t="shared" ref="I581:N581" si="260">H559</f>
        <v>0</v>
      </c>
      <c r="J581" s="80">
        <f t="shared" si="260"/>
        <v>0</v>
      </c>
      <c r="K581" s="80">
        <f t="shared" si="260"/>
        <v>0</v>
      </c>
      <c r="L581" s="80">
        <f t="shared" si="260"/>
        <v>0</v>
      </c>
      <c r="M581" s="80">
        <f t="shared" si="260"/>
        <v>0</v>
      </c>
      <c r="N581" s="80">
        <f t="shared" si="260"/>
        <v>0</v>
      </c>
      <c r="O581" s="80">
        <f>N559</f>
        <v>0</v>
      </c>
      <c r="P581" s="80">
        <f>O559</f>
        <v>0</v>
      </c>
      <c r="Q581" s="80">
        <f t="shared" ref="Q581:AI581" ca="1" si="261">P559</f>
        <v>0</v>
      </c>
      <c r="R581" s="80">
        <f t="shared" ca="1" si="261"/>
        <v>0</v>
      </c>
      <c r="S581" s="80">
        <f t="shared" ca="1" si="261"/>
        <v>0</v>
      </c>
      <c r="T581" s="80">
        <f t="shared" ca="1" si="261"/>
        <v>0</v>
      </c>
      <c r="U581" s="80">
        <f t="shared" ca="1" si="261"/>
        <v>0</v>
      </c>
      <c r="V581" s="80">
        <f t="shared" ca="1" si="261"/>
        <v>0</v>
      </c>
      <c r="W581" s="80">
        <f t="shared" ca="1" si="261"/>
        <v>0</v>
      </c>
      <c r="X581" s="80">
        <f t="shared" ca="1" si="261"/>
        <v>0</v>
      </c>
      <c r="Y581" s="80">
        <f t="shared" ca="1" si="261"/>
        <v>0</v>
      </c>
      <c r="Z581" s="80">
        <f t="shared" ca="1" si="261"/>
        <v>0</v>
      </c>
      <c r="AA581" s="80">
        <f t="shared" ca="1" si="261"/>
        <v>0</v>
      </c>
      <c r="AB581" s="80">
        <f t="shared" ca="1" si="261"/>
        <v>0</v>
      </c>
      <c r="AC581" s="80">
        <f t="shared" ca="1" si="261"/>
        <v>0</v>
      </c>
      <c r="AD581" s="80">
        <f t="shared" ca="1" si="261"/>
        <v>0</v>
      </c>
      <c r="AE581" s="80">
        <f t="shared" ca="1" si="261"/>
        <v>0</v>
      </c>
      <c r="AF581" s="80">
        <f t="shared" ca="1" si="261"/>
        <v>0</v>
      </c>
      <c r="AG581" s="80">
        <f t="shared" ca="1" si="261"/>
        <v>0</v>
      </c>
      <c r="AH581" s="80">
        <f t="shared" ca="1" si="261"/>
        <v>0</v>
      </c>
      <c r="AI581" s="80">
        <f t="shared" ca="1" si="261"/>
        <v>0</v>
      </c>
    </row>
    <row r="582" spans="2:35" ht="15.75" customHeight="1">
      <c r="B582" s="111"/>
      <c r="C582" s="164" t="s">
        <v>379</v>
      </c>
      <c r="D582" s="110"/>
      <c r="E582" s="110"/>
      <c r="F582" s="110"/>
      <c r="G582" s="80">
        <f>F564</f>
        <v>0</v>
      </c>
      <c r="H582" s="80">
        <f>G564</f>
        <v>0</v>
      </c>
      <c r="I582" s="80">
        <f t="shared" ref="I582:N582" si="262">H564</f>
        <v>-500000000</v>
      </c>
      <c r="J582" s="80">
        <f t="shared" si="262"/>
        <v>-1500000000</v>
      </c>
      <c r="K582" s="80">
        <f t="shared" si="262"/>
        <v>-2000000000</v>
      </c>
      <c r="L582" s="80">
        <f t="shared" ca="1" si="262"/>
        <v>-1413922691.674005</v>
      </c>
      <c r="M582" s="80">
        <f t="shared" ca="1" si="262"/>
        <v>-854932045.32599401</v>
      </c>
      <c r="N582" s="80">
        <f t="shared" ca="1" si="262"/>
        <v>-238616508.03703141</v>
      </c>
      <c r="O582" s="80">
        <f ca="1">N564</f>
        <v>336989675.94358516</v>
      </c>
      <c r="P582" s="80">
        <f ca="1">O564</f>
        <v>916211606.67035472</v>
      </c>
      <c r="Q582" s="80">
        <f t="shared" ref="Q582:AI582" ca="1" si="263">P564</f>
        <v>1487472009.8525364</v>
      </c>
      <c r="R582" s="80">
        <f t="shared" ca="1" si="263"/>
        <v>2003550742.5791259</v>
      </c>
      <c r="S582" s="80">
        <f t="shared" ca="1" si="263"/>
        <v>2529577169.3813853</v>
      </c>
      <c r="T582" s="80">
        <f t="shared" ca="1" si="263"/>
        <v>3136263095.2100339</v>
      </c>
      <c r="U582" s="80">
        <f t="shared" ca="1" si="263"/>
        <v>3645836756.2353106</v>
      </c>
      <c r="V582" s="80">
        <f t="shared" ca="1" si="263"/>
        <v>4177793349.0872221</v>
      </c>
      <c r="W582" s="80">
        <f t="shared" ca="1" si="263"/>
        <v>4790584714.5577774</v>
      </c>
      <c r="X582" s="80">
        <f t="shared" ca="1" si="263"/>
        <v>5351747873.0426626</v>
      </c>
      <c r="Y582" s="80">
        <f t="shared" ca="1" si="263"/>
        <v>5926445159.9507542</v>
      </c>
      <c r="Z582" s="80">
        <f t="shared" ca="1" si="263"/>
        <v>6583234723.7630167</v>
      </c>
      <c r="AA582" s="80">
        <f t="shared" ca="1" si="263"/>
        <v>7189458524.5469332</v>
      </c>
      <c r="AB582" s="80">
        <f t="shared" ca="1" si="263"/>
        <v>7808193222.2271423</v>
      </c>
      <c r="AC582" s="80">
        <f t="shared" ca="1" si="263"/>
        <v>8509637867.853323</v>
      </c>
      <c r="AD582" s="80">
        <f t="shared" ca="1" si="263"/>
        <v>9161559483.1136398</v>
      </c>
      <c r="AE582" s="80">
        <f t="shared" ca="1" si="263"/>
        <v>9799222340.0901375</v>
      </c>
      <c r="AF582" s="80">
        <f t="shared" ca="1" si="263"/>
        <v>10488883413.678375</v>
      </c>
      <c r="AG582" s="80">
        <f t="shared" ca="1" si="263"/>
        <v>11143501378.611925</v>
      </c>
      <c r="AH582" s="80">
        <f t="shared" ca="1" si="263"/>
        <v>11811993261.972301</v>
      </c>
      <c r="AI582" s="80">
        <f t="shared" ca="1" si="263"/>
        <v>12559467485.871092</v>
      </c>
    </row>
    <row r="583" spans="2:35" ht="15.75" customHeight="1">
      <c r="B583" s="111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76"/>
      <c r="Q583" s="152"/>
      <c r="R583" s="152"/>
      <c r="S583" s="152"/>
      <c r="T583" s="152"/>
      <c r="U583" s="152"/>
      <c r="V583" s="152"/>
      <c r="W583" s="152"/>
      <c r="X583" s="152"/>
      <c r="Y583" s="152"/>
      <c r="Z583" s="152"/>
      <c r="AA583" s="152"/>
      <c r="AB583" s="152"/>
      <c r="AC583" s="152"/>
      <c r="AD583" s="152"/>
      <c r="AE583" s="152"/>
      <c r="AF583" s="152"/>
      <c r="AG583" s="152"/>
      <c r="AH583" s="152"/>
      <c r="AI583" s="152"/>
    </row>
    <row r="584" spans="2:35" ht="15.75" customHeight="1">
      <c r="B584" s="111"/>
      <c r="C584" s="76" t="s">
        <v>428</v>
      </c>
      <c r="D584" s="110"/>
      <c r="E584" s="110"/>
      <c r="F584" s="110"/>
      <c r="G584" s="114"/>
      <c r="H584" s="114"/>
      <c r="I584" s="114"/>
      <c r="J584" s="114"/>
      <c r="K584" s="114"/>
      <c r="L584" s="110"/>
      <c r="M584" s="114"/>
      <c r="N584" s="114"/>
      <c r="O584" s="76"/>
      <c r="Q584" s="152"/>
      <c r="R584" s="152"/>
      <c r="S584" s="152"/>
      <c r="T584" s="152"/>
      <c r="U584" s="152"/>
      <c r="V584" s="152"/>
      <c r="W584" s="152"/>
      <c r="X584" s="152"/>
      <c r="Y584" s="152"/>
      <c r="Z584" s="152"/>
      <c r="AA584" s="152"/>
      <c r="AB584" s="152"/>
      <c r="AC584" s="152"/>
      <c r="AD584" s="152"/>
      <c r="AE584" s="152"/>
      <c r="AF584" s="152"/>
      <c r="AG584" s="152"/>
      <c r="AH584" s="152"/>
      <c r="AI584" s="152"/>
    </row>
    <row r="585" spans="2:35" ht="15.75" customHeight="1">
      <c r="B585" s="111"/>
      <c r="C585" s="164" t="str">
        <f>C578</f>
        <v>LT Debt A - due xx/xx/xx @ LIBOR +x%</v>
      </c>
      <c r="D585" s="110"/>
      <c r="E585" s="110"/>
      <c r="F585" s="110"/>
      <c r="G585" s="834">
        <v>0.11</v>
      </c>
      <c r="H585" s="834">
        <f t="shared" ref="H585:W588" si="264">G585</f>
        <v>0.11</v>
      </c>
      <c r="I585" s="834">
        <f t="shared" si="264"/>
        <v>0.11</v>
      </c>
      <c r="J585" s="834">
        <f t="shared" si="264"/>
        <v>0.11</v>
      </c>
      <c r="K585" s="834">
        <f t="shared" si="264"/>
        <v>0.11</v>
      </c>
      <c r="L585" s="834">
        <f t="shared" si="264"/>
        <v>0.11</v>
      </c>
      <c r="M585" s="834">
        <f t="shared" si="264"/>
        <v>0.11</v>
      </c>
      <c r="N585" s="834">
        <f t="shared" si="264"/>
        <v>0.11</v>
      </c>
      <c r="O585" s="834">
        <f t="shared" si="264"/>
        <v>0.11</v>
      </c>
      <c r="P585" s="834">
        <f t="shared" si="264"/>
        <v>0.11</v>
      </c>
      <c r="Q585" s="834">
        <f t="shared" si="264"/>
        <v>0.11</v>
      </c>
      <c r="R585" s="834">
        <f t="shared" si="264"/>
        <v>0.11</v>
      </c>
      <c r="S585" s="834">
        <f t="shared" si="264"/>
        <v>0.11</v>
      </c>
      <c r="T585" s="834">
        <f t="shared" si="264"/>
        <v>0.11</v>
      </c>
      <c r="U585" s="834">
        <f t="shared" si="264"/>
        <v>0.11</v>
      </c>
      <c r="V585" s="834">
        <f t="shared" si="264"/>
        <v>0.11</v>
      </c>
      <c r="W585" s="834">
        <f t="shared" si="264"/>
        <v>0.11</v>
      </c>
      <c r="X585" s="834">
        <f t="shared" ref="X585:AI588" si="265">W585</f>
        <v>0.11</v>
      </c>
      <c r="Y585" s="834">
        <f t="shared" si="265"/>
        <v>0.11</v>
      </c>
      <c r="Z585" s="834">
        <f t="shared" si="265"/>
        <v>0.11</v>
      </c>
      <c r="AA585" s="834">
        <f t="shared" si="265"/>
        <v>0.11</v>
      </c>
      <c r="AB585" s="834">
        <f t="shared" si="265"/>
        <v>0.11</v>
      </c>
      <c r="AC585" s="834">
        <f t="shared" si="265"/>
        <v>0.11</v>
      </c>
      <c r="AD585" s="834">
        <f t="shared" si="265"/>
        <v>0.11</v>
      </c>
      <c r="AE585" s="834">
        <f t="shared" si="265"/>
        <v>0.11</v>
      </c>
      <c r="AF585" s="834">
        <f t="shared" si="265"/>
        <v>0.11</v>
      </c>
      <c r="AG585" s="834">
        <f t="shared" si="265"/>
        <v>0.11</v>
      </c>
      <c r="AH585" s="834">
        <f t="shared" si="265"/>
        <v>0.11</v>
      </c>
      <c r="AI585" s="834">
        <f t="shared" si="265"/>
        <v>0.11</v>
      </c>
    </row>
    <row r="586" spans="2:35" ht="15.75" customHeight="1">
      <c r="B586" s="111"/>
      <c r="C586" s="164" t="str">
        <f>C579</f>
        <v>LT Debt B - due xx/xx/xx @ LIBOR +x%</v>
      </c>
      <c r="D586" s="110"/>
      <c r="E586" s="110"/>
      <c r="F586" s="110"/>
      <c r="G586" s="834">
        <v>0.11</v>
      </c>
      <c r="H586" s="834">
        <f t="shared" si="264"/>
        <v>0.11</v>
      </c>
      <c r="I586" s="834">
        <f t="shared" si="264"/>
        <v>0.11</v>
      </c>
      <c r="J586" s="834">
        <f t="shared" si="264"/>
        <v>0.11</v>
      </c>
      <c r="K586" s="834">
        <f t="shared" si="264"/>
        <v>0.11</v>
      </c>
      <c r="L586" s="834">
        <f t="shared" si="264"/>
        <v>0.11</v>
      </c>
      <c r="M586" s="834">
        <f t="shared" si="264"/>
        <v>0.11</v>
      </c>
      <c r="N586" s="834">
        <f t="shared" si="264"/>
        <v>0.11</v>
      </c>
      <c r="O586" s="834">
        <f t="shared" si="264"/>
        <v>0.11</v>
      </c>
      <c r="P586" s="834">
        <f t="shared" si="264"/>
        <v>0.11</v>
      </c>
      <c r="Q586" s="834">
        <f t="shared" si="264"/>
        <v>0.11</v>
      </c>
      <c r="R586" s="834">
        <f t="shared" si="264"/>
        <v>0.11</v>
      </c>
      <c r="S586" s="834">
        <f t="shared" si="264"/>
        <v>0.11</v>
      </c>
      <c r="T586" s="834">
        <f t="shared" si="264"/>
        <v>0.11</v>
      </c>
      <c r="U586" s="834">
        <f t="shared" si="264"/>
        <v>0.11</v>
      </c>
      <c r="V586" s="834">
        <f t="shared" si="264"/>
        <v>0.11</v>
      </c>
      <c r="W586" s="834">
        <f t="shared" si="264"/>
        <v>0.11</v>
      </c>
      <c r="X586" s="834">
        <f t="shared" si="265"/>
        <v>0.11</v>
      </c>
      <c r="Y586" s="834">
        <f t="shared" si="265"/>
        <v>0.11</v>
      </c>
      <c r="Z586" s="834">
        <f t="shared" si="265"/>
        <v>0.11</v>
      </c>
      <c r="AA586" s="834">
        <f t="shared" si="265"/>
        <v>0.11</v>
      </c>
      <c r="AB586" s="834">
        <f t="shared" si="265"/>
        <v>0.11</v>
      </c>
      <c r="AC586" s="834">
        <f t="shared" si="265"/>
        <v>0.11</v>
      </c>
      <c r="AD586" s="834">
        <f t="shared" si="265"/>
        <v>0.11</v>
      </c>
      <c r="AE586" s="834">
        <f t="shared" si="265"/>
        <v>0.11</v>
      </c>
      <c r="AF586" s="834">
        <f t="shared" si="265"/>
        <v>0.11</v>
      </c>
      <c r="AG586" s="834">
        <f t="shared" si="265"/>
        <v>0.11</v>
      </c>
      <c r="AH586" s="834">
        <f t="shared" si="265"/>
        <v>0.11</v>
      </c>
      <c r="AI586" s="834">
        <f t="shared" si="265"/>
        <v>0.11</v>
      </c>
    </row>
    <row r="587" spans="2:35" ht="15.75" customHeight="1">
      <c r="B587" s="111"/>
      <c r="C587" s="164" t="str">
        <f>C580</f>
        <v>LT Debt C - due xx/xx/xx @ LIBOR +x%</v>
      </c>
      <c r="D587" s="110"/>
      <c r="E587" s="110"/>
      <c r="F587" s="110"/>
      <c r="G587" s="834">
        <v>0.11</v>
      </c>
      <c r="H587" s="806">
        <f t="shared" si="264"/>
        <v>0.11</v>
      </c>
      <c r="I587" s="806">
        <f t="shared" si="264"/>
        <v>0.11</v>
      </c>
      <c r="J587" s="806">
        <f t="shared" si="264"/>
        <v>0.11</v>
      </c>
      <c r="K587" s="806">
        <f t="shared" si="264"/>
        <v>0.11</v>
      </c>
      <c r="L587" s="806">
        <f t="shared" si="264"/>
        <v>0.11</v>
      </c>
      <c r="M587" s="806">
        <f t="shared" si="264"/>
        <v>0.11</v>
      </c>
      <c r="N587" s="806">
        <f t="shared" si="264"/>
        <v>0.11</v>
      </c>
      <c r="O587" s="806">
        <f t="shared" si="264"/>
        <v>0.11</v>
      </c>
      <c r="P587" s="806">
        <f t="shared" si="264"/>
        <v>0.11</v>
      </c>
      <c r="Q587" s="806">
        <f t="shared" si="264"/>
        <v>0.11</v>
      </c>
      <c r="R587" s="806">
        <f t="shared" si="264"/>
        <v>0.11</v>
      </c>
      <c r="S587" s="806">
        <f t="shared" si="264"/>
        <v>0.11</v>
      </c>
      <c r="T587" s="806">
        <f t="shared" si="264"/>
        <v>0.11</v>
      </c>
      <c r="U587" s="806">
        <f t="shared" si="264"/>
        <v>0.11</v>
      </c>
      <c r="V587" s="806">
        <f t="shared" si="264"/>
        <v>0.11</v>
      </c>
      <c r="W587" s="806">
        <f t="shared" si="264"/>
        <v>0.11</v>
      </c>
      <c r="X587" s="806">
        <f t="shared" si="265"/>
        <v>0.11</v>
      </c>
      <c r="Y587" s="806">
        <f t="shared" si="265"/>
        <v>0.11</v>
      </c>
      <c r="Z587" s="806">
        <f t="shared" si="265"/>
        <v>0.11</v>
      </c>
      <c r="AA587" s="806">
        <f t="shared" si="265"/>
        <v>0.11</v>
      </c>
      <c r="AB587" s="806">
        <f t="shared" si="265"/>
        <v>0.11</v>
      </c>
      <c r="AC587" s="806">
        <f t="shared" si="265"/>
        <v>0.11</v>
      </c>
      <c r="AD587" s="806">
        <f t="shared" si="265"/>
        <v>0.11</v>
      </c>
      <c r="AE587" s="806">
        <f t="shared" si="265"/>
        <v>0.11</v>
      </c>
      <c r="AF587" s="806">
        <f t="shared" si="265"/>
        <v>0.11</v>
      </c>
      <c r="AG587" s="806">
        <f t="shared" si="265"/>
        <v>0.11</v>
      </c>
      <c r="AH587" s="806">
        <f t="shared" si="265"/>
        <v>0.11</v>
      </c>
      <c r="AI587" s="806">
        <f t="shared" si="265"/>
        <v>0.11</v>
      </c>
    </row>
    <row r="588" spans="2:35" ht="15.75" customHeight="1">
      <c r="B588" s="111"/>
      <c r="C588" s="164" t="str">
        <f>C581</f>
        <v>Револьверный кредит</v>
      </c>
      <c r="D588" s="110"/>
      <c r="E588" s="110"/>
      <c r="F588" s="110"/>
      <c r="G588" s="806">
        <v>0.1</v>
      </c>
      <c r="H588" s="834">
        <f t="shared" si="264"/>
        <v>0.1</v>
      </c>
      <c r="I588" s="834">
        <f t="shared" si="264"/>
        <v>0.1</v>
      </c>
      <c r="J588" s="834">
        <f t="shared" si="264"/>
        <v>0.1</v>
      </c>
      <c r="K588" s="834">
        <f t="shared" si="264"/>
        <v>0.1</v>
      </c>
      <c r="L588" s="834">
        <f t="shared" si="264"/>
        <v>0.1</v>
      </c>
      <c r="M588" s="834">
        <f t="shared" si="264"/>
        <v>0.1</v>
      </c>
      <c r="N588" s="834">
        <f t="shared" si="264"/>
        <v>0.1</v>
      </c>
      <c r="O588" s="834">
        <f t="shared" si="264"/>
        <v>0.1</v>
      </c>
      <c r="P588" s="834">
        <f t="shared" si="264"/>
        <v>0.1</v>
      </c>
      <c r="Q588" s="834">
        <f t="shared" si="264"/>
        <v>0.1</v>
      </c>
      <c r="R588" s="834">
        <f t="shared" si="264"/>
        <v>0.1</v>
      </c>
      <c r="S588" s="834">
        <f t="shared" si="264"/>
        <v>0.1</v>
      </c>
      <c r="T588" s="834">
        <f t="shared" si="264"/>
        <v>0.1</v>
      </c>
      <c r="U588" s="834">
        <f t="shared" si="264"/>
        <v>0.1</v>
      </c>
      <c r="V588" s="834">
        <f t="shared" si="264"/>
        <v>0.1</v>
      </c>
      <c r="W588" s="834">
        <f t="shared" si="264"/>
        <v>0.1</v>
      </c>
      <c r="X588" s="834">
        <f t="shared" si="265"/>
        <v>0.1</v>
      </c>
      <c r="Y588" s="834">
        <f t="shared" si="265"/>
        <v>0.1</v>
      </c>
      <c r="Z588" s="834">
        <f t="shared" si="265"/>
        <v>0.1</v>
      </c>
      <c r="AA588" s="834">
        <f t="shared" si="265"/>
        <v>0.1</v>
      </c>
      <c r="AB588" s="834">
        <f t="shared" si="265"/>
        <v>0.1</v>
      </c>
      <c r="AC588" s="834">
        <f t="shared" si="265"/>
        <v>0.1</v>
      </c>
      <c r="AD588" s="834">
        <f t="shared" si="265"/>
        <v>0.1</v>
      </c>
      <c r="AE588" s="834">
        <f t="shared" si="265"/>
        <v>0.1</v>
      </c>
      <c r="AF588" s="834">
        <f t="shared" si="265"/>
        <v>0.1</v>
      </c>
      <c r="AG588" s="834">
        <f t="shared" si="265"/>
        <v>0.1</v>
      </c>
      <c r="AH588" s="834">
        <f t="shared" si="265"/>
        <v>0.1</v>
      </c>
      <c r="AI588" s="834">
        <f t="shared" si="265"/>
        <v>0.1</v>
      </c>
    </row>
    <row r="589" spans="2:35" ht="15.75" customHeight="1">
      <c r="B589" s="111"/>
      <c r="C589" s="164" t="str">
        <f>C582</f>
        <v>Деньги</v>
      </c>
      <c r="D589" s="110"/>
      <c r="E589" s="110"/>
      <c r="F589" s="110"/>
      <c r="G589" s="806">
        <v>0.03</v>
      </c>
      <c r="H589" s="806">
        <v>3.2000000000000001E-2</v>
      </c>
      <c r="I589" s="806">
        <v>3.2000000000000001E-2</v>
      </c>
      <c r="J589" s="806">
        <v>3.2000000000000001E-2</v>
      </c>
      <c r="K589" s="806">
        <v>3.2000000000000001E-2</v>
      </c>
      <c r="L589" s="806">
        <v>3.2000000000000001E-2</v>
      </c>
      <c r="M589" s="806">
        <v>3.2000000000000001E-2</v>
      </c>
      <c r="N589" s="806">
        <v>3.2000000000000001E-2</v>
      </c>
      <c r="O589" s="806">
        <v>3.2000000000000001E-2</v>
      </c>
      <c r="P589" s="806">
        <v>3.2000000000000001E-2</v>
      </c>
      <c r="Q589" s="806">
        <v>3.2000000000000001E-2</v>
      </c>
      <c r="R589" s="806">
        <v>3.2000000000000001E-2</v>
      </c>
      <c r="S589" s="806">
        <v>3.2000000000000001E-2</v>
      </c>
      <c r="T589" s="806">
        <v>3.2000000000000001E-2</v>
      </c>
      <c r="U589" s="806">
        <v>3.2000000000000001E-2</v>
      </c>
      <c r="V589" s="806">
        <v>3.2000000000000001E-2</v>
      </c>
      <c r="W589" s="806">
        <v>3.2000000000000001E-2</v>
      </c>
      <c r="X589" s="806">
        <v>3.2000000000000001E-2</v>
      </c>
      <c r="Y589" s="806">
        <v>3.2000000000000001E-2</v>
      </c>
      <c r="Z589" s="806">
        <v>3.2000000000000001E-2</v>
      </c>
      <c r="AA589" s="806">
        <v>3.2000000000000001E-2</v>
      </c>
      <c r="AB589" s="806">
        <v>3.2000000000000001E-2</v>
      </c>
      <c r="AC589" s="806">
        <v>3.2000000000000001E-2</v>
      </c>
      <c r="AD589" s="806">
        <v>3.2000000000000001E-2</v>
      </c>
      <c r="AE589" s="806">
        <v>3.2000000000000001E-2</v>
      </c>
      <c r="AF589" s="806">
        <v>3.2000000000000001E-2</v>
      </c>
      <c r="AG589" s="806">
        <v>3.2000000000000001E-2</v>
      </c>
      <c r="AH589" s="806">
        <v>3.2000000000000001E-2</v>
      </c>
      <c r="AI589" s="806">
        <v>3.2000000000000001E-2</v>
      </c>
    </row>
    <row r="590" spans="2:35" ht="15.75" customHeight="1">
      <c r="B590" s="111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76"/>
      <c r="Q590" s="152"/>
      <c r="R590" s="152"/>
      <c r="S590" s="152"/>
      <c r="T590" s="152"/>
      <c r="U590" s="152"/>
      <c r="V590" s="152"/>
      <c r="W590" s="152"/>
      <c r="X590" s="152"/>
      <c r="Y590" s="152"/>
      <c r="Z590" s="152"/>
      <c r="AA590" s="152"/>
      <c r="AB590" s="152"/>
      <c r="AC590" s="152"/>
      <c r="AD590" s="152"/>
      <c r="AE590" s="152"/>
      <c r="AF590" s="152"/>
      <c r="AG590" s="152"/>
      <c r="AH590" s="152"/>
      <c r="AI590" s="152"/>
    </row>
    <row r="591" spans="2:35" ht="15.75" customHeight="1">
      <c r="B591" s="111"/>
      <c r="C591" s="76" t="s">
        <v>491</v>
      </c>
      <c r="D591" s="110"/>
      <c r="E591" s="110"/>
      <c r="F591" s="110"/>
      <c r="G591" s="134"/>
      <c r="H591" s="134"/>
      <c r="I591" s="134"/>
      <c r="J591" s="134"/>
      <c r="K591" s="134"/>
      <c r="L591" s="134"/>
      <c r="M591" s="134"/>
      <c r="N591" s="134"/>
      <c r="O591" s="76"/>
      <c r="Q591" s="152"/>
      <c r="R591" s="152"/>
      <c r="S591" s="152"/>
      <c r="T591" s="152"/>
      <c r="U591" s="152"/>
      <c r="V591" s="152"/>
      <c r="W591" s="152"/>
      <c r="X591" s="152"/>
      <c r="Y591" s="152"/>
      <c r="Z591" s="152"/>
      <c r="AA591" s="152"/>
      <c r="AB591" s="152"/>
      <c r="AC591" s="152"/>
      <c r="AD591" s="152"/>
      <c r="AE591" s="152"/>
      <c r="AF591" s="152"/>
      <c r="AG591" s="152"/>
      <c r="AH591" s="152"/>
      <c r="AI591" s="152"/>
    </row>
    <row r="592" spans="2:35" ht="15.75" customHeight="1">
      <c r="B592" s="111"/>
      <c r="C592" s="164" t="str">
        <f>C585</f>
        <v>LT Debt A - due xx/xx/xx @ LIBOR +x%</v>
      </c>
      <c r="D592" s="110"/>
      <c r="E592" s="110"/>
      <c r="F592" s="110"/>
      <c r="G592" s="804">
        <f t="shared" ref="G592:AI595" si="266">G578*G585</f>
        <v>0</v>
      </c>
      <c r="H592" s="804">
        <f t="shared" si="266"/>
        <v>0</v>
      </c>
      <c r="I592" s="804">
        <f t="shared" si="266"/>
        <v>0</v>
      </c>
      <c r="J592" s="804">
        <f t="shared" si="266"/>
        <v>0</v>
      </c>
      <c r="K592" s="804">
        <f t="shared" si="266"/>
        <v>0</v>
      </c>
      <c r="L592" s="804">
        <f t="shared" si="266"/>
        <v>0</v>
      </c>
      <c r="M592" s="804">
        <f t="shared" si="266"/>
        <v>0</v>
      </c>
      <c r="N592" s="804">
        <f t="shared" si="266"/>
        <v>0</v>
      </c>
      <c r="O592" s="804">
        <f t="shared" si="266"/>
        <v>0</v>
      </c>
      <c r="P592" s="804">
        <f t="shared" si="266"/>
        <v>0</v>
      </c>
      <c r="Q592" s="804">
        <f t="shared" si="266"/>
        <v>0</v>
      </c>
      <c r="R592" s="804">
        <f t="shared" si="266"/>
        <v>0</v>
      </c>
      <c r="S592" s="804">
        <f t="shared" si="266"/>
        <v>0</v>
      </c>
      <c r="T592" s="804">
        <f t="shared" si="266"/>
        <v>0</v>
      </c>
      <c r="U592" s="804">
        <f t="shared" si="266"/>
        <v>0</v>
      </c>
      <c r="V592" s="804">
        <f t="shared" si="266"/>
        <v>0</v>
      </c>
      <c r="W592" s="804">
        <f t="shared" si="266"/>
        <v>0</v>
      </c>
      <c r="X592" s="804">
        <f t="shared" si="266"/>
        <v>0</v>
      </c>
      <c r="Y592" s="804">
        <f t="shared" si="266"/>
        <v>0</v>
      </c>
      <c r="Z592" s="804">
        <f t="shared" si="266"/>
        <v>0</v>
      </c>
      <c r="AA592" s="804">
        <f t="shared" si="266"/>
        <v>0</v>
      </c>
      <c r="AB592" s="804">
        <f t="shared" si="266"/>
        <v>0</v>
      </c>
      <c r="AC592" s="804">
        <f t="shared" si="266"/>
        <v>0</v>
      </c>
      <c r="AD592" s="804">
        <f t="shared" si="266"/>
        <v>0</v>
      </c>
      <c r="AE592" s="804">
        <f t="shared" si="266"/>
        <v>0</v>
      </c>
      <c r="AF592" s="804">
        <f t="shared" si="266"/>
        <v>0</v>
      </c>
      <c r="AG592" s="804">
        <f t="shared" si="266"/>
        <v>0</v>
      </c>
      <c r="AH592" s="804">
        <f t="shared" si="266"/>
        <v>0</v>
      </c>
      <c r="AI592" s="804">
        <f t="shared" si="266"/>
        <v>0</v>
      </c>
    </row>
    <row r="593" spans="2:35" ht="15.75" customHeight="1">
      <c r="B593" s="111"/>
      <c r="C593" s="164" t="str">
        <f>C586</f>
        <v>LT Debt B - due xx/xx/xx @ LIBOR +x%</v>
      </c>
      <c r="D593" s="110"/>
      <c r="E593" s="110"/>
      <c r="F593" s="110"/>
      <c r="G593" s="804">
        <f t="shared" si="266"/>
        <v>0</v>
      </c>
      <c r="H593" s="804">
        <f t="shared" si="266"/>
        <v>0</v>
      </c>
      <c r="I593" s="804">
        <f t="shared" si="266"/>
        <v>0</v>
      </c>
      <c r="J593" s="804">
        <f t="shared" si="266"/>
        <v>0</v>
      </c>
      <c r="K593" s="804">
        <f t="shared" si="266"/>
        <v>0</v>
      </c>
      <c r="L593" s="804">
        <f t="shared" si="266"/>
        <v>0</v>
      </c>
      <c r="M593" s="804">
        <f t="shared" si="266"/>
        <v>0</v>
      </c>
      <c r="N593" s="804">
        <f t="shared" si="266"/>
        <v>0</v>
      </c>
      <c r="O593" s="804">
        <f t="shared" si="266"/>
        <v>0</v>
      </c>
      <c r="P593" s="804">
        <f t="shared" si="266"/>
        <v>0</v>
      </c>
      <c r="Q593" s="804">
        <f t="shared" si="266"/>
        <v>0</v>
      </c>
      <c r="R593" s="804">
        <f t="shared" si="266"/>
        <v>0</v>
      </c>
      <c r="S593" s="804">
        <f t="shared" si="266"/>
        <v>0</v>
      </c>
      <c r="T593" s="804">
        <f t="shared" si="266"/>
        <v>0</v>
      </c>
      <c r="U593" s="804">
        <f t="shared" si="266"/>
        <v>0</v>
      </c>
      <c r="V593" s="804">
        <f t="shared" si="266"/>
        <v>0</v>
      </c>
      <c r="W593" s="804">
        <f t="shared" si="266"/>
        <v>0</v>
      </c>
      <c r="X593" s="804">
        <f t="shared" si="266"/>
        <v>0</v>
      </c>
      <c r="Y593" s="804">
        <f t="shared" si="266"/>
        <v>0</v>
      </c>
      <c r="Z593" s="804">
        <f t="shared" si="266"/>
        <v>0</v>
      </c>
      <c r="AA593" s="804">
        <f t="shared" si="266"/>
        <v>0</v>
      </c>
      <c r="AB593" s="804">
        <f t="shared" si="266"/>
        <v>0</v>
      </c>
      <c r="AC593" s="804">
        <f t="shared" si="266"/>
        <v>0</v>
      </c>
      <c r="AD593" s="804">
        <f t="shared" si="266"/>
        <v>0</v>
      </c>
      <c r="AE593" s="804">
        <f t="shared" si="266"/>
        <v>0</v>
      </c>
      <c r="AF593" s="804">
        <f t="shared" si="266"/>
        <v>0</v>
      </c>
      <c r="AG593" s="804">
        <f t="shared" si="266"/>
        <v>0</v>
      </c>
      <c r="AH593" s="804">
        <f t="shared" si="266"/>
        <v>0</v>
      </c>
      <c r="AI593" s="804">
        <f t="shared" si="266"/>
        <v>0</v>
      </c>
    </row>
    <row r="594" spans="2:35" ht="15.75" customHeight="1">
      <c r="B594" s="111"/>
      <c r="C594" s="164" t="str">
        <f>C587</f>
        <v>LT Debt C - due xx/xx/xx @ LIBOR +x%</v>
      </c>
      <c r="D594" s="110"/>
      <c r="E594" s="110"/>
      <c r="F594" s="110"/>
      <c r="G594" s="804">
        <f t="shared" si="266"/>
        <v>0</v>
      </c>
      <c r="H594" s="804">
        <f t="shared" si="266"/>
        <v>0</v>
      </c>
      <c r="I594" s="804">
        <f t="shared" si="266"/>
        <v>0</v>
      </c>
      <c r="J594" s="804">
        <f t="shared" si="266"/>
        <v>0</v>
      </c>
      <c r="K594" s="804">
        <f t="shared" si="266"/>
        <v>0</v>
      </c>
      <c r="L594" s="804">
        <f t="shared" si="266"/>
        <v>0</v>
      </c>
      <c r="M594" s="804">
        <f t="shared" si="266"/>
        <v>0</v>
      </c>
      <c r="N594" s="804">
        <f t="shared" si="266"/>
        <v>0</v>
      </c>
      <c r="O594" s="804">
        <f t="shared" si="266"/>
        <v>0</v>
      </c>
      <c r="P594" s="804">
        <f t="shared" si="266"/>
        <v>0</v>
      </c>
      <c r="Q594" s="804">
        <f t="shared" si="266"/>
        <v>0</v>
      </c>
      <c r="R594" s="804">
        <f t="shared" si="266"/>
        <v>0</v>
      </c>
      <c r="S594" s="804">
        <f t="shared" si="266"/>
        <v>0</v>
      </c>
      <c r="T594" s="804">
        <f t="shared" si="266"/>
        <v>0</v>
      </c>
      <c r="U594" s="804">
        <f t="shared" si="266"/>
        <v>0</v>
      </c>
      <c r="V594" s="804">
        <f t="shared" si="266"/>
        <v>0</v>
      </c>
      <c r="W594" s="804">
        <f t="shared" si="266"/>
        <v>0</v>
      </c>
      <c r="X594" s="804">
        <f t="shared" si="266"/>
        <v>0</v>
      </c>
      <c r="Y594" s="804">
        <f t="shared" si="266"/>
        <v>0</v>
      </c>
      <c r="Z594" s="804">
        <f t="shared" si="266"/>
        <v>0</v>
      </c>
      <c r="AA594" s="804">
        <f t="shared" si="266"/>
        <v>0</v>
      </c>
      <c r="AB594" s="804">
        <f t="shared" si="266"/>
        <v>0</v>
      </c>
      <c r="AC594" s="804">
        <f t="shared" si="266"/>
        <v>0</v>
      </c>
      <c r="AD594" s="804">
        <f t="shared" si="266"/>
        <v>0</v>
      </c>
      <c r="AE594" s="804">
        <f t="shared" si="266"/>
        <v>0</v>
      </c>
      <c r="AF594" s="804">
        <f t="shared" si="266"/>
        <v>0</v>
      </c>
      <c r="AG594" s="804">
        <f t="shared" si="266"/>
        <v>0</v>
      </c>
      <c r="AH594" s="804">
        <f t="shared" si="266"/>
        <v>0</v>
      </c>
      <c r="AI594" s="804">
        <f t="shared" si="266"/>
        <v>0</v>
      </c>
    </row>
    <row r="595" spans="2:35" ht="15.75" customHeight="1">
      <c r="B595" s="111"/>
      <c r="C595" s="164" t="str">
        <f>C588</f>
        <v>Револьверный кредит</v>
      </c>
      <c r="D595" s="110"/>
      <c r="E595" s="110"/>
      <c r="F595" s="110"/>
      <c r="G595" s="804">
        <f t="shared" si="266"/>
        <v>0</v>
      </c>
      <c r="H595" s="804">
        <f t="shared" si="266"/>
        <v>0</v>
      </c>
      <c r="I595" s="804">
        <f t="shared" si="266"/>
        <v>0</v>
      </c>
      <c r="J595" s="804">
        <f t="shared" si="266"/>
        <v>0</v>
      </c>
      <c r="K595" s="804">
        <f t="shared" si="266"/>
        <v>0</v>
      </c>
      <c r="L595" s="804">
        <f t="shared" si="266"/>
        <v>0</v>
      </c>
      <c r="M595" s="804">
        <f t="shared" si="266"/>
        <v>0</v>
      </c>
      <c r="N595" s="804">
        <f t="shared" si="266"/>
        <v>0</v>
      </c>
      <c r="O595" s="804">
        <f t="shared" si="266"/>
        <v>0</v>
      </c>
      <c r="P595" s="804">
        <f t="shared" si="266"/>
        <v>0</v>
      </c>
      <c r="Q595" s="804">
        <f t="shared" ca="1" si="266"/>
        <v>0</v>
      </c>
      <c r="R595" s="804">
        <f t="shared" ca="1" si="266"/>
        <v>0</v>
      </c>
      <c r="S595" s="804">
        <f t="shared" ca="1" si="266"/>
        <v>0</v>
      </c>
      <c r="T595" s="804">
        <f t="shared" ca="1" si="266"/>
        <v>0</v>
      </c>
      <c r="U595" s="804">
        <f t="shared" ca="1" si="266"/>
        <v>0</v>
      </c>
      <c r="V595" s="804">
        <f t="shared" ca="1" si="266"/>
        <v>0</v>
      </c>
      <c r="W595" s="804">
        <f t="shared" ca="1" si="266"/>
        <v>0</v>
      </c>
      <c r="X595" s="804">
        <f t="shared" ca="1" si="266"/>
        <v>0</v>
      </c>
      <c r="Y595" s="804">
        <f t="shared" ca="1" si="266"/>
        <v>0</v>
      </c>
      <c r="Z595" s="804">
        <f t="shared" ca="1" si="266"/>
        <v>0</v>
      </c>
      <c r="AA595" s="804">
        <f t="shared" ca="1" si="266"/>
        <v>0</v>
      </c>
      <c r="AB595" s="804">
        <f t="shared" ca="1" si="266"/>
        <v>0</v>
      </c>
      <c r="AC595" s="804">
        <f t="shared" ca="1" si="266"/>
        <v>0</v>
      </c>
      <c r="AD595" s="804">
        <f t="shared" ca="1" si="266"/>
        <v>0</v>
      </c>
      <c r="AE595" s="804">
        <f t="shared" ca="1" si="266"/>
        <v>0</v>
      </c>
      <c r="AF595" s="804">
        <f t="shared" ca="1" si="266"/>
        <v>0</v>
      </c>
      <c r="AG595" s="804">
        <f t="shared" ca="1" si="266"/>
        <v>0</v>
      </c>
      <c r="AH595" s="804">
        <f t="shared" ca="1" si="266"/>
        <v>0</v>
      </c>
      <c r="AI595" s="804">
        <f t="shared" ca="1" si="266"/>
        <v>0</v>
      </c>
    </row>
    <row r="596" spans="2:35" ht="15.75" customHeight="1">
      <c r="B596" s="111"/>
      <c r="C596" s="164" t="s">
        <v>492</v>
      </c>
      <c r="D596" s="110"/>
      <c r="E596" s="110"/>
      <c r="F596" s="110"/>
      <c r="G596" s="80">
        <f t="shared" ref="G596:N596" si="267">SUM(G592:G595)</f>
        <v>0</v>
      </c>
      <c r="H596" s="80">
        <f t="shared" si="267"/>
        <v>0</v>
      </c>
      <c r="I596" s="80">
        <f t="shared" si="267"/>
        <v>0</v>
      </c>
      <c r="J596" s="80">
        <f t="shared" si="267"/>
        <v>0</v>
      </c>
      <c r="K596" s="80">
        <f t="shared" si="267"/>
        <v>0</v>
      </c>
      <c r="L596" s="80">
        <f t="shared" si="267"/>
        <v>0</v>
      </c>
      <c r="M596" s="80">
        <f t="shared" si="267"/>
        <v>0</v>
      </c>
      <c r="N596" s="80">
        <f t="shared" si="267"/>
        <v>0</v>
      </c>
      <c r="O596" s="80">
        <f>SUM(O592:O595)</f>
        <v>0</v>
      </c>
      <c r="P596" s="80">
        <f>SUM(P592:P595)</f>
        <v>0</v>
      </c>
      <c r="Q596" s="80">
        <f t="shared" ref="Q596:AI596" ca="1" si="268">SUM(Q592:Q595)</f>
        <v>0</v>
      </c>
      <c r="R596" s="80">
        <f t="shared" ca="1" si="268"/>
        <v>0</v>
      </c>
      <c r="S596" s="80">
        <f t="shared" ca="1" si="268"/>
        <v>0</v>
      </c>
      <c r="T596" s="80">
        <f t="shared" ca="1" si="268"/>
        <v>0</v>
      </c>
      <c r="U596" s="80">
        <f t="shared" ca="1" si="268"/>
        <v>0</v>
      </c>
      <c r="V596" s="80">
        <f t="shared" ca="1" si="268"/>
        <v>0</v>
      </c>
      <c r="W596" s="80">
        <f t="shared" ca="1" si="268"/>
        <v>0</v>
      </c>
      <c r="X596" s="80">
        <f t="shared" ca="1" si="268"/>
        <v>0</v>
      </c>
      <c r="Y596" s="80">
        <f t="shared" ca="1" si="268"/>
        <v>0</v>
      </c>
      <c r="Z596" s="80">
        <f t="shared" ca="1" si="268"/>
        <v>0</v>
      </c>
      <c r="AA596" s="80">
        <f t="shared" ca="1" si="268"/>
        <v>0</v>
      </c>
      <c r="AB596" s="80">
        <f t="shared" ca="1" si="268"/>
        <v>0</v>
      </c>
      <c r="AC596" s="80">
        <f t="shared" ca="1" si="268"/>
        <v>0</v>
      </c>
      <c r="AD596" s="80">
        <f t="shared" ca="1" si="268"/>
        <v>0</v>
      </c>
      <c r="AE596" s="80">
        <f t="shared" ca="1" si="268"/>
        <v>0</v>
      </c>
      <c r="AF596" s="80">
        <f t="shared" ca="1" si="268"/>
        <v>0</v>
      </c>
      <c r="AG596" s="80">
        <f t="shared" ca="1" si="268"/>
        <v>0</v>
      </c>
      <c r="AH596" s="80">
        <f t="shared" ca="1" si="268"/>
        <v>0</v>
      </c>
      <c r="AI596" s="80">
        <f t="shared" ca="1" si="268"/>
        <v>0</v>
      </c>
    </row>
    <row r="597" spans="2:35" ht="15.75" customHeight="1">
      <c r="B597" s="111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76"/>
      <c r="Q597" s="152"/>
      <c r="R597" s="152"/>
      <c r="S597" s="152"/>
      <c r="T597" s="152"/>
      <c r="U597" s="152"/>
      <c r="V597" s="152"/>
      <c r="W597" s="152"/>
      <c r="X597" s="152"/>
      <c r="Y597" s="152"/>
      <c r="Z597" s="152"/>
      <c r="AA597" s="152"/>
      <c r="AB597" s="152"/>
      <c r="AC597" s="152"/>
      <c r="AD597" s="152"/>
      <c r="AE597" s="152"/>
      <c r="AF597" s="152"/>
      <c r="AG597" s="152"/>
      <c r="AH597" s="152"/>
      <c r="AI597" s="152"/>
    </row>
    <row r="598" spans="2:35" ht="15.75" customHeight="1">
      <c r="B598" s="111"/>
      <c r="C598" s="544" t="s">
        <v>493</v>
      </c>
      <c r="D598" s="110"/>
      <c r="E598" s="110"/>
      <c r="F598" s="110"/>
      <c r="G598" s="804">
        <f>F598</f>
        <v>0</v>
      </c>
      <c r="H598" s="804">
        <f>G598</f>
        <v>0</v>
      </c>
      <c r="I598" s="804">
        <f>H598</f>
        <v>0</v>
      </c>
      <c r="J598" s="804">
        <f>I598</f>
        <v>0</v>
      </c>
      <c r="K598" s="804">
        <f>J598</f>
        <v>0</v>
      </c>
      <c r="L598" s="804">
        <v>0</v>
      </c>
      <c r="M598" s="804">
        <v>0</v>
      </c>
      <c r="N598" s="804">
        <f>M598</f>
        <v>0</v>
      </c>
      <c r="O598" s="804">
        <f>N598</f>
        <v>0</v>
      </c>
      <c r="P598" s="804">
        <f>O598</f>
        <v>0</v>
      </c>
      <c r="Q598" s="804">
        <f t="shared" ref="Q598:AI598" si="269">P598</f>
        <v>0</v>
      </c>
      <c r="R598" s="804">
        <f t="shared" si="269"/>
        <v>0</v>
      </c>
      <c r="S598" s="804">
        <f t="shared" si="269"/>
        <v>0</v>
      </c>
      <c r="T598" s="804">
        <f t="shared" si="269"/>
        <v>0</v>
      </c>
      <c r="U598" s="804">
        <f t="shared" si="269"/>
        <v>0</v>
      </c>
      <c r="V598" s="804">
        <f t="shared" si="269"/>
        <v>0</v>
      </c>
      <c r="W598" s="804">
        <f t="shared" si="269"/>
        <v>0</v>
      </c>
      <c r="X598" s="804">
        <f t="shared" si="269"/>
        <v>0</v>
      </c>
      <c r="Y598" s="804">
        <f t="shared" si="269"/>
        <v>0</v>
      </c>
      <c r="Z598" s="804">
        <f t="shared" si="269"/>
        <v>0</v>
      </c>
      <c r="AA598" s="804">
        <f t="shared" si="269"/>
        <v>0</v>
      </c>
      <c r="AB598" s="804">
        <f t="shared" si="269"/>
        <v>0</v>
      </c>
      <c r="AC598" s="804">
        <f t="shared" si="269"/>
        <v>0</v>
      </c>
      <c r="AD598" s="804">
        <f t="shared" si="269"/>
        <v>0</v>
      </c>
      <c r="AE598" s="804">
        <f t="shared" si="269"/>
        <v>0</v>
      </c>
      <c r="AF598" s="804">
        <f t="shared" si="269"/>
        <v>0</v>
      </c>
      <c r="AG598" s="804">
        <f t="shared" si="269"/>
        <v>0</v>
      </c>
      <c r="AH598" s="804">
        <f t="shared" si="269"/>
        <v>0</v>
      </c>
      <c r="AI598" s="804">
        <f t="shared" si="269"/>
        <v>0</v>
      </c>
    </row>
    <row r="599" spans="2:35" ht="15.75" customHeight="1">
      <c r="B599" s="111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76"/>
      <c r="Q599" s="152"/>
      <c r="R599" s="152"/>
      <c r="S599" s="152"/>
      <c r="T599" s="152"/>
      <c r="U599" s="152"/>
      <c r="V599" s="152"/>
      <c r="W599" s="152"/>
      <c r="X599" s="152"/>
      <c r="Y599" s="152"/>
      <c r="Z599" s="152"/>
      <c r="AA599" s="152"/>
      <c r="AB599" s="152"/>
      <c r="AC599" s="152"/>
      <c r="AD599" s="152"/>
      <c r="AE599" s="152"/>
      <c r="AF599" s="152"/>
      <c r="AG599" s="152"/>
      <c r="AH599" s="152"/>
      <c r="AI599" s="152"/>
    </row>
    <row r="600" spans="2:35" ht="15.75" customHeight="1">
      <c r="B600" s="111"/>
      <c r="C600" s="544" t="s">
        <v>429</v>
      </c>
      <c r="D600" s="110"/>
      <c r="E600" s="110"/>
      <c r="F600" s="110"/>
      <c r="G600" s="80">
        <f>SUM(G596:G598)</f>
        <v>0</v>
      </c>
      <c r="H600" s="80">
        <f>SUM(H596:H598)</f>
        <v>0</v>
      </c>
      <c r="I600" s="80">
        <f>SUM(I596:I598)</f>
        <v>0</v>
      </c>
      <c r="J600" s="80">
        <f>SUM(J596:J598)</f>
        <v>0</v>
      </c>
      <c r="K600" s="80">
        <f>SUM(K596:K598)</f>
        <v>0</v>
      </c>
      <c r="L600" s="80">
        <v>0</v>
      </c>
      <c r="M600" s="80">
        <v>0</v>
      </c>
      <c r="N600" s="80">
        <f>SUM(N596:N598)</f>
        <v>0</v>
      </c>
      <c r="O600" s="80">
        <f>SUM(O596:O598)</f>
        <v>0</v>
      </c>
      <c r="P600" s="80">
        <f>SUM(P596:P598)</f>
        <v>0</v>
      </c>
      <c r="Q600" s="80">
        <f t="shared" ref="Q600:AI600" ca="1" si="270">SUM(Q596:Q598)</f>
        <v>0</v>
      </c>
      <c r="R600" s="80">
        <f t="shared" ca="1" si="270"/>
        <v>0</v>
      </c>
      <c r="S600" s="80">
        <f t="shared" ca="1" si="270"/>
        <v>0</v>
      </c>
      <c r="T600" s="80">
        <f t="shared" ca="1" si="270"/>
        <v>0</v>
      </c>
      <c r="U600" s="80">
        <f t="shared" ca="1" si="270"/>
        <v>0</v>
      </c>
      <c r="V600" s="80">
        <f t="shared" ca="1" si="270"/>
        <v>0</v>
      </c>
      <c r="W600" s="80">
        <f t="shared" ca="1" si="270"/>
        <v>0</v>
      </c>
      <c r="X600" s="80">
        <f t="shared" ca="1" si="270"/>
        <v>0</v>
      </c>
      <c r="Y600" s="80">
        <f t="shared" ca="1" si="270"/>
        <v>0</v>
      </c>
      <c r="Z600" s="80">
        <f t="shared" ca="1" si="270"/>
        <v>0</v>
      </c>
      <c r="AA600" s="80">
        <f t="shared" ca="1" si="270"/>
        <v>0</v>
      </c>
      <c r="AB600" s="80">
        <f t="shared" ca="1" si="270"/>
        <v>0</v>
      </c>
      <c r="AC600" s="80">
        <f t="shared" ca="1" si="270"/>
        <v>0</v>
      </c>
      <c r="AD600" s="80">
        <f t="shared" ca="1" si="270"/>
        <v>0</v>
      </c>
      <c r="AE600" s="80">
        <f t="shared" ca="1" si="270"/>
        <v>0</v>
      </c>
      <c r="AF600" s="80">
        <f t="shared" ca="1" si="270"/>
        <v>0</v>
      </c>
      <c r="AG600" s="80">
        <f t="shared" ca="1" si="270"/>
        <v>0</v>
      </c>
      <c r="AH600" s="80">
        <f t="shared" ca="1" si="270"/>
        <v>0</v>
      </c>
      <c r="AI600" s="80">
        <f t="shared" ca="1" si="270"/>
        <v>0</v>
      </c>
    </row>
    <row r="601" spans="2:35" ht="15.75" customHeight="1">
      <c r="B601" s="111"/>
      <c r="C601" s="102"/>
      <c r="D601" s="110"/>
      <c r="E601" s="110"/>
      <c r="F601" s="110"/>
      <c r="G601" s="114"/>
      <c r="H601" s="114"/>
      <c r="I601" s="114"/>
      <c r="J601" s="114"/>
      <c r="K601" s="114"/>
      <c r="L601" s="114"/>
      <c r="M601" s="114"/>
      <c r="N601" s="114"/>
      <c r="O601" s="76"/>
      <c r="Q601" s="152"/>
      <c r="R601" s="152"/>
      <c r="S601" s="152"/>
      <c r="T601" s="152"/>
      <c r="U601" s="152"/>
      <c r="V601" s="152"/>
      <c r="W601" s="152"/>
      <c r="X601" s="152"/>
      <c r="Y601" s="152"/>
      <c r="Z601" s="152"/>
      <c r="AA601" s="152"/>
      <c r="AB601" s="152"/>
      <c r="AC601" s="152"/>
      <c r="AD601" s="152"/>
      <c r="AE601" s="152"/>
      <c r="AF601" s="152"/>
      <c r="AG601" s="152"/>
      <c r="AH601" s="152"/>
      <c r="AI601" s="152"/>
    </row>
    <row r="602" spans="2:35" ht="15.75" customHeight="1">
      <c r="B602" s="111"/>
      <c r="C602" s="76" t="s">
        <v>430</v>
      </c>
      <c r="D602" s="110"/>
      <c r="E602" s="110"/>
      <c r="F602" s="110"/>
      <c r="G602" s="804">
        <f>(F582+G582)/2*G589</f>
        <v>0</v>
      </c>
      <c r="H602" s="804">
        <f>IF(G582&gt;0,(G582+H582)/2*H589,0)</f>
        <v>0</v>
      </c>
      <c r="I602" s="804">
        <f>IF(H582&gt;0,(H582+I582)/2*I589,0)</f>
        <v>0</v>
      </c>
      <c r="J602" s="804">
        <f t="shared" ref="J602:AI602" si="271">IF(I582&gt;0,(I582+J582)/2*J589,0)</f>
        <v>0</v>
      </c>
      <c r="K602" s="804">
        <f t="shared" si="271"/>
        <v>0</v>
      </c>
      <c r="L602" s="804">
        <f t="shared" si="271"/>
        <v>0</v>
      </c>
      <c r="M602" s="804">
        <f t="shared" ca="1" si="271"/>
        <v>0</v>
      </c>
      <c r="N602" s="804">
        <f t="shared" ca="1" si="271"/>
        <v>0</v>
      </c>
      <c r="O602" s="804">
        <f t="shared" ca="1" si="271"/>
        <v>0</v>
      </c>
      <c r="P602" s="804">
        <f t="shared" ca="1" si="271"/>
        <v>20051220.521823037</v>
      </c>
      <c r="Q602" s="804">
        <f t="shared" ca="1" si="271"/>
        <v>38458937.864366256</v>
      </c>
      <c r="R602" s="804">
        <f t="shared" ca="1" si="271"/>
        <v>55856364.038906604</v>
      </c>
      <c r="S602" s="804">
        <f t="shared" ca="1" si="271"/>
        <v>72530046.591368183</v>
      </c>
      <c r="T602" s="804">
        <f t="shared" ca="1" si="271"/>
        <v>90653444.233462706</v>
      </c>
      <c r="U602" s="804">
        <f t="shared" ca="1" si="271"/>
        <v>108513597.62312552</v>
      </c>
      <c r="V602" s="804">
        <f t="shared" ca="1" si="271"/>
        <v>125178081.68516052</v>
      </c>
      <c r="W602" s="804">
        <f t="shared" ca="1" si="271"/>
        <v>143494049.01832002</v>
      </c>
      <c r="X602" s="804">
        <f t="shared" ca="1" si="271"/>
        <v>162277321.40160707</v>
      </c>
      <c r="Y602" s="804">
        <f t="shared" ca="1" si="271"/>
        <v>180451088.52789465</v>
      </c>
      <c r="Z602" s="804">
        <f t="shared" ca="1" si="271"/>
        <v>200154878.13942036</v>
      </c>
      <c r="AA602" s="804">
        <f t="shared" ca="1" si="271"/>
        <v>220363091.97295919</v>
      </c>
      <c r="AB602" s="804">
        <f t="shared" ca="1" si="271"/>
        <v>239962427.94838521</v>
      </c>
      <c r="AC602" s="804">
        <f t="shared" ca="1" si="271"/>
        <v>261085297.44128746</v>
      </c>
      <c r="AD602" s="804">
        <f t="shared" ca="1" si="271"/>
        <v>282739157.61547142</v>
      </c>
      <c r="AE602" s="804">
        <f t="shared" ca="1" si="271"/>
        <v>303372509.17126042</v>
      </c>
      <c r="AF602" s="804">
        <f t="shared" ca="1" si="271"/>
        <v>324609692.06029624</v>
      </c>
      <c r="AG602" s="804">
        <f t="shared" ca="1" si="271"/>
        <v>346118156.6766448</v>
      </c>
      <c r="AH602" s="804">
        <f t="shared" ca="1" si="271"/>
        <v>367287914.24934769</v>
      </c>
      <c r="AI602" s="804">
        <f t="shared" ca="1" si="271"/>
        <v>389943371.96549428</v>
      </c>
    </row>
    <row r="603" spans="2:35" ht="15.75" customHeight="1">
      <c r="B603" s="111"/>
      <c r="C603" s="76" t="s">
        <v>494</v>
      </c>
      <c r="D603" s="110"/>
      <c r="E603" s="110"/>
      <c r="F603" s="110"/>
      <c r="G603" s="804">
        <f t="shared" ref="G603:O603" si="272">F603</f>
        <v>0</v>
      </c>
      <c r="H603" s="804">
        <f t="shared" si="272"/>
        <v>0</v>
      </c>
      <c r="I603" s="804">
        <f t="shared" si="272"/>
        <v>0</v>
      </c>
      <c r="J603" s="804">
        <f t="shared" si="272"/>
        <v>0</v>
      </c>
      <c r="K603" s="804">
        <f t="shared" si="272"/>
        <v>0</v>
      </c>
      <c r="L603" s="804">
        <f t="shared" si="272"/>
        <v>0</v>
      </c>
      <c r="M603" s="804">
        <f t="shared" si="272"/>
        <v>0</v>
      </c>
      <c r="N603" s="804">
        <f t="shared" si="272"/>
        <v>0</v>
      </c>
      <c r="O603" s="804">
        <f t="shared" si="272"/>
        <v>0</v>
      </c>
      <c r="P603" s="804">
        <f>O603</f>
        <v>0</v>
      </c>
      <c r="Q603" s="804">
        <f t="shared" ref="Q603:AI603" si="273">P603</f>
        <v>0</v>
      </c>
      <c r="R603" s="804">
        <f t="shared" si="273"/>
        <v>0</v>
      </c>
      <c r="S603" s="804">
        <f t="shared" si="273"/>
        <v>0</v>
      </c>
      <c r="T603" s="804">
        <f t="shared" si="273"/>
        <v>0</v>
      </c>
      <c r="U603" s="804">
        <f t="shared" si="273"/>
        <v>0</v>
      </c>
      <c r="V603" s="804">
        <f t="shared" si="273"/>
        <v>0</v>
      </c>
      <c r="W603" s="804">
        <f t="shared" si="273"/>
        <v>0</v>
      </c>
      <c r="X603" s="804">
        <f t="shared" si="273"/>
        <v>0</v>
      </c>
      <c r="Y603" s="804">
        <f t="shared" si="273"/>
        <v>0</v>
      </c>
      <c r="Z603" s="804">
        <f t="shared" si="273"/>
        <v>0</v>
      </c>
      <c r="AA603" s="804">
        <f t="shared" si="273"/>
        <v>0</v>
      </c>
      <c r="AB603" s="804">
        <f t="shared" si="273"/>
        <v>0</v>
      </c>
      <c r="AC603" s="804">
        <f t="shared" si="273"/>
        <v>0</v>
      </c>
      <c r="AD603" s="804">
        <f t="shared" si="273"/>
        <v>0</v>
      </c>
      <c r="AE603" s="804">
        <f t="shared" si="273"/>
        <v>0</v>
      </c>
      <c r="AF603" s="804">
        <f t="shared" si="273"/>
        <v>0</v>
      </c>
      <c r="AG603" s="804">
        <f t="shared" si="273"/>
        <v>0</v>
      </c>
      <c r="AH603" s="804">
        <f t="shared" si="273"/>
        <v>0</v>
      </c>
      <c r="AI603" s="804">
        <f t="shared" si="273"/>
        <v>0</v>
      </c>
    </row>
    <row r="604" spans="2:35" ht="15.75" customHeight="1">
      <c r="B604" s="111"/>
      <c r="C604" s="544" t="s">
        <v>495</v>
      </c>
      <c r="D604" s="110"/>
      <c r="E604" s="110"/>
      <c r="F604" s="110"/>
      <c r="G604" s="80">
        <f t="shared" ref="G604:O604" si="274">SUM(G602:G603)</f>
        <v>0</v>
      </c>
      <c r="H604" s="80">
        <f t="shared" si="274"/>
        <v>0</v>
      </c>
      <c r="I604" s="80">
        <f t="shared" si="274"/>
        <v>0</v>
      </c>
      <c r="J604" s="80">
        <f t="shared" si="274"/>
        <v>0</v>
      </c>
      <c r="K604" s="80">
        <f t="shared" si="274"/>
        <v>0</v>
      </c>
      <c r="L604" s="80">
        <f t="shared" si="274"/>
        <v>0</v>
      </c>
      <c r="M604" s="80">
        <f t="shared" ca="1" si="274"/>
        <v>0</v>
      </c>
      <c r="N604" s="80">
        <f t="shared" ca="1" si="274"/>
        <v>0</v>
      </c>
      <c r="O604" s="80">
        <f t="shared" ca="1" si="274"/>
        <v>0</v>
      </c>
      <c r="P604" s="80">
        <f ca="1">SUM(P602:P603)</f>
        <v>20051220.521823037</v>
      </c>
      <c r="Q604" s="80">
        <f t="shared" ref="Q604:AI604" ca="1" si="275">SUM(Q602:Q603)</f>
        <v>38458937.864366256</v>
      </c>
      <c r="R604" s="80">
        <f t="shared" ca="1" si="275"/>
        <v>55856364.038906604</v>
      </c>
      <c r="S604" s="80">
        <f t="shared" ca="1" si="275"/>
        <v>72530046.591368183</v>
      </c>
      <c r="T604" s="80">
        <f t="shared" ca="1" si="275"/>
        <v>90653444.233462706</v>
      </c>
      <c r="U604" s="80">
        <f t="shared" ca="1" si="275"/>
        <v>108513597.62312552</v>
      </c>
      <c r="V604" s="80">
        <f t="shared" ca="1" si="275"/>
        <v>125178081.68516052</v>
      </c>
      <c r="W604" s="80">
        <f t="shared" ca="1" si="275"/>
        <v>143494049.01832002</v>
      </c>
      <c r="X604" s="80">
        <f t="shared" ca="1" si="275"/>
        <v>162277321.40160707</v>
      </c>
      <c r="Y604" s="80">
        <f t="shared" ca="1" si="275"/>
        <v>180451088.52789465</v>
      </c>
      <c r="Z604" s="80">
        <f t="shared" ca="1" si="275"/>
        <v>200154878.13942036</v>
      </c>
      <c r="AA604" s="80">
        <f t="shared" ca="1" si="275"/>
        <v>220363091.97295919</v>
      </c>
      <c r="AB604" s="80">
        <f t="shared" ca="1" si="275"/>
        <v>239962427.94838521</v>
      </c>
      <c r="AC604" s="80">
        <f t="shared" ca="1" si="275"/>
        <v>261085297.44128746</v>
      </c>
      <c r="AD604" s="80">
        <f t="shared" ca="1" si="275"/>
        <v>282739157.61547142</v>
      </c>
      <c r="AE604" s="80">
        <f t="shared" ca="1" si="275"/>
        <v>303372509.17126042</v>
      </c>
      <c r="AF604" s="80">
        <f t="shared" ca="1" si="275"/>
        <v>324609692.06029624</v>
      </c>
      <c r="AG604" s="80">
        <f t="shared" ca="1" si="275"/>
        <v>346118156.6766448</v>
      </c>
      <c r="AH604" s="80">
        <f t="shared" ca="1" si="275"/>
        <v>367287914.24934769</v>
      </c>
      <c r="AI604" s="80">
        <f t="shared" ca="1" si="275"/>
        <v>389943371.96549428</v>
      </c>
    </row>
    <row r="605" spans="2:35" ht="15.75" customHeight="1">
      <c r="B605" s="111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76"/>
    </row>
    <row r="606" spans="2:35" ht="15.75" customHeight="1">
      <c r="B606" s="111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21"/>
      <c r="O606" s="76"/>
    </row>
    <row r="607" spans="2:35" ht="15.75" customHeight="1">
      <c r="B607" s="111"/>
      <c r="C607" s="102"/>
      <c r="D607" s="110"/>
      <c r="E607" s="110"/>
      <c r="F607" s="110"/>
      <c r="G607" s="110"/>
      <c r="H607" s="110"/>
      <c r="I607" s="110"/>
      <c r="J607" s="110"/>
      <c r="K607" s="110"/>
      <c r="L607" s="110"/>
      <c r="M607" s="114"/>
      <c r="N607" s="114"/>
      <c r="O607" s="76"/>
    </row>
    <row r="608" spans="2:35" s="81" customFormat="1">
      <c r="C608" s="545"/>
      <c r="P608" s="439"/>
    </row>
    <row r="609" spans="3:16" s="81" customFormat="1">
      <c r="C609" s="545"/>
      <c r="P609" s="439"/>
    </row>
    <row r="610" spans="3:16" s="81" customFormat="1">
      <c r="C610" s="545"/>
      <c r="P610" s="439"/>
    </row>
    <row r="611" spans="3:16" s="81" customFormat="1">
      <c r="C611" s="545"/>
      <c r="P611" s="439"/>
    </row>
    <row r="612" spans="3:16" s="81" customFormat="1">
      <c r="C612" s="545"/>
      <c r="P612" s="439"/>
    </row>
    <row r="613" spans="3:16" s="81" customFormat="1">
      <c r="C613" s="545"/>
      <c r="P613" s="439"/>
    </row>
    <row r="614" spans="3:16" s="81" customFormat="1">
      <c r="C614" s="545"/>
      <c r="P614" s="439"/>
    </row>
    <row r="615" spans="3:16" s="81" customFormat="1">
      <c r="C615" s="545"/>
      <c r="P615" s="439"/>
    </row>
    <row r="616" spans="3:16" s="81" customFormat="1">
      <c r="C616" s="545"/>
      <c r="P616" s="439"/>
    </row>
    <row r="617" spans="3:16" s="81" customFormat="1">
      <c r="C617" s="545"/>
      <c r="P617" s="439"/>
    </row>
    <row r="618" spans="3:16" s="81" customFormat="1">
      <c r="C618" s="545"/>
      <c r="P618" s="439"/>
    </row>
    <row r="619" spans="3:16" s="81" customFormat="1">
      <c r="C619" s="545"/>
      <c r="P619" s="439"/>
    </row>
    <row r="620" spans="3:16" s="81" customFormat="1">
      <c r="C620" s="545"/>
      <c r="P620" s="439"/>
    </row>
    <row r="621" spans="3:16" s="81" customFormat="1">
      <c r="C621" s="545"/>
      <c r="P621" s="439"/>
    </row>
    <row r="622" spans="3:16" s="81" customFormat="1">
      <c r="C622" s="545"/>
      <c r="P622" s="439"/>
    </row>
    <row r="623" spans="3:16" s="81" customFormat="1">
      <c r="C623" s="545"/>
      <c r="P623" s="439"/>
    </row>
    <row r="624" spans="3:16" s="81" customFormat="1">
      <c r="C624" s="545"/>
      <c r="P624" s="439"/>
    </row>
    <row r="625" spans="3:16" s="81" customFormat="1">
      <c r="C625" s="545"/>
      <c r="P625" s="439"/>
    </row>
    <row r="626" spans="3:16" s="81" customFormat="1">
      <c r="C626" s="545"/>
      <c r="P626" s="439"/>
    </row>
    <row r="627" spans="3:16" s="81" customFormat="1">
      <c r="C627" s="545"/>
      <c r="P627" s="439"/>
    </row>
    <row r="628" spans="3:16" s="81" customFormat="1">
      <c r="C628" s="545"/>
      <c r="P628" s="439"/>
    </row>
    <row r="629" spans="3:16" s="81" customFormat="1">
      <c r="C629" s="545"/>
      <c r="P629" s="439"/>
    </row>
    <row r="630" spans="3:16" s="81" customFormat="1">
      <c r="C630" s="545"/>
      <c r="P630" s="439"/>
    </row>
    <row r="631" spans="3:16" s="81" customFormat="1">
      <c r="C631" s="545"/>
      <c r="P631" s="439"/>
    </row>
    <row r="632" spans="3:16" s="81" customFormat="1">
      <c r="C632" s="545"/>
      <c r="P632" s="439"/>
    </row>
    <row r="633" spans="3:16" s="81" customFormat="1">
      <c r="C633" s="545"/>
      <c r="P633" s="439"/>
    </row>
    <row r="634" spans="3:16" s="81" customFormat="1">
      <c r="C634" s="545"/>
      <c r="P634" s="439"/>
    </row>
    <row r="635" spans="3:16" s="81" customFormat="1">
      <c r="C635" s="545"/>
      <c r="P635" s="439"/>
    </row>
    <row r="636" spans="3:16" s="81" customFormat="1">
      <c r="C636" s="545"/>
      <c r="P636" s="439"/>
    </row>
    <row r="637" spans="3:16" s="81" customFormat="1">
      <c r="C637" s="545"/>
      <c r="P637" s="439"/>
    </row>
    <row r="638" spans="3:16" s="81" customFormat="1">
      <c r="C638" s="545"/>
      <c r="P638" s="439"/>
    </row>
    <row r="639" spans="3:16" s="81" customFormat="1">
      <c r="C639" s="545"/>
      <c r="P639" s="439"/>
    </row>
    <row r="640" spans="3:16" s="81" customFormat="1">
      <c r="C640" s="545"/>
      <c r="P640" s="439"/>
    </row>
    <row r="641" spans="3:16" s="81" customFormat="1">
      <c r="C641" s="545"/>
      <c r="P641" s="439"/>
    </row>
    <row r="642" spans="3:16" s="81" customFormat="1">
      <c r="C642" s="545"/>
      <c r="P642" s="439"/>
    </row>
    <row r="643" spans="3:16" s="81" customFormat="1">
      <c r="C643" s="545"/>
      <c r="P643" s="439"/>
    </row>
    <row r="644" spans="3:16" s="81" customFormat="1">
      <c r="C644" s="545"/>
      <c r="P644" s="439"/>
    </row>
    <row r="645" spans="3:16" s="81" customFormat="1">
      <c r="C645" s="545"/>
      <c r="P645" s="439"/>
    </row>
    <row r="646" spans="3:16" s="81" customFormat="1">
      <c r="C646" s="545"/>
      <c r="P646" s="439"/>
    </row>
    <row r="647" spans="3:16" s="81" customFormat="1">
      <c r="C647" s="545"/>
      <c r="P647" s="439"/>
    </row>
    <row r="648" spans="3:16" s="81" customFormat="1">
      <c r="C648" s="545"/>
      <c r="P648" s="439"/>
    </row>
    <row r="649" spans="3:16" s="81" customFormat="1">
      <c r="C649" s="545"/>
      <c r="P649" s="439"/>
    </row>
    <row r="650" spans="3:16" s="81" customFormat="1">
      <c r="C650" s="545"/>
      <c r="P650" s="439"/>
    </row>
    <row r="651" spans="3:16" s="81" customFormat="1">
      <c r="C651" s="545"/>
      <c r="P651" s="439"/>
    </row>
    <row r="652" spans="3:16" s="81" customFormat="1">
      <c r="C652" s="545"/>
      <c r="P652" s="439"/>
    </row>
    <row r="653" spans="3:16" s="81" customFormat="1">
      <c r="C653" s="545"/>
      <c r="P653" s="439"/>
    </row>
    <row r="654" spans="3:16" s="81" customFormat="1">
      <c r="C654" s="545"/>
      <c r="P654" s="439"/>
    </row>
    <row r="655" spans="3:16" s="81" customFormat="1">
      <c r="C655" s="545"/>
      <c r="P655" s="439"/>
    </row>
    <row r="656" spans="3:16" s="81" customFormat="1">
      <c r="C656" s="545"/>
      <c r="P656" s="439"/>
    </row>
    <row r="657" spans="3:16" s="81" customFormat="1">
      <c r="C657" s="545"/>
      <c r="P657" s="439"/>
    </row>
    <row r="658" spans="3:16" s="81" customFormat="1">
      <c r="C658" s="545"/>
      <c r="P658" s="439"/>
    </row>
    <row r="659" spans="3:16" s="81" customFormat="1">
      <c r="C659" s="545"/>
      <c r="P659" s="439"/>
    </row>
    <row r="660" spans="3:16" s="81" customFormat="1">
      <c r="C660" s="545"/>
      <c r="P660" s="439"/>
    </row>
    <row r="661" spans="3:16" s="81" customFormat="1">
      <c r="C661" s="545"/>
      <c r="P661" s="439"/>
    </row>
    <row r="662" spans="3:16" s="81" customFormat="1">
      <c r="C662" s="545"/>
      <c r="P662" s="439"/>
    </row>
    <row r="663" spans="3:16" s="81" customFormat="1">
      <c r="C663" s="545"/>
      <c r="P663" s="439"/>
    </row>
    <row r="664" spans="3:16" s="81" customFormat="1">
      <c r="C664" s="545"/>
      <c r="P664" s="439"/>
    </row>
    <row r="665" spans="3:16" s="81" customFormat="1">
      <c r="C665" s="545"/>
      <c r="P665" s="439"/>
    </row>
    <row r="666" spans="3:16" s="81" customFormat="1">
      <c r="C666" s="545"/>
      <c r="P666" s="439"/>
    </row>
    <row r="667" spans="3:16" s="81" customFormat="1">
      <c r="C667" s="545"/>
      <c r="P667" s="439"/>
    </row>
    <row r="668" spans="3:16" s="81" customFormat="1">
      <c r="C668" s="545"/>
      <c r="P668" s="439"/>
    </row>
    <row r="669" spans="3:16" s="81" customFormat="1">
      <c r="C669" s="545"/>
      <c r="P669" s="439"/>
    </row>
    <row r="670" spans="3:16" s="81" customFormat="1">
      <c r="C670" s="545"/>
      <c r="P670" s="439"/>
    </row>
    <row r="671" spans="3:16" s="81" customFormat="1">
      <c r="C671" s="545"/>
      <c r="P671" s="439"/>
    </row>
    <row r="672" spans="3:16" s="81" customFormat="1">
      <c r="C672" s="545"/>
      <c r="P672" s="439"/>
    </row>
    <row r="673" spans="3:16" s="81" customFormat="1">
      <c r="C673" s="545"/>
      <c r="P673" s="439"/>
    </row>
    <row r="674" spans="3:16" s="81" customFormat="1">
      <c r="C674" s="545"/>
      <c r="P674" s="439"/>
    </row>
    <row r="675" spans="3:16" s="81" customFormat="1">
      <c r="C675" s="545"/>
      <c r="P675" s="439"/>
    </row>
    <row r="676" spans="3:16" s="81" customFormat="1">
      <c r="C676" s="545"/>
      <c r="P676" s="439"/>
    </row>
    <row r="677" spans="3:16" s="81" customFormat="1">
      <c r="C677" s="545"/>
      <c r="P677" s="439"/>
    </row>
    <row r="678" spans="3:16" s="81" customFormat="1">
      <c r="C678" s="545"/>
      <c r="P678" s="439"/>
    </row>
  </sheetData>
  <mergeCells count="17">
    <mergeCell ref="H390:N390"/>
    <mergeCell ref="H396:N396"/>
    <mergeCell ref="H401:N401"/>
    <mergeCell ref="H407:N407"/>
    <mergeCell ref="H412:N412"/>
    <mergeCell ref="H385:N385"/>
    <mergeCell ref="I32:N32"/>
    <mergeCell ref="I36:N36"/>
    <mergeCell ref="I45:N45"/>
    <mergeCell ref="I49:N49"/>
    <mergeCell ref="I53:N53"/>
    <mergeCell ref="I57:N57"/>
    <mergeCell ref="I61:N61"/>
    <mergeCell ref="I65:N65"/>
    <mergeCell ref="H369:N369"/>
    <mergeCell ref="H374:N374"/>
    <mergeCell ref="H379:N379"/>
  </mergeCells>
  <printOptions horizontalCentered="1"/>
  <pageMargins left="0.35433070866141736" right="0.35433070866141736" top="0.62992125984251968" bottom="0.35433070866141736" header="0.51181102362204722" footer="0.23622047244094491"/>
  <pageSetup paperSize="9" scale="80" fitToHeight="14" orientation="portrait" r:id="rId1"/>
  <headerFooter alignWithMargins="0"/>
  <rowBreaks count="4" manualBreakCount="4">
    <brk id="177" min="1" max="17" man="1"/>
    <brk id="306" min="1" max="17" man="1"/>
    <brk id="420" min="1" max="17" man="1"/>
    <brk id="466" min="1" max="17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14"/>
  <sheetViews>
    <sheetView topLeftCell="B1" zoomScaleNormal="100" zoomScalePageLayoutView="125" workbookViewId="0">
      <selection activeCell="F13" sqref="F13"/>
    </sheetView>
  </sheetViews>
  <sheetFormatPr defaultColWidth="10.42578125" defaultRowHeight="12.75"/>
  <cols>
    <col min="1" max="1" width="2.28515625" style="443" customWidth="1"/>
    <col min="2" max="2" width="43" style="442" bestFit="1" customWidth="1"/>
    <col min="3" max="4" width="12.7109375" style="442" customWidth="1"/>
    <col min="5" max="5" width="14.85546875" style="442" bestFit="1" customWidth="1"/>
    <col min="6" max="6" width="15.42578125" style="442" bestFit="1" customWidth="1"/>
    <col min="7" max="16384" width="10.42578125" style="442"/>
  </cols>
  <sheetData>
    <row r="1" spans="1:6" ht="13.5">
      <c r="B1" s="1988"/>
      <c r="C1" s="1989"/>
      <c r="D1" s="1989"/>
      <c r="E1" s="1189"/>
    </row>
    <row r="2" spans="1:6" ht="36" customHeight="1">
      <c r="B2" s="1988" t="s">
        <v>715</v>
      </c>
      <c r="C2" s="1989"/>
      <c r="D2" s="1989"/>
      <c r="E2" s="1189"/>
    </row>
    <row r="3" spans="1:6">
      <c r="B3" s="1991" t="s">
        <v>369</v>
      </c>
      <c r="C3" s="1990"/>
      <c r="D3" s="1990"/>
      <c r="E3" s="1990"/>
      <c r="F3" s="1990"/>
    </row>
    <row r="4" spans="1:6">
      <c r="B4" s="1991"/>
      <c r="C4" s="458"/>
      <c r="D4" s="458"/>
      <c r="E4" s="458"/>
      <c r="F4" s="458" t="s">
        <v>716</v>
      </c>
    </row>
    <row r="5" spans="1:6">
      <c r="B5" s="459" t="s">
        <v>702</v>
      </c>
      <c r="C5" s="458" t="s">
        <v>2061</v>
      </c>
      <c r="D5" s="458" t="s">
        <v>2062</v>
      </c>
      <c r="E5" s="458" t="s">
        <v>2063</v>
      </c>
      <c r="F5" s="458"/>
    </row>
    <row r="6" spans="1:6">
      <c r="B6" s="753"/>
      <c r="C6" s="1987"/>
      <c r="D6" s="1987"/>
      <c r="E6" s="1185"/>
      <c r="F6" s="754"/>
    </row>
    <row r="7" spans="1:6" s="455" customFormat="1">
      <c r="A7" s="454"/>
      <c r="B7" s="751" t="s">
        <v>712</v>
      </c>
      <c r="C7" s="847">
        <f>-(50500000+C12-18000000)</f>
        <v>-27476000</v>
      </c>
      <c r="D7" s="847">
        <f>-2571842</f>
        <v>-2571842</v>
      </c>
      <c r="E7" s="847"/>
      <c r="F7" s="755">
        <f t="shared" ref="F7:F12" si="0">SUM(C7:E7)</f>
        <v>-30047842</v>
      </c>
    </row>
    <row r="8" spans="1:6" s="457" customFormat="1">
      <c r="A8" s="456"/>
      <c r="B8" s="751" t="s">
        <v>713</v>
      </c>
      <c r="C8" s="756"/>
      <c r="D8" s="756">
        <f>-3421917</f>
        <v>-3421917</v>
      </c>
      <c r="E8" s="756">
        <v>-10990000</v>
      </c>
      <c r="F8" s="755">
        <f t="shared" si="0"/>
        <v>-14411917</v>
      </c>
    </row>
    <row r="9" spans="1:6" s="457" customFormat="1">
      <c r="A9" s="456"/>
      <c r="B9" s="751" t="s">
        <v>1877</v>
      </c>
      <c r="C9" s="756"/>
      <c r="D9" s="756">
        <f>-317065</f>
        <v>-317065</v>
      </c>
      <c r="E9" s="756">
        <v>-8575871.3333333321</v>
      </c>
      <c r="F9" s="755">
        <f t="shared" si="0"/>
        <v>-8892936.3333333321</v>
      </c>
    </row>
    <row r="10" spans="1:6" s="457" customFormat="1">
      <c r="A10" s="456"/>
      <c r="B10" s="751" t="s">
        <v>714</v>
      </c>
      <c r="C10" s="756"/>
      <c r="D10" s="756"/>
      <c r="E10" s="756"/>
      <c r="F10" s="755">
        <f t="shared" si="0"/>
        <v>0</v>
      </c>
    </row>
    <row r="11" spans="1:6" s="457" customFormat="1">
      <c r="A11" s="456"/>
      <c r="B11" s="751" t="s">
        <v>747</v>
      </c>
      <c r="C11" s="756">
        <f>-9000000+9000000</f>
        <v>0</v>
      </c>
      <c r="D11" s="756">
        <f>-611486</f>
        <v>-611486</v>
      </c>
      <c r="E11" s="756">
        <v>-254557.33333333334</v>
      </c>
      <c r="F11" s="755">
        <f t="shared" si="0"/>
        <v>-866043.33333333337</v>
      </c>
    </row>
    <row r="12" spans="1:6" s="457" customFormat="1">
      <c r="A12" s="456"/>
      <c r="B12" s="751" t="s">
        <v>719</v>
      </c>
      <c r="C12" s="756">
        <f>-5024000</f>
        <v>-5024000</v>
      </c>
      <c r="D12" s="756">
        <f>10000000-10000000</f>
        <v>0</v>
      </c>
      <c r="E12" s="756">
        <f>10000000-10000000</f>
        <v>0</v>
      </c>
      <c r="F12" s="755">
        <f t="shared" si="0"/>
        <v>-5024000</v>
      </c>
    </row>
    <row r="13" spans="1:6" s="457" customFormat="1">
      <c r="A13" s="456"/>
      <c r="B13" s="750"/>
      <c r="C13" s="752">
        <f>SUM(C7:C12)</f>
        <v>-32500000</v>
      </c>
      <c r="D13" s="752">
        <f>SUM(D7:D12)</f>
        <v>-6922310</v>
      </c>
      <c r="E13" s="1566">
        <v>-2582631.333333333</v>
      </c>
      <c r="F13" s="752">
        <f>SUM(F7:F12)</f>
        <v>-59242738.666666664</v>
      </c>
    </row>
    <row r="14" spans="1:6" s="457" customFormat="1">
      <c r="A14" s="456"/>
      <c r="B14" s="455"/>
      <c r="C14" s="455"/>
      <c r="D14" s="455"/>
      <c r="E14" s="455"/>
      <c r="F14" s="455"/>
    </row>
  </sheetData>
  <mergeCells count="6">
    <mergeCell ref="C6:D6"/>
    <mergeCell ref="B1:D1"/>
    <mergeCell ref="E3:F3"/>
    <mergeCell ref="B2:D2"/>
    <mergeCell ref="B3:B4"/>
    <mergeCell ref="C3:D3"/>
  </mergeCells>
  <pageMargins left="0.18" right="0.5" top="1" bottom="1" header="0.5" footer="0.5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AV584"/>
  <sheetViews>
    <sheetView zoomScale="85" zoomScaleNormal="85" zoomScaleSheetLayoutView="80" workbookViewId="0">
      <pane xSplit="3" ySplit="4" topLeftCell="D5" activePane="bottomRight" state="frozen"/>
      <selection activeCell="P18" sqref="P18"/>
      <selection pane="topRight" activeCell="P18" sqref="P18"/>
      <selection pane="bottomLeft" activeCell="P18" sqref="P18"/>
      <selection pane="bottomRight" activeCell="J593" sqref="J593"/>
    </sheetView>
  </sheetViews>
  <sheetFormatPr defaultRowHeight="12.75" outlineLevelRow="1" outlineLevelCol="1"/>
  <cols>
    <col min="1" max="1" width="3.28515625" style="460" hidden="1" customWidth="1" outlineLevel="1"/>
    <col min="2" max="2" width="2.85546875" style="75" hidden="1" customWidth="1" outlineLevel="1"/>
    <col min="3" max="3" width="32.85546875" style="460" customWidth="1" collapsed="1"/>
    <col min="4" max="4" width="12.7109375" style="75" hidden="1" customWidth="1" outlineLevel="1"/>
    <col min="5" max="5" width="5.28515625" style="463" hidden="1" customWidth="1" outlineLevel="1"/>
    <col min="6" max="6" width="13.42578125" style="81" bestFit="1" customWidth="1" collapsed="1"/>
    <col min="7" max="8" width="14.28515625" style="81" bestFit="1" customWidth="1"/>
    <col min="9" max="13" width="17.85546875" style="81" customWidth="1"/>
    <col min="14" max="48" width="11.7109375" style="75" customWidth="1"/>
    <col min="49" max="16384" width="9.140625" style="75"/>
  </cols>
  <sheetData>
    <row r="1" spans="1:48" ht="36.75" customHeight="1">
      <c r="C1" s="462" t="s">
        <v>891</v>
      </c>
      <c r="I1" s="715"/>
      <c r="J1" s="715"/>
      <c r="K1" s="715"/>
      <c r="L1" s="715"/>
    </row>
    <row r="2" spans="1:48" ht="15.75" customHeight="1">
      <c r="B2" s="91"/>
      <c r="C2" s="546"/>
      <c r="D2" s="546"/>
      <c r="E2" s="547"/>
      <c r="F2" s="136">
        <v>0</v>
      </c>
      <c r="G2" s="136">
        <f>F2+1</f>
        <v>1</v>
      </c>
      <c r="H2" s="136">
        <f>G2+1</f>
        <v>2</v>
      </c>
      <c r="I2" s="136">
        <f>H2+1</f>
        <v>3</v>
      </c>
      <c r="J2" s="136"/>
      <c r="K2" s="136"/>
      <c r="L2" s="136" t="s">
        <v>2012</v>
      </c>
      <c r="M2" s="136">
        <f>I2+1</f>
        <v>4</v>
      </c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</row>
    <row r="3" spans="1:48" ht="15.75" customHeight="1">
      <c r="B3" s="1671"/>
      <c r="C3" s="1671" t="s">
        <v>889</v>
      </c>
      <c r="D3" s="548"/>
      <c r="E3" s="470"/>
      <c r="F3" s="93"/>
      <c r="G3" s="93"/>
      <c r="H3" s="93"/>
      <c r="I3" s="93"/>
      <c r="J3" s="93" t="s">
        <v>2092</v>
      </c>
      <c r="K3" s="93" t="s">
        <v>2093</v>
      </c>
      <c r="L3" s="93"/>
      <c r="M3" s="93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</row>
    <row r="4" spans="1:48" ht="15.75" customHeight="1">
      <c r="B4" s="91"/>
      <c r="C4" s="471"/>
      <c r="D4" s="471"/>
      <c r="E4" s="473"/>
      <c r="F4" s="94" t="s">
        <v>499</v>
      </c>
      <c r="G4" s="94" t="s">
        <v>499</v>
      </c>
      <c r="H4" s="94" t="s">
        <v>499</v>
      </c>
      <c r="I4" s="94" t="s">
        <v>499</v>
      </c>
      <c r="J4" s="94"/>
      <c r="K4" s="94"/>
      <c r="L4" s="94" t="s">
        <v>499</v>
      </c>
      <c r="M4" s="94" t="s">
        <v>499</v>
      </c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</row>
    <row r="5" spans="1:48" ht="15.75" customHeight="1">
      <c r="B5" s="159"/>
      <c r="C5" s="1671"/>
      <c r="E5" s="487"/>
      <c r="F5" s="87"/>
      <c r="G5" s="434"/>
      <c r="H5" s="434"/>
      <c r="I5" s="434"/>
      <c r="J5" s="434"/>
      <c r="K5" s="434"/>
      <c r="L5" s="434"/>
      <c r="M5" s="434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</row>
    <row r="6" spans="1:48" ht="15.75" customHeight="1">
      <c r="A6" s="460">
        <v>1</v>
      </c>
      <c r="B6" s="88" t="s">
        <v>522</v>
      </c>
      <c r="C6" s="110" t="s">
        <v>183</v>
      </c>
      <c r="D6" s="114"/>
      <c r="E6" s="88"/>
      <c r="F6" s="82"/>
      <c r="G6" s="82">
        <v>3334363</v>
      </c>
      <c r="H6" s="82">
        <f>SUMIF($C$54:$C$583,$C6,H$54:H$583)</f>
        <v>9550079</v>
      </c>
      <c r="I6" s="82">
        <f t="shared" ref="H6:M7" si="0">SUMIF($C$54:$C$583,$C6,I$54:I$583)</f>
        <v>230118750</v>
      </c>
      <c r="J6" s="82">
        <f t="shared" si="0"/>
        <v>0</v>
      </c>
      <c r="K6" s="82">
        <f t="shared" si="0"/>
        <v>48600000</v>
      </c>
      <c r="L6" s="82">
        <f t="shared" si="0"/>
        <v>48600000</v>
      </c>
      <c r="M6" s="82">
        <f t="shared" si="0"/>
        <v>0</v>
      </c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</row>
    <row r="7" spans="1:48" ht="15.75" customHeight="1">
      <c r="A7" s="460">
        <v>3</v>
      </c>
      <c r="B7" s="88" t="s">
        <v>523</v>
      </c>
      <c r="C7" s="110" t="s">
        <v>191</v>
      </c>
      <c r="D7" s="114"/>
      <c r="E7" s="88"/>
      <c r="F7" s="82"/>
      <c r="G7" s="82">
        <v>-3534614</v>
      </c>
      <c r="H7" s="82">
        <f t="shared" si="0"/>
        <v>-17915979</v>
      </c>
      <c r="I7" s="82">
        <f t="shared" si="0"/>
        <v>-189168000</v>
      </c>
      <c r="J7" s="82">
        <f t="shared" si="0"/>
        <v>0</v>
      </c>
      <c r="K7" s="82">
        <f t="shared" si="0"/>
        <v>-35400000</v>
      </c>
      <c r="L7" s="82">
        <f t="shared" si="0"/>
        <v>-35400000</v>
      </c>
      <c r="M7" s="82">
        <f t="shared" si="0"/>
        <v>0</v>
      </c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</row>
    <row r="8" spans="1:48" ht="15.75" customHeight="1">
      <c r="A8" s="460">
        <v>5</v>
      </c>
      <c r="B8" s="88" t="s">
        <v>523</v>
      </c>
      <c r="C8" s="110" t="s">
        <v>15</v>
      </c>
      <c r="D8" s="100"/>
      <c r="E8" s="88"/>
      <c r="F8" s="79"/>
      <c r="G8" s="82"/>
      <c r="H8" s="79">
        <f>SUMIF($C$54:$C$583,$C8,H$54:H$583)</f>
        <v>-5707879</v>
      </c>
      <c r="I8" s="79">
        <f>-3314845</f>
        <v>-3314845</v>
      </c>
      <c r="J8" s="79">
        <f>-3314845/2</f>
        <v>-1657422.5</v>
      </c>
      <c r="K8" s="79">
        <f>-3314845/2</f>
        <v>-1657422.5</v>
      </c>
      <c r="L8" s="79">
        <f>-3314845</f>
        <v>-3314845</v>
      </c>
      <c r="M8" s="79">
        <v>0</v>
      </c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</row>
    <row r="9" spans="1:48" ht="15.75" customHeight="1">
      <c r="B9" s="88" t="s">
        <v>524</v>
      </c>
      <c r="C9" s="110" t="s">
        <v>363</v>
      </c>
      <c r="D9" s="114"/>
      <c r="E9" s="88"/>
      <c r="F9" s="79"/>
      <c r="G9" s="82">
        <f>G6+G7</f>
        <v>-200251</v>
      </c>
      <c r="H9" s="79">
        <f>SUMIF($C$54:$C$583,$C9,H$54:H$583)</f>
        <v>-14073779</v>
      </c>
      <c r="I9" s="79">
        <f>SUMIF($C$54:$C$583,$C9,I$54:I$583)+I8</f>
        <v>37635905</v>
      </c>
      <c r="J9" s="79">
        <f>SUMIF($C$54:$C$583,$C9,J$54:J$583)+J8</f>
        <v>-1657422.5</v>
      </c>
      <c r="K9" s="79">
        <f>SUMIF($C$54:$C$583,$C9,K$54:K$583)+K8</f>
        <v>11542577.5</v>
      </c>
      <c r="L9" s="79">
        <f>SUMIF($C$54:$C$583,$C9,L$54:L$583)+L8</f>
        <v>9885155</v>
      </c>
      <c r="M9" s="79">
        <f>SUMIF($C$54:$C$583,$C9,M$54:M$583)</f>
        <v>0</v>
      </c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</row>
    <row r="10" spans="1:48" ht="15.75" customHeight="1">
      <c r="A10" s="460">
        <v>8</v>
      </c>
      <c r="B10" s="88" t="s">
        <v>523</v>
      </c>
      <c r="C10" s="482" t="s">
        <v>194</v>
      </c>
      <c r="D10" s="114"/>
      <c r="E10" s="88"/>
      <c r="F10" s="79"/>
      <c r="G10" s="82" t="s">
        <v>1751</v>
      </c>
      <c r="H10" s="82">
        <f t="shared" ref="H10:M12" si="1">SUMIF($C$54:$C$583,$C10,H$54:H$583)</f>
        <v>0</v>
      </c>
      <c r="I10" s="82">
        <f t="shared" si="1"/>
        <v>0</v>
      </c>
      <c r="J10" s="82">
        <f t="shared" si="1"/>
        <v>0</v>
      </c>
      <c r="K10" s="82">
        <f t="shared" si="1"/>
        <v>0</v>
      </c>
      <c r="L10" s="82">
        <f t="shared" si="1"/>
        <v>0</v>
      </c>
      <c r="M10" s="82">
        <f t="shared" si="1"/>
        <v>0</v>
      </c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</row>
    <row r="11" spans="1:48" ht="15.75" customHeight="1">
      <c r="A11" s="460">
        <v>9</v>
      </c>
      <c r="B11" s="88" t="s">
        <v>525</v>
      </c>
      <c r="C11" s="482" t="s">
        <v>187</v>
      </c>
      <c r="D11" s="114"/>
      <c r="E11" s="88"/>
      <c r="F11" s="79"/>
      <c r="G11" s="82">
        <v>110244</v>
      </c>
      <c r="H11" s="82">
        <f t="shared" si="1"/>
        <v>0</v>
      </c>
      <c r="I11" s="82">
        <f t="shared" si="1"/>
        <v>0</v>
      </c>
      <c r="J11" s="82">
        <f t="shared" si="1"/>
        <v>0</v>
      </c>
      <c r="K11" s="82">
        <f t="shared" si="1"/>
        <v>0</v>
      </c>
      <c r="L11" s="82">
        <f t="shared" si="1"/>
        <v>0</v>
      </c>
      <c r="M11" s="82">
        <f t="shared" si="1"/>
        <v>0</v>
      </c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</row>
    <row r="12" spans="1:48" ht="15.75" customHeight="1">
      <c r="A12" s="460">
        <v>4</v>
      </c>
      <c r="B12" s="88"/>
      <c r="C12" s="356" t="s">
        <v>195</v>
      </c>
      <c r="D12" s="114"/>
      <c r="E12" s="88"/>
      <c r="F12" s="79"/>
      <c r="G12" s="82">
        <v>-396431</v>
      </c>
      <c r="H12" s="82">
        <f t="shared" si="1"/>
        <v>0</v>
      </c>
      <c r="I12" s="82">
        <f t="shared" si="1"/>
        <v>0</v>
      </c>
      <c r="J12" s="82">
        <f t="shared" si="1"/>
        <v>0</v>
      </c>
      <c r="K12" s="82">
        <f t="shared" si="1"/>
        <v>0</v>
      </c>
      <c r="L12" s="82">
        <f t="shared" si="1"/>
        <v>0</v>
      </c>
      <c r="M12" s="82">
        <f t="shared" si="1"/>
        <v>0</v>
      </c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</row>
    <row r="13" spans="1:48" ht="15.75" customHeight="1">
      <c r="B13" s="88" t="s">
        <v>524</v>
      </c>
      <c r="C13" s="110" t="s">
        <v>188</v>
      </c>
      <c r="D13" s="114"/>
      <c r="E13" s="88"/>
      <c r="F13" s="79"/>
      <c r="G13" s="82">
        <f>SUM(G9:G12)</f>
        <v>-486438</v>
      </c>
      <c r="H13" s="79">
        <f>SUMIF($C$54:$C$583,$C13,H$54:H$583)</f>
        <v>-14073779</v>
      </c>
      <c r="I13" s="79">
        <f>SUMIF($C$54:$C$583,$C13,I$54:I$583)+I8</f>
        <v>37635905</v>
      </c>
      <c r="J13" s="79">
        <f>SUMIF($C$54:$C$583,$C13,J$54:J$583)+J8</f>
        <v>-1657422.5</v>
      </c>
      <c r="K13" s="79">
        <f>SUMIF($C$54:$C$583,$C13,K$54:K$583)+K8</f>
        <v>11542577.5</v>
      </c>
      <c r="L13" s="79">
        <f>SUMIF($C$54:$C$583,$C13,L$54:L$583)+L8</f>
        <v>9885155</v>
      </c>
      <c r="M13" s="79">
        <f>SUMIF($C$54:$C$583,$C13,M$54:M$583)+M8</f>
        <v>0</v>
      </c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</row>
    <row r="14" spans="1:48" ht="15.75" customHeight="1">
      <c r="A14" s="460">
        <v>10</v>
      </c>
      <c r="B14" s="88" t="s">
        <v>523</v>
      </c>
      <c r="C14" s="110" t="s">
        <v>189</v>
      </c>
      <c r="D14" s="100"/>
      <c r="E14" s="88"/>
      <c r="F14" s="79"/>
      <c r="G14" s="82">
        <v>-17819</v>
      </c>
      <c r="H14" s="82">
        <f>SUMIF($C$54:$C$583,$C14,H$54:H$583)</f>
        <v>0</v>
      </c>
      <c r="I14" s="82">
        <f>SUMIF($C$54:$C$583,$C14,I$54:I$583)</f>
        <v>-14752762.5</v>
      </c>
      <c r="J14" s="82">
        <f>SUMIF($C$54:$C$583,$C14,J$54:J$583)</f>
        <v>0</v>
      </c>
      <c r="K14" s="82">
        <f>SUMIF($C$54:$C$583,$C14,K$54:K$583)</f>
        <v>-4620000</v>
      </c>
      <c r="L14" s="82">
        <f>SUMIF($C$54:$C$583,$C14,L$54:L$583)</f>
        <v>-4620000</v>
      </c>
      <c r="M14" s="82">
        <f>SUMIF($C$54:$C$583,$C14,M$54:M$583)</f>
        <v>0</v>
      </c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</row>
    <row r="15" spans="1:48" ht="15.75" customHeight="1">
      <c r="B15" s="88" t="s">
        <v>524</v>
      </c>
      <c r="C15" s="472" t="s">
        <v>190</v>
      </c>
      <c r="D15" s="497"/>
      <c r="E15" s="498"/>
      <c r="F15" s="150"/>
      <c r="G15" s="150">
        <f>G13+G14</f>
        <v>-504257</v>
      </c>
      <c r="H15" s="150">
        <f>SUMIF($C$54:$C$583,$C15,H$54:H$583)</f>
        <v>-14073779</v>
      </c>
      <c r="I15" s="150">
        <f>SUMIF($C$54:$C$583,$C15,I$54:I$583)+I8</f>
        <v>22883142.5</v>
      </c>
      <c r="J15" s="150">
        <f>SUMIF($C$54:$C$583,$C15,J$54:J$583)+J8</f>
        <v>-1657422.5</v>
      </c>
      <c r="K15" s="150">
        <f>SUMIF($C$54:$C$583,$C15,K$54:K$583)+K8</f>
        <v>6922577.5</v>
      </c>
      <c r="L15" s="150">
        <f>SUMIF($C$54:$C$583,$C15,L$54:L$583)+L8</f>
        <v>5265155</v>
      </c>
      <c r="M15" s="150">
        <f>SUMIF($C$54:$C$583,$C15,M$54:M$583)+M8</f>
        <v>0</v>
      </c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</row>
    <row r="16" spans="1:48" s="1000" customFormat="1" ht="15.75" customHeight="1">
      <c r="A16" s="1672"/>
      <c r="B16" s="1673"/>
      <c r="C16" s="1674"/>
      <c r="D16" s="999"/>
      <c r="E16" s="1673"/>
      <c r="F16" s="1675">
        <f>F159+F256+F353+F449+F545</f>
        <v>0</v>
      </c>
      <c r="G16" s="1675">
        <f>IF(G15=G159+G256+G353+G449+G545,"ok",G159+G256+G353+G449+G545)</f>
        <v>0</v>
      </c>
      <c r="H16" s="1675" t="str">
        <f>IF(H15=H159+H256+H353+H449+H545,"ok",H159+H256+H353+H449+H545)</f>
        <v>ok</v>
      </c>
      <c r="I16" s="1675" t="str">
        <f>IF(I15=I159+I256+I353+I449+I545+I8,"ok",I159+I256+I353+I449+I545+I8)</f>
        <v>ok</v>
      </c>
      <c r="J16" s="1675" t="str">
        <f>IF(J15=J159+J256+J353+J449+J545+J8,"ok",J159+J256+J353+J449+J545+J8)</f>
        <v>ok</v>
      </c>
      <c r="K16" s="1675" t="str">
        <f>IF(K15=K159+K256+K353+K449+K545+K8,"ok",K159+K256+K353+K449+K545+K8)</f>
        <v>ok</v>
      </c>
      <c r="L16" s="1675" t="str">
        <f>IF(L15=L159+L256+L353+L449+L545+L8,"ok",L159+L256+L353+L449+L545+L8)</f>
        <v>ok</v>
      </c>
      <c r="M16" s="1675" t="str">
        <f>IF(M15=M159+M256+M353+M449+M545+M8,"ok",M159+M256+M353+M449+M545+M8)</f>
        <v>ok</v>
      </c>
      <c r="N16" s="999"/>
      <c r="O16" s="999"/>
      <c r="P16" s="999"/>
      <c r="Q16" s="999"/>
      <c r="R16" s="999"/>
      <c r="S16" s="999"/>
      <c r="T16" s="999"/>
      <c r="U16" s="999"/>
      <c r="V16" s="999"/>
      <c r="W16" s="999"/>
      <c r="X16" s="999"/>
      <c r="Y16" s="999"/>
      <c r="Z16" s="999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</row>
    <row r="17" spans="1:48" ht="15.75" customHeight="1">
      <c r="B17" s="111"/>
      <c r="C17" s="1671"/>
      <c r="F17" s="435"/>
      <c r="G17" s="435"/>
      <c r="H17" s="435"/>
      <c r="I17" s="435"/>
      <c r="J17" s="435"/>
      <c r="K17" s="435"/>
      <c r="L17" s="435"/>
      <c r="M17" s="435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</row>
    <row r="18" spans="1:48" ht="15.75" customHeight="1">
      <c r="B18" s="76"/>
      <c r="C18" s="501"/>
      <c r="D18" s="106"/>
      <c r="E18" s="502"/>
      <c r="F18" s="136">
        <f t="shared" ref="F18:M18" si="2">F2</f>
        <v>0</v>
      </c>
      <c r="G18" s="136">
        <f t="shared" si="2"/>
        <v>1</v>
      </c>
      <c r="H18" s="136">
        <f t="shared" si="2"/>
        <v>2</v>
      </c>
      <c r="I18" s="136">
        <f t="shared" si="2"/>
        <v>3</v>
      </c>
      <c r="J18" s="136"/>
      <c r="K18" s="136"/>
      <c r="L18" s="136" t="str">
        <f t="shared" ref="J18:L19" si="3">L2</f>
        <v>Revised</v>
      </c>
      <c r="M18" s="136">
        <f t="shared" si="2"/>
        <v>4</v>
      </c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</row>
    <row r="19" spans="1:48" ht="15.75" customHeight="1">
      <c r="B19" s="76"/>
      <c r="C19" s="1671" t="s">
        <v>892</v>
      </c>
      <c r="D19" s="469"/>
      <c r="E19" s="470"/>
      <c r="F19" s="93"/>
      <c r="G19" s="93"/>
      <c r="H19" s="93"/>
      <c r="I19" s="93"/>
      <c r="J19" s="93" t="str">
        <f t="shared" si="3"/>
        <v>1H 3 Y</v>
      </c>
      <c r="K19" s="93" t="str">
        <f t="shared" si="3"/>
        <v>2H 3 Y</v>
      </c>
      <c r="L19" s="93"/>
      <c r="M19" s="93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</row>
    <row r="20" spans="1:48" ht="15.75" customHeight="1">
      <c r="B20" s="76"/>
      <c r="C20" s="505"/>
      <c r="D20" s="506"/>
      <c r="E20" s="473"/>
      <c r="F20" s="112" t="str">
        <f>F4</f>
        <v>($)</v>
      </c>
      <c r="G20" s="112" t="s">
        <v>499</v>
      </c>
      <c r="H20" s="112" t="s">
        <v>499</v>
      </c>
      <c r="I20" s="112" t="s">
        <v>499</v>
      </c>
      <c r="J20" s="112" t="s">
        <v>499</v>
      </c>
      <c r="K20" s="112" t="s">
        <v>499</v>
      </c>
      <c r="L20" s="112" t="s">
        <v>499</v>
      </c>
      <c r="M20" s="112" t="s">
        <v>499</v>
      </c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</row>
    <row r="21" spans="1:48" ht="15.75" customHeight="1">
      <c r="B21" s="111"/>
      <c r="C21" s="110"/>
      <c r="D21" s="110"/>
      <c r="E21" s="88"/>
      <c r="F21" s="440"/>
      <c r="G21" s="440"/>
      <c r="H21" s="440"/>
      <c r="I21" s="440"/>
      <c r="J21" s="440"/>
      <c r="K21" s="440"/>
      <c r="L21" s="440"/>
      <c r="M21" s="440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</row>
    <row r="22" spans="1:48" ht="15.75" customHeight="1">
      <c r="B22" s="76"/>
      <c r="C22" s="523" t="s">
        <v>198</v>
      </c>
      <c r="D22" s="110"/>
      <c r="E22" s="88"/>
      <c r="F22" s="110"/>
      <c r="G22" s="110"/>
      <c r="H22" s="110"/>
      <c r="I22" s="110"/>
      <c r="J22" s="110"/>
      <c r="K22" s="110"/>
      <c r="L22" s="110"/>
      <c r="M22" s="110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</row>
    <row r="23" spans="1:48" ht="15.75" customHeight="1">
      <c r="B23" s="76"/>
      <c r="C23" s="1676" t="s">
        <v>1220</v>
      </c>
      <c r="D23" s="80"/>
      <c r="E23" s="88"/>
      <c r="F23" s="108">
        <f>SUMIF($C$54:$C$583,$C23,F$54:F$583)</f>
        <v>0</v>
      </c>
      <c r="G23" s="108">
        <f>G9</f>
        <v>-200251</v>
      </c>
      <c r="H23" s="108">
        <f>SUMIF($C$54:$C$583,$C23,H$54:H$583)</f>
        <v>-14073779</v>
      </c>
      <c r="I23" s="108">
        <f>SUMIF($C$54:$C$583,$C23,I$54:I$583)+I8</f>
        <v>37635905</v>
      </c>
      <c r="J23" s="108">
        <f>SUMIF($C$54:$C$583,$C23,J$54:J$583)+J8</f>
        <v>-1657422.5</v>
      </c>
      <c r="K23" s="108">
        <f>SUMIF($C$54:$C$583,$C23,K$54:K$583)+K8</f>
        <v>11542577.5</v>
      </c>
      <c r="L23" s="108">
        <f>SUMIF($C$54:$C$583,$C23,L$54:L$583)+L8</f>
        <v>9885155</v>
      </c>
      <c r="M23" s="108">
        <f>SUMIF($C$54:$C$583,$C23,M$54:M$583)+M8</f>
        <v>0</v>
      </c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</row>
    <row r="24" spans="1:48" ht="15.75" customHeight="1">
      <c r="B24" s="76"/>
      <c r="C24" s="516" t="s">
        <v>199</v>
      </c>
      <c r="D24" s="80"/>
      <c r="E24" s="88"/>
      <c r="F24" s="108">
        <f>SUMIF($C$54:$C$583,$C24,F$54:F$583)</f>
        <v>0</v>
      </c>
      <c r="G24" s="108">
        <f>SUMIF($C$54:$C$583,$C24,G$54:G$583)</f>
        <v>0</v>
      </c>
      <c r="H24" s="108">
        <f>SUMIF($C$54:$C$583,$C24,H$54:H$583)</f>
        <v>0</v>
      </c>
      <c r="I24" s="108">
        <f t="shared" ref="I24:M26" si="4">SUMIF($C$54:$C$583,$C24,I$54:I$583)</f>
        <v>0</v>
      </c>
      <c r="J24" s="108">
        <f t="shared" si="4"/>
        <v>0</v>
      </c>
      <c r="K24" s="108">
        <f t="shared" si="4"/>
        <v>0</v>
      </c>
      <c r="L24" s="108">
        <f t="shared" si="4"/>
        <v>0</v>
      </c>
      <c r="M24" s="108">
        <f t="shared" si="4"/>
        <v>0</v>
      </c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</row>
    <row r="25" spans="1:48" ht="15.75" customHeight="1">
      <c r="A25" s="460">
        <v>11</v>
      </c>
      <c r="B25" s="76"/>
      <c r="C25" s="516" t="s">
        <v>200</v>
      </c>
      <c r="D25" s="80"/>
      <c r="E25" s="88"/>
      <c r="F25" s="108">
        <f>SUMIF($C$54:$C$583,$C25,F$54:F$583)</f>
        <v>0</v>
      </c>
      <c r="G25" s="108">
        <f>SUMIF($C$54:$C$583,$C25,G$54:G$583)</f>
        <v>0</v>
      </c>
      <c r="H25" s="108">
        <f>SUMIF($C$54:$C$583,$C25,H$54:H$583)</f>
        <v>0</v>
      </c>
      <c r="I25" s="108">
        <f t="shared" si="4"/>
        <v>0</v>
      </c>
      <c r="J25" s="108">
        <f t="shared" si="4"/>
        <v>0</v>
      </c>
      <c r="K25" s="108">
        <f t="shared" si="4"/>
        <v>0</v>
      </c>
      <c r="L25" s="108">
        <f t="shared" si="4"/>
        <v>0</v>
      </c>
      <c r="M25" s="108">
        <f t="shared" si="4"/>
        <v>0</v>
      </c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</row>
    <row r="26" spans="1:48" ht="15.75" customHeight="1">
      <c r="A26" s="460">
        <v>12</v>
      </c>
      <c r="B26" s="76"/>
      <c r="C26" s="516" t="s">
        <v>201</v>
      </c>
      <c r="D26" s="110"/>
      <c r="E26" s="88"/>
      <c r="F26" s="108">
        <f>SUMIF($C$54:$C$583,$C26,F$54:F$583)</f>
        <v>0</v>
      </c>
      <c r="G26" s="108">
        <f>SUMIF($C$54:$C$583,$C26,G$54:G$583)</f>
        <v>0</v>
      </c>
      <c r="H26" s="108">
        <f>SUMIF($C$54:$C$583,$C26,H$54:H$583)</f>
        <v>0</v>
      </c>
      <c r="I26" s="108">
        <f t="shared" si="4"/>
        <v>0</v>
      </c>
      <c r="J26" s="108">
        <f t="shared" si="4"/>
        <v>0</v>
      </c>
      <c r="K26" s="108">
        <f t="shared" si="4"/>
        <v>0</v>
      </c>
      <c r="L26" s="108">
        <f t="shared" si="4"/>
        <v>0</v>
      </c>
      <c r="M26" s="108">
        <f t="shared" si="4"/>
        <v>0</v>
      </c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</row>
    <row r="27" spans="1:48" ht="15.75" customHeight="1">
      <c r="B27" s="76"/>
      <c r="C27" s="483" t="s">
        <v>202</v>
      </c>
      <c r="D27" s="80"/>
      <c r="E27" s="88"/>
      <c r="F27" s="80">
        <f t="shared" ref="F27:M27" si="5">SUM(F23:F26)</f>
        <v>0</v>
      </c>
      <c r="G27" s="80">
        <f t="shared" si="5"/>
        <v>-200251</v>
      </c>
      <c r="H27" s="80">
        <f t="shared" si="5"/>
        <v>-14073779</v>
      </c>
      <c r="I27" s="80">
        <f t="shared" si="5"/>
        <v>37635905</v>
      </c>
      <c r="J27" s="80">
        <f t="shared" si="5"/>
        <v>-1657422.5</v>
      </c>
      <c r="K27" s="80">
        <f t="shared" si="5"/>
        <v>11542577.5</v>
      </c>
      <c r="L27" s="80">
        <f>SUM(L23:L26)</f>
        <v>9885155</v>
      </c>
      <c r="M27" s="80">
        <f t="shared" si="5"/>
        <v>0</v>
      </c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</row>
    <row r="28" spans="1:48" ht="15.75" customHeight="1">
      <c r="A28" s="460">
        <v>13</v>
      </c>
      <c r="B28" s="76"/>
      <c r="C28" s="516" t="s">
        <v>203</v>
      </c>
      <c r="D28" s="110"/>
      <c r="E28" s="88"/>
      <c r="F28" s="108">
        <f t="shared" ref="F28:M28" si="6">SUMIF($C$54:$C$583,$C28,F$54:F$583)</f>
        <v>0</v>
      </c>
      <c r="G28" s="108">
        <f t="shared" si="6"/>
        <v>0</v>
      </c>
      <c r="H28" s="108">
        <f t="shared" si="6"/>
        <v>0</v>
      </c>
      <c r="I28" s="108">
        <f t="shared" si="6"/>
        <v>0</v>
      </c>
      <c r="J28" s="108">
        <f t="shared" si="6"/>
        <v>0</v>
      </c>
      <c r="K28" s="108">
        <f t="shared" si="6"/>
        <v>0</v>
      </c>
      <c r="L28" s="108">
        <f t="shared" si="6"/>
        <v>0</v>
      </c>
      <c r="M28" s="108">
        <f t="shared" si="6"/>
        <v>0</v>
      </c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</row>
    <row r="29" spans="1:48" ht="15.75" customHeight="1">
      <c r="A29" s="460">
        <v>14</v>
      </c>
      <c r="B29" s="76"/>
      <c r="C29" s="516" t="s">
        <v>187</v>
      </c>
      <c r="D29" s="110"/>
      <c r="E29" s="88"/>
      <c r="F29" s="108">
        <f>SUMIF($C$54:$C$583,$C29,F$54:F$583)</f>
        <v>0</v>
      </c>
      <c r="G29" s="108">
        <f>G11</f>
        <v>110244</v>
      </c>
      <c r="H29" s="108">
        <f t="shared" ref="H29:M31" si="7">SUMIF($C$54:$C$583,$C29,H$54:H$583)</f>
        <v>0</v>
      </c>
      <c r="I29" s="108">
        <f t="shared" si="7"/>
        <v>0</v>
      </c>
      <c r="J29" s="108">
        <f t="shared" si="7"/>
        <v>0</v>
      </c>
      <c r="K29" s="108">
        <f t="shared" si="7"/>
        <v>0</v>
      </c>
      <c r="L29" s="108">
        <f t="shared" si="7"/>
        <v>0</v>
      </c>
      <c r="M29" s="108">
        <f t="shared" si="7"/>
        <v>0</v>
      </c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</row>
    <row r="30" spans="1:48" ht="15.75" customHeight="1">
      <c r="A30" s="460">
        <v>15</v>
      </c>
      <c r="B30" s="76"/>
      <c r="C30" s="516" t="s">
        <v>204</v>
      </c>
      <c r="D30" s="525"/>
      <c r="E30" s="88"/>
      <c r="F30" s="108">
        <f>SUMIF($C$54:$C$583,$C30,F$54:F$583)</f>
        <v>0</v>
      </c>
      <c r="G30" s="108">
        <f>G14</f>
        <v>-17819</v>
      </c>
      <c r="H30" s="108">
        <f t="shared" si="7"/>
        <v>0</v>
      </c>
      <c r="I30" s="108">
        <f t="shared" si="7"/>
        <v>-14752762.5</v>
      </c>
      <c r="J30" s="108">
        <f t="shared" si="7"/>
        <v>0</v>
      </c>
      <c r="K30" s="108">
        <f t="shared" si="7"/>
        <v>-4620000</v>
      </c>
      <c r="L30" s="108">
        <f t="shared" si="7"/>
        <v>-4620000</v>
      </c>
      <c r="M30" s="108">
        <f t="shared" si="7"/>
        <v>0</v>
      </c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</row>
    <row r="31" spans="1:48" ht="15.75" customHeight="1">
      <c r="A31" s="460">
        <v>23</v>
      </c>
      <c r="B31" s="76"/>
      <c r="C31" s="356" t="s">
        <v>195</v>
      </c>
      <c r="D31" s="525"/>
      <c r="E31" s="88"/>
      <c r="F31" s="108">
        <f>SUMIF($C$54:$C$583,$C31,F$54:F$583)</f>
        <v>0</v>
      </c>
      <c r="G31" s="108">
        <f>G12</f>
        <v>-396431</v>
      </c>
      <c r="H31" s="108">
        <f t="shared" si="7"/>
        <v>0</v>
      </c>
      <c r="I31" s="108">
        <f t="shared" si="7"/>
        <v>0</v>
      </c>
      <c r="J31" s="108">
        <f t="shared" si="7"/>
        <v>0</v>
      </c>
      <c r="K31" s="108">
        <f t="shared" si="7"/>
        <v>0</v>
      </c>
      <c r="L31" s="108">
        <f t="shared" si="7"/>
        <v>0</v>
      </c>
      <c r="M31" s="108">
        <f t="shared" si="7"/>
        <v>0</v>
      </c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</row>
    <row r="32" spans="1:48" ht="15.75" customHeight="1">
      <c r="B32" s="155"/>
      <c r="C32" s="95" t="s">
        <v>205</v>
      </c>
      <c r="D32" s="163"/>
      <c r="E32" s="1622"/>
      <c r="F32" s="153">
        <f t="shared" ref="F32:M32" si="8">SUM(F27:F31)</f>
        <v>0</v>
      </c>
      <c r="G32" s="153">
        <f t="shared" si="8"/>
        <v>-504257</v>
      </c>
      <c r="H32" s="153">
        <f t="shared" si="8"/>
        <v>-14073779</v>
      </c>
      <c r="I32" s="153">
        <f t="shared" si="8"/>
        <v>22883142.5</v>
      </c>
      <c r="J32" s="153">
        <f t="shared" si="8"/>
        <v>-1657422.5</v>
      </c>
      <c r="K32" s="153">
        <f t="shared" si="8"/>
        <v>6922577.5</v>
      </c>
      <c r="L32" s="153">
        <f>SUM(L27:L31)</f>
        <v>5265155</v>
      </c>
      <c r="M32" s="153">
        <f t="shared" si="8"/>
        <v>0</v>
      </c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</row>
    <row r="33" spans="1:48" ht="15.75" customHeight="1">
      <c r="B33" s="76"/>
      <c r="C33" s="110"/>
      <c r="D33" s="110"/>
      <c r="E33" s="88"/>
      <c r="F33" s="1675"/>
      <c r="G33" s="1675"/>
      <c r="H33" s="1675"/>
      <c r="I33" s="1675"/>
      <c r="J33" s="1675"/>
      <c r="K33" s="1675"/>
      <c r="L33" s="1675"/>
      <c r="M33" s="1675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</row>
    <row r="34" spans="1:48" ht="15.75" customHeight="1">
      <c r="B34" s="76"/>
      <c r="C34" s="523" t="s">
        <v>206</v>
      </c>
      <c r="D34" s="100"/>
      <c r="E34" s="88"/>
      <c r="F34" s="100"/>
      <c r="G34" s="100"/>
      <c r="H34" s="100"/>
      <c r="I34" s="100"/>
      <c r="J34" s="100"/>
      <c r="K34" s="100"/>
      <c r="L34" s="100"/>
      <c r="M34" s="100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</row>
    <row r="35" spans="1:48" ht="15.75" customHeight="1">
      <c r="A35" s="460">
        <v>16</v>
      </c>
      <c r="B35" s="76"/>
      <c r="C35" s="1677" t="s">
        <v>2123</v>
      </c>
      <c r="D35" s="95"/>
      <c r="E35" s="470"/>
      <c r="F35" s="108">
        <f t="shared" ref="F35:M36" si="9">SUMIF($C$54:$C$583,$C35,F$54:F$583)</f>
        <v>-4484201</v>
      </c>
      <c r="G35" s="108">
        <f t="shared" si="9"/>
        <v>-6000000</v>
      </c>
      <c r="H35" s="108">
        <f t="shared" si="9"/>
        <v>0</v>
      </c>
      <c r="I35" s="108">
        <f t="shared" si="9"/>
        <v>0</v>
      </c>
      <c r="J35" s="108">
        <f t="shared" si="9"/>
        <v>0</v>
      </c>
      <c r="K35" s="108">
        <f t="shared" si="9"/>
        <v>0</v>
      </c>
      <c r="L35" s="108">
        <f t="shared" si="9"/>
        <v>0</v>
      </c>
      <c r="M35" s="108">
        <f t="shared" si="9"/>
        <v>0</v>
      </c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</row>
    <row r="36" spans="1:48" ht="15.75" customHeight="1">
      <c r="A36" s="460">
        <v>16</v>
      </c>
      <c r="B36" s="76"/>
      <c r="C36" s="1677" t="s">
        <v>703</v>
      </c>
      <c r="D36" s="95"/>
      <c r="E36" s="470"/>
      <c r="F36" s="108">
        <f t="shared" si="9"/>
        <v>0</v>
      </c>
      <c r="G36" s="108">
        <f t="shared" si="9"/>
        <v>-11645990</v>
      </c>
      <c r="H36" s="108">
        <f t="shared" si="9"/>
        <v>-9241427</v>
      </c>
      <c r="I36" s="108">
        <f t="shared" si="9"/>
        <v>-6871668</v>
      </c>
      <c r="J36" s="108">
        <f t="shared" si="9"/>
        <v>-6871668</v>
      </c>
      <c r="K36" s="108">
        <f t="shared" si="9"/>
        <v>0</v>
      </c>
      <c r="L36" s="108">
        <f t="shared" si="9"/>
        <v>-6871668</v>
      </c>
      <c r="M36" s="108">
        <f t="shared" si="9"/>
        <v>0</v>
      </c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</row>
    <row r="37" spans="1:48" ht="15.75" customHeight="1">
      <c r="B37" s="155"/>
      <c r="C37" s="95" t="s">
        <v>211</v>
      </c>
      <c r="D37" s="163"/>
      <c r="E37" s="1622"/>
      <c r="F37" s="153">
        <f t="shared" ref="F37:M37" si="10">SUM(F35:F36)</f>
        <v>-4484201</v>
      </c>
      <c r="G37" s="153">
        <f t="shared" si="10"/>
        <v>-17645990</v>
      </c>
      <c r="H37" s="153">
        <f t="shared" si="10"/>
        <v>-9241427</v>
      </c>
      <c r="I37" s="153">
        <f t="shared" si="10"/>
        <v>-6871668</v>
      </c>
      <c r="J37" s="153">
        <f t="shared" si="10"/>
        <v>-6871668</v>
      </c>
      <c r="K37" s="153">
        <f t="shared" si="10"/>
        <v>0</v>
      </c>
      <c r="L37" s="153">
        <f>SUM(L35:L36)</f>
        <v>-6871668</v>
      </c>
      <c r="M37" s="153">
        <f t="shared" si="10"/>
        <v>0</v>
      </c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</row>
    <row r="38" spans="1:48" ht="15.75" customHeight="1">
      <c r="B38" s="76"/>
      <c r="C38" s="110"/>
      <c r="D38" s="110"/>
      <c r="E38" s="88"/>
      <c r="F38" s="100"/>
      <c r="G38" s="100"/>
      <c r="H38" s="100"/>
      <c r="I38" s="100"/>
      <c r="J38" s="100"/>
      <c r="K38" s="100"/>
      <c r="L38" s="100"/>
      <c r="M38" s="100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</row>
    <row r="39" spans="1:48">
      <c r="B39" s="155"/>
      <c r="C39" s="95" t="s">
        <v>212</v>
      </c>
      <c r="D39" s="163"/>
      <c r="E39" s="1622"/>
      <c r="F39" s="153">
        <f t="shared" ref="F39:M39" si="11">SUM(F37,F32)</f>
        <v>-4484201</v>
      </c>
      <c r="G39" s="153">
        <f t="shared" si="11"/>
        <v>-18150247</v>
      </c>
      <c r="H39" s="153">
        <f t="shared" si="11"/>
        <v>-23315206</v>
      </c>
      <c r="I39" s="153">
        <f t="shared" si="11"/>
        <v>16011474.5</v>
      </c>
      <c r="J39" s="153">
        <f t="shared" si="11"/>
        <v>-8529090.5</v>
      </c>
      <c r="K39" s="153">
        <f t="shared" si="11"/>
        <v>6922577.5</v>
      </c>
      <c r="L39" s="153">
        <f>SUM(L37,L32)</f>
        <v>-1606513</v>
      </c>
      <c r="M39" s="153">
        <f t="shared" si="11"/>
        <v>0</v>
      </c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</row>
    <row r="40" spans="1:48" ht="15.75" customHeight="1">
      <c r="B40" s="76"/>
      <c r="C40" s="95"/>
      <c r="D40" s="508"/>
      <c r="E40" s="509"/>
      <c r="F40" s="100"/>
      <c r="G40" s="100"/>
      <c r="H40" s="100"/>
      <c r="I40" s="100"/>
      <c r="J40" s="100"/>
      <c r="K40" s="100"/>
      <c r="L40" s="100"/>
      <c r="M40" s="100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</row>
    <row r="41" spans="1:48" ht="15.75" customHeight="1">
      <c r="B41" s="76"/>
      <c r="C41" s="110" t="s">
        <v>904</v>
      </c>
      <c r="D41" s="110"/>
      <c r="E41" s="88"/>
      <c r="F41" s="108">
        <f t="shared" ref="F41:M41" si="12">IF(F39&lt;0,F39,0)</f>
        <v>-4484201</v>
      </c>
      <c r="G41" s="108">
        <f t="shared" si="12"/>
        <v>-18150247</v>
      </c>
      <c r="H41" s="108">
        <f t="shared" si="12"/>
        <v>-23315206</v>
      </c>
      <c r="I41" s="108">
        <f t="shared" si="12"/>
        <v>0</v>
      </c>
      <c r="J41" s="108">
        <f t="shared" si="12"/>
        <v>-8529090.5</v>
      </c>
      <c r="K41" s="108">
        <f t="shared" si="12"/>
        <v>0</v>
      </c>
      <c r="L41" s="108">
        <f>IF(L39&lt;0,L39,0)</f>
        <v>-1606513</v>
      </c>
      <c r="M41" s="108">
        <f t="shared" si="12"/>
        <v>0</v>
      </c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</row>
    <row r="42" spans="1:48" ht="15.75" customHeight="1">
      <c r="B42" s="76"/>
      <c r="C42" s="110"/>
      <c r="D42" s="110"/>
      <c r="E42" s="88"/>
      <c r="F42" s="100"/>
      <c r="G42" s="100"/>
      <c r="H42" s="100"/>
      <c r="I42" s="100"/>
      <c r="J42" s="100"/>
      <c r="K42" s="100"/>
      <c r="L42" s="100"/>
      <c r="M42" s="100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</row>
    <row r="43" spans="1:48" ht="15.75" customHeight="1">
      <c r="B43" s="76"/>
      <c r="C43" s="523" t="s">
        <v>135</v>
      </c>
      <c r="D43" s="114"/>
      <c r="E43" s="88"/>
      <c r="F43" s="100"/>
      <c r="G43" s="100"/>
      <c r="H43" s="100"/>
      <c r="I43" s="100"/>
      <c r="J43" s="100"/>
      <c r="K43" s="100"/>
      <c r="L43" s="100"/>
      <c r="M43" s="100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</row>
    <row r="44" spans="1:48" s="157" customFormat="1" ht="15.75" customHeight="1">
      <c r="A44" s="460">
        <v>17</v>
      </c>
      <c r="B44" s="76"/>
      <c r="C44" s="482" t="s">
        <v>214</v>
      </c>
      <c r="D44" s="110"/>
      <c r="E44" s="88"/>
      <c r="F44" s="108">
        <f t="shared" ref="F44:M47" si="13">SUMIF($C$54:$C$583,$C44,F$54:F$583)</f>
        <v>0</v>
      </c>
      <c r="G44" s="108">
        <f t="shared" si="13"/>
        <v>0</v>
      </c>
      <c r="H44" s="108">
        <f t="shared" si="13"/>
        <v>0</v>
      </c>
      <c r="I44" s="108">
        <f t="shared" si="13"/>
        <v>0</v>
      </c>
      <c r="J44" s="108">
        <f t="shared" si="13"/>
        <v>0</v>
      </c>
      <c r="K44" s="108">
        <f t="shared" si="13"/>
        <v>0</v>
      </c>
      <c r="L44" s="108">
        <f t="shared" si="13"/>
        <v>0</v>
      </c>
      <c r="M44" s="108">
        <f t="shared" si="13"/>
        <v>0</v>
      </c>
      <c r="N44" s="155"/>
      <c r="O44" s="155"/>
      <c r="P44" s="155"/>
      <c r="Q44" s="155"/>
      <c r="R44" s="155"/>
      <c r="S44" s="155"/>
      <c r="T44" s="155"/>
      <c r="U44" s="155"/>
      <c r="V44" s="155"/>
      <c r="W44" s="155"/>
      <c r="X44" s="155"/>
      <c r="Y44" s="155"/>
      <c r="Z44" s="155"/>
      <c r="AA44" s="155"/>
      <c r="AB44" s="155"/>
      <c r="AC44" s="155"/>
      <c r="AD44" s="155"/>
      <c r="AE44" s="155"/>
      <c r="AF44" s="155"/>
      <c r="AG44" s="155"/>
      <c r="AH44" s="155"/>
      <c r="AI44" s="155"/>
      <c r="AJ44" s="155"/>
      <c r="AK44" s="155"/>
      <c r="AL44" s="155"/>
      <c r="AM44" s="155"/>
      <c r="AN44" s="155"/>
      <c r="AO44" s="155"/>
      <c r="AP44" s="155"/>
      <c r="AQ44" s="155"/>
      <c r="AR44" s="155"/>
      <c r="AS44" s="155"/>
      <c r="AT44" s="155"/>
      <c r="AU44" s="155"/>
      <c r="AV44" s="155"/>
    </row>
    <row r="45" spans="1:48" ht="15.75" customHeight="1">
      <c r="A45" s="460">
        <v>18</v>
      </c>
      <c r="B45" s="76"/>
      <c r="C45" s="482" t="s">
        <v>215</v>
      </c>
      <c r="D45" s="110"/>
      <c r="E45" s="88"/>
      <c r="F45" s="108">
        <f t="shared" si="13"/>
        <v>0</v>
      </c>
      <c r="G45" s="108">
        <f t="shared" si="13"/>
        <v>0</v>
      </c>
      <c r="H45" s="108">
        <f t="shared" si="13"/>
        <v>0</v>
      </c>
      <c r="I45" s="108">
        <f t="shared" si="13"/>
        <v>0</v>
      </c>
      <c r="J45" s="108">
        <f t="shared" si="13"/>
        <v>0</v>
      </c>
      <c r="K45" s="108">
        <f t="shared" si="13"/>
        <v>0</v>
      </c>
      <c r="L45" s="108">
        <f t="shared" si="13"/>
        <v>0</v>
      </c>
      <c r="M45" s="108">
        <f t="shared" si="13"/>
        <v>0</v>
      </c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</row>
    <row r="46" spans="1:48" ht="15.75" customHeight="1">
      <c r="B46" s="76"/>
      <c r="C46" s="482" t="s">
        <v>816</v>
      </c>
      <c r="D46" s="110"/>
      <c r="E46" s="88"/>
      <c r="F46" s="108">
        <f t="shared" si="13"/>
        <v>0</v>
      </c>
      <c r="G46" s="108">
        <f t="shared" si="13"/>
        <v>0</v>
      </c>
      <c r="H46" s="108">
        <f t="shared" si="13"/>
        <v>0</v>
      </c>
      <c r="I46" s="108">
        <f t="shared" si="13"/>
        <v>0</v>
      </c>
      <c r="J46" s="108">
        <f t="shared" si="13"/>
        <v>0</v>
      </c>
      <c r="K46" s="108">
        <f t="shared" si="13"/>
        <v>0</v>
      </c>
      <c r="L46" s="108">
        <f t="shared" si="13"/>
        <v>0</v>
      </c>
      <c r="M46" s="108">
        <f t="shared" si="13"/>
        <v>0</v>
      </c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</row>
    <row r="47" spans="1:48">
      <c r="B47" s="76"/>
      <c r="C47" s="482" t="s">
        <v>311</v>
      </c>
      <c r="D47" s="110"/>
      <c r="E47" s="88"/>
      <c r="F47" s="108">
        <f t="shared" si="13"/>
        <v>0</v>
      </c>
      <c r="G47" s="108">
        <f t="shared" si="13"/>
        <v>0</v>
      </c>
      <c r="H47" s="108">
        <f t="shared" si="13"/>
        <v>0</v>
      </c>
      <c r="I47" s="108">
        <f t="shared" si="13"/>
        <v>0</v>
      </c>
      <c r="J47" s="108">
        <f t="shared" si="13"/>
        <v>0</v>
      </c>
      <c r="K47" s="108">
        <f t="shared" si="13"/>
        <v>0</v>
      </c>
      <c r="L47" s="108">
        <f t="shared" si="13"/>
        <v>0</v>
      </c>
      <c r="M47" s="108">
        <f t="shared" si="13"/>
        <v>0</v>
      </c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</row>
    <row r="48" spans="1:48" ht="15.75" customHeight="1">
      <c r="B48" s="155"/>
      <c r="C48" s="95" t="s">
        <v>217</v>
      </c>
      <c r="D48" s="526"/>
      <c r="E48" s="1622"/>
      <c r="F48" s="153">
        <f t="shared" ref="F48:M48" si="14">SUM(F44:F47)</f>
        <v>0</v>
      </c>
      <c r="G48" s="153">
        <f t="shared" si="14"/>
        <v>0</v>
      </c>
      <c r="H48" s="153">
        <f t="shared" si="14"/>
        <v>0</v>
      </c>
      <c r="I48" s="153">
        <f t="shared" si="14"/>
        <v>0</v>
      </c>
      <c r="J48" s="153">
        <f t="shared" si="14"/>
        <v>0</v>
      </c>
      <c r="K48" s="153">
        <f t="shared" si="14"/>
        <v>0</v>
      </c>
      <c r="L48" s="153">
        <f>SUM(L44:L47)</f>
        <v>0</v>
      </c>
      <c r="M48" s="153">
        <f t="shared" si="14"/>
        <v>0</v>
      </c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</row>
    <row r="49" spans="1:48" ht="15.75" customHeight="1">
      <c r="B49" s="76"/>
      <c r="C49" s="110"/>
      <c r="D49" s="83"/>
      <c r="E49" s="527"/>
      <c r="F49" s="108"/>
      <c r="G49" s="108"/>
      <c r="H49" s="108"/>
      <c r="I49" s="108"/>
      <c r="J49" s="108"/>
      <c r="K49" s="108"/>
      <c r="L49" s="108"/>
      <c r="M49" s="108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</row>
    <row r="50" spans="1:48" ht="15.75" customHeight="1">
      <c r="B50" s="155"/>
      <c r="C50" s="95" t="s">
        <v>219</v>
      </c>
      <c r="D50" s="526"/>
      <c r="E50" s="1622"/>
      <c r="F50" s="153">
        <f t="shared" ref="F50:M50" si="15">F32+F37+F48</f>
        <v>-4484201</v>
      </c>
      <c r="G50" s="153">
        <f t="shared" si="15"/>
        <v>-18150247</v>
      </c>
      <c r="H50" s="153">
        <f t="shared" si="15"/>
        <v>-23315206</v>
      </c>
      <c r="I50" s="153">
        <f t="shared" si="15"/>
        <v>16011474.5</v>
      </c>
      <c r="J50" s="153">
        <f t="shared" si="15"/>
        <v>-8529090.5</v>
      </c>
      <c r="K50" s="153">
        <f t="shared" si="15"/>
        <v>6922577.5</v>
      </c>
      <c r="L50" s="153">
        <f>L32+L37+L48</f>
        <v>-1606513</v>
      </c>
      <c r="M50" s="153">
        <f t="shared" si="15"/>
        <v>0</v>
      </c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</row>
    <row r="51" spans="1:48" ht="15.75" customHeight="1">
      <c r="B51" s="111"/>
      <c r="C51" s="110"/>
      <c r="D51" s="83"/>
      <c r="E51" s="527"/>
      <c r="F51" s="108"/>
      <c r="G51" s="108"/>
      <c r="H51" s="108"/>
      <c r="I51" s="108"/>
      <c r="J51" s="108"/>
      <c r="K51" s="108"/>
      <c r="L51" s="108"/>
      <c r="M51" s="108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</row>
    <row r="52" spans="1:48" ht="15.75" customHeight="1">
      <c r="B52" s="111"/>
      <c r="C52" s="483" t="s">
        <v>902</v>
      </c>
      <c r="D52" s="110"/>
      <c r="E52" s="88"/>
      <c r="F52" s="108">
        <f t="shared" ref="F52:K52" si="16">E53</f>
        <v>0</v>
      </c>
      <c r="G52" s="108">
        <f t="shared" si="16"/>
        <v>-4484201</v>
      </c>
      <c r="H52" s="108">
        <f t="shared" si="16"/>
        <v>-22634448</v>
      </c>
      <c r="I52" s="108">
        <f t="shared" si="16"/>
        <v>-45949654</v>
      </c>
      <c r="J52" s="108">
        <f t="shared" si="16"/>
        <v>-29938179.5</v>
      </c>
      <c r="K52" s="108">
        <f t="shared" si="16"/>
        <v>-38467270</v>
      </c>
      <c r="L52" s="108">
        <f>H53</f>
        <v>-45949654</v>
      </c>
      <c r="M52" s="108">
        <f>I53</f>
        <v>-29938179.5</v>
      </c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</row>
    <row r="53" spans="1:48" ht="15.75" customHeight="1">
      <c r="B53" s="111"/>
      <c r="C53" s="529" t="s">
        <v>903</v>
      </c>
      <c r="D53" s="472"/>
      <c r="E53" s="498"/>
      <c r="F53" s="120">
        <f t="shared" ref="F53:M53" si="17">F50+F52</f>
        <v>-4484201</v>
      </c>
      <c r="G53" s="120">
        <f t="shared" si="17"/>
        <v>-22634448</v>
      </c>
      <c r="H53" s="120">
        <f t="shared" si="17"/>
        <v>-45949654</v>
      </c>
      <c r="I53" s="120">
        <f t="shared" si="17"/>
        <v>-29938179.5</v>
      </c>
      <c r="J53" s="120">
        <f t="shared" si="17"/>
        <v>-38467270</v>
      </c>
      <c r="K53" s="120">
        <f t="shared" si="17"/>
        <v>-31544692.5</v>
      </c>
      <c r="L53" s="120">
        <f>L50+L52</f>
        <v>-47556167</v>
      </c>
      <c r="M53" s="120">
        <f t="shared" si="17"/>
        <v>-29938179.5</v>
      </c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</row>
    <row r="54" spans="1:48" s="1549" customFormat="1" ht="15.75" customHeight="1">
      <c r="A54" s="1678"/>
      <c r="B54" s="1679"/>
      <c r="C54" s="1680"/>
      <c r="D54" s="1548"/>
      <c r="E54" s="1679"/>
      <c r="F54" s="1681">
        <f t="shared" ref="F54:M54" si="18">F50-(F192+F290+F387+F8)</f>
        <v>0</v>
      </c>
      <c r="G54" s="1681">
        <f t="shared" si="18"/>
        <v>-504257</v>
      </c>
      <c r="H54" s="1681">
        <f t="shared" si="18"/>
        <v>5707879</v>
      </c>
      <c r="I54" s="1681">
        <f t="shared" si="18"/>
        <v>0</v>
      </c>
      <c r="J54" s="1681">
        <f t="shared" si="18"/>
        <v>0</v>
      </c>
      <c r="K54" s="1681">
        <f t="shared" si="18"/>
        <v>0</v>
      </c>
      <c r="L54" s="1681">
        <f t="shared" si="18"/>
        <v>0</v>
      </c>
      <c r="M54" s="1681">
        <f t="shared" si="18"/>
        <v>0</v>
      </c>
      <c r="N54" s="1548"/>
      <c r="O54" s="1548"/>
      <c r="P54" s="1548"/>
      <c r="Q54" s="1548"/>
      <c r="R54" s="1548"/>
      <c r="S54" s="1548"/>
      <c r="T54" s="1548"/>
      <c r="U54" s="1548"/>
      <c r="V54" s="1548"/>
      <c r="W54" s="1548"/>
      <c r="X54" s="1548"/>
      <c r="Y54" s="1548"/>
      <c r="Z54" s="1548"/>
      <c r="AA54" s="1548"/>
      <c r="AB54" s="1548"/>
      <c r="AC54" s="1548"/>
      <c r="AD54" s="1548"/>
      <c r="AE54" s="1548"/>
      <c r="AF54" s="1548"/>
      <c r="AG54" s="1548"/>
      <c r="AH54" s="1548"/>
      <c r="AI54" s="1548"/>
      <c r="AJ54" s="1548"/>
      <c r="AK54" s="1548"/>
      <c r="AL54" s="1548"/>
      <c r="AM54" s="1548"/>
      <c r="AN54" s="1548"/>
      <c r="AO54" s="1548"/>
      <c r="AP54" s="1548"/>
      <c r="AQ54" s="1548"/>
      <c r="AR54" s="1548"/>
      <c r="AS54" s="1548"/>
      <c r="AT54" s="1548"/>
      <c r="AU54" s="1548"/>
      <c r="AV54" s="1548"/>
    </row>
    <row r="55" spans="1:48" ht="15.75" customHeight="1">
      <c r="B55" s="76"/>
      <c r="C55" s="480"/>
      <c r="F55" s="138"/>
      <c r="G55" s="138"/>
      <c r="H55" s="138"/>
      <c r="I55" s="138"/>
      <c r="J55" s="138"/>
      <c r="K55" s="138"/>
      <c r="L55" s="138"/>
      <c r="M55" s="138"/>
    </row>
    <row r="56" spans="1:48">
      <c r="B56" s="76"/>
      <c r="C56" s="501"/>
      <c r="D56" s="106"/>
      <c r="E56" s="502"/>
      <c r="F56" s="92">
        <f t="shared" ref="F56:M56" si="19">F2</f>
        <v>0</v>
      </c>
      <c r="G56" s="92">
        <f t="shared" si="19"/>
        <v>1</v>
      </c>
      <c r="H56" s="92">
        <f t="shared" si="19"/>
        <v>2</v>
      </c>
      <c r="I56" s="92">
        <f t="shared" si="19"/>
        <v>3</v>
      </c>
      <c r="J56" s="92"/>
      <c r="K56" s="92"/>
      <c r="L56" s="92" t="str">
        <f t="shared" ref="J56:L57" si="20">L2</f>
        <v>Revised</v>
      </c>
      <c r="M56" s="92">
        <f t="shared" si="19"/>
        <v>4</v>
      </c>
    </row>
    <row r="57" spans="1:48" ht="15.75" customHeight="1">
      <c r="B57" s="76"/>
      <c r="C57" s="1671" t="s">
        <v>893</v>
      </c>
      <c r="D57" s="469"/>
      <c r="E57" s="470"/>
      <c r="F57" s="93"/>
      <c r="G57" s="93"/>
      <c r="H57" s="93"/>
      <c r="I57" s="93"/>
      <c r="J57" s="93" t="str">
        <f t="shared" si="20"/>
        <v>1H 3 Y</v>
      </c>
      <c r="K57" s="93" t="str">
        <f t="shared" si="20"/>
        <v>2H 3 Y</v>
      </c>
      <c r="L57" s="93"/>
      <c r="M57" s="93"/>
    </row>
    <row r="58" spans="1:48">
      <c r="B58" s="76"/>
      <c r="C58" s="505"/>
      <c r="D58" s="506"/>
      <c r="E58" s="473"/>
      <c r="F58" s="112" t="s">
        <v>499</v>
      </c>
      <c r="G58" s="112" t="s">
        <v>499</v>
      </c>
      <c r="H58" s="112" t="s">
        <v>499</v>
      </c>
      <c r="I58" s="112" t="s">
        <v>499</v>
      </c>
      <c r="J58" s="112" t="s">
        <v>499</v>
      </c>
      <c r="K58" s="112" t="s">
        <v>499</v>
      </c>
      <c r="L58" s="112" t="s">
        <v>499</v>
      </c>
      <c r="M58" s="112" t="s">
        <v>499</v>
      </c>
    </row>
    <row r="59" spans="1:48" ht="15.75" customHeight="1">
      <c r="B59" s="76"/>
      <c r="C59" s="110"/>
      <c r="D59" s="80"/>
      <c r="E59" s="514"/>
      <c r="F59" s="113"/>
      <c r="G59" s="113"/>
      <c r="H59" s="113"/>
      <c r="I59" s="113"/>
      <c r="J59" s="113"/>
      <c r="K59" s="113"/>
      <c r="L59" s="113"/>
      <c r="M59" s="113"/>
    </row>
    <row r="60" spans="1:48" ht="15.75" customHeight="1">
      <c r="B60" s="76"/>
      <c r="C60" s="369" t="s">
        <v>894</v>
      </c>
      <c r="D60" s="508"/>
      <c r="E60" s="509"/>
      <c r="F60" s="80"/>
      <c r="G60" s="80"/>
      <c r="H60" s="80"/>
      <c r="I60" s="80"/>
      <c r="J60" s="80"/>
      <c r="K60" s="80"/>
      <c r="L60" s="80"/>
      <c r="M60" s="80"/>
    </row>
    <row r="61" spans="1:48" ht="15.75" customHeight="1">
      <c r="B61" s="76"/>
      <c r="C61" s="110" t="s">
        <v>896</v>
      </c>
      <c r="D61" s="114"/>
      <c r="E61" s="88"/>
      <c r="F61" s="80">
        <f>SUM($F$50:F50)</f>
        <v>-4484201</v>
      </c>
      <c r="G61" s="80">
        <f>SUM($F$50:G50)</f>
        <v>-22634448</v>
      </c>
      <c r="H61" s="80">
        <f>SUM($F$50:H50)</f>
        <v>-45949654</v>
      </c>
      <c r="I61" s="80">
        <f>SUM($F$50:I50)</f>
        <v>-29938179.5</v>
      </c>
      <c r="J61" s="80">
        <f>SUM($F$50:J50)</f>
        <v>-38467270</v>
      </c>
      <c r="K61" s="80">
        <f>SUM($F$50:K50)</f>
        <v>-31544692.5</v>
      </c>
      <c r="L61" s="80">
        <f>SUM($F$50:L50)</f>
        <v>-33151205.5</v>
      </c>
      <c r="M61" s="80">
        <f>SUM($F$50:M50)</f>
        <v>-33151205.5</v>
      </c>
    </row>
    <row r="62" spans="1:48" ht="15.75" hidden="1" customHeight="1" outlineLevel="1">
      <c r="B62" s="76"/>
      <c r="C62" s="110" t="s">
        <v>380</v>
      </c>
      <c r="D62" s="110"/>
      <c r="E62" s="88"/>
      <c r="F62" s="80">
        <f>SUM(F63:F64)</f>
        <v>0</v>
      </c>
      <c r="G62" s="80">
        <v>0</v>
      </c>
      <c r="H62" s="80">
        <v>0</v>
      </c>
      <c r="I62" s="80">
        <v>0</v>
      </c>
      <c r="J62" s="80">
        <v>0</v>
      </c>
      <c r="K62" s="80">
        <v>0</v>
      </c>
      <c r="L62" s="80">
        <v>0</v>
      </c>
      <c r="M62" s="80">
        <v>0</v>
      </c>
    </row>
    <row r="63" spans="1:48" ht="15.75" hidden="1" customHeight="1" outlineLevel="1">
      <c r="B63" s="76"/>
      <c r="C63" s="516" t="s">
        <v>381</v>
      </c>
      <c r="D63" s="80"/>
      <c r="E63" s="88"/>
      <c r="F63" s="80">
        <v>0</v>
      </c>
      <c r="G63" s="80">
        <v>0</v>
      </c>
      <c r="H63" s="80">
        <v>0</v>
      </c>
      <c r="I63" s="80">
        <v>0</v>
      </c>
      <c r="J63" s="80">
        <v>0</v>
      </c>
      <c r="K63" s="80">
        <v>0</v>
      </c>
      <c r="L63" s="80">
        <v>0</v>
      </c>
      <c r="M63" s="80">
        <v>0</v>
      </c>
    </row>
    <row r="64" spans="1:48" ht="15.75" hidden="1" customHeight="1" outlineLevel="1">
      <c r="B64" s="76"/>
      <c r="C64" s="516" t="s">
        <v>382</v>
      </c>
      <c r="D64" s="80"/>
      <c r="E64" s="88"/>
      <c r="F64" s="80">
        <v>0</v>
      </c>
      <c r="G64" s="80">
        <v>0</v>
      </c>
      <c r="H64" s="80">
        <v>0</v>
      </c>
      <c r="I64" s="80">
        <v>0</v>
      </c>
      <c r="J64" s="80">
        <v>0</v>
      </c>
      <c r="K64" s="80">
        <v>0</v>
      </c>
      <c r="L64" s="80">
        <v>0</v>
      </c>
      <c r="M64" s="80">
        <v>0</v>
      </c>
    </row>
    <row r="65" spans="1:14" s="157" customFormat="1" hidden="1" outlineLevel="1">
      <c r="A65" s="460"/>
      <c r="B65" s="76"/>
      <c r="C65" s="110" t="s">
        <v>383</v>
      </c>
      <c r="D65" s="80"/>
      <c r="E65" s="88"/>
      <c r="F65" s="80">
        <v>0</v>
      </c>
      <c r="G65" s="80">
        <v>0</v>
      </c>
      <c r="H65" s="80">
        <v>0</v>
      </c>
      <c r="I65" s="80">
        <v>0</v>
      </c>
      <c r="J65" s="80">
        <v>0</v>
      </c>
      <c r="K65" s="80">
        <v>0</v>
      </c>
      <c r="L65" s="80">
        <v>0</v>
      </c>
      <c r="M65" s="80">
        <v>0</v>
      </c>
      <c r="N65" s="76"/>
    </row>
    <row r="66" spans="1:14" ht="15.75" hidden="1" customHeight="1" outlineLevel="1">
      <c r="B66" s="76"/>
      <c r="C66" s="110" t="s">
        <v>344</v>
      </c>
      <c r="D66" s="80"/>
      <c r="E66" s="88"/>
      <c r="F66" s="80">
        <v>0</v>
      </c>
      <c r="G66" s="80">
        <v>0</v>
      </c>
      <c r="H66" s="80">
        <v>0</v>
      </c>
      <c r="I66" s="80">
        <v>0</v>
      </c>
      <c r="J66" s="80">
        <v>0</v>
      </c>
      <c r="K66" s="80">
        <v>0</v>
      </c>
      <c r="L66" s="80">
        <v>0</v>
      </c>
      <c r="M66" s="80">
        <v>0</v>
      </c>
      <c r="N66" s="76"/>
    </row>
    <row r="67" spans="1:14" ht="15.75" customHeight="1" collapsed="1">
      <c r="B67" s="76"/>
      <c r="C67" s="110" t="s">
        <v>897</v>
      </c>
      <c r="D67" s="80"/>
      <c r="E67" s="88"/>
      <c r="F67" s="80">
        <f>-SUM($F$25:F25)</f>
        <v>0</v>
      </c>
      <c r="G67" s="80">
        <f>-SUM($F$25:G25)</f>
        <v>0</v>
      </c>
      <c r="H67" s="80">
        <f>-SUM($F$25:H25)</f>
        <v>0</v>
      </c>
      <c r="I67" s="80">
        <f>-SUM($F$25:I25)</f>
        <v>0</v>
      </c>
      <c r="J67" s="80">
        <f>-SUM($F$25:J25)</f>
        <v>0</v>
      </c>
      <c r="K67" s="80">
        <f>-SUM($F$25:K25)</f>
        <v>0</v>
      </c>
      <c r="L67" s="80">
        <f>-SUM($F$25:L25)</f>
        <v>0</v>
      </c>
      <c r="M67" s="80">
        <f>-SUM($F$25:M25)</f>
        <v>0</v>
      </c>
      <c r="N67" s="76"/>
    </row>
    <row r="68" spans="1:14" ht="15.75" customHeight="1">
      <c r="B68" s="76"/>
      <c r="C68" s="110" t="s">
        <v>898</v>
      </c>
      <c r="D68" s="80"/>
      <c r="E68" s="88"/>
      <c r="F68" s="80">
        <f t="shared" ref="F68:M68" si="21">SUM(F61:F62,F65:F67)</f>
        <v>-4484201</v>
      </c>
      <c r="G68" s="80">
        <f t="shared" si="21"/>
        <v>-22634448</v>
      </c>
      <c r="H68" s="80">
        <f t="shared" si="21"/>
        <v>-45949654</v>
      </c>
      <c r="I68" s="80">
        <f t="shared" si="21"/>
        <v>-29938179.5</v>
      </c>
      <c r="J68" s="80">
        <f t="shared" si="21"/>
        <v>-38467270</v>
      </c>
      <c r="K68" s="80">
        <f t="shared" si="21"/>
        <v>-31544692.5</v>
      </c>
      <c r="L68" s="80">
        <f>SUM(L61:L62,L65:L67)</f>
        <v>-33151205.5</v>
      </c>
      <c r="M68" s="80">
        <f t="shared" si="21"/>
        <v>-33151205.5</v>
      </c>
      <c r="N68" s="76"/>
    </row>
    <row r="69" spans="1:14" ht="15.75" customHeight="1">
      <c r="B69" s="76"/>
      <c r="C69" s="110"/>
      <c r="D69" s="80"/>
      <c r="E69" s="88"/>
      <c r="F69" s="100"/>
      <c r="G69" s="100"/>
      <c r="H69" s="100"/>
      <c r="I69" s="100"/>
      <c r="J69" s="100"/>
      <c r="K69" s="100"/>
      <c r="L69" s="100"/>
      <c r="M69" s="100"/>
      <c r="N69" s="155"/>
    </row>
    <row r="70" spans="1:14" ht="15.75" customHeight="1">
      <c r="B70" s="76"/>
      <c r="C70" s="110" t="s">
        <v>899</v>
      </c>
      <c r="D70" s="110"/>
      <c r="E70" s="88"/>
      <c r="F70" s="80">
        <f>-SUM($F$37:F37)</f>
        <v>4484201</v>
      </c>
      <c r="G70" s="80">
        <f>-SUM($F$37:G37)</f>
        <v>22130191</v>
      </c>
      <c r="H70" s="80">
        <f>-SUM($F$37:H37)</f>
        <v>31371618</v>
      </c>
      <c r="I70" s="80">
        <f>-SUM($F$37:I37)</f>
        <v>38243286</v>
      </c>
      <c r="J70" s="80">
        <f>-SUM($F$37:J37)</f>
        <v>45114954</v>
      </c>
      <c r="K70" s="80">
        <f>-SUM($F$37:K37)</f>
        <v>45114954</v>
      </c>
      <c r="L70" s="80">
        <f>-SUM($F$37:L37)</f>
        <v>51986622</v>
      </c>
      <c r="M70" s="80">
        <f>-SUM($F$37:M37)</f>
        <v>51986622</v>
      </c>
      <c r="N70" s="155"/>
    </row>
    <row r="71" spans="1:14" s="157" customFormat="1" ht="15.75" hidden="1" customHeight="1" outlineLevel="1">
      <c r="A71" s="460"/>
      <c r="B71" s="76"/>
      <c r="C71" s="110" t="s">
        <v>37</v>
      </c>
      <c r="D71" s="80"/>
      <c r="E71" s="88"/>
      <c r="F71" s="80">
        <v>0</v>
      </c>
      <c r="G71" s="80">
        <v>0</v>
      </c>
      <c r="H71" s="80">
        <v>0</v>
      </c>
      <c r="I71" s="80">
        <v>0</v>
      </c>
      <c r="J71" s="80">
        <v>0</v>
      </c>
      <c r="K71" s="80">
        <v>0</v>
      </c>
      <c r="L71" s="80">
        <v>0</v>
      </c>
      <c r="M71" s="80">
        <v>0</v>
      </c>
      <c r="N71" s="76"/>
    </row>
    <row r="72" spans="1:14" ht="15.75" hidden="1" customHeight="1" outlineLevel="1">
      <c r="B72" s="76"/>
      <c r="C72" s="110" t="s">
        <v>497</v>
      </c>
      <c r="D72" s="80"/>
      <c r="E72" s="88"/>
      <c r="F72" s="80">
        <v>0</v>
      </c>
      <c r="G72" s="80">
        <v>0</v>
      </c>
      <c r="H72" s="80">
        <v>0</v>
      </c>
      <c r="I72" s="80">
        <v>0</v>
      </c>
      <c r="J72" s="80">
        <v>0</v>
      </c>
      <c r="K72" s="80">
        <v>0</v>
      </c>
      <c r="L72" s="80">
        <v>0</v>
      </c>
      <c r="M72" s="80">
        <v>0</v>
      </c>
      <c r="N72" s="76"/>
    </row>
    <row r="73" spans="1:14" ht="15.75" hidden="1" customHeight="1" outlineLevel="1">
      <c r="B73" s="76"/>
      <c r="C73" s="110" t="s">
        <v>535</v>
      </c>
      <c r="D73" s="80"/>
      <c r="E73" s="88"/>
      <c r="F73" s="80">
        <v>0</v>
      </c>
      <c r="G73" s="80">
        <f t="shared" ref="G73:L73" si="22">F73</f>
        <v>0</v>
      </c>
      <c r="H73" s="80">
        <f t="shared" si="22"/>
        <v>0</v>
      </c>
      <c r="I73" s="80">
        <f t="shared" si="22"/>
        <v>0</v>
      </c>
      <c r="J73" s="80">
        <f t="shared" si="22"/>
        <v>0</v>
      </c>
      <c r="K73" s="80">
        <f t="shared" si="22"/>
        <v>0</v>
      </c>
      <c r="L73" s="80">
        <f t="shared" si="22"/>
        <v>0</v>
      </c>
      <c r="M73" s="80">
        <f>I73</f>
        <v>0</v>
      </c>
      <c r="N73" s="76"/>
    </row>
    <row r="74" spans="1:14" ht="15.75" hidden="1" customHeight="1" outlineLevel="1">
      <c r="B74" s="76"/>
      <c r="C74" s="110"/>
      <c r="D74" s="80"/>
      <c r="E74" s="88"/>
      <c r="F74" s="100"/>
      <c r="G74" s="100"/>
      <c r="H74" s="100"/>
      <c r="I74" s="100"/>
      <c r="J74" s="100"/>
      <c r="K74" s="100"/>
      <c r="L74" s="100"/>
      <c r="M74" s="100"/>
      <c r="N74" s="76"/>
    </row>
    <row r="75" spans="1:14" ht="15.75" customHeight="1" collapsed="1">
      <c r="B75" s="76"/>
      <c r="C75" s="110" t="s">
        <v>900</v>
      </c>
      <c r="D75" s="80"/>
      <c r="E75" s="88"/>
      <c r="F75" s="80">
        <f t="shared" ref="F75:M75" si="23">SUM(F68:F73)</f>
        <v>0</v>
      </c>
      <c r="G75" s="80">
        <f t="shared" si="23"/>
        <v>-504257</v>
      </c>
      <c r="H75" s="80">
        <f t="shared" si="23"/>
        <v>-14578036</v>
      </c>
      <c r="I75" s="80">
        <f t="shared" si="23"/>
        <v>8305106.5</v>
      </c>
      <c r="J75" s="80">
        <f t="shared" si="23"/>
        <v>6647684</v>
      </c>
      <c r="K75" s="80">
        <f t="shared" si="23"/>
        <v>13570261.5</v>
      </c>
      <c r="L75" s="80">
        <f>SUM(L68:L73)</f>
        <v>18835416.5</v>
      </c>
      <c r="M75" s="80">
        <f t="shared" si="23"/>
        <v>18835416.5</v>
      </c>
      <c r="N75" s="155"/>
    </row>
    <row r="76" spans="1:14" ht="15.75" customHeight="1">
      <c r="B76" s="76"/>
      <c r="C76" s="372"/>
      <c r="D76" s="110"/>
      <c r="E76" s="88"/>
      <c r="F76" s="100"/>
      <c r="G76" s="100"/>
      <c r="H76" s="100"/>
      <c r="I76" s="100"/>
      <c r="J76" s="100"/>
      <c r="K76" s="100"/>
      <c r="L76" s="100"/>
      <c r="M76" s="100"/>
      <c r="N76" s="76"/>
    </row>
    <row r="77" spans="1:14" s="157" customFormat="1" ht="15.75" customHeight="1">
      <c r="A77" s="460"/>
      <c r="B77" s="76"/>
      <c r="C77" s="369" t="s">
        <v>895</v>
      </c>
      <c r="D77" s="110"/>
      <c r="E77" s="88"/>
      <c r="F77" s="100"/>
      <c r="G77" s="100"/>
      <c r="H77" s="100"/>
      <c r="I77" s="100"/>
      <c r="J77" s="100"/>
      <c r="K77" s="100"/>
      <c r="L77" s="100"/>
      <c r="M77" s="100"/>
      <c r="N77" s="76"/>
    </row>
    <row r="78" spans="1:14" ht="15.75" hidden="1" customHeight="1" outlineLevel="1">
      <c r="B78" s="76"/>
      <c r="C78" s="110" t="s">
        <v>387</v>
      </c>
      <c r="D78" s="110"/>
      <c r="E78" s="88"/>
      <c r="F78" s="80">
        <f t="shared" ref="F78:M78" si="24">SUM(F79:F80)</f>
        <v>0</v>
      </c>
      <c r="G78" s="80">
        <f t="shared" si="24"/>
        <v>0</v>
      </c>
      <c r="H78" s="80">
        <f t="shared" si="24"/>
        <v>0</v>
      </c>
      <c r="I78" s="80">
        <f t="shared" si="24"/>
        <v>0</v>
      </c>
      <c r="J78" s="80">
        <f t="shared" si="24"/>
        <v>0</v>
      </c>
      <c r="K78" s="80">
        <f t="shared" si="24"/>
        <v>0</v>
      </c>
      <c r="L78" s="80">
        <f>SUM(L79:L80)</f>
        <v>0</v>
      </c>
      <c r="M78" s="80">
        <f t="shared" si="24"/>
        <v>0</v>
      </c>
      <c r="N78" s="76"/>
    </row>
    <row r="79" spans="1:14" ht="15.75" hidden="1" customHeight="1" outlineLevel="1">
      <c r="B79" s="76"/>
      <c r="C79" s="516" t="s">
        <v>388</v>
      </c>
      <c r="D79" s="80"/>
      <c r="E79" s="88"/>
      <c r="F79" s="80">
        <v>0</v>
      </c>
      <c r="G79" s="80">
        <v>0</v>
      </c>
      <c r="H79" s="80">
        <v>0</v>
      </c>
      <c r="I79" s="80">
        <v>0</v>
      </c>
      <c r="J79" s="80">
        <v>0</v>
      </c>
      <c r="K79" s="80">
        <v>0</v>
      </c>
      <c r="L79" s="80">
        <v>0</v>
      </c>
      <c r="M79" s="80">
        <v>0</v>
      </c>
      <c r="N79" s="76"/>
    </row>
    <row r="80" spans="1:14" ht="15.75" hidden="1" customHeight="1" outlineLevel="1">
      <c r="B80" s="76"/>
      <c r="C80" s="516" t="s">
        <v>389</v>
      </c>
      <c r="D80" s="80"/>
      <c r="E80" s="88"/>
      <c r="F80" s="80">
        <v>0</v>
      </c>
      <c r="G80" s="80">
        <v>0</v>
      </c>
      <c r="H80" s="80">
        <v>0</v>
      </c>
      <c r="I80" s="80">
        <v>0</v>
      </c>
      <c r="J80" s="80">
        <v>0</v>
      </c>
      <c r="K80" s="80">
        <v>0</v>
      </c>
      <c r="L80" s="80">
        <v>0</v>
      </c>
      <c r="M80" s="80">
        <v>0</v>
      </c>
      <c r="N80" s="76"/>
    </row>
    <row r="81" spans="1:48" hidden="1" outlineLevel="1">
      <c r="B81" s="76"/>
      <c r="C81" s="110" t="s">
        <v>390</v>
      </c>
      <c r="D81" s="80"/>
      <c r="E81" s="88"/>
      <c r="F81" s="80">
        <v>0</v>
      </c>
      <c r="G81" s="80">
        <v>0</v>
      </c>
      <c r="H81" s="80">
        <v>0</v>
      </c>
      <c r="I81" s="80">
        <v>0</v>
      </c>
      <c r="J81" s="80">
        <v>0</v>
      </c>
      <c r="K81" s="80">
        <v>0</v>
      </c>
      <c r="L81" s="80">
        <v>0</v>
      </c>
      <c r="M81" s="80">
        <v>0</v>
      </c>
      <c r="N81" s="76"/>
    </row>
    <row r="82" spans="1:48" ht="15.75" hidden="1" customHeight="1" outlineLevel="1">
      <c r="B82" s="76"/>
      <c r="C82" s="110" t="s">
        <v>391</v>
      </c>
      <c r="D82" s="80"/>
      <c r="E82" s="88"/>
      <c r="F82" s="80">
        <f t="shared" ref="F82:M82" si="25">SUM(F81,F78)</f>
        <v>0</v>
      </c>
      <c r="G82" s="80">
        <f t="shared" si="25"/>
        <v>0</v>
      </c>
      <c r="H82" s="80">
        <f t="shared" si="25"/>
        <v>0</v>
      </c>
      <c r="I82" s="80">
        <f t="shared" si="25"/>
        <v>0</v>
      </c>
      <c r="J82" s="80">
        <f t="shared" si="25"/>
        <v>0</v>
      </c>
      <c r="K82" s="80">
        <f t="shared" si="25"/>
        <v>0</v>
      </c>
      <c r="L82" s="80">
        <f>SUM(L81,L78)</f>
        <v>0</v>
      </c>
      <c r="M82" s="80">
        <f t="shared" si="25"/>
        <v>0</v>
      </c>
      <c r="N82" s="76"/>
    </row>
    <row r="83" spans="1:48" ht="15.75" hidden="1" customHeight="1" outlineLevel="1">
      <c r="B83" s="76"/>
      <c r="C83" s="110"/>
      <c r="D83" s="110"/>
      <c r="E83" s="88"/>
      <c r="F83" s="100"/>
      <c r="G83" s="100"/>
      <c r="H83" s="100"/>
      <c r="I83" s="100"/>
      <c r="J83" s="100"/>
      <c r="K83" s="100"/>
      <c r="L83" s="100"/>
      <c r="M83" s="100"/>
      <c r="N83" s="76"/>
    </row>
    <row r="84" spans="1:48" ht="15.75" hidden="1" customHeight="1" outlineLevel="1">
      <c r="B84" s="76"/>
      <c r="C84" s="110" t="s">
        <v>392</v>
      </c>
      <c r="D84" s="110"/>
      <c r="E84" s="88"/>
      <c r="F84" s="80">
        <f>-SUM($F$45:F45)</f>
        <v>0</v>
      </c>
      <c r="G84" s="80">
        <f>-SUM($F$45:G45)</f>
        <v>0</v>
      </c>
      <c r="H84" s="80">
        <f>-SUM($F$45:H45)</f>
        <v>0</v>
      </c>
      <c r="I84" s="80">
        <f>-SUM($F$45:I45)</f>
        <v>0</v>
      </c>
      <c r="J84" s="80">
        <f>-SUM($F$45:J45)</f>
        <v>0</v>
      </c>
      <c r="K84" s="80">
        <f>-SUM($F$45:K45)</f>
        <v>0</v>
      </c>
      <c r="L84" s="80">
        <f>-SUM($F$45:L45)</f>
        <v>0</v>
      </c>
      <c r="M84" s="80">
        <f>-SUM($F$45:M45)</f>
        <v>0</v>
      </c>
    </row>
    <row r="85" spans="1:48" ht="15.75" hidden="1" customHeight="1" outlineLevel="1">
      <c r="B85" s="76"/>
      <c r="C85" s="110" t="s">
        <v>496</v>
      </c>
      <c r="D85" s="80"/>
      <c r="E85" s="88"/>
      <c r="F85" s="80">
        <f>-SUM($F$44:F44)</f>
        <v>0</v>
      </c>
      <c r="G85" s="80">
        <f>-SUM($F$44:G44)</f>
        <v>0</v>
      </c>
      <c r="H85" s="80">
        <f>-SUM($F$44:H44)</f>
        <v>0</v>
      </c>
      <c r="I85" s="80">
        <f>-SUM($F$44:I44)</f>
        <v>0</v>
      </c>
      <c r="J85" s="80">
        <f>-SUM($F$44:J44)</f>
        <v>0</v>
      </c>
      <c r="K85" s="80">
        <f>-SUM($F$44:K44)</f>
        <v>0</v>
      </c>
      <c r="L85" s="80">
        <f>-SUM($F$44:L44)</f>
        <v>0</v>
      </c>
      <c r="M85" s="80">
        <f>-SUM($F$44:M44)</f>
        <v>0</v>
      </c>
    </row>
    <row r="86" spans="1:48" hidden="1" outlineLevel="1">
      <c r="B86" s="76"/>
      <c r="C86" s="110" t="s">
        <v>534</v>
      </c>
      <c r="D86" s="80"/>
      <c r="E86" s="88"/>
      <c r="F86" s="80">
        <v>0</v>
      </c>
      <c r="G86" s="80">
        <f t="shared" ref="G86:L86" si="26">F86</f>
        <v>0</v>
      </c>
      <c r="H86" s="80">
        <f t="shared" si="26"/>
        <v>0</v>
      </c>
      <c r="I86" s="80">
        <f t="shared" si="26"/>
        <v>0</v>
      </c>
      <c r="J86" s="80">
        <f t="shared" si="26"/>
        <v>0</v>
      </c>
      <c r="K86" s="80">
        <f t="shared" si="26"/>
        <v>0</v>
      </c>
      <c r="L86" s="80">
        <f t="shared" si="26"/>
        <v>0</v>
      </c>
      <c r="M86" s="80">
        <f>I86</f>
        <v>0</v>
      </c>
    </row>
    <row r="87" spans="1:48" ht="15.75" hidden="1" customHeight="1" outlineLevel="1">
      <c r="B87" s="76"/>
      <c r="C87" s="110"/>
      <c r="D87" s="110"/>
      <c r="E87" s="88"/>
      <c r="F87" s="100"/>
      <c r="G87" s="100"/>
      <c r="H87" s="100"/>
      <c r="I87" s="100"/>
      <c r="J87" s="100"/>
      <c r="K87" s="100"/>
      <c r="L87" s="100"/>
      <c r="M87" s="100"/>
    </row>
    <row r="88" spans="1:48" hidden="1" outlineLevel="1">
      <c r="B88" s="76"/>
      <c r="C88" s="110" t="s">
        <v>393</v>
      </c>
      <c r="D88" s="110"/>
      <c r="E88" s="88"/>
      <c r="F88" s="80">
        <f t="shared" ref="F88:M88" si="27">SUM(F82:F86)</f>
        <v>0</v>
      </c>
      <c r="G88" s="80">
        <f t="shared" si="27"/>
        <v>0</v>
      </c>
      <c r="H88" s="80">
        <f t="shared" si="27"/>
        <v>0</v>
      </c>
      <c r="I88" s="80">
        <f t="shared" si="27"/>
        <v>0</v>
      </c>
      <c r="J88" s="80">
        <f t="shared" si="27"/>
        <v>0</v>
      </c>
      <c r="K88" s="80">
        <f t="shared" si="27"/>
        <v>0</v>
      </c>
      <c r="L88" s="80">
        <f>SUM(L82:L86)</f>
        <v>0</v>
      </c>
      <c r="M88" s="80">
        <f t="shared" si="27"/>
        <v>0</v>
      </c>
    </row>
    <row r="89" spans="1:48" ht="15.75" customHeight="1" collapsed="1">
      <c r="B89" s="76"/>
      <c r="C89" s="372"/>
      <c r="D89" s="80"/>
      <c r="E89" s="88"/>
      <c r="F89" s="100"/>
      <c r="G89" s="100"/>
      <c r="H89" s="100"/>
      <c r="I89" s="100"/>
      <c r="J89" s="100"/>
      <c r="K89" s="100"/>
      <c r="L89" s="100"/>
      <c r="M89" s="100"/>
    </row>
    <row r="90" spans="1:48" ht="15.75" customHeight="1">
      <c r="B90" s="76"/>
      <c r="C90" s="110" t="s">
        <v>447</v>
      </c>
      <c r="D90" s="110"/>
      <c r="E90" s="88"/>
      <c r="F90" s="80">
        <f>SUM($F$15:F15)</f>
        <v>0</v>
      </c>
      <c r="G90" s="80">
        <f>SUM($F$15:G15)</f>
        <v>-504257</v>
      </c>
      <c r="H90" s="80">
        <f>SUM($F$15:H15)</f>
        <v>-14578036</v>
      </c>
      <c r="I90" s="80">
        <f>SUM($F$15:I15)</f>
        <v>8305106.5</v>
      </c>
      <c r="J90" s="80">
        <f>SUM($F$15:J15)</f>
        <v>6647684</v>
      </c>
      <c r="K90" s="80">
        <f>SUM($F$15:K15)</f>
        <v>13570261.5</v>
      </c>
      <c r="L90" s="80">
        <f>SUM($F$15:L15)</f>
        <v>18835416.5</v>
      </c>
      <c r="M90" s="80">
        <f>SUM($F$15:M15)</f>
        <v>18835416.5</v>
      </c>
    </row>
    <row r="91" spans="1:48" ht="15.75" customHeight="1">
      <c r="B91" s="76"/>
      <c r="C91" s="110"/>
      <c r="D91" s="80"/>
      <c r="E91" s="514"/>
      <c r="F91" s="100"/>
      <c r="G91" s="100"/>
      <c r="H91" s="100"/>
      <c r="I91" s="100"/>
      <c r="J91" s="100"/>
      <c r="K91" s="100"/>
      <c r="L91" s="100"/>
      <c r="M91" s="100"/>
    </row>
    <row r="92" spans="1:48" ht="15.75" customHeight="1">
      <c r="B92" s="76"/>
      <c r="C92" s="472" t="s">
        <v>901</v>
      </c>
      <c r="D92" s="115"/>
      <c r="E92" s="498"/>
      <c r="F92" s="115">
        <f t="shared" ref="F92:M92" si="28">SUM(F88:F90)</f>
        <v>0</v>
      </c>
      <c r="G92" s="115">
        <f t="shared" si="28"/>
        <v>-504257</v>
      </c>
      <c r="H92" s="115">
        <f t="shared" si="28"/>
        <v>-14578036</v>
      </c>
      <c r="I92" s="115">
        <f t="shared" si="28"/>
        <v>8305106.5</v>
      </c>
      <c r="J92" s="115">
        <f t="shared" si="28"/>
        <v>6647684</v>
      </c>
      <c r="K92" s="115">
        <f t="shared" si="28"/>
        <v>13570261.5</v>
      </c>
      <c r="L92" s="115">
        <f>SUM(L88:L90)</f>
        <v>18835416.5</v>
      </c>
      <c r="M92" s="115">
        <f t="shared" si="28"/>
        <v>18835416.5</v>
      </c>
    </row>
    <row r="93" spans="1:48" ht="15.75" customHeight="1">
      <c r="B93" s="76"/>
      <c r="C93" s="374"/>
      <c r="D93" s="80"/>
      <c r="E93" s="514"/>
      <c r="F93" s="100"/>
      <c r="G93" s="100"/>
      <c r="H93" s="100"/>
      <c r="I93" s="100"/>
      <c r="J93" s="100"/>
      <c r="K93" s="100"/>
      <c r="L93" s="100"/>
      <c r="M93" s="100"/>
    </row>
    <row r="94" spans="1:48" s="1000" customFormat="1" ht="15.75" customHeight="1">
      <c r="A94" s="1672"/>
      <c r="B94" s="1673"/>
      <c r="C94" s="1674" t="s">
        <v>365</v>
      </c>
      <c r="D94" s="999"/>
      <c r="E94" s="1673"/>
      <c r="F94" s="1675">
        <f t="shared" ref="F94:M94" si="29">F92-F75</f>
        <v>0</v>
      </c>
      <c r="G94" s="1675">
        <f t="shared" si="29"/>
        <v>0</v>
      </c>
      <c r="H94" s="1675">
        <f t="shared" si="29"/>
        <v>0</v>
      </c>
      <c r="I94" s="1675">
        <f t="shared" si="29"/>
        <v>0</v>
      </c>
      <c r="J94" s="1675">
        <f t="shared" si="29"/>
        <v>0</v>
      </c>
      <c r="K94" s="1675">
        <f t="shared" si="29"/>
        <v>0</v>
      </c>
      <c r="L94" s="1675">
        <f>L92-L75</f>
        <v>0</v>
      </c>
      <c r="M94" s="1675">
        <f t="shared" si="29"/>
        <v>0</v>
      </c>
      <c r="N94" s="999"/>
      <c r="O94" s="999"/>
      <c r="P94" s="999"/>
      <c r="Q94" s="999"/>
      <c r="R94" s="999"/>
      <c r="S94" s="999"/>
      <c r="T94" s="999"/>
      <c r="U94" s="999"/>
      <c r="V94" s="999"/>
      <c r="W94" s="999"/>
      <c r="X94" s="999"/>
      <c r="Y94" s="999"/>
      <c r="Z94" s="999"/>
      <c r="AA94" s="999"/>
      <c r="AB94" s="999"/>
      <c r="AC94" s="999"/>
      <c r="AD94" s="999"/>
      <c r="AE94" s="999"/>
      <c r="AF94" s="999"/>
      <c r="AG94" s="999"/>
      <c r="AH94" s="999"/>
      <c r="AI94" s="999"/>
      <c r="AJ94" s="999"/>
      <c r="AK94" s="999"/>
      <c r="AL94" s="999"/>
      <c r="AM94" s="999"/>
      <c r="AN94" s="999"/>
      <c r="AO94" s="999"/>
      <c r="AP94" s="999"/>
      <c r="AQ94" s="999"/>
      <c r="AR94" s="999"/>
      <c r="AS94" s="999"/>
      <c r="AT94" s="999"/>
      <c r="AU94" s="999"/>
      <c r="AV94" s="999"/>
    </row>
    <row r="95" spans="1:48" ht="15.75" customHeight="1">
      <c r="B95" s="76"/>
      <c r="C95" s="102"/>
      <c r="D95" s="102"/>
      <c r="F95" s="437"/>
      <c r="G95" s="437"/>
      <c r="H95" s="437"/>
      <c r="I95" s="437"/>
      <c r="J95" s="437"/>
      <c r="K95" s="437"/>
      <c r="L95" s="437"/>
      <c r="M95" s="437"/>
    </row>
    <row r="96" spans="1:48">
      <c r="B96" s="91"/>
      <c r="C96" s="95"/>
      <c r="D96" s="95"/>
      <c r="E96" s="470"/>
      <c r="F96" s="96"/>
      <c r="G96" s="96"/>
      <c r="H96" s="96"/>
      <c r="I96" s="96"/>
      <c r="J96" s="96"/>
      <c r="K96" s="96"/>
      <c r="L96" s="96"/>
      <c r="M96" s="96"/>
    </row>
    <row r="97" spans="1:14" ht="27">
      <c r="B97" s="91"/>
      <c r="C97" s="462" t="s">
        <v>890</v>
      </c>
      <c r="D97" s="95"/>
      <c r="E97" s="470"/>
      <c r="F97" s="96"/>
      <c r="G97" s="96"/>
      <c r="H97" s="96"/>
      <c r="I97" s="96"/>
      <c r="J97" s="96"/>
      <c r="K97" s="96"/>
      <c r="L97" s="96"/>
      <c r="M97" s="96"/>
    </row>
    <row r="98" spans="1:14" ht="15.75" customHeight="1">
      <c r="B98" s="91"/>
      <c r="C98" s="95"/>
      <c r="D98" s="95"/>
      <c r="E98" s="470"/>
      <c r="F98" s="96"/>
      <c r="G98" s="96"/>
      <c r="H98" s="96"/>
      <c r="I98" s="96"/>
      <c r="J98" s="96"/>
      <c r="K98" s="96"/>
      <c r="L98" s="96"/>
      <c r="M98" s="96"/>
    </row>
    <row r="99" spans="1:14" ht="15.75" customHeight="1">
      <c r="B99" s="91"/>
      <c r="C99" s="1671"/>
      <c r="D99" s="95"/>
      <c r="E99" s="470"/>
      <c r="F99" s="96"/>
      <c r="G99" s="96"/>
      <c r="H99" s="96"/>
      <c r="I99" s="96"/>
      <c r="J99" s="96"/>
      <c r="K99" s="96"/>
      <c r="L99" s="96"/>
      <c r="M99" s="96"/>
    </row>
    <row r="100" spans="1:14" ht="15">
      <c r="A100" s="1682" t="s">
        <v>2094</v>
      </c>
      <c r="B100" s="1683"/>
      <c r="C100" s="1684"/>
      <c r="D100" s="546"/>
      <c r="E100" s="557"/>
      <c r="F100" s="92">
        <f t="shared" ref="F100:M102" si="30">F2</f>
        <v>0</v>
      </c>
      <c r="G100" s="92">
        <f t="shared" si="30"/>
        <v>1</v>
      </c>
      <c r="H100" s="92">
        <f t="shared" si="30"/>
        <v>2</v>
      </c>
      <c r="I100" s="92">
        <f t="shared" si="30"/>
        <v>3</v>
      </c>
      <c r="J100" s="92"/>
      <c r="K100" s="92"/>
      <c r="L100" s="92" t="str">
        <f t="shared" ref="J100:L102" si="31">L2</f>
        <v>Revised</v>
      </c>
      <c r="M100" s="92">
        <f t="shared" si="30"/>
        <v>4</v>
      </c>
    </row>
    <row r="101" spans="1:14" ht="15.75" customHeight="1">
      <c r="B101" s="159"/>
      <c r="C101" s="548"/>
      <c r="D101" s="548"/>
      <c r="E101" s="489"/>
      <c r="F101" s="93"/>
      <c r="G101" s="93"/>
      <c r="H101" s="93"/>
      <c r="I101" s="93"/>
      <c r="J101" s="93" t="str">
        <f t="shared" si="31"/>
        <v>1H 3 Y</v>
      </c>
      <c r="K101" s="93" t="str">
        <f t="shared" si="31"/>
        <v>2H 3 Y</v>
      </c>
      <c r="L101" s="93"/>
      <c r="M101" s="93"/>
    </row>
    <row r="102" spans="1:14" ht="15.75" customHeight="1">
      <c r="B102" s="159"/>
      <c r="C102" s="467"/>
      <c r="D102" s="471"/>
      <c r="E102" s="490"/>
      <c r="F102" s="94" t="str">
        <f t="shared" si="30"/>
        <v>($)</v>
      </c>
      <c r="G102" s="94" t="str">
        <f t="shared" si="30"/>
        <v>($)</v>
      </c>
      <c r="H102" s="94" t="str">
        <f t="shared" si="30"/>
        <v>($)</v>
      </c>
      <c r="I102" s="94" t="str">
        <f t="shared" si="30"/>
        <v>($)</v>
      </c>
      <c r="J102" s="94">
        <f t="shared" si="31"/>
        <v>0</v>
      </c>
      <c r="K102" s="94">
        <f t="shared" si="31"/>
        <v>0</v>
      </c>
      <c r="L102" s="94" t="str">
        <f t="shared" si="31"/>
        <v>($)</v>
      </c>
      <c r="M102" s="94" t="str">
        <f t="shared" si="30"/>
        <v>($)</v>
      </c>
    </row>
    <row r="103" spans="1:14" ht="15.75" customHeight="1">
      <c r="B103" s="91"/>
      <c r="C103" s="95"/>
      <c r="D103" s="95"/>
      <c r="E103" s="470"/>
      <c r="F103" s="96"/>
      <c r="G103" s="96"/>
      <c r="H103" s="96"/>
      <c r="I103" s="96"/>
      <c r="J103" s="96"/>
      <c r="K103" s="96"/>
      <c r="L103" s="96"/>
      <c r="M103" s="96"/>
    </row>
    <row r="104" spans="1:14" ht="15.75" customHeight="1">
      <c r="B104" s="91"/>
      <c r="C104" s="162" t="s">
        <v>1221</v>
      </c>
      <c r="D104" s="95"/>
      <c r="E104" s="470"/>
      <c r="F104" s="96"/>
      <c r="G104" s="96"/>
      <c r="H104" s="96">
        <f t="shared" ref="H104:M104" si="32">H106*H109+H107*H110</f>
        <v>0</v>
      </c>
      <c r="I104" s="96">
        <f t="shared" si="32"/>
        <v>71667750</v>
      </c>
      <c r="J104" s="96">
        <f t="shared" si="32"/>
        <v>0</v>
      </c>
      <c r="K104" s="96">
        <f t="shared" si="32"/>
        <v>0</v>
      </c>
      <c r="L104" s="96">
        <f t="shared" si="32"/>
        <v>0</v>
      </c>
      <c r="M104" s="96">
        <f t="shared" si="32"/>
        <v>0</v>
      </c>
    </row>
    <row r="105" spans="1:14" ht="15.75" customHeight="1">
      <c r="B105" s="91"/>
      <c r="C105" s="478" t="s">
        <v>873</v>
      </c>
      <c r="D105" s="95"/>
      <c r="E105" s="470"/>
      <c r="F105" s="96"/>
      <c r="G105" s="1685"/>
      <c r="H105" s="1685">
        <f>Commodities_prices!P125</f>
        <v>18000</v>
      </c>
      <c r="I105" s="1685">
        <f>Commodities_prices!Q125</f>
        <v>17000</v>
      </c>
      <c r="J105" s="1685">
        <v>15500</v>
      </c>
      <c r="K105" s="1685">
        <f>Total!T145</f>
        <v>13500</v>
      </c>
      <c r="L105" s="1685">
        <f>K105</f>
        <v>13500</v>
      </c>
      <c r="M105" s="1685">
        <f>Commodities_prices!R125</f>
        <v>25000</v>
      </c>
    </row>
    <row r="106" spans="1:14" s="152" customFormat="1" ht="15.75" customHeight="1">
      <c r="A106" s="460"/>
      <c r="B106" s="91"/>
      <c r="C106" s="1677" t="s">
        <v>708</v>
      </c>
      <c r="D106" s="95"/>
      <c r="E106" s="470"/>
      <c r="F106" s="96"/>
      <c r="G106" s="1686"/>
      <c r="H106" s="1686">
        <f>H105*(1-1*H115)*H113*(H113*H116)</f>
        <v>48.988800000000012</v>
      </c>
      <c r="I106" s="1686">
        <f>I105*(1-I115)*I113*I116</f>
        <v>37.485000000000007</v>
      </c>
      <c r="J106" s="1686">
        <f>J105*(1-J115)*J113*J116</f>
        <v>34.177500000000002</v>
      </c>
      <c r="K106" s="1686">
        <f>K105*(1-K115)*K113*K116</f>
        <v>29.767500000000005</v>
      </c>
      <c r="L106" s="1686">
        <f>K106</f>
        <v>29.767500000000005</v>
      </c>
      <c r="M106" s="1686">
        <f>M105*(1-1*M115)*M113*(M113*M116)</f>
        <v>68.04000000000002</v>
      </c>
      <c r="N106" s="75"/>
    </row>
    <row r="107" spans="1:14" ht="15.75" customHeight="1">
      <c r="B107" s="91"/>
      <c r="C107" s="1677" t="s">
        <v>710</v>
      </c>
      <c r="D107" s="95"/>
      <c r="E107" s="470"/>
      <c r="F107" s="96"/>
      <c r="G107" s="1686"/>
      <c r="H107" s="1686">
        <f>H105*(1-1*H120)*H118*(H118*H121)</f>
        <v>63</v>
      </c>
      <c r="I107" s="1686">
        <f>I105*(1-I120)*I118*(I118*I121)</f>
        <v>57.12</v>
      </c>
      <c r="J107" s="1686">
        <v>57.12</v>
      </c>
      <c r="K107" s="1686">
        <f>K105*(1-K120)*K118*0.18</f>
        <v>34.019999999999996</v>
      </c>
      <c r="L107" s="1686">
        <f>K107</f>
        <v>34.019999999999996</v>
      </c>
      <c r="M107" s="1686">
        <f>M105*(1-1*M120)*M118*(M118*M121)</f>
        <v>87.5</v>
      </c>
    </row>
    <row r="108" spans="1:14" ht="19.5" customHeight="1">
      <c r="A108" s="1687"/>
      <c r="B108" s="474"/>
      <c r="C108" s="1688" t="s">
        <v>868</v>
      </c>
      <c r="D108" s="95"/>
      <c r="E108" s="470"/>
      <c r="F108" s="96"/>
      <c r="G108" s="1689"/>
      <c r="H108" s="1689">
        <f t="shared" ref="H108:M108" si="33">H109+H110</f>
        <v>0</v>
      </c>
      <c r="I108" s="1689">
        <f t="shared" si="33"/>
        <v>1650000</v>
      </c>
      <c r="J108" s="1689">
        <f t="shared" si="33"/>
        <v>0</v>
      </c>
      <c r="K108" s="1689">
        <f t="shared" si="33"/>
        <v>0</v>
      </c>
      <c r="L108" s="1689">
        <f t="shared" si="33"/>
        <v>0</v>
      </c>
      <c r="M108" s="1689">
        <f t="shared" si="33"/>
        <v>0</v>
      </c>
    </row>
    <row r="109" spans="1:14" ht="14.25" customHeight="1">
      <c r="B109" s="91"/>
      <c r="C109" s="1677" t="s">
        <v>869</v>
      </c>
      <c r="D109" s="95"/>
      <c r="E109" s="470"/>
      <c r="F109" s="96"/>
      <c r="G109" s="1685"/>
      <c r="H109" s="1685">
        <v>0</v>
      </c>
      <c r="I109" s="1685">
        <v>1150000</v>
      </c>
      <c r="J109" s="1685">
        <v>0</v>
      </c>
      <c r="K109" s="1685">
        <v>0</v>
      </c>
      <c r="L109" s="1685">
        <f>SUM(J109:K109)</f>
        <v>0</v>
      </c>
      <c r="M109" s="1685">
        <v>0</v>
      </c>
    </row>
    <row r="110" spans="1:14" ht="15.75" customHeight="1">
      <c r="B110" s="91"/>
      <c r="C110" s="1677" t="s">
        <v>870</v>
      </c>
      <c r="D110" s="95"/>
      <c r="E110" s="470"/>
      <c r="F110" s="96"/>
      <c r="G110" s="1685"/>
      <c r="H110" s="1685">
        <v>0</v>
      </c>
      <c r="I110" s="1685">
        <v>500000</v>
      </c>
      <c r="J110" s="1685"/>
      <c r="K110" s="1685">
        <v>0</v>
      </c>
      <c r="L110" s="1685">
        <f>SUM(J110:K110)</f>
        <v>0</v>
      </c>
      <c r="M110" s="1685">
        <v>0</v>
      </c>
    </row>
    <row r="111" spans="1:14">
      <c r="B111" s="91"/>
      <c r="C111" s="1677"/>
      <c r="D111" s="95"/>
      <c r="E111" s="470"/>
      <c r="F111" s="96"/>
      <c r="G111" s="1686"/>
      <c r="H111" s="1686"/>
      <c r="I111" s="1686"/>
      <c r="J111" s="1686"/>
      <c r="K111" s="1686"/>
      <c r="L111" s="1686"/>
      <c r="M111" s="1686"/>
    </row>
    <row r="112" spans="1:14">
      <c r="B112" s="91"/>
      <c r="C112" s="1677" t="s">
        <v>883</v>
      </c>
      <c r="D112" s="95"/>
      <c r="E112" s="470"/>
      <c r="F112" s="96"/>
      <c r="G112" s="96"/>
      <c r="H112" s="96"/>
      <c r="I112" s="96"/>
      <c r="J112" s="96"/>
      <c r="K112" s="96"/>
      <c r="L112" s="96"/>
      <c r="M112" s="96"/>
    </row>
    <row r="113" spans="2:13">
      <c r="B113" s="91"/>
      <c r="C113" s="478" t="s">
        <v>882</v>
      </c>
      <c r="D113" s="95"/>
      <c r="E113" s="470"/>
      <c r="F113" s="96"/>
      <c r="G113" s="1690"/>
      <c r="H113" s="1690">
        <f>1.8%</f>
        <v>1.8000000000000002E-2</v>
      </c>
      <c r="I113" s="1690">
        <v>1.7500000000000002E-2</v>
      </c>
      <c r="J113" s="1690">
        <v>1.7500000000000002E-2</v>
      </c>
      <c r="K113" s="1690">
        <v>1.7500000000000002E-2</v>
      </c>
      <c r="L113" s="1690">
        <v>1.7500000000000002E-2</v>
      </c>
      <c r="M113" s="1690">
        <f>1.8%</f>
        <v>1.8000000000000002E-2</v>
      </c>
    </row>
    <row r="114" spans="2:13">
      <c r="B114" s="91"/>
      <c r="C114" s="478" t="s">
        <v>706</v>
      </c>
      <c r="D114" s="95"/>
      <c r="E114" s="470"/>
      <c r="F114" s="96"/>
      <c r="G114" s="1690"/>
      <c r="H114" s="1690">
        <v>0.15</v>
      </c>
      <c r="I114" s="1690">
        <v>0.15</v>
      </c>
      <c r="J114" s="1690">
        <v>0.15</v>
      </c>
      <c r="K114" s="1690">
        <v>0.15</v>
      </c>
      <c r="L114" s="1690">
        <v>0.15</v>
      </c>
      <c r="M114" s="1690">
        <v>0.15</v>
      </c>
    </row>
    <row r="115" spans="2:13" ht="15.75" customHeight="1">
      <c r="B115" s="91"/>
      <c r="C115" s="478" t="s">
        <v>707</v>
      </c>
      <c r="D115" s="95"/>
      <c r="E115" s="470"/>
      <c r="F115" s="96"/>
      <c r="G115" s="1690"/>
      <c r="H115" s="1690">
        <v>0.3</v>
      </c>
      <c r="I115" s="1690">
        <v>0.3</v>
      </c>
      <c r="J115" s="1690">
        <v>0.3</v>
      </c>
      <c r="K115" s="1690">
        <v>0.3</v>
      </c>
      <c r="L115" s="1690">
        <v>0.3</v>
      </c>
      <c r="M115" s="1690">
        <v>0.3</v>
      </c>
    </row>
    <row r="116" spans="2:13" ht="15.75" customHeight="1">
      <c r="B116" s="91"/>
      <c r="C116" s="478" t="s">
        <v>1214</v>
      </c>
      <c r="D116" s="95"/>
      <c r="E116" s="470"/>
      <c r="F116" s="96"/>
      <c r="G116" s="1690"/>
      <c r="H116" s="1685">
        <v>12</v>
      </c>
      <c r="I116" s="1690">
        <v>0.18</v>
      </c>
      <c r="J116" s="1690">
        <v>0.18</v>
      </c>
      <c r="K116" s="1690">
        <v>0.18</v>
      </c>
      <c r="L116" s="1690">
        <v>0.18</v>
      </c>
      <c r="M116" s="1685">
        <v>12</v>
      </c>
    </row>
    <row r="117" spans="2:13" ht="15.75" customHeight="1">
      <c r="B117" s="91"/>
      <c r="C117" s="1677" t="s">
        <v>884</v>
      </c>
      <c r="D117" s="95"/>
      <c r="E117" s="470"/>
      <c r="F117" s="96"/>
      <c r="G117" s="96"/>
      <c r="H117" s="96"/>
      <c r="I117" s="96"/>
      <c r="J117" s="96"/>
      <c r="K117" s="96"/>
      <c r="L117" s="96"/>
      <c r="M117" s="96"/>
    </row>
    <row r="118" spans="2:13" ht="15.75" customHeight="1">
      <c r="B118" s="91"/>
      <c r="C118" s="478" t="s">
        <v>882</v>
      </c>
      <c r="D118" s="95"/>
      <c r="E118" s="470"/>
      <c r="F118" s="96"/>
      <c r="G118" s="1690"/>
      <c r="H118" s="1690">
        <v>0.02</v>
      </c>
      <c r="I118" s="1690">
        <v>0.02</v>
      </c>
      <c r="J118" s="1690">
        <v>0.02</v>
      </c>
      <c r="K118" s="1690">
        <v>0.02</v>
      </c>
      <c r="L118" s="1690">
        <v>0.02</v>
      </c>
      <c r="M118" s="1690">
        <v>0.02</v>
      </c>
    </row>
    <row r="119" spans="2:13" ht="15.75" customHeight="1">
      <c r="B119" s="91"/>
      <c r="C119" s="478" t="s">
        <v>706</v>
      </c>
      <c r="D119" s="95"/>
      <c r="E119" s="470"/>
      <c r="F119" s="96"/>
      <c r="G119" s="1690"/>
      <c r="H119" s="1690">
        <v>0.22</v>
      </c>
      <c r="I119" s="1690">
        <v>0.22</v>
      </c>
      <c r="J119" s="1690">
        <v>0.22</v>
      </c>
      <c r="K119" s="1690">
        <v>0.22</v>
      </c>
      <c r="L119" s="1690">
        <v>0.22</v>
      </c>
      <c r="M119" s="1690">
        <v>0.22</v>
      </c>
    </row>
    <row r="120" spans="2:13" ht="15.75" customHeight="1">
      <c r="B120" s="91"/>
      <c r="C120" s="478" t="s">
        <v>707</v>
      </c>
      <c r="D120" s="95"/>
      <c r="E120" s="470"/>
      <c r="F120" s="96"/>
      <c r="G120" s="1690"/>
      <c r="H120" s="1690">
        <v>0.3</v>
      </c>
      <c r="I120" s="1690">
        <v>0.3</v>
      </c>
      <c r="J120" s="1690">
        <v>0.3</v>
      </c>
      <c r="K120" s="1690">
        <v>0.3</v>
      </c>
      <c r="L120" s="1690">
        <v>0.3</v>
      </c>
      <c r="M120" s="1690">
        <v>0.3</v>
      </c>
    </row>
    <row r="121" spans="2:13" ht="15.75" customHeight="1">
      <c r="B121" s="91"/>
      <c r="C121" s="478" t="s">
        <v>1214</v>
      </c>
      <c r="D121" s="95"/>
      <c r="E121" s="470"/>
      <c r="F121" s="96"/>
      <c r="G121" s="96"/>
      <c r="H121" s="1691">
        <v>12.5</v>
      </c>
      <c r="I121" s="1691">
        <v>12</v>
      </c>
      <c r="J121" s="1691">
        <v>12</v>
      </c>
      <c r="K121" s="1691">
        <v>12</v>
      </c>
      <c r="L121" s="1691">
        <v>12</v>
      </c>
      <c r="M121" s="1691">
        <v>12.5</v>
      </c>
    </row>
    <row r="122" spans="2:13" ht="15.75" customHeight="1">
      <c r="B122" s="91"/>
      <c r="C122" s="1677" t="s">
        <v>868</v>
      </c>
      <c r="D122" s="95"/>
      <c r="E122" s="470"/>
      <c r="F122" s="82"/>
      <c r="G122" s="82"/>
      <c r="H122" s="82">
        <f t="shared" ref="H122:M122" si="34">H123+H124</f>
        <v>0</v>
      </c>
      <c r="I122" s="82">
        <f t="shared" si="34"/>
        <v>30125.000000000004</v>
      </c>
      <c r="J122" s="82">
        <f t="shared" si="34"/>
        <v>0</v>
      </c>
      <c r="K122" s="82">
        <f t="shared" si="34"/>
        <v>0</v>
      </c>
      <c r="L122" s="82">
        <f t="shared" si="34"/>
        <v>0</v>
      </c>
      <c r="M122" s="82">
        <f t="shared" si="34"/>
        <v>0</v>
      </c>
    </row>
    <row r="123" spans="2:13" ht="15.75" customHeight="1">
      <c r="B123" s="91"/>
      <c r="C123" s="1677" t="s">
        <v>869</v>
      </c>
      <c r="D123" s="95"/>
      <c r="E123" s="470"/>
      <c r="F123" s="82"/>
      <c r="G123" s="82"/>
      <c r="H123" s="82">
        <f t="shared" ref="H123:M123" si="35">H109*H113</f>
        <v>0</v>
      </c>
      <c r="I123" s="82">
        <f t="shared" si="35"/>
        <v>20125.000000000004</v>
      </c>
      <c r="J123" s="82">
        <f t="shared" si="35"/>
        <v>0</v>
      </c>
      <c r="K123" s="82">
        <f t="shared" si="35"/>
        <v>0</v>
      </c>
      <c r="L123" s="82">
        <f t="shared" si="35"/>
        <v>0</v>
      </c>
      <c r="M123" s="82">
        <f t="shared" si="35"/>
        <v>0</v>
      </c>
    </row>
    <row r="124" spans="2:13" ht="15.75" customHeight="1">
      <c r="B124" s="91"/>
      <c r="C124" s="1677" t="s">
        <v>870</v>
      </c>
      <c r="D124" s="95"/>
      <c r="E124" s="470"/>
      <c r="F124" s="82"/>
      <c r="G124" s="82"/>
      <c r="H124" s="82">
        <f t="shared" ref="H124:M124" si="36">H110*H118</f>
        <v>0</v>
      </c>
      <c r="I124" s="82">
        <f t="shared" si="36"/>
        <v>10000</v>
      </c>
      <c r="J124" s="82">
        <f t="shared" si="36"/>
        <v>0</v>
      </c>
      <c r="K124" s="82">
        <f t="shared" si="36"/>
        <v>0</v>
      </c>
      <c r="L124" s="82">
        <f t="shared" si="36"/>
        <v>0</v>
      </c>
      <c r="M124" s="82">
        <f t="shared" si="36"/>
        <v>0</v>
      </c>
    </row>
    <row r="125" spans="2:13">
      <c r="B125" s="91"/>
      <c r="C125" s="1677" t="s">
        <v>704</v>
      </c>
      <c r="D125" s="95"/>
      <c r="E125" s="470"/>
      <c r="F125" s="82"/>
      <c r="G125" s="82"/>
      <c r="H125" s="82">
        <v>3</v>
      </c>
      <c r="I125" s="82">
        <f>H125</f>
        <v>3</v>
      </c>
      <c r="J125" s="82">
        <f>I125</f>
        <v>3</v>
      </c>
      <c r="K125" s="82">
        <f>J125</f>
        <v>3</v>
      </c>
      <c r="L125" s="82">
        <f>K125</f>
        <v>3</v>
      </c>
      <c r="M125" s="82">
        <f>I125</f>
        <v>3</v>
      </c>
    </row>
    <row r="126" spans="2:13" ht="14.25" customHeight="1">
      <c r="B126" s="91"/>
      <c r="C126" s="1677" t="s">
        <v>705</v>
      </c>
      <c r="D126" s="95"/>
      <c r="E126" s="470"/>
      <c r="F126" s="82"/>
      <c r="G126" s="82"/>
      <c r="H126" s="82">
        <f t="shared" ref="H126:M126" si="37">H122*H125</f>
        <v>0</v>
      </c>
      <c r="I126" s="82">
        <f t="shared" si="37"/>
        <v>90375.000000000015</v>
      </c>
      <c r="J126" s="82">
        <f t="shared" si="37"/>
        <v>0</v>
      </c>
      <c r="K126" s="82">
        <f t="shared" si="37"/>
        <v>0</v>
      </c>
      <c r="L126" s="82">
        <f t="shared" si="37"/>
        <v>0</v>
      </c>
      <c r="M126" s="82">
        <f t="shared" si="37"/>
        <v>0</v>
      </c>
    </row>
    <row r="127" spans="2:13" ht="15.75" customHeight="1">
      <c r="B127" s="91"/>
      <c r="C127" s="1677" t="s">
        <v>872</v>
      </c>
      <c r="D127" s="95"/>
      <c r="E127" s="470"/>
      <c r="F127" s="82"/>
      <c r="G127" s="82"/>
      <c r="H127" s="82">
        <v>32</v>
      </c>
      <c r="I127" s="82">
        <f>H127</f>
        <v>32</v>
      </c>
      <c r="J127" s="82">
        <f>I127</f>
        <v>32</v>
      </c>
      <c r="K127" s="82">
        <f>J127</f>
        <v>32</v>
      </c>
      <c r="L127" s="82">
        <f>K127</f>
        <v>32</v>
      </c>
      <c r="M127" s="82">
        <f>I127</f>
        <v>32</v>
      </c>
    </row>
    <row r="128" spans="2:13" ht="15.75" customHeight="1">
      <c r="B128" s="91"/>
      <c r="C128" s="1677"/>
      <c r="D128" s="95"/>
      <c r="E128" s="470"/>
      <c r="F128" s="96"/>
      <c r="G128" s="96"/>
      <c r="H128" s="96"/>
      <c r="I128" s="96"/>
      <c r="J128" s="96"/>
      <c r="K128" s="96"/>
      <c r="L128" s="96"/>
      <c r="M128" s="96"/>
    </row>
    <row r="129" spans="1:14" ht="15.75" customHeight="1">
      <c r="B129" s="91"/>
      <c r="C129" s="1677" t="s">
        <v>871</v>
      </c>
      <c r="D129" s="95"/>
      <c r="E129" s="1622"/>
      <c r="F129" s="1692"/>
      <c r="G129" s="705">
        <v>0.7</v>
      </c>
      <c r="H129" s="705">
        <v>1</v>
      </c>
      <c r="I129" s="705">
        <v>1</v>
      </c>
      <c r="J129" s="705">
        <v>1</v>
      </c>
      <c r="K129" s="705">
        <v>1</v>
      </c>
      <c r="L129" s="705">
        <v>1</v>
      </c>
      <c r="M129" s="705">
        <v>1</v>
      </c>
    </row>
    <row r="130" spans="1:14" s="157" customFormat="1" ht="15.75" customHeight="1">
      <c r="A130" s="460"/>
      <c r="B130" s="159"/>
      <c r="C130" s="467"/>
      <c r="D130" s="468"/>
      <c r="E130" s="466"/>
      <c r="F130" s="421"/>
      <c r="G130" s="421"/>
      <c r="H130" s="421"/>
      <c r="I130" s="421"/>
      <c r="J130" s="421"/>
      <c r="K130" s="421"/>
      <c r="L130" s="421"/>
      <c r="M130" s="421"/>
      <c r="N130" s="75"/>
    </row>
    <row r="131" spans="1:14" ht="15">
      <c r="A131" s="1682" t="s">
        <v>2095</v>
      </c>
      <c r="B131" s="159"/>
      <c r="C131" s="1671"/>
      <c r="D131" s="546"/>
      <c r="E131" s="557"/>
      <c r="F131" s="92"/>
      <c r="G131" s="92">
        <f t="shared" ref="G131:M131" si="38">G2</f>
        <v>1</v>
      </c>
      <c r="H131" s="92">
        <f t="shared" si="38"/>
        <v>2</v>
      </c>
      <c r="I131" s="92">
        <f t="shared" si="38"/>
        <v>3</v>
      </c>
      <c r="J131" s="92"/>
      <c r="K131" s="92"/>
      <c r="L131" s="92" t="str">
        <f t="shared" ref="J131:L132" si="39">L2</f>
        <v>Revised</v>
      </c>
      <c r="M131" s="92">
        <f t="shared" si="38"/>
        <v>4</v>
      </c>
    </row>
    <row r="132" spans="1:14" s="157" customFormat="1" ht="15.75" customHeight="1">
      <c r="A132" s="460"/>
      <c r="B132" s="159"/>
      <c r="C132" s="548"/>
      <c r="D132" s="548"/>
      <c r="E132" s="489"/>
      <c r="F132" s="93"/>
      <c r="G132" s="93"/>
      <c r="H132" s="93"/>
      <c r="I132" s="93"/>
      <c r="J132" s="93" t="str">
        <f t="shared" si="39"/>
        <v>1H 3 Y</v>
      </c>
      <c r="K132" s="93" t="str">
        <f t="shared" si="39"/>
        <v>2H 3 Y</v>
      </c>
      <c r="L132" s="93"/>
      <c r="M132" s="93"/>
      <c r="N132" s="75"/>
    </row>
    <row r="133" spans="1:14" ht="15">
      <c r="B133" s="159"/>
      <c r="C133" s="467" t="s">
        <v>888</v>
      </c>
      <c r="D133" s="471"/>
      <c r="E133" s="490"/>
      <c r="F133" s="94"/>
      <c r="G133" s="94" t="s">
        <v>499</v>
      </c>
      <c r="H133" s="94" t="s">
        <v>499</v>
      </c>
      <c r="I133" s="94" t="s">
        <v>499</v>
      </c>
      <c r="J133" s="94" t="s">
        <v>499</v>
      </c>
      <c r="K133" s="94" t="s">
        <v>499</v>
      </c>
      <c r="L133" s="94" t="s">
        <v>499</v>
      </c>
      <c r="M133" s="94" t="s">
        <v>499</v>
      </c>
    </row>
    <row r="134" spans="1:14" ht="15.75" customHeight="1">
      <c r="B134" s="159"/>
      <c r="C134" s="95"/>
      <c r="D134" s="95"/>
      <c r="E134" s="491"/>
      <c r="F134" s="144"/>
      <c r="G134" s="144"/>
      <c r="H134" s="144"/>
      <c r="I134" s="144"/>
      <c r="J134" s="144"/>
      <c r="K134" s="144"/>
      <c r="L134" s="144"/>
      <c r="M134" s="144"/>
    </row>
    <row r="135" spans="1:14" ht="15.75" customHeight="1">
      <c r="B135" s="161"/>
      <c r="C135" s="164" t="s">
        <v>874</v>
      </c>
      <c r="D135" s="155"/>
      <c r="E135" s="559"/>
      <c r="F135" s="1693"/>
      <c r="G135" s="1693"/>
      <c r="H135" s="1693">
        <v>22.576910714792472</v>
      </c>
      <c r="I135" s="1693">
        <v>32.159999999999997</v>
      </c>
      <c r="J135" s="1693">
        <v>32.159999999999997</v>
      </c>
      <c r="K135" s="1693">
        <v>32.159999999999997</v>
      </c>
      <c r="L135" s="1693">
        <v>32.159999999999997</v>
      </c>
      <c r="M135" s="1693">
        <f>I135</f>
        <v>32.159999999999997</v>
      </c>
    </row>
    <row r="136" spans="1:14" ht="15.75" customHeight="1">
      <c r="B136" s="159"/>
      <c r="C136" s="164" t="s">
        <v>875</v>
      </c>
      <c r="D136" s="76"/>
      <c r="E136" s="492"/>
      <c r="F136" s="134"/>
      <c r="G136" s="551"/>
      <c r="H136" s="1694">
        <f>20%*25.14</f>
        <v>5.0280000000000005</v>
      </c>
      <c r="I136" s="1694">
        <v>9.2100000000000009</v>
      </c>
      <c r="J136" s="1694">
        <v>9.2100000000000009</v>
      </c>
      <c r="K136" s="1694">
        <v>9.2100000000000009</v>
      </c>
      <c r="L136" s="1694">
        <v>9.2100000000000009</v>
      </c>
      <c r="M136" s="1694">
        <f>20%*25.14</f>
        <v>5.0280000000000005</v>
      </c>
    </row>
    <row r="137" spans="1:14" ht="15.75" customHeight="1">
      <c r="B137" s="159"/>
      <c r="C137" s="164" t="s">
        <v>876</v>
      </c>
      <c r="D137" s="76"/>
      <c r="E137" s="492"/>
      <c r="F137" s="134"/>
      <c r="G137" s="551"/>
      <c r="H137" s="1694">
        <f>20%*32.69</f>
        <v>6.5380000000000003</v>
      </c>
      <c r="I137" s="1694">
        <v>9.2100000000000009</v>
      </c>
      <c r="J137" s="1694">
        <v>9.2100000000000009</v>
      </c>
      <c r="K137" s="1694">
        <v>9.2100000000000009</v>
      </c>
      <c r="L137" s="1694">
        <v>9.2100000000000009</v>
      </c>
      <c r="M137" s="1694">
        <v>9.2100000000000009</v>
      </c>
    </row>
    <row r="138" spans="1:14" ht="15.75" customHeight="1">
      <c r="A138" s="848"/>
      <c r="B138" s="849"/>
      <c r="C138" s="850" t="s">
        <v>877</v>
      </c>
      <c r="D138" s="648"/>
      <c r="E138" s="1695"/>
      <c r="F138" s="1696"/>
      <c r="G138" s="1697"/>
      <c r="H138" s="1698">
        <f t="shared" ref="H138:M138" si="40">H135+H136</f>
        <v>27.604910714792474</v>
      </c>
      <c r="I138" s="1698">
        <f t="shared" si="40"/>
        <v>41.37</v>
      </c>
      <c r="J138" s="1698">
        <f t="shared" si="40"/>
        <v>41.37</v>
      </c>
      <c r="K138" s="1698">
        <f t="shared" si="40"/>
        <v>41.37</v>
      </c>
      <c r="L138" s="1698">
        <f t="shared" si="40"/>
        <v>41.37</v>
      </c>
      <c r="M138" s="1698">
        <f t="shared" si="40"/>
        <v>37.187999999999995</v>
      </c>
    </row>
    <row r="139" spans="1:14" ht="15.75" customHeight="1">
      <c r="A139" s="848"/>
      <c r="B139" s="849"/>
      <c r="C139" s="850" t="s">
        <v>878</v>
      </c>
      <c r="D139" s="648"/>
      <c r="E139" s="1695"/>
      <c r="F139" s="1696"/>
      <c r="G139" s="1697"/>
      <c r="H139" s="1698">
        <f t="shared" ref="H139:M139" si="41">H135+H137</f>
        <v>29.114910714792472</v>
      </c>
      <c r="I139" s="1698">
        <f t="shared" si="41"/>
        <v>41.37</v>
      </c>
      <c r="J139" s="1698">
        <f t="shared" si="41"/>
        <v>41.37</v>
      </c>
      <c r="K139" s="1698">
        <f t="shared" si="41"/>
        <v>41.37</v>
      </c>
      <c r="L139" s="1698">
        <f t="shared" si="41"/>
        <v>41.37</v>
      </c>
      <c r="M139" s="1698">
        <f t="shared" si="41"/>
        <v>41.37</v>
      </c>
      <c r="N139" s="158"/>
    </row>
    <row r="140" spans="1:14" ht="15">
      <c r="B140" s="159"/>
      <c r="C140" s="164"/>
      <c r="D140" s="76"/>
      <c r="E140" s="492"/>
      <c r="F140" s="146"/>
      <c r="G140" s="1693"/>
      <c r="H140" s="1693"/>
      <c r="I140" s="1693"/>
      <c r="J140" s="1693"/>
      <c r="K140" s="1693"/>
      <c r="L140" s="1693"/>
      <c r="M140" s="1693"/>
    </row>
    <row r="141" spans="1:14" s="157" customFormat="1" ht="15.75" customHeight="1">
      <c r="A141" s="460"/>
      <c r="B141" s="159"/>
      <c r="C141" s="164" t="s">
        <v>879</v>
      </c>
      <c r="D141" s="76"/>
      <c r="E141" s="492"/>
      <c r="F141" s="146"/>
      <c r="G141" s="1699"/>
      <c r="H141" s="1699">
        <f t="shared" ref="H141:M142" si="42">H138*H109</f>
        <v>0</v>
      </c>
      <c r="I141" s="1699">
        <f t="shared" si="42"/>
        <v>47575500</v>
      </c>
      <c r="J141" s="1699">
        <f t="shared" ref="J141:L142" si="43">J138*J109</f>
        <v>0</v>
      </c>
      <c r="K141" s="1699">
        <f t="shared" si="43"/>
        <v>0</v>
      </c>
      <c r="L141" s="1699">
        <f t="shared" si="43"/>
        <v>0</v>
      </c>
      <c r="M141" s="1699">
        <f t="shared" si="42"/>
        <v>0</v>
      </c>
      <c r="N141" s="75"/>
    </row>
    <row r="142" spans="1:14" ht="15.75" customHeight="1">
      <c r="B142" s="159"/>
      <c r="C142" s="164" t="s">
        <v>880</v>
      </c>
      <c r="D142" s="76"/>
      <c r="E142" s="492"/>
      <c r="F142" s="560"/>
      <c r="G142" s="1699"/>
      <c r="H142" s="1699">
        <f t="shared" si="42"/>
        <v>0</v>
      </c>
      <c r="I142" s="1699">
        <f t="shared" si="42"/>
        <v>20685000</v>
      </c>
      <c r="J142" s="1699">
        <f t="shared" si="43"/>
        <v>0</v>
      </c>
      <c r="K142" s="1699">
        <f t="shared" si="43"/>
        <v>0</v>
      </c>
      <c r="L142" s="1699">
        <f t="shared" si="43"/>
        <v>0</v>
      </c>
      <c r="M142" s="1699">
        <f t="shared" si="42"/>
        <v>0</v>
      </c>
    </row>
    <row r="143" spans="1:14" ht="15.75" customHeight="1">
      <c r="B143" s="159"/>
      <c r="C143" s="703" t="s">
        <v>881</v>
      </c>
      <c r="D143" s="76"/>
      <c r="E143" s="492"/>
      <c r="F143" s="560"/>
      <c r="G143" s="1700"/>
      <c r="H143" s="1700">
        <v>0.35</v>
      </c>
      <c r="I143" s="1700">
        <f t="shared" ref="I143:L145" si="44">H143</f>
        <v>0.35</v>
      </c>
      <c r="J143" s="1700">
        <f t="shared" si="44"/>
        <v>0.35</v>
      </c>
      <c r="K143" s="1700">
        <f t="shared" si="44"/>
        <v>0.35</v>
      </c>
      <c r="L143" s="1700">
        <f t="shared" si="44"/>
        <v>0.35</v>
      </c>
      <c r="M143" s="1700">
        <f>I143</f>
        <v>0.35</v>
      </c>
      <c r="N143" s="152"/>
    </row>
    <row r="144" spans="1:14" ht="15.75" customHeight="1">
      <c r="B144" s="159"/>
      <c r="C144" s="703" t="s">
        <v>1215</v>
      </c>
      <c r="D144" s="468"/>
      <c r="E144" s="466"/>
      <c r="F144" s="421"/>
      <c r="G144" s="421"/>
      <c r="H144" s="1699">
        <v>40</v>
      </c>
      <c r="I144" s="1699">
        <f t="shared" si="44"/>
        <v>40</v>
      </c>
      <c r="J144" s="1699">
        <f t="shared" si="44"/>
        <v>40</v>
      </c>
      <c r="K144" s="1699">
        <f t="shared" si="44"/>
        <v>40</v>
      </c>
      <c r="L144" s="1699">
        <f t="shared" si="44"/>
        <v>40</v>
      </c>
      <c r="M144" s="1699">
        <f>I144</f>
        <v>40</v>
      </c>
      <c r="N144" s="152"/>
    </row>
    <row r="145" spans="1:14" ht="15.75" customHeight="1">
      <c r="B145" s="159"/>
      <c r="C145" s="703" t="s">
        <v>1216</v>
      </c>
      <c r="D145" s="468"/>
      <c r="E145" s="466"/>
      <c r="F145" s="421"/>
      <c r="G145" s="421"/>
      <c r="H145" s="1699">
        <v>40</v>
      </c>
      <c r="I145" s="1699">
        <f t="shared" si="44"/>
        <v>40</v>
      </c>
      <c r="J145" s="1699">
        <f t="shared" si="44"/>
        <v>40</v>
      </c>
      <c r="K145" s="1699">
        <f t="shared" si="44"/>
        <v>40</v>
      </c>
      <c r="L145" s="1699">
        <f t="shared" si="44"/>
        <v>40</v>
      </c>
      <c r="M145" s="1699">
        <f>I145</f>
        <v>40</v>
      </c>
    </row>
    <row r="146" spans="1:14" ht="15.75" customHeight="1">
      <c r="B146" s="159"/>
      <c r="C146" s="546"/>
      <c r="D146" s="546"/>
      <c r="E146" s="547"/>
      <c r="F146" s="136"/>
      <c r="G146" s="136">
        <f t="shared" ref="G146:M146" si="45">G2</f>
        <v>1</v>
      </c>
      <c r="H146" s="136">
        <f t="shared" si="45"/>
        <v>2</v>
      </c>
      <c r="I146" s="136">
        <f t="shared" si="45"/>
        <v>3</v>
      </c>
      <c r="J146" s="136" t="s">
        <v>2092</v>
      </c>
      <c r="K146" s="136" t="s">
        <v>2093</v>
      </c>
      <c r="L146" s="136" t="str">
        <f t="shared" ref="L146" si="46">L2</f>
        <v>Revised</v>
      </c>
      <c r="M146" s="136">
        <f t="shared" si="45"/>
        <v>4</v>
      </c>
    </row>
    <row r="147" spans="1:14" ht="15.75" customHeight="1">
      <c r="B147" s="159"/>
      <c r="C147" s="1671" t="s">
        <v>2098</v>
      </c>
      <c r="D147" s="548"/>
      <c r="E147" s="470"/>
      <c r="F147" s="93"/>
      <c r="G147" s="93"/>
      <c r="H147" s="93"/>
      <c r="I147" s="93"/>
      <c r="J147" s="93"/>
      <c r="K147" s="93"/>
      <c r="L147" s="93"/>
      <c r="M147" s="93"/>
    </row>
    <row r="148" spans="1:14" ht="15.75" customHeight="1">
      <c r="B148" s="159"/>
      <c r="C148" s="471"/>
      <c r="D148" s="471"/>
      <c r="E148" s="473"/>
      <c r="F148" s="99"/>
      <c r="G148" s="99" t="s">
        <v>499</v>
      </c>
      <c r="H148" s="99" t="s">
        <v>499</v>
      </c>
      <c r="I148" s="99" t="s">
        <v>499</v>
      </c>
      <c r="J148" s="99" t="s">
        <v>499</v>
      </c>
      <c r="K148" s="99" t="s">
        <v>499</v>
      </c>
      <c r="L148" s="99" t="s">
        <v>499</v>
      </c>
      <c r="M148" s="99" t="s">
        <v>499</v>
      </c>
    </row>
    <row r="149" spans="1:14" ht="15.75" customHeight="1">
      <c r="B149" s="88" t="s">
        <v>522</v>
      </c>
      <c r="C149" s="110" t="s">
        <v>183</v>
      </c>
      <c r="D149" s="114"/>
      <c r="E149" s="88"/>
      <c r="F149" s="82"/>
      <c r="G149" s="82">
        <f t="shared" ref="G149:M149" si="47">G104*G129</f>
        <v>0</v>
      </c>
      <c r="H149" s="82">
        <f t="shared" si="47"/>
        <v>0</v>
      </c>
      <c r="I149" s="82">
        <f t="shared" si="47"/>
        <v>71667750</v>
      </c>
      <c r="J149" s="82">
        <f t="shared" si="47"/>
        <v>0</v>
      </c>
      <c r="K149" s="82">
        <f t="shared" si="47"/>
        <v>0</v>
      </c>
      <c r="L149" s="82">
        <f>L104*L129</f>
        <v>0</v>
      </c>
      <c r="M149" s="82">
        <f t="shared" si="47"/>
        <v>0</v>
      </c>
    </row>
    <row r="150" spans="1:14" ht="15.75" customHeight="1">
      <c r="B150" s="88" t="s">
        <v>523</v>
      </c>
      <c r="C150" s="110" t="s">
        <v>191</v>
      </c>
      <c r="D150" s="114"/>
      <c r="E150" s="88"/>
      <c r="F150" s="82"/>
      <c r="G150" s="82">
        <f>-(G141+G142)*G129</f>
        <v>0</v>
      </c>
      <c r="H150" s="82">
        <v>0</v>
      </c>
      <c r="I150" s="82">
        <f>-(I141+I142)*I129</f>
        <v>-68260500</v>
      </c>
      <c r="J150" s="82">
        <f>-(J141+J142)*J129</f>
        <v>0</v>
      </c>
      <c r="K150" s="82">
        <f>-(K141+K142)*K129</f>
        <v>0</v>
      </c>
      <c r="L150" s="82">
        <f>-(L141+L142)*L129</f>
        <v>0</v>
      </c>
      <c r="M150" s="82">
        <f>-(M141+M142)*M129</f>
        <v>0</v>
      </c>
    </row>
    <row r="151" spans="1:14" ht="15.75" customHeight="1">
      <c r="B151" s="88" t="s">
        <v>523</v>
      </c>
      <c r="C151" s="110" t="s">
        <v>15</v>
      </c>
      <c r="D151" s="114"/>
      <c r="E151" s="88"/>
      <c r="F151" s="82"/>
      <c r="G151" s="82"/>
      <c r="H151" s="82">
        <f>-5460530+3124000</f>
        <v>-2336530</v>
      </c>
      <c r="I151" s="82"/>
      <c r="J151" s="82"/>
      <c r="K151" s="82"/>
      <c r="L151" s="82"/>
      <c r="M151" s="82"/>
    </row>
    <row r="152" spans="1:14" ht="15.75" customHeight="1">
      <c r="B152" s="88" t="s">
        <v>524</v>
      </c>
      <c r="C152" s="110" t="s">
        <v>185</v>
      </c>
      <c r="D152" s="100"/>
      <c r="E152" s="88"/>
      <c r="F152" s="79"/>
      <c r="G152" s="79">
        <f>SUM(G149:G150)</f>
        <v>0</v>
      </c>
      <c r="H152" s="79">
        <f t="shared" ref="H152:M152" si="48">SUM(H149:H151)</f>
        <v>-2336530</v>
      </c>
      <c r="I152" s="79">
        <f t="shared" si="48"/>
        <v>3407250</v>
      </c>
      <c r="J152" s="79">
        <f t="shared" si="48"/>
        <v>0</v>
      </c>
      <c r="K152" s="79">
        <f t="shared" si="48"/>
        <v>0</v>
      </c>
      <c r="L152" s="79">
        <f t="shared" si="48"/>
        <v>0</v>
      </c>
      <c r="M152" s="79">
        <f t="shared" si="48"/>
        <v>0</v>
      </c>
    </row>
    <row r="153" spans="1:14" s="152" customFormat="1" ht="15.75" customHeight="1">
      <c r="A153" s="460"/>
      <c r="B153" s="88" t="s">
        <v>524</v>
      </c>
      <c r="C153" s="110" t="s">
        <v>363</v>
      </c>
      <c r="D153" s="114"/>
      <c r="E153" s="88"/>
      <c r="F153" s="79"/>
      <c r="G153" s="79">
        <f t="shared" ref="G153:M153" si="49">G152</f>
        <v>0</v>
      </c>
      <c r="H153" s="79">
        <f t="shared" si="49"/>
        <v>-2336530</v>
      </c>
      <c r="I153" s="79">
        <f t="shared" si="49"/>
        <v>3407250</v>
      </c>
      <c r="J153" s="79">
        <f t="shared" si="49"/>
        <v>0</v>
      </c>
      <c r="K153" s="79">
        <f t="shared" si="49"/>
        <v>0</v>
      </c>
      <c r="L153" s="79">
        <f>L152</f>
        <v>0</v>
      </c>
      <c r="M153" s="79">
        <f t="shared" si="49"/>
        <v>0</v>
      </c>
      <c r="N153" s="75"/>
    </row>
    <row r="154" spans="1:14" ht="15.75" customHeight="1">
      <c r="B154" s="88" t="s">
        <v>523</v>
      </c>
      <c r="C154" s="482" t="s">
        <v>194</v>
      </c>
      <c r="D154" s="114"/>
      <c r="E154" s="88"/>
      <c r="F154" s="79"/>
      <c r="G154" s="79">
        <v>0</v>
      </c>
      <c r="H154" s="79">
        <v>0</v>
      </c>
      <c r="I154" s="79">
        <v>0</v>
      </c>
      <c r="J154" s="79">
        <v>0</v>
      </c>
      <c r="K154" s="79">
        <v>0</v>
      </c>
      <c r="L154" s="79">
        <v>0</v>
      </c>
      <c r="M154" s="79">
        <v>0</v>
      </c>
    </row>
    <row r="155" spans="1:14">
      <c r="B155" s="88" t="s">
        <v>525</v>
      </c>
      <c r="C155" s="482" t="s">
        <v>187</v>
      </c>
      <c r="D155" s="114"/>
      <c r="E155" s="88"/>
      <c r="F155" s="79"/>
      <c r="G155" s="79">
        <v>0</v>
      </c>
      <c r="H155" s="79">
        <v>0</v>
      </c>
      <c r="I155" s="79">
        <v>0</v>
      </c>
      <c r="J155" s="79">
        <v>0</v>
      </c>
      <c r="K155" s="79">
        <v>0</v>
      </c>
      <c r="L155" s="79">
        <v>0</v>
      </c>
      <c r="M155" s="79">
        <v>0</v>
      </c>
    </row>
    <row r="156" spans="1:14">
      <c r="B156" s="88"/>
      <c r="C156" s="356" t="s">
        <v>195</v>
      </c>
      <c r="D156" s="114"/>
      <c r="E156" s="88"/>
      <c r="F156" s="79"/>
      <c r="G156" s="100"/>
      <c r="H156" s="100"/>
      <c r="I156" s="100"/>
      <c r="J156" s="100"/>
      <c r="K156" s="100"/>
      <c r="L156" s="100"/>
      <c r="M156" s="100"/>
    </row>
    <row r="157" spans="1:14">
      <c r="B157" s="88" t="s">
        <v>524</v>
      </c>
      <c r="C157" s="110" t="s">
        <v>188</v>
      </c>
      <c r="D157" s="114"/>
      <c r="E157" s="88"/>
      <c r="F157" s="79"/>
      <c r="G157" s="79">
        <f t="shared" ref="G157:M157" si="50">SUM(G153:G156)</f>
        <v>0</v>
      </c>
      <c r="H157" s="79">
        <f t="shared" si="50"/>
        <v>-2336530</v>
      </c>
      <c r="I157" s="79">
        <f t="shared" si="50"/>
        <v>3407250</v>
      </c>
      <c r="J157" s="79">
        <f t="shared" si="50"/>
        <v>0</v>
      </c>
      <c r="K157" s="79">
        <f t="shared" si="50"/>
        <v>0</v>
      </c>
      <c r="L157" s="79">
        <f>SUM(L153:L156)</f>
        <v>0</v>
      </c>
      <c r="M157" s="79">
        <f t="shared" si="50"/>
        <v>0</v>
      </c>
    </row>
    <row r="158" spans="1:14" ht="15.75" customHeight="1">
      <c r="B158" s="88" t="s">
        <v>523</v>
      </c>
      <c r="C158" s="110" t="s">
        <v>189</v>
      </c>
      <c r="D158" s="100"/>
      <c r="E158" s="88"/>
      <c r="F158" s="79"/>
      <c r="G158" s="79">
        <f>-G157*G143</f>
        <v>0</v>
      </c>
      <c r="H158" s="79">
        <f>-((H145-H138)*H109+H110*(H145-H139))*H143</f>
        <v>0</v>
      </c>
      <c r="I158" s="79">
        <f>-I157*I143</f>
        <v>-1192537.5</v>
      </c>
      <c r="J158" s="79">
        <f>IF(J157&lt;0,0,-J157*J143)</f>
        <v>0</v>
      </c>
      <c r="K158" s="79">
        <f>IF(K157&lt;0,0,-K157*K143)</f>
        <v>0</v>
      </c>
      <c r="L158" s="79">
        <f>IF(L157&lt;0,0,-L157*L143)</f>
        <v>0</v>
      </c>
      <c r="M158" s="79">
        <f>-((M145-M138)*M109+M110*(M145-M139))*M143</f>
        <v>0</v>
      </c>
    </row>
    <row r="159" spans="1:14" ht="15.75" customHeight="1">
      <c r="B159" s="88" t="s">
        <v>524</v>
      </c>
      <c r="C159" s="472" t="s">
        <v>190</v>
      </c>
      <c r="D159" s="497"/>
      <c r="E159" s="498"/>
      <c r="F159" s="150"/>
      <c r="G159" s="150">
        <f t="shared" ref="G159:M159" si="51">SUM(G157:G158)</f>
        <v>0</v>
      </c>
      <c r="H159" s="150">
        <f t="shared" si="51"/>
        <v>-2336530</v>
      </c>
      <c r="I159" s="150">
        <f t="shared" si="51"/>
        <v>2214712.5</v>
      </c>
      <c r="J159" s="150">
        <f t="shared" si="51"/>
        <v>0</v>
      </c>
      <c r="K159" s="150">
        <f t="shared" si="51"/>
        <v>0</v>
      </c>
      <c r="L159" s="150">
        <f>SUM(L157:L158)</f>
        <v>0</v>
      </c>
      <c r="M159" s="150">
        <f t="shared" si="51"/>
        <v>0</v>
      </c>
    </row>
    <row r="160" spans="1:14" ht="15.75" customHeight="1">
      <c r="B160" s="88"/>
      <c r="C160" s="110"/>
      <c r="D160" s="100"/>
      <c r="E160" s="88"/>
      <c r="F160" s="100"/>
      <c r="G160" s="100"/>
      <c r="H160" s="100"/>
      <c r="I160" s="100"/>
      <c r="J160" s="100"/>
      <c r="K160" s="100"/>
      <c r="L160" s="100"/>
      <c r="M160" s="100"/>
    </row>
    <row r="161" spans="2:14" ht="15.75" customHeight="1">
      <c r="B161" s="76"/>
      <c r="C161" s="501"/>
      <c r="D161" s="106"/>
      <c r="E161" s="502"/>
      <c r="F161" s="136"/>
      <c r="G161" s="136">
        <f t="shared" ref="G161:M161" si="52">G2</f>
        <v>1</v>
      </c>
      <c r="H161" s="136">
        <f t="shared" si="52"/>
        <v>2</v>
      </c>
      <c r="I161" s="136">
        <f t="shared" si="52"/>
        <v>3</v>
      </c>
      <c r="J161" s="136"/>
      <c r="K161" s="136"/>
      <c r="L161" s="136" t="str">
        <f t="shared" ref="J161:L162" si="53">L2</f>
        <v>Revised</v>
      </c>
      <c r="M161" s="136">
        <f t="shared" si="52"/>
        <v>4</v>
      </c>
    </row>
    <row r="162" spans="2:14" ht="15.75" customHeight="1">
      <c r="B162" s="76"/>
      <c r="C162" s="1671" t="s">
        <v>2096</v>
      </c>
      <c r="D162" s="469"/>
      <c r="E162" s="470"/>
      <c r="F162" s="93"/>
      <c r="G162" s="93"/>
      <c r="H162" s="93"/>
      <c r="I162" s="93"/>
      <c r="J162" s="93" t="str">
        <f t="shared" si="53"/>
        <v>1H 3 Y</v>
      </c>
      <c r="K162" s="93" t="str">
        <f t="shared" si="53"/>
        <v>2H 3 Y</v>
      </c>
      <c r="L162" s="93"/>
      <c r="M162" s="93"/>
      <c r="N162" s="157"/>
    </row>
    <row r="163" spans="2:14" ht="15.75" customHeight="1">
      <c r="B163" s="76"/>
      <c r="C163" s="505"/>
      <c r="D163" s="506"/>
      <c r="E163" s="473"/>
      <c r="F163" s="112"/>
      <c r="G163" s="112" t="s">
        <v>499</v>
      </c>
      <c r="H163" s="112" t="s">
        <v>499</v>
      </c>
      <c r="I163" s="112" t="s">
        <v>499</v>
      </c>
      <c r="J163" s="112" t="s">
        <v>499</v>
      </c>
      <c r="K163" s="112" t="s">
        <v>499</v>
      </c>
      <c r="L163" s="112" t="s">
        <v>499</v>
      </c>
      <c r="M163" s="112" t="s">
        <v>499</v>
      </c>
    </row>
    <row r="164" spans="2:14" ht="15.75" customHeight="1">
      <c r="B164" s="111"/>
      <c r="C164" s="110"/>
      <c r="D164" s="110"/>
      <c r="E164" s="88"/>
      <c r="F164" s="440"/>
      <c r="G164" s="440"/>
      <c r="H164" s="440"/>
      <c r="I164" s="440"/>
      <c r="J164" s="440"/>
      <c r="K164" s="440"/>
      <c r="L164" s="440"/>
      <c r="M164" s="440"/>
    </row>
    <row r="165" spans="2:14" ht="15.75" customHeight="1">
      <c r="B165" s="76"/>
      <c r="C165" s="523" t="s">
        <v>198</v>
      </c>
      <c r="D165" s="110"/>
      <c r="E165" s="88"/>
      <c r="F165" s="110"/>
      <c r="G165" s="110"/>
      <c r="H165" s="110"/>
      <c r="I165" s="110"/>
      <c r="J165" s="110"/>
      <c r="K165" s="110"/>
      <c r="L165" s="110"/>
      <c r="M165" s="110"/>
    </row>
    <row r="166" spans="2:14" ht="15.75" customHeight="1">
      <c r="B166" s="76"/>
      <c r="C166" s="516" t="s">
        <v>1220</v>
      </c>
      <c r="D166" s="80"/>
      <c r="E166" s="88"/>
      <c r="F166" s="108"/>
      <c r="G166" s="108">
        <f t="shared" ref="G166:M166" si="54">G153</f>
        <v>0</v>
      </c>
      <c r="H166" s="108">
        <f t="shared" si="54"/>
        <v>-2336530</v>
      </c>
      <c r="I166" s="108">
        <f t="shared" si="54"/>
        <v>3407250</v>
      </c>
      <c r="J166" s="108">
        <f t="shared" si="54"/>
        <v>0</v>
      </c>
      <c r="K166" s="108">
        <f t="shared" si="54"/>
        <v>0</v>
      </c>
      <c r="L166" s="108">
        <f>L153</f>
        <v>0</v>
      </c>
      <c r="M166" s="108">
        <f t="shared" si="54"/>
        <v>0</v>
      </c>
    </row>
    <row r="167" spans="2:14" ht="15.75" customHeight="1">
      <c r="B167" s="76"/>
      <c r="C167" s="516" t="s">
        <v>199</v>
      </c>
      <c r="D167" s="80"/>
      <c r="E167" s="88"/>
      <c r="F167" s="108"/>
      <c r="G167" s="108">
        <v>0</v>
      </c>
      <c r="H167" s="108">
        <v>0</v>
      </c>
      <c r="I167" s="108">
        <v>0</v>
      </c>
      <c r="J167" s="108">
        <v>0</v>
      </c>
      <c r="K167" s="108">
        <v>0</v>
      </c>
      <c r="L167" s="108">
        <v>0</v>
      </c>
      <c r="M167" s="108">
        <v>0</v>
      </c>
    </row>
    <row r="168" spans="2:14" ht="15.75" customHeight="1">
      <c r="B168" s="76"/>
      <c r="C168" s="516" t="s">
        <v>200</v>
      </c>
      <c r="D168" s="80"/>
      <c r="E168" s="88"/>
      <c r="F168" s="108"/>
      <c r="G168" s="108">
        <v>0</v>
      </c>
      <c r="H168" s="108">
        <v>0</v>
      </c>
      <c r="I168" s="108">
        <v>0</v>
      </c>
      <c r="J168" s="108">
        <v>0</v>
      </c>
      <c r="K168" s="108">
        <v>0</v>
      </c>
      <c r="L168" s="108">
        <v>0</v>
      </c>
      <c r="M168" s="108">
        <v>0</v>
      </c>
    </row>
    <row r="169" spans="2:14" ht="15.75" customHeight="1">
      <c r="B169" s="76"/>
      <c r="C169" s="516" t="s">
        <v>201</v>
      </c>
      <c r="D169" s="110"/>
      <c r="E169" s="88"/>
      <c r="F169" s="108"/>
      <c r="G169" s="108">
        <v>0</v>
      </c>
      <c r="H169" s="108">
        <v>0</v>
      </c>
      <c r="I169" s="108">
        <v>0</v>
      </c>
      <c r="J169" s="108">
        <v>0</v>
      </c>
      <c r="K169" s="108">
        <v>0</v>
      </c>
      <c r="L169" s="108">
        <v>0</v>
      </c>
      <c r="M169" s="108">
        <v>0</v>
      </c>
      <c r="N169" s="157"/>
    </row>
    <row r="170" spans="2:14" ht="15.75" customHeight="1">
      <c r="B170" s="76"/>
      <c r="C170" s="483" t="s">
        <v>202</v>
      </c>
      <c r="D170" s="80"/>
      <c r="E170" s="88"/>
      <c r="F170" s="80"/>
      <c r="G170" s="80">
        <f t="shared" ref="G170:M170" si="55">SUM(G166:G169)</f>
        <v>0</v>
      </c>
      <c r="H170" s="80">
        <f t="shared" si="55"/>
        <v>-2336530</v>
      </c>
      <c r="I170" s="80">
        <f t="shared" si="55"/>
        <v>3407250</v>
      </c>
      <c r="J170" s="80">
        <f t="shared" si="55"/>
        <v>0</v>
      </c>
      <c r="K170" s="80">
        <f t="shared" si="55"/>
        <v>0</v>
      </c>
      <c r="L170" s="80">
        <f>SUM(L166:L169)</f>
        <v>0</v>
      </c>
      <c r="M170" s="80">
        <f t="shared" si="55"/>
        <v>0</v>
      </c>
    </row>
    <row r="171" spans="2:14" ht="15.75" customHeight="1">
      <c r="B171" s="76"/>
      <c r="C171" s="516" t="s">
        <v>203</v>
      </c>
      <c r="D171" s="110"/>
      <c r="E171" s="88"/>
      <c r="F171" s="108"/>
      <c r="G171" s="108">
        <f t="shared" ref="G171:M172" si="56">G154</f>
        <v>0</v>
      </c>
      <c r="H171" s="108">
        <f t="shared" si="56"/>
        <v>0</v>
      </c>
      <c r="I171" s="108">
        <f t="shared" si="56"/>
        <v>0</v>
      </c>
      <c r="J171" s="108">
        <f t="shared" ref="J171:L172" si="57">J154</f>
        <v>0</v>
      </c>
      <c r="K171" s="108">
        <f t="shared" si="57"/>
        <v>0</v>
      </c>
      <c r="L171" s="108">
        <f t="shared" si="57"/>
        <v>0</v>
      </c>
      <c r="M171" s="108">
        <f t="shared" si="56"/>
        <v>0</v>
      </c>
      <c r="N171" s="157"/>
    </row>
    <row r="172" spans="2:14" ht="15.75" customHeight="1">
      <c r="B172" s="76"/>
      <c r="C172" s="516" t="s">
        <v>187</v>
      </c>
      <c r="D172" s="110"/>
      <c r="E172" s="88"/>
      <c r="F172" s="108"/>
      <c r="G172" s="108">
        <f t="shared" si="56"/>
        <v>0</v>
      </c>
      <c r="H172" s="108">
        <f t="shared" si="56"/>
        <v>0</v>
      </c>
      <c r="I172" s="108">
        <f t="shared" si="56"/>
        <v>0</v>
      </c>
      <c r="J172" s="108">
        <f t="shared" si="57"/>
        <v>0</v>
      </c>
      <c r="K172" s="108">
        <f t="shared" si="57"/>
        <v>0</v>
      </c>
      <c r="L172" s="108">
        <f t="shared" si="57"/>
        <v>0</v>
      </c>
      <c r="M172" s="108">
        <f t="shared" si="56"/>
        <v>0</v>
      </c>
    </row>
    <row r="173" spans="2:14" ht="15.75" customHeight="1">
      <c r="B173" s="76"/>
      <c r="C173" s="516" t="s">
        <v>204</v>
      </c>
      <c r="D173" s="525"/>
      <c r="E173" s="88"/>
      <c r="F173" s="108"/>
      <c r="G173" s="108">
        <f t="shared" ref="G173:M173" si="58">G158</f>
        <v>0</v>
      </c>
      <c r="H173" s="108">
        <f t="shared" si="58"/>
        <v>0</v>
      </c>
      <c r="I173" s="108">
        <f t="shared" si="58"/>
        <v>-1192537.5</v>
      </c>
      <c r="J173" s="108">
        <f t="shared" si="58"/>
        <v>0</v>
      </c>
      <c r="K173" s="108">
        <f t="shared" si="58"/>
        <v>0</v>
      </c>
      <c r="L173" s="108">
        <f>L158</f>
        <v>0</v>
      </c>
      <c r="M173" s="108">
        <f t="shared" si="58"/>
        <v>0</v>
      </c>
    </row>
    <row r="174" spans="2:14" ht="15.75" customHeight="1">
      <c r="B174" s="76"/>
      <c r="C174" s="356" t="s">
        <v>195</v>
      </c>
      <c r="D174" s="525"/>
      <c r="E174" s="88"/>
      <c r="F174" s="108"/>
      <c r="G174" s="108">
        <f t="shared" ref="G174:M174" si="59">G156</f>
        <v>0</v>
      </c>
      <c r="H174" s="108">
        <f t="shared" si="59"/>
        <v>0</v>
      </c>
      <c r="I174" s="108">
        <f t="shared" si="59"/>
        <v>0</v>
      </c>
      <c r="J174" s="108">
        <f t="shared" si="59"/>
        <v>0</v>
      </c>
      <c r="K174" s="108">
        <f t="shared" si="59"/>
        <v>0</v>
      </c>
      <c r="L174" s="108">
        <f>L156</f>
        <v>0</v>
      </c>
      <c r="M174" s="108">
        <f t="shared" si="59"/>
        <v>0</v>
      </c>
    </row>
    <row r="175" spans="2:14" ht="15.75" customHeight="1">
      <c r="B175" s="155"/>
      <c r="C175" s="95" t="s">
        <v>205</v>
      </c>
      <c r="D175" s="163"/>
      <c r="E175" s="1622"/>
      <c r="F175" s="153"/>
      <c r="G175" s="153">
        <f t="shared" ref="G175:M175" si="60">SUM(G170:G174)</f>
        <v>0</v>
      </c>
      <c r="H175" s="153">
        <f t="shared" si="60"/>
        <v>-2336530</v>
      </c>
      <c r="I175" s="153">
        <f t="shared" si="60"/>
        <v>2214712.5</v>
      </c>
      <c r="J175" s="153">
        <f t="shared" si="60"/>
        <v>0</v>
      </c>
      <c r="K175" s="153">
        <f t="shared" si="60"/>
        <v>0</v>
      </c>
      <c r="L175" s="153">
        <f>SUM(L170:L174)</f>
        <v>0</v>
      </c>
      <c r="M175" s="153">
        <f t="shared" si="60"/>
        <v>0</v>
      </c>
    </row>
    <row r="176" spans="2:14" ht="15.75" customHeight="1">
      <c r="B176" s="76"/>
      <c r="C176" s="110"/>
      <c r="D176" s="110"/>
      <c r="E176" s="88"/>
      <c r="F176" s="100"/>
      <c r="G176" s="100"/>
      <c r="H176" s="100"/>
      <c r="I176" s="100"/>
      <c r="J176" s="100"/>
      <c r="K176" s="100"/>
      <c r="L176" s="100"/>
      <c r="M176" s="100"/>
    </row>
    <row r="177" spans="2:14" ht="15.75" customHeight="1">
      <c r="B177" s="76"/>
      <c r="C177" s="523" t="s">
        <v>206</v>
      </c>
      <c r="D177" s="100"/>
      <c r="E177" s="88"/>
      <c r="F177" s="100"/>
      <c r="G177" s="100"/>
      <c r="H177" s="100"/>
      <c r="I177" s="100"/>
      <c r="J177" s="100"/>
      <c r="K177" s="100"/>
      <c r="L177" s="100"/>
      <c r="M177" s="100"/>
    </row>
    <row r="178" spans="2:14" ht="15.75" customHeight="1">
      <c r="B178" s="76"/>
      <c r="C178" s="1677" t="s">
        <v>2123</v>
      </c>
      <c r="D178" s="95"/>
      <c r="E178" s="470"/>
      <c r="F178" s="82"/>
      <c r="G178" s="82">
        <f>-6000000</f>
        <v>-6000000</v>
      </c>
      <c r="H178" s="108"/>
      <c r="I178" s="108">
        <v>0</v>
      </c>
      <c r="J178" s="108">
        <v>0</v>
      </c>
      <c r="K178" s="108">
        <v>0</v>
      </c>
      <c r="L178" s="108">
        <v>0</v>
      </c>
      <c r="M178" s="108">
        <v>0</v>
      </c>
    </row>
    <row r="179" spans="2:14" ht="15.75" customHeight="1">
      <c r="B179" s="76"/>
      <c r="C179" s="1677" t="s">
        <v>703</v>
      </c>
      <c r="D179" s="95"/>
      <c r="E179" s="470"/>
      <c r="F179" s="82"/>
      <c r="G179" s="82">
        <v>-3991191</v>
      </c>
      <c r="H179" s="108">
        <f>-11328547+5460530</f>
        <v>-5868017</v>
      </c>
      <c r="I179" s="108">
        <f>-3113313</f>
        <v>-3113313</v>
      </c>
      <c r="J179" s="108">
        <f>-3113313</f>
        <v>-3113313</v>
      </c>
      <c r="K179" s="108">
        <v>0</v>
      </c>
      <c r="L179" s="108">
        <f>-3113313</f>
        <v>-3113313</v>
      </c>
      <c r="M179" s="108">
        <v>0</v>
      </c>
    </row>
    <row r="180" spans="2:14" ht="15.75" customHeight="1">
      <c r="B180" s="155"/>
      <c r="C180" s="95" t="s">
        <v>211</v>
      </c>
      <c r="D180" s="163"/>
      <c r="E180" s="1622"/>
      <c r="F180" s="153"/>
      <c r="G180" s="153">
        <f t="shared" ref="G180:M180" si="61">SUM(G178:G179)</f>
        <v>-9991191</v>
      </c>
      <c r="H180" s="153">
        <f t="shared" si="61"/>
        <v>-5868017</v>
      </c>
      <c r="I180" s="153">
        <f t="shared" si="61"/>
        <v>-3113313</v>
      </c>
      <c r="J180" s="153">
        <f t="shared" si="61"/>
        <v>-3113313</v>
      </c>
      <c r="K180" s="153">
        <f t="shared" si="61"/>
        <v>0</v>
      </c>
      <c r="L180" s="153">
        <f>SUM(L178:L179)</f>
        <v>-3113313</v>
      </c>
      <c r="M180" s="153">
        <f t="shared" si="61"/>
        <v>0</v>
      </c>
    </row>
    <row r="181" spans="2:14" ht="15.75" customHeight="1">
      <c r="B181" s="76"/>
      <c r="C181" s="110"/>
      <c r="D181" s="110"/>
      <c r="E181" s="88"/>
      <c r="F181" s="100"/>
      <c r="G181" s="100"/>
      <c r="H181" s="100"/>
      <c r="I181" s="100"/>
      <c r="J181" s="100"/>
      <c r="K181" s="100"/>
      <c r="L181" s="100"/>
      <c r="M181" s="100"/>
    </row>
    <row r="182" spans="2:14" ht="15.75" customHeight="1">
      <c r="B182" s="155"/>
      <c r="C182" s="95" t="s">
        <v>212</v>
      </c>
      <c r="D182" s="163"/>
      <c r="E182" s="1622"/>
      <c r="F182" s="153"/>
      <c r="G182" s="153">
        <f t="shared" ref="G182:M182" si="62">SUM(G180,G175)</f>
        <v>-9991191</v>
      </c>
      <c r="H182" s="153">
        <f t="shared" si="62"/>
        <v>-8204547</v>
      </c>
      <c r="I182" s="153">
        <f t="shared" si="62"/>
        <v>-898600.5</v>
      </c>
      <c r="J182" s="153">
        <f t="shared" si="62"/>
        <v>-3113313</v>
      </c>
      <c r="K182" s="153">
        <f t="shared" si="62"/>
        <v>0</v>
      </c>
      <c r="L182" s="153">
        <f>SUM(L180,L175)</f>
        <v>-3113313</v>
      </c>
      <c r="M182" s="153">
        <f t="shared" si="62"/>
        <v>0</v>
      </c>
      <c r="N182" s="157"/>
    </row>
    <row r="183" spans="2:14" ht="15.75" customHeight="1">
      <c r="B183" s="76"/>
      <c r="C183" s="95"/>
      <c r="D183" s="508"/>
      <c r="E183" s="509"/>
      <c r="F183" s="100"/>
      <c r="G183" s="100"/>
      <c r="H183" s="100"/>
      <c r="I183" s="100"/>
      <c r="J183" s="100"/>
      <c r="K183" s="100"/>
      <c r="L183" s="100"/>
      <c r="M183" s="100"/>
    </row>
    <row r="184" spans="2:14" ht="15.75" customHeight="1">
      <c r="B184" s="76"/>
      <c r="C184" s="110" t="s">
        <v>904</v>
      </c>
      <c r="D184" s="110"/>
      <c r="E184" s="88"/>
      <c r="F184" s="108"/>
      <c r="G184" s="108">
        <f t="shared" ref="G184:M184" si="63">IF(G182&lt;0,G182,0)</f>
        <v>-9991191</v>
      </c>
      <c r="H184" s="108">
        <f t="shared" si="63"/>
        <v>-8204547</v>
      </c>
      <c r="I184" s="108">
        <f t="shared" si="63"/>
        <v>-898600.5</v>
      </c>
      <c r="J184" s="108">
        <f t="shared" si="63"/>
        <v>-3113313</v>
      </c>
      <c r="K184" s="108">
        <f t="shared" si="63"/>
        <v>0</v>
      </c>
      <c r="L184" s="108">
        <f>IF(L182&lt;0,L182,0)</f>
        <v>-3113313</v>
      </c>
      <c r="M184" s="108">
        <f t="shared" si="63"/>
        <v>0</v>
      </c>
    </row>
    <row r="185" spans="2:14" ht="15.75" customHeight="1">
      <c r="B185" s="76"/>
      <c r="C185" s="110"/>
      <c r="D185" s="110"/>
      <c r="E185" s="88"/>
      <c r="F185" s="100"/>
      <c r="G185" s="100"/>
      <c r="H185" s="100"/>
      <c r="I185" s="100"/>
      <c r="J185" s="100"/>
      <c r="K185" s="100"/>
      <c r="L185" s="100"/>
      <c r="M185" s="100"/>
    </row>
    <row r="186" spans="2:14" ht="15.75" customHeight="1">
      <c r="B186" s="76"/>
      <c r="C186" s="523" t="s">
        <v>135</v>
      </c>
      <c r="D186" s="114"/>
      <c r="E186" s="88"/>
      <c r="F186" s="100"/>
      <c r="G186" s="100"/>
      <c r="H186" s="100"/>
      <c r="I186" s="100"/>
      <c r="J186" s="100"/>
      <c r="K186" s="100"/>
      <c r="L186" s="100"/>
      <c r="M186" s="100"/>
    </row>
    <row r="187" spans="2:14" ht="15.75" customHeight="1">
      <c r="B187" s="76"/>
      <c r="C187" s="482" t="s">
        <v>214</v>
      </c>
      <c r="D187" s="110"/>
      <c r="E187" s="88"/>
      <c r="F187" s="108"/>
      <c r="G187" s="108">
        <v>0</v>
      </c>
      <c r="H187" s="108">
        <v>0</v>
      </c>
      <c r="I187" s="108">
        <v>0</v>
      </c>
      <c r="J187" s="108">
        <v>0</v>
      </c>
      <c r="K187" s="108">
        <v>0</v>
      </c>
      <c r="L187" s="108">
        <v>0</v>
      </c>
      <c r="M187" s="108">
        <v>0</v>
      </c>
    </row>
    <row r="188" spans="2:14" ht="15.75" customHeight="1">
      <c r="B188" s="76"/>
      <c r="C188" s="482" t="s">
        <v>215</v>
      </c>
      <c r="D188" s="110"/>
      <c r="E188" s="88"/>
      <c r="F188" s="108"/>
      <c r="G188" s="108">
        <v>0</v>
      </c>
      <c r="H188" s="108">
        <v>0</v>
      </c>
      <c r="I188" s="108">
        <v>0</v>
      </c>
      <c r="J188" s="108">
        <v>0</v>
      </c>
      <c r="K188" s="108">
        <v>0</v>
      </c>
      <c r="L188" s="108">
        <v>0</v>
      </c>
      <c r="M188" s="108">
        <v>0</v>
      </c>
    </row>
    <row r="189" spans="2:14" ht="15.75" customHeight="1">
      <c r="B189" s="76"/>
      <c r="C189" s="482" t="s">
        <v>816</v>
      </c>
      <c r="D189" s="110"/>
      <c r="E189" s="88"/>
      <c r="F189" s="108"/>
      <c r="G189" s="108">
        <v>0</v>
      </c>
      <c r="H189" s="108">
        <v>0</v>
      </c>
      <c r="I189" s="108">
        <v>0</v>
      </c>
      <c r="J189" s="108">
        <v>0</v>
      </c>
      <c r="K189" s="108">
        <v>0</v>
      </c>
      <c r="L189" s="108">
        <v>0</v>
      </c>
      <c r="M189" s="108">
        <v>0</v>
      </c>
    </row>
    <row r="190" spans="2:14" ht="15.75" customHeight="1">
      <c r="B190" s="76"/>
      <c r="C190" s="482" t="s">
        <v>311</v>
      </c>
      <c r="D190" s="110"/>
      <c r="E190" s="88"/>
      <c r="F190" s="108"/>
      <c r="G190" s="108">
        <v>0</v>
      </c>
      <c r="H190" s="108">
        <v>0</v>
      </c>
      <c r="I190" s="108">
        <v>0</v>
      </c>
      <c r="J190" s="108">
        <v>0</v>
      </c>
      <c r="K190" s="108">
        <v>0</v>
      </c>
      <c r="L190" s="108">
        <v>0</v>
      </c>
      <c r="M190" s="108">
        <v>0</v>
      </c>
    </row>
    <row r="191" spans="2:14" ht="15.75" customHeight="1">
      <c r="B191" s="155"/>
      <c r="C191" s="95" t="s">
        <v>217</v>
      </c>
      <c r="D191" s="526"/>
      <c r="E191" s="1622"/>
      <c r="F191" s="153"/>
      <c r="G191" s="153">
        <f t="shared" ref="G191:M191" si="64">SUM(G187:G190)</f>
        <v>0</v>
      </c>
      <c r="H191" s="153">
        <f t="shared" si="64"/>
        <v>0</v>
      </c>
      <c r="I191" s="153">
        <f t="shared" si="64"/>
        <v>0</v>
      </c>
      <c r="J191" s="153">
        <f t="shared" si="64"/>
        <v>0</v>
      </c>
      <c r="K191" s="153">
        <f t="shared" si="64"/>
        <v>0</v>
      </c>
      <c r="L191" s="153">
        <f>SUM(L187:L190)</f>
        <v>0</v>
      </c>
      <c r="M191" s="153">
        <f t="shared" si="64"/>
        <v>0</v>
      </c>
    </row>
    <row r="192" spans="2:14" ht="15.75" customHeight="1">
      <c r="B192" s="155"/>
      <c r="C192" s="95" t="s">
        <v>219</v>
      </c>
      <c r="D192" s="526"/>
      <c r="E192" s="1622"/>
      <c r="F192" s="153"/>
      <c r="G192" s="153">
        <f t="shared" ref="G192:M192" si="65">G175+G180+G191</f>
        <v>-9991191</v>
      </c>
      <c r="H192" s="153">
        <f t="shared" si="65"/>
        <v>-8204547</v>
      </c>
      <c r="I192" s="153">
        <f t="shared" si="65"/>
        <v>-898600.5</v>
      </c>
      <c r="J192" s="153">
        <f t="shared" si="65"/>
        <v>-3113313</v>
      </c>
      <c r="K192" s="153">
        <f t="shared" si="65"/>
        <v>0</v>
      </c>
      <c r="L192" s="153">
        <f>L175+L180+L191</f>
        <v>-3113313</v>
      </c>
      <c r="M192" s="153">
        <f t="shared" si="65"/>
        <v>0</v>
      </c>
    </row>
    <row r="193" spans="1:14" ht="15.75" customHeight="1">
      <c r="B193" s="111"/>
      <c r="C193" s="483" t="s">
        <v>902</v>
      </c>
      <c r="D193" s="110"/>
      <c r="E193" s="88"/>
      <c r="F193" s="108"/>
      <c r="G193" s="108">
        <f>F194</f>
        <v>0</v>
      </c>
      <c r="H193" s="108">
        <f>G194</f>
        <v>-9991191</v>
      </c>
      <c r="I193" s="108">
        <f>H194</f>
        <v>-18195738</v>
      </c>
      <c r="J193" s="108">
        <f>I194</f>
        <v>-19094338.5</v>
      </c>
      <c r="K193" s="108">
        <f>J194</f>
        <v>-22207651.5</v>
      </c>
      <c r="L193" s="108">
        <f>H194</f>
        <v>-18195738</v>
      </c>
      <c r="M193" s="108">
        <f>I194</f>
        <v>-19094338.5</v>
      </c>
    </row>
    <row r="194" spans="1:14" ht="15.75" customHeight="1">
      <c r="B194" s="111"/>
      <c r="C194" s="529" t="s">
        <v>903</v>
      </c>
      <c r="D194" s="472"/>
      <c r="E194" s="498"/>
      <c r="F194" s="120"/>
      <c r="G194" s="120">
        <f t="shared" ref="G194:M194" si="66">G192+G193</f>
        <v>-9991191</v>
      </c>
      <c r="H194" s="120">
        <f t="shared" si="66"/>
        <v>-18195738</v>
      </c>
      <c r="I194" s="120">
        <f t="shared" si="66"/>
        <v>-19094338.5</v>
      </c>
      <c r="J194" s="120">
        <f t="shared" si="66"/>
        <v>-22207651.5</v>
      </c>
      <c r="K194" s="120">
        <f t="shared" si="66"/>
        <v>-22207651.5</v>
      </c>
      <c r="L194" s="120">
        <f>L192+L193</f>
        <v>-21309051</v>
      </c>
      <c r="M194" s="120">
        <f t="shared" si="66"/>
        <v>-19094338.5</v>
      </c>
    </row>
    <row r="195" spans="1:14" ht="15.75" customHeight="1">
      <c r="B195" s="463"/>
      <c r="C195" s="482"/>
      <c r="D195" s="80"/>
      <c r="E195" s="512"/>
      <c r="F195" s="436"/>
      <c r="G195" s="436"/>
      <c r="H195" s="436"/>
      <c r="I195" s="436"/>
      <c r="J195" s="436"/>
      <c r="K195" s="436"/>
      <c r="L195" s="436"/>
      <c r="M195" s="436"/>
    </row>
    <row r="196" spans="1:14" ht="15.75" customHeight="1">
      <c r="E196" s="466"/>
      <c r="F196" s="90"/>
      <c r="G196" s="90"/>
      <c r="H196" s="90"/>
      <c r="I196" s="90"/>
      <c r="J196" s="90"/>
      <c r="K196" s="90"/>
      <c r="L196" s="90"/>
      <c r="M196" s="90"/>
    </row>
    <row r="197" spans="1:14" ht="15.75" customHeight="1">
      <c r="C197" s="1671"/>
      <c r="D197" s="468"/>
      <c r="E197" s="466"/>
      <c r="F197" s="421"/>
      <c r="G197" s="421"/>
      <c r="H197" s="421"/>
      <c r="I197" s="421"/>
      <c r="J197" s="421"/>
      <c r="K197" s="421"/>
      <c r="L197" s="421"/>
      <c r="M197" s="421"/>
    </row>
    <row r="198" spans="1:14" s="152" customFormat="1" ht="15.75" customHeight="1">
      <c r="A198" s="460"/>
      <c r="B198" s="91"/>
      <c r="C198" s="546"/>
      <c r="D198" s="546"/>
      <c r="E198" s="547"/>
      <c r="F198" s="136"/>
      <c r="G198" s="136">
        <f t="shared" ref="G198:I198" si="67">F198+1</f>
        <v>1</v>
      </c>
      <c r="H198" s="136">
        <f t="shared" si="67"/>
        <v>2</v>
      </c>
      <c r="I198" s="136">
        <f t="shared" si="67"/>
        <v>3</v>
      </c>
      <c r="J198" s="136" t="s">
        <v>2092</v>
      </c>
      <c r="K198" s="136" t="s">
        <v>2093</v>
      </c>
      <c r="L198" s="136" t="s">
        <v>2012</v>
      </c>
      <c r="M198" s="136">
        <f>I198+1</f>
        <v>4</v>
      </c>
      <c r="N198" s="75"/>
    </row>
    <row r="199" spans="1:14" ht="15.75" customHeight="1">
      <c r="A199" s="1701" t="s">
        <v>2097</v>
      </c>
      <c r="B199" s="91"/>
      <c r="C199" s="1671"/>
      <c r="D199" s="548"/>
      <c r="E199" s="470"/>
      <c r="F199" s="93"/>
      <c r="G199" s="93"/>
      <c r="H199" s="93"/>
      <c r="I199" s="93"/>
      <c r="J199" s="93"/>
      <c r="K199" s="93"/>
      <c r="L199" s="93"/>
      <c r="M199" s="93"/>
    </row>
    <row r="200" spans="1:14" collapsed="1">
      <c r="B200" s="91"/>
      <c r="C200" s="471"/>
      <c r="D200" s="471"/>
      <c r="E200" s="473"/>
      <c r="F200" s="94"/>
      <c r="G200" s="94" t="s">
        <v>499</v>
      </c>
      <c r="H200" s="94" t="s">
        <v>499</v>
      </c>
      <c r="I200" s="94" t="s">
        <v>499</v>
      </c>
      <c r="J200" s="94" t="s">
        <v>499</v>
      </c>
      <c r="K200" s="94" t="s">
        <v>499</v>
      </c>
      <c r="L200" s="94" t="s">
        <v>499</v>
      </c>
      <c r="M200" s="94" t="s">
        <v>499</v>
      </c>
    </row>
    <row r="201" spans="1:14" ht="3" customHeight="1">
      <c r="B201" s="91"/>
      <c r="C201" s="162"/>
      <c r="D201" s="95"/>
      <c r="E201" s="470"/>
      <c r="F201" s="96"/>
      <c r="G201" s="96"/>
      <c r="H201" s="96"/>
      <c r="I201" s="96"/>
      <c r="J201" s="96"/>
      <c r="K201" s="96"/>
      <c r="L201" s="96"/>
      <c r="M201" s="96"/>
    </row>
    <row r="202" spans="1:14" ht="15.75" customHeight="1">
      <c r="B202" s="91"/>
      <c r="C202" s="162" t="s">
        <v>1221</v>
      </c>
      <c r="D202" s="95"/>
      <c r="E202" s="470"/>
      <c r="F202" s="96"/>
      <c r="G202" s="96"/>
      <c r="H202" s="96">
        <f t="shared" ref="H202:M202" si="68">H204*H207+H205*H208</f>
        <v>0</v>
      </c>
      <c r="I202" s="96">
        <f t="shared" si="68"/>
        <v>99960000</v>
      </c>
      <c r="J202" s="96">
        <f t="shared" si="68"/>
        <v>0</v>
      </c>
      <c r="K202" s="96">
        <f t="shared" si="68"/>
        <v>30000000</v>
      </c>
      <c r="L202" s="96">
        <f t="shared" si="68"/>
        <v>30000000</v>
      </c>
      <c r="M202" s="96">
        <f t="shared" si="68"/>
        <v>0</v>
      </c>
    </row>
    <row r="203" spans="1:14" ht="17.25" customHeight="1">
      <c r="B203" s="91"/>
      <c r="C203" s="478" t="s">
        <v>873</v>
      </c>
      <c r="D203" s="95"/>
      <c r="E203" s="470"/>
      <c r="F203" s="96"/>
      <c r="G203" s="1685"/>
      <c r="H203" s="1685">
        <f>Commodities_prices!P125</f>
        <v>18000</v>
      </c>
      <c r="I203" s="1685">
        <f>Commodities_prices!Q125</f>
        <v>17000</v>
      </c>
      <c r="J203" s="1685">
        <v>15500</v>
      </c>
      <c r="K203" s="1685">
        <f>Total!T145</f>
        <v>13500</v>
      </c>
      <c r="L203" s="1685">
        <f>K203</f>
        <v>13500</v>
      </c>
      <c r="M203" s="1685">
        <f>Commodities_prices!R125</f>
        <v>25000</v>
      </c>
    </row>
    <row r="204" spans="1:14">
      <c r="B204" s="91"/>
      <c r="C204" s="1677" t="s">
        <v>708</v>
      </c>
      <c r="D204" s="95"/>
      <c r="E204" s="470"/>
      <c r="F204" s="96"/>
      <c r="G204" s="1686"/>
      <c r="H204" s="1686">
        <f t="shared" ref="H204:M204" si="69">H203*(1-1*H213)*H211*(H211*H214)</f>
        <v>48.988800000000012</v>
      </c>
      <c r="I204" s="1686">
        <f t="shared" si="69"/>
        <v>44.339400000000005</v>
      </c>
      <c r="J204" s="1686">
        <f t="shared" si="69"/>
        <v>40.427100000000003</v>
      </c>
      <c r="K204" s="1686">
        <f>K203*K211*0.18*(1-K213)</f>
        <v>30.617999999999999</v>
      </c>
      <c r="L204" s="1686">
        <f>K204</f>
        <v>30.617999999999999</v>
      </c>
      <c r="M204" s="1686">
        <f t="shared" si="69"/>
        <v>68.04000000000002</v>
      </c>
    </row>
    <row r="205" spans="1:14" ht="18.75" customHeight="1">
      <c r="B205" s="91"/>
      <c r="C205" s="1677" t="s">
        <v>2024</v>
      </c>
      <c r="D205" s="95"/>
      <c r="E205" s="470"/>
      <c r="F205" s="96"/>
      <c r="G205" s="1686"/>
      <c r="H205" s="1686">
        <f>H203*(1-1*H218)*H216*(H216*H219)</f>
        <v>63</v>
      </c>
      <c r="I205" s="1686">
        <f>I203*(1-I218)*I216*(I216*I219)</f>
        <v>57.12</v>
      </c>
      <c r="J205" s="1686">
        <v>57.12</v>
      </c>
      <c r="K205" s="1686">
        <v>50</v>
      </c>
      <c r="L205" s="1686">
        <f>K205</f>
        <v>50</v>
      </c>
      <c r="M205" s="1686">
        <f>M203*(1-1*M218)*M216*(M216*M219)</f>
        <v>84</v>
      </c>
    </row>
    <row r="206" spans="1:14" ht="17.25" customHeight="1">
      <c r="B206" s="91"/>
      <c r="C206" s="1688" t="s">
        <v>868</v>
      </c>
      <c r="D206" s="95"/>
      <c r="E206" s="470"/>
      <c r="F206" s="96"/>
      <c r="G206" s="1689"/>
      <c r="H206" s="1689">
        <f t="shared" ref="H206:M206" si="70">H207+H208</f>
        <v>0</v>
      </c>
      <c r="I206" s="1689">
        <f t="shared" si="70"/>
        <v>1750000</v>
      </c>
      <c r="J206" s="1689">
        <f t="shared" si="70"/>
        <v>0</v>
      </c>
      <c r="K206" s="1689">
        <f t="shared" si="70"/>
        <v>600000</v>
      </c>
      <c r="L206" s="1689">
        <f t="shared" si="70"/>
        <v>600000</v>
      </c>
      <c r="M206" s="1689">
        <f t="shared" si="70"/>
        <v>0</v>
      </c>
    </row>
    <row r="207" spans="1:14" ht="15.75" customHeight="1">
      <c r="B207" s="91"/>
      <c r="C207" s="1677" t="s">
        <v>869</v>
      </c>
      <c r="D207" s="95"/>
      <c r="E207" s="470"/>
      <c r="F207" s="96"/>
      <c r="G207" s="1685"/>
      <c r="H207" s="1685">
        <v>0</v>
      </c>
      <c r="I207" s="1685">
        <v>0</v>
      </c>
      <c r="J207" s="1685">
        <v>0</v>
      </c>
      <c r="K207" s="1685">
        <v>0</v>
      </c>
      <c r="L207" s="1685">
        <f>SUM(J207:K207)</f>
        <v>0</v>
      </c>
      <c r="M207" s="1685">
        <v>0</v>
      </c>
    </row>
    <row r="208" spans="1:14" ht="15.75" customHeight="1">
      <c r="B208" s="91"/>
      <c r="C208" s="1677" t="s">
        <v>870</v>
      </c>
      <c r="D208" s="95"/>
      <c r="E208" s="470"/>
      <c r="F208" s="96"/>
      <c r="G208" s="1685"/>
      <c r="H208" s="1685">
        <v>0</v>
      </c>
      <c r="I208" s="1685">
        <v>1750000</v>
      </c>
      <c r="J208" s="1685"/>
      <c r="K208" s="1685">
        <v>600000</v>
      </c>
      <c r="L208" s="1685">
        <f>SUM(J208:K208)</f>
        <v>600000</v>
      </c>
      <c r="M208" s="1685">
        <v>0</v>
      </c>
    </row>
    <row r="209" spans="2:13" ht="15.75" customHeight="1">
      <c r="B209" s="91"/>
      <c r="C209" s="1677"/>
      <c r="D209" s="95"/>
      <c r="E209" s="470"/>
      <c r="F209" s="96"/>
      <c r="G209" s="1686"/>
      <c r="H209" s="1686"/>
      <c r="I209" s="1686"/>
      <c r="J209" s="1686"/>
      <c r="K209" s="1686"/>
      <c r="L209" s="1686"/>
      <c r="M209" s="1686">
        <v>0</v>
      </c>
    </row>
    <row r="210" spans="2:13" ht="15.75" customHeight="1">
      <c r="B210" s="91"/>
      <c r="C210" s="1677" t="s">
        <v>883</v>
      </c>
      <c r="D210" s="95"/>
      <c r="E210" s="470"/>
      <c r="F210" s="96"/>
      <c r="G210" s="96"/>
      <c r="H210" s="96"/>
      <c r="I210" s="96"/>
      <c r="J210" s="96"/>
      <c r="K210" s="96"/>
      <c r="L210" s="96"/>
      <c r="M210" s="96"/>
    </row>
    <row r="211" spans="2:13" ht="15.75" customHeight="1">
      <c r="B211" s="91"/>
      <c r="C211" s="478" t="s">
        <v>882</v>
      </c>
      <c r="D211" s="95"/>
      <c r="E211" s="470"/>
      <c r="F211" s="96"/>
      <c r="G211" s="1690"/>
      <c r="H211" s="1690">
        <f>1.8%</f>
        <v>1.8000000000000002E-2</v>
      </c>
      <c r="I211" s="1690">
        <f>H211</f>
        <v>1.8000000000000002E-2</v>
      </c>
      <c r="J211" s="1690">
        <f>I211</f>
        <v>1.8000000000000002E-2</v>
      </c>
      <c r="K211" s="1690">
        <f>J211</f>
        <v>1.8000000000000002E-2</v>
      </c>
      <c r="L211" s="1690">
        <f>K211</f>
        <v>1.8000000000000002E-2</v>
      </c>
      <c r="M211" s="1690">
        <f>I211</f>
        <v>1.8000000000000002E-2</v>
      </c>
    </row>
    <row r="212" spans="2:13" ht="15.75" customHeight="1">
      <c r="B212" s="91"/>
      <c r="C212" s="478" t="s">
        <v>706</v>
      </c>
      <c r="D212" s="95"/>
      <c r="E212" s="470"/>
      <c r="F212" s="96"/>
      <c r="G212" s="1690"/>
      <c r="H212" s="1690">
        <v>0.15</v>
      </c>
      <c r="I212" s="1690">
        <v>0.15</v>
      </c>
      <c r="J212" s="1690">
        <v>0.15</v>
      </c>
      <c r="K212" s="1690">
        <v>0.15</v>
      </c>
      <c r="L212" s="1690">
        <v>0.15</v>
      </c>
      <c r="M212" s="1690">
        <v>0.15</v>
      </c>
    </row>
    <row r="213" spans="2:13" ht="15.75" customHeight="1">
      <c r="B213" s="91"/>
      <c r="C213" s="478" t="s">
        <v>707</v>
      </c>
      <c r="D213" s="95"/>
      <c r="E213" s="470"/>
      <c r="F213" s="96"/>
      <c r="G213" s="1690"/>
      <c r="H213" s="1690">
        <v>0.3</v>
      </c>
      <c r="I213" s="1690">
        <v>0.3</v>
      </c>
      <c r="J213" s="1690">
        <v>0.3</v>
      </c>
      <c r="K213" s="1690">
        <v>0.3</v>
      </c>
      <c r="L213" s="1690">
        <v>0.3</v>
      </c>
      <c r="M213" s="1690">
        <v>0.3</v>
      </c>
    </row>
    <row r="214" spans="2:13" ht="15.75" customHeight="1">
      <c r="B214" s="91"/>
      <c r="C214" s="478" t="s">
        <v>1214</v>
      </c>
      <c r="D214" s="95"/>
      <c r="E214" s="470"/>
      <c r="F214" s="96"/>
      <c r="G214" s="1690"/>
      <c r="H214" s="1685">
        <v>12</v>
      </c>
      <c r="I214" s="1685">
        <v>11.5</v>
      </c>
      <c r="J214" s="1685">
        <v>11.5</v>
      </c>
      <c r="K214" s="1685">
        <v>11.5</v>
      </c>
      <c r="L214" s="1685">
        <v>11.5</v>
      </c>
      <c r="M214" s="1685">
        <v>12</v>
      </c>
    </row>
    <row r="215" spans="2:13" ht="15.75" customHeight="1">
      <c r="B215" s="91"/>
      <c r="C215" s="1677" t="s">
        <v>1219</v>
      </c>
      <c r="D215" s="95"/>
      <c r="E215" s="470"/>
      <c r="F215" s="96"/>
      <c r="G215" s="96"/>
      <c r="H215" s="96"/>
      <c r="I215" s="96"/>
      <c r="J215" s="96"/>
      <c r="K215" s="96"/>
      <c r="L215" s="96"/>
      <c r="M215" s="96"/>
    </row>
    <row r="216" spans="2:13" ht="15.75" customHeight="1">
      <c r="B216" s="91"/>
      <c r="C216" s="478" t="s">
        <v>882</v>
      </c>
      <c r="D216" s="95"/>
      <c r="E216" s="470"/>
      <c r="F216" s="96"/>
      <c r="G216" s="1690"/>
      <c r="H216" s="1690">
        <v>0.02</v>
      </c>
      <c r="I216" s="1690">
        <f>H216</f>
        <v>0.02</v>
      </c>
      <c r="J216" s="1690">
        <f>I216</f>
        <v>0.02</v>
      </c>
      <c r="K216" s="1690">
        <v>2.1999999999999999E-2</v>
      </c>
      <c r="L216" s="1690">
        <f>K216</f>
        <v>2.1999999999999999E-2</v>
      </c>
      <c r="M216" s="1690">
        <f>I216</f>
        <v>0.02</v>
      </c>
    </row>
    <row r="217" spans="2:13" ht="15.75" customHeight="1">
      <c r="B217" s="91"/>
      <c r="C217" s="478" t="s">
        <v>706</v>
      </c>
      <c r="D217" s="95"/>
      <c r="E217" s="470"/>
      <c r="F217" s="96"/>
      <c r="G217" s="1690"/>
      <c r="H217" s="1690">
        <v>0.24</v>
      </c>
      <c r="I217" s="1690">
        <v>0.24</v>
      </c>
      <c r="J217" s="1690">
        <v>0.24</v>
      </c>
      <c r="K217" s="1690">
        <v>0.24</v>
      </c>
      <c r="L217" s="1690">
        <v>0.24</v>
      </c>
      <c r="M217" s="1690">
        <v>0.24</v>
      </c>
    </row>
    <row r="218" spans="2:13" ht="15.75" customHeight="1">
      <c r="B218" s="91"/>
      <c r="C218" s="478" t="s">
        <v>707</v>
      </c>
      <c r="D218" s="95"/>
      <c r="E218" s="470"/>
      <c r="F218" s="96"/>
      <c r="G218" s="1690"/>
      <c r="H218" s="1690">
        <v>0.3</v>
      </c>
      <c r="I218" s="1690">
        <v>0.3</v>
      </c>
      <c r="J218" s="1690">
        <v>0.3</v>
      </c>
      <c r="K218" s="1690">
        <v>0.3</v>
      </c>
      <c r="L218" s="1690">
        <v>0.3</v>
      </c>
      <c r="M218" s="1690">
        <v>0.3</v>
      </c>
    </row>
    <row r="219" spans="2:13" ht="15.75" customHeight="1">
      <c r="B219" s="91"/>
      <c r="C219" s="478" t="s">
        <v>1214</v>
      </c>
      <c r="D219" s="95"/>
      <c r="E219" s="470"/>
      <c r="F219" s="96"/>
      <c r="G219" s="1690"/>
      <c r="H219" s="1685">
        <v>12.5</v>
      </c>
      <c r="I219" s="1685">
        <v>12</v>
      </c>
      <c r="J219" s="1685">
        <v>12</v>
      </c>
      <c r="K219" s="1685">
        <v>12</v>
      </c>
      <c r="L219" s="1685">
        <v>12</v>
      </c>
      <c r="M219" s="1685">
        <f>I219</f>
        <v>12</v>
      </c>
    </row>
    <row r="220" spans="2:13" ht="15.75" customHeight="1">
      <c r="B220" s="91"/>
      <c r="C220" s="1677" t="s">
        <v>868</v>
      </c>
      <c r="D220" s="95"/>
      <c r="E220" s="470"/>
      <c r="F220" s="82"/>
      <c r="G220" s="82"/>
      <c r="H220" s="82">
        <f t="shared" ref="H220:M220" si="71">H221+H222</f>
        <v>0</v>
      </c>
      <c r="I220" s="82">
        <f t="shared" si="71"/>
        <v>35000</v>
      </c>
      <c r="J220" s="82">
        <f t="shared" si="71"/>
        <v>0</v>
      </c>
      <c r="K220" s="82">
        <f t="shared" si="71"/>
        <v>13200</v>
      </c>
      <c r="L220" s="82">
        <f t="shared" si="71"/>
        <v>13200</v>
      </c>
      <c r="M220" s="82">
        <f t="shared" si="71"/>
        <v>0</v>
      </c>
    </row>
    <row r="221" spans="2:13" ht="15.75" customHeight="1">
      <c r="B221" s="91"/>
      <c r="C221" s="1677" t="s">
        <v>869</v>
      </c>
      <c r="D221" s="95"/>
      <c r="E221" s="470"/>
      <c r="F221" s="82"/>
      <c r="G221" s="82"/>
      <c r="H221" s="82">
        <f t="shared" ref="H221:M221" si="72">H207*H211</f>
        <v>0</v>
      </c>
      <c r="I221" s="82">
        <f t="shared" si="72"/>
        <v>0</v>
      </c>
      <c r="J221" s="82">
        <f t="shared" si="72"/>
        <v>0</v>
      </c>
      <c r="K221" s="82">
        <f t="shared" si="72"/>
        <v>0</v>
      </c>
      <c r="L221" s="82">
        <f t="shared" si="72"/>
        <v>0</v>
      </c>
      <c r="M221" s="82">
        <f t="shared" si="72"/>
        <v>0</v>
      </c>
    </row>
    <row r="222" spans="2:13" ht="15.75" customHeight="1">
      <c r="B222" s="91"/>
      <c r="C222" s="1677" t="s">
        <v>870</v>
      </c>
      <c r="D222" s="95"/>
      <c r="E222" s="470"/>
      <c r="F222" s="82"/>
      <c r="G222" s="82"/>
      <c r="H222" s="82">
        <f t="shared" ref="H222:M222" si="73">H208*H216</f>
        <v>0</v>
      </c>
      <c r="I222" s="82">
        <f t="shared" si="73"/>
        <v>35000</v>
      </c>
      <c r="J222" s="82">
        <f t="shared" si="73"/>
        <v>0</v>
      </c>
      <c r="K222" s="82">
        <f t="shared" si="73"/>
        <v>13200</v>
      </c>
      <c r="L222" s="82">
        <f t="shared" si="73"/>
        <v>13200</v>
      </c>
      <c r="M222" s="82">
        <f t="shared" si="73"/>
        <v>0</v>
      </c>
    </row>
    <row r="223" spans="2:13" ht="15.75" customHeight="1">
      <c r="B223" s="91"/>
      <c r="C223" s="1677" t="s">
        <v>704</v>
      </c>
      <c r="D223" s="95"/>
      <c r="E223" s="470"/>
      <c r="F223" s="82"/>
      <c r="G223" s="82"/>
      <c r="H223" s="82">
        <v>3</v>
      </c>
      <c r="I223" s="82">
        <f>H223</f>
        <v>3</v>
      </c>
      <c r="J223" s="82">
        <f>I223</f>
        <v>3</v>
      </c>
      <c r="K223" s="82">
        <f>J223</f>
        <v>3</v>
      </c>
      <c r="L223" s="82">
        <f>K223</f>
        <v>3</v>
      </c>
      <c r="M223" s="82">
        <f>I223</f>
        <v>3</v>
      </c>
    </row>
    <row r="224" spans="2:13" ht="15.75" customHeight="1">
      <c r="B224" s="91"/>
      <c r="C224" s="1677" t="s">
        <v>705</v>
      </c>
      <c r="D224" s="95"/>
      <c r="E224" s="470"/>
      <c r="F224" s="82"/>
      <c r="G224" s="82"/>
      <c r="H224" s="82">
        <f t="shared" ref="H224:M224" si="74">H220*H223</f>
        <v>0</v>
      </c>
      <c r="I224" s="82">
        <f t="shared" si="74"/>
        <v>105000</v>
      </c>
      <c r="J224" s="82">
        <f t="shared" si="74"/>
        <v>0</v>
      </c>
      <c r="K224" s="82">
        <f t="shared" si="74"/>
        <v>39600</v>
      </c>
      <c r="L224" s="82">
        <f t="shared" si="74"/>
        <v>39600</v>
      </c>
      <c r="M224" s="82">
        <f t="shared" si="74"/>
        <v>0</v>
      </c>
    </row>
    <row r="225" spans="1:14" ht="15.75" customHeight="1">
      <c r="B225" s="91"/>
      <c r="C225" s="1677" t="s">
        <v>872</v>
      </c>
      <c r="D225" s="95"/>
      <c r="E225" s="470"/>
      <c r="F225" s="82"/>
      <c r="G225" s="82"/>
      <c r="H225" s="82">
        <v>16</v>
      </c>
      <c r="I225" s="82">
        <f>H225</f>
        <v>16</v>
      </c>
      <c r="J225" s="82">
        <f>I225</f>
        <v>16</v>
      </c>
      <c r="K225" s="82">
        <f>J225</f>
        <v>16</v>
      </c>
      <c r="L225" s="82">
        <f>K225</f>
        <v>16</v>
      </c>
      <c r="M225" s="82">
        <f>I225</f>
        <v>16</v>
      </c>
    </row>
    <row r="226" spans="1:14" ht="15.75" customHeight="1">
      <c r="B226" s="91"/>
      <c r="C226" s="1677" t="s">
        <v>871</v>
      </c>
      <c r="D226" s="95"/>
      <c r="E226" s="1622"/>
      <c r="F226" s="1692"/>
      <c r="G226" s="705"/>
      <c r="H226" s="705">
        <v>1</v>
      </c>
      <c r="I226" s="705">
        <v>1</v>
      </c>
      <c r="J226" s="705">
        <v>1</v>
      </c>
      <c r="K226" s="705">
        <v>1</v>
      </c>
      <c r="L226" s="705">
        <v>1</v>
      </c>
      <c r="M226" s="705">
        <f>I226</f>
        <v>1</v>
      </c>
    </row>
    <row r="227" spans="1:14" ht="15.75" customHeight="1">
      <c r="B227" s="159"/>
      <c r="C227" s="467"/>
      <c r="D227" s="468"/>
      <c r="E227" s="466"/>
      <c r="F227" s="421"/>
      <c r="G227" s="421"/>
      <c r="H227" s="421"/>
      <c r="I227" s="421"/>
      <c r="J227" s="421"/>
      <c r="K227" s="421"/>
      <c r="L227" s="421"/>
      <c r="M227" s="421"/>
    </row>
    <row r="228" spans="1:14" ht="15.75" customHeight="1">
      <c r="A228" s="1701" t="s">
        <v>2097</v>
      </c>
      <c r="B228" s="159"/>
      <c r="C228" s="1671"/>
      <c r="D228" s="546"/>
      <c r="E228" s="557"/>
      <c r="F228" s="92"/>
      <c r="G228" s="92">
        <f t="shared" ref="G228:M228" si="75">G198</f>
        <v>1</v>
      </c>
      <c r="H228" s="92">
        <f t="shared" si="75"/>
        <v>2</v>
      </c>
      <c r="I228" s="92">
        <f t="shared" si="75"/>
        <v>3</v>
      </c>
      <c r="J228" s="92" t="str">
        <f t="shared" ref="J228:L228" si="76">J198</f>
        <v>1H 3 Y</v>
      </c>
      <c r="K228" s="92" t="str">
        <f t="shared" si="76"/>
        <v>2H 3 Y</v>
      </c>
      <c r="L228" s="92" t="str">
        <f t="shared" si="76"/>
        <v>Revised</v>
      </c>
      <c r="M228" s="92">
        <f t="shared" si="75"/>
        <v>4</v>
      </c>
    </row>
    <row r="229" spans="1:14" ht="15.75" customHeight="1">
      <c r="B229" s="159"/>
      <c r="C229" s="548" t="s">
        <v>2097</v>
      </c>
      <c r="D229" s="548"/>
      <c r="E229" s="489"/>
      <c r="F229" s="93"/>
      <c r="G229" s="93"/>
      <c r="H229" s="93"/>
      <c r="I229" s="93"/>
      <c r="J229" s="93"/>
      <c r="K229" s="93"/>
      <c r="L229" s="93"/>
      <c r="M229" s="93"/>
    </row>
    <row r="230" spans="1:14" ht="15.75" customHeight="1">
      <c r="B230" s="159"/>
      <c r="C230" s="467" t="s">
        <v>888</v>
      </c>
      <c r="D230" s="471"/>
      <c r="E230" s="490"/>
      <c r="F230" s="94"/>
      <c r="G230" s="94" t="s">
        <v>499</v>
      </c>
      <c r="H230" s="94" t="s">
        <v>499</v>
      </c>
      <c r="I230" s="94" t="s">
        <v>499</v>
      </c>
      <c r="J230" s="94" t="s">
        <v>499</v>
      </c>
      <c r="K230" s="94" t="s">
        <v>499</v>
      </c>
      <c r="L230" s="94" t="s">
        <v>499</v>
      </c>
      <c r="M230" s="94" t="s">
        <v>499</v>
      </c>
    </row>
    <row r="231" spans="1:14" ht="15.75" customHeight="1">
      <c r="B231" s="159"/>
      <c r="C231" s="95"/>
      <c r="D231" s="95"/>
      <c r="E231" s="491"/>
      <c r="F231" s="144"/>
      <c r="G231" s="144"/>
      <c r="H231" s="144"/>
      <c r="I231" s="144"/>
      <c r="J231" s="144"/>
      <c r="K231" s="144"/>
      <c r="L231" s="144"/>
      <c r="M231" s="144"/>
    </row>
    <row r="232" spans="1:14" ht="15.75" customHeight="1">
      <c r="B232" s="161"/>
      <c r="C232" s="1702" t="s">
        <v>874</v>
      </c>
      <c r="D232" s="1703"/>
      <c r="E232" s="1704"/>
      <c r="F232" s="1705"/>
      <c r="G232" s="1705"/>
      <c r="H232" s="1705">
        <v>22.576910714792472</v>
      </c>
      <c r="I232" s="1705">
        <f>29.93</f>
        <v>29.93</v>
      </c>
      <c r="J232" s="1705">
        <f>29.93</f>
        <v>29.93</v>
      </c>
      <c r="K232" s="1705">
        <f>29.93</f>
        <v>29.93</v>
      </c>
      <c r="L232" s="1705">
        <f>29.93</f>
        <v>29.93</v>
      </c>
      <c r="M232" s="1705">
        <f>I232</f>
        <v>29.93</v>
      </c>
    </row>
    <row r="233" spans="1:14" ht="15.75" customHeight="1">
      <c r="B233" s="159"/>
      <c r="C233" s="1702" t="s">
        <v>875</v>
      </c>
      <c r="D233" s="1706"/>
      <c r="E233" s="1707"/>
      <c r="F233" s="1708"/>
      <c r="G233" s="1709"/>
      <c r="H233" s="1694">
        <f>20%*25.14</f>
        <v>5.0280000000000005</v>
      </c>
      <c r="I233" s="1694">
        <v>0</v>
      </c>
      <c r="J233" s="1694">
        <v>0</v>
      </c>
      <c r="K233" s="1694">
        <v>0</v>
      </c>
      <c r="L233" s="1694">
        <v>0</v>
      </c>
      <c r="M233" s="1694">
        <v>0</v>
      </c>
    </row>
    <row r="234" spans="1:14" ht="15.75" customHeight="1">
      <c r="B234" s="159"/>
      <c r="C234" s="1702" t="s">
        <v>876</v>
      </c>
      <c r="D234" s="1706"/>
      <c r="E234" s="1707"/>
      <c r="F234" s="1708"/>
      <c r="G234" s="1709"/>
      <c r="H234" s="1694">
        <f>20%*32.69</f>
        <v>6.5380000000000003</v>
      </c>
      <c r="I234" s="1694">
        <v>9.16</v>
      </c>
      <c r="J234" s="1694">
        <v>9.16</v>
      </c>
      <c r="K234" s="1694">
        <f>K236-K232</f>
        <v>2.0700000000000003</v>
      </c>
      <c r="L234" s="1694">
        <f>L236-L232</f>
        <v>2.0700000000000003</v>
      </c>
      <c r="M234" s="1694">
        <f>M236-M232</f>
        <v>2.0700000000000003</v>
      </c>
    </row>
    <row r="235" spans="1:14" ht="15.75" customHeight="1">
      <c r="A235" s="848"/>
      <c r="B235" s="849"/>
      <c r="C235" s="850" t="s">
        <v>877</v>
      </c>
      <c r="D235" s="648"/>
      <c r="E235" s="1695"/>
      <c r="F235" s="1696"/>
      <c r="G235" s="1697"/>
      <c r="H235" s="1697">
        <f t="shared" ref="H235:M235" si="77">H232+H233</f>
        <v>27.604910714792474</v>
      </c>
      <c r="I235" s="1697">
        <f t="shared" si="77"/>
        <v>29.93</v>
      </c>
      <c r="J235" s="1697">
        <f t="shared" si="77"/>
        <v>29.93</v>
      </c>
      <c r="K235" s="1697">
        <f t="shared" si="77"/>
        <v>29.93</v>
      </c>
      <c r="L235" s="1697">
        <f t="shared" si="77"/>
        <v>29.93</v>
      </c>
      <c r="M235" s="1697">
        <f t="shared" si="77"/>
        <v>29.93</v>
      </c>
    </row>
    <row r="236" spans="1:14" ht="15.75" customHeight="1">
      <c r="A236" s="848"/>
      <c r="B236" s="849"/>
      <c r="C236" s="850" t="s">
        <v>878</v>
      </c>
      <c r="D236" s="648"/>
      <c r="E236" s="1695"/>
      <c r="F236" s="1696"/>
      <c r="G236" s="1697"/>
      <c r="H236" s="1697">
        <f>H232+H234</f>
        <v>29.114910714792472</v>
      </c>
      <c r="I236" s="1697">
        <f>I232+I234</f>
        <v>39.090000000000003</v>
      </c>
      <c r="J236" s="1697">
        <f>J232+J234</f>
        <v>39.090000000000003</v>
      </c>
      <c r="K236" s="1697">
        <v>32</v>
      </c>
      <c r="L236" s="1697">
        <f>K236</f>
        <v>32</v>
      </c>
      <c r="M236" s="1697">
        <v>32</v>
      </c>
    </row>
    <row r="237" spans="1:14" ht="15.75" customHeight="1">
      <c r="B237" s="159"/>
      <c r="C237" s="164"/>
      <c r="D237" s="76"/>
      <c r="E237" s="492"/>
      <c r="F237" s="146"/>
      <c r="G237" s="1693"/>
      <c r="H237" s="1693"/>
      <c r="I237" s="1693"/>
      <c r="J237" s="1693"/>
      <c r="K237" s="1693"/>
      <c r="L237" s="1693"/>
      <c r="M237" s="1693"/>
    </row>
    <row r="238" spans="1:14" ht="15.75" customHeight="1">
      <c r="B238" s="159"/>
      <c r="C238" s="164" t="s">
        <v>879</v>
      </c>
      <c r="D238" s="76"/>
      <c r="E238" s="492"/>
      <c r="F238" s="146"/>
      <c r="G238" s="1699"/>
      <c r="H238" s="1699">
        <f t="shared" ref="H238:M239" si="78">H235*H207</f>
        <v>0</v>
      </c>
      <c r="I238" s="1699">
        <f t="shared" si="78"/>
        <v>0</v>
      </c>
      <c r="J238" s="1699">
        <f t="shared" ref="J238:L239" si="79">J235*J207</f>
        <v>0</v>
      </c>
      <c r="K238" s="1699">
        <f t="shared" si="79"/>
        <v>0</v>
      </c>
      <c r="L238" s="1699">
        <f t="shared" si="79"/>
        <v>0</v>
      </c>
      <c r="M238" s="1699">
        <f t="shared" si="78"/>
        <v>0</v>
      </c>
    </row>
    <row r="239" spans="1:14" ht="15.75" customHeight="1">
      <c r="B239" s="159"/>
      <c r="C239" s="164" t="s">
        <v>880</v>
      </c>
      <c r="D239" s="100"/>
      <c r="E239" s="492"/>
      <c r="F239" s="560"/>
      <c r="G239" s="1699"/>
      <c r="H239" s="1699">
        <f t="shared" si="78"/>
        <v>0</v>
      </c>
      <c r="I239" s="1699">
        <f t="shared" si="78"/>
        <v>68407500</v>
      </c>
      <c r="J239" s="1699">
        <f t="shared" si="79"/>
        <v>0</v>
      </c>
      <c r="K239" s="1699">
        <f t="shared" si="79"/>
        <v>19200000</v>
      </c>
      <c r="L239" s="1699">
        <f t="shared" si="79"/>
        <v>19200000</v>
      </c>
      <c r="M239" s="1699">
        <f t="shared" si="78"/>
        <v>0</v>
      </c>
    </row>
    <row r="240" spans="1:14" ht="15.75" customHeight="1">
      <c r="B240" s="159"/>
      <c r="C240" s="703" t="s">
        <v>881</v>
      </c>
      <c r="D240" s="100"/>
      <c r="E240" s="492"/>
      <c r="F240" s="560"/>
      <c r="G240" s="1700"/>
      <c r="H240" s="551">
        <f>H143</f>
        <v>0.35</v>
      </c>
      <c r="I240" s="551">
        <f t="shared" ref="I240:M240" si="80">I143</f>
        <v>0.35</v>
      </c>
      <c r="J240" s="551">
        <f t="shared" si="80"/>
        <v>0.35</v>
      </c>
      <c r="K240" s="551">
        <f t="shared" si="80"/>
        <v>0.35</v>
      </c>
      <c r="L240" s="551">
        <f t="shared" si="80"/>
        <v>0.35</v>
      </c>
      <c r="M240" s="551">
        <f t="shared" si="80"/>
        <v>0.35</v>
      </c>
      <c r="N240" s="1710"/>
    </row>
    <row r="241" spans="2:14" ht="15.75" customHeight="1">
      <c r="B241" s="159"/>
      <c r="C241" s="703" t="s">
        <v>1215</v>
      </c>
      <c r="D241" s="81"/>
      <c r="E241" s="466"/>
      <c r="F241" s="421"/>
      <c r="G241" s="421"/>
      <c r="H241" s="1699">
        <v>40</v>
      </c>
      <c r="I241" s="1699">
        <f t="shared" ref="I241:L242" si="81">H241</f>
        <v>40</v>
      </c>
      <c r="J241" s="1699">
        <f t="shared" si="81"/>
        <v>40</v>
      </c>
      <c r="K241" s="1699">
        <f t="shared" si="81"/>
        <v>40</v>
      </c>
      <c r="L241" s="1699">
        <f t="shared" si="81"/>
        <v>40</v>
      </c>
      <c r="M241" s="1699">
        <f>I241</f>
        <v>40</v>
      </c>
      <c r="N241" s="152"/>
    </row>
    <row r="242" spans="2:14" ht="15.75" customHeight="1">
      <c r="B242" s="159"/>
      <c r="C242" s="703" t="s">
        <v>1216</v>
      </c>
      <c r="D242" s="468"/>
      <c r="E242" s="466"/>
      <c r="F242" s="421"/>
      <c r="G242" s="421"/>
      <c r="H242" s="1699">
        <v>40</v>
      </c>
      <c r="I242" s="1699">
        <f t="shared" si="81"/>
        <v>40</v>
      </c>
      <c r="J242" s="1699">
        <f t="shared" si="81"/>
        <v>40</v>
      </c>
      <c r="K242" s="1699">
        <f t="shared" si="81"/>
        <v>40</v>
      </c>
      <c r="L242" s="1699">
        <f t="shared" si="81"/>
        <v>40</v>
      </c>
      <c r="M242" s="1699">
        <f>I242</f>
        <v>40</v>
      </c>
    </row>
    <row r="243" spans="2:14" ht="15.75" customHeight="1">
      <c r="B243" s="159"/>
      <c r="C243" s="546"/>
      <c r="D243" s="546"/>
      <c r="E243" s="547"/>
      <c r="F243" s="136"/>
      <c r="G243" s="136">
        <f t="shared" ref="G243:M243" si="82">G198</f>
        <v>1</v>
      </c>
      <c r="H243" s="136">
        <f t="shared" si="82"/>
        <v>2</v>
      </c>
      <c r="I243" s="136">
        <f t="shared" si="82"/>
        <v>3</v>
      </c>
      <c r="J243" s="136" t="str">
        <f t="shared" ref="J243:L243" si="83">J198</f>
        <v>1H 3 Y</v>
      </c>
      <c r="K243" s="136" t="str">
        <f t="shared" si="83"/>
        <v>2H 3 Y</v>
      </c>
      <c r="L243" s="136" t="str">
        <f t="shared" si="83"/>
        <v>Revised</v>
      </c>
      <c r="M243" s="136">
        <f t="shared" si="82"/>
        <v>4</v>
      </c>
    </row>
    <row r="244" spans="2:14" ht="15.75" customHeight="1">
      <c r="B244" s="159"/>
      <c r="C244" s="1671" t="s">
        <v>2099</v>
      </c>
      <c r="D244" s="548"/>
      <c r="E244" s="470"/>
      <c r="F244" s="93"/>
      <c r="G244" s="93"/>
      <c r="H244" s="93"/>
      <c r="I244" s="93"/>
      <c r="J244" s="93"/>
      <c r="K244" s="93"/>
      <c r="L244" s="93"/>
      <c r="M244" s="93"/>
    </row>
    <row r="245" spans="2:14" ht="15.75" customHeight="1">
      <c r="B245" s="159"/>
      <c r="C245" s="471"/>
      <c r="D245" s="471"/>
      <c r="E245" s="473"/>
      <c r="F245" s="99"/>
      <c r="G245" s="99" t="s">
        <v>499</v>
      </c>
      <c r="H245" s="99" t="s">
        <v>499</v>
      </c>
      <c r="I245" s="99" t="s">
        <v>499</v>
      </c>
      <c r="J245" s="99" t="s">
        <v>499</v>
      </c>
      <c r="K245" s="99" t="s">
        <v>499</v>
      </c>
      <c r="L245" s="99" t="s">
        <v>499</v>
      </c>
      <c r="M245" s="99" t="s">
        <v>499</v>
      </c>
    </row>
    <row r="246" spans="2:14" ht="15.75" customHeight="1">
      <c r="B246" s="88" t="s">
        <v>522</v>
      </c>
      <c r="C246" s="110" t="s">
        <v>183</v>
      </c>
      <c r="D246" s="114"/>
      <c r="E246" s="88"/>
      <c r="F246" s="82"/>
      <c r="G246" s="82">
        <f>G202</f>
        <v>0</v>
      </c>
      <c r="H246" s="82">
        <f t="shared" ref="H246:M246" si="84">H202*H226</f>
        <v>0</v>
      </c>
      <c r="I246" s="82">
        <f t="shared" si="84"/>
        <v>99960000</v>
      </c>
      <c r="J246" s="82">
        <f t="shared" si="84"/>
        <v>0</v>
      </c>
      <c r="K246" s="82">
        <f t="shared" si="84"/>
        <v>30000000</v>
      </c>
      <c r="L246" s="82">
        <f t="shared" si="84"/>
        <v>30000000</v>
      </c>
      <c r="M246" s="82">
        <f t="shared" si="84"/>
        <v>0</v>
      </c>
    </row>
    <row r="247" spans="2:14" ht="15.75" customHeight="1">
      <c r="B247" s="88" t="s">
        <v>523</v>
      </c>
      <c r="C247" s="110" t="s">
        <v>191</v>
      </c>
      <c r="D247" s="114"/>
      <c r="E247" s="88"/>
      <c r="F247" s="82"/>
      <c r="G247" s="82">
        <f>-(G238+G239)</f>
        <v>0</v>
      </c>
      <c r="H247" s="82">
        <v>0</v>
      </c>
      <c r="I247" s="82">
        <f>-(I238+I239)*I226</f>
        <v>-68407500</v>
      </c>
      <c r="J247" s="82">
        <f>-(J238+J239)*J226</f>
        <v>0</v>
      </c>
      <c r="K247" s="82">
        <f>-(K238+K239)*K226</f>
        <v>-19200000</v>
      </c>
      <c r="L247" s="82">
        <f>-(L238+L239)*L226</f>
        <v>-19200000</v>
      </c>
      <c r="M247" s="82">
        <f>-(M238+M239)*M226</f>
        <v>0</v>
      </c>
    </row>
    <row r="248" spans="2:14" ht="15.75" customHeight="1">
      <c r="B248" s="88" t="s">
        <v>523</v>
      </c>
      <c r="C248" s="110" t="s">
        <v>15</v>
      </c>
      <c r="D248" s="114"/>
      <c r="E248" s="88"/>
      <c r="F248" s="82"/>
      <c r="G248" s="82"/>
      <c r="H248" s="82">
        <f>-3371349</f>
        <v>-3371349</v>
      </c>
      <c r="I248" s="82"/>
      <c r="J248" s="82"/>
      <c r="K248" s="82"/>
      <c r="L248" s="82"/>
      <c r="M248" s="82"/>
    </row>
    <row r="249" spans="2:14" ht="15.75" customHeight="1">
      <c r="B249" s="88" t="s">
        <v>524</v>
      </c>
      <c r="C249" s="110" t="s">
        <v>185</v>
      </c>
      <c r="D249" s="100"/>
      <c r="E249" s="88"/>
      <c r="F249" s="79"/>
      <c r="G249" s="79">
        <f>SUM(G246:G247)</f>
        <v>0</v>
      </c>
      <c r="H249" s="79">
        <f t="shared" ref="H249:M249" si="85">SUM(H246:H248)</f>
        <v>-3371349</v>
      </c>
      <c r="I249" s="79">
        <f t="shared" si="85"/>
        <v>31552500</v>
      </c>
      <c r="J249" s="79">
        <f t="shared" si="85"/>
        <v>0</v>
      </c>
      <c r="K249" s="79">
        <f t="shared" si="85"/>
        <v>10800000</v>
      </c>
      <c r="L249" s="79">
        <f t="shared" si="85"/>
        <v>10800000</v>
      </c>
      <c r="M249" s="79">
        <f t="shared" si="85"/>
        <v>0</v>
      </c>
    </row>
    <row r="250" spans="2:14">
      <c r="B250" s="88" t="s">
        <v>524</v>
      </c>
      <c r="C250" s="110" t="s">
        <v>363</v>
      </c>
      <c r="D250" s="114"/>
      <c r="E250" s="88"/>
      <c r="F250" s="79"/>
      <c r="G250" s="79">
        <f t="shared" ref="G250:M250" si="86">G249</f>
        <v>0</v>
      </c>
      <c r="H250" s="79">
        <f t="shared" si="86"/>
        <v>-3371349</v>
      </c>
      <c r="I250" s="79">
        <f t="shared" si="86"/>
        <v>31552500</v>
      </c>
      <c r="J250" s="79">
        <f t="shared" si="86"/>
        <v>0</v>
      </c>
      <c r="K250" s="79">
        <f t="shared" si="86"/>
        <v>10800000</v>
      </c>
      <c r="L250" s="79">
        <f>L249</f>
        <v>10800000</v>
      </c>
      <c r="M250" s="79">
        <f t="shared" si="86"/>
        <v>0</v>
      </c>
    </row>
    <row r="251" spans="2:14">
      <c r="B251" s="88" t="s">
        <v>523</v>
      </c>
      <c r="C251" s="482" t="s">
        <v>194</v>
      </c>
      <c r="D251" s="114"/>
      <c r="E251" s="88"/>
      <c r="F251" s="79"/>
      <c r="G251" s="79">
        <v>0</v>
      </c>
      <c r="H251" s="79">
        <v>0</v>
      </c>
      <c r="I251" s="79">
        <v>0</v>
      </c>
      <c r="J251" s="79">
        <v>0</v>
      </c>
      <c r="K251" s="79">
        <v>0</v>
      </c>
      <c r="L251" s="79">
        <v>0</v>
      </c>
      <c r="M251" s="79">
        <v>0</v>
      </c>
    </row>
    <row r="252" spans="2:14" ht="15.75" customHeight="1">
      <c r="B252" s="88" t="s">
        <v>525</v>
      </c>
      <c r="C252" s="482" t="s">
        <v>187</v>
      </c>
      <c r="D252" s="114"/>
      <c r="E252" s="88"/>
      <c r="F252" s="79"/>
      <c r="G252" s="79">
        <v>0</v>
      </c>
      <c r="H252" s="79">
        <v>0</v>
      </c>
      <c r="I252" s="79">
        <v>0</v>
      </c>
      <c r="J252" s="79">
        <v>0</v>
      </c>
      <c r="K252" s="79">
        <v>0</v>
      </c>
      <c r="L252" s="79">
        <v>0</v>
      </c>
      <c r="M252" s="79">
        <v>0</v>
      </c>
    </row>
    <row r="253" spans="2:14" ht="15.75" customHeight="1">
      <c r="B253" s="88"/>
      <c r="C253" s="356" t="s">
        <v>195</v>
      </c>
      <c r="D253" s="114"/>
      <c r="E253" s="88"/>
      <c r="F253" s="79"/>
      <c r="G253" s="100">
        <v>0</v>
      </c>
      <c r="H253" s="100"/>
      <c r="I253" s="100"/>
      <c r="J253" s="100"/>
      <c r="K253" s="100"/>
      <c r="L253" s="100"/>
      <c r="M253" s="100"/>
    </row>
    <row r="254" spans="2:14" ht="15.75" customHeight="1">
      <c r="B254" s="88" t="s">
        <v>524</v>
      </c>
      <c r="C254" s="110" t="s">
        <v>188</v>
      </c>
      <c r="D254" s="114"/>
      <c r="E254" s="88"/>
      <c r="F254" s="79"/>
      <c r="G254" s="79">
        <f t="shared" ref="G254:M254" si="87">SUM(G250:G253)</f>
        <v>0</v>
      </c>
      <c r="H254" s="79">
        <f t="shared" si="87"/>
        <v>-3371349</v>
      </c>
      <c r="I254" s="79">
        <f t="shared" si="87"/>
        <v>31552500</v>
      </c>
      <c r="J254" s="79">
        <f t="shared" si="87"/>
        <v>0</v>
      </c>
      <c r="K254" s="79">
        <f t="shared" si="87"/>
        <v>10800000</v>
      </c>
      <c r="L254" s="79">
        <f>SUM(L250:L253)</f>
        <v>10800000</v>
      </c>
      <c r="M254" s="79">
        <f t="shared" si="87"/>
        <v>0</v>
      </c>
    </row>
    <row r="255" spans="2:14" ht="15.75" customHeight="1">
      <c r="B255" s="88" t="s">
        <v>523</v>
      </c>
      <c r="C255" s="110" t="s">
        <v>189</v>
      </c>
      <c r="D255" s="100"/>
      <c r="E255" s="88"/>
      <c r="F255" s="79"/>
      <c r="G255" s="79">
        <f>-G254*G240</f>
        <v>0</v>
      </c>
      <c r="H255" s="79">
        <f>-((H242-H235)*H207+H208*(H242-H236))*H240</f>
        <v>0</v>
      </c>
      <c r="I255" s="79">
        <f>-I254*I240</f>
        <v>-11043375</v>
      </c>
      <c r="J255" s="79">
        <f>-J254*J240</f>
        <v>0</v>
      </c>
      <c r="K255" s="79">
        <f>IF(K254&lt;0,0,-K254*K240)</f>
        <v>-3779999.9999999995</v>
      </c>
      <c r="L255" s="79">
        <f>IF(L254&lt;0,0,-L254*L240)</f>
        <v>-3779999.9999999995</v>
      </c>
      <c r="M255" s="79">
        <f>-M254*M240</f>
        <v>0</v>
      </c>
    </row>
    <row r="256" spans="2:14" ht="15.75" customHeight="1">
      <c r="B256" s="88" t="s">
        <v>524</v>
      </c>
      <c r="C256" s="110" t="s">
        <v>190</v>
      </c>
      <c r="D256" s="100"/>
      <c r="E256" s="88"/>
      <c r="F256" s="79"/>
      <c r="G256" s="79">
        <f t="shared" ref="G256:M256" si="88">SUM(G254:G255)</f>
        <v>0</v>
      </c>
      <c r="H256" s="79">
        <f t="shared" si="88"/>
        <v>-3371349</v>
      </c>
      <c r="I256" s="79">
        <f t="shared" si="88"/>
        <v>20509125</v>
      </c>
      <c r="J256" s="79">
        <f t="shared" si="88"/>
        <v>0</v>
      </c>
      <c r="K256" s="79">
        <f t="shared" si="88"/>
        <v>7020000</v>
      </c>
      <c r="L256" s="79">
        <f>SUM(L254:L255)</f>
        <v>7020000</v>
      </c>
      <c r="M256" s="79">
        <f t="shared" si="88"/>
        <v>0</v>
      </c>
    </row>
    <row r="257" spans="1:14" ht="15.75" customHeight="1">
      <c r="B257" s="88"/>
      <c r="C257" s="110"/>
      <c r="D257" s="100"/>
      <c r="E257" s="88"/>
      <c r="F257" s="100"/>
      <c r="G257" s="100"/>
      <c r="H257" s="100"/>
      <c r="I257" s="100"/>
      <c r="J257" s="100"/>
      <c r="K257" s="100"/>
      <c r="L257" s="100"/>
      <c r="M257" s="100"/>
    </row>
    <row r="258" spans="1:14" ht="15.75" customHeight="1">
      <c r="B258" s="76"/>
      <c r="C258" s="501"/>
      <c r="D258" s="106"/>
      <c r="E258" s="502"/>
      <c r="F258" s="136"/>
      <c r="G258" s="136">
        <f t="shared" ref="G258:M258" si="89">G198</f>
        <v>1</v>
      </c>
      <c r="H258" s="136">
        <f t="shared" si="89"/>
        <v>2</v>
      </c>
      <c r="I258" s="136">
        <f t="shared" si="89"/>
        <v>3</v>
      </c>
      <c r="J258" s="136" t="str">
        <f t="shared" ref="J258:L258" si="90">J198</f>
        <v>1H 3 Y</v>
      </c>
      <c r="K258" s="136" t="str">
        <f t="shared" si="90"/>
        <v>2H 3 Y</v>
      </c>
      <c r="L258" s="136" t="str">
        <f t="shared" si="90"/>
        <v>Revised</v>
      </c>
      <c r="M258" s="136">
        <f t="shared" si="89"/>
        <v>4</v>
      </c>
    </row>
    <row r="259" spans="1:14" ht="15.75" customHeight="1">
      <c r="B259" s="76"/>
      <c r="C259" s="1671" t="s">
        <v>2100</v>
      </c>
      <c r="D259" s="469"/>
      <c r="E259" s="470"/>
      <c r="F259" s="93"/>
      <c r="G259" s="93"/>
      <c r="H259" s="93"/>
      <c r="I259" s="93"/>
      <c r="J259" s="93"/>
      <c r="K259" s="93"/>
      <c r="L259" s="93"/>
      <c r="M259" s="93"/>
    </row>
    <row r="260" spans="1:14" ht="15.75" customHeight="1">
      <c r="B260" s="76"/>
      <c r="C260" s="505"/>
      <c r="D260" s="506"/>
      <c r="E260" s="473"/>
      <c r="F260" s="112"/>
      <c r="G260" s="112" t="s">
        <v>499</v>
      </c>
      <c r="H260" s="112" t="s">
        <v>499</v>
      </c>
      <c r="I260" s="112" t="s">
        <v>499</v>
      </c>
      <c r="J260" s="112" t="s">
        <v>499</v>
      </c>
      <c r="K260" s="112" t="s">
        <v>499</v>
      </c>
      <c r="L260" s="112" t="s">
        <v>499</v>
      </c>
      <c r="M260" s="112" t="s">
        <v>499</v>
      </c>
    </row>
    <row r="261" spans="1:14" ht="15.75" customHeight="1">
      <c r="B261" s="111"/>
      <c r="C261" s="110"/>
      <c r="D261" s="110"/>
      <c r="E261" s="88"/>
      <c r="F261" s="440"/>
      <c r="G261" s="440"/>
      <c r="H261" s="440"/>
      <c r="I261" s="440"/>
      <c r="J261" s="440"/>
      <c r="K261" s="440"/>
      <c r="L261" s="440"/>
      <c r="M261" s="440"/>
    </row>
    <row r="262" spans="1:14" ht="15.75" customHeight="1">
      <c r="B262" s="76"/>
      <c r="C262" s="523" t="s">
        <v>198</v>
      </c>
      <c r="D262" s="110"/>
      <c r="E262" s="88"/>
      <c r="F262" s="110"/>
      <c r="G262" s="110"/>
      <c r="H262" s="110"/>
      <c r="I262" s="110"/>
      <c r="J262" s="110"/>
      <c r="K262" s="110"/>
      <c r="L262" s="110"/>
      <c r="M262" s="110"/>
    </row>
    <row r="263" spans="1:14" ht="15.75" customHeight="1">
      <c r="B263" s="76"/>
      <c r="C263" s="516" t="s">
        <v>1220</v>
      </c>
      <c r="D263" s="80"/>
      <c r="E263" s="88"/>
      <c r="F263" s="108">
        <f t="shared" ref="F263:M263" si="91">F250</f>
        <v>0</v>
      </c>
      <c r="G263" s="108">
        <f t="shared" si="91"/>
        <v>0</v>
      </c>
      <c r="H263" s="108">
        <f t="shared" si="91"/>
        <v>-3371349</v>
      </c>
      <c r="I263" s="108">
        <f t="shared" si="91"/>
        <v>31552500</v>
      </c>
      <c r="J263" s="108">
        <f t="shared" si="91"/>
        <v>0</v>
      </c>
      <c r="K263" s="108">
        <f t="shared" si="91"/>
        <v>10800000</v>
      </c>
      <c r="L263" s="108">
        <f>L250</f>
        <v>10800000</v>
      </c>
      <c r="M263" s="108">
        <f t="shared" si="91"/>
        <v>0</v>
      </c>
    </row>
    <row r="264" spans="1:14" ht="15.75" customHeight="1">
      <c r="B264" s="76"/>
      <c r="C264" s="516" t="s">
        <v>199</v>
      </c>
      <c r="D264" s="80"/>
      <c r="E264" s="88"/>
      <c r="F264" s="108">
        <v>0</v>
      </c>
      <c r="G264" s="108">
        <v>0</v>
      </c>
      <c r="H264" s="108">
        <v>0</v>
      </c>
      <c r="I264" s="108">
        <v>0</v>
      </c>
      <c r="J264" s="108">
        <v>0</v>
      </c>
      <c r="K264" s="108">
        <v>0</v>
      </c>
      <c r="L264" s="108">
        <v>0</v>
      </c>
      <c r="M264" s="108">
        <v>0</v>
      </c>
    </row>
    <row r="265" spans="1:14" ht="15.75" customHeight="1">
      <c r="B265" s="76"/>
      <c r="C265" s="516" t="s">
        <v>200</v>
      </c>
      <c r="D265" s="80"/>
      <c r="E265" s="88"/>
      <c r="F265" s="108">
        <v>0</v>
      </c>
      <c r="G265" s="108">
        <v>0</v>
      </c>
      <c r="H265" s="108">
        <v>0</v>
      </c>
      <c r="I265" s="108">
        <v>0</v>
      </c>
      <c r="J265" s="108">
        <v>0</v>
      </c>
      <c r="K265" s="108">
        <v>0</v>
      </c>
      <c r="L265" s="108">
        <v>0</v>
      </c>
      <c r="M265" s="108">
        <v>0</v>
      </c>
    </row>
    <row r="266" spans="1:14" ht="15.75" customHeight="1">
      <c r="B266" s="76"/>
      <c r="C266" s="516" t="s">
        <v>201</v>
      </c>
      <c r="D266" s="110"/>
      <c r="E266" s="88"/>
      <c r="F266" s="108">
        <v>0</v>
      </c>
      <c r="G266" s="108">
        <v>0</v>
      </c>
      <c r="H266" s="108">
        <v>0</v>
      </c>
      <c r="I266" s="108">
        <v>0</v>
      </c>
      <c r="J266" s="108">
        <v>0</v>
      </c>
      <c r="K266" s="108">
        <v>0</v>
      </c>
      <c r="L266" s="108">
        <v>0</v>
      </c>
      <c r="M266" s="108">
        <v>0</v>
      </c>
    </row>
    <row r="267" spans="1:14" ht="15.75" customHeight="1">
      <c r="B267" s="76"/>
      <c r="C267" s="483" t="s">
        <v>202</v>
      </c>
      <c r="D267" s="80"/>
      <c r="E267" s="88"/>
      <c r="F267" s="80">
        <f t="shared" ref="F267:M267" si="92">SUM(F263:F266)</f>
        <v>0</v>
      </c>
      <c r="G267" s="80">
        <f t="shared" si="92"/>
        <v>0</v>
      </c>
      <c r="H267" s="80">
        <f t="shared" si="92"/>
        <v>-3371349</v>
      </c>
      <c r="I267" s="80">
        <f t="shared" si="92"/>
        <v>31552500</v>
      </c>
      <c r="J267" s="80">
        <f t="shared" si="92"/>
        <v>0</v>
      </c>
      <c r="K267" s="80">
        <f t="shared" si="92"/>
        <v>10800000</v>
      </c>
      <c r="L267" s="80">
        <f>SUM(L263:L266)</f>
        <v>10800000</v>
      </c>
      <c r="M267" s="80">
        <f t="shared" si="92"/>
        <v>0</v>
      </c>
    </row>
    <row r="268" spans="1:14" ht="15.75" customHeight="1">
      <c r="B268" s="76"/>
      <c r="C268" s="516" t="s">
        <v>203</v>
      </c>
      <c r="D268" s="110"/>
      <c r="E268" s="88"/>
      <c r="F268" s="108">
        <f t="shared" ref="F268:M269" si="93">F251</f>
        <v>0</v>
      </c>
      <c r="G268" s="108">
        <f t="shared" si="93"/>
        <v>0</v>
      </c>
      <c r="H268" s="108">
        <f t="shared" si="93"/>
        <v>0</v>
      </c>
      <c r="I268" s="108">
        <f t="shared" si="93"/>
        <v>0</v>
      </c>
      <c r="J268" s="108">
        <f t="shared" ref="J268:L269" si="94">J251</f>
        <v>0</v>
      </c>
      <c r="K268" s="108">
        <f t="shared" si="94"/>
        <v>0</v>
      </c>
      <c r="L268" s="108">
        <f t="shared" si="94"/>
        <v>0</v>
      </c>
      <c r="M268" s="108">
        <f t="shared" si="93"/>
        <v>0</v>
      </c>
    </row>
    <row r="269" spans="1:14" ht="15.75" customHeight="1">
      <c r="B269" s="76"/>
      <c r="C269" s="516" t="s">
        <v>187</v>
      </c>
      <c r="D269" s="110"/>
      <c r="E269" s="88"/>
      <c r="F269" s="108">
        <f t="shared" si="93"/>
        <v>0</v>
      </c>
      <c r="G269" s="108">
        <f t="shared" si="93"/>
        <v>0</v>
      </c>
      <c r="H269" s="108">
        <f t="shared" si="93"/>
        <v>0</v>
      </c>
      <c r="I269" s="108">
        <f t="shared" si="93"/>
        <v>0</v>
      </c>
      <c r="J269" s="108">
        <f t="shared" si="94"/>
        <v>0</v>
      </c>
      <c r="K269" s="108">
        <f t="shared" si="94"/>
        <v>0</v>
      </c>
      <c r="L269" s="108">
        <f t="shared" si="94"/>
        <v>0</v>
      </c>
      <c r="M269" s="108">
        <f t="shared" si="93"/>
        <v>0</v>
      </c>
    </row>
    <row r="270" spans="1:14" ht="15.75" customHeight="1">
      <c r="B270" s="76"/>
      <c r="C270" s="516" t="s">
        <v>204</v>
      </c>
      <c r="D270" s="525"/>
      <c r="E270" s="88"/>
      <c r="F270" s="108">
        <f t="shared" ref="F270:M270" si="95">F255</f>
        <v>0</v>
      </c>
      <c r="G270" s="108">
        <f t="shared" si="95"/>
        <v>0</v>
      </c>
      <c r="H270" s="108">
        <f t="shared" si="95"/>
        <v>0</v>
      </c>
      <c r="I270" s="108">
        <f t="shared" si="95"/>
        <v>-11043375</v>
      </c>
      <c r="J270" s="108">
        <f t="shared" si="95"/>
        <v>0</v>
      </c>
      <c r="K270" s="108">
        <f t="shared" si="95"/>
        <v>-3779999.9999999995</v>
      </c>
      <c r="L270" s="108">
        <f>L255</f>
        <v>-3779999.9999999995</v>
      </c>
      <c r="M270" s="108">
        <f t="shared" si="95"/>
        <v>0</v>
      </c>
    </row>
    <row r="271" spans="1:14" s="152" customFormat="1" ht="15.75" customHeight="1">
      <c r="A271" s="460"/>
      <c r="B271" s="76"/>
      <c r="C271" s="356" t="s">
        <v>195</v>
      </c>
      <c r="D271" s="525"/>
      <c r="E271" s="88"/>
      <c r="F271" s="108">
        <f t="shared" ref="F271:M271" si="96">F253</f>
        <v>0</v>
      </c>
      <c r="G271" s="108">
        <f t="shared" si="96"/>
        <v>0</v>
      </c>
      <c r="H271" s="108">
        <f t="shared" si="96"/>
        <v>0</v>
      </c>
      <c r="I271" s="108">
        <f t="shared" si="96"/>
        <v>0</v>
      </c>
      <c r="J271" s="108">
        <f t="shared" si="96"/>
        <v>0</v>
      </c>
      <c r="K271" s="108">
        <f t="shared" si="96"/>
        <v>0</v>
      </c>
      <c r="L271" s="108">
        <f>L253</f>
        <v>0</v>
      </c>
      <c r="M271" s="108">
        <f t="shared" si="96"/>
        <v>0</v>
      </c>
      <c r="N271" s="75"/>
    </row>
    <row r="272" spans="1:14" ht="15.75" customHeight="1">
      <c r="B272" s="155"/>
      <c r="C272" s="95" t="s">
        <v>205</v>
      </c>
      <c r="D272" s="163"/>
      <c r="E272" s="1622"/>
      <c r="F272" s="153">
        <f t="shared" ref="F272:M272" si="97">SUM(F267:F271)</f>
        <v>0</v>
      </c>
      <c r="G272" s="153">
        <f t="shared" si="97"/>
        <v>0</v>
      </c>
      <c r="H272" s="153">
        <f t="shared" si="97"/>
        <v>-3371349</v>
      </c>
      <c r="I272" s="153">
        <f t="shared" si="97"/>
        <v>20509125</v>
      </c>
      <c r="J272" s="153">
        <f t="shared" si="97"/>
        <v>0</v>
      </c>
      <c r="K272" s="153">
        <f t="shared" si="97"/>
        <v>7020000</v>
      </c>
      <c r="L272" s="153">
        <f>SUM(L267:L271)</f>
        <v>7020000</v>
      </c>
      <c r="M272" s="153">
        <f t="shared" si="97"/>
        <v>0</v>
      </c>
    </row>
    <row r="273" spans="2:13">
      <c r="B273" s="76"/>
      <c r="C273" s="110"/>
      <c r="D273" s="110"/>
      <c r="E273" s="88"/>
      <c r="F273" s="100"/>
      <c r="G273" s="100"/>
      <c r="H273" s="100"/>
      <c r="I273" s="100"/>
      <c r="J273" s="100"/>
      <c r="K273" s="100"/>
      <c r="L273" s="100"/>
      <c r="M273" s="100"/>
    </row>
    <row r="274" spans="2:13" ht="3" customHeight="1">
      <c r="B274" s="76"/>
      <c r="C274" s="523" t="s">
        <v>206</v>
      </c>
      <c r="D274" s="100"/>
      <c r="E274" s="88"/>
      <c r="F274" s="100"/>
      <c r="G274" s="100"/>
      <c r="H274" s="100"/>
      <c r="I274" s="100"/>
      <c r="J274" s="100"/>
      <c r="K274" s="100"/>
      <c r="L274" s="100"/>
      <c r="M274" s="100"/>
    </row>
    <row r="275" spans="2:13">
      <c r="B275" s="76"/>
      <c r="C275" s="1677" t="s">
        <v>2123</v>
      </c>
      <c r="D275" s="95"/>
      <c r="E275" s="470"/>
      <c r="F275" s="82">
        <v>-4484201</v>
      </c>
      <c r="G275" s="82">
        <v>0</v>
      </c>
      <c r="H275" s="108">
        <v>0</v>
      </c>
      <c r="I275" s="108">
        <v>0</v>
      </c>
      <c r="J275" s="108">
        <v>0</v>
      </c>
      <c r="K275" s="108">
        <v>0</v>
      </c>
      <c r="L275" s="108">
        <v>0</v>
      </c>
      <c r="M275" s="108">
        <v>0</v>
      </c>
    </row>
    <row r="276" spans="2:13" ht="15.75" customHeight="1">
      <c r="B276" s="76"/>
      <c r="C276" s="1677" t="s">
        <v>703</v>
      </c>
      <c r="D276" s="95"/>
      <c r="E276" s="470"/>
      <c r="F276" s="82"/>
      <c r="G276" s="82">
        <f>-(12139000+F275)</f>
        <v>-7654799</v>
      </c>
      <c r="H276" s="108">
        <f>-6744759+3371349</f>
        <v>-3373410</v>
      </c>
      <c r="I276" s="108">
        <f>-3758355</f>
        <v>-3758355</v>
      </c>
      <c r="J276" s="108">
        <f>-3758355</f>
        <v>-3758355</v>
      </c>
      <c r="K276" s="108">
        <v>0</v>
      </c>
      <c r="L276" s="108">
        <f>-3758355</f>
        <v>-3758355</v>
      </c>
      <c r="M276" s="108">
        <v>0</v>
      </c>
    </row>
    <row r="277" spans="2:13">
      <c r="B277" s="155"/>
      <c r="C277" s="95" t="s">
        <v>211</v>
      </c>
      <c r="D277" s="163"/>
      <c r="E277" s="1622"/>
      <c r="F277" s="153">
        <f t="shared" ref="F277:M277" si="98">SUM(F275:F276)</f>
        <v>-4484201</v>
      </c>
      <c r="G277" s="153">
        <f t="shared" si="98"/>
        <v>-7654799</v>
      </c>
      <c r="H277" s="153">
        <f t="shared" si="98"/>
        <v>-3373410</v>
      </c>
      <c r="I277" s="153">
        <f t="shared" si="98"/>
        <v>-3758355</v>
      </c>
      <c r="J277" s="153">
        <f t="shared" si="98"/>
        <v>-3758355</v>
      </c>
      <c r="K277" s="153">
        <f t="shared" si="98"/>
        <v>0</v>
      </c>
      <c r="L277" s="153">
        <f>SUM(L275:L276)</f>
        <v>-3758355</v>
      </c>
      <c r="M277" s="153">
        <f t="shared" si="98"/>
        <v>0</v>
      </c>
    </row>
    <row r="278" spans="2:13">
      <c r="B278" s="76"/>
      <c r="C278" s="110"/>
      <c r="D278" s="110"/>
      <c r="E278" s="88"/>
      <c r="F278" s="100"/>
      <c r="G278" s="100"/>
      <c r="H278" s="100"/>
      <c r="I278" s="100"/>
      <c r="J278" s="100"/>
      <c r="K278" s="100"/>
      <c r="L278" s="100"/>
      <c r="M278" s="100"/>
    </row>
    <row r="279" spans="2:13">
      <c r="B279" s="155"/>
      <c r="C279" s="95" t="s">
        <v>212</v>
      </c>
      <c r="D279" s="163"/>
      <c r="E279" s="1622"/>
      <c r="F279" s="153">
        <f t="shared" ref="F279:M279" si="99">SUM(F277,F272)</f>
        <v>-4484201</v>
      </c>
      <c r="G279" s="153">
        <f t="shared" si="99"/>
        <v>-7654799</v>
      </c>
      <c r="H279" s="153">
        <f t="shared" si="99"/>
        <v>-6744759</v>
      </c>
      <c r="I279" s="153">
        <f t="shared" si="99"/>
        <v>16750770</v>
      </c>
      <c r="J279" s="153">
        <f t="shared" si="99"/>
        <v>-3758355</v>
      </c>
      <c r="K279" s="153">
        <f t="shared" si="99"/>
        <v>7020000</v>
      </c>
      <c r="L279" s="153">
        <f>SUM(L277,L272)</f>
        <v>3261645</v>
      </c>
      <c r="M279" s="153">
        <f t="shared" si="99"/>
        <v>0</v>
      </c>
    </row>
    <row r="280" spans="2:13" ht="15.75" customHeight="1">
      <c r="B280" s="76"/>
      <c r="C280" s="95"/>
      <c r="D280" s="508"/>
      <c r="E280" s="509"/>
      <c r="F280" s="100"/>
      <c r="G280" s="100"/>
      <c r="H280" s="100"/>
      <c r="I280" s="100"/>
      <c r="J280" s="100"/>
      <c r="K280" s="100"/>
      <c r="L280" s="100"/>
      <c r="M280" s="100"/>
    </row>
    <row r="281" spans="2:13" ht="15.75" customHeight="1">
      <c r="B281" s="76"/>
      <c r="C281" s="110" t="s">
        <v>904</v>
      </c>
      <c r="D281" s="110"/>
      <c r="E281" s="88"/>
      <c r="F281" s="108">
        <f t="shared" ref="F281:M281" si="100">IF(F279&lt;0,F279,0)</f>
        <v>-4484201</v>
      </c>
      <c r="G281" s="108">
        <f t="shared" si="100"/>
        <v>-7654799</v>
      </c>
      <c r="H281" s="108">
        <f t="shared" si="100"/>
        <v>-6744759</v>
      </c>
      <c r="I281" s="108">
        <f t="shared" si="100"/>
        <v>0</v>
      </c>
      <c r="J281" s="108">
        <f t="shared" si="100"/>
        <v>-3758355</v>
      </c>
      <c r="K281" s="108">
        <f t="shared" si="100"/>
        <v>0</v>
      </c>
      <c r="L281" s="108">
        <f>IF(L279&lt;0,L279,0)</f>
        <v>0</v>
      </c>
      <c r="M281" s="108">
        <f t="shared" si="100"/>
        <v>0</v>
      </c>
    </row>
    <row r="282" spans="2:13" ht="15.75" customHeight="1">
      <c r="B282" s="76"/>
      <c r="C282" s="110"/>
      <c r="D282" s="110"/>
      <c r="E282" s="88"/>
      <c r="F282" s="100"/>
      <c r="G282" s="100"/>
      <c r="H282" s="100"/>
      <c r="I282" s="100"/>
      <c r="J282" s="100"/>
      <c r="K282" s="100"/>
      <c r="L282" s="100"/>
      <c r="M282" s="100"/>
    </row>
    <row r="283" spans="2:13" ht="15.75" customHeight="1">
      <c r="B283" s="76"/>
      <c r="C283" s="523" t="s">
        <v>135</v>
      </c>
      <c r="D283" s="114"/>
      <c r="E283" s="88"/>
      <c r="F283" s="100"/>
      <c r="G283" s="100"/>
      <c r="H283" s="100"/>
      <c r="I283" s="100"/>
      <c r="J283" s="100"/>
      <c r="K283" s="100"/>
      <c r="L283" s="100"/>
      <c r="M283" s="100"/>
    </row>
    <row r="284" spans="2:13" ht="15.75" customHeight="1">
      <c r="B284" s="76"/>
      <c r="C284" s="482" t="s">
        <v>214</v>
      </c>
      <c r="D284" s="110"/>
      <c r="E284" s="88"/>
      <c r="F284" s="108">
        <v>0</v>
      </c>
      <c r="G284" s="108">
        <v>0</v>
      </c>
      <c r="H284" s="108">
        <v>0</v>
      </c>
      <c r="I284" s="108">
        <v>0</v>
      </c>
      <c r="J284" s="108">
        <v>0</v>
      </c>
      <c r="K284" s="108">
        <v>0</v>
      </c>
      <c r="L284" s="108">
        <v>0</v>
      </c>
      <c r="M284" s="108">
        <v>0</v>
      </c>
    </row>
    <row r="285" spans="2:13" ht="15.75" customHeight="1">
      <c r="B285" s="76"/>
      <c r="C285" s="482" t="s">
        <v>215</v>
      </c>
      <c r="D285" s="110"/>
      <c r="E285" s="88"/>
      <c r="F285" s="108">
        <v>0</v>
      </c>
      <c r="G285" s="108">
        <v>0</v>
      </c>
      <c r="H285" s="108">
        <v>0</v>
      </c>
      <c r="I285" s="108">
        <v>0</v>
      </c>
      <c r="J285" s="108">
        <v>0</v>
      </c>
      <c r="K285" s="108">
        <v>0</v>
      </c>
      <c r="L285" s="108">
        <v>0</v>
      </c>
      <c r="M285" s="108">
        <v>0</v>
      </c>
    </row>
    <row r="286" spans="2:13" ht="15.75" customHeight="1">
      <c r="B286" s="76"/>
      <c r="C286" s="482" t="s">
        <v>816</v>
      </c>
      <c r="D286" s="110"/>
      <c r="E286" s="88"/>
      <c r="F286" s="108">
        <v>0</v>
      </c>
      <c r="G286" s="108">
        <v>0</v>
      </c>
      <c r="H286" s="108">
        <v>0</v>
      </c>
      <c r="I286" s="108">
        <v>0</v>
      </c>
      <c r="J286" s="108">
        <v>0</v>
      </c>
      <c r="K286" s="108">
        <v>0</v>
      </c>
      <c r="L286" s="108">
        <v>0</v>
      </c>
      <c r="M286" s="108">
        <v>0</v>
      </c>
    </row>
    <row r="287" spans="2:13" ht="15.75" customHeight="1">
      <c r="B287" s="76"/>
      <c r="C287" s="482" t="s">
        <v>311</v>
      </c>
      <c r="D287" s="110"/>
      <c r="E287" s="88"/>
      <c r="F287" s="108">
        <v>0</v>
      </c>
      <c r="G287" s="108">
        <v>0</v>
      </c>
      <c r="H287" s="108">
        <v>0</v>
      </c>
      <c r="I287" s="108">
        <v>0</v>
      </c>
      <c r="J287" s="108">
        <v>0</v>
      </c>
      <c r="K287" s="108">
        <v>0</v>
      </c>
      <c r="L287" s="108">
        <v>0</v>
      </c>
      <c r="M287" s="108">
        <v>0</v>
      </c>
    </row>
    <row r="288" spans="2:13">
      <c r="B288" s="155"/>
      <c r="C288" s="95" t="s">
        <v>217</v>
      </c>
      <c r="D288" s="526"/>
      <c r="E288" s="1622"/>
      <c r="F288" s="153">
        <f t="shared" ref="F288:M288" si="101">SUM(F284:F287)</f>
        <v>0</v>
      </c>
      <c r="G288" s="153">
        <f t="shared" si="101"/>
        <v>0</v>
      </c>
      <c r="H288" s="153">
        <f t="shared" si="101"/>
        <v>0</v>
      </c>
      <c r="I288" s="153">
        <f t="shared" si="101"/>
        <v>0</v>
      </c>
      <c r="J288" s="153">
        <f t="shared" si="101"/>
        <v>0</v>
      </c>
      <c r="K288" s="153">
        <f t="shared" si="101"/>
        <v>0</v>
      </c>
      <c r="L288" s="153">
        <f>SUM(L284:L287)</f>
        <v>0</v>
      </c>
      <c r="M288" s="153">
        <f t="shared" si="101"/>
        <v>0</v>
      </c>
    </row>
    <row r="289" spans="1:13" ht="15.75" customHeight="1">
      <c r="B289" s="76"/>
      <c r="C289" s="110"/>
      <c r="D289" s="83"/>
      <c r="E289" s="527"/>
      <c r="F289" s="108"/>
      <c r="G289" s="108"/>
      <c r="H289" s="108"/>
      <c r="I289" s="108"/>
      <c r="J289" s="108"/>
      <c r="K289" s="108"/>
      <c r="L289" s="108"/>
      <c r="M289" s="108"/>
    </row>
    <row r="290" spans="1:13">
      <c r="B290" s="155"/>
      <c r="C290" s="95" t="s">
        <v>219</v>
      </c>
      <c r="D290" s="526"/>
      <c r="E290" s="1622"/>
      <c r="F290" s="153">
        <f t="shared" ref="F290:M290" si="102">F272+F277+F288</f>
        <v>-4484201</v>
      </c>
      <c r="G290" s="153">
        <f t="shared" si="102"/>
        <v>-7654799</v>
      </c>
      <c r="H290" s="153">
        <f t="shared" si="102"/>
        <v>-6744759</v>
      </c>
      <c r="I290" s="153">
        <f t="shared" si="102"/>
        <v>16750770</v>
      </c>
      <c r="J290" s="153">
        <f t="shared" si="102"/>
        <v>-3758355</v>
      </c>
      <c r="K290" s="153">
        <f t="shared" si="102"/>
        <v>7020000</v>
      </c>
      <c r="L290" s="153">
        <f>L272+L277+L288</f>
        <v>3261645</v>
      </c>
      <c r="M290" s="153">
        <f t="shared" si="102"/>
        <v>0</v>
      </c>
    </row>
    <row r="291" spans="1:13" ht="15.75" customHeight="1">
      <c r="B291" s="111"/>
      <c r="C291" s="110"/>
      <c r="D291" s="83"/>
      <c r="E291" s="527"/>
      <c r="F291" s="108"/>
      <c r="G291" s="108"/>
      <c r="H291" s="108"/>
      <c r="I291" s="108"/>
      <c r="J291" s="108"/>
      <c r="K291" s="108"/>
      <c r="L291" s="108"/>
      <c r="M291" s="108"/>
    </row>
    <row r="292" spans="1:13" ht="15.75" customHeight="1">
      <c r="B292" s="111"/>
      <c r="C292" s="483" t="s">
        <v>902</v>
      </c>
      <c r="D292" s="110"/>
      <c r="E292" s="88"/>
      <c r="F292" s="108">
        <f t="shared" ref="F292:K292" si="103">E293</f>
        <v>0</v>
      </c>
      <c r="G292" s="108">
        <f t="shared" si="103"/>
        <v>-4484201</v>
      </c>
      <c r="H292" s="108">
        <f t="shared" si="103"/>
        <v>-12139000</v>
      </c>
      <c r="I292" s="108">
        <f t="shared" si="103"/>
        <v>-18883759</v>
      </c>
      <c r="J292" s="108">
        <f t="shared" si="103"/>
        <v>-2132989</v>
      </c>
      <c r="K292" s="108">
        <f t="shared" si="103"/>
        <v>-5891344</v>
      </c>
      <c r="L292" s="108">
        <f>H293</f>
        <v>-18883759</v>
      </c>
      <c r="M292" s="108">
        <f>I293</f>
        <v>-2132989</v>
      </c>
    </row>
    <row r="293" spans="1:13" ht="15.75" customHeight="1">
      <c r="B293" s="111"/>
      <c r="C293" s="529" t="s">
        <v>903</v>
      </c>
      <c r="D293" s="472"/>
      <c r="E293" s="498"/>
      <c r="F293" s="120">
        <f t="shared" ref="F293:M293" si="104">F290+F292</f>
        <v>-4484201</v>
      </c>
      <c r="G293" s="120">
        <f t="shared" si="104"/>
        <v>-12139000</v>
      </c>
      <c r="H293" s="120">
        <f t="shared" si="104"/>
        <v>-18883759</v>
      </c>
      <c r="I293" s="120">
        <f t="shared" si="104"/>
        <v>-2132989</v>
      </c>
      <c r="J293" s="120">
        <f t="shared" si="104"/>
        <v>-5891344</v>
      </c>
      <c r="K293" s="120">
        <f t="shared" si="104"/>
        <v>1128656</v>
      </c>
      <c r="L293" s="120">
        <f>L290+L292</f>
        <v>-15622114</v>
      </c>
      <c r="M293" s="120">
        <f t="shared" si="104"/>
        <v>-2132989</v>
      </c>
    </row>
    <row r="294" spans="1:13" ht="7.5" customHeight="1">
      <c r="B294" s="76"/>
      <c r="C294" s="482"/>
      <c r="D294" s="80"/>
      <c r="E294" s="512"/>
      <c r="F294" s="436"/>
      <c r="G294" s="436"/>
      <c r="H294" s="436"/>
      <c r="I294" s="436"/>
      <c r="J294" s="436"/>
      <c r="K294" s="436"/>
      <c r="L294" s="436"/>
      <c r="M294" s="436"/>
    </row>
    <row r="295" spans="1:13" ht="15.75" customHeight="1">
      <c r="B295" s="91"/>
      <c r="C295" s="546"/>
      <c r="D295" s="546"/>
      <c r="E295" s="547"/>
      <c r="F295" s="136"/>
      <c r="G295" s="136">
        <v>1</v>
      </c>
      <c r="H295" s="136">
        <v>2</v>
      </c>
      <c r="I295" s="136">
        <v>3</v>
      </c>
      <c r="J295" s="136" t="s">
        <v>2092</v>
      </c>
      <c r="K295" s="136" t="s">
        <v>2093</v>
      </c>
      <c r="L295" s="136" t="s">
        <v>2012</v>
      </c>
      <c r="M295" s="136">
        <v>4</v>
      </c>
    </row>
    <row r="296" spans="1:13" ht="15.75" customHeight="1">
      <c r="A296" s="1701" t="s">
        <v>2102</v>
      </c>
      <c r="B296" s="91"/>
      <c r="C296" s="1671" t="s">
        <v>2101</v>
      </c>
      <c r="D296" s="548"/>
      <c r="E296" s="470"/>
      <c r="F296" s="93"/>
      <c r="G296" s="93"/>
      <c r="H296" s="93"/>
      <c r="I296" s="93"/>
      <c r="J296" s="93"/>
      <c r="K296" s="93"/>
      <c r="L296" s="93"/>
      <c r="M296" s="93"/>
    </row>
    <row r="297" spans="1:13" ht="15.75" customHeight="1">
      <c r="B297" s="91"/>
      <c r="C297" s="471"/>
      <c r="D297" s="471"/>
      <c r="E297" s="473"/>
      <c r="F297" s="94"/>
      <c r="G297" s="94" t="s">
        <v>499</v>
      </c>
      <c r="H297" s="94" t="s">
        <v>499</v>
      </c>
      <c r="I297" s="94" t="s">
        <v>499</v>
      </c>
      <c r="J297" s="94" t="s">
        <v>499</v>
      </c>
      <c r="K297" s="94" t="s">
        <v>499</v>
      </c>
      <c r="L297" s="94" t="s">
        <v>499</v>
      </c>
      <c r="M297" s="94" t="s">
        <v>499</v>
      </c>
    </row>
    <row r="298" spans="1:13" ht="15.75" customHeight="1">
      <c r="B298" s="91"/>
      <c r="C298" s="162"/>
      <c r="D298" s="95"/>
      <c r="E298" s="470"/>
      <c r="F298" s="96"/>
      <c r="G298" s="96"/>
      <c r="H298" s="96"/>
      <c r="I298" s="96"/>
      <c r="J298" s="96"/>
      <c r="K298" s="96"/>
      <c r="L298" s="96"/>
      <c r="M298" s="96"/>
    </row>
    <row r="299" spans="1:13" ht="15.75" customHeight="1">
      <c r="B299" s="91"/>
      <c r="C299" s="162" t="s">
        <v>1221</v>
      </c>
      <c r="D299" s="95"/>
      <c r="E299" s="470"/>
      <c r="F299" s="96"/>
      <c r="G299" s="96"/>
      <c r="H299" s="96">
        <f>9550079</f>
        <v>9550079</v>
      </c>
      <c r="I299" s="96">
        <f>I304*I301+I302*I305</f>
        <v>58491000</v>
      </c>
      <c r="J299" s="96">
        <f>J304*J301+J302*J305</f>
        <v>0</v>
      </c>
      <c r="K299" s="96">
        <f>K304*K301+K302*K305</f>
        <v>18600000</v>
      </c>
      <c r="L299" s="96">
        <f>J299+K299</f>
        <v>18600000</v>
      </c>
      <c r="M299" s="96">
        <f>M301*M304+M302*M305</f>
        <v>0</v>
      </c>
    </row>
    <row r="300" spans="1:13" ht="15.75" customHeight="1">
      <c r="B300" s="91"/>
      <c r="C300" s="478" t="s">
        <v>873</v>
      </c>
      <c r="D300" s="95"/>
      <c r="E300" s="470"/>
      <c r="F300" s="96"/>
      <c r="G300" s="1685"/>
      <c r="H300" s="1685">
        <f>Commodities_prices!P125</f>
        <v>18000</v>
      </c>
      <c r="I300" s="1685">
        <f>Commodities_prices!Q125</f>
        <v>17000</v>
      </c>
      <c r="J300" s="1685">
        <v>15500</v>
      </c>
      <c r="K300" s="1685">
        <f>Total!T145</f>
        <v>13500</v>
      </c>
      <c r="L300" s="1685">
        <f>K300</f>
        <v>13500</v>
      </c>
      <c r="M300" s="1685">
        <f>Commodities_prices!R125</f>
        <v>25000</v>
      </c>
    </row>
    <row r="301" spans="1:13">
      <c r="B301" s="91"/>
      <c r="C301" s="1677" t="s">
        <v>2023</v>
      </c>
      <c r="D301" s="95"/>
      <c r="E301" s="470"/>
      <c r="F301" s="96"/>
      <c r="G301" s="1686"/>
      <c r="H301" s="1686">
        <f>H299/H304</f>
        <v>34.028430429360412</v>
      </c>
      <c r="I301" s="1686">
        <v>30</v>
      </c>
      <c r="J301" s="1686">
        <v>40</v>
      </c>
      <c r="K301" s="1686">
        <v>31</v>
      </c>
      <c r="L301" s="1686">
        <f>K301</f>
        <v>31</v>
      </c>
      <c r="M301" s="1686">
        <f>I301</f>
        <v>30</v>
      </c>
    </row>
    <row r="302" spans="1:13">
      <c r="B302" s="91"/>
      <c r="C302" s="1677" t="s">
        <v>1821</v>
      </c>
      <c r="D302" s="95"/>
      <c r="E302" s="470"/>
      <c r="F302" s="96"/>
      <c r="G302" s="1686"/>
      <c r="H302" s="1686">
        <v>0</v>
      </c>
      <c r="I302" s="1686">
        <f>I300*(1-I315)*I313*I316</f>
        <v>37.485000000000007</v>
      </c>
      <c r="J302" s="1686">
        <v>40</v>
      </c>
      <c r="K302" s="1686">
        <f>K300*K313*K316*(1-K315)</f>
        <v>32.319000000000003</v>
      </c>
      <c r="L302" s="1686">
        <f>K302</f>
        <v>32.319000000000003</v>
      </c>
      <c r="M302" s="1686">
        <f>I302</f>
        <v>37.485000000000007</v>
      </c>
    </row>
    <row r="303" spans="1:13" ht="21" customHeight="1">
      <c r="B303" s="91"/>
      <c r="C303" s="1688" t="s">
        <v>868</v>
      </c>
      <c r="D303" s="95"/>
      <c r="E303" s="470"/>
      <c r="F303" s="96"/>
      <c r="G303" s="1689"/>
      <c r="H303" s="1689">
        <f t="shared" ref="H303:M303" si="105">H304+H305</f>
        <v>280650</v>
      </c>
      <c r="I303" s="1689">
        <f t="shared" si="105"/>
        <v>1800000</v>
      </c>
      <c r="J303" s="1689">
        <f t="shared" si="105"/>
        <v>0</v>
      </c>
      <c r="K303" s="1689">
        <f t="shared" si="105"/>
        <v>600000</v>
      </c>
      <c r="L303" s="1689">
        <f t="shared" si="105"/>
        <v>600000</v>
      </c>
      <c r="M303" s="1689">
        <f t="shared" si="105"/>
        <v>0</v>
      </c>
    </row>
    <row r="304" spans="1:13">
      <c r="B304" s="91"/>
      <c r="C304" s="1677" t="s">
        <v>2021</v>
      </c>
      <c r="D304" s="95"/>
      <c r="E304" s="470"/>
      <c r="F304" s="96"/>
      <c r="G304" s="1685"/>
      <c r="H304" s="1685">
        <v>280650</v>
      </c>
      <c r="I304" s="1685">
        <v>1200000</v>
      </c>
      <c r="J304" s="1685">
        <v>0</v>
      </c>
      <c r="K304" s="1685">
        <v>600000</v>
      </c>
      <c r="L304" s="1685">
        <f>SUM(J304:K304)</f>
        <v>600000</v>
      </c>
      <c r="M304" s="1685">
        <v>0</v>
      </c>
    </row>
    <row r="305" spans="2:13">
      <c r="B305" s="91"/>
      <c r="C305" s="1677" t="s">
        <v>1217</v>
      </c>
      <c r="D305" s="95"/>
      <c r="E305" s="470"/>
      <c r="F305" s="96"/>
      <c r="G305" s="1685"/>
      <c r="H305" s="1685">
        <v>0</v>
      </c>
      <c r="I305" s="1685">
        <v>600000</v>
      </c>
      <c r="J305" s="1685"/>
      <c r="K305" s="1685"/>
      <c r="L305" s="1685">
        <f>SUM(J305:K305)</f>
        <v>0</v>
      </c>
      <c r="M305" s="1685">
        <v>0</v>
      </c>
    </row>
    <row r="306" spans="2:13">
      <c r="B306" s="91"/>
      <c r="C306" s="1677"/>
      <c r="D306" s="95"/>
      <c r="E306" s="470"/>
      <c r="F306" s="96"/>
      <c r="G306" s="1686"/>
      <c r="H306" s="1686"/>
      <c r="I306" s="1686"/>
      <c r="J306" s="1686"/>
      <c r="K306" s="1686"/>
      <c r="L306" s="1686"/>
      <c r="M306" s="1686"/>
    </row>
    <row r="307" spans="2:13">
      <c r="B307" s="91"/>
      <c r="C307" s="1677" t="s">
        <v>2022</v>
      </c>
      <c r="D307" s="95"/>
      <c r="E307" s="470"/>
      <c r="F307" s="96"/>
      <c r="G307" s="96"/>
      <c r="H307" s="96"/>
      <c r="I307" s="96"/>
      <c r="J307" s="96"/>
      <c r="K307" s="96"/>
      <c r="L307" s="96"/>
      <c r="M307" s="96"/>
    </row>
    <row r="308" spans="2:13">
      <c r="B308" s="91"/>
      <c r="C308" s="478" t="s">
        <v>882</v>
      </c>
      <c r="D308" s="95"/>
      <c r="E308" s="470"/>
      <c r="F308" s="96"/>
      <c r="G308" s="1690"/>
      <c r="H308" s="1690">
        <v>1.7000000000000001E-2</v>
      </c>
      <c r="I308" s="1690">
        <v>1.6E-2</v>
      </c>
      <c r="J308" s="1690">
        <v>1.6E-2</v>
      </c>
      <c r="K308" s="1690">
        <v>1.9E-2</v>
      </c>
      <c r="L308" s="1690">
        <v>1.6E-2</v>
      </c>
      <c r="M308" s="1690">
        <f>I308</f>
        <v>1.6E-2</v>
      </c>
    </row>
    <row r="309" spans="2:13">
      <c r="B309" s="91"/>
      <c r="C309" s="478" t="s">
        <v>706</v>
      </c>
      <c r="D309" s="95"/>
      <c r="E309" s="470"/>
      <c r="F309" s="96"/>
      <c r="G309" s="1690"/>
      <c r="H309" s="1690">
        <v>0.15</v>
      </c>
      <c r="I309" s="1690">
        <v>0.15</v>
      </c>
      <c r="J309" s="1690">
        <v>0.15</v>
      </c>
      <c r="K309" s="1690">
        <v>0.15</v>
      </c>
      <c r="L309" s="1690">
        <v>0.15</v>
      </c>
      <c r="M309" s="1690">
        <v>0.15</v>
      </c>
    </row>
    <row r="310" spans="2:13">
      <c r="B310" s="91"/>
      <c r="C310" s="478" t="s">
        <v>707</v>
      </c>
      <c r="D310" s="95"/>
      <c r="E310" s="470"/>
      <c r="F310" s="96"/>
      <c r="G310" s="1690"/>
      <c r="H310" s="1690">
        <v>0.3</v>
      </c>
      <c r="I310" s="1690">
        <v>0.3</v>
      </c>
      <c r="J310" s="1690">
        <v>0.3</v>
      </c>
      <c r="K310" s="1690">
        <v>0.3</v>
      </c>
      <c r="L310" s="1690">
        <v>0.3</v>
      </c>
      <c r="M310" s="1690">
        <v>0.3</v>
      </c>
    </row>
    <row r="311" spans="2:13">
      <c r="B311" s="91"/>
      <c r="C311" s="478" t="s">
        <v>1214</v>
      </c>
      <c r="D311" s="95"/>
      <c r="E311" s="470"/>
      <c r="F311" s="96"/>
      <c r="G311" s="1690"/>
      <c r="H311" s="1691">
        <v>12</v>
      </c>
      <c r="I311" s="1691">
        <v>11.5</v>
      </c>
      <c r="J311" s="1691">
        <v>11.5</v>
      </c>
      <c r="K311" s="1691">
        <v>11.5</v>
      </c>
      <c r="L311" s="1691">
        <v>11.5</v>
      </c>
      <c r="M311" s="1691">
        <v>12</v>
      </c>
    </row>
    <row r="312" spans="2:13">
      <c r="B312" s="91"/>
      <c r="C312" s="1677" t="s">
        <v>884</v>
      </c>
      <c r="D312" s="95"/>
      <c r="E312" s="470"/>
      <c r="F312" s="96"/>
      <c r="G312" s="96"/>
      <c r="H312" s="96"/>
      <c r="I312" s="96"/>
      <c r="J312" s="96"/>
      <c r="K312" s="96"/>
      <c r="L312" s="96"/>
      <c r="M312" s="96"/>
    </row>
    <row r="313" spans="2:13">
      <c r="B313" s="91"/>
      <c r="C313" s="478" t="s">
        <v>882</v>
      </c>
      <c r="D313" s="95"/>
      <c r="E313" s="470"/>
      <c r="F313" s="96"/>
      <c r="G313" s="1690"/>
      <c r="H313" s="1690">
        <v>0.02</v>
      </c>
      <c r="I313" s="1690">
        <v>1.7500000000000002E-2</v>
      </c>
      <c r="J313" s="1690">
        <v>1.7500000000000002E-2</v>
      </c>
      <c r="K313" s="1690">
        <v>1.9E-2</v>
      </c>
      <c r="L313" s="1690">
        <v>1.7500000000000002E-2</v>
      </c>
      <c r="M313" s="1690">
        <f>I313</f>
        <v>1.7500000000000002E-2</v>
      </c>
    </row>
    <row r="314" spans="2:13">
      <c r="B314" s="91"/>
      <c r="C314" s="478" t="s">
        <v>706</v>
      </c>
      <c r="D314" s="95"/>
      <c r="E314" s="470"/>
      <c r="F314" s="96"/>
      <c r="G314" s="1690"/>
      <c r="H314" s="1690">
        <v>0.24</v>
      </c>
      <c r="I314" s="1690">
        <v>0.24</v>
      </c>
      <c r="J314" s="1690">
        <v>0.24</v>
      </c>
      <c r="K314" s="1690">
        <v>0.24</v>
      </c>
      <c r="L314" s="1690">
        <v>0.24</v>
      </c>
      <c r="M314" s="1690">
        <v>0.24</v>
      </c>
    </row>
    <row r="315" spans="2:13">
      <c r="B315" s="91"/>
      <c r="C315" s="478" t="s">
        <v>707</v>
      </c>
      <c r="D315" s="95"/>
      <c r="E315" s="470"/>
      <c r="F315" s="96"/>
      <c r="G315" s="1690"/>
      <c r="H315" s="1690">
        <v>0.3</v>
      </c>
      <c r="I315" s="1690">
        <v>0.3</v>
      </c>
      <c r="J315" s="1690">
        <v>0.3</v>
      </c>
      <c r="K315" s="1690">
        <v>0.3</v>
      </c>
      <c r="L315" s="1690">
        <v>0.3</v>
      </c>
      <c r="M315" s="1690">
        <v>0.3</v>
      </c>
    </row>
    <row r="316" spans="2:13">
      <c r="B316" s="91"/>
      <c r="C316" s="478" t="s">
        <v>1214</v>
      </c>
      <c r="D316" s="95"/>
      <c r="E316" s="470"/>
      <c r="F316" s="96"/>
      <c r="G316" s="1690"/>
      <c r="H316" s="1685">
        <v>12.5</v>
      </c>
      <c r="I316" s="1690">
        <v>0.18</v>
      </c>
      <c r="J316" s="1690">
        <v>0.18</v>
      </c>
      <c r="K316" s="1690">
        <v>0.18</v>
      </c>
      <c r="L316" s="1690">
        <v>0.18</v>
      </c>
      <c r="M316" s="1685">
        <f>I316</f>
        <v>0.18</v>
      </c>
    </row>
    <row r="317" spans="2:13">
      <c r="B317" s="91"/>
      <c r="C317" s="1677" t="s">
        <v>868</v>
      </c>
      <c r="D317" s="95"/>
      <c r="E317" s="470"/>
      <c r="F317" s="82"/>
      <c r="G317" s="82"/>
      <c r="H317" s="82">
        <f t="shared" ref="H317:M317" si="106">H318+H319</f>
        <v>4771.05</v>
      </c>
      <c r="I317" s="82">
        <f t="shared" si="106"/>
        <v>29700</v>
      </c>
      <c r="J317" s="82">
        <f t="shared" si="106"/>
        <v>0</v>
      </c>
      <c r="K317" s="82">
        <f t="shared" si="106"/>
        <v>11400</v>
      </c>
      <c r="L317" s="82">
        <f t="shared" si="106"/>
        <v>9600</v>
      </c>
      <c r="M317" s="82">
        <f t="shared" si="106"/>
        <v>0</v>
      </c>
    </row>
    <row r="318" spans="2:13">
      <c r="B318" s="91"/>
      <c r="C318" s="1677" t="s">
        <v>1872</v>
      </c>
      <c r="D318" s="95"/>
      <c r="E318" s="470"/>
      <c r="F318" s="82"/>
      <c r="G318" s="82"/>
      <c r="H318" s="82">
        <f t="shared" ref="H318:M318" si="107">H304*H308</f>
        <v>4771.05</v>
      </c>
      <c r="I318" s="82">
        <f t="shared" si="107"/>
        <v>19200</v>
      </c>
      <c r="J318" s="82">
        <f t="shared" si="107"/>
        <v>0</v>
      </c>
      <c r="K318" s="82">
        <f t="shared" si="107"/>
        <v>11400</v>
      </c>
      <c r="L318" s="82">
        <f t="shared" si="107"/>
        <v>9600</v>
      </c>
      <c r="M318" s="82">
        <f t="shared" si="107"/>
        <v>0</v>
      </c>
    </row>
    <row r="319" spans="2:13">
      <c r="B319" s="91"/>
      <c r="C319" s="1677" t="s">
        <v>870</v>
      </c>
      <c r="D319" s="95"/>
      <c r="E319" s="470"/>
      <c r="F319" s="82"/>
      <c r="G319" s="82"/>
      <c r="H319" s="82">
        <f t="shared" ref="H319:M319" si="108">H305*H313</f>
        <v>0</v>
      </c>
      <c r="I319" s="82">
        <f t="shared" si="108"/>
        <v>10500.000000000002</v>
      </c>
      <c r="J319" s="82">
        <f t="shared" si="108"/>
        <v>0</v>
      </c>
      <c r="K319" s="82">
        <f t="shared" si="108"/>
        <v>0</v>
      </c>
      <c r="L319" s="82">
        <f t="shared" si="108"/>
        <v>0</v>
      </c>
      <c r="M319" s="82">
        <f t="shared" si="108"/>
        <v>0</v>
      </c>
    </row>
    <row r="320" spans="2:13">
      <c r="B320" s="91"/>
      <c r="C320" s="1677" t="s">
        <v>704</v>
      </c>
      <c r="D320" s="95"/>
      <c r="E320" s="470"/>
      <c r="F320" s="82"/>
      <c r="G320" s="82"/>
      <c r="H320" s="82">
        <v>3</v>
      </c>
      <c r="I320" s="82">
        <f>H320</f>
        <v>3</v>
      </c>
      <c r="J320" s="82">
        <f>I320</f>
        <v>3</v>
      </c>
      <c r="K320" s="82">
        <f>J320</f>
        <v>3</v>
      </c>
      <c r="L320" s="82">
        <f>K320</f>
        <v>3</v>
      </c>
      <c r="M320" s="82">
        <f>I320</f>
        <v>3</v>
      </c>
    </row>
    <row r="321" spans="1:13">
      <c r="B321" s="91"/>
      <c r="C321" s="1677" t="s">
        <v>705</v>
      </c>
      <c r="D321" s="95"/>
      <c r="E321" s="470"/>
      <c r="F321" s="82"/>
      <c r="G321" s="82"/>
      <c r="H321" s="82">
        <f t="shared" ref="H321:M321" si="109">H317*H320</f>
        <v>14313.150000000001</v>
      </c>
      <c r="I321" s="82">
        <f t="shared" si="109"/>
        <v>89100</v>
      </c>
      <c r="J321" s="82">
        <f t="shared" si="109"/>
        <v>0</v>
      </c>
      <c r="K321" s="82">
        <f t="shared" si="109"/>
        <v>34200</v>
      </c>
      <c r="L321" s="82">
        <f t="shared" si="109"/>
        <v>28800</v>
      </c>
      <c r="M321" s="82">
        <f t="shared" si="109"/>
        <v>0</v>
      </c>
    </row>
    <row r="322" spans="1:13">
      <c r="B322" s="91"/>
      <c r="C322" s="1677" t="s">
        <v>872</v>
      </c>
      <c r="D322" s="95"/>
      <c r="E322" s="470"/>
      <c r="F322" s="82"/>
      <c r="G322" s="82"/>
      <c r="H322" s="82">
        <v>16</v>
      </c>
      <c r="I322" s="82">
        <f t="shared" ref="I322:L323" si="110">H322</f>
        <v>16</v>
      </c>
      <c r="J322" s="82">
        <f t="shared" si="110"/>
        <v>16</v>
      </c>
      <c r="K322" s="82">
        <f t="shared" si="110"/>
        <v>16</v>
      </c>
      <c r="L322" s="82">
        <f t="shared" si="110"/>
        <v>16</v>
      </c>
      <c r="M322" s="82">
        <f>I322</f>
        <v>16</v>
      </c>
    </row>
    <row r="323" spans="1:13">
      <c r="B323" s="91"/>
      <c r="C323" s="1677" t="s">
        <v>871</v>
      </c>
      <c r="D323" s="95"/>
      <c r="E323" s="1622"/>
      <c r="F323" s="1692"/>
      <c r="G323" s="705"/>
      <c r="H323" s="705">
        <v>0.66</v>
      </c>
      <c r="I323" s="705">
        <f t="shared" si="110"/>
        <v>0.66</v>
      </c>
      <c r="J323" s="705">
        <f t="shared" si="110"/>
        <v>0.66</v>
      </c>
      <c r="K323" s="705">
        <f t="shared" si="110"/>
        <v>0.66</v>
      </c>
      <c r="L323" s="705">
        <f t="shared" si="110"/>
        <v>0.66</v>
      </c>
      <c r="M323" s="705">
        <f>I323</f>
        <v>0.66</v>
      </c>
    </row>
    <row r="324" spans="1:13" ht="15">
      <c r="B324" s="159"/>
      <c r="C324" s="467"/>
      <c r="D324" s="468"/>
      <c r="E324" s="466"/>
      <c r="F324" s="421"/>
      <c r="G324" s="421"/>
      <c r="H324" s="421"/>
      <c r="I324" s="421"/>
      <c r="J324" s="421"/>
      <c r="K324" s="421"/>
      <c r="L324" s="421"/>
      <c r="M324" s="421"/>
    </row>
    <row r="325" spans="1:13" ht="15">
      <c r="A325" s="1701" t="s">
        <v>2102</v>
      </c>
      <c r="B325" s="159"/>
      <c r="C325" s="1671"/>
      <c r="D325" s="546"/>
      <c r="E325" s="557"/>
      <c r="F325" s="92"/>
      <c r="G325" s="92">
        <f t="shared" ref="G325:M325" si="111">G295</f>
        <v>1</v>
      </c>
      <c r="H325" s="92">
        <f t="shared" si="111"/>
        <v>2</v>
      </c>
      <c r="I325" s="92">
        <f t="shared" si="111"/>
        <v>3</v>
      </c>
      <c r="J325" s="92" t="str">
        <f t="shared" ref="J325:L325" si="112">J295</f>
        <v>1H 3 Y</v>
      </c>
      <c r="K325" s="92" t="str">
        <f t="shared" si="112"/>
        <v>2H 3 Y</v>
      </c>
      <c r="L325" s="92" t="str">
        <f t="shared" si="112"/>
        <v>Revised</v>
      </c>
      <c r="M325" s="92">
        <f t="shared" si="111"/>
        <v>4</v>
      </c>
    </row>
    <row r="326" spans="1:13" ht="15">
      <c r="B326" s="159"/>
      <c r="C326" s="548"/>
      <c r="D326" s="548"/>
      <c r="E326" s="489"/>
      <c r="F326" s="93"/>
      <c r="G326" s="93"/>
      <c r="H326" s="93"/>
      <c r="I326" s="93"/>
      <c r="J326" s="93"/>
      <c r="K326" s="93"/>
      <c r="L326" s="93"/>
      <c r="M326" s="93"/>
    </row>
    <row r="327" spans="1:13" ht="15">
      <c r="B327" s="159"/>
      <c r="C327" s="467" t="s">
        <v>888</v>
      </c>
      <c r="D327" s="471"/>
      <c r="E327" s="490"/>
      <c r="F327" s="94"/>
      <c r="G327" s="94" t="s">
        <v>499</v>
      </c>
      <c r="H327" s="94" t="s">
        <v>499</v>
      </c>
      <c r="I327" s="94" t="s">
        <v>499</v>
      </c>
      <c r="J327" s="94" t="s">
        <v>499</v>
      </c>
      <c r="K327" s="94" t="s">
        <v>499</v>
      </c>
      <c r="L327" s="94" t="s">
        <v>499</v>
      </c>
      <c r="M327" s="94" t="s">
        <v>499</v>
      </c>
    </row>
    <row r="328" spans="1:13" ht="15">
      <c r="B328" s="159"/>
      <c r="C328" s="95"/>
      <c r="D328" s="95"/>
      <c r="E328" s="491"/>
      <c r="F328" s="144"/>
      <c r="G328" s="144"/>
      <c r="H328" s="144"/>
      <c r="I328" s="144"/>
      <c r="J328" s="144"/>
      <c r="K328" s="144"/>
      <c r="L328" s="144"/>
      <c r="M328" s="144"/>
    </row>
    <row r="329" spans="1:13" ht="15">
      <c r="B329" s="161"/>
      <c r="C329" s="1702" t="s">
        <v>874</v>
      </c>
      <c r="D329" s="1703"/>
      <c r="E329" s="1704"/>
      <c r="F329" s="1705"/>
      <c r="G329" s="1705"/>
      <c r="H329" s="1705"/>
      <c r="I329" s="1705">
        <v>20.91</v>
      </c>
      <c r="J329" s="1705">
        <v>20.91</v>
      </c>
      <c r="K329" s="1705">
        <v>20.91</v>
      </c>
      <c r="L329" s="1705">
        <v>20.91</v>
      </c>
      <c r="M329" s="1705">
        <f>I329</f>
        <v>20.91</v>
      </c>
    </row>
    <row r="330" spans="1:13" ht="15">
      <c r="B330" s="159"/>
      <c r="C330" s="1702" t="s">
        <v>1876</v>
      </c>
      <c r="D330" s="1706"/>
      <c r="E330" s="1707"/>
      <c r="F330" s="1708"/>
      <c r="G330" s="1709"/>
      <c r="H330" s="1709"/>
      <c r="I330" s="1705">
        <v>7.59</v>
      </c>
      <c r="J330" s="1705">
        <v>7.59</v>
      </c>
      <c r="K330" s="1705">
        <v>7.59</v>
      </c>
      <c r="L330" s="1705">
        <v>7.59</v>
      </c>
      <c r="M330" s="1705">
        <f>I330</f>
        <v>7.59</v>
      </c>
    </row>
    <row r="331" spans="1:13" ht="15">
      <c r="B331" s="159"/>
      <c r="C331" s="1702" t="s">
        <v>876</v>
      </c>
      <c r="D331" s="1706"/>
      <c r="E331" s="1707"/>
      <c r="F331" s="1708"/>
      <c r="G331" s="1709"/>
      <c r="H331" s="1709"/>
      <c r="I331" s="1705">
        <v>7.59</v>
      </c>
      <c r="J331" s="1705">
        <v>7.59</v>
      </c>
      <c r="K331" s="1705">
        <f>K333-K329</f>
        <v>6.09</v>
      </c>
      <c r="L331" s="1705">
        <f>L333-L329</f>
        <v>6.09</v>
      </c>
      <c r="M331" s="1705">
        <v>0</v>
      </c>
    </row>
    <row r="332" spans="1:13" ht="15">
      <c r="B332" s="159"/>
      <c r="C332" s="164" t="s">
        <v>1873</v>
      </c>
      <c r="D332" s="76"/>
      <c r="E332" s="492"/>
      <c r="F332" s="134"/>
      <c r="G332" s="551"/>
      <c r="H332" s="551"/>
      <c r="I332" s="1693">
        <v>2</v>
      </c>
      <c r="J332" s="1693">
        <v>2</v>
      </c>
      <c r="K332" s="1693">
        <v>2</v>
      </c>
      <c r="L332" s="1693">
        <v>2</v>
      </c>
      <c r="M332" s="1693"/>
    </row>
    <row r="333" spans="1:13" ht="15">
      <c r="A333" s="848"/>
      <c r="B333" s="849"/>
      <c r="C333" s="850" t="s">
        <v>1875</v>
      </c>
      <c r="D333" s="648"/>
      <c r="E333" s="1695"/>
      <c r="F333" s="1696"/>
      <c r="G333" s="1697"/>
      <c r="H333" s="1697">
        <f>17915979/H304</f>
        <v>63.837445216461788</v>
      </c>
      <c r="I333" s="1697">
        <f>I329+I330</f>
        <v>28.5</v>
      </c>
      <c r="J333" s="1697">
        <f>J329+J330</f>
        <v>28.5</v>
      </c>
      <c r="K333" s="1697">
        <v>27</v>
      </c>
      <c r="L333" s="1697">
        <v>27</v>
      </c>
      <c r="M333" s="1697">
        <v>0</v>
      </c>
    </row>
    <row r="334" spans="1:13" ht="15">
      <c r="A334" s="848"/>
      <c r="B334" s="849"/>
      <c r="C334" s="850" t="s">
        <v>1218</v>
      </c>
      <c r="D334" s="648"/>
      <c r="E334" s="1695"/>
      <c r="F334" s="1696"/>
      <c r="G334" s="1697"/>
      <c r="H334" s="1697">
        <v>0</v>
      </c>
      <c r="I334" s="1697">
        <f>I329+I331</f>
        <v>28.5</v>
      </c>
      <c r="J334" s="1697">
        <f>J329+J331</f>
        <v>28.5</v>
      </c>
      <c r="K334" s="1697">
        <f>K329+K331</f>
        <v>27</v>
      </c>
      <c r="L334" s="1697">
        <f>L329+L331</f>
        <v>27</v>
      </c>
      <c r="M334" s="1697">
        <v>0</v>
      </c>
    </row>
    <row r="335" spans="1:13" ht="15">
      <c r="B335" s="159"/>
      <c r="C335" s="164"/>
      <c r="D335" s="76"/>
      <c r="E335" s="492"/>
      <c r="F335" s="146"/>
      <c r="G335" s="1693"/>
      <c r="H335" s="1693"/>
      <c r="I335" s="1693"/>
      <c r="J335" s="1693"/>
      <c r="K335" s="1693"/>
      <c r="L335" s="1693"/>
      <c r="M335" s="1693"/>
    </row>
    <row r="336" spans="1:13" ht="15">
      <c r="B336" s="159"/>
      <c r="C336" s="164" t="s">
        <v>1874</v>
      </c>
      <c r="D336" s="76"/>
      <c r="E336" s="492"/>
      <c r="F336" s="146"/>
      <c r="G336" s="1699"/>
      <c r="H336" s="1699">
        <f t="shared" ref="H336:M337" si="113">H333*H304</f>
        <v>17915979</v>
      </c>
      <c r="I336" s="1699">
        <f t="shared" si="113"/>
        <v>34200000</v>
      </c>
      <c r="J336" s="1699">
        <f t="shared" ref="J336:L337" si="114">J333*J304</f>
        <v>0</v>
      </c>
      <c r="K336" s="1699">
        <f t="shared" si="114"/>
        <v>16200000</v>
      </c>
      <c r="L336" s="1699">
        <f t="shared" si="114"/>
        <v>16200000</v>
      </c>
      <c r="M336" s="1699">
        <f t="shared" si="113"/>
        <v>0</v>
      </c>
    </row>
    <row r="337" spans="2:13" ht="15">
      <c r="B337" s="159"/>
      <c r="C337" s="164" t="s">
        <v>880</v>
      </c>
      <c r="D337" s="100"/>
      <c r="E337" s="492"/>
      <c r="F337" s="560"/>
      <c r="G337" s="1699"/>
      <c r="H337" s="1699">
        <f t="shared" si="113"/>
        <v>0</v>
      </c>
      <c r="I337" s="1699">
        <f t="shared" si="113"/>
        <v>17100000</v>
      </c>
      <c r="J337" s="1699">
        <f t="shared" si="114"/>
        <v>0</v>
      </c>
      <c r="K337" s="1699">
        <f t="shared" si="114"/>
        <v>0</v>
      </c>
      <c r="L337" s="1699">
        <f t="shared" si="114"/>
        <v>0</v>
      </c>
      <c r="M337" s="1699">
        <f t="shared" si="113"/>
        <v>0</v>
      </c>
    </row>
    <row r="338" spans="2:13" ht="15">
      <c r="B338" s="159"/>
      <c r="C338" s="703" t="s">
        <v>881</v>
      </c>
      <c r="D338" s="100"/>
      <c r="E338" s="492"/>
      <c r="F338" s="560"/>
      <c r="G338" s="1700"/>
      <c r="H338" s="551">
        <f>H143</f>
        <v>0.35</v>
      </c>
      <c r="I338" s="551">
        <f t="shared" ref="I338:L340" si="115">H338</f>
        <v>0.35</v>
      </c>
      <c r="J338" s="551">
        <f t="shared" si="115"/>
        <v>0.35</v>
      </c>
      <c r="K338" s="551">
        <f t="shared" si="115"/>
        <v>0.35</v>
      </c>
      <c r="L338" s="551">
        <f t="shared" si="115"/>
        <v>0.35</v>
      </c>
      <c r="M338" s="551">
        <f>I338</f>
        <v>0.35</v>
      </c>
    </row>
    <row r="339" spans="2:13" ht="15">
      <c r="B339" s="159"/>
      <c r="C339" s="703" t="s">
        <v>1215</v>
      </c>
      <c r="D339" s="81"/>
      <c r="E339" s="466"/>
      <c r="F339" s="421"/>
      <c r="G339" s="421"/>
      <c r="H339" s="1699">
        <v>40</v>
      </c>
      <c r="I339" s="1699">
        <f t="shared" si="115"/>
        <v>40</v>
      </c>
      <c r="J339" s="1699">
        <f t="shared" si="115"/>
        <v>40</v>
      </c>
      <c r="K339" s="1699">
        <f t="shared" si="115"/>
        <v>40</v>
      </c>
      <c r="L339" s="1699">
        <f t="shared" si="115"/>
        <v>40</v>
      </c>
      <c r="M339" s="1699">
        <f>I339</f>
        <v>40</v>
      </c>
    </row>
    <row r="340" spans="2:13" ht="15">
      <c r="B340" s="159"/>
      <c r="C340" s="703" t="s">
        <v>1216</v>
      </c>
      <c r="D340" s="468"/>
      <c r="E340" s="466"/>
      <c r="F340" s="421"/>
      <c r="G340" s="421"/>
      <c r="H340" s="1699">
        <v>40</v>
      </c>
      <c r="I340" s="1699">
        <f t="shared" si="115"/>
        <v>40</v>
      </c>
      <c r="J340" s="1699">
        <f t="shared" si="115"/>
        <v>40</v>
      </c>
      <c r="K340" s="1699">
        <f t="shared" si="115"/>
        <v>40</v>
      </c>
      <c r="L340" s="1699">
        <f t="shared" si="115"/>
        <v>40</v>
      </c>
      <c r="M340" s="1699">
        <f>I340</f>
        <v>40</v>
      </c>
    </row>
    <row r="341" spans="2:13" ht="15">
      <c r="B341" s="159"/>
      <c r="C341" s="546"/>
      <c r="D341" s="546"/>
      <c r="E341" s="547"/>
      <c r="F341" s="136"/>
      <c r="G341" s="136">
        <f t="shared" ref="G341:M341" si="116">G295</f>
        <v>1</v>
      </c>
      <c r="H341" s="136">
        <f t="shared" si="116"/>
        <v>2</v>
      </c>
      <c r="I341" s="136">
        <f t="shared" si="116"/>
        <v>3</v>
      </c>
      <c r="J341" s="136" t="str">
        <f t="shared" ref="J341:L341" si="117">J295</f>
        <v>1H 3 Y</v>
      </c>
      <c r="K341" s="136" t="str">
        <f t="shared" si="117"/>
        <v>2H 3 Y</v>
      </c>
      <c r="L341" s="136" t="str">
        <f t="shared" si="117"/>
        <v>Revised</v>
      </c>
      <c r="M341" s="136">
        <f t="shared" si="116"/>
        <v>4</v>
      </c>
    </row>
    <row r="342" spans="2:13" ht="15">
      <c r="B342" s="159"/>
      <c r="C342" s="1671" t="s">
        <v>2103</v>
      </c>
      <c r="D342" s="548"/>
      <c r="E342" s="470"/>
      <c r="F342" s="93"/>
      <c r="G342" s="93"/>
      <c r="H342" s="93"/>
      <c r="I342" s="93"/>
      <c r="J342" s="93"/>
      <c r="K342" s="93"/>
      <c r="L342" s="93"/>
      <c r="M342" s="93"/>
    </row>
    <row r="343" spans="2:13" ht="15">
      <c r="B343" s="159"/>
      <c r="C343" s="471"/>
      <c r="D343" s="471"/>
      <c r="E343" s="473"/>
      <c r="F343" s="99"/>
      <c r="G343" s="99" t="s">
        <v>499</v>
      </c>
      <c r="H343" s="99" t="s">
        <v>499</v>
      </c>
      <c r="I343" s="99" t="s">
        <v>499</v>
      </c>
      <c r="J343" s="99" t="s">
        <v>499</v>
      </c>
      <c r="K343" s="99" t="s">
        <v>499</v>
      </c>
      <c r="L343" s="99" t="s">
        <v>499</v>
      </c>
      <c r="M343" s="99" t="s">
        <v>499</v>
      </c>
    </row>
    <row r="344" spans="2:13">
      <c r="B344" s="88" t="s">
        <v>522</v>
      </c>
      <c r="C344" s="110" t="s">
        <v>183</v>
      </c>
      <c r="D344" s="114"/>
      <c r="E344" s="88"/>
      <c r="F344" s="82"/>
      <c r="G344" s="82">
        <f t="shared" ref="G344:L344" si="118">G299</f>
        <v>0</v>
      </c>
      <c r="H344" s="82">
        <f>H299</f>
        <v>9550079</v>
      </c>
      <c r="I344" s="82">
        <f t="shared" si="118"/>
        <v>58491000</v>
      </c>
      <c r="J344" s="82">
        <f t="shared" si="118"/>
        <v>0</v>
      </c>
      <c r="K344" s="82">
        <f t="shared" si="118"/>
        <v>18600000</v>
      </c>
      <c r="L344" s="82">
        <f t="shared" si="118"/>
        <v>18600000</v>
      </c>
      <c r="M344" s="82">
        <f>M299*M323</f>
        <v>0</v>
      </c>
    </row>
    <row r="345" spans="2:13">
      <c r="B345" s="88" t="s">
        <v>523</v>
      </c>
      <c r="C345" s="110" t="s">
        <v>191</v>
      </c>
      <c r="D345" s="114"/>
      <c r="E345" s="88"/>
      <c r="F345" s="82"/>
      <c r="G345" s="82">
        <f>-(G336+G337)</f>
        <v>0</v>
      </c>
      <c r="H345" s="82">
        <f>-H336</f>
        <v>-17915979</v>
      </c>
      <c r="I345" s="82">
        <f>-I336-I337-I332*I305</f>
        <v>-52500000</v>
      </c>
      <c r="J345" s="82">
        <f>-J336-J337-J332*J305</f>
        <v>0</v>
      </c>
      <c r="K345" s="82">
        <f>-K336-K337-K332*K305</f>
        <v>-16200000</v>
      </c>
      <c r="L345" s="82">
        <f>-L336-L337-L332*L305</f>
        <v>-16200000</v>
      </c>
      <c r="M345" s="82">
        <f>-M336</f>
        <v>0</v>
      </c>
    </row>
    <row r="346" spans="2:13">
      <c r="B346" s="88" t="s">
        <v>524</v>
      </c>
      <c r="C346" s="110" t="s">
        <v>185</v>
      </c>
      <c r="D346" s="100"/>
      <c r="E346" s="88"/>
      <c r="F346" s="79"/>
      <c r="G346" s="79">
        <f t="shared" ref="G346:M346" si="119">SUM(G344:G345)</f>
        <v>0</v>
      </c>
      <c r="H346" s="79">
        <f t="shared" si="119"/>
        <v>-8365900</v>
      </c>
      <c r="I346" s="79">
        <f t="shared" si="119"/>
        <v>5991000</v>
      </c>
      <c r="J346" s="79">
        <f t="shared" si="119"/>
        <v>0</v>
      </c>
      <c r="K346" s="79">
        <f t="shared" si="119"/>
        <v>2400000</v>
      </c>
      <c r="L346" s="79">
        <f>SUM(L344:L345)</f>
        <v>2400000</v>
      </c>
      <c r="M346" s="79">
        <f t="shared" si="119"/>
        <v>0</v>
      </c>
    </row>
    <row r="347" spans="2:13">
      <c r="B347" s="88" t="s">
        <v>524</v>
      </c>
      <c r="C347" s="110" t="s">
        <v>363</v>
      </c>
      <c r="D347" s="114"/>
      <c r="E347" s="88"/>
      <c r="F347" s="79"/>
      <c r="G347" s="79">
        <f t="shared" ref="G347:M347" si="120">G346</f>
        <v>0</v>
      </c>
      <c r="H347" s="79">
        <f t="shared" si="120"/>
        <v>-8365900</v>
      </c>
      <c r="I347" s="79">
        <f t="shared" si="120"/>
        <v>5991000</v>
      </c>
      <c r="J347" s="79">
        <f t="shared" si="120"/>
        <v>0</v>
      </c>
      <c r="K347" s="79">
        <f t="shared" si="120"/>
        <v>2400000</v>
      </c>
      <c r="L347" s="79">
        <f>L346</f>
        <v>2400000</v>
      </c>
      <c r="M347" s="79">
        <f t="shared" si="120"/>
        <v>0</v>
      </c>
    </row>
    <row r="348" spans="2:13">
      <c r="B348" s="88" t="s">
        <v>523</v>
      </c>
      <c r="C348" s="482" t="s">
        <v>194</v>
      </c>
      <c r="D348" s="114"/>
      <c r="E348" s="88"/>
      <c r="F348" s="79"/>
      <c r="G348" s="79">
        <v>0</v>
      </c>
      <c r="H348" s="79">
        <v>0</v>
      </c>
      <c r="I348" s="79">
        <v>0</v>
      </c>
      <c r="J348" s="79">
        <v>0</v>
      </c>
      <c r="K348" s="79">
        <v>0</v>
      </c>
      <c r="L348" s="79">
        <v>0</v>
      </c>
      <c r="M348" s="79">
        <v>0</v>
      </c>
    </row>
    <row r="349" spans="2:13">
      <c r="B349" s="88" t="s">
        <v>525</v>
      </c>
      <c r="C349" s="482" t="s">
        <v>187</v>
      </c>
      <c r="D349" s="114"/>
      <c r="E349" s="88"/>
      <c r="F349" s="79"/>
      <c r="G349" s="79">
        <v>0</v>
      </c>
      <c r="H349" s="79">
        <v>0</v>
      </c>
      <c r="I349" s="79">
        <v>0</v>
      </c>
      <c r="J349" s="79">
        <v>0</v>
      </c>
      <c r="K349" s="79">
        <v>0</v>
      </c>
      <c r="L349" s="79">
        <v>0</v>
      </c>
      <c r="M349" s="79">
        <v>0</v>
      </c>
    </row>
    <row r="350" spans="2:13">
      <c r="B350" s="88"/>
      <c r="C350" s="356" t="s">
        <v>195</v>
      </c>
      <c r="D350" s="114"/>
      <c r="E350" s="88"/>
      <c r="F350" s="79"/>
      <c r="G350" s="100">
        <v>0</v>
      </c>
      <c r="H350" s="100"/>
      <c r="I350" s="100"/>
      <c r="J350" s="100"/>
      <c r="K350" s="100"/>
      <c r="L350" s="100"/>
      <c r="M350" s="100"/>
    </row>
    <row r="351" spans="2:13">
      <c r="B351" s="88" t="s">
        <v>524</v>
      </c>
      <c r="C351" s="110" t="s">
        <v>188</v>
      </c>
      <c r="D351" s="114"/>
      <c r="E351" s="88"/>
      <c r="F351" s="79"/>
      <c r="G351" s="79">
        <f t="shared" ref="G351:M351" si="121">SUM(G347:G350)</f>
        <v>0</v>
      </c>
      <c r="H351" s="79">
        <f t="shared" si="121"/>
        <v>-8365900</v>
      </c>
      <c r="I351" s="79">
        <f t="shared" si="121"/>
        <v>5991000</v>
      </c>
      <c r="J351" s="79">
        <f t="shared" si="121"/>
        <v>0</v>
      </c>
      <c r="K351" s="79">
        <f t="shared" si="121"/>
        <v>2400000</v>
      </c>
      <c r="L351" s="79">
        <f>SUM(L347:L350)</f>
        <v>2400000</v>
      </c>
      <c r="M351" s="79">
        <f t="shared" si="121"/>
        <v>0</v>
      </c>
    </row>
    <row r="352" spans="2:13">
      <c r="B352" s="88" t="s">
        <v>523</v>
      </c>
      <c r="C352" s="110" t="s">
        <v>189</v>
      </c>
      <c r="D352" s="100"/>
      <c r="E352" s="88"/>
      <c r="F352" s="79"/>
      <c r="G352" s="79">
        <f>-G351*G338</f>
        <v>0</v>
      </c>
      <c r="H352" s="79">
        <v>0</v>
      </c>
      <c r="I352" s="79">
        <f>-(I351+I332*I305)*I338</f>
        <v>-2516850</v>
      </c>
      <c r="J352" s="79">
        <f>IF(J351&lt;0,0,-(J351+J332*J305)*J338)</f>
        <v>0</v>
      </c>
      <c r="K352" s="79">
        <f>IF(K351&lt;0,0,-(K351+K332*K305)*K338)</f>
        <v>-840000</v>
      </c>
      <c r="L352" s="79">
        <f>IF(L351&lt;0,0,-(L351+L332*L305)*L338)</f>
        <v>-840000</v>
      </c>
      <c r="M352" s="79">
        <f>-((M340-M333)*M304+M305*(M340-M334))*M338</f>
        <v>0</v>
      </c>
    </row>
    <row r="353" spans="2:13">
      <c r="B353" s="88" t="s">
        <v>524</v>
      </c>
      <c r="C353" s="110" t="s">
        <v>190</v>
      </c>
      <c r="D353" s="100"/>
      <c r="E353" s="88"/>
      <c r="F353" s="79"/>
      <c r="G353" s="79">
        <f t="shared" ref="G353:M353" si="122">SUM(G351:G352)</f>
        <v>0</v>
      </c>
      <c r="H353" s="79">
        <f t="shared" si="122"/>
        <v>-8365900</v>
      </c>
      <c r="I353" s="79">
        <f t="shared" si="122"/>
        <v>3474150</v>
      </c>
      <c r="J353" s="79">
        <f t="shared" si="122"/>
        <v>0</v>
      </c>
      <c r="K353" s="79">
        <f t="shared" si="122"/>
        <v>1560000</v>
      </c>
      <c r="L353" s="79">
        <f>SUM(L351:L352)</f>
        <v>1560000</v>
      </c>
      <c r="M353" s="79">
        <f t="shared" si="122"/>
        <v>0</v>
      </c>
    </row>
    <row r="354" spans="2:13">
      <c r="B354" s="88"/>
      <c r="C354" s="110"/>
      <c r="D354" s="100"/>
      <c r="E354" s="88"/>
      <c r="F354" s="100"/>
      <c r="G354" s="100"/>
      <c r="H354" s="100"/>
      <c r="I354" s="100"/>
      <c r="J354" s="100"/>
      <c r="K354" s="100"/>
      <c r="L354" s="100"/>
      <c r="M354" s="100"/>
    </row>
    <row r="355" spans="2:13">
      <c r="B355" s="76"/>
      <c r="C355" s="501"/>
      <c r="D355" s="106"/>
      <c r="E355" s="502"/>
      <c r="F355" s="136"/>
      <c r="G355" s="136">
        <f t="shared" ref="G355:M355" si="123">G295</f>
        <v>1</v>
      </c>
      <c r="H355" s="136">
        <f t="shared" si="123"/>
        <v>2</v>
      </c>
      <c r="I355" s="136">
        <f t="shared" si="123"/>
        <v>3</v>
      </c>
      <c r="J355" s="136" t="str">
        <f t="shared" ref="J355:L355" si="124">J295</f>
        <v>1H 3 Y</v>
      </c>
      <c r="K355" s="136" t="str">
        <f t="shared" si="124"/>
        <v>2H 3 Y</v>
      </c>
      <c r="L355" s="136" t="str">
        <f t="shared" si="124"/>
        <v>Revised</v>
      </c>
      <c r="M355" s="136">
        <f t="shared" si="123"/>
        <v>4</v>
      </c>
    </row>
    <row r="356" spans="2:13" ht="15">
      <c r="B356" s="76"/>
      <c r="C356" s="1671" t="s">
        <v>2104</v>
      </c>
      <c r="D356" s="469"/>
      <c r="E356" s="470"/>
      <c r="F356" s="93"/>
      <c r="G356" s="93"/>
      <c r="H356" s="93"/>
      <c r="I356" s="93"/>
      <c r="J356" s="93"/>
      <c r="K356" s="93"/>
      <c r="L356" s="93"/>
      <c r="M356" s="93"/>
    </row>
    <row r="357" spans="2:13">
      <c r="B357" s="76"/>
      <c r="C357" s="505"/>
      <c r="D357" s="506"/>
      <c r="E357" s="473"/>
      <c r="F357" s="112"/>
      <c r="G357" s="112" t="s">
        <v>499</v>
      </c>
      <c r="H357" s="112" t="s">
        <v>499</v>
      </c>
      <c r="I357" s="112" t="s">
        <v>499</v>
      </c>
      <c r="J357" s="112" t="s">
        <v>499</v>
      </c>
      <c r="K357" s="112" t="s">
        <v>499</v>
      </c>
      <c r="L357" s="112" t="s">
        <v>499</v>
      </c>
      <c r="M357" s="112" t="s">
        <v>499</v>
      </c>
    </row>
    <row r="358" spans="2:13">
      <c r="B358" s="111"/>
      <c r="C358" s="110"/>
      <c r="D358" s="110"/>
      <c r="E358" s="88"/>
      <c r="F358" s="440"/>
      <c r="G358" s="440"/>
      <c r="H358" s="440"/>
      <c r="I358" s="440"/>
      <c r="J358" s="440"/>
      <c r="K358" s="440"/>
      <c r="L358" s="440"/>
      <c r="M358" s="440"/>
    </row>
    <row r="359" spans="2:13">
      <c r="B359" s="76"/>
      <c r="C359" s="523" t="s">
        <v>198</v>
      </c>
      <c r="D359" s="110"/>
      <c r="E359" s="88"/>
      <c r="F359" s="110"/>
      <c r="G359" s="110"/>
      <c r="H359" s="110"/>
      <c r="I359" s="110"/>
      <c r="J359" s="110"/>
      <c r="K359" s="110"/>
      <c r="L359" s="110"/>
      <c r="M359" s="110"/>
    </row>
    <row r="360" spans="2:13">
      <c r="B360" s="76"/>
      <c r="C360" s="516" t="s">
        <v>1220</v>
      </c>
      <c r="D360" s="80"/>
      <c r="E360" s="88"/>
      <c r="F360" s="108">
        <f t="shared" ref="F360:M360" si="125">F347</f>
        <v>0</v>
      </c>
      <c r="G360" s="108">
        <f t="shared" si="125"/>
        <v>0</v>
      </c>
      <c r="H360" s="108">
        <f t="shared" si="125"/>
        <v>-8365900</v>
      </c>
      <c r="I360" s="108">
        <f t="shared" si="125"/>
        <v>5991000</v>
      </c>
      <c r="J360" s="108">
        <f t="shared" si="125"/>
        <v>0</v>
      </c>
      <c r="K360" s="108">
        <f t="shared" si="125"/>
        <v>2400000</v>
      </c>
      <c r="L360" s="108">
        <f>L347</f>
        <v>2400000</v>
      </c>
      <c r="M360" s="108">
        <f t="shared" si="125"/>
        <v>0</v>
      </c>
    </row>
    <row r="361" spans="2:13">
      <c r="B361" s="76"/>
      <c r="C361" s="516" t="s">
        <v>199</v>
      </c>
      <c r="D361" s="80"/>
      <c r="E361" s="88"/>
      <c r="F361" s="108">
        <v>0</v>
      </c>
      <c r="G361" s="108">
        <v>0</v>
      </c>
      <c r="H361" s="108">
        <v>0</v>
      </c>
      <c r="I361" s="108">
        <v>0</v>
      </c>
      <c r="J361" s="108">
        <v>0</v>
      </c>
      <c r="K361" s="108">
        <v>0</v>
      </c>
      <c r="L361" s="108">
        <v>0</v>
      </c>
      <c r="M361" s="108">
        <v>0</v>
      </c>
    </row>
    <row r="362" spans="2:13">
      <c r="B362" s="76"/>
      <c r="C362" s="516" t="s">
        <v>200</v>
      </c>
      <c r="D362" s="80"/>
      <c r="E362" s="88"/>
      <c r="F362" s="108">
        <v>0</v>
      </c>
      <c r="G362" s="108">
        <v>0</v>
      </c>
      <c r="H362" s="108">
        <v>0</v>
      </c>
      <c r="I362" s="108">
        <v>0</v>
      </c>
      <c r="J362" s="108">
        <v>0</v>
      </c>
      <c r="K362" s="108">
        <v>0</v>
      </c>
      <c r="L362" s="108">
        <v>0</v>
      </c>
      <c r="M362" s="108">
        <v>0</v>
      </c>
    </row>
    <row r="363" spans="2:13">
      <c r="B363" s="76"/>
      <c r="C363" s="516" t="s">
        <v>201</v>
      </c>
      <c r="D363" s="110"/>
      <c r="E363" s="88"/>
      <c r="F363" s="108">
        <v>0</v>
      </c>
      <c r="G363" s="108">
        <v>0</v>
      </c>
      <c r="H363" s="108">
        <v>0</v>
      </c>
      <c r="I363" s="108">
        <v>0</v>
      </c>
      <c r="J363" s="108">
        <v>0</v>
      </c>
      <c r="K363" s="108">
        <v>0</v>
      </c>
      <c r="L363" s="108">
        <v>0</v>
      </c>
      <c r="M363" s="108">
        <v>0</v>
      </c>
    </row>
    <row r="364" spans="2:13">
      <c r="B364" s="76"/>
      <c r="C364" s="483" t="s">
        <v>202</v>
      </c>
      <c r="D364" s="80"/>
      <c r="E364" s="88"/>
      <c r="F364" s="80">
        <f t="shared" ref="F364:M364" si="126">SUM(F360:F363)</f>
        <v>0</v>
      </c>
      <c r="G364" s="80">
        <f t="shared" si="126"/>
        <v>0</v>
      </c>
      <c r="H364" s="80">
        <f t="shared" si="126"/>
        <v>-8365900</v>
      </c>
      <c r="I364" s="80">
        <f t="shared" si="126"/>
        <v>5991000</v>
      </c>
      <c r="J364" s="80">
        <f t="shared" si="126"/>
        <v>0</v>
      </c>
      <c r="K364" s="80">
        <f t="shared" si="126"/>
        <v>2400000</v>
      </c>
      <c r="L364" s="80">
        <f>SUM(L360:L363)</f>
        <v>2400000</v>
      </c>
      <c r="M364" s="80">
        <f t="shared" si="126"/>
        <v>0</v>
      </c>
    </row>
    <row r="365" spans="2:13">
      <c r="B365" s="76"/>
      <c r="C365" s="516" t="s">
        <v>203</v>
      </c>
      <c r="D365" s="110"/>
      <c r="E365" s="88"/>
      <c r="F365" s="108">
        <f t="shared" ref="F365:M366" si="127">F348</f>
        <v>0</v>
      </c>
      <c r="G365" s="108">
        <f t="shared" si="127"/>
        <v>0</v>
      </c>
      <c r="H365" s="108">
        <f t="shared" si="127"/>
        <v>0</v>
      </c>
      <c r="I365" s="108">
        <f t="shared" si="127"/>
        <v>0</v>
      </c>
      <c r="J365" s="108">
        <f t="shared" ref="J365:L366" si="128">J348</f>
        <v>0</v>
      </c>
      <c r="K365" s="108">
        <f t="shared" si="128"/>
        <v>0</v>
      </c>
      <c r="L365" s="108">
        <f t="shared" si="128"/>
        <v>0</v>
      </c>
      <c r="M365" s="108">
        <f t="shared" si="127"/>
        <v>0</v>
      </c>
    </row>
    <row r="366" spans="2:13">
      <c r="B366" s="76"/>
      <c r="C366" s="516" t="s">
        <v>187</v>
      </c>
      <c r="D366" s="110"/>
      <c r="E366" s="88"/>
      <c r="F366" s="108">
        <f t="shared" si="127"/>
        <v>0</v>
      </c>
      <c r="G366" s="108">
        <f t="shared" si="127"/>
        <v>0</v>
      </c>
      <c r="H366" s="108">
        <f t="shared" si="127"/>
        <v>0</v>
      </c>
      <c r="I366" s="108">
        <f t="shared" si="127"/>
        <v>0</v>
      </c>
      <c r="J366" s="108">
        <f t="shared" si="128"/>
        <v>0</v>
      </c>
      <c r="K366" s="108">
        <f t="shared" si="128"/>
        <v>0</v>
      </c>
      <c r="L366" s="108">
        <f t="shared" si="128"/>
        <v>0</v>
      </c>
      <c r="M366" s="108">
        <f t="shared" si="127"/>
        <v>0</v>
      </c>
    </row>
    <row r="367" spans="2:13">
      <c r="B367" s="76"/>
      <c r="C367" s="516" t="s">
        <v>204</v>
      </c>
      <c r="D367" s="525"/>
      <c r="E367" s="88"/>
      <c r="F367" s="108">
        <f t="shared" ref="F367:M367" si="129">F352</f>
        <v>0</v>
      </c>
      <c r="G367" s="108">
        <f t="shared" si="129"/>
        <v>0</v>
      </c>
      <c r="H367" s="108">
        <f t="shared" si="129"/>
        <v>0</v>
      </c>
      <c r="I367" s="108">
        <f t="shared" si="129"/>
        <v>-2516850</v>
      </c>
      <c r="J367" s="108">
        <f t="shared" si="129"/>
        <v>0</v>
      </c>
      <c r="K367" s="108">
        <f t="shared" si="129"/>
        <v>-840000</v>
      </c>
      <c r="L367" s="108">
        <f>L352</f>
        <v>-840000</v>
      </c>
      <c r="M367" s="108">
        <f t="shared" si="129"/>
        <v>0</v>
      </c>
    </row>
    <row r="368" spans="2:13">
      <c r="B368" s="76"/>
      <c r="C368" s="356" t="s">
        <v>195</v>
      </c>
      <c r="D368" s="525"/>
      <c r="E368" s="88"/>
      <c r="F368" s="108">
        <f t="shared" ref="F368:M368" si="130">F350</f>
        <v>0</v>
      </c>
      <c r="G368" s="108">
        <f t="shared" si="130"/>
        <v>0</v>
      </c>
      <c r="H368" s="108">
        <f t="shared" si="130"/>
        <v>0</v>
      </c>
      <c r="I368" s="108">
        <f t="shared" si="130"/>
        <v>0</v>
      </c>
      <c r="J368" s="108">
        <f t="shared" si="130"/>
        <v>0</v>
      </c>
      <c r="K368" s="108">
        <f t="shared" si="130"/>
        <v>0</v>
      </c>
      <c r="L368" s="108">
        <f>L350</f>
        <v>0</v>
      </c>
      <c r="M368" s="108">
        <f t="shared" si="130"/>
        <v>0</v>
      </c>
    </row>
    <row r="369" spans="2:13">
      <c r="B369" s="155"/>
      <c r="C369" s="95" t="s">
        <v>205</v>
      </c>
      <c r="D369" s="163"/>
      <c r="E369" s="1622"/>
      <c r="F369" s="153">
        <f t="shared" ref="F369:M369" si="131">SUM(F364:F368)</f>
        <v>0</v>
      </c>
      <c r="G369" s="153">
        <f t="shared" si="131"/>
        <v>0</v>
      </c>
      <c r="H369" s="153">
        <f t="shared" si="131"/>
        <v>-8365900</v>
      </c>
      <c r="I369" s="153">
        <f t="shared" si="131"/>
        <v>3474150</v>
      </c>
      <c r="J369" s="153">
        <f t="shared" si="131"/>
        <v>0</v>
      </c>
      <c r="K369" s="153">
        <f t="shared" si="131"/>
        <v>1560000</v>
      </c>
      <c r="L369" s="153">
        <f>SUM(L364:L368)</f>
        <v>1560000</v>
      </c>
      <c r="M369" s="153">
        <f t="shared" si="131"/>
        <v>0</v>
      </c>
    </row>
    <row r="370" spans="2:13">
      <c r="B370" s="76"/>
      <c r="C370" s="110"/>
      <c r="D370" s="110"/>
      <c r="E370" s="88"/>
      <c r="F370" s="100"/>
      <c r="G370" s="100"/>
      <c r="H370" s="100"/>
      <c r="I370" s="100"/>
      <c r="J370" s="100"/>
      <c r="K370" s="100"/>
      <c r="L370" s="100"/>
      <c r="M370" s="100"/>
    </row>
    <row r="371" spans="2:13">
      <c r="B371" s="76"/>
      <c r="C371" s="523" t="s">
        <v>206</v>
      </c>
      <c r="D371" s="100"/>
      <c r="E371" s="88"/>
      <c r="F371" s="100"/>
      <c r="G371" s="100"/>
      <c r="H371" s="100"/>
      <c r="I371" s="100"/>
      <c r="J371" s="100"/>
      <c r="K371" s="100"/>
      <c r="L371" s="100"/>
      <c r="M371" s="100"/>
    </row>
    <row r="372" spans="2:13">
      <c r="B372" s="76"/>
      <c r="C372" s="1677" t="s">
        <v>2123</v>
      </c>
      <c r="D372" s="95"/>
      <c r="E372" s="470"/>
      <c r="F372" s="82">
        <v>0</v>
      </c>
      <c r="G372" s="82">
        <v>0</v>
      </c>
      <c r="H372" s="108">
        <v>0</v>
      </c>
      <c r="I372" s="108">
        <v>0</v>
      </c>
      <c r="J372" s="108">
        <v>0</v>
      </c>
      <c r="K372" s="108">
        <v>0</v>
      </c>
      <c r="L372" s="108">
        <v>0</v>
      </c>
      <c r="M372" s="108">
        <v>0</v>
      </c>
    </row>
    <row r="373" spans="2:13">
      <c r="B373" s="76"/>
      <c r="C373" s="1677" t="s">
        <v>703</v>
      </c>
      <c r="D373" s="95"/>
      <c r="E373" s="470"/>
      <c r="F373" s="82"/>
      <c r="G373" s="82">
        <v>0</v>
      </c>
      <c r="H373" s="108">
        <v>0</v>
      </c>
      <c r="I373" s="108">
        <v>0</v>
      </c>
      <c r="J373" s="108">
        <v>0</v>
      </c>
      <c r="K373" s="108">
        <v>0</v>
      </c>
      <c r="L373" s="108">
        <v>0</v>
      </c>
      <c r="M373" s="108">
        <v>0</v>
      </c>
    </row>
    <row r="374" spans="2:13">
      <c r="B374" s="155"/>
      <c r="C374" s="95" t="s">
        <v>211</v>
      </c>
      <c r="D374" s="163"/>
      <c r="E374" s="1622"/>
      <c r="F374" s="153">
        <f t="shared" ref="F374:M374" si="132">SUM(F372:F373)</f>
        <v>0</v>
      </c>
      <c r="G374" s="153">
        <f t="shared" si="132"/>
        <v>0</v>
      </c>
      <c r="H374" s="153">
        <f t="shared" si="132"/>
        <v>0</v>
      </c>
      <c r="I374" s="153">
        <f t="shared" si="132"/>
        <v>0</v>
      </c>
      <c r="J374" s="153">
        <f t="shared" si="132"/>
        <v>0</v>
      </c>
      <c r="K374" s="153">
        <f t="shared" si="132"/>
        <v>0</v>
      </c>
      <c r="L374" s="153">
        <f>SUM(L372:L373)</f>
        <v>0</v>
      </c>
      <c r="M374" s="153">
        <f t="shared" si="132"/>
        <v>0</v>
      </c>
    </row>
    <row r="375" spans="2:13">
      <c r="B375" s="76"/>
      <c r="C375" s="110"/>
      <c r="D375" s="110"/>
      <c r="E375" s="88"/>
      <c r="F375" s="100"/>
      <c r="G375" s="100"/>
      <c r="H375" s="100"/>
      <c r="I375" s="100"/>
      <c r="J375" s="100"/>
      <c r="K375" s="100"/>
      <c r="L375" s="100"/>
      <c r="M375" s="100"/>
    </row>
    <row r="376" spans="2:13">
      <c r="B376" s="155"/>
      <c r="C376" s="95" t="s">
        <v>212</v>
      </c>
      <c r="D376" s="163"/>
      <c r="E376" s="1622"/>
      <c r="F376" s="153">
        <f t="shared" ref="F376:M376" si="133">SUM(F374,F369)</f>
        <v>0</v>
      </c>
      <c r="G376" s="153">
        <f t="shared" si="133"/>
        <v>0</v>
      </c>
      <c r="H376" s="153">
        <f t="shared" si="133"/>
        <v>-8365900</v>
      </c>
      <c r="I376" s="153">
        <f t="shared" si="133"/>
        <v>3474150</v>
      </c>
      <c r="J376" s="153">
        <f t="shared" si="133"/>
        <v>0</v>
      </c>
      <c r="K376" s="153">
        <f t="shared" si="133"/>
        <v>1560000</v>
      </c>
      <c r="L376" s="153">
        <f>SUM(L374,L369)</f>
        <v>1560000</v>
      </c>
      <c r="M376" s="153">
        <f t="shared" si="133"/>
        <v>0</v>
      </c>
    </row>
    <row r="377" spans="2:13">
      <c r="B377" s="76"/>
      <c r="C377" s="95"/>
      <c r="D377" s="508"/>
      <c r="E377" s="509"/>
      <c r="F377" s="100"/>
      <c r="G377" s="100"/>
      <c r="H377" s="100"/>
      <c r="I377" s="100"/>
      <c r="J377" s="100"/>
      <c r="K377" s="100"/>
      <c r="L377" s="100"/>
      <c r="M377" s="100"/>
    </row>
    <row r="378" spans="2:13">
      <c r="B378" s="76"/>
      <c r="C378" s="110" t="s">
        <v>904</v>
      </c>
      <c r="D378" s="110"/>
      <c r="E378" s="88"/>
      <c r="F378" s="108">
        <f t="shared" ref="F378:M378" si="134">IF(F376&lt;0,F376,0)</f>
        <v>0</v>
      </c>
      <c r="G378" s="108">
        <f t="shared" si="134"/>
        <v>0</v>
      </c>
      <c r="H378" s="108">
        <f t="shared" si="134"/>
        <v>-8365900</v>
      </c>
      <c r="I378" s="108">
        <f t="shared" si="134"/>
        <v>0</v>
      </c>
      <c r="J378" s="108">
        <f t="shared" si="134"/>
        <v>0</v>
      </c>
      <c r="K378" s="108">
        <f t="shared" si="134"/>
        <v>0</v>
      </c>
      <c r="L378" s="108">
        <f>IF(L376&lt;0,L376,0)</f>
        <v>0</v>
      </c>
      <c r="M378" s="108">
        <f t="shared" si="134"/>
        <v>0</v>
      </c>
    </row>
    <row r="379" spans="2:13">
      <c r="B379" s="76"/>
      <c r="C379" s="110"/>
      <c r="D379" s="110"/>
      <c r="E379" s="88"/>
      <c r="F379" s="100"/>
      <c r="G379" s="100"/>
      <c r="H379" s="100"/>
      <c r="I379" s="100"/>
      <c r="J379" s="100"/>
      <c r="K379" s="100"/>
      <c r="L379" s="100"/>
      <c r="M379" s="100"/>
    </row>
    <row r="380" spans="2:13">
      <c r="B380" s="76"/>
      <c r="C380" s="523" t="s">
        <v>135</v>
      </c>
      <c r="D380" s="114"/>
      <c r="E380" s="88"/>
      <c r="F380" s="100"/>
      <c r="G380" s="100"/>
      <c r="H380" s="100"/>
      <c r="I380" s="100"/>
      <c r="J380" s="100"/>
      <c r="K380" s="100"/>
      <c r="L380" s="100"/>
      <c r="M380" s="100"/>
    </row>
    <row r="381" spans="2:13">
      <c r="B381" s="76"/>
      <c r="C381" s="482" t="s">
        <v>214</v>
      </c>
      <c r="D381" s="110"/>
      <c r="E381" s="88"/>
      <c r="F381" s="108">
        <v>0</v>
      </c>
      <c r="G381" s="108">
        <v>0</v>
      </c>
      <c r="H381" s="108">
        <v>0</v>
      </c>
      <c r="I381" s="108">
        <v>0</v>
      </c>
      <c r="J381" s="108">
        <v>0</v>
      </c>
      <c r="K381" s="108">
        <v>0</v>
      </c>
      <c r="L381" s="108">
        <v>0</v>
      </c>
      <c r="M381" s="108">
        <v>0</v>
      </c>
    </row>
    <row r="382" spans="2:13">
      <c r="B382" s="76"/>
      <c r="C382" s="482" t="s">
        <v>215</v>
      </c>
      <c r="D382" s="110"/>
      <c r="E382" s="88"/>
      <c r="F382" s="108">
        <v>0</v>
      </c>
      <c r="G382" s="108">
        <v>0</v>
      </c>
      <c r="H382" s="108">
        <v>0</v>
      </c>
      <c r="I382" s="108">
        <v>0</v>
      </c>
      <c r="J382" s="108">
        <v>0</v>
      </c>
      <c r="K382" s="108">
        <v>0</v>
      </c>
      <c r="L382" s="108">
        <v>0</v>
      </c>
      <c r="M382" s="108">
        <v>0</v>
      </c>
    </row>
    <row r="383" spans="2:13">
      <c r="B383" s="76"/>
      <c r="C383" s="482" t="s">
        <v>816</v>
      </c>
      <c r="D383" s="110"/>
      <c r="E383" s="88"/>
      <c r="F383" s="108">
        <v>0</v>
      </c>
      <c r="G383" s="108">
        <v>0</v>
      </c>
      <c r="H383" s="108">
        <v>0</v>
      </c>
      <c r="I383" s="108">
        <v>0</v>
      </c>
      <c r="J383" s="108">
        <v>0</v>
      </c>
      <c r="K383" s="108">
        <v>0</v>
      </c>
      <c r="L383" s="108">
        <v>0</v>
      </c>
      <c r="M383" s="108">
        <v>0</v>
      </c>
    </row>
    <row r="384" spans="2:13">
      <c r="B384" s="76"/>
      <c r="C384" s="482" t="s">
        <v>311</v>
      </c>
      <c r="D384" s="110"/>
      <c r="E384" s="88"/>
      <c r="F384" s="108">
        <v>0</v>
      </c>
      <c r="G384" s="108">
        <v>0</v>
      </c>
      <c r="H384" s="108">
        <v>0</v>
      </c>
      <c r="I384" s="108">
        <v>0</v>
      </c>
      <c r="J384" s="108">
        <v>0</v>
      </c>
      <c r="K384" s="108">
        <v>0</v>
      </c>
      <c r="L384" s="108">
        <v>0</v>
      </c>
      <c r="M384" s="108">
        <v>0</v>
      </c>
    </row>
    <row r="385" spans="1:13">
      <c r="B385" s="155"/>
      <c r="C385" s="95" t="s">
        <v>217</v>
      </c>
      <c r="D385" s="526"/>
      <c r="E385" s="1622"/>
      <c r="F385" s="153">
        <f t="shared" ref="F385:M385" si="135">SUM(F381:F384)</f>
        <v>0</v>
      </c>
      <c r="G385" s="153">
        <f t="shared" si="135"/>
        <v>0</v>
      </c>
      <c r="H385" s="153">
        <f t="shared" si="135"/>
        <v>0</v>
      </c>
      <c r="I385" s="153">
        <f t="shared" si="135"/>
        <v>0</v>
      </c>
      <c r="J385" s="153">
        <f t="shared" si="135"/>
        <v>0</v>
      </c>
      <c r="K385" s="153">
        <f t="shared" si="135"/>
        <v>0</v>
      </c>
      <c r="L385" s="153">
        <f>SUM(L381:L384)</f>
        <v>0</v>
      </c>
      <c r="M385" s="153">
        <f t="shared" si="135"/>
        <v>0</v>
      </c>
    </row>
    <row r="386" spans="1:13">
      <c r="B386" s="76"/>
      <c r="C386" s="110"/>
      <c r="D386" s="83"/>
      <c r="E386" s="527"/>
      <c r="F386" s="108"/>
      <c r="G386" s="108"/>
      <c r="H386" s="108"/>
      <c r="I386" s="108"/>
      <c r="J386" s="108"/>
      <c r="K386" s="108"/>
      <c r="L386" s="108"/>
      <c r="M386" s="108"/>
    </row>
    <row r="387" spans="1:13">
      <c r="B387" s="111"/>
      <c r="C387" s="483" t="s">
        <v>219</v>
      </c>
      <c r="D387" s="83"/>
      <c r="E387" s="88"/>
      <c r="F387" s="108">
        <f t="shared" ref="F387:M387" si="136">F369+F374+F385</f>
        <v>0</v>
      </c>
      <c r="G387" s="108">
        <f t="shared" si="136"/>
        <v>0</v>
      </c>
      <c r="H387" s="108">
        <f t="shared" si="136"/>
        <v>-8365900</v>
      </c>
      <c r="I387" s="108">
        <f t="shared" si="136"/>
        <v>3474150</v>
      </c>
      <c r="J387" s="108">
        <f t="shared" si="136"/>
        <v>0</v>
      </c>
      <c r="K387" s="108">
        <f t="shared" si="136"/>
        <v>1560000</v>
      </c>
      <c r="L387" s="108">
        <f>L369+L374+L385</f>
        <v>1560000</v>
      </c>
      <c r="M387" s="108">
        <f t="shared" si="136"/>
        <v>0</v>
      </c>
    </row>
    <row r="388" spans="1:13">
      <c r="B388" s="111"/>
      <c r="C388" s="110"/>
      <c r="D388" s="83"/>
      <c r="E388" s="527"/>
      <c r="F388" s="108"/>
      <c r="G388" s="108"/>
      <c r="H388" s="108"/>
      <c r="I388" s="108"/>
      <c r="J388" s="108"/>
      <c r="K388" s="108"/>
      <c r="L388" s="108"/>
      <c r="M388" s="108"/>
    </row>
    <row r="389" spans="1:13">
      <c r="B389" s="111"/>
      <c r="C389" s="483" t="s">
        <v>902</v>
      </c>
      <c r="D389" s="110"/>
      <c r="E389" s="88"/>
      <c r="F389" s="108">
        <f t="shared" ref="F389:K389" si="137">E390</f>
        <v>0</v>
      </c>
      <c r="G389" s="108">
        <f t="shared" si="137"/>
        <v>0</v>
      </c>
      <c r="H389" s="108">
        <f t="shared" si="137"/>
        <v>0</v>
      </c>
      <c r="I389" s="108">
        <f t="shared" si="137"/>
        <v>-8365900</v>
      </c>
      <c r="J389" s="108">
        <f t="shared" si="137"/>
        <v>-4891750</v>
      </c>
      <c r="K389" s="108">
        <f t="shared" si="137"/>
        <v>-4891750</v>
      </c>
      <c r="L389" s="108">
        <f>H390</f>
        <v>-8365900</v>
      </c>
      <c r="M389" s="108">
        <f>I390</f>
        <v>-4891750</v>
      </c>
    </row>
    <row r="390" spans="1:13">
      <c r="B390" s="111"/>
      <c r="C390" s="529" t="s">
        <v>903</v>
      </c>
      <c r="D390" s="472"/>
      <c r="E390" s="498"/>
      <c r="F390" s="120">
        <f t="shared" ref="F390:M390" si="138">F387+F389</f>
        <v>0</v>
      </c>
      <c r="G390" s="120">
        <f t="shared" si="138"/>
        <v>0</v>
      </c>
      <c r="H390" s="120">
        <f t="shared" si="138"/>
        <v>-8365900</v>
      </c>
      <c r="I390" s="120">
        <f t="shared" si="138"/>
        <v>-4891750</v>
      </c>
      <c r="J390" s="120">
        <f t="shared" si="138"/>
        <v>-4891750</v>
      </c>
      <c r="K390" s="120">
        <f t="shared" si="138"/>
        <v>-3331750</v>
      </c>
      <c r="L390" s="120">
        <f>L387+L389</f>
        <v>-6805900</v>
      </c>
      <c r="M390" s="120">
        <f t="shared" si="138"/>
        <v>-4891750</v>
      </c>
    </row>
    <row r="391" spans="1:13">
      <c r="B391" s="76"/>
      <c r="C391" s="482"/>
      <c r="D391" s="80"/>
      <c r="E391" s="512"/>
      <c r="F391" s="436"/>
      <c r="G391" s="436"/>
      <c r="H391" s="436"/>
      <c r="I391" s="436"/>
      <c r="J391" s="436"/>
      <c r="K391" s="436"/>
      <c r="L391" s="436"/>
      <c r="M391" s="436"/>
    </row>
    <row r="392" spans="1:13" ht="15.75" hidden="1" customHeight="1" outlineLevel="1">
      <c r="B392" s="91"/>
      <c r="C392" s="546"/>
      <c r="D392" s="546"/>
      <c r="E392" s="547"/>
      <c r="F392" s="136"/>
      <c r="G392" s="136">
        <f>F392+1</f>
        <v>1</v>
      </c>
      <c r="H392" s="136">
        <f>G392+1</f>
        <v>2</v>
      </c>
      <c r="I392" s="136">
        <f>H392+1</f>
        <v>3</v>
      </c>
      <c r="J392" s="136"/>
      <c r="K392" s="136"/>
      <c r="L392" s="136">
        <f>K392+1</f>
        <v>1</v>
      </c>
      <c r="M392" s="136">
        <f>I392+1</f>
        <v>4</v>
      </c>
    </row>
    <row r="393" spans="1:13" ht="15.75" hidden="1" customHeight="1" outlineLevel="1">
      <c r="A393" s="1701" t="s">
        <v>2105</v>
      </c>
      <c r="B393" s="91"/>
      <c r="C393" s="1671" t="s">
        <v>2106</v>
      </c>
      <c r="D393" s="548"/>
      <c r="E393" s="470"/>
      <c r="F393" s="93"/>
      <c r="G393" s="93"/>
      <c r="H393" s="93"/>
      <c r="I393" s="93"/>
      <c r="J393" s="93"/>
      <c r="K393" s="93"/>
      <c r="L393" s="93"/>
      <c r="M393" s="93"/>
    </row>
    <row r="394" spans="1:13" ht="15.75" hidden="1" customHeight="1" outlineLevel="1">
      <c r="B394" s="91"/>
      <c r="C394" s="471"/>
      <c r="D394" s="471"/>
      <c r="E394" s="473"/>
      <c r="F394" s="94"/>
      <c r="G394" s="94" t="s">
        <v>499</v>
      </c>
      <c r="H394" s="94" t="s">
        <v>499</v>
      </c>
      <c r="I394" s="94" t="s">
        <v>499</v>
      </c>
      <c r="J394" s="94"/>
      <c r="K394" s="94"/>
      <c r="L394" s="94" t="s">
        <v>499</v>
      </c>
      <c r="M394" s="94" t="s">
        <v>499</v>
      </c>
    </row>
    <row r="395" spans="1:13" ht="15.75" hidden="1" customHeight="1" outlineLevel="1">
      <c r="B395" s="91"/>
      <c r="C395" s="162"/>
      <c r="D395" s="95"/>
      <c r="E395" s="470"/>
      <c r="F395" s="96"/>
      <c r="G395" s="96"/>
      <c r="H395" s="96"/>
      <c r="I395" s="96"/>
      <c r="J395" s="96"/>
      <c r="K395" s="96"/>
      <c r="L395" s="96"/>
      <c r="M395" s="96"/>
    </row>
    <row r="396" spans="1:13" ht="15.75" hidden="1" customHeight="1" outlineLevel="1">
      <c r="B396" s="91"/>
      <c r="C396" s="162" t="s">
        <v>1221</v>
      </c>
      <c r="D396" s="95"/>
      <c r="E396" s="470"/>
      <c r="F396" s="96"/>
      <c r="G396" s="96"/>
      <c r="H396" s="96">
        <f>H398*H401+H399*H402</f>
        <v>0</v>
      </c>
      <c r="I396" s="96">
        <f>I398*I401+I399*I402</f>
        <v>0</v>
      </c>
      <c r="J396" s="96"/>
      <c r="K396" s="96"/>
      <c r="L396" s="96">
        <f>L398*L401+L399*L402</f>
        <v>0</v>
      </c>
      <c r="M396" s="96">
        <f>M398*M401+M399*M402</f>
        <v>0</v>
      </c>
    </row>
    <row r="397" spans="1:13" ht="15.75" hidden="1" customHeight="1" outlineLevel="1">
      <c r="B397" s="91"/>
      <c r="C397" s="478" t="s">
        <v>873</v>
      </c>
      <c r="D397" s="95"/>
      <c r="E397" s="470"/>
      <c r="F397" s="96"/>
      <c r="G397" s="1685"/>
      <c r="H397" s="1685">
        <f>H300</f>
        <v>18000</v>
      </c>
      <c r="I397" s="1685">
        <f>I300</f>
        <v>17000</v>
      </c>
      <c r="J397" s="1685"/>
      <c r="K397" s="1685"/>
      <c r="L397" s="1685">
        <f>L300</f>
        <v>13500</v>
      </c>
      <c r="M397" s="1685">
        <f>M300</f>
        <v>25000</v>
      </c>
    </row>
    <row r="398" spans="1:13" hidden="1" outlineLevel="1">
      <c r="B398" s="91"/>
      <c r="C398" s="1677" t="s">
        <v>708</v>
      </c>
      <c r="D398" s="95"/>
      <c r="E398" s="470"/>
      <c r="F398" s="96"/>
      <c r="G398" s="1686"/>
      <c r="H398" s="1686">
        <f>H397*(1-1*H407)*H405*(H405*H408)</f>
        <v>48.988800000000012</v>
      </c>
      <c r="I398" s="1686">
        <f>I406*I405*I397*0.7</f>
        <v>32.130000000000003</v>
      </c>
      <c r="J398" s="1686"/>
      <c r="K398" s="1686"/>
      <c r="L398" s="1686">
        <f>L406*L405*L397*0.7</f>
        <v>0</v>
      </c>
      <c r="M398" s="1686">
        <f>M406*M405*M397*0.7</f>
        <v>47.25</v>
      </c>
    </row>
    <row r="399" spans="1:13" hidden="1" outlineLevel="1">
      <c r="B399" s="91"/>
      <c r="C399" s="1677" t="s">
        <v>709</v>
      </c>
      <c r="D399" s="95"/>
      <c r="E399" s="470"/>
      <c r="F399" s="96"/>
      <c r="G399" s="1686"/>
      <c r="H399" s="1686">
        <f>H397*(1-1*H412)*H410*(H410*H413)</f>
        <v>63</v>
      </c>
      <c r="I399" s="1686">
        <f>I410*I411*I397*0.7</f>
        <v>57.11999999999999</v>
      </c>
      <c r="J399" s="1686"/>
      <c r="K399" s="1686"/>
      <c r="L399" s="1686">
        <f>L410*L411*L397*0.7</f>
        <v>0</v>
      </c>
      <c r="M399" s="1686">
        <f>M410*M411*M397*0.7</f>
        <v>83.999999999999986</v>
      </c>
    </row>
    <row r="400" spans="1:13" ht="21" hidden="1" customHeight="1" outlineLevel="1">
      <c r="B400" s="91"/>
      <c r="C400" s="1688" t="s">
        <v>868</v>
      </c>
      <c r="D400" s="95"/>
      <c r="E400" s="470"/>
      <c r="F400" s="96"/>
      <c r="G400" s="1689"/>
      <c r="H400" s="1689">
        <f>H401+H402</f>
        <v>0</v>
      </c>
      <c r="I400" s="1689">
        <f>I401+I402</f>
        <v>0</v>
      </c>
      <c r="J400" s="1689"/>
      <c r="K400" s="1689"/>
      <c r="L400" s="1689">
        <f>L401+L402</f>
        <v>0</v>
      </c>
      <c r="M400" s="1689">
        <f>M401+M402</f>
        <v>0</v>
      </c>
    </row>
    <row r="401" spans="2:13" hidden="1" outlineLevel="1">
      <c r="B401" s="91"/>
      <c r="C401" s="1677" t="s">
        <v>869</v>
      </c>
      <c r="D401" s="95"/>
      <c r="E401" s="470"/>
      <c r="F401" s="96"/>
      <c r="G401" s="1685"/>
      <c r="H401" s="1685">
        <v>0</v>
      </c>
      <c r="I401" s="1685">
        <v>0</v>
      </c>
      <c r="J401" s="1685"/>
      <c r="K401" s="1685"/>
      <c r="L401" s="1685">
        <v>0</v>
      </c>
      <c r="M401" s="1685">
        <v>0</v>
      </c>
    </row>
    <row r="402" spans="2:13" hidden="1" outlineLevel="1">
      <c r="B402" s="91"/>
      <c r="C402" s="1677" t="s">
        <v>1217</v>
      </c>
      <c r="D402" s="95"/>
      <c r="E402" s="470"/>
      <c r="F402" s="96"/>
      <c r="G402" s="1685"/>
      <c r="H402" s="1685">
        <v>0</v>
      </c>
      <c r="I402" s="1685">
        <v>0</v>
      </c>
      <c r="J402" s="1685"/>
      <c r="K402" s="1685"/>
      <c r="L402" s="1685">
        <v>0</v>
      </c>
      <c r="M402" s="1685">
        <v>0</v>
      </c>
    </row>
    <row r="403" spans="2:13" hidden="1" outlineLevel="1">
      <c r="B403" s="91"/>
      <c r="C403" s="1677"/>
      <c r="D403" s="95"/>
      <c r="E403" s="470"/>
      <c r="F403" s="96"/>
      <c r="G403" s="1686"/>
      <c r="H403" s="1686"/>
      <c r="I403" s="1686"/>
      <c r="J403" s="1686"/>
      <c r="K403" s="1686"/>
      <c r="L403" s="1686"/>
      <c r="M403" s="1686"/>
    </row>
    <row r="404" spans="2:13" hidden="1" outlineLevel="1">
      <c r="B404" s="91"/>
      <c r="C404" s="1677" t="s">
        <v>883</v>
      </c>
      <c r="D404" s="95"/>
      <c r="E404" s="470"/>
      <c r="F404" s="96"/>
      <c r="G404" s="96"/>
      <c r="H404" s="96"/>
      <c r="I404" s="96"/>
      <c r="J404" s="96"/>
      <c r="K404" s="96"/>
      <c r="L404" s="96"/>
      <c r="M404" s="96"/>
    </row>
    <row r="405" spans="2:13" hidden="1" outlineLevel="1">
      <c r="B405" s="91"/>
      <c r="C405" s="478" t="s">
        <v>882</v>
      </c>
      <c r="D405" s="95"/>
      <c r="E405" s="470"/>
      <c r="F405" s="96"/>
      <c r="G405" s="1690"/>
      <c r="H405" s="1690">
        <f>1.8%</f>
        <v>1.8000000000000002E-2</v>
      </c>
      <c r="I405" s="1690">
        <f>H405</f>
        <v>1.8000000000000002E-2</v>
      </c>
      <c r="J405" s="1690"/>
      <c r="K405" s="1690"/>
      <c r="L405" s="1690">
        <f>K405</f>
        <v>0</v>
      </c>
      <c r="M405" s="1690">
        <f>I405</f>
        <v>1.8000000000000002E-2</v>
      </c>
    </row>
    <row r="406" spans="2:13" hidden="1" outlineLevel="1">
      <c r="B406" s="91"/>
      <c r="C406" s="478" t="s">
        <v>706</v>
      </c>
      <c r="D406" s="95"/>
      <c r="E406" s="470"/>
      <c r="F406" s="96"/>
      <c r="G406" s="1690"/>
      <c r="H406" s="1690">
        <v>0.15</v>
      </c>
      <c r="I406" s="1690">
        <v>0.15</v>
      </c>
      <c r="J406" s="1690"/>
      <c r="K406" s="1690"/>
      <c r="L406" s="1690">
        <v>0.15</v>
      </c>
      <c r="M406" s="1690">
        <v>0.15</v>
      </c>
    </row>
    <row r="407" spans="2:13" hidden="1" outlineLevel="1">
      <c r="B407" s="91"/>
      <c r="C407" s="478" t="s">
        <v>707</v>
      </c>
      <c r="D407" s="95"/>
      <c r="E407" s="470"/>
      <c r="F407" s="96"/>
      <c r="G407" s="1690"/>
      <c r="H407" s="1690">
        <v>0.3</v>
      </c>
      <c r="I407" s="1690">
        <v>0.3</v>
      </c>
      <c r="J407" s="1690"/>
      <c r="K407" s="1690"/>
      <c r="L407" s="1690">
        <v>0.3</v>
      </c>
      <c r="M407" s="1690">
        <v>0.3</v>
      </c>
    </row>
    <row r="408" spans="2:13" hidden="1" outlineLevel="1">
      <c r="B408" s="91"/>
      <c r="C408" s="478" t="s">
        <v>1214</v>
      </c>
      <c r="D408" s="95"/>
      <c r="E408" s="470"/>
      <c r="F408" s="96"/>
      <c r="G408" s="1690"/>
      <c r="H408" s="1685">
        <v>12</v>
      </c>
      <c r="I408" s="1685">
        <v>12</v>
      </c>
      <c r="J408" s="1685"/>
      <c r="K408" s="1685"/>
      <c r="L408" s="1685">
        <v>12</v>
      </c>
      <c r="M408" s="1685">
        <v>12</v>
      </c>
    </row>
    <row r="409" spans="2:13" hidden="1" outlineLevel="1">
      <c r="B409" s="91"/>
      <c r="C409" s="1677" t="s">
        <v>1219</v>
      </c>
      <c r="D409" s="95"/>
      <c r="E409" s="470"/>
      <c r="F409" s="96"/>
      <c r="G409" s="96"/>
      <c r="H409" s="96"/>
      <c r="I409" s="96"/>
      <c r="J409" s="96"/>
      <c r="K409" s="96"/>
      <c r="L409" s="96"/>
      <c r="M409" s="96"/>
    </row>
    <row r="410" spans="2:13" hidden="1" outlineLevel="1">
      <c r="B410" s="91"/>
      <c r="C410" s="478" t="s">
        <v>882</v>
      </c>
      <c r="D410" s="95"/>
      <c r="E410" s="470"/>
      <c r="F410" s="96"/>
      <c r="G410" s="1690"/>
      <c r="H410" s="1690">
        <v>0.02</v>
      </c>
      <c r="I410" s="1690">
        <f>H410</f>
        <v>0.02</v>
      </c>
      <c r="J410" s="1690"/>
      <c r="K410" s="1690"/>
      <c r="L410" s="1690">
        <f>K410</f>
        <v>0</v>
      </c>
      <c r="M410" s="1690">
        <f>I410</f>
        <v>0.02</v>
      </c>
    </row>
    <row r="411" spans="2:13" hidden="1" outlineLevel="1">
      <c r="B411" s="91"/>
      <c r="C411" s="478" t="s">
        <v>706</v>
      </c>
      <c r="D411" s="95"/>
      <c r="E411" s="470"/>
      <c r="F411" s="96"/>
      <c r="G411" s="1690"/>
      <c r="H411" s="1690">
        <v>0.24</v>
      </c>
      <c r="I411" s="1690">
        <v>0.24</v>
      </c>
      <c r="J411" s="1690"/>
      <c r="K411" s="1690"/>
      <c r="L411" s="1690">
        <v>0.24</v>
      </c>
      <c r="M411" s="1690">
        <v>0.24</v>
      </c>
    </row>
    <row r="412" spans="2:13" hidden="1" outlineLevel="1">
      <c r="B412" s="91"/>
      <c r="C412" s="478" t="s">
        <v>707</v>
      </c>
      <c r="D412" s="95"/>
      <c r="E412" s="470"/>
      <c r="F412" s="96"/>
      <c r="G412" s="1690"/>
      <c r="H412" s="1690">
        <v>0.3</v>
      </c>
      <c r="I412" s="1690">
        <v>0.3</v>
      </c>
      <c r="J412" s="1690"/>
      <c r="K412" s="1690"/>
      <c r="L412" s="1690">
        <v>0.3</v>
      </c>
      <c r="M412" s="1690">
        <v>0.3</v>
      </c>
    </row>
    <row r="413" spans="2:13" hidden="1" outlineLevel="1">
      <c r="B413" s="91"/>
      <c r="C413" s="478" t="s">
        <v>1214</v>
      </c>
      <c r="D413" s="95"/>
      <c r="E413" s="470"/>
      <c r="F413" s="96"/>
      <c r="G413" s="1690"/>
      <c r="H413" s="1685">
        <v>12.5</v>
      </c>
      <c r="I413" s="1685">
        <f>H413</f>
        <v>12.5</v>
      </c>
      <c r="J413" s="1685"/>
      <c r="K413" s="1685"/>
      <c r="L413" s="1685">
        <f>K413</f>
        <v>0</v>
      </c>
      <c r="M413" s="1685">
        <f>I413</f>
        <v>12.5</v>
      </c>
    </row>
    <row r="414" spans="2:13" hidden="1" outlineLevel="1">
      <c r="B414" s="91"/>
      <c r="C414" s="1677" t="s">
        <v>868</v>
      </c>
      <c r="D414" s="95"/>
      <c r="E414" s="470"/>
      <c r="F414" s="82"/>
      <c r="G414" s="82"/>
      <c r="H414" s="82">
        <f>H415+H416</f>
        <v>0</v>
      </c>
      <c r="I414" s="82">
        <f>I415+I416</f>
        <v>0</v>
      </c>
      <c r="J414" s="82"/>
      <c r="K414" s="82"/>
      <c r="L414" s="82">
        <f>L415+L416</f>
        <v>0</v>
      </c>
      <c r="M414" s="82">
        <f>M415+M416</f>
        <v>0</v>
      </c>
    </row>
    <row r="415" spans="2:13" hidden="1" outlineLevel="1">
      <c r="B415" s="91"/>
      <c r="C415" s="1677" t="s">
        <v>869</v>
      </c>
      <c r="D415" s="95"/>
      <c r="E415" s="470"/>
      <c r="F415" s="82"/>
      <c r="G415" s="82"/>
      <c r="H415" s="82">
        <f>H401*H405</f>
        <v>0</v>
      </c>
      <c r="I415" s="82">
        <f>I401*I405</f>
        <v>0</v>
      </c>
      <c r="J415" s="82"/>
      <c r="K415" s="82"/>
      <c r="L415" s="82">
        <f>L401*L405</f>
        <v>0</v>
      </c>
      <c r="M415" s="82">
        <f>M401*M405</f>
        <v>0</v>
      </c>
    </row>
    <row r="416" spans="2:13" hidden="1" outlineLevel="1">
      <c r="B416" s="91"/>
      <c r="C416" s="1677" t="s">
        <v>870</v>
      </c>
      <c r="D416" s="95"/>
      <c r="E416" s="470"/>
      <c r="F416" s="82"/>
      <c r="G416" s="82"/>
      <c r="H416" s="82">
        <f>H402*H410</f>
        <v>0</v>
      </c>
      <c r="I416" s="82">
        <f>I402*I410</f>
        <v>0</v>
      </c>
      <c r="J416" s="82"/>
      <c r="K416" s="82"/>
      <c r="L416" s="82">
        <f>L402*L410</f>
        <v>0</v>
      </c>
      <c r="M416" s="82">
        <f>M402*M410</f>
        <v>0</v>
      </c>
    </row>
    <row r="417" spans="1:13" hidden="1" outlineLevel="1">
      <c r="B417" s="91"/>
      <c r="C417" s="1677" t="s">
        <v>704</v>
      </c>
      <c r="D417" s="95"/>
      <c r="E417" s="470"/>
      <c r="F417" s="82"/>
      <c r="G417" s="82"/>
      <c r="H417" s="82">
        <v>3</v>
      </c>
      <c r="I417" s="82">
        <f>H417</f>
        <v>3</v>
      </c>
      <c r="J417" s="82"/>
      <c r="K417" s="82"/>
      <c r="L417" s="82">
        <f>K417</f>
        <v>0</v>
      </c>
      <c r="M417" s="82">
        <f>I417</f>
        <v>3</v>
      </c>
    </row>
    <row r="418" spans="1:13" hidden="1" outlineLevel="1">
      <c r="B418" s="91"/>
      <c r="C418" s="1677" t="s">
        <v>705</v>
      </c>
      <c r="D418" s="95"/>
      <c r="E418" s="470"/>
      <c r="F418" s="82"/>
      <c r="G418" s="82"/>
      <c r="H418" s="82">
        <f>H414*H417</f>
        <v>0</v>
      </c>
      <c r="I418" s="82">
        <f>I414*I417</f>
        <v>0</v>
      </c>
      <c r="J418" s="82"/>
      <c r="K418" s="82"/>
      <c r="L418" s="82">
        <f>L414*L417</f>
        <v>0</v>
      </c>
      <c r="M418" s="82">
        <f>M414*M417</f>
        <v>0</v>
      </c>
    </row>
    <row r="419" spans="1:13" hidden="1" outlineLevel="1">
      <c r="B419" s="91"/>
      <c r="C419" s="1677" t="s">
        <v>872</v>
      </c>
      <c r="D419" s="95"/>
      <c r="E419" s="470"/>
      <c r="F419" s="82"/>
      <c r="G419" s="82"/>
      <c r="H419" s="82">
        <v>16</v>
      </c>
      <c r="I419" s="82">
        <f>H419</f>
        <v>16</v>
      </c>
      <c r="J419" s="82"/>
      <c r="K419" s="82"/>
      <c r="L419" s="82">
        <f>K419</f>
        <v>0</v>
      </c>
      <c r="M419" s="82">
        <f>I419</f>
        <v>16</v>
      </c>
    </row>
    <row r="420" spans="1:13" hidden="1" outlineLevel="1">
      <c r="B420" s="91"/>
      <c r="C420" s="1677" t="s">
        <v>871</v>
      </c>
      <c r="D420" s="95"/>
      <c r="E420" s="1622"/>
      <c r="F420" s="1692"/>
      <c r="G420" s="705"/>
      <c r="H420" s="705">
        <v>1</v>
      </c>
      <c r="I420" s="705">
        <f>H420</f>
        <v>1</v>
      </c>
      <c r="J420" s="705"/>
      <c r="K420" s="705"/>
      <c r="L420" s="705">
        <f>K420</f>
        <v>0</v>
      </c>
      <c r="M420" s="705">
        <f>I420</f>
        <v>1</v>
      </c>
    </row>
    <row r="421" spans="1:13" ht="15" hidden="1" outlineLevel="1">
      <c r="B421" s="159"/>
      <c r="C421" s="467"/>
      <c r="D421" s="468"/>
      <c r="E421" s="466"/>
      <c r="F421" s="421"/>
      <c r="G421" s="421"/>
      <c r="H421" s="421"/>
      <c r="I421" s="421"/>
      <c r="J421" s="421"/>
      <c r="K421" s="421"/>
      <c r="L421" s="421"/>
      <c r="M421" s="421"/>
    </row>
    <row r="422" spans="1:13" ht="15" hidden="1" outlineLevel="1">
      <c r="A422" s="1701" t="str">
        <f>A393</f>
        <v>L</v>
      </c>
      <c r="B422" s="159"/>
      <c r="C422" s="1671"/>
      <c r="D422" s="546"/>
      <c r="E422" s="557"/>
      <c r="F422" s="92"/>
      <c r="G422" s="92">
        <f t="shared" ref="G422:M422" si="139">G392</f>
        <v>1</v>
      </c>
      <c r="H422" s="92">
        <f t="shared" si="139"/>
        <v>2</v>
      </c>
      <c r="I422" s="92">
        <f t="shared" si="139"/>
        <v>3</v>
      </c>
      <c r="J422" s="92"/>
      <c r="K422" s="92"/>
      <c r="L422" s="92">
        <f>L392</f>
        <v>1</v>
      </c>
      <c r="M422" s="92">
        <f t="shared" si="139"/>
        <v>4</v>
      </c>
    </row>
    <row r="423" spans="1:13" ht="15" hidden="1" outlineLevel="1">
      <c r="B423" s="159"/>
      <c r="C423" s="548" t="s">
        <v>2106</v>
      </c>
      <c r="D423" s="548"/>
      <c r="E423" s="489"/>
      <c r="F423" s="93"/>
      <c r="G423" s="93"/>
      <c r="H423" s="93"/>
      <c r="I423" s="93"/>
      <c r="J423" s="93"/>
      <c r="K423" s="93"/>
      <c r="L423" s="93"/>
      <c r="M423" s="93"/>
    </row>
    <row r="424" spans="1:13" ht="15" hidden="1" outlineLevel="1">
      <c r="B424" s="159"/>
      <c r="C424" s="467" t="s">
        <v>888</v>
      </c>
      <c r="D424" s="471"/>
      <c r="E424" s="490"/>
      <c r="F424" s="94"/>
      <c r="G424" s="94" t="s">
        <v>499</v>
      </c>
      <c r="H424" s="94" t="s">
        <v>499</v>
      </c>
      <c r="I424" s="94" t="s">
        <v>499</v>
      </c>
      <c r="J424" s="94"/>
      <c r="K424" s="94"/>
      <c r="L424" s="94" t="s">
        <v>499</v>
      </c>
      <c r="M424" s="94" t="s">
        <v>499</v>
      </c>
    </row>
    <row r="425" spans="1:13" ht="15" hidden="1" outlineLevel="1">
      <c r="B425" s="159"/>
      <c r="C425" s="95"/>
      <c r="D425" s="95"/>
      <c r="E425" s="491"/>
      <c r="F425" s="144"/>
      <c r="G425" s="144"/>
      <c r="H425" s="144"/>
      <c r="I425" s="144"/>
      <c r="J425" s="144"/>
      <c r="K425" s="144"/>
      <c r="L425" s="144"/>
      <c r="M425" s="144"/>
    </row>
    <row r="426" spans="1:13" ht="15" hidden="1" outlineLevel="1">
      <c r="B426" s="161"/>
      <c r="C426" s="1702" t="s">
        <v>874</v>
      </c>
      <c r="D426" s="1703"/>
      <c r="E426" s="1704"/>
      <c r="F426" s="1705"/>
      <c r="G426" s="1705"/>
      <c r="H426" s="1705">
        <v>22.576910714792472</v>
      </c>
      <c r="I426" s="1705">
        <f>H426</f>
        <v>22.576910714792472</v>
      </c>
      <c r="J426" s="1705"/>
      <c r="K426" s="1705"/>
      <c r="L426" s="1705">
        <f>K426</f>
        <v>0</v>
      </c>
      <c r="M426" s="1705">
        <f>I426</f>
        <v>22.576910714792472</v>
      </c>
    </row>
    <row r="427" spans="1:13" ht="15" hidden="1" outlineLevel="1">
      <c r="B427" s="159"/>
      <c r="C427" s="1702" t="s">
        <v>875</v>
      </c>
      <c r="D427" s="1706"/>
      <c r="E427" s="1707"/>
      <c r="F427" s="1708"/>
      <c r="G427" s="1709"/>
      <c r="H427" s="1709">
        <v>0.04</v>
      </c>
      <c r="I427" s="1709">
        <f>H427</f>
        <v>0.04</v>
      </c>
      <c r="J427" s="1709"/>
      <c r="K427" s="1709"/>
      <c r="L427" s="1709">
        <f>K427</f>
        <v>0</v>
      </c>
      <c r="M427" s="1709">
        <f>I427</f>
        <v>0.04</v>
      </c>
    </row>
    <row r="428" spans="1:13" ht="15" hidden="1" outlineLevel="1">
      <c r="B428" s="159"/>
      <c r="C428" s="1702" t="s">
        <v>886</v>
      </c>
      <c r="D428" s="1706"/>
      <c r="E428" s="1707"/>
      <c r="F428" s="1708"/>
      <c r="G428" s="1709"/>
      <c r="H428" s="1709">
        <v>0.05</v>
      </c>
      <c r="I428" s="1709">
        <f>H428</f>
        <v>0.05</v>
      </c>
      <c r="J428" s="1709"/>
      <c r="K428" s="1709"/>
      <c r="L428" s="1709">
        <f>K428</f>
        <v>0</v>
      </c>
      <c r="M428" s="1709">
        <f>I428</f>
        <v>0.05</v>
      </c>
    </row>
    <row r="429" spans="1:13" ht="15" hidden="1" outlineLevel="1">
      <c r="A429" s="848"/>
      <c r="B429" s="849"/>
      <c r="C429" s="850" t="s">
        <v>877</v>
      </c>
      <c r="D429" s="648"/>
      <c r="E429" s="1695"/>
      <c r="F429" s="1696"/>
      <c r="G429" s="1697"/>
      <c r="H429" s="1697">
        <f>H426+H427*H398</f>
        <v>24.536462714792474</v>
      </c>
      <c r="I429" s="1697">
        <f>I426+I427*I398</f>
        <v>23.862110714792472</v>
      </c>
      <c r="J429" s="1697"/>
      <c r="K429" s="1697"/>
      <c r="L429" s="1697">
        <f>L426+L427*L398</f>
        <v>0</v>
      </c>
      <c r="M429" s="1697">
        <f>M426+M427*M398</f>
        <v>24.466910714792473</v>
      </c>
    </row>
    <row r="430" spans="1:13" ht="15" hidden="1" outlineLevel="1">
      <c r="A430" s="848"/>
      <c r="B430" s="849"/>
      <c r="C430" s="850" t="s">
        <v>1218</v>
      </c>
      <c r="D430" s="648"/>
      <c r="E430" s="1695"/>
      <c r="F430" s="1696"/>
      <c r="G430" s="1697"/>
      <c r="H430" s="1697">
        <f>H426+H428*H399</f>
        <v>25.726910714792474</v>
      </c>
      <c r="I430" s="1697">
        <f>I426+I428*I399</f>
        <v>25.43291071479247</v>
      </c>
      <c r="J430" s="1697"/>
      <c r="K430" s="1697"/>
      <c r="L430" s="1697">
        <f>L426+L428*L399</f>
        <v>0</v>
      </c>
      <c r="M430" s="1697">
        <f>M426+M428*M399</f>
        <v>26.776910714792471</v>
      </c>
    </row>
    <row r="431" spans="1:13" ht="15" hidden="1" outlineLevel="1">
      <c r="B431" s="159"/>
      <c r="C431" s="164"/>
      <c r="D431" s="76"/>
      <c r="E431" s="492"/>
      <c r="F431" s="146"/>
      <c r="G431" s="1693"/>
      <c r="H431" s="1693"/>
      <c r="I431" s="1693"/>
      <c r="J431" s="1693"/>
      <c r="K431" s="1693"/>
      <c r="L431" s="1693"/>
      <c r="M431" s="1693"/>
    </row>
    <row r="432" spans="1:13" ht="15" hidden="1" outlineLevel="1">
      <c r="B432" s="159"/>
      <c r="C432" s="164" t="s">
        <v>879</v>
      </c>
      <c r="D432" s="76"/>
      <c r="E432" s="492"/>
      <c r="F432" s="146"/>
      <c r="G432" s="1699"/>
      <c r="H432" s="1699">
        <f t="shared" ref="H432:M433" si="140">H429*H401</f>
        <v>0</v>
      </c>
      <c r="I432" s="1699">
        <f t="shared" si="140"/>
        <v>0</v>
      </c>
      <c r="J432" s="1699"/>
      <c r="K432" s="1699"/>
      <c r="L432" s="1699">
        <f>L429*L401</f>
        <v>0</v>
      </c>
      <c r="M432" s="1699">
        <f t="shared" si="140"/>
        <v>0</v>
      </c>
    </row>
    <row r="433" spans="2:13" ht="15" hidden="1" outlineLevel="1">
      <c r="B433" s="159"/>
      <c r="C433" s="164" t="s">
        <v>887</v>
      </c>
      <c r="D433" s="100"/>
      <c r="E433" s="492"/>
      <c r="F433" s="560"/>
      <c r="G433" s="1699"/>
      <c r="H433" s="1699">
        <f t="shared" si="140"/>
        <v>0</v>
      </c>
      <c r="I433" s="1699">
        <f t="shared" si="140"/>
        <v>0</v>
      </c>
      <c r="J433" s="1699"/>
      <c r="K433" s="1699"/>
      <c r="L433" s="1699">
        <f>L430*L402</f>
        <v>0</v>
      </c>
      <c r="M433" s="1699">
        <f t="shared" si="140"/>
        <v>0</v>
      </c>
    </row>
    <row r="434" spans="2:13" ht="15" hidden="1" outlineLevel="1">
      <c r="B434" s="159"/>
      <c r="C434" s="703" t="s">
        <v>881</v>
      </c>
      <c r="D434" s="100"/>
      <c r="E434" s="492"/>
      <c r="F434" s="560"/>
      <c r="G434" s="1700"/>
      <c r="H434" s="551">
        <f>H143</f>
        <v>0.35</v>
      </c>
      <c r="I434" s="551">
        <f t="shared" ref="I434:M434" si="141">I143</f>
        <v>0.35</v>
      </c>
      <c r="J434" s="551"/>
      <c r="K434" s="551"/>
      <c r="L434" s="551">
        <f t="shared" si="141"/>
        <v>0.35</v>
      </c>
      <c r="M434" s="551">
        <f t="shared" si="141"/>
        <v>0.35</v>
      </c>
    </row>
    <row r="435" spans="2:13" ht="15" hidden="1" outlineLevel="1">
      <c r="B435" s="159"/>
      <c r="C435" s="703" t="s">
        <v>1215</v>
      </c>
      <c r="D435" s="81"/>
      <c r="E435" s="466"/>
      <c r="F435" s="421"/>
      <c r="G435" s="421"/>
      <c r="H435" s="1699">
        <v>40</v>
      </c>
      <c r="I435" s="1699">
        <f>H435</f>
        <v>40</v>
      </c>
      <c r="J435" s="1699"/>
      <c r="K435" s="1699"/>
      <c r="L435" s="1699">
        <f>K435</f>
        <v>0</v>
      </c>
      <c r="M435" s="1699">
        <f>I435</f>
        <v>40</v>
      </c>
    </row>
    <row r="436" spans="2:13" ht="15" hidden="1" outlineLevel="1">
      <c r="B436" s="159"/>
      <c r="C436" s="703" t="s">
        <v>1216</v>
      </c>
      <c r="D436" s="468"/>
      <c r="E436" s="466"/>
      <c r="F436" s="421"/>
      <c r="G436" s="421"/>
      <c r="H436" s="1699">
        <v>40</v>
      </c>
      <c r="I436" s="1699">
        <f>H436</f>
        <v>40</v>
      </c>
      <c r="J436" s="1699"/>
      <c r="K436" s="1699"/>
      <c r="L436" s="1699">
        <f>K436</f>
        <v>0</v>
      </c>
      <c r="M436" s="1699">
        <f>I436</f>
        <v>40</v>
      </c>
    </row>
    <row r="437" spans="2:13" ht="15" hidden="1" outlineLevel="1">
      <c r="B437" s="159"/>
      <c r="C437" s="546"/>
      <c r="D437" s="546"/>
      <c r="E437" s="547"/>
      <c r="F437" s="136"/>
      <c r="G437" s="136">
        <f t="shared" ref="G437:M437" si="142">G392</f>
        <v>1</v>
      </c>
      <c r="H437" s="136">
        <f t="shared" si="142"/>
        <v>2</v>
      </c>
      <c r="I437" s="136">
        <f t="shared" si="142"/>
        <v>3</v>
      </c>
      <c r="J437" s="136"/>
      <c r="K437" s="136"/>
      <c r="L437" s="136">
        <f>L392</f>
        <v>1</v>
      </c>
      <c r="M437" s="136">
        <f t="shared" si="142"/>
        <v>4</v>
      </c>
    </row>
    <row r="438" spans="2:13" ht="15" hidden="1" outlineLevel="1">
      <c r="B438" s="159"/>
      <c r="C438" s="1671" t="s">
        <v>2107</v>
      </c>
      <c r="D438" s="548"/>
      <c r="E438" s="470"/>
      <c r="F438" s="93"/>
      <c r="G438" s="93"/>
      <c r="H438" s="93"/>
      <c r="I438" s="93"/>
      <c r="J438" s="93"/>
      <c r="K438" s="93"/>
      <c r="L438" s="93"/>
      <c r="M438" s="93"/>
    </row>
    <row r="439" spans="2:13" ht="15" hidden="1" outlineLevel="1">
      <c r="B439" s="159"/>
      <c r="C439" s="471"/>
      <c r="D439" s="471"/>
      <c r="E439" s="473"/>
      <c r="F439" s="99"/>
      <c r="G439" s="99" t="s">
        <v>499</v>
      </c>
      <c r="H439" s="99" t="s">
        <v>499</v>
      </c>
      <c r="I439" s="99" t="s">
        <v>499</v>
      </c>
      <c r="J439" s="99"/>
      <c r="K439" s="99"/>
      <c r="L439" s="99" t="s">
        <v>499</v>
      </c>
      <c r="M439" s="99" t="s">
        <v>499</v>
      </c>
    </row>
    <row r="440" spans="2:13" hidden="1" outlineLevel="1">
      <c r="B440" s="88" t="s">
        <v>522</v>
      </c>
      <c r="C440" s="110" t="s">
        <v>183</v>
      </c>
      <c r="D440" s="114"/>
      <c r="E440" s="88"/>
      <c r="F440" s="82"/>
      <c r="G440" s="82">
        <f>G396</f>
        <v>0</v>
      </c>
      <c r="H440" s="82">
        <f>H396*H420</f>
        <v>0</v>
      </c>
      <c r="I440" s="82">
        <f>I396*I420</f>
        <v>0</v>
      </c>
      <c r="J440" s="82"/>
      <c r="K440" s="82"/>
      <c r="L440" s="82">
        <f>L396*L420</f>
        <v>0</v>
      </c>
      <c r="M440" s="82">
        <f>M396*M420</f>
        <v>0</v>
      </c>
    </row>
    <row r="441" spans="2:13" hidden="1" outlineLevel="1">
      <c r="B441" s="88" t="s">
        <v>523</v>
      </c>
      <c r="C441" s="110" t="s">
        <v>191</v>
      </c>
      <c r="D441" s="114"/>
      <c r="E441" s="88"/>
      <c r="F441" s="82"/>
      <c r="G441" s="82">
        <f>-(G432+G433)</f>
        <v>0</v>
      </c>
      <c r="H441" s="82">
        <f>-(H432+H433)*H420</f>
        <v>0</v>
      </c>
      <c r="I441" s="82">
        <f>-(I432+I433)*I420</f>
        <v>0</v>
      </c>
      <c r="J441" s="82"/>
      <c r="K441" s="82"/>
      <c r="L441" s="82">
        <f>-(L432+L433)*L420</f>
        <v>0</v>
      </c>
      <c r="M441" s="82">
        <f>-(M432+M433)*M420</f>
        <v>0</v>
      </c>
    </row>
    <row r="442" spans="2:13" hidden="1" outlineLevel="1">
      <c r="B442" s="88" t="s">
        <v>524</v>
      </c>
      <c r="C442" s="110" t="s">
        <v>185</v>
      </c>
      <c r="D442" s="100"/>
      <c r="E442" s="88"/>
      <c r="F442" s="79"/>
      <c r="G442" s="79">
        <f>SUM(G440:G441)</f>
        <v>0</v>
      </c>
      <c r="H442" s="79">
        <f>SUM(H440:H441)</f>
        <v>0</v>
      </c>
      <c r="I442" s="79">
        <f>SUM(I440:I441)</f>
        <v>0</v>
      </c>
      <c r="J442" s="79"/>
      <c r="K442" s="79"/>
      <c r="L442" s="79">
        <f>SUM(L440:L441)</f>
        <v>0</v>
      </c>
      <c r="M442" s="79">
        <f>SUM(M440:M441)</f>
        <v>0</v>
      </c>
    </row>
    <row r="443" spans="2:13" hidden="1" outlineLevel="1">
      <c r="B443" s="88" t="s">
        <v>524</v>
      </c>
      <c r="C443" s="110" t="s">
        <v>363</v>
      </c>
      <c r="D443" s="114"/>
      <c r="E443" s="88"/>
      <c r="F443" s="79"/>
      <c r="G443" s="79">
        <f>G442</f>
        <v>0</v>
      </c>
      <c r="H443" s="79">
        <f>H442</f>
        <v>0</v>
      </c>
      <c r="I443" s="79">
        <f>I442</f>
        <v>0</v>
      </c>
      <c r="J443" s="79"/>
      <c r="K443" s="79"/>
      <c r="L443" s="79">
        <f>L442</f>
        <v>0</v>
      </c>
      <c r="M443" s="79">
        <f>M442</f>
        <v>0</v>
      </c>
    </row>
    <row r="444" spans="2:13" hidden="1" outlineLevel="1">
      <c r="B444" s="88" t="s">
        <v>523</v>
      </c>
      <c r="C444" s="482" t="s">
        <v>194</v>
      </c>
      <c r="D444" s="114"/>
      <c r="E444" s="88"/>
      <c r="F444" s="79"/>
      <c r="G444" s="79">
        <v>0</v>
      </c>
      <c r="H444" s="79">
        <v>0</v>
      </c>
      <c r="I444" s="79">
        <v>0</v>
      </c>
      <c r="J444" s="79"/>
      <c r="K444" s="79"/>
      <c r="L444" s="79">
        <v>0</v>
      </c>
      <c r="M444" s="79">
        <v>0</v>
      </c>
    </row>
    <row r="445" spans="2:13" hidden="1" outlineLevel="1">
      <c r="B445" s="88" t="s">
        <v>525</v>
      </c>
      <c r="C445" s="482" t="s">
        <v>187</v>
      </c>
      <c r="D445" s="114"/>
      <c r="E445" s="88"/>
      <c r="F445" s="79"/>
      <c r="G445" s="79">
        <v>0</v>
      </c>
      <c r="H445" s="79">
        <v>0</v>
      </c>
      <c r="I445" s="79">
        <v>0</v>
      </c>
      <c r="J445" s="79"/>
      <c r="K445" s="79"/>
      <c r="L445" s="79">
        <v>0</v>
      </c>
      <c r="M445" s="79">
        <v>0</v>
      </c>
    </row>
    <row r="446" spans="2:13" hidden="1" outlineLevel="1">
      <c r="B446" s="88"/>
      <c r="C446" s="356" t="s">
        <v>195</v>
      </c>
      <c r="D446" s="114"/>
      <c r="E446" s="88"/>
      <c r="F446" s="79"/>
      <c r="G446" s="100">
        <v>0</v>
      </c>
      <c r="H446" s="100"/>
      <c r="I446" s="100"/>
      <c r="J446" s="100"/>
      <c r="K446" s="100"/>
      <c r="L446" s="100"/>
      <c r="M446" s="100"/>
    </row>
    <row r="447" spans="2:13" hidden="1" outlineLevel="1">
      <c r="B447" s="88" t="s">
        <v>524</v>
      </c>
      <c r="C447" s="110" t="s">
        <v>188</v>
      </c>
      <c r="D447" s="114"/>
      <c r="E447" s="88"/>
      <c r="F447" s="79"/>
      <c r="G447" s="79">
        <f>SUM(G443:G446)</f>
        <v>0</v>
      </c>
      <c r="H447" s="79">
        <f>SUM(H443:H446)</f>
        <v>0</v>
      </c>
      <c r="I447" s="79">
        <f>SUM(I443:I446)</f>
        <v>0</v>
      </c>
      <c r="J447" s="79"/>
      <c r="K447" s="79"/>
      <c r="L447" s="79">
        <f>SUM(L443:L446)</f>
        <v>0</v>
      </c>
      <c r="M447" s="79">
        <f>SUM(M443:M446)</f>
        <v>0</v>
      </c>
    </row>
    <row r="448" spans="2:13" hidden="1" outlineLevel="1">
      <c r="B448" s="88" t="s">
        <v>523</v>
      </c>
      <c r="C448" s="110" t="s">
        <v>189</v>
      </c>
      <c r="D448" s="100"/>
      <c r="E448" s="88"/>
      <c r="F448" s="79"/>
      <c r="G448" s="79">
        <f>-G447*G434</f>
        <v>0</v>
      </c>
      <c r="H448" s="79">
        <f>-((H436-H429)*H401+H402*(H436-H430))*H434</f>
        <v>0</v>
      </c>
      <c r="I448" s="79">
        <f>-((I436-I429)*I401+I402*(I436-I430))*I434</f>
        <v>0</v>
      </c>
      <c r="J448" s="79"/>
      <c r="K448" s="79"/>
      <c r="L448" s="79">
        <f>-((L436-L429)*L401+L402*(L436-L430))*L434</f>
        <v>0</v>
      </c>
      <c r="M448" s="79">
        <f>-((M436-M429)*M401+M402*(M436-M430))*M434</f>
        <v>0</v>
      </c>
    </row>
    <row r="449" spans="2:13" hidden="1" outlineLevel="1">
      <c r="B449" s="88" t="s">
        <v>524</v>
      </c>
      <c r="C449" s="110" t="s">
        <v>190</v>
      </c>
      <c r="D449" s="100"/>
      <c r="E449" s="88"/>
      <c r="F449" s="79"/>
      <c r="G449" s="79">
        <f>SUM(G447:G448)</f>
        <v>0</v>
      </c>
      <c r="H449" s="79">
        <f>SUM(H447:H448)</f>
        <v>0</v>
      </c>
      <c r="I449" s="79">
        <f>SUM(I447:I448)</f>
        <v>0</v>
      </c>
      <c r="J449" s="79"/>
      <c r="K449" s="79"/>
      <c r="L449" s="79">
        <f>SUM(L447:L448)</f>
        <v>0</v>
      </c>
      <c r="M449" s="79">
        <f>SUM(M447:M448)</f>
        <v>0</v>
      </c>
    </row>
    <row r="450" spans="2:13" hidden="1" outlineLevel="1">
      <c r="B450" s="88"/>
      <c r="C450" s="110"/>
      <c r="D450" s="100"/>
      <c r="E450" s="88"/>
      <c r="F450" s="100"/>
      <c r="G450" s="100"/>
      <c r="H450" s="100"/>
      <c r="I450" s="100"/>
      <c r="J450" s="100"/>
      <c r="K450" s="100"/>
      <c r="L450" s="100"/>
      <c r="M450" s="100"/>
    </row>
    <row r="451" spans="2:13" hidden="1" outlineLevel="1">
      <c r="B451" s="76"/>
      <c r="C451" s="501"/>
      <c r="D451" s="106"/>
      <c r="E451" s="502"/>
      <c r="F451" s="136"/>
      <c r="G451" s="136">
        <f t="shared" ref="G451:M451" si="143">G392</f>
        <v>1</v>
      </c>
      <c r="H451" s="136">
        <f t="shared" si="143"/>
        <v>2</v>
      </c>
      <c r="I451" s="136">
        <f t="shared" si="143"/>
        <v>3</v>
      </c>
      <c r="J451" s="136"/>
      <c r="K451" s="136"/>
      <c r="L451" s="136">
        <f>L392</f>
        <v>1</v>
      </c>
      <c r="M451" s="136">
        <f t="shared" si="143"/>
        <v>4</v>
      </c>
    </row>
    <row r="452" spans="2:13" ht="15" hidden="1" outlineLevel="1">
      <c r="B452" s="76"/>
      <c r="C452" s="1671" t="s">
        <v>2108</v>
      </c>
      <c r="D452" s="469"/>
      <c r="E452" s="470"/>
      <c r="F452" s="93"/>
      <c r="G452" s="93"/>
      <c r="H452" s="93"/>
      <c r="I452" s="93"/>
      <c r="J452" s="93"/>
      <c r="K452" s="93"/>
      <c r="L452" s="93"/>
      <c r="M452" s="93"/>
    </row>
    <row r="453" spans="2:13" hidden="1" outlineLevel="1">
      <c r="B453" s="76"/>
      <c r="C453" s="505"/>
      <c r="D453" s="506"/>
      <c r="E453" s="473"/>
      <c r="F453" s="112"/>
      <c r="G453" s="112" t="s">
        <v>499</v>
      </c>
      <c r="H453" s="112" t="s">
        <v>499</v>
      </c>
      <c r="I453" s="112" t="s">
        <v>499</v>
      </c>
      <c r="J453" s="112"/>
      <c r="K453" s="112"/>
      <c r="L453" s="112" t="s">
        <v>499</v>
      </c>
      <c r="M453" s="112" t="s">
        <v>499</v>
      </c>
    </row>
    <row r="454" spans="2:13" hidden="1" outlineLevel="1">
      <c r="B454" s="111"/>
      <c r="C454" s="110"/>
      <c r="D454" s="110"/>
      <c r="E454" s="88"/>
      <c r="F454" s="440"/>
      <c r="G454" s="440"/>
      <c r="H454" s="440"/>
      <c r="I454" s="440"/>
      <c r="J454" s="440"/>
      <c r="K454" s="440"/>
      <c r="L454" s="440"/>
      <c r="M454" s="440"/>
    </row>
    <row r="455" spans="2:13" hidden="1" outlineLevel="1">
      <c r="B455" s="76"/>
      <c r="C455" s="523" t="s">
        <v>198</v>
      </c>
      <c r="D455" s="110"/>
      <c r="E455" s="88"/>
      <c r="F455" s="110"/>
      <c r="G455" s="110"/>
      <c r="H455" s="110"/>
      <c r="I455" s="110"/>
      <c r="J455" s="110"/>
      <c r="K455" s="110"/>
      <c r="L455" s="110"/>
      <c r="M455" s="110"/>
    </row>
    <row r="456" spans="2:13" hidden="1" outlineLevel="1">
      <c r="B456" s="76"/>
      <c r="C456" s="516" t="s">
        <v>1220</v>
      </c>
      <c r="D456" s="80"/>
      <c r="E456" s="88"/>
      <c r="F456" s="108">
        <f>F443</f>
        <v>0</v>
      </c>
      <c r="G456" s="108">
        <f>G443</f>
        <v>0</v>
      </c>
      <c r="H456" s="108">
        <f>H443</f>
        <v>0</v>
      </c>
      <c r="I456" s="108">
        <f>I443</f>
        <v>0</v>
      </c>
      <c r="J456" s="108"/>
      <c r="K456" s="108"/>
      <c r="L456" s="108">
        <f>L443</f>
        <v>0</v>
      </c>
      <c r="M456" s="108">
        <f>M443</f>
        <v>0</v>
      </c>
    </row>
    <row r="457" spans="2:13" hidden="1" outlineLevel="1">
      <c r="B457" s="76"/>
      <c r="C457" s="516" t="s">
        <v>199</v>
      </c>
      <c r="D457" s="80"/>
      <c r="E457" s="88"/>
      <c r="F457" s="108">
        <v>0</v>
      </c>
      <c r="G457" s="108">
        <v>0</v>
      </c>
      <c r="H457" s="108">
        <v>0</v>
      </c>
      <c r="I457" s="108">
        <v>0</v>
      </c>
      <c r="J457" s="108"/>
      <c r="K457" s="108"/>
      <c r="L457" s="108">
        <v>0</v>
      </c>
      <c r="M457" s="108">
        <v>0</v>
      </c>
    </row>
    <row r="458" spans="2:13" hidden="1" outlineLevel="1">
      <c r="B458" s="76"/>
      <c r="C458" s="516" t="s">
        <v>200</v>
      </c>
      <c r="D458" s="80"/>
      <c r="E458" s="88"/>
      <c r="F458" s="108">
        <v>0</v>
      </c>
      <c r="G458" s="108">
        <v>0</v>
      </c>
      <c r="H458" s="108">
        <v>0</v>
      </c>
      <c r="I458" s="108">
        <v>0</v>
      </c>
      <c r="J458" s="108"/>
      <c r="K458" s="108"/>
      <c r="L458" s="108">
        <v>0</v>
      </c>
      <c r="M458" s="108">
        <v>0</v>
      </c>
    </row>
    <row r="459" spans="2:13" hidden="1" outlineLevel="1">
      <c r="B459" s="76"/>
      <c r="C459" s="516" t="s">
        <v>201</v>
      </c>
      <c r="D459" s="110"/>
      <c r="E459" s="88"/>
      <c r="F459" s="108">
        <v>0</v>
      </c>
      <c r="G459" s="108">
        <v>0</v>
      </c>
      <c r="H459" s="108">
        <v>0</v>
      </c>
      <c r="I459" s="108">
        <v>0</v>
      </c>
      <c r="J459" s="108"/>
      <c r="K459" s="108"/>
      <c r="L459" s="108">
        <v>0</v>
      </c>
      <c r="M459" s="108">
        <v>0</v>
      </c>
    </row>
    <row r="460" spans="2:13" hidden="1" outlineLevel="1">
      <c r="B460" s="76"/>
      <c r="C460" s="483" t="s">
        <v>202</v>
      </c>
      <c r="D460" s="80"/>
      <c r="E460" s="88"/>
      <c r="F460" s="80">
        <f>SUM(F456:F459)</f>
        <v>0</v>
      </c>
      <c r="G460" s="80">
        <f>SUM(G456:G459)</f>
        <v>0</v>
      </c>
      <c r="H460" s="80">
        <f>SUM(H456:H459)</f>
        <v>0</v>
      </c>
      <c r="I460" s="80">
        <f>SUM(I456:I459)</f>
        <v>0</v>
      </c>
      <c r="J460" s="80"/>
      <c r="K460" s="80"/>
      <c r="L460" s="80">
        <f>SUM(L456:L459)</f>
        <v>0</v>
      </c>
      <c r="M460" s="80">
        <f>SUM(M456:M459)</f>
        <v>0</v>
      </c>
    </row>
    <row r="461" spans="2:13" hidden="1" outlineLevel="1">
      <c r="B461" s="76"/>
      <c r="C461" s="516" t="s">
        <v>203</v>
      </c>
      <c r="D461" s="110"/>
      <c r="E461" s="88"/>
      <c r="F461" s="108">
        <f t="shared" ref="F461:M462" si="144">F444</f>
        <v>0</v>
      </c>
      <c r="G461" s="108">
        <f t="shared" si="144"/>
        <v>0</v>
      </c>
      <c r="H461" s="108">
        <f t="shared" si="144"/>
        <v>0</v>
      </c>
      <c r="I461" s="108">
        <f t="shared" si="144"/>
        <v>0</v>
      </c>
      <c r="J461" s="108"/>
      <c r="K461" s="108"/>
      <c r="L461" s="108">
        <f>L444</f>
        <v>0</v>
      </c>
      <c r="M461" s="108">
        <f t="shared" si="144"/>
        <v>0</v>
      </c>
    </row>
    <row r="462" spans="2:13" hidden="1" outlineLevel="1">
      <c r="B462" s="76"/>
      <c r="C462" s="516" t="s">
        <v>187</v>
      </c>
      <c r="D462" s="110"/>
      <c r="E462" s="88"/>
      <c r="F462" s="108">
        <f t="shared" si="144"/>
        <v>0</v>
      </c>
      <c r="G462" s="108">
        <f t="shared" si="144"/>
        <v>0</v>
      </c>
      <c r="H462" s="108">
        <f t="shared" si="144"/>
        <v>0</v>
      </c>
      <c r="I462" s="108">
        <f t="shared" si="144"/>
        <v>0</v>
      </c>
      <c r="J462" s="108"/>
      <c r="K462" s="108"/>
      <c r="L462" s="108">
        <f>L445</f>
        <v>0</v>
      </c>
      <c r="M462" s="108">
        <f t="shared" si="144"/>
        <v>0</v>
      </c>
    </row>
    <row r="463" spans="2:13" hidden="1" outlineLevel="1">
      <c r="B463" s="76"/>
      <c r="C463" s="516" t="s">
        <v>204</v>
      </c>
      <c r="D463" s="525"/>
      <c r="E463" s="88"/>
      <c r="F463" s="108">
        <f>F448</f>
        <v>0</v>
      </c>
      <c r="G463" s="108">
        <f>G448</f>
        <v>0</v>
      </c>
      <c r="H463" s="108">
        <f>H448</f>
        <v>0</v>
      </c>
      <c r="I463" s="108">
        <f>I448</f>
        <v>0</v>
      </c>
      <c r="J463" s="108"/>
      <c r="K463" s="108"/>
      <c r="L463" s="108">
        <f>L448</f>
        <v>0</v>
      </c>
      <c r="M463" s="108">
        <f>M448</f>
        <v>0</v>
      </c>
    </row>
    <row r="464" spans="2:13" hidden="1" outlineLevel="1">
      <c r="B464" s="76"/>
      <c r="C464" s="356" t="s">
        <v>195</v>
      </c>
      <c r="D464" s="525"/>
      <c r="E464" s="88"/>
      <c r="F464" s="108">
        <f>F446</f>
        <v>0</v>
      </c>
      <c r="G464" s="108">
        <f>G446</f>
        <v>0</v>
      </c>
      <c r="H464" s="108">
        <f>H446</f>
        <v>0</v>
      </c>
      <c r="I464" s="108">
        <f>I446</f>
        <v>0</v>
      </c>
      <c r="J464" s="108"/>
      <c r="K464" s="108"/>
      <c r="L464" s="108">
        <f>L446</f>
        <v>0</v>
      </c>
      <c r="M464" s="108">
        <f>M446</f>
        <v>0</v>
      </c>
    </row>
    <row r="465" spans="2:13" hidden="1" outlineLevel="1">
      <c r="B465" s="155"/>
      <c r="C465" s="95" t="s">
        <v>205</v>
      </c>
      <c r="D465" s="163"/>
      <c r="E465" s="1622"/>
      <c r="F465" s="153">
        <f>SUM(F460:F464)</f>
        <v>0</v>
      </c>
      <c r="G465" s="153">
        <f>SUM(G460:G464)</f>
        <v>0</v>
      </c>
      <c r="H465" s="153">
        <f>SUM(H460:H464)</f>
        <v>0</v>
      </c>
      <c r="I465" s="153">
        <f>SUM(I460:I464)</f>
        <v>0</v>
      </c>
      <c r="J465" s="153"/>
      <c r="K465" s="153"/>
      <c r="L465" s="153">
        <f>SUM(L460:L464)</f>
        <v>0</v>
      </c>
      <c r="M465" s="153">
        <f>SUM(M460:M464)</f>
        <v>0</v>
      </c>
    </row>
    <row r="466" spans="2:13" hidden="1" outlineLevel="1">
      <c r="B466" s="76"/>
      <c r="C466" s="110"/>
      <c r="D466" s="110"/>
      <c r="E466" s="88"/>
      <c r="F466" s="100"/>
      <c r="G466" s="100"/>
      <c r="H466" s="100"/>
      <c r="I466" s="100"/>
      <c r="J466" s="100"/>
      <c r="K466" s="100"/>
      <c r="L466" s="100"/>
      <c r="M466" s="100"/>
    </row>
    <row r="467" spans="2:13" hidden="1" outlineLevel="1">
      <c r="B467" s="76"/>
      <c r="C467" s="523" t="s">
        <v>206</v>
      </c>
      <c r="D467" s="100"/>
      <c r="E467" s="88"/>
      <c r="F467" s="100"/>
      <c r="G467" s="100"/>
      <c r="H467" s="100"/>
      <c r="I467" s="100"/>
      <c r="J467" s="100"/>
      <c r="K467" s="100"/>
      <c r="L467" s="100"/>
      <c r="M467" s="100"/>
    </row>
    <row r="468" spans="2:13" hidden="1" outlineLevel="1">
      <c r="B468" s="76"/>
      <c r="C468" s="1677" t="s">
        <v>2123</v>
      </c>
      <c r="D468" s="95"/>
      <c r="E468" s="470"/>
      <c r="F468" s="82">
        <v>0</v>
      </c>
      <c r="G468" s="82">
        <v>0</v>
      </c>
      <c r="H468" s="108">
        <v>0</v>
      </c>
      <c r="I468" s="108">
        <v>0</v>
      </c>
      <c r="J468" s="108"/>
      <c r="K468" s="108"/>
      <c r="L468" s="108">
        <v>0</v>
      </c>
      <c r="M468" s="108">
        <v>0</v>
      </c>
    </row>
    <row r="469" spans="2:13" hidden="1" outlineLevel="1">
      <c r="B469" s="76"/>
      <c r="C469" s="1677" t="s">
        <v>703</v>
      </c>
      <c r="D469" s="95"/>
      <c r="E469" s="470"/>
      <c r="F469" s="82"/>
      <c r="G469" s="82">
        <v>0</v>
      </c>
      <c r="H469" s="108">
        <v>0</v>
      </c>
      <c r="I469" s="108">
        <v>0</v>
      </c>
      <c r="J469" s="108"/>
      <c r="K469" s="108"/>
      <c r="L469" s="108">
        <v>0</v>
      </c>
      <c r="M469" s="108">
        <v>0</v>
      </c>
    </row>
    <row r="470" spans="2:13" hidden="1" outlineLevel="1">
      <c r="B470" s="155"/>
      <c r="C470" s="95" t="s">
        <v>211</v>
      </c>
      <c r="D470" s="163"/>
      <c r="E470" s="1622"/>
      <c r="F470" s="153">
        <f>SUM(F468:F469)</f>
        <v>0</v>
      </c>
      <c r="G470" s="153">
        <f>SUM(G468:G469)</f>
        <v>0</v>
      </c>
      <c r="H470" s="153">
        <f>SUM(H468:H469)</f>
        <v>0</v>
      </c>
      <c r="I470" s="153">
        <f>SUM(I468:I469)</f>
        <v>0</v>
      </c>
      <c r="J470" s="153"/>
      <c r="K470" s="153"/>
      <c r="L470" s="153">
        <f>SUM(L468:L469)</f>
        <v>0</v>
      </c>
      <c r="M470" s="153">
        <f>SUM(M468:M469)</f>
        <v>0</v>
      </c>
    </row>
    <row r="471" spans="2:13" hidden="1" outlineLevel="1">
      <c r="B471" s="76"/>
      <c r="C471" s="110"/>
      <c r="D471" s="110"/>
      <c r="E471" s="88"/>
      <c r="F471" s="100"/>
      <c r="G471" s="100"/>
      <c r="H471" s="100"/>
      <c r="I471" s="100"/>
      <c r="J471" s="100"/>
      <c r="K471" s="100"/>
      <c r="L471" s="100"/>
      <c r="M471" s="100"/>
    </row>
    <row r="472" spans="2:13" hidden="1" outlineLevel="1">
      <c r="B472" s="155"/>
      <c r="C472" s="95" t="s">
        <v>212</v>
      </c>
      <c r="D472" s="163"/>
      <c r="E472" s="1622"/>
      <c r="F472" s="153">
        <f>SUM(F470,F465)</f>
        <v>0</v>
      </c>
      <c r="G472" s="153">
        <f>SUM(G470,G465)</f>
        <v>0</v>
      </c>
      <c r="H472" s="153">
        <f>SUM(H470,H465)</f>
        <v>0</v>
      </c>
      <c r="I472" s="153">
        <f>SUM(I470,I465)</f>
        <v>0</v>
      </c>
      <c r="J472" s="153"/>
      <c r="K472" s="153"/>
      <c r="L472" s="153">
        <f>SUM(L470,L465)</f>
        <v>0</v>
      </c>
      <c r="M472" s="153">
        <f>SUM(M470,M465)</f>
        <v>0</v>
      </c>
    </row>
    <row r="473" spans="2:13" hidden="1" outlineLevel="1">
      <c r="B473" s="76"/>
      <c r="C473" s="95"/>
      <c r="D473" s="508"/>
      <c r="E473" s="509"/>
      <c r="F473" s="100"/>
      <c r="G473" s="100"/>
      <c r="H473" s="100"/>
      <c r="I473" s="100"/>
      <c r="J473" s="100"/>
      <c r="K473" s="100"/>
      <c r="L473" s="100"/>
      <c r="M473" s="100"/>
    </row>
    <row r="474" spans="2:13" hidden="1" outlineLevel="1">
      <c r="B474" s="76"/>
      <c r="C474" s="110" t="s">
        <v>904</v>
      </c>
      <c r="D474" s="110"/>
      <c r="E474" s="88"/>
      <c r="F474" s="108">
        <f>IF(F472&lt;0,F472,0)</f>
        <v>0</v>
      </c>
      <c r="G474" s="108">
        <f>IF(G472&lt;0,G472,0)</f>
        <v>0</v>
      </c>
      <c r="H474" s="108">
        <f>IF(H472&lt;0,H472,0)</f>
        <v>0</v>
      </c>
      <c r="I474" s="108">
        <f>IF(I472&lt;0,I472,0)</f>
        <v>0</v>
      </c>
      <c r="J474" s="108"/>
      <c r="K474" s="108"/>
      <c r="L474" s="108">
        <f>IF(L472&lt;0,L472,0)</f>
        <v>0</v>
      </c>
      <c r="M474" s="108">
        <f>IF(M472&lt;0,M472,0)</f>
        <v>0</v>
      </c>
    </row>
    <row r="475" spans="2:13" hidden="1" outlineLevel="1">
      <c r="B475" s="76"/>
      <c r="C475" s="110"/>
      <c r="D475" s="110"/>
      <c r="E475" s="88"/>
      <c r="F475" s="100"/>
      <c r="G475" s="100"/>
      <c r="H475" s="100"/>
      <c r="I475" s="100"/>
      <c r="J475" s="100"/>
      <c r="K475" s="100"/>
      <c r="L475" s="100"/>
      <c r="M475" s="100"/>
    </row>
    <row r="476" spans="2:13" hidden="1" outlineLevel="1">
      <c r="B476" s="76"/>
      <c r="C476" s="523" t="s">
        <v>135</v>
      </c>
      <c r="D476" s="114"/>
      <c r="E476" s="88"/>
      <c r="F476" s="100"/>
      <c r="G476" s="100"/>
      <c r="H476" s="100"/>
      <c r="I476" s="100"/>
      <c r="J476" s="100"/>
      <c r="K476" s="100"/>
      <c r="L476" s="100"/>
      <c r="M476" s="100"/>
    </row>
    <row r="477" spans="2:13" hidden="1" outlineLevel="1">
      <c r="B477" s="76"/>
      <c r="C477" s="482" t="s">
        <v>214</v>
      </c>
      <c r="D477" s="110"/>
      <c r="E477" s="88"/>
      <c r="F477" s="108">
        <v>0</v>
      </c>
      <c r="G477" s="108">
        <v>0</v>
      </c>
      <c r="H477" s="108">
        <v>0</v>
      </c>
      <c r="I477" s="108">
        <v>0</v>
      </c>
      <c r="J477" s="108"/>
      <c r="K477" s="108"/>
      <c r="L477" s="108">
        <v>0</v>
      </c>
      <c r="M477" s="108">
        <v>0</v>
      </c>
    </row>
    <row r="478" spans="2:13" hidden="1" outlineLevel="1">
      <c r="B478" s="76"/>
      <c r="C478" s="482" t="s">
        <v>215</v>
      </c>
      <c r="D478" s="110"/>
      <c r="E478" s="88"/>
      <c r="F478" s="108">
        <v>0</v>
      </c>
      <c r="G478" s="108">
        <v>0</v>
      </c>
      <c r="H478" s="108">
        <v>0</v>
      </c>
      <c r="I478" s="108">
        <v>0</v>
      </c>
      <c r="J478" s="108"/>
      <c r="K478" s="108"/>
      <c r="L478" s="108">
        <v>0</v>
      </c>
      <c r="M478" s="108">
        <v>0</v>
      </c>
    </row>
    <row r="479" spans="2:13" hidden="1" outlineLevel="1">
      <c r="B479" s="76"/>
      <c r="C479" s="482" t="s">
        <v>816</v>
      </c>
      <c r="D479" s="110"/>
      <c r="E479" s="88"/>
      <c r="F479" s="108">
        <v>0</v>
      </c>
      <c r="G479" s="108">
        <v>0</v>
      </c>
      <c r="H479" s="108">
        <v>0</v>
      </c>
      <c r="I479" s="108">
        <v>0</v>
      </c>
      <c r="J479" s="108"/>
      <c r="K479" s="108"/>
      <c r="L479" s="108">
        <v>0</v>
      </c>
      <c r="M479" s="108">
        <v>0</v>
      </c>
    </row>
    <row r="480" spans="2:13" hidden="1" outlineLevel="1">
      <c r="B480" s="76"/>
      <c r="C480" s="482" t="s">
        <v>311</v>
      </c>
      <c r="D480" s="110"/>
      <c r="E480" s="88"/>
      <c r="F480" s="108">
        <v>0</v>
      </c>
      <c r="G480" s="108">
        <v>0</v>
      </c>
      <c r="H480" s="108">
        <v>0</v>
      </c>
      <c r="I480" s="108">
        <v>0</v>
      </c>
      <c r="J480" s="108"/>
      <c r="K480" s="108"/>
      <c r="L480" s="108">
        <v>0</v>
      </c>
      <c r="M480" s="108">
        <v>0</v>
      </c>
    </row>
    <row r="481" spans="1:13" hidden="1" outlineLevel="1">
      <c r="B481" s="155"/>
      <c r="C481" s="95" t="s">
        <v>217</v>
      </c>
      <c r="D481" s="526"/>
      <c r="E481" s="1622"/>
      <c r="F481" s="153">
        <f>SUM(F477:F480)</f>
        <v>0</v>
      </c>
      <c r="G481" s="153">
        <f>SUM(G477:G480)</f>
        <v>0</v>
      </c>
      <c r="H481" s="153">
        <f>SUM(H477:H480)</f>
        <v>0</v>
      </c>
      <c r="I481" s="153">
        <f>SUM(I477:I480)</f>
        <v>0</v>
      </c>
      <c r="J481" s="153"/>
      <c r="K481" s="153"/>
      <c r="L481" s="153">
        <f>SUM(L477:L480)</f>
        <v>0</v>
      </c>
      <c r="M481" s="153">
        <f>SUM(M477:M480)</f>
        <v>0</v>
      </c>
    </row>
    <row r="482" spans="1:13" hidden="1" outlineLevel="1">
      <c r="B482" s="76"/>
      <c r="C482" s="110"/>
      <c r="D482" s="83"/>
      <c r="E482" s="527"/>
      <c r="F482" s="108"/>
      <c r="G482" s="108"/>
      <c r="H482" s="108"/>
      <c r="I482" s="108"/>
      <c r="J482" s="108"/>
      <c r="K482" s="108"/>
      <c r="L482" s="108"/>
      <c r="M482" s="108"/>
    </row>
    <row r="483" spans="1:13" hidden="1" outlineLevel="1">
      <c r="B483" s="111"/>
      <c r="C483" s="483" t="s">
        <v>219</v>
      </c>
      <c r="D483" s="83"/>
      <c r="E483" s="88"/>
      <c r="F483" s="108">
        <f>F465+F470+F481</f>
        <v>0</v>
      </c>
      <c r="G483" s="108">
        <f>G465+G470+G481</f>
        <v>0</v>
      </c>
      <c r="H483" s="108">
        <f>H465+H470+H481</f>
        <v>0</v>
      </c>
      <c r="I483" s="108">
        <f>I465+I470+I481</f>
        <v>0</v>
      </c>
      <c r="J483" s="108"/>
      <c r="K483" s="108"/>
      <c r="L483" s="108">
        <f>L465+L470+L481</f>
        <v>0</v>
      </c>
      <c r="M483" s="108">
        <f>M465+M470+M481</f>
        <v>0</v>
      </c>
    </row>
    <row r="484" spans="1:13" hidden="1" outlineLevel="1">
      <c r="B484" s="111"/>
      <c r="C484" s="110"/>
      <c r="D484" s="83"/>
      <c r="E484" s="527"/>
      <c r="F484" s="108"/>
      <c r="G484" s="108"/>
      <c r="H484" s="108"/>
      <c r="I484" s="108"/>
      <c r="J484" s="108"/>
      <c r="K484" s="108"/>
      <c r="L484" s="108"/>
      <c r="M484" s="108"/>
    </row>
    <row r="485" spans="1:13" hidden="1" outlineLevel="1">
      <c r="B485" s="111"/>
      <c r="C485" s="483" t="s">
        <v>902</v>
      </c>
      <c r="D485" s="110"/>
      <c r="E485" s="88"/>
      <c r="F485" s="108">
        <f>E486</f>
        <v>0</v>
      </c>
      <c r="G485" s="108">
        <f>F486</f>
        <v>0</v>
      </c>
      <c r="H485" s="108">
        <f>G486</f>
        <v>0</v>
      </c>
      <c r="I485" s="108">
        <f>H486</f>
        <v>0</v>
      </c>
      <c r="J485" s="108"/>
      <c r="K485" s="108"/>
      <c r="L485" s="108">
        <f>K486</f>
        <v>0</v>
      </c>
      <c r="M485" s="108">
        <f>I486</f>
        <v>0</v>
      </c>
    </row>
    <row r="486" spans="1:13" hidden="1" outlineLevel="1">
      <c r="B486" s="111"/>
      <c r="C486" s="529" t="s">
        <v>903</v>
      </c>
      <c r="D486" s="472"/>
      <c r="E486" s="498"/>
      <c r="F486" s="120">
        <f>F483+F485</f>
        <v>0</v>
      </c>
      <c r="G486" s="120">
        <f>G483+G485</f>
        <v>0</v>
      </c>
      <c r="H486" s="120">
        <f>H483+H485</f>
        <v>0</v>
      </c>
      <c r="I486" s="120">
        <f>I483+I485</f>
        <v>0</v>
      </c>
      <c r="J486" s="120"/>
      <c r="K486" s="120"/>
      <c r="L486" s="120">
        <f>L483+L485</f>
        <v>0</v>
      </c>
      <c r="M486" s="120">
        <f>M483+M485</f>
        <v>0</v>
      </c>
    </row>
    <row r="487" spans="1:13" hidden="1" outlineLevel="1">
      <c r="B487" s="76"/>
      <c r="C487" s="482"/>
      <c r="D487" s="80"/>
      <c r="E487" s="512"/>
      <c r="F487" s="436"/>
      <c r="G487" s="436"/>
      <c r="H487" s="436"/>
      <c r="I487" s="436"/>
      <c r="J487" s="436"/>
      <c r="K487" s="436"/>
      <c r="L487" s="436"/>
      <c r="M487" s="436"/>
    </row>
    <row r="488" spans="1:13" ht="15.75" hidden="1" customHeight="1" outlineLevel="1">
      <c r="B488" s="91"/>
      <c r="C488" s="546"/>
      <c r="D488" s="546"/>
      <c r="E488" s="547"/>
      <c r="F488" s="136"/>
      <c r="G488" s="136">
        <f>F488+1</f>
        <v>1</v>
      </c>
      <c r="H488" s="136">
        <f>G488+1</f>
        <v>2</v>
      </c>
      <c r="I488" s="136">
        <f>H488+1</f>
        <v>3</v>
      </c>
      <c r="J488" s="136"/>
      <c r="K488" s="136"/>
      <c r="L488" s="136">
        <f>K488+1</f>
        <v>1</v>
      </c>
      <c r="M488" s="136">
        <f>I488+1</f>
        <v>4</v>
      </c>
    </row>
    <row r="489" spans="1:13" ht="15.75" hidden="1" customHeight="1" outlineLevel="1">
      <c r="A489" s="1701" t="s">
        <v>2109</v>
      </c>
      <c r="B489" s="91"/>
      <c r="C489" s="1671" t="s">
        <v>2110</v>
      </c>
      <c r="D489" s="548"/>
      <c r="E489" s="470"/>
      <c r="F489" s="93"/>
      <c r="G489" s="93"/>
      <c r="H489" s="93"/>
      <c r="I489" s="93"/>
      <c r="J489" s="93"/>
      <c r="K489" s="93"/>
      <c r="L489" s="93"/>
      <c r="M489" s="93"/>
    </row>
    <row r="490" spans="1:13" ht="15.75" hidden="1" customHeight="1" outlineLevel="1">
      <c r="B490" s="91"/>
      <c r="C490" s="471"/>
      <c r="D490" s="471"/>
      <c r="E490" s="473"/>
      <c r="F490" s="94"/>
      <c r="G490" s="94" t="s">
        <v>499</v>
      </c>
      <c r="H490" s="94" t="s">
        <v>499</v>
      </c>
      <c r="I490" s="94" t="s">
        <v>499</v>
      </c>
      <c r="J490" s="94"/>
      <c r="K490" s="94"/>
      <c r="L490" s="94" t="s">
        <v>499</v>
      </c>
      <c r="M490" s="94" t="s">
        <v>499</v>
      </c>
    </row>
    <row r="491" spans="1:13" ht="15.75" hidden="1" customHeight="1" outlineLevel="1">
      <c r="B491" s="91"/>
      <c r="C491" s="162"/>
      <c r="D491" s="95"/>
      <c r="E491" s="470"/>
      <c r="F491" s="96"/>
      <c r="G491" s="96"/>
      <c r="H491" s="96"/>
      <c r="I491" s="96"/>
      <c r="J491" s="96"/>
      <c r="K491" s="96"/>
      <c r="L491" s="96"/>
      <c r="M491" s="96"/>
    </row>
    <row r="492" spans="1:13" ht="15.75" hidden="1" customHeight="1" outlineLevel="1">
      <c r="B492" s="91"/>
      <c r="C492" s="162" t="s">
        <v>1221</v>
      </c>
      <c r="D492" s="95"/>
      <c r="E492" s="470"/>
      <c r="F492" s="96"/>
      <c r="G492" s="96"/>
      <c r="H492" s="96">
        <f>H494*H497+H495*H498</f>
        <v>0</v>
      </c>
      <c r="I492" s="96">
        <f>I494*I497+I495*I498</f>
        <v>0</v>
      </c>
      <c r="J492" s="96"/>
      <c r="K492" s="96"/>
      <c r="L492" s="96">
        <f>L494*L497+L495*L498</f>
        <v>0</v>
      </c>
      <c r="M492" s="96">
        <f>M494*M497+M495*M498</f>
        <v>0</v>
      </c>
    </row>
    <row r="493" spans="1:13" ht="15.75" hidden="1" customHeight="1" outlineLevel="1">
      <c r="B493" s="91"/>
      <c r="C493" s="478" t="s">
        <v>873</v>
      </c>
      <c r="D493" s="95"/>
      <c r="E493" s="470"/>
      <c r="F493" s="96"/>
      <c r="G493" s="1685"/>
      <c r="H493" s="1685">
        <f>H397</f>
        <v>18000</v>
      </c>
      <c r="I493" s="1685">
        <f>I397</f>
        <v>17000</v>
      </c>
      <c r="J493" s="1685"/>
      <c r="K493" s="1685"/>
      <c r="L493" s="1685">
        <f>L397</f>
        <v>13500</v>
      </c>
      <c r="M493" s="1685">
        <f>M397</f>
        <v>25000</v>
      </c>
    </row>
    <row r="494" spans="1:13" hidden="1" outlineLevel="1">
      <c r="B494" s="91"/>
      <c r="C494" s="1677" t="s">
        <v>708</v>
      </c>
      <c r="D494" s="95"/>
      <c r="E494" s="470"/>
      <c r="F494" s="96"/>
      <c r="G494" s="1686"/>
      <c r="H494" s="1686">
        <f>H493*(1-1*H503)*H501*(H501*H504)</f>
        <v>48.988800000000012</v>
      </c>
      <c r="I494" s="1686">
        <f>I502*I501*I493*0.7</f>
        <v>32.130000000000003</v>
      </c>
      <c r="J494" s="1686"/>
      <c r="K494" s="1686"/>
      <c r="L494" s="1686">
        <f>L502*L501*L493*0.7</f>
        <v>0</v>
      </c>
      <c r="M494" s="1686">
        <f>M502*M501*M493*0.7</f>
        <v>47.25</v>
      </c>
    </row>
    <row r="495" spans="1:13" hidden="1" outlineLevel="1">
      <c r="B495" s="91"/>
      <c r="C495" s="1677" t="s">
        <v>709</v>
      </c>
      <c r="D495" s="95"/>
      <c r="E495" s="470"/>
      <c r="F495" s="96"/>
      <c r="G495" s="1686"/>
      <c r="H495" s="1686">
        <f>H493*(1-1*H508)*H506*(H506*H509)</f>
        <v>63</v>
      </c>
      <c r="I495" s="1686">
        <f>I506*I507*I493*0.7</f>
        <v>57.11999999999999</v>
      </c>
      <c r="J495" s="1686"/>
      <c r="K495" s="1686"/>
      <c r="L495" s="1686">
        <f>L506*L507*L493*0.7</f>
        <v>0</v>
      </c>
      <c r="M495" s="1686">
        <f>M506*M507*M493*0.7</f>
        <v>83.999999999999986</v>
      </c>
    </row>
    <row r="496" spans="1:13" ht="21" hidden="1" customHeight="1" outlineLevel="1">
      <c r="B496" s="91"/>
      <c r="C496" s="1688" t="s">
        <v>868</v>
      </c>
      <c r="D496" s="95"/>
      <c r="E496" s="470"/>
      <c r="F496" s="96"/>
      <c r="G496" s="1689"/>
      <c r="H496" s="1689">
        <f>H497+H498</f>
        <v>0</v>
      </c>
      <c r="I496" s="1689">
        <f>I497+I498</f>
        <v>0</v>
      </c>
      <c r="J496" s="1689"/>
      <c r="K496" s="1689"/>
      <c r="L496" s="1689">
        <f>L497+L498</f>
        <v>0</v>
      </c>
      <c r="M496" s="1689">
        <f>M497+M498</f>
        <v>0</v>
      </c>
    </row>
    <row r="497" spans="2:13" hidden="1" outlineLevel="1">
      <c r="B497" s="91"/>
      <c r="C497" s="1677" t="s">
        <v>869</v>
      </c>
      <c r="D497" s="95"/>
      <c r="E497" s="470"/>
      <c r="F497" s="96"/>
      <c r="G497" s="1685"/>
      <c r="H497" s="1685">
        <v>0</v>
      </c>
      <c r="I497" s="1685">
        <v>0</v>
      </c>
      <c r="J497" s="1685"/>
      <c r="K497" s="1685"/>
      <c r="L497" s="1685">
        <v>0</v>
      </c>
      <c r="M497" s="1685">
        <v>0</v>
      </c>
    </row>
    <row r="498" spans="2:13" hidden="1" outlineLevel="1">
      <c r="B498" s="91"/>
      <c r="C498" s="1677" t="s">
        <v>1217</v>
      </c>
      <c r="D498" s="95"/>
      <c r="E498" s="470"/>
      <c r="F498" s="96"/>
      <c r="G498" s="1685"/>
      <c r="H498" s="1685">
        <v>0</v>
      </c>
      <c r="I498" s="1685">
        <v>0</v>
      </c>
      <c r="J498" s="1685"/>
      <c r="K498" s="1685"/>
      <c r="L498" s="1685">
        <v>0</v>
      </c>
      <c r="M498" s="1685">
        <v>0</v>
      </c>
    </row>
    <row r="499" spans="2:13" hidden="1" outlineLevel="1">
      <c r="B499" s="91"/>
      <c r="C499" s="1677"/>
      <c r="D499" s="95"/>
      <c r="E499" s="470"/>
      <c r="F499" s="96"/>
      <c r="G499" s="1686"/>
      <c r="H499" s="1686"/>
      <c r="I499" s="1686"/>
      <c r="J499" s="1686"/>
      <c r="K499" s="1686"/>
      <c r="L499" s="1686"/>
      <c r="M499" s="1686"/>
    </row>
    <row r="500" spans="2:13" hidden="1" outlineLevel="1">
      <c r="B500" s="91"/>
      <c r="C500" s="1677" t="s">
        <v>883</v>
      </c>
      <c r="D500" s="95"/>
      <c r="E500" s="470"/>
      <c r="F500" s="96"/>
      <c r="G500" s="96"/>
      <c r="H500" s="96"/>
      <c r="I500" s="96"/>
      <c r="J500" s="96"/>
      <c r="K500" s="96"/>
      <c r="L500" s="96"/>
      <c r="M500" s="96"/>
    </row>
    <row r="501" spans="2:13" hidden="1" outlineLevel="1">
      <c r="B501" s="91"/>
      <c r="C501" s="478" t="s">
        <v>882</v>
      </c>
      <c r="D501" s="95"/>
      <c r="E501" s="470"/>
      <c r="F501" s="96"/>
      <c r="G501" s="1690"/>
      <c r="H501" s="1690">
        <f>1.8%</f>
        <v>1.8000000000000002E-2</v>
      </c>
      <c r="I501" s="1690">
        <f>H501</f>
        <v>1.8000000000000002E-2</v>
      </c>
      <c r="J501" s="1690"/>
      <c r="K501" s="1690"/>
      <c r="L501" s="1690">
        <f>K501</f>
        <v>0</v>
      </c>
      <c r="M501" s="1690">
        <f>I501</f>
        <v>1.8000000000000002E-2</v>
      </c>
    </row>
    <row r="502" spans="2:13" hidden="1" outlineLevel="1">
      <c r="B502" s="91"/>
      <c r="C502" s="478" t="s">
        <v>706</v>
      </c>
      <c r="D502" s="95"/>
      <c r="E502" s="470"/>
      <c r="F502" s="96"/>
      <c r="G502" s="1690"/>
      <c r="H502" s="1690">
        <v>0.15</v>
      </c>
      <c r="I502" s="1690">
        <v>0.15</v>
      </c>
      <c r="J502" s="1690"/>
      <c r="K502" s="1690"/>
      <c r="L502" s="1690">
        <v>0.15</v>
      </c>
      <c r="M502" s="1690">
        <v>0.15</v>
      </c>
    </row>
    <row r="503" spans="2:13" hidden="1" outlineLevel="1">
      <c r="B503" s="91"/>
      <c r="C503" s="478" t="s">
        <v>707</v>
      </c>
      <c r="D503" s="95"/>
      <c r="E503" s="470"/>
      <c r="F503" s="96"/>
      <c r="G503" s="1690"/>
      <c r="H503" s="1690">
        <v>0.3</v>
      </c>
      <c r="I503" s="1690">
        <v>0.3</v>
      </c>
      <c r="J503" s="1690"/>
      <c r="K503" s="1690"/>
      <c r="L503" s="1690">
        <v>0.3</v>
      </c>
      <c r="M503" s="1690">
        <v>0.3</v>
      </c>
    </row>
    <row r="504" spans="2:13" hidden="1" outlineLevel="1">
      <c r="B504" s="91"/>
      <c r="C504" s="478" t="s">
        <v>1214</v>
      </c>
      <c r="D504" s="95"/>
      <c r="E504" s="470"/>
      <c r="F504" s="96"/>
      <c r="G504" s="1690"/>
      <c r="H504" s="1685">
        <v>12</v>
      </c>
      <c r="I504" s="1685">
        <v>12</v>
      </c>
      <c r="J504" s="1685"/>
      <c r="K504" s="1685"/>
      <c r="L504" s="1685">
        <v>12</v>
      </c>
      <c r="M504" s="1685">
        <v>12</v>
      </c>
    </row>
    <row r="505" spans="2:13" hidden="1" outlineLevel="1">
      <c r="B505" s="91"/>
      <c r="C505" s="1677" t="s">
        <v>885</v>
      </c>
      <c r="D505" s="95"/>
      <c r="E505" s="470"/>
      <c r="F505" s="96"/>
      <c r="G505" s="96"/>
      <c r="H505" s="96"/>
      <c r="I505" s="96"/>
      <c r="J505" s="96"/>
      <c r="K505" s="96"/>
      <c r="L505" s="96"/>
      <c r="M505" s="96"/>
    </row>
    <row r="506" spans="2:13" hidden="1" outlineLevel="1">
      <c r="B506" s="91"/>
      <c r="C506" s="478" t="s">
        <v>882</v>
      </c>
      <c r="D506" s="95"/>
      <c r="E506" s="470"/>
      <c r="F506" s="96"/>
      <c r="G506" s="1690"/>
      <c r="H506" s="1690">
        <v>0.02</v>
      </c>
      <c r="I506" s="1690">
        <f>H506</f>
        <v>0.02</v>
      </c>
      <c r="J506" s="1690"/>
      <c r="K506" s="1690"/>
      <c r="L506" s="1690">
        <f>K506</f>
        <v>0</v>
      </c>
      <c r="M506" s="1690">
        <f>I506</f>
        <v>0.02</v>
      </c>
    </row>
    <row r="507" spans="2:13" hidden="1" outlineLevel="1">
      <c r="B507" s="91"/>
      <c r="C507" s="478" t="s">
        <v>706</v>
      </c>
      <c r="D507" s="95"/>
      <c r="E507" s="470"/>
      <c r="F507" s="96"/>
      <c r="G507" s="1690"/>
      <c r="H507" s="1690">
        <v>0.24</v>
      </c>
      <c r="I507" s="1690">
        <v>0.24</v>
      </c>
      <c r="J507" s="1690"/>
      <c r="K507" s="1690"/>
      <c r="L507" s="1690">
        <v>0.24</v>
      </c>
      <c r="M507" s="1690">
        <v>0.24</v>
      </c>
    </row>
    <row r="508" spans="2:13" hidden="1" outlineLevel="1">
      <c r="B508" s="91"/>
      <c r="C508" s="478" t="s">
        <v>707</v>
      </c>
      <c r="D508" s="95"/>
      <c r="E508" s="470"/>
      <c r="F508" s="96"/>
      <c r="G508" s="1690"/>
      <c r="H508" s="1690">
        <v>0.3</v>
      </c>
      <c r="I508" s="1690">
        <v>0.3</v>
      </c>
      <c r="J508" s="1690"/>
      <c r="K508" s="1690"/>
      <c r="L508" s="1690">
        <v>0.3</v>
      </c>
      <c r="M508" s="1690">
        <v>0.3</v>
      </c>
    </row>
    <row r="509" spans="2:13" hidden="1" outlineLevel="1">
      <c r="B509" s="91"/>
      <c r="C509" s="478" t="s">
        <v>1214</v>
      </c>
      <c r="D509" s="95"/>
      <c r="E509" s="470"/>
      <c r="F509" s="96"/>
      <c r="G509" s="1690"/>
      <c r="H509" s="1685">
        <v>12.5</v>
      </c>
      <c r="I509" s="1685">
        <f>H509</f>
        <v>12.5</v>
      </c>
      <c r="J509" s="1685"/>
      <c r="K509" s="1685"/>
      <c r="L509" s="1685">
        <f>K509</f>
        <v>0</v>
      </c>
      <c r="M509" s="1685">
        <f>I509</f>
        <v>12.5</v>
      </c>
    </row>
    <row r="510" spans="2:13" hidden="1" outlineLevel="1">
      <c r="B510" s="91"/>
      <c r="C510" s="1677" t="s">
        <v>868</v>
      </c>
      <c r="D510" s="95"/>
      <c r="E510" s="470"/>
      <c r="F510" s="82"/>
      <c r="G510" s="82"/>
      <c r="H510" s="82">
        <f>H511+H512</f>
        <v>0</v>
      </c>
      <c r="I510" s="82">
        <f>I511+I512</f>
        <v>0</v>
      </c>
      <c r="J510" s="82"/>
      <c r="K510" s="82"/>
      <c r="L510" s="82">
        <f>L511+L512</f>
        <v>0</v>
      </c>
      <c r="M510" s="82">
        <f>M511+M512</f>
        <v>0</v>
      </c>
    </row>
    <row r="511" spans="2:13" hidden="1" outlineLevel="1">
      <c r="B511" s="91"/>
      <c r="C511" s="1677" t="s">
        <v>869</v>
      </c>
      <c r="D511" s="95"/>
      <c r="E511" s="470"/>
      <c r="F511" s="82"/>
      <c r="G511" s="82"/>
      <c r="H511" s="82">
        <f>H497*H501</f>
        <v>0</v>
      </c>
      <c r="I511" s="82">
        <f>I497*I501</f>
        <v>0</v>
      </c>
      <c r="J511" s="82"/>
      <c r="K511" s="82"/>
      <c r="L511" s="82">
        <f>L497*L501</f>
        <v>0</v>
      </c>
      <c r="M511" s="82">
        <f>M497*M501</f>
        <v>0</v>
      </c>
    </row>
    <row r="512" spans="2:13" hidden="1" outlineLevel="1">
      <c r="B512" s="91"/>
      <c r="C512" s="1677" t="s">
        <v>870</v>
      </c>
      <c r="D512" s="95"/>
      <c r="E512" s="470"/>
      <c r="F512" s="82"/>
      <c r="G512" s="82"/>
      <c r="H512" s="82">
        <f>H498*H506</f>
        <v>0</v>
      </c>
      <c r="I512" s="82">
        <f>I498*I506</f>
        <v>0</v>
      </c>
      <c r="J512" s="82"/>
      <c r="K512" s="82"/>
      <c r="L512" s="82">
        <f>L498*L506</f>
        <v>0</v>
      </c>
      <c r="M512" s="82">
        <f>M498*M506</f>
        <v>0</v>
      </c>
    </row>
    <row r="513" spans="1:13" hidden="1" outlineLevel="1">
      <c r="B513" s="91"/>
      <c r="C513" s="1677" t="s">
        <v>704</v>
      </c>
      <c r="D513" s="95"/>
      <c r="E513" s="470"/>
      <c r="F513" s="82"/>
      <c r="G513" s="82"/>
      <c r="H513" s="82">
        <v>3</v>
      </c>
      <c r="I513" s="82">
        <f>H513</f>
        <v>3</v>
      </c>
      <c r="J513" s="82"/>
      <c r="K513" s="82"/>
      <c r="L513" s="82">
        <f>K513</f>
        <v>0</v>
      </c>
      <c r="M513" s="82">
        <f>I513</f>
        <v>3</v>
      </c>
    </row>
    <row r="514" spans="1:13" hidden="1" outlineLevel="1">
      <c r="B514" s="91"/>
      <c r="C514" s="1677" t="s">
        <v>705</v>
      </c>
      <c r="D514" s="95"/>
      <c r="E514" s="470"/>
      <c r="F514" s="82"/>
      <c r="G514" s="82"/>
      <c r="H514" s="82">
        <f>H510*H513</f>
        <v>0</v>
      </c>
      <c r="I514" s="82">
        <f>I510*I513</f>
        <v>0</v>
      </c>
      <c r="J514" s="82"/>
      <c r="K514" s="82"/>
      <c r="L514" s="82">
        <f>L510*L513</f>
        <v>0</v>
      </c>
      <c r="M514" s="82">
        <f>M510*M513</f>
        <v>0</v>
      </c>
    </row>
    <row r="515" spans="1:13" hidden="1" outlineLevel="1">
      <c r="B515" s="91"/>
      <c r="C515" s="1677" t="s">
        <v>872</v>
      </c>
      <c r="D515" s="95"/>
      <c r="E515" s="470"/>
      <c r="F515" s="82"/>
      <c r="G515" s="82"/>
      <c r="H515" s="82">
        <v>16</v>
      </c>
      <c r="I515" s="82">
        <f>H515</f>
        <v>16</v>
      </c>
      <c r="J515" s="82"/>
      <c r="K515" s="82"/>
      <c r="L515" s="82">
        <f>K515</f>
        <v>0</v>
      </c>
      <c r="M515" s="82">
        <f>I515</f>
        <v>16</v>
      </c>
    </row>
    <row r="516" spans="1:13" hidden="1" outlineLevel="1">
      <c r="B516" s="91"/>
      <c r="C516" s="1677" t="s">
        <v>871</v>
      </c>
      <c r="D516" s="95"/>
      <c r="E516" s="1622"/>
      <c r="F516" s="1692"/>
      <c r="G516" s="705"/>
      <c r="H516" s="705">
        <v>1</v>
      </c>
      <c r="I516" s="705">
        <f>H516</f>
        <v>1</v>
      </c>
      <c r="J516" s="705"/>
      <c r="K516" s="705"/>
      <c r="L516" s="705">
        <f>K516</f>
        <v>0</v>
      </c>
      <c r="M516" s="705">
        <f>I516</f>
        <v>1</v>
      </c>
    </row>
    <row r="517" spans="1:13" ht="15" hidden="1" outlineLevel="1">
      <c r="B517" s="159"/>
      <c r="C517" s="467"/>
      <c r="D517" s="468"/>
      <c r="E517" s="466"/>
      <c r="F517" s="421"/>
      <c r="G517" s="421"/>
      <c r="H517" s="421"/>
      <c r="I517" s="421"/>
      <c r="J517" s="421"/>
      <c r="K517" s="421"/>
      <c r="L517" s="421"/>
      <c r="M517" s="421"/>
    </row>
    <row r="518" spans="1:13" ht="15" hidden="1" outlineLevel="1">
      <c r="A518" s="1701" t="str">
        <f>A489</f>
        <v>LP</v>
      </c>
      <c r="B518" s="159"/>
      <c r="C518" s="1671"/>
      <c r="D518" s="546"/>
      <c r="E518" s="557"/>
      <c r="F518" s="92"/>
      <c r="G518" s="92">
        <f t="shared" ref="G518:M518" si="145">G488</f>
        <v>1</v>
      </c>
      <c r="H518" s="92">
        <f t="shared" si="145"/>
        <v>2</v>
      </c>
      <c r="I518" s="92">
        <f t="shared" si="145"/>
        <v>3</v>
      </c>
      <c r="J518" s="92"/>
      <c r="K518" s="92"/>
      <c r="L518" s="92">
        <f>L488</f>
        <v>1</v>
      </c>
      <c r="M518" s="92">
        <f t="shared" si="145"/>
        <v>4</v>
      </c>
    </row>
    <row r="519" spans="1:13" ht="15" hidden="1" outlineLevel="1">
      <c r="B519" s="159"/>
      <c r="C519" s="548" t="s">
        <v>2110</v>
      </c>
      <c r="D519" s="548"/>
      <c r="E519" s="489"/>
      <c r="F519" s="93"/>
      <c r="G519" s="93"/>
      <c r="H519" s="93"/>
      <c r="I519" s="93"/>
      <c r="J519" s="93"/>
      <c r="K519" s="93"/>
      <c r="L519" s="93"/>
      <c r="M519" s="93"/>
    </row>
    <row r="520" spans="1:13" ht="15" hidden="1" outlineLevel="1">
      <c r="B520" s="159"/>
      <c r="C520" s="467" t="s">
        <v>888</v>
      </c>
      <c r="D520" s="471"/>
      <c r="E520" s="490"/>
      <c r="F520" s="94"/>
      <c r="G520" s="94" t="s">
        <v>499</v>
      </c>
      <c r="H520" s="94" t="s">
        <v>499</v>
      </c>
      <c r="I520" s="94" t="s">
        <v>499</v>
      </c>
      <c r="J520" s="94"/>
      <c r="K520" s="94"/>
      <c r="L520" s="94" t="s">
        <v>499</v>
      </c>
      <c r="M520" s="94" t="s">
        <v>499</v>
      </c>
    </row>
    <row r="521" spans="1:13" ht="15" hidden="1" outlineLevel="1">
      <c r="B521" s="159"/>
      <c r="C521" s="95"/>
      <c r="D521" s="95"/>
      <c r="E521" s="491"/>
      <c r="F521" s="144"/>
      <c r="G521" s="144"/>
      <c r="H521" s="144"/>
      <c r="I521" s="144"/>
      <c r="J521" s="144"/>
      <c r="K521" s="144"/>
      <c r="L521" s="144"/>
      <c r="M521" s="144"/>
    </row>
    <row r="522" spans="1:13" ht="15" hidden="1" outlineLevel="1">
      <c r="B522" s="161"/>
      <c r="C522" s="1702" t="s">
        <v>874</v>
      </c>
      <c r="D522" s="1703"/>
      <c r="E522" s="1704"/>
      <c r="F522" s="1705"/>
      <c r="G522" s="1705"/>
      <c r="H522" s="1705">
        <v>22.576910714792472</v>
      </c>
      <c r="I522" s="1705">
        <f>H522</f>
        <v>22.576910714792472</v>
      </c>
      <c r="J522" s="1705"/>
      <c r="K522" s="1705"/>
      <c r="L522" s="1705">
        <f>K522</f>
        <v>0</v>
      </c>
      <c r="M522" s="1705">
        <f>I522</f>
        <v>22.576910714792472</v>
      </c>
    </row>
    <row r="523" spans="1:13" ht="15" hidden="1" outlineLevel="1">
      <c r="B523" s="159"/>
      <c r="C523" s="1702" t="s">
        <v>875</v>
      </c>
      <c r="D523" s="1706"/>
      <c r="E523" s="1707"/>
      <c r="F523" s="1708"/>
      <c r="G523" s="1709"/>
      <c r="H523" s="1709">
        <v>0.04</v>
      </c>
      <c r="I523" s="1709">
        <f>H523</f>
        <v>0.04</v>
      </c>
      <c r="J523" s="1709"/>
      <c r="K523" s="1709"/>
      <c r="L523" s="1709">
        <f>K523</f>
        <v>0</v>
      </c>
      <c r="M523" s="1709">
        <f>I523</f>
        <v>0.04</v>
      </c>
    </row>
    <row r="524" spans="1:13" ht="15" hidden="1" outlineLevel="1">
      <c r="B524" s="159"/>
      <c r="C524" s="1702" t="s">
        <v>886</v>
      </c>
      <c r="D524" s="1706"/>
      <c r="E524" s="1707"/>
      <c r="F524" s="1708"/>
      <c r="G524" s="1709"/>
      <c r="H524" s="1709">
        <v>0.05</v>
      </c>
      <c r="I524" s="1709">
        <f>H524</f>
        <v>0.05</v>
      </c>
      <c r="J524" s="1709"/>
      <c r="K524" s="1709"/>
      <c r="L524" s="1709">
        <f>K524</f>
        <v>0</v>
      </c>
      <c r="M524" s="1709">
        <f>I524</f>
        <v>0.05</v>
      </c>
    </row>
    <row r="525" spans="1:13" ht="15" hidden="1" outlineLevel="1">
      <c r="A525" s="848"/>
      <c r="B525" s="849"/>
      <c r="C525" s="850" t="s">
        <v>877</v>
      </c>
      <c r="D525" s="648"/>
      <c r="E525" s="1695"/>
      <c r="F525" s="1696"/>
      <c r="G525" s="1697"/>
      <c r="H525" s="1697">
        <f>H522+H523*H494</f>
        <v>24.536462714792474</v>
      </c>
      <c r="I525" s="1697">
        <f>I522+I523*I494</f>
        <v>23.862110714792472</v>
      </c>
      <c r="J525" s="1697"/>
      <c r="K525" s="1697"/>
      <c r="L525" s="1697">
        <f>L522+L523*L494</f>
        <v>0</v>
      </c>
      <c r="M525" s="1697">
        <f>M522+M523*M494</f>
        <v>24.466910714792473</v>
      </c>
    </row>
    <row r="526" spans="1:13" ht="15" hidden="1" outlineLevel="1">
      <c r="A526" s="848"/>
      <c r="B526" s="849"/>
      <c r="C526" s="850" t="s">
        <v>1218</v>
      </c>
      <c r="D526" s="648"/>
      <c r="E526" s="1695"/>
      <c r="F526" s="1696"/>
      <c r="G526" s="1697"/>
      <c r="H526" s="1697">
        <f>H522+H524*H495</f>
        <v>25.726910714792474</v>
      </c>
      <c r="I526" s="1697">
        <f>I522+I524*I495</f>
        <v>25.43291071479247</v>
      </c>
      <c r="J526" s="1697"/>
      <c r="K526" s="1697"/>
      <c r="L526" s="1697">
        <f>L522+L524*L495</f>
        <v>0</v>
      </c>
      <c r="M526" s="1697">
        <f>M522+M524*M495</f>
        <v>26.776910714792471</v>
      </c>
    </row>
    <row r="527" spans="1:13" ht="15" hidden="1" outlineLevel="1">
      <c r="B527" s="159"/>
      <c r="C527" s="164"/>
      <c r="D527" s="76"/>
      <c r="E527" s="492"/>
      <c r="F527" s="146"/>
      <c r="G527" s="1693"/>
      <c r="H527" s="1693"/>
      <c r="I527" s="1693"/>
      <c r="J527" s="1693"/>
      <c r="K527" s="1693"/>
      <c r="L527" s="1693"/>
      <c r="M527" s="1693"/>
    </row>
    <row r="528" spans="1:13" ht="15" hidden="1" outlineLevel="1">
      <c r="B528" s="159"/>
      <c r="C528" s="164" t="s">
        <v>879</v>
      </c>
      <c r="D528" s="76"/>
      <c r="E528" s="492"/>
      <c r="F528" s="146"/>
      <c r="G528" s="1699"/>
      <c r="H528" s="1699">
        <f t="shared" ref="H528:M529" si="146">H525*H497</f>
        <v>0</v>
      </c>
      <c r="I528" s="1699">
        <f t="shared" si="146"/>
        <v>0</v>
      </c>
      <c r="J528" s="1699"/>
      <c r="K528" s="1699"/>
      <c r="L528" s="1699">
        <f>L525*L497</f>
        <v>0</v>
      </c>
      <c r="M528" s="1699">
        <f t="shared" si="146"/>
        <v>0</v>
      </c>
    </row>
    <row r="529" spans="2:13" ht="15" hidden="1" outlineLevel="1">
      <c r="B529" s="159"/>
      <c r="C529" s="164" t="s">
        <v>887</v>
      </c>
      <c r="D529" s="100"/>
      <c r="E529" s="492"/>
      <c r="F529" s="560"/>
      <c r="G529" s="1699"/>
      <c r="H529" s="1699">
        <f t="shared" si="146"/>
        <v>0</v>
      </c>
      <c r="I529" s="1699">
        <f t="shared" si="146"/>
        <v>0</v>
      </c>
      <c r="J529" s="1699"/>
      <c r="K529" s="1699"/>
      <c r="L529" s="1699">
        <f>L526*L498</f>
        <v>0</v>
      </c>
      <c r="M529" s="1699">
        <f t="shared" si="146"/>
        <v>0</v>
      </c>
    </row>
    <row r="530" spans="2:13" ht="15" hidden="1" outlineLevel="1">
      <c r="B530" s="159"/>
      <c r="C530" s="703" t="s">
        <v>881</v>
      </c>
      <c r="D530" s="100"/>
      <c r="E530" s="492"/>
      <c r="F530" s="560"/>
      <c r="G530" s="1700"/>
      <c r="H530" s="551">
        <f>H143</f>
        <v>0.35</v>
      </c>
      <c r="I530" s="551">
        <f>I143</f>
        <v>0.35</v>
      </c>
      <c r="J530" s="551"/>
      <c r="K530" s="551"/>
      <c r="L530" s="551">
        <f t="shared" ref="L530:M530" si="147">L143</f>
        <v>0.35</v>
      </c>
      <c r="M530" s="551">
        <f t="shared" si="147"/>
        <v>0.35</v>
      </c>
    </row>
    <row r="531" spans="2:13" ht="15" hidden="1" outlineLevel="1">
      <c r="B531" s="159"/>
      <c r="C531" s="703" t="s">
        <v>1215</v>
      </c>
      <c r="D531" s="81"/>
      <c r="E531" s="466"/>
      <c r="F531" s="421"/>
      <c r="G531" s="421"/>
      <c r="H531" s="1699">
        <v>40</v>
      </c>
      <c r="I531" s="1699">
        <f>H531</f>
        <v>40</v>
      </c>
      <c r="J531" s="1699"/>
      <c r="K531" s="1699"/>
      <c r="L531" s="1699">
        <f>K531</f>
        <v>0</v>
      </c>
      <c r="M531" s="1699">
        <f>I531</f>
        <v>40</v>
      </c>
    </row>
    <row r="532" spans="2:13" ht="15" hidden="1" outlineLevel="1">
      <c r="B532" s="159"/>
      <c r="C532" s="703" t="s">
        <v>1216</v>
      </c>
      <c r="D532" s="468"/>
      <c r="E532" s="466"/>
      <c r="F532" s="421"/>
      <c r="G532" s="421"/>
      <c r="H532" s="1699">
        <v>40</v>
      </c>
      <c r="I532" s="1699">
        <f>H532</f>
        <v>40</v>
      </c>
      <c r="J532" s="1699"/>
      <c r="K532" s="1699"/>
      <c r="L532" s="1699">
        <f>K532</f>
        <v>0</v>
      </c>
      <c r="M532" s="1699">
        <f>I532</f>
        <v>40</v>
      </c>
    </row>
    <row r="533" spans="2:13" ht="15" hidden="1" outlineLevel="1">
      <c r="B533" s="159"/>
      <c r="C533" s="546"/>
      <c r="D533" s="546"/>
      <c r="E533" s="547"/>
      <c r="F533" s="136"/>
      <c r="G533" s="136">
        <f t="shared" ref="G533:M533" si="148">G488</f>
        <v>1</v>
      </c>
      <c r="H533" s="136">
        <f t="shared" si="148"/>
        <v>2</v>
      </c>
      <c r="I533" s="136">
        <f t="shared" si="148"/>
        <v>3</v>
      </c>
      <c r="J533" s="136"/>
      <c r="K533" s="136"/>
      <c r="L533" s="136">
        <f>L488</f>
        <v>1</v>
      </c>
      <c r="M533" s="136">
        <f t="shared" si="148"/>
        <v>4</v>
      </c>
    </row>
    <row r="534" spans="2:13" ht="15" hidden="1" outlineLevel="1">
      <c r="B534" s="159"/>
      <c r="C534" s="1671" t="s">
        <v>2111</v>
      </c>
      <c r="D534" s="548"/>
      <c r="E534" s="470"/>
      <c r="F534" s="93"/>
      <c r="G534" s="93"/>
      <c r="H534" s="93"/>
      <c r="I534" s="93"/>
      <c r="J534" s="93"/>
      <c r="K534" s="93"/>
      <c r="L534" s="93"/>
      <c r="M534" s="93"/>
    </row>
    <row r="535" spans="2:13" ht="15" hidden="1" outlineLevel="1">
      <c r="B535" s="159"/>
      <c r="C535" s="471"/>
      <c r="D535" s="471"/>
      <c r="E535" s="473"/>
      <c r="F535" s="99"/>
      <c r="G535" s="99" t="s">
        <v>499</v>
      </c>
      <c r="H535" s="99" t="s">
        <v>499</v>
      </c>
      <c r="I535" s="99" t="s">
        <v>499</v>
      </c>
      <c r="J535" s="99"/>
      <c r="K535" s="99"/>
      <c r="L535" s="99" t="s">
        <v>499</v>
      </c>
      <c r="M535" s="99" t="s">
        <v>499</v>
      </c>
    </row>
    <row r="536" spans="2:13" hidden="1" outlineLevel="1">
      <c r="B536" s="88" t="s">
        <v>522</v>
      </c>
      <c r="C536" s="110" t="s">
        <v>183</v>
      </c>
      <c r="D536" s="114"/>
      <c r="E536" s="88"/>
      <c r="F536" s="82"/>
      <c r="G536" s="82">
        <f>G492</f>
        <v>0</v>
      </c>
      <c r="H536" s="82">
        <f>H492*H516</f>
        <v>0</v>
      </c>
      <c r="I536" s="82">
        <f>I492*I516</f>
        <v>0</v>
      </c>
      <c r="J536" s="82"/>
      <c r="K536" s="82"/>
      <c r="L536" s="82">
        <f>L492*L516</f>
        <v>0</v>
      </c>
      <c r="M536" s="82">
        <f>M492*M516</f>
        <v>0</v>
      </c>
    </row>
    <row r="537" spans="2:13" hidden="1" outlineLevel="1">
      <c r="B537" s="88" t="s">
        <v>523</v>
      </c>
      <c r="C537" s="110" t="s">
        <v>191</v>
      </c>
      <c r="D537" s="114"/>
      <c r="E537" s="88"/>
      <c r="F537" s="82"/>
      <c r="G537" s="82">
        <f>-(G528+G529)</f>
        <v>0</v>
      </c>
      <c r="H537" s="82">
        <f>-(H528+H529)*H516</f>
        <v>0</v>
      </c>
      <c r="I537" s="82">
        <f>-(I528+I529)*I516</f>
        <v>0</v>
      </c>
      <c r="J537" s="82"/>
      <c r="K537" s="82"/>
      <c r="L537" s="82">
        <f>-(L528+L529)*L516</f>
        <v>0</v>
      </c>
      <c r="M537" s="82">
        <f>-(M528+M529)*M516</f>
        <v>0</v>
      </c>
    </row>
    <row r="538" spans="2:13" hidden="1" outlineLevel="1">
      <c r="B538" s="88" t="s">
        <v>524</v>
      </c>
      <c r="C538" s="110" t="s">
        <v>185</v>
      </c>
      <c r="D538" s="100"/>
      <c r="E538" s="88"/>
      <c r="F538" s="79"/>
      <c r="G538" s="79">
        <f>SUM(G536:G537)</f>
        <v>0</v>
      </c>
      <c r="H538" s="79">
        <f>SUM(H536:H537)</f>
        <v>0</v>
      </c>
      <c r="I538" s="79">
        <f>SUM(I536:I537)</f>
        <v>0</v>
      </c>
      <c r="J538" s="79"/>
      <c r="K538" s="79"/>
      <c r="L538" s="79">
        <f>SUM(L536:L537)</f>
        <v>0</v>
      </c>
      <c r="M538" s="79">
        <f>SUM(M536:M537)</f>
        <v>0</v>
      </c>
    </row>
    <row r="539" spans="2:13" hidden="1" outlineLevel="1">
      <c r="B539" s="88" t="s">
        <v>524</v>
      </c>
      <c r="C539" s="110" t="s">
        <v>363</v>
      </c>
      <c r="D539" s="114"/>
      <c r="E539" s="88"/>
      <c r="F539" s="79"/>
      <c r="G539" s="79">
        <f>G538</f>
        <v>0</v>
      </c>
      <c r="H539" s="79">
        <f>H538</f>
        <v>0</v>
      </c>
      <c r="I539" s="79">
        <f>I538</f>
        <v>0</v>
      </c>
      <c r="J539" s="79"/>
      <c r="K539" s="79"/>
      <c r="L539" s="79">
        <f>L538</f>
        <v>0</v>
      </c>
      <c r="M539" s="79">
        <f>M538</f>
        <v>0</v>
      </c>
    </row>
    <row r="540" spans="2:13" hidden="1" outlineLevel="1">
      <c r="B540" s="88" t="s">
        <v>523</v>
      </c>
      <c r="C540" s="482" t="s">
        <v>194</v>
      </c>
      <c r="D540" s="114"/>
      <c r="E540" s="88"/>
      <c r="F540" s="79"/>
      <c r="G540" s="79">
        <v>0</v>
      </c>
      <c r="H540" s="79">
        <v>0</v>
      </c>
      <c r="I540" s="79">
        <v>0</v>
      </c>
      <c r="J540" s="79"/>
      <c r="K540" s="79"/>
      <c r="L540" s="79">
        <v>0</v>
      </c>
      <c r="M540" s="79">
        <v>0</v>
      </c>
    </row>
    <row r="541" spans="2:13" hidden="1" outlineLevel="1">
      <c r="B541" s="88" t="s">
        <v>525</v>
      </c>
      <c r="C541" s="482" t="s">
        <v>187</v>
      </c>
      <c r="D541" s="114"/>
      <c r="E541" s="88"/>
      <c r="F541" s="79"/>
      <c r="G541" s="79">
        <v>0</v>
      </c>
      <c r="H541" s="79">
        <v>0</v>
      </c>
      <c r="I541" s="79">
        <v>0</v>
      </c>
      <c r="J541" s="79"/>
      <c r="K541" s="79"/>
      <c r="L541" s="79">
        <v>0</v>
      </c>
      <c r="M541" s="79">
        <v>0</v>
      </c>
    </row>
    <row r="542" spans="2:13" hidden="1" outlineLevel="1">
      <c r="B542" s="88"/>
      <c r="C542" s="356" t="s">
        <v>195</v>
      </c>
      <c r="D542" s="114"/>
      <c r="E542" s="88"/>
      <c r="F542" s="79"/>
      <c r="G542" s="100">
        <v>0</v>
      </c>
      <c r="H542" s="100"/>
      <c r="I542" s="100"/>
      <c r="J542" s="100"/>
      <c r="K542" s="100"/>
      <c r="L542" s="100"/>
      <c r="M542" s="100"/>
    </row>
    <row r="543" spans="2:13" hidden="1" outlineLevel="1">
      <c r="B543" s="88" t="s">
        <v>524</v>
      </c>
      <c r="C543" s="110" t="s">
        <v>188</v>
      </c>
      <c r="D543" s="114"/>
      <c r="E543" s="88"/>
      <c r="F543" s="79"/>
      <c r="G543" s="79">
        <f>SUM(G539:G542)</f>
        <v>0</v>
      </c>
      <c r="H543" s="79">
        <f>SUM(H539:H542)</f>
        <v>0</v>
      </c>
      <c r="I543" s="79">
        <f>SUM(I539:I542)</f>
        <v>0</v>
      </c>
      <c r="J543" s="79"/>
      <c r="K543" s="79"/>
      <c r="L543" s="79">
        <f>SUM(L539:L542)</f>
        <v>0</v>
      </c>
      <c r="M543" s="79">
        <f>SUM(M539:M542)</f>
        <v>0</v>
      </c>
    </row>
    <row r="544" spans="2:13" hidden="1" outlineLevel="1">
      <c r="B544" s="88" t="s">
        <v>523</v>
      </c>
      <c r="C544" s="110" t="s">
        <v>189</v>
      </c>
      <c r="D544" s="100"/>
      <c r="E544" s="88"/>
      <c r="F544" s="79"/>
      <c r="G544" s="79">
        <f>-G543*G530</f>
        <v>0</v>
      </c>
      <c r="H544" s="79">
        <f>-((H532-H525)*H497+H498*(H532-H526))*H530</f>
        <v>0</v>
      </c>
      <c r="I544" s="79">
        <f>-((I532-I525)*I497+I498*(I532-I526))*I530</f>
        <v>0</v>
      </c>
      <c r="J544" s="79"/>
      <c r="K544" s="79"/>
      <c r="L544" s="79">
        <f>-((L532-L525)*L497+L498*(L532-L526))*L530</f>
        <v>0</v>
      </c>
      <c r="M544" s="79">
        <f>-((M532-M525)*M497+M498*(M532-M526))*M530</f>
        <v>0</v>
      </c>
    </row>
    <row r="545" spans="2:13" hidden="1" outlineLevel="1">
      <c r="B545" s="88" t="s">
        <v>524</v>
      </c>
      <c r="C545" s="110" t="s">
        <v>190</v>
      </c>
      <c r="D545" s="100"/>
      <c r="E545" s="88"/>
      <c r="F545" s="79"/>
      <c r="G545" s="79">
        <f>SUM(G543:G544)</f>
        <v>0</v>
      </c>
      <c r="H545" s="79">
        <f>SUM(H543:H544)</f>
        <v>0</v>
      </c>
      <c r="I545" s="79">
        <f>SUM(I543:I544)</f>
        <v>0</v>
      </c>
      <c r="J545" s="79"/>
      <c r="K545" s="79"/>
      <c r="L545" s="79">
        <f>SUM(L543:L544)</f>
        <v>0</v>
      </c>
      <c r="M545" s="79">
        <f>SUM(M543:M544)</f>
        <v>0</v>
      </c>
    </row>
    <row r="546" spans="2:13" hidden="1" outlineLevel="1">
      <c r="B546" s="88"/>
      <c r="C546" s="110"/>
      <c r="D546" s="100"/>
      <c r="E546" s="88"/>
      <c r="F546" s="100"/>
      <c r="G546" s="100"/>
      <c r="H546" s="100"/>
      <c r="I546" s="100"/>
      <c r="J546" s="100"/>
      <c r="K546" s="100"/>
      <c r="L546" s="100"/>
      <c r="M546" s="100"/>
    </row>
    <row r="547" spans="2:13" hidden="1" outlineLevel="1">
      <c r="B547" s="76"/>
      <c r="C547" s="501"/>
      <c r="D547" s="106"/>
      <c r="E547" s="502"/>
      <c r="F547" s="136"/>
      <c r="G547" s="136">
        <f t="shared" ref="G547:M547" si="149">G488</f>
        <v>1</v>
      </c>
      <c r="H547" s="136">
        <f t="shared" si="149"/>
        <v>2</v>
      </c>
      <c r="I547" s="136">
        <f t="shared" si="149"/>
        <v>3</v>
      </c>
      <c r="J547" s="136"/>
      <c r="K547" s="136"/>
      <c r="L547" s="136">
        <f>L488</f>
        <v>1</v>
      </c>
      <c r="M547" s="136">
        <f t="shared" si="149"/>
        <v>4</v>
      </c>
    </row>
    <row r="548" spans="2:13" ht="15" hidden="1" outlineLevel="1">
      <c r="B548" s="76"/>
      <c r="C548" s="1671" t="s">
        <v>2112</v>
      </c>
      <c r="D548" s="469"/>
      <c r="E548" s="470"/>
      <c r="F548" s="93"/>
      <c r="G548" s="93"/>
      <c r="H548" s="93"/>
      <c r="I548" s="93"/>
      <c r="J548" s="93"/>
      <c r="K548" s="93"/>
      <c r="L548" s="93"/>
      <c r="M548" s="93"/>
    </row>
    <row r="549" spans="2:13" hidden="1" outlineLevel="1">
      <c r="B549" s="76"/>
      <c r="C549" s="505"/>
      <c r="D549" s="506"/>
      <c r="E549" s="473"/>
      <c r="F549" s="112"/>
      <c r="G549" s="112" t="s">
        <v>499</v>
      </c>
      <c r="H549" s="112" t="s">
        <v>499</v>
      </c>
      <c r="I549" s="112" t="s">
        <v>499</v>
      </c>
      <c r="J549" s="112"/>
      <c r="K549" s="112"/>
      <c r="L549" s="112" t="s">
        <v>499</v>
      </c>
      <c r="M549" s="112" t="s">
        <v>499</v>
      </c>
    </row>
    <row r="550" spans="2:13" hidden="1" outlineLevel="1">
      <c r="B550" s="111"/>
      <c r="C550" s="110"/>
      <c r="D550" s="110"/>
      <c r="E550" s="88"/>
      <c r="F550" s="440"/>
      <c r="G550" s="440"/>
      <c r="H550" s="440"/>
      <c r="I550" s="440"/>
      <c r="J550" s="440"/>
      <c r="K550" s="440"/>
      <c r="L550" s="440"/>
      <c r="M550" s="440"/>
    </row>
    <row r="551" spans="2:13" hidden="1" outlineLevel="1">
      <c r="B551" s="76"/>
      <c r="C551" s="523" t="s">
        <v>198</v>
      </c>
      <c r="D551" s="110"/>
      <c r="E551" s="88"/>
      <c r="F551" s="110"/>
      <c r="G551" s="110"/>
      <c r="H551" s="110"/>
      <c r="I551" s="110"/>
      <c r="J551" s="110"/>
      <c r="K551" s="110"/>
      <c r="L551" s="110"/>
      <c r="M551" s="110"/>
    </row>
    <row r="552" spans="2:13" hidden="1" outlineLevel="1">
      <c r="B552" s="76"/>
      <c r="C552" s="516" t="s">
        <v>1220</v>
      </c>
      <c r="D552" s="80"/>
      <c r="E552" s="88"/>
      <c r="F552" s="108">
        <f>F539</f>
        <v>0</v>
      </c>
      <c r="G552" s="108">
        <f>G539</f>
        <v>0</v>
      </c>
      <c r="H552" s="108">
        <f>H539</f>
        <v>0</v>
      </c>
      <c r="I552" s="108">
        <f>I539</f>
        <v>0</v>
      </c>
      <c r="J552" s="108"/>
      <c r="K552" s="108"/>
      <c r="L552" s="108">
        <f>L539</f>
        <v>0</v>
      </c>
      <c r="M552" s="108">
        <f>M539</f>
        <v>0</v>
      </c>
    </row>
    <row r="553" spans="2:13" hidden="1" outlineLevel="1">
      <c r="B553" s="76"/>
      <c r="C553" s="516" t="s">
        <v>199</v>
      </c>
      <c r="D553" s="80"/>
      <c r="E553" s="88"/>
      <c r="F553" s="108">
        <v>0</v>
      </c>
      <c r="G553" s="108">
        <v>0</v>
      </c>
      <c r="H553" s="108">
        <v>0</v>
      </c>
      <c r="I553" s="108">
        <v>0</v>
      </c>
      <c r="J553" s="108"/>
      <c r="K553" s="108"/>
      <c r="L553" s="108">
        <v>0</v>
      </c>
      <c r="M553" s="108">
        <v>0</v>
      </c>
    </row>
    <row r="554" spans="2:13" hidden="1" outlineLevel="1">
      <c r="B554" s="76"/>
      <c r="C554" s="516" t="s">
        <v>200</v>
      </c>
      <c r="D554" s="80"/>
      <c r="E554" s="88"/>
      <c r="F554" s="108">
        <v>0</v>
      </c>
      <c r="G554" s="108">
        <v>0</v>
      </c>
      <c r="H554" s="108">
        <v>0</v>
      </c>
      <c r="I554" s="108">
        <v>0</v>
      </c>
      <c r="J554" s="108"/>
      <c r="K554" s="108"/>
      <c r="L554" s="108">
        <v>0</v>
      </c>
      <c r="M554" s="108">
        <v>0</v>
      </c>
    </row>
    <row r="555" spans="2:13" hidden="1" outlineLevel="1">
      <c r="B555" s="76"/>
      <c r="C555" s="516" t="s">
        <v>201</v>
      </c>
      <c r="D555" s="110"/>
      <c r="E555" s="88"/>
      <c r="F555" s="108">
        <v>0</v>
      </c>
      <c r="G555" s="108">
        <v>0</v>
      </c>
      <c r="H555" s="108">
        <v>0</v>
      </c>
      <c r="I555" s="108">
        <v>0</v>
      </c>
      <c r="J555" s="108"/>
      <c r="K555" s="108"/>
      <c r="L555" s="108">
        <v>0</v>
      </c>
      <c r="M555" s="108">
        <v>0</v>
      </c>
    </row>
    <row r="556" spans="2:13" hidden="1" outlineLevel="1">
      <c r="B556" s="76"/>
      <c r="C556" s="483" t="s">
        <v>202</v>
      </c>
      <c r="D556" s="80"/>
      <c r="E556" s="88"/>
      <c r="F556" s="80">
        <f>SUM(F552:F555)</f>
        <v>0</v>
      </c>
      <c r="G556" s="80">
        <f>SUM(G552:G555)</f>
        <v>0</v>
      </c>
      <c r="H556" s="80">
        <f>SUM(H552:H555)</f>
        <v>0</v>
      </c>
      <c r="I556" s="80">
        <f>SUM(I552:I555)</f>
        <v>0</v>
      </c>
      <c r="J556" s="80"/>
      <c r="K556" s="80"/>
      <c r="L556" s="80">
        <f>SUM(L552:L555)</f>
        <v>0</v>
      </c>
      <c r="M556" s="80">
        <f>SUM(M552:M555)</f>
        <v>0</v>
      </c>
    </row>
    <row r="557" spans="2:13" hidden="1" outlineLevel="1">
      <c r="B557" s="76"/>
      <c r="C557" s="516" t="s">
        <v>203</v>
      </c>
      <c r="D557" s="110"/>
      <c r="E557" s="88"/>
      <c r="F557" s="108">
        <f t="shared" ref="F557:M558" si="150">F540</f>
        <v>0</v>
      </c>
      <c r="G557" s="108">
        <f t="shared" si="150"/>
        <v>0</v>
      </c>
      <c r="H557" s="108">
        <f t="shared" si="150"/>
        <v>0</v>
      </c>
      <c r="I557" s="108">
        <f t="shared" si="150"/>
        <v>0</v>
      </c>
      <c r="J557" s="108"/>
      <c r="K557" s="108"/>
      <c r="L557" s="108">
        <f>L540</f>
        <v>0</v>
      </c>
      <c r="M557" s="108">
        <f t="shared" si="150"/>
        <v>0</v>
      </c>
    </row>
    <row r="558" spans="2:13" hidden="1" outlineLevel="1">
      <c r="B558" s="76"/>
      <c r="C558" s="516" t="s">
        <v>187</v>
      </c>
      <c r="D558" s="110"/>
      <c r="E558" s="88"/>
      <c r="F558" s="108">
        <f t="shared" si="150"/>
        <v>0</v>
      </c>
      <c r="G558" s="108">
        <f t="shared" si="150"/>
        <v>0</v>
      </c>
      <c r="H558" s="108">
        <f t="shared" si="150"/>
        <v>0</v>
      </c>
      <c r="I558" s="108">
        <f t="shared" si="150"/>
        <v>0</v>
      </c>
      <c r="J558" s="108"/>
      <c r="K558" s="108"/>
      <c r="L558" s="108">
        <f>L541</f>
        <v>0</v>
      </c>
      <c r="M558" s="108">
        <f t="shared" si="150"/>
        <v>0</v>
      </c>
    </row>
    <row r="559" spans="2:13" hidden="1" outlineLevel="1">
      <c r="B559" s="76"/>
      <c r="C559" s="516" t="s">
        <v>204</v>
      </c>
      <c r="D559" s="525"/>
      <c r="E559" s="88"/>
      <c r="F559" s="108">
        <f>F544</f>
        <v>0</v>
      </c>
      <c r="G559" s="108">
        <f>G544</f>
        <v>0</v>
      </c>
      <c r="H559" s="108">
        <f>H544</f>
        <v>0</v>
      </c>
      <c r="I559" s="108">
        <f>I544</f>
        <v>0</v>
      </c>
      <c r="J559" s="108"/>
      <c r="K559" s="108"/>
      <c r="L559" s="108">
        <f>L544</f>
        <v>0</v>
      </c>
      <c r="M559" s="108">
        <f>M544</f>
        <v>0</v>
      </c>
    </row>
    <row r="560" spans="2:13" hidden="1" outlineLevel="1">
      <c r="B560" s="76"/>
      <c r="C560" s="356" t="s">
        <v>195</v>
      </c>
      <c r="D560" s="525"/>
      <c r="E560" s="88"/>
      <c r="F560" s="108">
        <f>F542</f>
        <v>0</v>
      </c>
      <c r="G560" s="108">
        <f>G542</f>
        <v>0</v>
      </c>
      <c r="H560" s="108">
        <f>H542</f>
        <v>0</v>
      </c>
      <c r="I560" s="108">
        <f>I542</f>
        <v>0</v>
      </c>
      <c r="J560" s="108"/>
      <c r="K560" s="108"/>
      <c r="L560" s="108">
        <f>L542</f>
        <v>0</v>
      </c>
      <c r="M560" s="108">
        <f>M542</f>
        <v>0</v>
      </c>
    </row>
    <row r="561" spans="2:13" hidden="1" outlineLevel="1">
      <c r="B561" s="155"/>
      <c r="C561" s="95" t="s">
        <v>205</v>
      </c>
      <c r="D561" s="163"/>
      <c r="E561" s="1622"/>
      <c r="F561" s="153">
        <f>SUM(F556:F560)</f>
        <v>0</v>
      </c>
      <c r="G561" s="153">
        <f>SUM(G556:G560)</f>
        <v>0</v>
      </c>
      <c r="H561" s="153">
        <f>SUM(H556:H560)</f>
        <v>0</v>
      </c>
      <c r="I561" s="153">
        <f>SUM(I556:I560)</f>
        <v>0</v>
      </c>
      <c r="J561" s="153"/>
      <c r="K561" s="153"/>
      <c r="L561" s="153">
        <f>SUM(L556:L560)</f>
        <v>0</v>
      </c>
      <c r="M561" s="153">
        <f>SUM(M556:M560)</f>
        <v>0</v>
      </c>
    </row>
    <row r="562" spans="2:13" hidden="1" outlineLevel="1">
      <c r="B562" s="76"/>
      <c r="C562" s="110"/>
      <c r="D562" s="110"/>
      <c r="E562" s="88"/>
      <c r="F562" s="100"/>
      <c r="G562" s="100"/>
      <c r="H562" s="100"/>
      <c r="I562" s="100"/>
      <c r="J562" s="100"/>
      <c r="K562" s="100"/>
      <c r="L562" s="100"/>
      <c r="M562" s="100"/>
    </row>
    <row r="563" spans="2:13" hidden="1" outlineLevel="1">
      <c r="B563" s="76"/>
      <c r="C563" s="523" t="s">
        <v>206</v>
      </c>
      <c r="D563" s="100"/>
      <c r="E563" s="88"/>
      <c r="F563" s="100"/>
      <c r="G563" s="100"/>
      <c r="H563" s="100"/>
      <c r="I563" s="100"/>
      <c r="J563" s="100"/>
      <c r="K563" s="100"/>
      <c r="L563" s="100"/>
      <c r="M563" s="100"/>
    </row>
    <row r="564" spans="2:13" hidden="1" outlineLevel="1">
      <c r="B564" s="76"/>
      <c r="C564" s="1677" t="s">
        <v>2123</v>
      </c>
      <c r="D564" s="95"/>
      <c r="E564" s="470"/>
      <c r="F564" s="82">
        <v>0</v>
      </c>
      <c r="G564" s="82">
        <v>0</v>
      </c>
      <c r="H564" s="108">
        <v>0</v>
      </c>
      <c r="I564" s="108">
        <v>0</v>
      </c>
      <c r="J564" s="108"/>
      <c r="K564" s="108"/>
      <c r="L564" s="108">
        <v>0</v>
      </c>
      <c r="M564" s="108">
        <v>0</v>
      </c>
    </row>
    <row r="565" spans="2:13" hidden="1" outlineLevel="1">
      <c r="B565" s="76"/>
      <c r="C565" s="1677" t="s">
        <v>703</v>
      </c>
      <c r="D565" s="95"/>
      <c r="E565" s="470"/>
      <c r="F565" s="82"/>
      <c r="G565" s="82">
        <v>0</v>
      </c>
      <c r="H565" s="108">
        <v>0</v>
      </c>
      <c r="I565" s="108">
        <v>0</v>
      </c>
      <c r="J565" s="108"/>
      <c r="K565" s="108"/>
      <c r="L565" s="108">
        <v>0</v>
      </c>
      <c r="M565" s="108">
        <v>0</v>
      </c>
    </row>
    <row r="566" spans="2:13" hidden="1" outlineLevel="1">
      <c r="B566" s="155"/>
      <c r="C566" s="95" t="s">
        <v>211</v>
      </c>
      <c r="D566" s="163"/>
      <c r="E566" s="1622"/>
      <c r="F566" s="153">
        <f>SUM(F564:F565)</f>
        <v>0</v>
      </c>
      <c r="G566" s="153">
        <f>SUM(G564:G565)</f>
        <v>0</v>
      </c>
      <c r="H566" s="153">
        <f>SUM(H564:H565)</f>
        <v>0</v>
      </c>
      <c r="I566" s="153">
        <f>SUM(I564:I565)</f>
        <v>0</v>
      </c>
      <c r="J566" s="153"/>
      <c r="K566" s="153"/>
      <c r="L566" s="153">
        <f>SUM(L564:L565)</f>
        <v>0</v>
      </c>
      <c r="M566" s="153">
        <f>SUM(M564:M565)</f>
        <v>0</v>
      </c>
    </row>
    <row r="567" spans="2:13" hidden="1" outlineLevel="1">
      <c r="B567" s="76"/>
      <c r="C567" s="110"/>
      <c r="D567" s="110"/>
      <c r="E567" s="88"/>
      <c r="F567" s="100"/>
      <c r="G567" s="100"/>
      <c r="H567" s="100"/>
      <c r="I567" s="100"/>
      <c r="J567" s="100"/>
      <c r="K567" s="100"/>
      <c r="L567" s="100"/>
      <c r="M567" s="100"/>
    </row>
    <row r="568" spans="2:13" hidden="1" outlineLevel="1">
      <c r="B568" s="155"/>
      <c r="C568" s="95" t="s">
        <v>212</v>
      </c>
      <c r="D568" s="163"/>
      <c r="E568" s="1622"/>
      <c r="F568" s="153">
        <f>SUM(F566,F561)</f>
        <v>0</v>
      </c>
      <c r="G568" s="153">
        <f>SUM(G566,G561)</f>
        <v>0</v>
      </c>
      <c r="H568" s="153">
        <f>SUM(H566,H561)</f>
        <v>0</v>
      </c>
      <c r="I568" s="153">
        <f>SUM(I566,I561)</f>
        <v>0</v>
      </c>
      <c r="J568" s="153"/>
      <c r="K568" s="153"/>
      <c r="L568" s="153">
        <f>SUM(L566,L561)</f>
        <v>0</v>
      </c>
      <c r="M568" s="153">
        <f>SUM(M566,M561)</f>
        <v>0</v>
      </c>
    </row>
    <row r="569" spans="2:13" hidden="1" outlineLevel="1">
      <c r="B569" s="76"/>
      <c r="C569" s="95"/>
      <c r="D569" s="508"/>
      <c r="E569" s="509"/>
      <c r="F569" s="100"/>
      <c r="G569" s="100"/>
      <c r="H569" s="100"/>
      <c r="I569" s="100"/>
      <c r="J569" s="100"/>
      <c r="K569" s="100"/>
      <c r="L569" s="100"/>
      <c r="M569" s="100"/>
    </row>
    <row r="570" spans="2:13" hidden="1" outlineLevel="1">
      <c r="B570" s="76"/>
      <c r="C570" s="110" t="s">
        <v>904</v>
      </c>
      <c r="D570" s="110"/>
      <c r="E570" s="88"/>
      <c r="F570" s="108">
        <f>IF(F568&lt;0,F568,0)</f>
        <v>0</v>
      </c>
      <c r="G570" s="108">
        <f>IF(G568&lt;0,G568,0)</f>
        <v>0</v>
      </c>
      <c r="H570" s="108">
        <f>IF(H568&lt;0,H568,0)</f>
        <v>0</v>
      </c>
      <c r="I570" s="108">
        <f>IF(I568&lt;0,I568,0)</f>
        <v>0</v>
      </c>
      <c r="J570" s="108"/>
      <c r="K570" s="108"/>
      <c r="L570" s="108">
        <f>IF(L568&lt;0,L568,0)</f>
        <v>0</v>
      </c>
      <c r="M570" s="108">
        <f>IF(M568&lt;0,M568,0)</f>
        <v>0</v>
      </c>
    </row>
    <row r="571" spans="2:13" hidden="1" outlineLevel="1">
      <c r="B571" s="76"/>
      <c r="C571" s="110"/>
      <c r="D571" s="110"/>
      <c r="E571" s="88"/>
      <c r="F571" s="100"/>
      <c r="G571" s="100"/>
      <c r="H571" s="100"/>
      <c r="I571" s="100"/>
      <c r="J571" s="100"/>
      <c r="K571" s="100"/>
      <c r="L571" s="100"/>
      <c r="M571" s="100"/>
    </row>
    <row r="572" spans="2:13" hidden="1" outlineLevel="1">
      <c r="B572" s="76"/>
      <c r="C572" s="523" t="s">
        <v>135</v>
      </c>
      <c r="D572" s="114"/>
      <c r="E572" s="88"/>
      <c r="F572" s="100"/>
      <c r="G572" s="100"/>
      <c r="H572" s="100"/>
      <c r="I572" s="100"/>
      <c r="J572" s="100"/>
      <c r="K572" s="100"/>
      <c r="L572" s="100"/>
      <c r="M572" s="100"/>
    </row>
    <row r="573" spans="2:13" hidden="1" outlineLevel="1">
      <c r="B573" s="76"/>
      <c r="C573" s="482" t="s">
        <v>214</v>
      </c>
      <c r="D573" s="110"/>
      <c r="E573" s="88"/>
      <c r="F573" s="108">
        <v>0</v>
      </c>
      <c r="G573" s="108">
        <v>0</v>
      </c>
      <c r="H573" s="108">
        <v>0</v>
      </c>
      <c r="I573" s="108">
        <v>0</v>
      </c>
      <c r="J573" s="108"/>
      <c r="K573" s="108"/>
      <c r="L573" s="108">
        <v>0</v>
      </c>
      <c r="M573" s="108">
        <v>0</v>
      </c>
    </row>
    <row r="574" spans="2:13" hidden="1" outlineLevel="1">
      <c r="B574" s="76"/>
      <c r="C574" s="482" t="s">
        <v>215</v>
      </c>
      <c r="D574" s="110"/>
      <c r="E574" s="88"/>
      <c r="F574" s="108">
        <v>0</v>
      </c>
      <c r="G574" s="108">
        <v>0</v>
      </c>
      <c r="H574" s="108">
        <v>0</v>
      </c>
      <c r="I574" s="108">
        <v>0</v>
      </c>
      <c r="J574" s="108"/>
      <c r="K574" s="108"/>
      <c r="L574" s="108">
        <v>0</v>
      </c>
      <c r="M574" s="108">
        <v>0</v>
      </c>
    </row>
    <row r="575" spans="2:13" hidden="1" outlineLevel="1">
      <c r="B575" s="76"/>
      <c r="C575" s="482" t="s">
        <v>816</v>
      </c>
      <c r="D575" s="110"/>
      <c r="E575" s="88"/>
      <c r="F575" s="108">
        <v>0</v>
      </c>
      <c r="G575" s="108">
        <v>0</v>
      </c>
      <c r="H575" s="108">
        <v>0</v>
      </c>
      <c r="I575" s="108">
        <v>0</v>
      </c>
      <c r="J575" s="108"/>
      <c r="K575" s="108"/>
      <c r="L575" s="108">
        <v>0</v>
      </c>
      <c r="M575" s="108">
        <v>0</v>
      </c>
    </row>
    <row r="576" spans="2:13" hidden="1" outlineLevel="1">
      <c r="B576" s="76"/>
      <c r="C576" s="482" t="s">
        <v>311</v>
      </c>
      <c r="D576" s="110"/>
      <c r="E576" s="88"/>
      <c r="F576" s="108">
        <v>0</v>
      </c>
      <c r="G576" s="108">
        <v>0</v>
      </c>
      <c r="H576" s="108">
        <v>0</v>
      </c>
      <c r="I576" s="108">
        <v>0</v>
      </c>
      <c r="J576" s="108"/>
      <c r="K576" s="108"/>
      <c r="L576" s="108">
        <v>0</v>
      </c>
      <c r="M576" s="108">
        <v>0</v>
      </c>
    </row>
    <row r="577" spans="2:13" hidden="1" outlineLevel="1">
      <c r="B577" s="155"/>
      <c r="C577" s="95" t="s">
        <v>217</v>
      </c>
      <c r="D577" s="526"/>
      <c r="E577" s="1622"/>
      <c r="F577" s="153">
        <f>SUM(F573:F576)</f>
        <v>0</v>
      </c>
      <c r="G577" s="153">
        <f>SUM(G573:G576)</f>
        <v>0</v>
      </c>
      <c r="H577" s="153">
        <f>SUM(H573:H576)</f>
        <v>0</v>
      </c>
      <c r="I577" s="153">
        <f>SUM(I573:I576)</f>
        <v>0</v>
      </c>
      <c r="J577" s="153"/>
      <c r="K577" s="153"/>
      <c r="L577" s="153">
        <f>SUM(L573:L576)</f>
        <v>0</v>
      </c>
      <c r="M577" s="153">
        <f>SUM(M573:M576)</f>
        <v>0</v>
      </c>
    </row>
    <row r="578" spans="2:13" hidden="1" outlineLevel="1">
      <c r="B578" s="76"/>
      <c r="C578" s="110"/>
      <c r="D578" s="83"/>
      <c r="E578" s="527"/>
      <c r="F578" s="108"/>
      <c r="G578" s="108"/>
      <c r="H578" s="108"/>
      <c r="I578" s="108"/>
      <c r="J578" s="108"/>
      <c r="K578" s="108"/>
      <c r="L578" s="108"/>
      <c r="M578" s="108"/>
    </row>
    <row r="579" spans="2:13" hidden="1" outlineLevel="1">
      <c r="B579" s="111"/>
      <c r="C579" s="483" t="s">
        <v>219</v>
      </c>
      <c r="D579" s="83"/>
      <c r="E579" s="88"/>
      <c r="F579" s="108">
        <f>F561+F566+F577</f>
        <v>0</v>
      </c>
      <c r="G579" s="108">
        <f>G561+G566+G577</f>
        <v>0</v>
      </c>
      <c r="H579" s="108">
        <f>H561+H566+H577</f>
        <v>0</v>
      </c>
      <c r="I579" s="108">
        <f>I561+I566+I577</f>
        <v>0</v>
      </c>
      <c r="J579" s="108"/>
      <c r="K579" s="108"/>
      <c r="L579" s="108">
        <f>L561+L566+L577</f>
        <v>0</v>
      </c>
      <c r="M579" s="108">
        <f>M561+M566+M577</f>
        <v>0</v>
      </c>
    </row>
    <row r="580" spans="2:13" hidden="1" outlineLevel="1">
      <c r="B580" s="111"/>
      <c r="C580" s="110"/>
      <c r="D580" s="83"/>
      <c r="E580" s="527"/>
      <c r="F580" s="108"/>
      <c r="G580" s="108"/>
      <c r="H580" s="108"/>
      <c r="I580" s="108"/>
      <c r="J580" s="108"/>
      <c r="K580" s="108"/>
      <c r="L580" s="108"/>
      <c r="M580" s="108"/>
    </row>
    <row r="581" spans="2:13" hidden="1" outlineLevel="1">
      <c r="B581" s="111"/>
      <c r="C581" s="483" t="s">
        <v>902</v>
      </c>
      <c r="D581" s="110"/>
      <c r="E581" s="88"/>
      <c r="F581" s="108">
        <f>E582</f>
        <v>0</v>
      </c>
      <c r="G581" s="108">
        <f>F582</f>
        <v>0</v>
      </c>
      <c r="H581" s="108">
        <f>G582</f>
        <v>0</v>
      </c>
      <c r="I581" s="108">
        <f>H582</f>
        <v>0</v>
      </c>
      <c r="J581" s="108"/>
      <c r="K581" s="108"/>
      <c r="L581" s="108">
        <f>K582</f>
        <v>0</v>
      </c>
      <c r="M581" s="108">
        <f>I582</f>
        <v>0</v>
      </c>
    </row>
    <row r="582" spans="2:13" hidden="1" outlineLevel="1">
      <c r="B582" s="111"/>
      <c r="C582" s="529" t="s">
        <v>903</v>
      </c>
      <c r="D582" s="472"/>
      <c r="E582" s="498"/>
      <c r="F582" s="120">
        <f>F579+F581</f>
        <v>0</v>
      </c>
      <c r="G582" s="120">
        <f>G579+G581</f>
        <v>0</v>
      </c>
      <c r="H582" s="120">
        <f>H579+H581</f>
        <v>0</v>
      </c>
      <c r="I582" s="120">
        <f>I579+I581</f>
        <v>0</v>
      </c>
      <c r="J582" s="120"/>
      <c r="K582" s="120"/>
      <c r="L582" s="120">
        <f>L579+L581</f>
        <v>0</v>
      </c>
      <c r="M582" s="120">
        <f>M579+M581</f>
        <v>0</v>
      </c>
    </row>
    <row r="583" spans="2:13" hidden="1" outlineLevel="1">
      <c r="B583" s="76"/>
      <c r="C583" s="482"/>
      <c r="D583" s="80"/>
      <c r="E583" s="512"/>
      <c r="F583" s="436"/>
      <c r="G583" s="436"/>
      <c r="H583" s="436"/>
      <c r="I583" s="436"/>
      <c r="J583" s="436"/>
      <c r="K583" s="436"/>
      <c r="L583" s="436"/>
      <c r="M583" s="436"/>
    </row>
    <row r="584" spans="2:13" collapsed="1"/>
  </sheetData>
  <autoFilter ref="A5:M583"/>
  <printOptions horizontalCentered="1"/>
  <pageMargins left="3.937007874015748E-2" right="3.937007874015748E-2" top="3.937007874015748E-2" bottom="3.937007874015748E-2" header="0.31496062992125984" footer="0.31496062992125984"/>
  <pageSetup paperSize="9" scale="10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  <pageSetUpPr fitToPage="1"/>
  </sheetPr>
  <dimension ref="A1:BH494"/>
  <sheetViews>
    <sheetView showGridLines="0" zoomScale="85" zoomScaleNormal="85" zoomScaleSheetLayoutView="85" workbookViewId="0">
      <pane xSplit="3" ySplit="9" topLeftCell="D395" activePane="bottomRight" state="frozen"/>
      <selection activeCell="P18" sqref="P18"/>
      <selection pane="topRight" activeCell="P18" sqref="P18"/>
      <selection pane="bottomLeft" activeCell="P18" sqref="P18"/>
      <selection pane="bottomRight" activeCell="R416" sqref="R416"/>
    </sheetView>
  </sheetViews>
  <sheetFormatPr defaultRowHeight="12.75" outlineLevelRow="2" outlineLevelCol="1"/>
  <cols>
    <col min="1" max="1" width="3.28515625" style="460" bestFit="1" customWidth="1"/>
    <col min="2" max="2" width="3.28515625" style="75" customWidth="1"/>
    <col min="3" max="3" width="33" style="460" customWidth="1"/>
    <col min="4" max="4" width="41.7109375" style="75" customWidth="1"/>
    <col min="5" max="5" width="1.42578125" style="75" hidden="1" customWidth="1" outlineLevel="1"/>
    <col min="6" max="6" width="10.140625" style="75" hidden="1" customWidth="1" outlineLevel="1"/>
    <col min="7" max="7" width="12.7109375" style="75" hidden="1" customWidth="1" outlineLevel="1"/>
    <col min="8" max="8" width="5.28515625" style="463" hidden="1" customWidth="1" outlineLevel="1"/>
    <col min="9" max="9" width="11.140625" style="81" hidden="1" customWidth="1" outlineLevel="1"/>
    <col min="10" max="10" width="11.7109375" style="75" hidden="1" customWidth="1" outlineLevel="1"/>
    <col min="11" max="11" width="11.7109375" style="75" hidden="1" customWidth="1" outlineLevel="1" collapsed="1"/>
    <col min="12" max="13" width="11.7109375" style="81" hidden="1" customWidth="1" outlineLevel="1" collapsed="1"/>
    <col min="14" max="14" width="7.5703125" style="81" hidden="1" customWidth="1" outlineLevel="1" collapsed="1"/>
    <col min="15" max="15" width="16" style="81" hidden="1" customWidth="1" outlineLevel="1"/>
    <col min="16" max="16" width="13.42578125" style="81" bestFit="1" customWidth="1" collapsed="1"/>
    <col min="17" max="20" width="13.42578125" style="81" bestFit="1" customWidth="1"/>
    <col min="21" max="33" width="12.7109375" style="81" bestFit="1" customWidth="1"/>
    <col min="34" max="34" width="19.28515625" style="81" customWidth="1"/>
    <col min="35" max="35" width="12.7109375" style="81" bestFit="1" customWidth="1"/>
    <col min="36" max="60" width="11.7109375" style="75" customWidth="1"/>
    <col min="61" max="16384" width="9.140625" style="75"/>
  </cols>
  <sheetData>
    <row r="1" spans="1:60" ht="15.75" customHeight="1">
      <c r="E1" s="81"/>
      <c r="F1" s="81"/>
      <c r="G1" s="81"/>
      <c r="H1" s="88"/>
      <c r="J1" s="81"/>
      <c r="P1" s="715"/>
      <c r="Q1" s="715"/>
      <c r="R1" s="715"/>
      <c r="S1" s="715"/>
      <c r="T1" s="715"/>
      <c r="U1" s="715"/>
      <c r="V1" s="715"/>
      <c r="W1" s="715"/>
      <c r="X1" s="715"/>
      <c r="Y1" s="715"/>
      <c r="Z1" s="715"/>
      <c r="AA1" s="715"/>
      <c r="AB1" s="715"/>
      <c r="AC1" s="715"/>
      <c r="AD1" s="715"/>
      <c r="AE1" s="715"/>
      <c r="AF1" s="715"/>
      <c r="AG1" s="715"/>
      <c r="AH1" s="715"/>
      <c r="AI1" s="715"/>
    </row>
    <row r="2" spans="1:60" ht="15.75" customHeight="1">
      <c r="C2" s="461"/>
      <c r="D2" s="81"/>
      <c r="E2" s="81"/>
      <c r="F2" s="81"/>
      <c r="G2" s="81"/>
      <c r="H2" s="88"/>
      <c r="J2" s="81"/>
      <c r="O2" s="715"/>
      <c r="P2" s="715"/>
      <c r="Q2" s="715"/>
      <c r="R2" s="715"/>
      <c r="S2" s="715"/>
      <c r="T2" s="715"/>
      <c r="U2" s="715"/>
      <c r="V2" s="715"/>
      <c r="W2" s="715"/>
      <c r="X2" s="715"/>
      <c r="Y2" s="715"/>
      <c r="Z2" s="715"/>
      <c r="AA2" s="715"/>
      <c r="AB2" s="715"/>
      <c r="AC2" s="715"/>
      <c r="AD2" s="715"/>
      <c r="AE2" s="715"/>
      <c r="AF2" s="715"/>
      <c r="AG2" s="715"/>
      <c r="AH2" s="715"/>
      <c r="AI2" s="715"/>
    </row>
    <row r="3" spans="1:60" ht="27" customHeight="1">
      <c r="C3" s="462" t="s">
        <v>123</v>
      </c>
      <c r="L3" s="75"/>
      <c r="O3" s="715"/>
    </row>
    <row r="4" spans="1:60" ht="3" customHeight="1">
      <c r="C4" s="464"/>
      <c r="D4" s="89"/>
      <c r="E4" s="89"/>
      <c r="F4" s="89"/>
      <c r="G4" s="89"/>
      <c r="H4" s="465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</row>
    <row r="5" spans="1:60" ht="15.75" customHeight="1">
      <c r="H5" s="466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90"/>
      <c r="AH5" s="90"/>
      <c r="AI5" s="90"/>
    </row>
    <row r="6" spans="1:60" ht="15.75" customHeight="1">
      <c r="C6" s="467" t="s">
        <v>168</v>
      </c>
      <c r="D6" s="468"/>
      <c r="E6" s="468"/>
      <c r="F6" s="468"/>
      <c r="G6" s="468"/>
      <c r="H6" s="466"/>
      <c r="I6" s="91"/>
      <c r="J6" s="91"/>
      <c r="K6" s="91"/>
      <c r="L6" s="135"/>
      <c r="M6" s="90"/>
      <c r="N6" s="421"/>
      <c r="O6" s="421"/>
      <c r="P6" s="421"/>
      <c r="Q6" s="421"/>
      <c r="R6" s="421"/>
      <c r="S6" s="421"/>
      <c r="T6" s="421"/>
      <c r="U6" s="421"/>
      <c r="V6" s="421"/>
      <c r="W6" s="421"/>
      <c r="X6" s="421"/>
      <c r="Y6" s="421"/>
      <c r="Z6" s="421"/>
      <c r="AA6" s="421"/>
      <c r="AB6" s="421"/>
      <c r="AC6" s="421"/>
      <c r="AD6" s="421"/>
      <c r="AE6" s="421"/>
      <c r="AF6" s="421"/>
      <c r="AG6" s="421"/>
      <c r="AH6" s="421"/>
      <c r="AI6" s="421"/>
    </row>
    <row r="7" spans="1:60" ht="15.75" customHeight="1">
      <c r="B7" s="91"/>
      <c r="C7" s="546"/>
      <c r="D7" s="106"/>
      <c r="E7" s="106"/>
      <c r="F7" s="106"/>
      <c r="G7" s="546"/>
      <c r="H7" s="547"/>
      <c r="I7" s="92">
        <v>0</v>
      </c>
      <c r="J7" s="92">
        <v>1</v>
      </c>
      <c r="K7" s="92">
        <v>2</v>
      </c>
      <c r="L7" s="136">
        <v>3</v>
      </c>
      <c r="M7" s="136">
        <v>4</v>
      </c>
      <c r="N7" s="136">
        <v>5</v>
      </c>
      <c r="O7" s="136">
        <f t="shared" ref="O7:W7" si="0">N7+1</f>
        <v>6</v>
      </c>
      <c r="P7" s="136">
        <f t="shared" si="0"/>
        <v>7</v>
      </c>
      <c r="Q7" s="136">
        <f t="shared" si="0"/>
        <v>8</v>
      </c>
      <c r="R7" s="136" t="s">
        <v>2113</v>
      </c>
      <c r="S7" s="136" t="s">
        <v>2114</v>
      </c>
      <c r="T7" s="136" t="s">
        <v>2012</v>
      </c>
      <c r="U7" s="136">
        <f>Q7+1</f>
        <v>9</v>
      </c>
      <c r="V7" s="136">
        <f t="shared" si="0"/>
        <v>10</v>
      </c>
      <c r="W7" s="136">
        <f t="shared" si="0"/>
        <v>11</v>
      </c>
      <c r="X7" s="136">
        <f>W7+1</f>
        <v>12</v>
      </c>
      <c r="Y7" s="136">
        <f>X7+1</f>
        <v>13</v>
      </c>
      <c r="Z7" s="136">
        <f t="shared" ref="Z7:AG7" si="1">Y7+1</f>
        <v>14</v>
      </c>
      <c r="AA7" s="136">
        <f t="shared" si="1"/>
        <v>15</v>
      </c>
      <c r="AB7" s="136">
        <f t="shared" si="1"/>
        <v>16</v>
      </c>
      <c r="AC7" s="136">
        <f t="shared" si="1"/>
        <v>17</v>
      </c>
      <c r="AD7" s="136">
        <f t="shared" si="1"/>
        <v>18</v>
      </c>
      <c r="AE7" s="136">
        <f t="shared" si="1"/>
        <v>19</v>
      </c>
      <c r="AF7" s="136">
        <f t="shared" si="1"/>
        <v>20</v>
      </c>
      <c r="AG7" s="136">
        <f t="shared" si="1"/>
        <v>21</v>
      </c>
      <c r="AH7" s="136"/>
      <c r="AI7" s="13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</row>
    <row r="8" spans="1:60" ht="15.75" customHeight="1">
      <c r="B8" s="91"/>
      <c r="C8" s="548"/>
      <c r="D8" s="469"/>
      <c r="E8" s="469"/>
      <c r="F8" s="469"/>
      <c r="G8" s="548"/>
      <c r="H8" s="470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1551"/>
      <c r="U8" s="93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3"/>
      <c r="AG8" s="93"/>
      <c r="AH8" s="93"/>
      <c r="AI8" s="93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</row>
    <row r="9" spans="1:60" ht="15.75" customHeight="1">
      <c r="B9" s="91"/>
      <c r="C9" s="471"/>
      <c r="D9" s="472"/>
      <c r="E9" s="506"/>
      <c r="F9" s="506"/>
      <c r="G9" s="471"/>
      <c r="H9" s="473"/>
      <c r="I9" s="94" t="s">
        <v>499</v>
      </c>
      <c r="J9" s="94" t="s">
        <v>499</v>
      </c>
      <c r="K9" s="94" t="s">
        <v>499</v>
      </c>
      <c r="L9" s="94" t="s">
        <v>499</v>
      </c>
      <c r="M9" s="94" t="s">
        <v>499</v>
      </c>
      <c r="N9" s="94" t="s">
        <v>499</v>
      </c>
      <c r="O9" s="94" t="s">
        <v>499</v>
      </c>
      <c r="P9" s="94" t="s">
        <v>499</v>
      </c>
      <c r="Q9" s="94" t="s">
        <v>499</v>
      </c>
      <c r="R9" s="94" t="s">
        <v>499</v>
      </c>
      <c r="S9" s="94" t="s">
        <v>499</v>
      </c>
      <c r="T9" s="94" t="s">
        <v>499</v>
      </c>
      <c r="U9" s="94" t="s">
        <v>499</v>
      </c>
      <c r="V9" s="94" t="s">
        <v>499</v>
      </c>
      <c r="W9" s="94" t="s">
        <v>499</v>
      </c>
      <c r="X9" s="94" t="s">
        <v>499</v>
      </c>
      <c r="Y9" s="94" t="s">
        <v>499</v>
      </c>
      <c r="Z9" s="94" t="s">
        <v>499</v>
      </c>
      <c r="AA9" s="94" t="s">
        <v>499</v>
      </c>
      <c r="AB9" s="94" t="s">
        <v>499</v>
      </c>
      <c r="AC9" s="94" t="s">
        <v>499</v>
      </c>
      <c r="AD9" s="94" t="s">
        <v>499</v>
      </c>
      <c r="AE9" s="94" t="s">
        <v>499</v>
      </c>
      <c r="AF9" s="94" t="s">
        <v>499</v>
      </c>
      <c r="AG9" s="94" t="s">
        <v>499</v>
      </c>
      <c r="AH9" s="94"/>
      <c r="AI9" s="94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</row>
    <row r="10" spans="1:60" ht="15.75" customHeight="1">
      <c r="B10" s="91"/>
      <c r="C10" s="95"/>
      <c r="D10" s="110"/>
      <c r="E10" s="114"/>
      <c r="F10" s="114"/>
      <c r="G10" s="95"/>
      <c r="H10" s="1011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</row>
    <row r="11" spans="1:60" s="157" customFormat="1" ht="15.75" customHeight="1">
      <c r="A11" s="460"/>
      <c r="B11" s="474"/>
      <c r="C11" s="162" t="s">
        <v>170</v>
      </c>
      <c r="D11" s="475"/>
      <c r="E11" s="475"/>
      <c r="F11" s="475"/>
      <c r="H11" s="476"/>
      <c r="I11" s="141"/>
      <c r="J11" s="141"/>
      <c r="K11" s="141"/>
      <c r="L11" s="141"/>
      <c r="M11" s="141"/>
      <c r="N11" s="141"/>
      <c r="O11" s="141"/>
      <c r="P11" s="141">
        <f>SUM(P12:P13)</f>
        <v>0</v>
      </c>
      <c r="Q11" s="141">
        <f t="shared" ref="Q11:AG11" si="2">SUM(Q12:Q13)</f>
        <v>65445643.71212244</v>
      </c>
      <c r="R11" s="141">
        <f t="shared" si="2"/>
        <v>0</v>
      </c>
      <c r="S11" s="141">
        <f t="shared" si="2"/>
        <v>44233546.683813713</v>
      </c>
      <c r="T11" s="141">
        <f t="shared" si="2"/>
        <v>44233546.683813713</v>
      </c>
      <c r="U11" s="141">
        <f t="shared" si="2"/>
        <v>44492025.630556047</v>
      </c>
      <c r="V11" s="141">
        <f t="shared" si="2"/>
        <v>54968834.671339251</v>
      </c>
      <c r="W11" s="141">
        <f t="shared" si="2"/>
        <v>58461104.351600312</v>
      </c>
      <c r="X11" s="141">
        <f t="shared" si="2"/>
        <v>62630001.282411955</v>
      </c>
      <c r="Y11" s="141">
        <f t="shared" si="2"/>
        <v>65632261.87316139</v>
      </c>
      <c r="Z11" s="141">
        <f t="shared" si="2"/>
        <v>65632261.87316139</v>
      </c>
      <c r="AA11" s="141">
        <f t="shared" si="2"/>
        <v>65632261.87316139</v>
      </c>
      <c r="AB11" s="141">
        <f t="shared" si="2"/>
        <v>65632261.87316139</v>
      </c>
      <c r="AC11" s="141">
        <f t="shared" si="2"/>
        <v>65632261.87316139</v>
      </c>
      <c r="AD11" s="141">
        <f t="shared" si="2"/>
        <v>65632261.87316139</v>
      </c>
      <c r="AE11" s="141">
        <f t="shared" si="2"/>
        <v>54701895.711322688</v>
      </c>
      <c r="AF11" s="141">
        <f t="shared" si="2"/>
        <v>54701895.711322688</v>
      </c>
      <c r="AG11" s="141">
        <f t="shared" si="2"/>
        <v>43761516.569058143</v>
      </c>
      <c r="AH11" s="141"/>
      <c r="AI11" s="141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5"/>
      <c r="AU11" s="155"/>
      <c r="AV11" s="155"/>
      <c r="AW11" s="155"/>
      <c r="AX11" s="155"/>
      <c r="AY11" s="155"/>
      <c r="AZ11" s="155"/>
      <c r="BA11" s="155"/>
      <c r="BB11" s="155"/>
      <c r="BC11" s="155"/>
      <c r="BD11" s="155"/>
      <c r="BE11" s="155"/>
    </row>
    <row r="12" spans="1:60" ht="15.75" customHeight="1">
      <c r="B12" s="91"/>
      <c r="C12" s="477" t="s">
        <v>1790</v>
      </c>
      <c r="D12" s="74"/>
      <c r="E12" s="74"/>
      <c r="F12" s="74"/>
      <c r="I12" s="82"/>
      <c r="J12" s="82"/>
      <c r="K12" s="82"/>
      <c r="L12" s="82"/>
      <c r="M12" s="82"/>
      <c r="N12" s="82"/>
      <c r="O12" s="82"/>
      <c r="P12" s="82">
        <f>P37*P15/31.1035</f>
        <v>0</v>
      </c>
      <c r="Q12" s="82">
        <f t="shared" ref="Q12:AG12" si="3">Q37*Q15/31.1035</f>
        <v>62860854.244699158</v>
      </c>
      <c r="R12" s="82"/>
      <c r="S12" s="82">
        <f t="shared" si="3"/>
        <v>41907236.163132764</v>
      </c>
      <c r="T12" s="82">
        <f t="shared" si="3"/>
        <v>41907236.163132764</v>
      </c>
      <c r="U12" s="82">
        <f t="shared" si="3"/>
        <v>41907236.163132764</v>
      </c>
      <c r="V12" s="82">
        <f t="shared" si="3"/>
        <v>52384045.203915969</v>
      </c>
      <c r="W12" s="82">
        <f t="shared" si="3"/>
        <v>55876314.884177029</v>
      </c>
      <c r="X12" s="82">
        <f t="shared" si="3"/>
        <v>60045211.814988673</v>
      </c>
      <c r="Y12" s="82">
        <f t="shared" si="3"/>
        <v>63047472.405738108</v>
      </c>
      <c r="Z12" s="82">
        <f t="shared" si="3"/>
        <v>63047472.405738108</v>
      </c>
      <c r="AA12" s="82">
        <f t="shared" si="3"/>
        <v>63047472.405738108</v>
      </c>
      <c r="AB12" s="82">
        <f t="shared" si="3"/>
        <v>63047472.405738108</v>
      </c>
      <c r="AC12" s="82">
        <f t="shared" si="3"/>
        <v>63047472.405738108</v>
      </c>
      <c r="AD12" s="82">
        <f t="shared" si="3"/>
        <v>63047472.405738108</v>
      </c>
      <c r="AE12" s="82">
        <f t="shared" si="3"/>
        <v>52117106.243899405</v>
      </c>
      <c r="AF12" s="82">
        <f t="shared" si="3"/>
        <v>52117106.243899405</v>
      </c>
      <c r="AG12" s="82">
        <f t="shared" si="3"/>
        <v>41693684.99511952</v>
      </c>
      <c r="AH12" s="82"/>
      <c r="AI12" s="82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</row>
    <row r="13" spans="1:60" ht="15.75" customHeight="1">
      <c r="B13" s="91"/>
      <c r="C13" s="477" t="s">
        <v>1791</v>
      </c>
      <c r="D13" s="74"/>
      <c r="E13" s="74"/>
      <c r="F13" s="74"/>
      <c r="I13" s="82"/>
      <c r="J13" s="82"/>
      <c r="K13" s="82"/>
      <c r="L13" s="82"/>
      <c r="M13" s="82"/>
      <c r="N13" s="82"/>
      <c r="O13" s="82"/>
      <c r="P13" s="82">
        <f>P38*P14/31.1035</f>
        <v>0</v>
      </c>
      <c r="Q13" s="82">
        <f t="shared" ref="Q13:AG13" si="4">Q38*Q14/31.1035</f>
        <v>2584789.4674232798</v>
      </c>
      <c r="R13" s="82"/>
      <c r="S13" s="82">
        <f t="shared" si="4"/>
        <v>2326310.5206809519</v>
      </c>
      <c r="T13" s="82">
        <f t="shared" si="4"/>
        <v>2326310.5206809519</v>
      </c>
      <c r="U13" s="82">
        <f t="shared" si="4"/>
        <v>2584789.4674232798</v>
      </c>
      <c r="V13" s="82">
        <f t="shared" si="4"/>
        <v>2584789.4674232798</v>
      </c>
      <c r="W13" s="82">
        <f t="shared" si="4"/>
        <v>2584789.4674232798</v>
      </c>
      <c r="X13" s="82">
        <f t="shared" si="4"/>
        <v>2584789.4674232798</v>
      </c>
      <c r="Y13" s="82">
        <f t="shared" si="4"/>
        <v>2584789.4674232798</v>
      </c>
      <c r="Z13" s="82">
        <f t="shared" si="4"/>
        <v>2584789.4674232798</v>
      </c>
      <c r="AA13" s="82">
        <f t="shared" si="4"/>
        <v>2584789.4674232798</v>
      </c>
      <c r="AB13" s="82">
        <f t="shared" si="4"/>
        <v>2584789.4674232798</v>
      </c>
      <c r="AC13" s="82">
        <f t="shared" si="4"/>
        <v>2584789.4674232798</v>
      </c>
      <c r="AD13" s="82">
        <f t="shared" si="4"/>
        <v>2584789.4674232798</v>
      </c>
      <c r="AE13" s="82">
        <f t="shared" si="4"/>
        <v>2584789.4674232798</v>
      </c>
      <c r="AF13" s="82">
        <f t="shared" si="4"/>
        <v>2584789.4674232798</v>
      </c>
      <c r="AG13" s="82">
        <f t="shared" si="4"/>
        <v>2067831.5739386242</v>
      </c>
      <c r="AH13" s="82"/>
      <c r="AI13" s="82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</row>
    <row r="14" spans="1:60" s="81" customFormat="1" ht="15.75" hidden="1" customHeight="1" outlineLevel="1">
      <c r="A14" s="460"/>
      <c r="B14" s="91"/>
      <c r="C14" s="478" t="s">
        <v>1755</v>
      </c>
      <c r="D14" s="87"/>
      <c r="E14" s="87"/>
      <c r="F14" s="87"/>
      <c r="H14" s="463"/>
      <c r="I14" s="82"/>
      <c r="J14" s="82"/>
      <c r="K14" s="82"/>
      <c r="L14" s="82"/>
      <c r="M14" s="82"/>
      <c r="N14" s="82"/>
      <c r="O14" s="82"/>
      <c r="P14" s="82">
        <f>Commodities_prices!P134</f>
        <v>18</v>
      </c>
      <c r="Q14" s="82">
        <f>Commodities_prices!Q134</f>
        <v>20</v>
      </c>
      <c r="R14" s="82"/>
      <c r="S14" s="1591">
        <f>Total!U150</f>
        <v>18</v>
      </c>
      <c r="T14" s="82">
        <f>Total!U150</f>
        <v>18</v>
      </c>
      <c r="U14" s="82">
        <f>Commodities_prices!R134</f>
        <v>20</v>
      </c>
      <c r="V14" s="82">
        <f>Commodities_prices!S134</f>
        <v>20</v>
      </c>
      <c r="W14" s="82">
        <f>Commodities_prices!T134</f>
        <v>20</v>
      </c>
      <c r="X14" s="82">
        <f>Commodities_prices!U134</f>
        <v>20</v>
      </c>
      <c r="Y14" s="82">
        <f>Commodities_prices!V134</f>
        <v>20</v>
      </c>
      <c r="Z14" s="82">
        <f>Y14</f>
        <v>20</v>
      </c>
      <c r="AA14" s="82">
        <f t="shared" ref="AA14:AG14" si="5">Z14</f>
        <v>20</v>
      </c>
      <c r="AB14" s="82">
        <f t="shared" si="5"/>
        <v>20</v>
      </c>
      <c r="AC14" s="82">
        <f t="shared" si="5"/>
        <v>20</v>
      </c>
      <c r="AD14" s="82">
        <f t="shared" si="5"/>
        <v>20</v>
      </c>
      <c r="AE14" s="82">
        <f t="shared" si="5"/>
        <v>20</v>
      </c>
      <c r="AF14" s="82">
        <f t="shared" si="5"/>
        <v>20</v>
      </c>
      <c r="AG14" s="82">
        <f t="shared" si="5"/>
        <v>20</v>
      </c>
      <c r="AH14" s="82"/>
      <c r="AI14" s="82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</row>
    <row r="15" spans="1:60" s="81" customFormat="1" ht="15.75" hidden="1" customHeight="1" outlineLevel="1">
      <c r="A15" s="460"/>
      <c r="B15" s="91"/>
      <c r="C15" s="478" t="s">
        <v>113</v>
      </c>
      <c r="D15" s="87"/>
      <c r="E15" s="87"/>
      <c r="F15" s="87"/>
      <c r="H15" s="463"/>
      <c r="I15" s="82"/>
      <c r="J15" s="82"/>
      <c r="K15" s="82"/>
      <c r="L15" s="82"/>
      <c r="M15" s="82"/>
      <c r="N15" s="82"/>
      <c r="O15" s="82"/>
      <c r="P15" s="82">
        <f>Commodities_prices!P135</f>
        <v>1600</v>
      </c>
      <c r="Q15" s="82">
        <f>Commodities_prices!Q135</f>
        <v>1800</v>
      </c>
      <c r="R15" s="82"/>
      <c r="S15" s="82">
        <f>T15</f>
        <v>1200</v>
      </c>
      <c r="T15" s="82">
        <f>Total!U149</f>
        <v>1200</v>
      </c>
      <c r="U15" s="82">
        <f>Total!V149</f>
        <v>1200</v>
      </c>
      <c r="V15" s="82">
        <f>Total!W149</f>
        <v>1500</v>
      </c>
      <c r="W15" s="82">
        <f>Total!X149</f>
        <v>1600</v>
      </c>
      <c r="X15" s="82">
        <f>Total!Y149</f>
        <v>1719.375</v>
      </c>
      <c r="Y15" s="82">
        <f>Total!Z149</f>
        <v>1805.34375</v>
      </c>
      <c r="Z15" s="82">
        <f t="shared" ref="Z15:AG15" si="6">Y15</f>
        <v>1805.34375</v>
      </c>
      <c r="AA15" s="82">
        <f t="shared" si="6"/>
        <v>1805.34375</v>
      </c>
      <c r="AB15" s="82">
        <f t="shared" si="6"/>
        <v>1805.34375</v>
      </c>
      <c r="AC15" s="82">
        <f t="shared" si="6"/>
        <v>1805.34375</v>
      </c>
      <c r="AD15" s="82">
        <f t="shared" si="6"/>
        <v>1805.34375</v>
      </c>
      <c r="AE15" s="82">
        <f t="shared" si="6"/>
        <v>1805.34375</v>
      </c>
      <c r="AF15" s="82">
        <f t="shared" si="6"/>
        <v>1805.34375</v>
      </c>
      <c r="AG15" s="82">
        <f t="shared" si="6"/>
        <v>1805.34375</v>
      </c>
      <c r="AH15" s="82"/>
      <c r="AI15" s="82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</row>
    <row r="16" spans="1:60" s="81" customFormat="1" ht="15.75" hidden="1" customHeight="1" outlineLevel="1">
      <c r="A16" s="460"/>
      <c r="B16" s="91"/>
      <c r="C16" s="478"/>
      <c r="D16" s="87"/>
      <c r="E16" s="87"/>
      <c r="F16" s="87"/>
      <c r="H16" s="463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>
        <f t="shared" ref="S16:S75" si="7">Q16</f>
        <v>0</v>
      </c>
      <c r="T16" s="82">
        <f t="shared" ref="T16:T75" si="8">S16</f>
        <v>0</v>
      </c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</row>
    <row r="17" spans="1:57" s="81" customFormat="1" ht="15.75" customHeight="1" collapsed="1">
      <c r="A17" s="460"/>
      <c r="B17" s="91"/>
      <c r="C17" s="162" t="s">
        <v>1792</v>
      </c>
      <c r="D17" s="87"/>
      <c r="E17" s="87"/>
      <c r="F17" s="87"/>
      <c r="H17" s="88"/>
      <c r="I17" s="82"/>
      <c r="J17" s="82"/>
      <c r="K17" s="82"/>
      <c r="L17" s="82"/>
      <c r="S17" s="81">
        <f t="shared" si="7"/>
        <v>0</v>
      </c>
      <c r="T17" s="81">
        <f t="shared" si="8"/>
        <v>0</v>
      </c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</row>
    <row r="18" spans="1:57" s="81" customFormat="1" ht="15.75" customHeight="1">
      <c r="A18" s="460"/>
      <c r="B18" s="91"/>
      <c r="C18" s="481" t="s">
        <v>1757</v>
      </c>
      <c r="D18" s="87"/>
      <c r="E18" s="87"/>
      <c r="F18" s="87"/>
      <c r="H18" s="88"/>
      <c r="I18" s="82"/>
      <c r="J18" s="82"/>
      <c r="K18" s="82"/>
      <c r="L18" s="82"/>
      <c r="M18" s="82"/>
      <c r="N18" s="82"/>
      <c r="O18" s="82"/>
      <c r="P18" s="82">
        <v>1400000</v>
      </c>
      <c r="Q18" s="82">
        <f>P18-Q21</f>
        <v>1400000</v>
      </c>
      <c r="R18" s="82"/>
      <c r="S18" s="82">
        <f t="shared" si="7"/>
        <v>1400000</v>
      </c>
      <c r="T18" s="82">
        <f t="shared" si="8"/>
        <v>1400000</v>
      </c>
      <c r="U18" s="82">
        <f>Q18-U21</f>
        <v>1400000</v>
      </c>
      <c r="V18" s="82">
        <f t="shared" ref="V18:AG18" si="9">U18-V21</f>
        <v>1400000</v>
      </c>
      <c r="W18" s="82">
        <f t="shared" si="9"/>
        <v>1400000</v>
      </c>
      <c r="X18" s="82">
        <f t="shared" si="9"/>
        <v>1400000</v>
      </c>
      <c r="Y18" s="82">
        <f t="shared" si="9"/>
        <v>1400000</v>
      </c>
      <c r="Z18" s="82">
        <f t="shared" si="9"/>
        <v>1400000</v>
      </c>
      <c r="AA18" s="82">
        <f t="shared" si="9"/>
        <v>1400000</v>
      </c>
      <c r="AB18" s="82">
        <f t="shared" si="9"/>
        <v>1400000</v>
      </c>
      <c r="AC18" s="82">
        <f t="shared" si="9"/>
        <v>1400000</v>
      </c>
      <c r="AD18" s="82">
        <f t="shared" si="9"/>
        <v>1400000</v>
      </c>
      <c r="AE18" s="82">
        <f t="shared" si="9"/>
        <v>900000</v>
      </c>
      <c r="AF18" s="82">
        <f t="shared" si="9"/>
        <v>400000</v>
      </c>
      <c r="AG18" s="82">
        <f t="shared" si="9"/>
        <v>0</v>
      </c>
      <c r="AH18" s="82"/>
      <c r="AI18" s="82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</row>
    <row r="19" spans="1:57" s="81" customFormat="1" ht="15.75" customHeight="1">
      <c r="A19" s="460"/>
      <c r="B19" s="91"/>
      <c r="C19" s="481" t="s">
        <v>1758</v>
      </c>
      <c r="D19" s="87"/>
      <c r="E19" s="87"/>
      <c r="F19" s="87"/>
      <c r="H19" s="88"/>
      <c r="I19" s="82"/>
      <c r="J19" s="82"/>
      <c r="K19" s="82"/>
      <c r="L19" s="82"/>
      <c r="M19" s="82"/>
      <c r="N19" s="82"/>
      <c r="O19" s="82"/>
      <c r="P19" s="82">
        <v>5500000</v>
      </c>
      <c r="Q19" s="82">
        <f>P19-Q22</f>
        <v>5000000</v>
      </c>
      <c r="R19" s="82"/>
      <c r="S19" s="82">
        <f t="shared" si="7"/>
        <v>5000000</v>
      </c>
      <c r="T19" s="82">
        <f t="shared" si="8"/>
        <v>5000000</v>
      </c>
      <c r="U19" s="82">
        <f>Q19-U22</f>
        <v>4500000</v>
      </c>
      <c r="V19" s="82">
        <f t="shared" ref="V19:AG19" si="10">U19-V22</f>
        <v>4000000</v>
      </c>
      <c r="W19" s="82">
        <f t="shared" si="10"/>
        <v>3500000</v>
      </c>
      <c r="X19" s="82">
        <f t="shared" si="10"/>
        <v>3000000</v>
      </c>
      <c r="Y19" s="82">
        <f t="shared" si="10"/>
        <v>2500000</v>
      </c>
      <c r="Z19" s="82">
        <f t="shared" si="10"/>
        <v>2000000</v>
      </c>
      <c r="AA19" s="82">
        <f t="shared" si="10"/>
        <v>1500000</v>
      </c>
      <c r="AB19" s="82">
        <f t="shared" si="10"/>
        <v>1000000</v>
      </c>
      <c r="AC19" s="82">
        <f t="shared" si="10"/>
        <v>500000</v>
      </c>
      <c r="AD19" s="82">
        <f t="shared" si="10"/>
        <v>0</v>
      </c>
      <c r="AE19" s="82">
        <f t="shared" si="10"/>
        <v>0</v>
      </c>
      <c r="AF19" s="82">
        <f t="shared" si="10"/>
        <v>0</v>
      </c>
      <c r="AG19" s="82">
        <f t="shared" si="10"/>
        <v>0</v>
      </c>
      <c r="AH19" s="82"/>
      <c r="AI19" s="82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</row>
    <row r="20" spans="1:57" s="81" customFormat="1" ht="15.75" customHeight="1">
      <c r="A20" s="460"/>
      <c r="B20" s="91"/>
      <c r="C20" s="82" t="s">
        <v>1756</v>
      </c>
      <c r="D20" s="87"/>
      <c r="E20" s="87"/>
      <c r="F20" s="87"/>
      <c r="H20" s="88"/>
      <c r="I20" s="82"/>
      <c r="J20" s="82"/>
      <c r="K20" s="87"/>
      <c r="L20" s="87"/>
      <c r="P20" s="82">
        <f>SUM(P18:P19)</f>
        <v>6900000</v>
      </c>
      <c r="Q20" s="82">
        <f t="shared" ref="Q20:AG20" si="11">SUM(Q18:Q19)</f>
        <v>6400000</v>
      </c>
      <c r="R20" s="82"/>
      <c r="S20" s="82">
        <f t="shared" si="7"/>
        <v>6400000</v>
      </c>
      <c r="T20" s="82">
        <f t="shared" si="8"/>
        <v>6400000</v>
      </c>
      <c r="U20" s="82">
        <f t="shared" si="11"/>
        <v>5900000</v>
      </c>
      <c r="V20" s="82">
        <f t="shared" si="11"/>
        <v>5400000</v>
      </c>
      <c r="W20" s="82">
        <f t="shared" si="11"/>
        <v>4900000</v>
      </c>
      <c r="X20" s="82">
        <f t="shared" si="11"/>
        <v>4400000</v>
      </c>
      <c r="Y20" s="82">
        <f t="shared" si="11"/>
        <v>3900000</v>
      </c>
      <c r="Z20" s="82">
        <f t="shared" si="11"/>
        <v>3400000</v>
      </c>
      <c r="AA20" s="82">
        <f t="shared" si="11"/>
        <v>2900000</v>
      </c>
      <c r="AB20" s="82">
        <f t="shared" si="11"/>
        <v>2400000</v>
      </c>
      <c r="AC20" s="82">
        <f t="shared" si="11"/>
        <v>1900000</v>
      </c>
      <c r="AD20" s="82">
        <f t="shared" si="11"/>
        <v>1400000</v>
      </c>
      <c r="AE20" s="82">
        <f t="shared" si="11"/>
        <v>900000</v>
      </c>
      <c r="AF20" s="82">
        <f t="shared" si="11"/>
        <v>400000</v>
      </c>
      <c r="AG20" s="82">
        <f t="shared" si="11"/>
        <v>0</v>
      </c>
      <c r="AH20" s="82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</row>
    <row r="21" spans="1:57" s="81" customFormat="1" ht="15.75" customHeight="1">
      <c r="A21" s="460"/>
      <c r="B21" s="91"/>
      <c r="C21" s="87" t="s">
        <v>1759</v>
      </c>
      <c r="D21" s="87"/>
      <c r="E21" s="87"/>
      <c r="F21" s="87"/>
      <c r="H21" s="88"/>
      <c r="I21" s="82"/>
      <c r="J21" s="82"/>
      <c r="K21" s="82"/>
      <c r="L21" s="82"/>
      <c r="M21" s="82"/>
      <c r="N21" s="82"/>
      <c r="O21" s="82"/>
      <c r="P21" s="82">
        <v>0</v>
      </c>
      <c r="Q21" s="82">
        <v>0</v>
      </c>
      <c r="R21" s="82"/>
      <c r="S21" s="82">
        <f t="shared" si="7"/>
        <v>0</v>
      </c>
      <c r="T21" s="82">
        <f t="shared" si="8"/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0</v>
      </c>
      <c r="AB21" s="82">
        <v>0</v>
      </c>
      <c r="AC21" s="82">
        <v>0</v>
      </c>
      <c r="AD21" s="82">
        <v>0</v>
      </c>
      <c r="AE21" s="82">
        <v>500000</v>
      </c>
      <c r="AF21" s="82">
        <v>500000</v>
      </c>
      <c r="AG21" s="82">
        <v>400000</v>
      </c>
      <c r="AH21" s="82"/>
      <c r="AI21" s="82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</row>
    <row r="22" spans="1:57" s="81" customFormat="1" ht="15.75" customHeight="1">
      <c r="A22" s="460"/>
      <c r="B22" s="91"/>
      <c r="C22" s="87" t="s">
        <v>1760</v>
      </c>
      <c r="D22" s="87"/>
      <c r="E22" s="87"/>
      <c r="F22" s="87"/>
      <c r="H22" s="88"/>
      <c r="I22" s="82"/>
      <c r="J22" s="82"/>
      <c r="K22" s="82"/>
      <c r="L22" s="82"/>
      <c r="M22" s="82"/>
      <c r="N22" s="82"/>
      <c r="O22" s="82"/>
      <c r="P22" s="82"/>
      <c r="Q22" s="82">
        <v>500000</v>
      </c>
      <c r="R22" s="82"/>
      <c r="S22" s="82">
        <f t="shared" si="7"/>
        <v>500000</v>
      </c>
      <c r="T22" s="82">
        <f t="shared" si="8"/>
        <v>500000</v>
      </c>
      <c r="U22" s="82">
        <v>500000</v>
      </c>
      <c r="V22" s="82">
        <v>500000</v>
      </c>
      <c r="W22" s="82">
        <v>500000</v>
      </c>
      <c r="X22" s="82">
        <v>500000</v>
      </c>
      <c r="Y22" s="82">
        <v>500000</v>
      </c>
      <c r="Z22" s="82">
        <v>500000</v>
      </c>
      <c r="AA22" s="82">
        <v>500000</v>
      </c>
      <c r="AB22" s="82">
        <v>500000</v>
      </c>
      <c r="AC22" s="82">
        <v>500000</v>
      </c>
      <c r="AD22" s="82">
        <v>500000</v>
      </c>
      <c r="AE22" s="82">
        <v>0</v>
      </c>
      <c r="AF22" s="82">
        <v>0</v>
      </c>
      <c r="AG22" s="82">
        <v>0</v>
      </c>
      <c r="AH22" s="82"/>
      <c r="AI22" s="82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</row>
    <row r="23" spans="1:57" s="81" customFormat="1" ht="15.75" customHeight="1">
      <c r="A23" s="460"/>
      <c r="B23" s="91"/>
      <c r="C23" s="87" t="s">
        <v>1761</v>
      </c>
      <c r="D23" s="87"/>
      <c r="E23" s="87"/>
      <c r="F23" s="87"/>
      <c r="H23" s="88"/>
      <c r="I23" s="82"/>
      <c r="J23" s="82"/>
      <c r="K23" s="82"/>
      <c r="L23" s="82"/>
      <c r="M23" s="82"/>
      <c r="N23" s="82"/>
      <c r="O23" s="82"/>
      <c r="P23" s="82"/>
      <c r="Q23" s="82">
        <v>0</v>
      </c>
      <c r="R23" s="82"/>
      <c r="S23" s="82">
        <f t="shared" si="7"/>
        <v>0</v>
      </c>
      <c r="T23" s="82">
        <f t="shared" si="8"/>
        <v>0</v>
      </c>
      <c r="U23" s="82">
        <v>0</v>
      </c>
      <c r="V23" s="82">
        <v>0</v>
      </c>
      <c r="W23" s="82">
        <v>0</v>
      </c>
      <c r="X23" s="82">
        <v>0</v>
      </c>
      <c r="Y23" s="82">
        <v>0</v>
      </c>
      <c r="Z23" s="82">
        <v>0</v>
      </c>
      <c r="AA23" s="82">
        <v>0</v>
      </c>
      <c r="AB23" s="82">
        <v>0</v>
      </c>
      <c r="AC23" s="82">
        <v>0</v>
      </c>
      <c r="AD23" s="82">
        <v>0</v>
      </c>
      <c r="AE23" s="82">
        <v>1500000</v>
      </c>
      <c r="AF23" s="82">
        <v>1500000</v>
      </c>
      <c r="AG23" s="82">
        <v>1500000</v>
      </c>
      <c r="AH23" s="82"/>
      <c r="AI23" s="82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</row>
    <row r="24" spans="1:57" s="81" customFormat="1" ht="15.75" customHeight="1">
      <c r="A24" s="460"/>
      <c r="B24" s="91"/>
      <c r="C24" s="87" t="s">
        <v>1762</v>
      </c>
      <c r="D24" s="87"/>
      <c r="E24" s="87"/>
      <c r="F24" s="87"/>
      <c r="H24" s="88"/>
      <c r="I24" s="82"/>
      <c r="J24" s="82"/>
      <c r="K24" s="82"/>
      <c r="L24" s="82"/>
      <c r="M24" s="82"/>
      <c r="N24" s="82"/>
      <c r="O24" s="82"/>
      <c r="P24" s="82"/>
      <c r="Q24" s="82">
        <v>1295000</v>
      </c>
      <c r="R24" s="82"/>
      <c r="S24" s="82">
        <f t="shared" si="7"/>
        <v>1295000</v>
      </c>
      <c r="T24" s="82">
        <f t="shared" si="8"/>
        <v>1295000</v>
      </c>
      <c r="U24" s="82">
        <v>1295000</v>
      </c>
      <c r="V24" s="82">
        <v>1295000</v>
      </c>
      <c r="W24" s="82">
        <v>1295000</v>
      </c>
      <c r="X24" s="82">
        <v>1295000</v>
      </c>
      <c r="Y24" s="82">
        <v>1295000</v>
      </c>
      <c r="Z24" s="82">
        <v>1295000</v>
      </c>
      <c r="AA24" s="82">
        <v>1295000</v>
      </c>
      <c r="AB24" s="82">
        <v>1295000</v>
      </c>
      <c r="AC24" s="82">
        <v>1295000</v>
      </c>
      <c r="AD24" s="82">
        <v>1295000</v>
      </c>
      <c r="AE24" s="82">
        <v>0</v>
      </c>
      <c r="AF24" s="82">
        <v>0</v>
      </c>
      <c r="AG24" s="82">
        <v>0</v>
      </c>
      <c r="AH24" s="82"/>
      <c r="AI24" s="82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</row>
    <row r="25" spans="1:57" s="81" customFormat="1" ht="15.75" customHeight="1">
      <c r="A25" s="460"/>
      <c r="B25" s="91"/>
      <c r="C25" s="87" t="s">
        <v>118</v>
      </c>
      <c r="D25" s="87"/>
      <c r="E25" s="87"/>
      <c r="F25" s="87"/>
      <c r="H25" s="88"/>
      <c r="I25" s="82"/>
      <c r="J25" s="82"/>
      <c r="K25" s="82"/>
      <c r="L25" s="82"/>
      <c r="M25" s="82"/>
      <c r="N25" s="82"/>
      <c r="O25" s="82"/>
      <c r="P25" s="82">
        <f>SUM(P21:P24)</f>
        <v>0</v>
      </c>
      <c r="Q25" s="82">
        <f t="shared" ref="Q25:AG25" si="12">SUM(Q21:Q24)</f>
        <v>1795000</v>
      </c>
      <c r="R25" s="82"/>
      <c r="S25" s="82">
        <f t="shared" si="7"/>
        <v>1795000</v>
      </c>
      <c r="T25" s="82">
        <f t="shared" si="8"/>
        <v>1795000</v>
      </c>
      <c r="U25" s="82">
        <f t="shared" si="12"/>
        <v>1795000</v>
      </c>
      <c r="V25" s="82">
        <f t="shared" si="12"/>
        <v>1795000</v>
      </c>
      <c r="W25" s="82">
        <f t="shared" si="12"/>
        <v>1795000</v>
      </c>
      <c r="X25" s="82">
        <f t="shared" si="12"/>
        <v>1795000</v>
      </c>
      <c r="Y25" s="82">
        <f t="shared" si="12"/>
        <v>1795000</v>
      </c>
      <c r="Z25" s="82">
        <f t="shared" si="12"/>
        <v>1795000</v>
      </c>
      <c r="AA25" s="82">
        <f t="shared" si="12"/>
        <v>1795000</v>
      </c>
      <c r="AB25" s="82">
        <f t="shared" si="12"/>
        <v>1795000</v>
      </c>
      <c r="AC25" s="82">
        <f t="shared" si="12"/>
        <v>1795000</v>
      </c>
      <c r="AD25" s="82">
        <f t="shared" si="12"/>
        <v>1795000</v>
      </c>
      <c r="AE25" s="82">
        <f t="shared" si="12"/>
        <v>2000000</v>
      </c>
      <c r="AF25" s="82">
        <f t="shared" si="12"/>
        <v>2000000</v>
      </c>
      <c r="AG25" s="82">
        <f t="shared" si="12"/>
        <v>1900000</v>
      </c>
      <c r="AH25" s="82"/>
      <c r="AI25" s="82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</row>
    <row r="26" spans="1:57" s="81" customFormat="1" ht="15.75" customHeight="1">
      <c r="A26" s="460"/>
      <c r="B26" s="91"/>
      <c r="C26" s="481" t="s">
        <v>1763</v>
      </c>
      <c r="D26" s="87"/>
      <c r="E26" s="87"/>
      <c r="F26" s="87"/>
      <c r="H26" s="88"/>
      <c r="I26" s="82"/>
      <c r="J26" s="82"/>
      <c r="K26" s="82"/>
      <c r="L26" s="82"/>
      <c r="M26" s="82"/>
      <c r="N26" s="82"/>
      <c r="O26" s="82"/>
      <c r="P26" s="82"/>
      <c r="Q26" s="1013">
        <f t="shared" ref="Q26:AG26" si="13">(Q23+Q24)/(Q21+Q22)</f>
        <v>2.59</v>
      </c>
      <c r="R26" s="1013"/>
      <c r="S26" s="1013">
        <f t="shared" si="7"/>
        <v>2.59</v>
      </c>
      <c r="T26" s="1013">
        <f t="shared" si="8"/>
        <v>2.59</v>
      </c>
      <c r="U26" s="1013">
        <f t="shared" si="13"/>
        <v>2.59</v>
      </c>
      <c r="V26" s="1013">
        <f t="shared" si="13"/>
        <v>2.59</v>
      </c>
      <c r="W26" s="1013">
        <f t="shared" si="13"/>
        <v>2.59</v>
      </c>
      <c r="X26" s="1013">
        <f t="shared" si="13"/>
        <v>2.59</v>
      </c>
      <c r="Y26" s="1013">
        <f t="shared" si="13"/>
        <v>2.59</v>
      </c>
      <c r="Z26" s="1013">
        <f t="shared" si="13"/>
        <v>2.59</v>
      </c>
      <c r="AA26" s="1013">
        <f t="shared" si="13"/>
        <v>2.59</v>
      </c>
      <c r="AB26" s="1013">
        <f t="shared" si="13"/>
        <v>2.59</v>
      </c>
      <c r="AC26" s="1013">
        <f t="shared" si="13"/>
        <v>2.59</v>
      </c>
      <c r="AD26" s="1013">
        <f t="shared" si="13"/>
        <v>2.59</v>
      </c>
      <c r="AE26" s="1013">
        <f t="shared" si="13"/>
        <v>3</v>
      </c>
      <c r="AF26" s="1013">
        <f t="shared" si="13"/>
        <v>3</v>
      </c>
      <c r="AG26" s="1013">
        <f t="shared" si="13"/>
        <v>3.75</v>
      </c>
      <c r="AH26" s="82"/>
      <c r="AI26" s="82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</row>
    <row r="27" spans="1:57" s="81" customFormat="1" ht="15.75" hidden="1" customHeight="1" outlineLevel="1">
      <c r="A27" s="460"/>
      <c r="B27" s="91"/>
      <c r="C27" s="482" t="s">
        <v>1764</v>
      </c>
      <c r="D27" s="87"/>
      <c r="E27" s="87"/>
      <c r="F27" s="87"/>
      <c r="H27" s="88"/>
      <c r="I27" s="486"/>
      <c r="J27" s="77"/>
      <c r="K27" s="550"/>
      <c r="L27" s="550"/>
      <c r="M27" s="77"/>
      <c r="N27" s="77"/>
      <c r="O27" s="77"/>
      <c r="P27" s="555">
        <v>3.4020000000000001</v>
      </c>
      <c r="Q27" s="555">
        <v>3.4020000000000001</v>
      </c>
      <c r="R27" s="555"/>
      <c r="S27" s="555">
        <f t="shared" si="7"/>
        <v>3.4020000000000001</v>
      </c>
      <c r="T27" s="555">
        <f t="shared" si="8"/>
        <v>3.4020000000000001</v>
      </c>
      <c r="U27" s="555">
        <v>3.4020000000000001</v>
      </c>
      <c r="V27" s="555">
        <v>3.4020000000000001</v>
      </c>
      <c r="W27" s="555">
        <v>3.4020000000000001</v>
      </c>
      <c r="X27" s="555">
        <v>3.4020000000000001</v>
      </c>
      <c r="Y27" s="555">
        <v>3.4020000000000001</v>
      </c>
      <c r="Z27" s="555">
        <v>3.4020000000000001</v>
      </c>
      <c r="AA27" s="555">
        <v>3.4020000000000001</v>
      </c>
      <c r="AB27" s="555">
        <v>3.4020000000000001</v>
      </c>
      <c r="AC27" s="555">
        <v>3.4020000000000001</v>
      </c>
      <c r="AD27" s="555">
        <v>3.4020000000000001</v>
      </c>
      <c r="AE27" s="555">
        <v>3.4020000000000001</v>
      </c>
      <c r="AF27" s="555">
        <v>3.4020000000000001</v>
      </c>
      <c r="AG27" s="555">
        <v>3.4020000000000001</v>
      </c>
      <c r="AH27" s="555"/>
      <c r="AI27" s="77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</row>
    <row r="28" spans="1:57" s="81" customFormat="1" ht="15.75" hidden="1" customHeight="1" outlineLevel="1">
      <c r="A28" s="460"/>
      <c r="B28" s="91"/>
      <c r="C28" s="482" t="s">
        <v>1765</v>
      </c>
      <c r="D28" s="87"/>
      <c r="E28" s="87"/>
      <c r="F28" s="87"/>
      <c r="H28" s="88"/>
      <c r="I28" s="551"/>
      <c r="J28" s="551"/>
      <c r="K28" s="552"/>
      <c r="L28" s="551"/>
      <c r="M28" s="551"/>
      <c r="N28" s="551"/>
      <c r="O28" s="551"/>
      <c r="P28" s="555">
        <v>3.0059999999999998</v>
      </c>
      <c r="Q28" s="555">
        <v>3.0059999999999998</v>
      </c>
      <c r="R28" s="555"/>
      <c r="S28" s="555">
        <f t="shared" si="7"/>
        <v>3.0059999999999998</v>
      </c>
      <c r="T28" s="555">
        <f t="shared" si="8"/>
        <v>3.0059999999999998</v>
      </c>
      <c r="U28" s="555">
        <v>3.0059999999999998</v>
      </c>
      <c r="V28" s="555">
        <v>3.0059999999999998</v>
      </c>
      <c r="W28" s="555">
        <v>3.0059999999999998</v>
      </c>
      <c r="X28" s="555">
        <v>3.0059999999999998</v>
      </c>
      <c r="Y28" s="555">
        <v>3.0059999999999998</v>
      </c>
      <c r="Z28" s="555">
        <v>3.0059999999999998</v>
      </c>
      <c r="AA28" s="555">
        <v>3.0059999999999998</v>
      </c>
      <c r="AB28" s="555">
        <v>3.0059999999999998</v>
      </c>
      <c r="AC28" s="555">
        <v>3.0059999999999998</v>
      </c>
      <c r="AD28" s="555">
        <v>3.0059999999999998</v>
      </c>
      <c r="AE28" s="555">
        <v>3.0059999999999998</v>
      </c>
      <c r="AF28" s="555">
        <v>3.0059999999999998</v>
      </c>
      <c r="AG28" s="555">
        <v>3.0059999999999998</v>
      </c>
      <c r="AH28" s="555"/>
      <c r="AI28" s="551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</row>
    <row r="29" spans="1:57" s="81" customFormat="1" ht="15.75" hidden="1" customHeight="1" outlineLevel="1">
      <c r="A29" s="460"/>
      <c r="B29" s="91"/>
      <c r="C29" s="482" t="s">
        <v>1225</v>
      </c>
      <c r="D29" s="87"/>
      <c r="E29" s="87"/>
      <c r="F29" s="87"/>
      <c r="H29" s="88"/>
      <c r="I29" s="553"/>
      <c r="J29" s="550"/>
      <c r="K29" s="554"/>
      <c r="L29" s="554"/>
      <c r="M29" s="555"/>
      <c r="N29" s="555"/>
      <c r="O29" s="555"/>
      <c r="P29" s="555">
        <v>15.48</v>
      </c>
      <c r="Q29" s="555">
        <v>15.48</v>
      </c>
      <c r="R29" s="555"/>
      <c r="S29" s="555">
        <f t="shared" si="7"/>
        <v>15.48</v>
      </c>
      <c r="T29" s="555">
        <f t="shared" si="8"/>
        <v>15.48</v>
      </c>
      <c r="U29" s="555">
        <v>15.48</v>
      </c>
      <c r="V29" s="555">
        <v>15.48</v>
      </c>
      <c r="W29" s="555">
        <v>15.48</v>
      </c>
      <c r="X29" s="555">
        <v>15.48</v>
      </c>
      <c r="Y29" s="555">
        <v>15.48</v>
      </c>
      <c r="Z29" s="555">
        <v>15.48</v>
      </c>
      <c r="AA29" s="555">
        <v>15.48</v>
      </c>
      <c r="AB29" s="555">
        <v>15.48</v>
      </c>
      <c r="AC29" s="555">
        <v>15.48</v>
      </c>
      <c r="AD29" s="555">
        <v>15.48</v>
      </c>
      <c r="AE29" s="555">
        <v>15.48</v>
      </c>
      <c r="AF29" s="555">
        <v>15.48</v>
      </c>
      <c r="AG29" s="555">
        <v>15.48</v>
      </c>
      <c r="AH29" s="555"/>
      <c r="AI29" s="555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</row>
    <row r="30" spans="1:57" s="81" customFormat="1" ht="15.75" hidden="1" customHeight="1" outlineLevel="1">
      <c r="A30" s="460"/>
      <c r="B30" s="91"/>
      <c r="C30" s="482" t="s">
        <v>1766</v>
      </c>
      <c r="D30" s="87"/>
      <c r="E30" s="87"/>
      <c r="F30" s="87"/>
      <c r="H30" s="88"/>
      <c r="I30" s="553"/>
      <c r="J30" s="553"/>
      <c r="K30" s="554"/>
      <c r="L30" s="554"/>
      <c r="M30" s="555"/>
      <c r="N30" s="555"/>
      <c r="O30" s="555"/>
      <c r="P30" s="556">
        <v>0.53320000000000001</v>
      </c>
      <c r="Q30" s="556">
        <v>0.53320000000000001</v>
      </c>
      <c r="R30" s="556"/>
      <c r="S30" s="556">
        <f t="shared" si="7"/>
        <v>0.53320000000000001</v>
      </c>
      <c r="T30" s="556">
        <f t="shared" si="8"/>
        <v>0.53320000000000001</v>
      </c>
      <c r="U30" s="556">
        <v>0.53320000000000001</v>
      </c>
      <c r="V30" s="556">
        <v>0.53320000000000001</v>
      </c>
      <c r="W30" s="556">
        <v>0.53320000000000001</v>
      </c>
      <c r="X30" s="556">
        <v>0.53320000000000001</v>
      </c>
      <c r="Y30" s="556">
        <v>0.53320000000000001</v>
      </c>
      <c r="Z30" s="556">
        <v>0.53320000000000001</v>
      </c>
      <c r="AA30" s="556">
        <v>0.53320000000000001</v>
      </c>
      <c r="AB30" s="556">
        <v>0.53320000000000001</v>
      </c>
      <c r="AC30" s="556">
        <v>0.53320000000000001</v>
      </c>
      <c r="AD30" s="556">
        <v>0.53320000000000001</v>
      </c>
      <c r="AE30" s="556">
        <v>0.53320000000000001</v>
      </c>
      <c r="AF30" s="556">
        <v>0.53320000000000001</v>
      </c>
      <c r="AG30" s="556">
        <v>0.53320000000000001</v>
      </c>
      <c r="AH30" s="556"/>
      <c r="AI30" s="555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</row>
    <row r="31" spans="1:57" s="81" customFormat="1" ht="15.75" hidden="1" customHeight="1" outlineLevel="1">
      <c r="A31" s="460"/>
      <c r="B31" s="91"/>
      <c r="C31" s="482" t="s">
        <v>1767</v>
      </c>
      <c r="D31" s="87"/>
      <c r="E31" s="87"/>
      <c r="F31" s="87"/>
      <c r="H31" s="88"/>
      <c r="I31" s="486"/>
      <c r="J31" s="77"/>
      <c r="K31" s="556"/>
      <c r="L31" s="556"/>
      <c r="M31" s="77"/>
      <c r="N31" s="77"/>
      <c r="O31" s="77"/>
      <c r="P31" s="556">
        <v>0.73</v>
      </c>
      <c r="Q31" s="556">
        <v>0.73</v>
      </c>
      <c r="R31" s="556"/>
      <c r="S31" s="556">
        <f t="shared" si="7"/>
        <v>0.73</v>
      </c>
      <c r="T31" s="556">
        <f t="shared" si="8"/>
        <v>0.73</v>
      </c>
      <c r="U31" s="556">
        <v>0.73</v>
      </c>
      <c r="V31" s="556">
        <v>0.73</v>
      </c>
      <c r="W31" s="556">
        <v>0.73</v>
      </c>
      <c r="X31" s="556">
        <v>0.73</v>
      </c>
      <c r="Y31" s="556">
        <v>0.73</v>
      </c>
      <c r="Z31" s="556">
        <v>0.73</v>
      </c>
      <c r="AA31" s="556">
        <v>0.73</v>
      </c>
      <c r="AB31" s="556">
        <v>0.73</v>
      </c>
      <c r="AC31" s="556">
        <v>0.73</v>
      </c>
      <c r="AD31" s="556">
        <v>0.73</v>
      </c>
      <c r="AE31" s="556">
        <v>0.73</v>
      </c>
      <c r="AF31" s="556">
        <v>0.73</v>
      </c>
      <c r="AG31" s="556">
        <v>0.73</v>
      </c>
      <c r="AH31" s="556"/>
      <c r="AI31" s="77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</row>
    <row r="32" spans="1:57" s="81" customFormat="1" ht="15.75" hidden="1" customHeight="1" outlineLevel="1">
      <c r="A32" s="460"/>
      <c r="B32" s="91"/>
      <c r="C32" s="482" t="s">
        <v>1768</v>
      </c>
      <c r="D32" s="87"/>
      <c r="E32" s="87"/>
      <c r="F32" s="87"/>
      <c r="H32" s="88"/>
      <c r="I32" s="77"/>
      <c r="J32" s="77"/>
      <c r="K32" s="556"/>
      <c r="L32" s="556"/>
      <c r="M32" s="77"/>
      <c r="N32" s="77"/>
      <c r="O32" s="77"/>
      <c r="P32" s="556">
        <v>0.67910000000000004</v>
      </c>
      <c r="Q32" s="556">
        <v>0.67910000000000004</v>
      </c>
      <c r="R32" s="556"/>
      <c r="S32" s="556">
        <f t="shared" si="7"/>
        <v>0.67910000000000004</v>
      </c>
      <c r="T32" s="556">
        <f t="shared" si="8"/>
        <v>0.67910000000000004</v>
      </c>
      <c r="U32" s="556">
        <v>0.67910000000000004</v>
      </c>
      <c r="V32" s="556">
        <v>0.67910000000000004</v>
      </c>
      <c r="W32" s="556">
        <v>0.67910000000000004</v>
      </c>
      <c r="X32" s="556">
        <v>0.67910000000000004</v>
      </c>
      <c r="Y32" s="556">
        <v>0.67910000000000004</v>
      </c>
      <c r="Z32" s="556">
        <v>0.67910000000000004</v>
      </c>
      <c r="AA32" s="556">
        <v>0.67910000000000004</v>
      </c>
      <c r="AB32" s="556">
        <v>0.67910000000000004</v>
      </c>
      <c r="AC32" s="556">
        <v>0.67910000000000004</v>
      </c>
      <c r="AD32" s="556">
        <v>0.67910000000000004</v>
      </c>
      <c r="AE32" s="556">
        <v>0.67910000000000004</v>
      </c>
      <c r="AF32" s="556">
        <v>0.67910000000000004</v>
      </c>
      <c r="AG32" s="556">
        <v>0.67910000000000004</v>
      </c>
      <c r="AH32" s="556"/>
      <c r="AI32" s="77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</row>
    <row r="33" spans="1:60" s="81" customFormat="1" ht="15.75" hidden="1" customHeight="1" outlineLevel="1">
      <c r="A33" s="460"/>
      <c r="B33" s="91"/>
      <c r="C33" s="482" t="s">
        <v>1228</v>
      </c>
      <c r="D33" s="87"/>
      <c r="E33" s="87"/>
      <c r="F33" s="87"/>
      <c r="H33" s="88"/>
      <c r="I33" s="77"/>
      <c r="J33" s="77"/>
      <c r="K33" s="556"/>
      <c r="L33" s="556"/>
      <c r="M33" s="77"/>
      <c r="N33" s="77"/>
      <c r="O33" s="77"/>
      <c r="P33" s="556">
        <v>0.52459999999999996</v>
      </c>
      <c r="Q33" s="556">
        <v>0.52459999999999996</v>
      </c>
      <c r="R33" s="556"/>
      <c r="S33" s="556">
        <f t="shared" si="7"/>
        <v>0.52459999999999996</v>
      </c>
      <c r="T33" s="556">
        <f t="shared" si="8"/>
        <v>0.52459999999999996</v>
      </c>
      <c r="U33" s="556">
        <v>0.52459999999999996</v>
      </c>
      <c r="V33" s="556">
        <v>0.52459999999999996</v>
      </c>
      <c r="W33" s="556">
        <v>0.52459999999999996</v>
      </c>
      <c r="X33" s="556">
        <v>0.52459999999999996</v>
      </c>
      <c r="Y33" s="556">
        <v>0.52459999999999996</v>
      </c>
      <c r="Z33" s="556">
        <v>0.52459999999999996</v>
      </c>
      <c r="AA33" s="556">
        <v>0.52459999999999996</v>
      </c>
      <c r="AB33" s="556">
        <v>0.52459999999999996</v>
      </c>
      <c r="AC33" s="556">
        <v>0.52459999999999996</v>
      </c>
      <c r="AD33" s="556">
        <v>0.52459999999999996</v>
      </c>
      <c r="AE33" s="556">
        <v>0.52459999999999996</v>
      </c>
      <c r="AF33" s="556">
        <v>0.52459999999999996</v>
      </c>
      <c r="AG33" s="556">
        <v>0.52459999999999996</v>
      </c>
      <c r="AH33" s="556"/>
      <c r="AI33" s="77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</row>
    <row r="34" spans="1:60" s="81" customFormat="1" ht="15.75" hidden="1" customHeight="1" outlineLevel="1">
      <c r="A34" s="460"/>
      <c r="B34" s="91"/>
      <c r="C34" s="482" t="s">
        <v>1789</v>
      </c>
      <c r="D34" s="87"/>
      <c r="E34" s="87"/>
      <c r="F34" s="87"/>
      <c r="H34" s="88"/>
      <c r="I34" s="77"/>
      <c r="J34" s="77"/>
      <c r="K34" s="556"/>
      <c r="L34" s="556"/>
      <c r="M34" s="77"/>
      <c r="N34" s="77"/>
      <c r="O34" s="77"/>
      <c r="P34" s="556">
        <v>0.99</v>
      </c>
      <c r="Q34" s="556">
        <v>0.99</v>
      </c>
      <c r="R34" s="556"/>
      <c r="S34" s="556">
        <f t="shared" si="7"/>
        <v>0.99</v>
      </c>
      <c r="T34" s="556">
        <f t="shared" si="8"/>
        <v>0.99</v>
      </c>
      <c r="U34" s="556">
        <v>0.99</v>
      </c>
      <c r="V34" s="556">
        <v>0.99</v>
      </c>
      <c r="W34" s="556">
        <v>0.99</v>
      </c>
      <c r="X34" s="556">
        <v>0.99</v>
      </c>
      <c r="Y34" s="556">
        <v>0.99</v>
      </c>
      <c r="Z34" s="556">
        <v>0.99</v>
      </c>
      <c r="AA34" s="556">
        <v>0.99</v>
      </c>
      <c r="AB34" s="556">
        <v>0.99</v>
      </c>
      <c r="AC34" s="556">
        <v>0.99</v>
      </c>
      <c r="AD34" s="556">
        <v>0.99</v>
      </c>
      <c r="AE34" s="556">
        <v>0.99</v>
      </c>
      <c r="AF34" s="556">
        <v>0.99</v>
      </c>
      <c r="AG34" s="556">
        <v>0.99</v>
      </c>
      <c r="AH34" s="556"/>
      <c r="AI34" s="77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</row>
    <row r="35" spans="1:60" s="81" customFormat="1" ht="15.75" customHeight="1" collapsed="1">
      <c r="A35" s="460"/>
      <c r="B35" s="91"/>
      <c r="C35" s="483" t="s">
        <v>1785</v>
      </c>
      <c r="D35" s="87"/>
      <c r="E35" s="87"/>
      <c r="F35" s="87"/>
      <c r="H35" s="88"/>
      <c r="I35" s="82"/>
      <c r="J35" s="82"/>
      <c r="K35" s="82"/>
      <c r="L35" s="82"/>
      <c r="M35" s="82"/>
      <c r="N35" s="82"/>
      <c r="O35" s="82"/>
      <c r="P35" s="82">
        <f>P21*P27*P30*P34</f>
        <v>0</v>
      </c>
      <c r="Q35" s="82">
        <f t="shared" ref="Q35:AG35" si="14">Q21*Q27*Q30*Q34</f>
        <v>0</v>
      </c>
      <c r="R35" s="82"/>
      <c r="S35" s="82">
        <f t="shared" si="7"/>
        <v>0</v>
      </c>
      <c r="T35" s="82">
        <f t="shared" si="8"/>
        <v>0</v>
      </c>
      <c r="U35" s="82">
        <f t="shared" si="14"/>
        <v>0</v>
      </c>
      <c r="V35" s="82">
        <f t="shared" si="14"/>
        <v>0</v>
      </c>
      <c r="W35" s="82">
        <f t="shared" si="14"/>
        <v>0</v>
      </c>
      <c r="X35" s="82">
        <f t="shared" si="14"/>
        <v>0</v>
      </c>
      <c r="Y35" s="82">
        <f t="shared" si="14"/>
        <v>0</v>
      </c>
      <c r="Z35" s="82">
        <f t="shared" si="14"/>
        <v>0</v>
      </c>
      <c r="AA35" s="82">
        <f t="shared" si="14"/>
        <v>0</v>
      </c>
      <c r="AB35" s="82">
        <f t="shared" si="14"/>
        <v>0</v>
      </c>
      <c r="AC35" s="82">
        <f t="shared" si="14"/>
        <v>0</v>
      </c>
      <c r="AD35" s="82">
        <f t="shared" si="14"/>
        <v>0</v>
      </c>
      <c r="AE35" s="82">
        <f t="shared" si="14"/>
        <v>897903.46800000011</v>
      </c>
      <c r="AF35" s="82">
        <f t="shared" si="14"/>
        <v>897903.46800000011</v>
      </c>
      <c r="AG35" s="82">
        <f t="shared" si="14"/>
        <v>718322.77439999999</v>
      </c>
      <c r="AH35" s="82"/>
      <c r="AI35" s="82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</row>
    <row r="36" spans="1:60" s="81" customFormat="1" ht="15.75" customHeight="1">
      <c r="A36" s="460"/>
      <c r="B36" s="91"/>
      <c r="C36" s="483" t="s">
        <v>1786</v>
      </c>
      <c r="D36" s="87"/>
      <c r="E36" s="87"/>
      <c r="F36" s="87"/>
      <c r="H36" s="88"/>
      <c r="I36" s="82"/>
      <c r="J36" s="82"/>
      <c r="K36" s="82"/>
      <c r="L36" s="82"/>
      <c r="M36" s="82"/>
      <c r="N36" s="82"/>
      <c r="O36" s="82"/>
      <c r="P36" s="82">
        <f>P22*P28*P31*P34</f>
        <v>0</v>
      </c>
      <c r="Q36" s="82">
        <f>Q22*Q28*Q31*Q34</f>
        <v>1086218.1000000001</v>
      </c>
      <c r="R36" s="82"/>
      <c r="S36" s="82">
        <f t="shared" si="7"/>
        <v>1086218.1000000001</v>
      </c>
      <c r="T36" s="82">
        <f t="shared" si="8"/>
        <v>1086218.1000000001</v>
      </c>
      <c r="U36" s="82">
        <f t="shared" ref="U36:AG36" si="15">U22*U28*U31*U34</f>
        <v>1086218.1000000001</v>
      </c>
      <c r="V36" s="82">
        <f t="shared" si="15"/>
        <v>1086218.1000000001</v>
      </c>
      <c r="W36" s="82">
        <f t="shared" si="15"/>
        <v>1086218.1000000001</v>
      </c>
      <c r="X36" s="82">
        <f t="shared" si="15"/>
        <v>1086218.1000000001</v>
      </c>
      <c r="Y36" s="82">
        <f t="shared" si="15"/>
        <v>1086218.1000000001</v>
      </c>
      <c r="Z36" s="82">
        <f t="shared" si="15"/>
        <v>1086218.1000000001</v>
      </c>
      <c r="AA36" s="82">
        <f t="shared" si="15"/>
        <v>1086218.1000000001</v>
      </c>
      <c r="AB36" s="82">
        <f t="shared" si="15"/>
        <v>1086218.1000000001</v>
      </c>
      <c r="AC36" s="82">
        <f t="shared" si="15"/>
        <v>1086218.1000000001</v>
      </c>
      <c r="AD36" s="82">
        <f t="shared" si="15"/>
        <v>1086218.1000000001</v>
      </c>
      <c r="AE36" s="82">
        <f t="shared" si="15"/>
        <v>0</v>
      </c>
      <c r="AF36" s="82">
        <f t="shared" si="15"/>
        <v>0</v>
      </c>
      <c r="AG36" s="82">
        <f t="shared" si="15"/>
        <v>0</v>
      </c>
      <c r="AH36" s="82"/>
      <c r="AI36" s="82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</row>
    <row r="37" spans="1:60" s="81" customFormat="1" ht="15.75" hidden="1" customHeight="1" outlineLevel="1">
      <c r="A37" s="460"/>
      <c r="B37" s="91"/>
      <c r="C37" s="482" t="s">
        <v>1787</v>
      </c>
      <c r="D37" s="87"/>
      <c r="E37" s="87"/>
      <c r="F37" s="87"/>
      <c r="H37" s="88"/>
      <c r="I37" s="133"/>
      <c r="J37" s="133"/>
      <c r="K37" s="133"/>
      <c r="L37" s="133"/>
      <c r="M37" s="133"/>
      <c r="N37" s="133"/>
      <c r="O37" s="133"/>
      <c r="P37" s="1014">
        <f>SUM(P35:P36)</f>
        <v>0</v>
      </c>
      <c r="Q37" s="1014">
        <f t="shared" ref="Q37:AG37" si="16">SUM(Q35:Q36)</f>
        <v>1086218.1000000001</v>
      </c>
      <c r="R37" s="1014"/>
      <c r="S37" s="1014">
        <f t="shared" si="7"/>
        <v>1086218.1000000001</v>
      </c>
      <c r="T37" s="1014">
        <f t="shared" si="8"/>
        <v>1086218.1000000001</v>
      </c>
      <c r="U37" s="1014">
        <f t="shared" si="16"/>
        <v>1086218.1000000001</v>
      </c>
      <c r="V37" s="1014">
        <f t="shared" si="16"/>
        <v>1086218.1000000001</v>
      </c>
      <c r="W37" s="1014">
        <f t="shared" si="16"/>
        <v>1086218.1000000001</v>
      </c>
      <c r="X37" s="1014">
        <f t="shared" si="16"/>
        <v>1086218.1000000001</v>
      </c>
      <c r="Y37" s="1014">
        <f t="shared" si="16"/>
        <v>1086218.1000000001</v>
      </c>
      <c r="Z37" s="1014">
        <f t="shared" si="16"/>
        <v>1086218.1000000001</v>
      </c>
      <c r="AA37" s="1014">
        <f t="shared" si="16"/>
        <v>1086218.1000000001</v>
      </c>
      <c r="AB37" s="1014">
        <f t="shared" si="16"/>
        <v>1086218.1000000001</v>
      </c>
      <c r="AC37" s="1014">
        <f t="shared" si="16"/>
        <v>1086218.1000000001</v>
      </c>
      <c r="AD37" s="1014">
        <f t="shared" si="16"/>
        <v>1086218.1000000001</v>
      </c>
      <c r="AE37" s="1014">
        <f t="shared" si="16"/>
        <v>897903.46800000011</v>
      </c>
      <c r="AF37" s="1014">
        <f t="shared" si="16"/>
        <v>897903.46800000011</v>
      </c>
      <c r="AG37" s="1014">
        <f t="shared" si="16"/>
        <v>718322.77439999999</v>
      </c>
      <c r="AH37" s="1014"/>
      <c r="AI37" s="133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</row>
    <row r="38" spans="1:60" s="81" customFormat="1" ht="15.75" hidden="1" customHeight="1" outlineLevel="1">
      <c r="A38" s="460"/>
      <c r="B38" s="91"/>
      <c r="C38" s="483" t="s">
        <v>1788</v>
      </c>
      <c r="D38" s="87"/>
      <c r="E38" s="87"/>
      <c r="F38" s="87"/>
      <c r="H38" s="88"/>
      <c r="I38" s="77"/>
      <c r="J38" s="77"/>
      <c r="K38" s="556"/>
      <c r="L38" s="556"/>
      <c r="M38" s="77"/>
      <c r="N38" s="77"/>
      <c r="O38" s="77"/>
      <c r="P38" s="82">
        <f>SUM(P21:P22)*P29*P33*P34</f>
        <v>0</v>
      </c>
      <c r="Q38" s="82">
        <f t="shared" ref="Q38:AG38" si="17">SUM(Q21:Q22)*Q29*Q33*Q34</f>
        <v>4019799.9599999995</v>
      </c>
      <c r="R38" s="82"/>
      <c r="S38" s="82">
        <f t="shared" si="7"/>
        <v>4019799.9599999995</v>
      </c>
      <c r="T38" s="82">
        <f t="shared" si="8"/>
        <v>4019799.9599999995</v>
      </c>
      <c r="U38" s="82">
        <f t="shared" si="17"/>
        <v>4019799.9599999995</v>
      </c>
      <c r="V38" s="82">
        <f t="shared" si="17"/>
        <v>4019799.9599999995</v>
      </c>
      <c r="W38" s="82">
        <f t="shared" si="17"/>
        <v>4019799.9599999995</v>
      </c>
      <c r="X38" s="82">
        <f t="shared" si="17"/>
        <v>4019799.9599999995</v>
      </c>
      <c r="Y38" s="82">
        <f t="shared" si="17"/>
        <v>4019799.9599999995</v>
      </c>
      <c r="Z38" s="82">
        <f t="shared" si="17"/>
        <v>4019799.9599999995</v>
      </c>
      <c r="AA38" s="82">
        <f t="shared" si="17"/>
        <v>4019799.9599999995</v>
      </c>
      <c r="AB38" s="82">
        <f t="shared" si="17"/>
        <v>4019799.9599999995</v>
      </c>
      <c r="AC38" s="82">
        <f t="shared" si="17"/>
        <v>4019799.9599999995</v>
      </c>
      <c r="AD38" s="82">
        <f t="shared" si="17"/>
        <v>4019799.9599999995</v>
      </c>
      <c r="AE38" s="82">
        <f t="shared" si="17"/>
        <v>4019799.9599999995</v>
      </c>
      <c r="AF38" s="82">
        <f t="shared" si="17"/>
        <v>4019799.9599999995</v>
      </c>
      <c r="AG38" s="82">
        <f t="shared" si="17"/>
        <v>3215839.9679999999</v>
      </c>
      <c r="AH38" s="82"/>
      <c r="AI38" s="77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</row>
    <row r="39" spans="1:60" s="81" customFormat="1" ht="15.75" hidden="1" customHeight="1" outlineLevel="1">
      <c r="A39" s="460"/>
      <c r="B39" s="91"/>
      <c r="C39" s="482"/>
      <c r="D39" s="87"/>
      <c r="E39" s="87"/>
      <c r="F39" s="87"/>
      <c r="H39" s="88"/>
      <c r="I39" s="142"/>
      <c r="J39" s="142"/>
      <c r="K39" s="142"/>
      <c r="L39" s="142"/>
      <c r="M39" s="142"/>
      <c r="N39" s="142"/>
      <c r="O39" s="142"/>
      <c r="P39" s="142">
        <f>P21*P29/1000*P32</f>
        <v>0</v>
      </c>
      <c r="Q39" s="142"/>
      <c r="R39" s="142"/>
      <c r="S39" s="142">
        <f t="shared" si="7"/>
        <v>0</v>
      </c>
      <c r="T39" s="142">
        <f t="shared" si="8"/>
        <v>0</v>
      </c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</row>
    <row r="40" spans="1:60" s="81" customFormat="1" ht="15.75" customHeight="1" collapsed="1">
      <c r="A40" s="460"/>
      <c r="B40" s="100"/>
      <c r="C40" s="135"/>
      <c r="D40" s="100"/>
      <c r="E40" s="100"/>
      <c r="F40" s="100"/>
      <c r="G40" s="100"/>
      <c r="H40" s="466"/>
      <c r="I40" s="91"/>
      <c r="J40" s="91"/>
      <c r="K40" s="91"/>
      <c r="L40" s="91"/>
      <c r="M40" s="91"/>
      <c r="N40" s="100"/>
      <c r="O40" s="100"/>
      <c r="P40" s="100"/>
      <c r="Q40" s="100"/>
      <c r="R40" s="100"/>
      <c r="S40" s="100">
        <f t="shared" si="7"/>
        <v>0</v>
      </c>
      <c r="T40" s="100">
        <f t="shared" si="8"/>
        <v>0</v>
      </c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</row>
    <row r="41" spans="1:60" ht="27" hidden="1" customHeight="1" outlineLevel="1">
      <c r="B41" s="159"/>
      <c r="C41" s="462" t="s">
        <v>35</v>
      </c>
      <c r="H41" s="487"/>
      <c r="I41" s="430"/>
      <c r="J41" s="97"/>
      <c r="K41" s="97"/>
      <c r="L41" s="97"/>
      <c r="M41" s="430"/>
      <c r="N41" s="430"/>
      <c r="O41" s="430"/>
      <c r="P41" s="430"/>
      <c r="Q41" s="430"/>
      <c r="R41" s="430"/>
      <c r="S41" s="430">
        <f t="shared" si="7"/>
        <v>0</v>
      </c>
      <c r="T41" s="430">
        <f t="shared" si="8"/>
        <v>0</v>
      </c>
      <c r="U41" s="430"/>
      <c r="V41" s="430"/>
      <c r="W41" s="430"/>
      <c r="X41" s="430"/>
      <c r="Y41" s="430"/>
      <c r="Z41" s="430"/>
      <c r="AA41" s="430"/>
      <c r="AB41" s="430"/>
      <c r="AC41" s="430"/>
      <c r="AD41" s="430"/>
      <c r="AE41" s="430"/>
      <c r="AF41" s="430"/>
      <c r="AG41" s="430"/>
      <c r="AH41" s="430"/>
      <c r="AI41" s="430"/>
    </row>
    <row r="42" spans="1:60" ht="3" hidden="1" customHeight="1" outlineLevel="1">
      <c r="B42" s="159"/>
      <c r="C42" s="464"/>
      <c r="D42" s="89"/>
      <c r="E42" s="89"/>
      <c r="F42" s="89"/>
      <c r="G42" s="89"/>
      <c r="H42" s="48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>
        <f t="shared" si="7"/>
        <v>0</v>
      </c>
      <c r="T42" s="98">
        <f t="shared" si="8"/>
        <v>0</v>
      </c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</row>
    <row r="43" spans="1:60" ht="15.75" hidden="1" customHeight="1" outlineLevel="1">
      <c r="B43" s="159"/>
      <c r="C43" s="460" t="s">
        <v>1242</v>
      </c>
      <c r="H43" s="487"/>
      <c r="I43" s="430"/>
      <c r="J43" s="97"/>
      <c r="K43" s="97"/>
      <c r="L43" s="97"/>
      <c r="M43" s="430"/>
      <c r="N43" s="430"/>
      <c r="O43" s="430"/>
      <c r="P43" s="430"/>
      <c r="Q43" s="430"/>
      <c r="R43" s="430"/>
      <c r="S43" s="430">
        <f t="shared" si="7"/>
        <v>0</v>
      </c>
      <c r="T43" s="430">
        <f t="shared" si="8"/>
        <v>0</v>
      </c>
      <c r="U43" s="430"/>
      <c r="V43" s="430"/>
      <c r="W43" s="430"/>
      <c r="X43" s="430"/>
      <c r="Y43" s="430"/>
      <c r="Z43" s="430"/>
      <c r="AA43" s="430"/>
      <c r="AB43" s="430"/>
      <c r="AC43" s="430"/>
      <c r="AD43" s="430"/>
      <c r="AE43" s="430"/>
      <c r="AF43" s="430"/>
      <c r="AG43" s="430"/>
      <c r="AH43" s="430"/>
      <c r="AI43" s="430"/>
    </row>
    <row r="44" spans="1:60" ht="15.75" hidden="1" customHeight="1" outlineLevel="1">
      <c r="B44" s="159"/>
      <c r="C44" s="467" t="s">
        <v>503</v>
      </c>
      <c r="D44" s="468"/>
      <c r="E44" s="468"/>
      <c r="F44" s="468"/>
      <c r="G44" s="468"/>
      <c r="H44" s="466"/>
      <c r="I44" s="91"/>
      <c r="J44" s="91"/>
      <c r="K44" s="91"/>
      <c r="L44" s="135"/>
      <c r="M44" s="90"/>
      <c r="N44" s="421"/>
      <c r="O44" s="421"/>
      <c r="P44" s="421"/>
      <c r="Q44" s="421"/>
      <c r="R44" s="421"/>
      <c r="S44" s="421">
        <f t="shared" si="7"/>
        <v>0</v>
      </c>
      <c r="T44" s="421">
        <f t="shared" si="8"/>
        <v>0</v>
      </c>
      <c r="U44" s="421"/>
      <c r="V44" s="421"/>
      <c r="W44" s="421"/>
      <c r="X44" s="421"/>
      <c r="Y44" s="421"/>
      <c r="Z44" s="421"/>
      <c r="AA44" s="421"/>
      <c r="AB44" s="421"/>
      <c r="AC44" s="421"/>
      <c r="AD44" s="421"/>
      <c r="AE44" s="421"/>
      <c r="AF44" s="421"/>
      <c r="AG44" s="421"/>
      <c r="AH44" s="421"/>
      <c r="AI44" s="421"/>
    </row>
    <row r="45" spans="1:60" ht="15.75" hidden="1" customHeight="1" outlineLevel="1">
      <c r="B45" s="159"/>
      <c r="C45" s="546" t="s">
        <v>1243</v>
      </c>
      <c r="D45" s="106"/>
      <c r="E45" s="106"/>
      <c r="F45" s="106"/>
      <c r="G45" s="546"/>
      <c r="H45" s="557"/>
      <c r="I45" s="92">
        <v>0</v>
      </c>
      <c r="J45" s="92">
        <v>1</v>
      </c>
      <c r="K45" s="92">
        <v>2</v>
      </c>
      <c r="L45" s="92">
        <v>3</v>
      </c>
      <c r="M45" s="92">
        <v>4</v>
      </c>
      <c r="N45" s="92">
        <v>5</v>
      </c>
      <c r="O45" s="92">
        <f t="shared" ref="O45:W45" si="18">O7</f>
        <v>6</v>
      </c>
      <c r="P45" s="92">
        <f t="shared" si="18"/>
        <v>7</v>
      </c>
      <c r="Q45" s="92">
        <f t="shared" si="18"/>
        <v>8</v>
      </c>
      <c r="R45" s="92"/>
      <c r="S45" s="92">
        <f t="shared" si="7"/>
        <v>8</v>
      </c>
      <c r="T45" s="92">
        <f t="shared" si="8"/>
        <v>8</v>
      </c>
      <c r="U45" s="92">
        <f t="shared" si="18"/>
        <v>9</v>
      </c>
      <c r="V45" s="92">
        <f t="shared" si="18"/>
        <v>10</v>
      </c>
      <c r="W45" s="92">
        <f t="shared" si="18"/>
        <v>11</v>
      </c>
      <c r="X45" s="92">
        <f>X7</f>
        <v>12</v>
      </c>
      <c r="Y45" s="92">
        <f>Y7</f>
        <v>13</v>
      </c>
      <c r="Z45" s="92">
        <f t="shared" ref="Z45:AG45" si="19">Z7</f>
        <v>14</v>
      </c>
      <c r="AA45" s="92">
        <f t="shared" si="19"/>
        <v>15</v>
      </c>
      <c r="AB45" s="92">
        <f t="shared" si="19"/>
        <v>16</v>
      </c>
      <c r="AC45" s="92">
        <f t="shared" si="19"/>
        <v>17</v>
      </c>
      <c r="AD45" s="92">
        <f t="shared" si="19"/>
        <v>18</v>
      </c>
      <c r="AE45" s="92">
        <f t="shared" si="19"/>
        <v>19</v>
      </c>
      <c r="AF45" s="92">
        <f t="shared" si="19"/>
        <v>20</v>
      </c>
      <c r="AG45" s="92">
        <f t="shared" si="19"/>
        <v>21</v>
      </c>
      <c r="AH45" s="92"/>
      <c r="AI45" s="92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</row>
    <row r="46" spans="1:60" ht="15.75" hidden="1" customHeight="1" outlineLevel="1">
      <c r="B46" s="159"/>
      <c r="C46" s="548"/>
      <c r="D46" s="469"/>
      <c r="E46" s="469"/>
      <c r="F46" s="469"/>
      <c r="G46" s="548"/>
      <c r="H46" s="489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  <c r="AC46" s="93"/>
      <c r="AD46" s="93"/>
      <c r="AE46" s="93"/>
      <c r="AF46" s="93"/>
      <c r="AG46" s="93"/>
      <c r="AH46" s="93"/>
      <c r="AI46" s="93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</row>
    <row r="47" spans="1:60" ht="15.75" hidden="1" customHeight="1" outlineLevel="1">
      <c r="B47" s="159"/>
      <c r="C47" s="471"/>
      <c r="D47" s="472"/>
      <c r="E47" s="506"/>
      <c r="F47" s="506"/>
      <c r="G47" s="471"/>
      <c r="H47" s="490"/>
      <c r="I47" s="94" t="s">
        <v>499</v>
      </c>
      <c r="J47" s="94" t="s">
        <v>499</v>
      </c>
      <c r="K47" s="94" t="s">
        <v>499</v>
      </c>
      <c r="L47" s="94" t="s">
        <v>499</v>
      </c>
      <c r="M47" s="94" t="s">
        <v>499</v>
      </c>
      <c r="N47" s="94" t="s">
        <v>499</v>
      </c>
      <c r="O47" s="94" t="s">
        <v>499</v>
      </c>
      <c r="P47" s="94" t="s">
        <v>499</v>
      </c>
      <c r="Q47" s="94" t="s">
        <v>499</v>
      </c>
      <c r="R47" s="94"/>
      <c r="S47" s="94" t="str">
        <f t="shared" si="7"/>
        <v>($)</v>
      </c>
      <c r="T47" s="94" t="str">
        <f t="shared" si="8"/>
        <v>($)</v>
      </c>
      <c r="U47" s="94" t="s">
        <v>499</v>
      </c>
      <c r="V47" s="94" t="s">
        <v>499</v>
      </c>
      <c r="W47" s="94" t="s">
        <v>499</v>
      </c>
      <c r="X47" s="94" t="s">
        <v>499</v>
      </c>
      <c r="Y47" s="94" t="s">
        <v>499</v>
      </c>
      <c r="Z47" s="94" t="s">
        <v>499</v>
      </c>
      <c r="AA47" s="94" t="s">
        <v>499</v>
      </c>
      <c r="AB47" s="94" t="s">
        <v>499</v>
      </c>
      <c r="AC47" s="94" t="s">
        <v>499</v>
      </c>
      <c r="AD47" s="94" t="s">
        <v>499</v>
      </c>
      <c r="AE47" s="94" t="s">
        <v>499</v>
      </c>
      <c r="AF47" s="94" t="s">
        <v>499</v>
      </c>
      <c r="AG47" s="94" t="s">
        <v>499</v>
      </c>
      <c r="AH47" s="94"/>
      <c r="AI47" s="94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</row>
    <row r="48" spans="1:60" ht="15.75" hidden="1" customHeight="1" outlineLevel="1">
      <c r="B48" s="159"/>
      <c r="C48" s="95"/>
      <c r="D48" s="110"/>
      <c r="E48" s="114"/>
      <c r="F48" s="114"/>
      <c r="G48" s="95"/>
      <c r="H48" s="491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>
        <f t="shared" si="7"/>
        <v>0</v>
      </c>
      <c r="T48" s="144">
        <f t="shared" si="8"/>
        <v>0</v>
      </c>
      <c r="U48" s="144"/>
      <c r="V48" s="144"/>
      <c r="W48" s="144"/>
      <c r="X48" s="144"/>
      <c r="Y48" s="144"/>
      <c r="Z48" s="144"/>
      <c r="AA48" s="144"/>
      <c r="AB48" s="144"/>
      <c r="AC48" s="144"/>
      <c r="AD48" s="144"/>
      <c r="AE48" s="144"/>
      <c r="AF48" s="144"/>
      <c r="AG48" s="144"/>
      <c r="AH48" s="144"/>
      <c r="AI48" s="144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</row>
    <row r="49" spans="1:60" ht="15.75" hidden="1" customHeight="1" outlineLevel="1">
      <c r="B49" s="159"/>
      <c r="C49" s="95" t="s">
        <v>1244</v>
      </c>
      <c r="D49" s="110"/>
      <c r="E49" s="114"/>
      <c r="F49" s="114"/>
      <c r="G49" s="95"/>
      <c r="H49" s="491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>
        <f t="shared" si="7"/>
        <v>0</v>
      </c>
      <c r="T49" s="144">
        <f t="shared" si="8"/>
        <v>0</v>
      </c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144"/>
      <c r="AH49" s="144"/>
      <c r="AI49" s="144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</row>
    <row r="50" spans="1:60" ht="15.75" hidden="1" customHeight="1" outlineLevel="1">
      <c r="B50" s="159"/>
      <c r="C50" s="95" t="s">
        <v>1245</v>
      </c>
      <c r="D50" s="110"/>
      <c r="E50" s="114"/>
      <c r="F50" s="114"/>
      <c r="G50" s="95"/>
      <c r="H50" s="491"/>
      <c r="I50" s="144"/>
      <c r="J50" s="144"/>
      <c r="K50" s="144"/>
      <c r="L50" s="144"/>
      <c r="M50" s="558"/>
      <c r="N50" s="558"/>
      <c r="O50" s="558"/>
      <c r="P50" s="558">
        <v>0</v>
      </c>
      <c r="Q50" s="558">
        <v>0</v>
      </c>
      <c r="R50" s="558"/>
      <c r="S50" s="558">
        <f t="shared" si="7"/>
        <v>0</v>
      </c>
      <c r="T50" s="558">
        <f t="shared" si="8"/>
        <v>0</v>
      </c>
      <c r="U50" s="558">
        <f>Q50</f>
        <v>0</v>
      </c>
      <c r="V50" s="558">
        <f>U50</f>
        <v>0</v>
      </c>
      <c r="W50" s="558">
        <f>V50</f>
        <v>0</v>
      </c>
      <c r="X50" s="558">
        <f>W50</f>
        <v>0</v>
      </c>
      <c r="Y50" s="558">
        <f>X50</f>
        <v>0</v>
      </c>
      <c r="Z50" s="558">
        <f t="shared" ref="Z50:AG50" si="20">Y50</f>
        <v>0</v>
      </c>
      <c r="AA50" s="558">
        <f t="shared" si="20"/>
        <v>0</v>
      </c>
      <c r="AB50" s="558">
        <f t="shared" si="20"/>
        <v>0</v>
      </c>
      <c r="AC50" s="558">
        <f t="shared" si="20"/>
        <v>0</v>
      </c>
      <c r="AD50" s="558">
        <f t="shared" si="20"/>
        <v>0</v>
      </c>
      <c r="AE50" s="558">
        <f t="shared" si="20"/>
        <v>0</v>
      </c>
      <c r="AF50" s="558">
        <f t="shared" si="20"/>
        <v>0</v>
      </c>
      <c r="AG50" s="558">
        <f t="shared" si="20"/>
        <v>0</v>
      </c>
      <c r="AH50" s="558"/>
      <c r="AI50" s="558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</row>
    <row r="51" spans="1:60" s="157" customFormat="1" ht="15.75" hidden="1" customHeight="1" outlineLevel="1">
      <c r="A51" s="460"/>
      <c r="B51" s="161"/>
      <c r="C51" s="162" t="s">
        <v>1246</v>
      </c>
      <c r="D51" s="155"/>
      <c r="E51" s="155"/>
      <c r="F51" s="155"/>
      <c r="G51" s="155"/>
      <c r="H51" s="559"/>
      <c r="I51" s="146"/>
      <c r="J51" s="145"/>
      <c r="K51" s="101"/>
      <c r="L51" s="145"/>
      <c r="M51" s="641"/>
      <c r="N51" s="431"/>
      <c r="O51" s="431"/>
      <c r="P51" s="431"/>
      <c r="Q51" s="431"/>
      <c r="R51" s="431"/>
      <c r="S51" s="431">
        <f t="shared" si="7"/>
        <v>0</v>
      </c>
      <c r="T51" s="431">
        <f t="shared" si="8"/>
        <v>0</v>
      </c>
      <c r="U51" s="431"/>
      <c r="V51" s="431"/>
      <c r="W51" s="431"/>
      <c r="X51" s="431"/>
      <c r="Y51" s="431"/>
      <c r="Z51" s="431"/>
      <c r="AA51" s="431"/>
      <c r="AB51" s="431"/>
      <c r="AC51" s="431"/>
      <c r="AD51" s="431"/>
      <c r="AE51" s="431"/>
      <c r="AF51" s="431"/>
      <c r="AG51" s="431"/>
      <c r="AH51" s="431"/>
      <c r="AI51" s="431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  <c r="AT51" s="155"/>
      <c r="AU51" s="155"/>
      <c r="AV51" s="155"/>
      <c r="AW51" s="155"/>
      <c r="AX51" s="155"/>
      <c r="AY51" s="155"/>
      <c r="AZ51" s="155"/>
      <c r="BA51" s="155"/>
      <c r="BB51" s="155"/>
      <c r="BC51" s="155"/>
      <c r="BD51" s="155"/>
      <c r="BE51" s="155"/>
    </row>
    <row r="52" spans="1:60" ht="15.75" hidden="1" customHeight="1" outlineLevel="1">
      <c r="B52" s="159"/>
      <c r="C52" s="164" t="s">
        <v>1774</v>
      </c>
      <c r="D52" s="76"/>
      <c r="E52" s="76"/>
      <c r="F52" s="76"/>
      <c r="G52" s="76"/>
      <c r="H52" s="492"/>
      <c r="I52" s="146"/>
      <c r="J52" s="146"/>
      <c r="K52" s="146"/>
      <c r="L52" s="146"/>
      <c r="M52" s="146"/>
      <c r="N52" s="146"/>
      <c r="O52" s="146"/>
      <c r="P52" s="146">
        <f>(1.7)*'Control list'!L20</f>
        <v>1.7849999999999999</v>
      </c>
      <c r="Q52" s="146">
        <f>P52</f>
        <v>1.7849999999999999</v>
      </c>
      <c r="R52" s="146"/>
      <c r="S52" s="146">
        <f t="shared" si="7"/>
        <v>1.7849999999999999</v>
      </c>
      <c r="T52" s="146">
        <f t="shared" si="8"/>
        <v>1.7849999999999999</v>
      </c>
      <c r="U52" s="146">
        <f>Q52</f>
        <v>1.7849999999999999</v>
      </c>
      <c r="V52" s="146">
        <f t="shared" ref="V52:AG52" si="21">U52</f>
        <v>1.7849999999999999</v>
      </c>
      <c r="W52" s="146">
        <f t="shared" si="21"/>
        <v>1.7849999999999999</v>
      </c>
      <c r="X52" s="146">
        <f t="shared" si="21"/>
        <v>1.7849999999999999</v>
      </c>
      <c r="Y52" s="146">
        <f t="shared" si="21"/>
        <v>1.7849999999999999</v>
      </c>
      <c r="Z52" s="146">
        <f t="shared" si="21"/>
        <v>1.7849999999999999</v>
      </c>
      <c r="AA52" s="146">
        <f t="shared" si="21"/>
        <v>1.7849999999999999</v>
      </c>
      <c r="AB52" s="146">
        <f t="shared" si="21"/>
        <v>1.7849999999999999</v>
      </c>
      <c r="AC52" s="146">
        <f t="shared" si="21"/>
        <v>1.7849999999999999</v>
      </c>
      <c r="AD52" s="146">
        <f t="shared" si="21"/>
        <v>1.7849999999999999</v>
      </c>
      <c r="AE52" s="146">
        <f t="shared" si="21"/>
        <v>1.7849999999999999</v>
      </c>
      <c r="AF52" s="146">
        <f t="shared" si="21"/>
        <v>1.7849999999999999</v>
      </c>
      <c r="AG52" s="146">
        <f t="shared" si="21"/>
        <v>1.7849999999999999</v>
      </c>
      <c r="AH52" s="146"/>
      <c r="AI52" s="14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</row>
    <row r="53" spans="1:60" ht="15.75" hidden="1" customHeight="1" outlineLevel="1">
      <c r="B53" s="159"/>
      <c r="C53" s="164" t="s">
        <v>1769</v>
      </c>
      <c r="D53" s="76"/>
      <c r="E53" s="76"/>
      <c r="F53" s="76"/>
      <c r="G53" s="76"/>
      <c r="H53" s="492"/>
      <c r="I53" s="146"/>
      <c r="J53" s="146"/>
      <c r="K53" s="146"/>
      <c r="L53" s="146"/>
      <c r="M53" s="146"/>
      <c r="N53" s="146"/>
      <c r="O53" s="146"/>
      <c r="P53" s="146">
        <f>22.5*0.009</f>
        <v>0.20249999999999999</v>
      </c>
      <c r="Q53" s="146">
        <f t="shared" ref="Q53:AG53" si="22">22.5*0.009</f>
        <v>0.20249999999999999</v>
      </c>
      <c r="R53" s="146"/>
      <c r="S53" s="146">
        <f t="shared" si="7"/>
        <v>0.20249999999999999</v>
      </c>
      <c r="T53" s="146">
        <f t="shared" si="8"/>
        <v>0.20249999999999999</v>
      </c>
      <c r="U53" s="146">
        <f t="shared" si="22"/>
        <v>0.20249999999999999</v>
      </c>
      <c r="V53" s="146">
        <f t="shared" si="22"/>
        <v>0.20249999999999999</v>
      </c>
      <c r="W53" s="146">
        <f t="shared" si="22"/>
        <v>0.20249999999999999</v>
      </c>
      <c r="X53" s="146">
        <f t="shared" si="22"/>
        <v>0.20249999999999999</v>
      </c>
      <c r="Y53" s="146">
        <f t="shared" si="22"/>
        <v>0.20249999999999999</v>
      </c>
      <c r="Z53" s="146">
        <f t="shared" si="22"/>
        <v>0.20249999999999999</v>
      </c>
      <c r="AA53" s="146">
        <f t="shared" si="22"/>
        <v>0.20249999999999999</v>
      </c>
      <c r="AB53" s="146">
        <f t="shared" si="22"/>
        <v>0.20249999999999999</v>
      </c>
      <c r="AC53" s="146">
        <f t="shared" si="22"/>
        <v>0.20249999999999999</v>
      </c>
      <c r="AD53" s="146">
        <f t="shared" si="22"/>
        <v>0.20249999999999999</v>
      </c>
      <c r="AE53" s="146">
        <f t="shared" si="22"/>
        <v>0.20249999999999999</v>
      </c>
      <c r="AF53" s="146">
        <f t="shared" si="22"/>
        <v>0.20249999999999999</v>
      </c>
      <c r="AG53" s="146">
        <f t="shared" si="22"/>
        <v>0.20249999999999999</v>
      </c>
      <c r="AH53" s="146"/>
      <c r="AI53" s="14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</row>
    <row r="54" spans="1:60" ht="15.75" hidden="1" customHeight="1" outlineLevel="1">
      <c r="B54" s="159"/>
      <c r="C54" s="164" t="s">
        <v>1770</v>
      </c>
      <c r="D54" s="76"/>
      <c r="E54" s="76"/>
      <c r="F54" s="76"/>
      <c r="G54" s="76"/>
      <c r="H54" s="492"/>
      <c r="I54" s="146"/>
      <c r="J54" s="146"/>
      <c r="K54" s="146"/>
      <c r="L54" s="146"/>
      <c r="M54" s="146"/>
      <c r="N54" s="146"/>
      <c r="O54" s="146"/>
      <c r="P54" s="146">
        <v>0.53</v>
      </c>
      <c r="Q54" s="146">
        <v>0.53</v>
      </c>
      <c r="R54" s="146"/>
      <c r="S54" s="146">
        <f t="shared" si="7"/>
        <v>0.53</v>
      </c>
      <c r="T54" s="146">
        <f t="shared" si="8"/>
        <v>0.53</v>
      </c>
      <c r="U54" s="146">
        <v>0.53</v>
      </c>
      <c r="V54" s="146">
        <v>0.53</v>
      </c>
      <c r="W54" s="146">
        <v>0.53</v>
      </c>
      <c r="X54" s="146">
        <v>0.53</v>
      </c>
      <c r="Y54" s="146">
        <v>0.53</v>
      </c>
      <c r="Z54" s="146">
        <v>0.53</v>
      </c>
      <c r="AA54" s="146">
        <v>0.53</v>
      </c>
      <c r="AB54" s="146">
        <v>0.53</v>
      </c>
      <c r="AC54" s="146">
        <v>0.53</v>
      </c>
      <c r="AD54" s="146">
        <v>0.53</v>
      </c>
      <c r="AE54" s="146">
        <v>0.53</v>
      </c>
      <c r="AF54" s="146">
        <v>0.53</v>
      </c>
      <c r="AG54" s="146">
        <v>0.53</v>
      </c>
      <c r="AH54" s="146"/>
      <c r="AI54" s="14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</row>
    <row r="55" spans="1:60" ht="15.75" hidden="1" customHeight="1" outlineLevel="1">
      <c r="B55" s="159"/>
      <c r="C55" s="164" t="s">
        <v>1771</v>
      </c>
      <c r="D55" s="76"/>
      <c r="E55" s="76"/>
      <c r="F55" s="76"/>
      <c r="G55" s="76"/>
      <c r="H55" s="492"/>
      <c r="I55" s="146"/>
      <c r="J55" s="146"/>
      <c r="K55" s="146"/>
      <c r="L55" s="146"/>
      <c r="M55" s="146"/>
      <c r="N55" s="146"/>
      <c r="O55" s="146"/>
      <c r="P55" s="146">
        <f t="shared" ref="P55:AG55" si="23">(P53+P54)*P56</f>
        <v>0.13075125000000001</v>
      </c>
      <c r="Q55" s="146">
        <f t="shared" si="23"/>
        <v>0.13152037500000002</v>
      </c>
      <c r="R55" s="146"/>
      <c r="S55" s="146">
        <f t="shared" si="7"/>
        <v>0.13152037500000002</v>
      </c>
      <c r="T55" s="146">
        <f t="shared" si="8"/>
        <v>0.13152037500000002</v>
      </c>
      <c r="U55" s="146">
        <f t="shared" si="23"/>
        <v>0.1322895</v>
      </c>
      <c r="V55" s="146">
        <f t="shared" si="23"/>
        <v>0.13305862500000001</v>
      </c>
      <c r="W55" s="146">
        <f t="shared" si="23"/>
        <v>0.13382775000000002</v>
      </c>
      <c r="X55" s="146">
        <f t="shared" si="23"/>
        <v>0.134596875</v>
      </c>
      <c r="Y55" s="146">
        <f t="shared" si="23"/>
        <v>0.13536600000000001</v>
      </c>
      <c r="Z55" s="146">
        <f t="shared" si="23"/>
        <v>0.136135125</v>
      </c>
      <c r="AA55" s="146">
        <f t="shared" si="23"/>
        <v>0.13690425000000001</v>
      </c>
      <c r="AB55" s="146">
        <f t="shared" si="23"/>
        <v>0.13767337500000001</v>
      </c>
      <c r="AC55" s="146">
        <f t="shared" si="23"/>
        <v>0.1384425</v>
      </c>
      <c r="AD55" s="146">
        <f t="shared" si="23"/>
        <v>0.13921162500000003</v>
      </c>
      <c r="AE55" s="146">
        <f t="shared" si="23"/>
        <v>0.13998075000000001</v>
      </c>
      <c r="AF55" s="146">
        <f t="shared" si="23"/>
        <v>0.14074987500000002</v>
      </c>
      <c r="AG55" s="146">
        <f t="shared" si="23"/>
        <v>0.14151900000000001</v>
      </c>
      <c r="AH55" s="146"/>
      <c r="AI55" s="14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</row>
    <row r="56" spans="1:60" ht="15.75" hidden="1" customHeight="1" outlineLevel="1">
      <c r="B56" s="159"/>
      <c r="C56" s="164" t="s">
        <v>1258</v>
      </c>
      <c r="D56" s="76"/>
      <c r="E56" s="76"/>
      <c r="F56" s="76"/>
      <c r="G56" s="76"/>
      <c r="H56" s="492"/>
      <c r="I56" s="146"/>
      <c r="J56" s="146"/>
      <c r="K56" s="561"/>
      <c r="L56" s="561"/>
      <c r="M56" s="146"/>
      <c r="N56" s="561"/>
      <c r="O56" s="561"/>
      <c r="P56" s="561">
        <f>(170)*'Control list'!L20/1000</f>
        <v>0.17849999999999999</v>
      </c>
      <c r="Q56" s="561">
        <f>(170+Q7-$P$7)*'Control list'!M20/1000</f>
        <v>0.17955000000000002</v>
      </c>
      <c r="R56" s="561"/>
      <c r="S56" s="561">
        <f t="shared" si="7"/>
        <v>0.17955000000000002</v>
      </c>
      <c r="T56" s="561">
        <f t="shared" si="8"/>
        <v>0.17955000000000002</v>
      </c>
      <c r="U56" s="561">
        <f>(170+U7-$P$7)*'Control list'!N20/1000</f>
        <v>0.18059999999999998</v>
      </c>
      <c r="V56" s="561">
        <f>(170+V7-$P$7)*'Control list'!O20/1000</f>
        <v>0.18165000000000001</v>
      </c>
      <c r="W56" s="561">
        <f>(170+W7-$P$7)*'Control list'!P20/1000</f>
        <v>0.18270000000000003</v>
      </c>
      <c r="X56" s="561">
        <f>(170+X7-$P$7)*'Control list'!Q20/1000</f>
        <v>0.18375</v>
      </c>
      <c r="Y56" s="561">
        <f>(170+Y7-$P$7)*'Control list'!R20/1000</f>
        <v>0.18480000000000002</v>
      </c>
      <c r="Z56" s="561">
        <f>(170+Z7-$P$7)*'Control list'!S20/1000</f>
        <v>0.18584999999999999</v>
      </c>
      <c r="AA56" s="561">
        <f>(170+AA7-$P$7)*'Control list'!T20/1000</f>
        <v>0.18690000000000001</v>
      </c>
      <c r="AB56" s="561">
        <f>(170+AB7-$P$7)*'Control list'!U20/1000</f>
        <v>0.18795000000000001</v>
      </c>
      <c r="AC56" s="561">
        <f>(170+AC7-$P$7)*'Control list'!V20/1000</f>
        <v>0.189</v>
      </c>
      <c r="AD56" s="561">
        <f>(170+AD7-$P$7)*'Control list'!W20/1000</f>
        <v>0.19005000000000002</v>
      </c>
      <c r="AE56" s="561">
        <f>(170+AE7-$P$7)*'Control list'!X20/1000</f>
        <v>0.19109999999999999</v>
      </c>
      <c r="AF56" s="561">
        <f>(170+AF7-$P$7)*'Control list'!Y20/1000</f>
        <v>0.19215000000000002</v>
      </c>
      <c r="AG56" s="561">
        <f>(170+AG7-$P$7)*'Control list'!Z20/1000</f>
        <v>0.19320000000000001</v>
      </c>
      <c r="AH56" s="561"/>
      <c r="AI56" s="561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</row>
    <row r="57" spans="1:60" ht="15.75" hidden="1" customHeight="1" outlineLevel="1">
      <c r="B57" s="159"/>
      <c r="C57" s="164" t="s">
        <v>1259</v>
      </c>
      <c r="D57" s="76"/>
      <c r="E57" s="76"/>
      <c r="F57" s="76"/>
      <c r="G57" s="76"/>
      <c r="H57" s="492"/>
      <c r="I57" s="146"/>
      <c r="J57" s="146"/>
      <c r="K57" s="146"/>
      <c r="L57" s="77"/>
      <c r="M57" s="77"/>
      <c r="N57" s="77"/>
      <c r="O57" s="77"/>
      <c r="P57" s="77"/>
      <c r="Q57" s="77">
        <f>(Q56-P56)/Q56</f>
        <v>5.8479532163743971E-3</v>
      </c>
      <c r="R57" s="77"/>
      <c r="S57" s="77">
        <f t="shared" si="7"/>
        <v>5.8479532163743971E-3</v>
      </c>
      <c r="T57" s="77">
        <f t="shared" si="8"/>
        <v>5.8479532163743971E-3</v>
      </c>
      <c r="U57" s="77">
        <f>(U56-Q56)/U56</f>
        <v>5.8139534883719143E-3</v>
      </c>
      <c r="V57" s="77">
        <f t="shared" ref="V57:AG57" si="24">(V56-U56)/V56</f>
        <v>5.7803468208093758E-3</v>
      </c>
      <c r="W57" s="77">
        <f t="shared" si="24"/>
        <v>5.7471264367817349E-3</v>
      </c>
      <c r="X57" s="77">
        <f t="shared" si="24"/>
        <v>5.7142857142855382E-3</v>
      </c>
      <c r="Y57" s="77">
        <f t="shared" si="24"/>
        <v>5.681818181818306E-3</v>
      </c>
      <c r="Z57" s="77">
        <f t="shared" si="24"/>
        <v>5.6497175141241203E-3</v>
      </c>
      <c r="AA57" s="77">
        <f t="shared" si="24"/>
        <v>5.6179775280900115E-3</v>
      </c>
      <c r="AB57" s="77">
        <f t="shared" si="24"/>
        <v>5.5865921787709247E-3</v>
      </c>
      <c r="AC57" s="77">
        <f t="shared" si="24"/>
        <v>5.5555555555555315E-3</v>
      </c>
      <c r="AD57" s="77">
        <f t="shared" si="24"/>
        <v>5.5248618784531599E-3</v>
      </c>
      <c r="AE57" s="77">
        <f t="shared" si="24"/>
        <v>5.4945054945053249E-3</v>
      </c>
      <c r="AF57" s="77">
        <f t="shared" si="24"/>
        <v>5.4644808743170596E-3</v>
      </c>
      <c r="AG57" s="77">
        <f t="shared" si="24"/>
        <v>5.4347826086956277E-3</v>
      </c>
      <c r="AH57" s="77"/>
      <c r="AI57" s="77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</row>
    <row r="58" spans="1:60" ht="15.75" hidden="1" customHeight="1" outlineLevel="1">
      <c r="B58" s="159"/>
      <c r="C58" s="164" t="s">
        <v>1776</v>
      </c>
      <c r="D58" s="76"/>
      <c r="E58" s="76"/>
      <c r="F58" s="76"/>
      <c r="G58" s="76"/>
      <c r="H58" s="562"/>
      <c r="I58" s="146"/>
      <c r="J58" s="101"/>
      <c r="K58" s="101"/>
      <c r="L58" s="146"/>
      <c r="M58" s="146"/>
      <c r="N58" s="146"/>
      <c r="O58" s="146"/>
      <c r="P58" s="561">
        <v>0.26500000000000001</v>
      </c>
      <c r="Q58" s="561">
        <v>0.26500000000000001</v>
      </c>
      <c r="R58" s="561"/>
      <c r="S58" s="561">
        <f t="shared" si="7"/>
        <v>0.26500000000000001</v>
      </c>
      <c r="T58" s="561">
        <f t="shared" si="8"/>
        <v>0.26500000000000001</v>
      </c>
      <c r="U58" s="561">
        <v>0.26500000000000001</v>
      </c>
      <c r="V58" s="561">
        <v>0.26500000000000001</v>
      </c>
      <c r="W58" s="561">
        <v>0.26500000000000001</v>
      </c>
      <c r="X58" s="561">
        <v>0.26500000000000001</v>
      </c>
      <c r="Y58" s="561">
        <v>0.26500000000000001</v>
      </c>
      <c r="Z58" s="561">
        <v>0.26500000000000001</v>
      </c>
      <c r="AA58" s="561">
        <v>0.26500000000000001</v>
      </c>
      <c r="AB58" s="561">
        <v>0.26500000000000001</v>
      </c>
      <c r="AC58" s="561">
        <v>0.26500000000000001</v>
      </c>
      <c r="AD58" s="561">
        <v>0.26500000000000001</v>
      </c>
      <c r="AE58" s="561">
        <v>0.26500000000000001</v>
      </c>
      <c r="AF58" s="561">
        <v>0.26500000000000001</v>
      </c>
      <c r="AG58" s="561">
        <v>0.26500000000000001</v>
      </c>
      <c r="AH58" s="561"/>
      <c r="AI58" s="14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</row>
    <row r="59" spans="1:60" ht="15.75" hidden="1" customHeight="1" outlineLevel="1">
      <c r="B59" s="159"/>
      <c r="C59" s="164"/>
      <c r="D59" s="76"/>
      <c r="E59" s="76"/>
      <c r="F59" s="76"/>
      <c r="G59" s="76"/>
      <c r="H59" s="562"/>
      <c r="I59" s="146"/>
      <c r="J59" s="101"/>
      <c r="K59" s="101"/>
      <c r="L59" s="146"/>
      <c r="M59" s="146"/>
      <c r="N59" s="146"/>
      <c r="O59" s="146"/>
      <c r="P59" s="146"/>
      <c r="Q59" s="146"/>
      <c r="R59" s="146"/>
      <c r="S59" s="146">
        <f t="shared" si="7"/>
        <v>0</v>
      </c>
      <c r="T59" s="146">
        <f t="shared" si="8"/>
        <v>0</v>
      </c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  <c r="AF59" s="146"/>
      <c r="AG59" s="146"/>
      <c r="AH59" s="146"/>
      <c r="AI59" s="14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</row>
    <row r="60" spans="1:60" s="157" customFormat="1" ht="15.75" hidden="1" customHeight="1" outlineLevel="1">
      <c r="A60" s="460"/>
      <c r="B60" s="161"/>
      <c r="C60" s="162" t="s">
        <v>1260</v>
      </c>
      <c r="D60" s="155"/>
      <c r="E60" s="155"/>
      <c r="F60" s="155"/>
      <c r="G60" s="155"/>
      <c r="H60" s="559"/>
      <c r="I60" s="146"/>
      <c r="J60" s="145"/>
      <c r="K60" s="101"/>
      <c r="L60" s="145"/>
      <c r="M60" s="641"/>
      <c r="N60" s="431"/>
      <c r="O60" s="431"/>
      <c r="P60" s="431"/>
      <c r="Q60" s="431"/>
      <c r="R60" s="431"/>
      <c r="S60" s="431">
        <f t="shared" si="7"/>
        <v>0</v>
      </c>
      <c r="T60" s="431">
        <f t="shared" si="8"/>
        <v>0</v>
      </c>
      <c r="U60" s="431"/>
      <c r="V60" s="431"/>
      <c r="W60" s="431"/>
      <c r="X60" s="431"/>
      <c r="Y60" s="431"/>
      <c r="Z60" s="431"/>
      <c r="AA60" s="431"/>
      <c r="AB60" s="431"/>
      <c r="AC60" s="431"/>
      <c r="AD60" s="431"/>
      <c r="AE60" s="431"/>
      <c r="AF60" s="431"/>
      <c r="AG60" s="431"/>
      <c r="AH60" s="431"/>
      <c r="AI60" s="431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</row>
    <row r="61" spans="1:60" s="157" customFormat="1" ht="15.75" hidden="1" customHeight="1" outlineLevel="1">
      <c r="A61" s="460"/>
      <c r="B61" s="161"/>
      <c r="C61" s="164" t="s">
        <v>1773</v>
      </c>
      <c r="D61" s="76"/>
      <c r="E61" s="155"/>
      <c r="F61" s="155"/>
      <c r="G61" s="155"/>
      <c r="H61" s="559"/>
      <c r="I61" s="146"/>
      <c r="J61" s="101"/>
      <c r="K61" s="101"/>
      <c r="L61" s="145"/>
      <c r="M61" s="146"/>
      <c r="N61" s="146"/>
      <c r="O61" s="146"/>
      <c r="P61" s="146">
        <f>(0.00158*Kurilgeo!P62+6.17)</f>
        <v>8.9350000000000005</v>
      </c>
      <c r="Q61" s="146">
        <f>(0.00158*Kurilgeo!Q62+6.17)</f>
        <v>8.9350000000000005</v>
      </c>
      <c r="R61" s="146"/>
      <c r="S61" s="146">
        <f t="shared" si="7"/>
        <v>8.9350000000000005</v>
      </c>
      <c r="T61" s="146">
        <f t="shared" si="8"/>
        <v>8.9350000000000005</v>
      </c>
      <c r="U61" s="146">
        <f>(0.00158*Kurilgeo!U62+6.17)</f>
        <v>8.9350000000000005</v>
      </c>
      <c r="V61" s="146">
        <f>(0.00158*Kurilgeo!V62+6.17)</f>
        <v>8.9350000000000005</v>
      </c>
      <c r="W61" s="146">
        <f>(0.00158*Kurilgeo!W62+6.17)</f>
        <v>8.9350000000000005</v>
      </c>
      <c r="X61" s="146">
        <f>(0.00158*Kurilgeo!X62+6.17)</f>
        <v>8.9350000000000005</v>
      </c>
      <c r="Y61" s="146">
        <f>(0.00158*Kurilgeo!Y62+6.17)</f>
        <v>8.9350000000000005</v>
      </c>
      <c r="Z61" s="146">
        <f>(0.00158*Kurilgeo!Z62+6.17)</f>
        <v>8.9350000000000005</v>
      </c>
      <c r="AA61" s="146">
        <f>(0.00158*Kurilgeo!AA62+6.17)</f>
        <v>8.9350000000000005</v>
      </c>
      <c r="AB61" s="146">
        <f>(0.00158*Kurilgeo!AB62+6.17)</f>
        <v>8.9350000000000005</v>
      </c>
      <c r="AC61" s="146">
        <f>(0.00158*Kurilgeo!AC62+6.17)</f>
        <v>8.9350000000000005</v>
      </c>
      <c r="AD61" s="146">
        <f>(0.00158*Kurilgeo!AD62+6.17)</f>
        <v>8.9350000000000005</v>
      </c>
      <c r="AE61" s="146">
        <f>(0.00158*Kurilgeo!AE62+6.17)</f>
        <v>8.9350000000000005</v>
      </c>
      <c r="AF61" s="146">
        <f>(0.00158*Kurilgeo!AF62+6.17)</f>
        <v>8.9350000000000005</v>
      </c>
      <c r="AG61" s="146">
        <f>(0.00158*Kurilgeo!AG62+6.17)</f>
        <v>8.9350000000000005</v>
      </c>
      <c r="AH61" s="146"/>
      <c r="AI61" s="146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</row>
    <row r="62" spans="1:60" ht="15.75" hidden="1" customHeight="1" outlineLevel="1">
      <c r="B62" s="159"/>
      <c r="C62" s="164" t="s">
        <v>1775</v>
      </c>
      <c r="D62" s="76"/>
      <c r="E62" s="76"/>
      <c r="F62" s="76"/>
      <c r="G62" s="76"/>
      <c r="H62" s="562"/>
      <c r="I62" s="146"/>
      <c r="J62" s="101"/>
      <c r="K62" s="101"/>
      <c r="L62" s="146"/>
      <c r="M62" s="146"/>
      <c r="N62" s="146"/>
      <c r="O62" s="146"/>
      <c r="P62" s="1015">
        <v>1750</v>
      </c>
      <c r="Q62" s="1015">
        <v>1750</v>
      </c>
      <c r="R62" s="1015"/>
      <c r="S62" s="1015">
        <f t="shared" si="7"/>
        <v>1750</v>
      </c>
      <c r="T62" s="1015">
        <f t="shared" si="8"/>
        <v>1750</v>
      </c>
      <c r="U62" s="1015">
        <v>1750</v>
      </c>
      <c r="V62" s="1015">
        <v>1750</v>
      </c>
      <c r="W62" s="1015">
        <v>1750</v>
      </c>
      <c r="X62" s="1015">
        <v>1750</v>
      </c>
      <c r="Y62" s="1015">
        <v>1750</v>
      </c>
      <c r="Z62" s="1015">
        <v>1750</v>
      </c>
      <c r="AA62" s="1015">
        <v>1750</v>
      </c>
      <c r="AB62" s="1015">
        <v>1750</v>
      </c>
      <c r="AC62" s="1015">
        <v>1750</v>
      </c>
      <c r="AD62" s="1015">
        <v>1750</v>
      </c>
      <c r="AE62" s="1015">
        <v>1750</v>
      </c>
      <c r="AF62" s="1015">
        <v>1750</v>
      </c>
      <c r="AG62" s="1015">
        <v>1750</v>
      </c>
      <c r="AH62" s="1015"/>
      <c r="AI62" s="14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</row>
    <row r="63" spans="1:60" ht="15.75" hidden="1" customHeight="1" outlineLevel="1">
      <c r="B63" s="159"/>
      <c r="C63" s="164" t="s">
        <v>1771</v>
      </c>
      <c r="D63" s="76"/>
      <c r="E63" s="76"/>
      <c r="F63" s="76"/>
      <c r="G63" s="76"/>
      <c r="H63" s="562"/>
      <c r="I63" s="146"/>
      <c r="J63" s="101"/>
      <c r="K63" s="101"/>
      <c r="L63" s="146"/>
      <c r="M63" s="146"/>
      <c r="N63" s="146"/>
      <c r="O63" s="146"/>
      <c r="P63" s="146">
        <f>P64*P56</f>
        <v>1.9349399999999999</v>
      </c>
      <c r="Q63" s="146">
        <f t="shared" ref="Q63:AG63" si="25">Q64*Q56</f>
        <v>1.9463220000000001</v>
      </c>
      <c r="R63" s="146"/>
      <c r="S63" s="146">
        <f t="shared" si="7"/>
        <v>1.9463220000000001</v>
      </c>
      <c r="T63" s="146">
        <f t="shared" si="8"/>
        <v>1.9463220000000001</v>
      </c>
      <c r="U63" s="146">
        <f t="shared" si="25"/>
        <v>1.9577039999999999</v>
      </c>
      <c r="V63" s="146">
        <f t="shared" si="25"/>
        <v>1.9690860000000001</v>
      </c>
      <c r="W63" s="146">
        <f t="shared" si="25"/>
        <v>1.9804680000000003</v>
      </c>
      <c r="X63" s="146">
        <f t="shared" si="25"/>
        <v>1.9918499999999999</v>
      </c>
      <c r="Y63" s="146">
        <f t="shared" si="25"/>
        <v>2.0032320000000001</v>
      </c>
      <c r="Z63" s="146">
        <f t="shared" si="25"/>
        <v>2.0146139999999999</v>
      </c>
      <c r="AA63" s="146">
        <f t="shared" si="25"/>
        <v>2.0259960000000001</v>
      </c>
      <c r="AB63" s="146">
        <f t="shared" si="25"/>
        <v>2.0373779999999999</v>
      </c>
      <c r="AC63" s="146">
        <f t="shared" si="25"/>
        <v>2.0487600000000001</v>
      </c>
      <c r="AD63" s="146">
        <f t="shared" si="25"/>
        <v>2.0601420000000004</v>
      </c>
      <c r="AE63" s="146">
        <f t="shared" si="25"/>
        <v>2.0715239999999997</v>
      </c>
      <c r="AF63" s="146">
        <f t="shared" si="25"/>
        <v>2.0829059999999999</v>
      </c>
      <c r="AG63" s="146">
        <f t="shared" si="25"/>
        <v>2.0942880000000001</v>
      </c>
      <c r="AH63" s="146"/>
      <c r="AI63" s="14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</row>
    <row r="64" spans="1:60" ht="15.75" hidden="1" customHeight="1" outlineLevel="1">
      <c r="B64" s="159"/>
      <c r="C64" s="164" t="s">
        <v>1263</v>
      </c>
      <c r="D64" s="76"/>
      <c r="E64" s="76"/>
      <c r="F64" s="76"/>
      <c r="G64" s="76"/>
      <c r="H64" s="562"/>
      <c r="I64" s="146"/>
      <c r="J64" s="101"/>
      <c r="K64" s="101"/>
      <c r="L64" s="146"/>
      <c r="M64" s="146"/>
      <c r="N64" s="146"/>
      <c r="O64" s="146"/>
      <c r="P64" s="146">
        <v>10.84</v>
      </c>
      <c r="Q64" s="146">
        <v>10.84</v>
      </c>
      <c r="R64" s="146"/>
      <c r="S64" s="146">
        <f t="shared" si="7"/>
        <v>10.84</v>
      </c>
      <c r="T64" s="146">
        <f t="shared" si="8"/>
        <v>10.84</v>
      </c>
      <c r="U64" s="146">
        <v>10.84</v>
      </c>
      <c r="V64" s="146">
        <v>10.84</v>
      </c>
      <c r="W64" s="146">
        <v>10.84</v>
      </c>
      <c r="X64" s="146">
        <v>10.84</v>
      </c>
      <c r="Y64" s="146">
        <v>10.84</v>
      </c>
      <c r="Z64" s="146">
        <v>10.84</v>
      </c>
      <c r="AA64" s="146">
        <v>10.84</v>
      </c>
      <c r="AB64" s="146">
        <v>10.84</v>
      </c>
      <c r="AC64" s="146">
        <v>10.84</v>
      </c>
      <c r="AD64" s="146">
        <v>10.84</v>
      </c>
      <c r="AE64" s="146">
        <v>10.84</v>
      </c>
      <c r="AF64" s="146">
        <v>10.84</v>
      </c>
      <c r="AG64" s="146">
        <v>10.84</v>
      </c>
      <c r="AH64" s="146"/>
      <c r="AI64" s="14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</row>
    <row r="65" spans="1:60" ht="15.75" hidden="1" customHeight="1" outlineLevel="1">
      <c r="B65" s="159"/>
      <c r="C65" s="164" t="s">
        <v>1772</v>
      </c>
      <c r="D65" s="76"/>
      <c r="E65" s="76"/>
      <c r="F65" s="76"/>
      <c r="G65" s="76"/>
      <c r="H65" s="562"/>
      <c r="I65" s="146"/>
      <c r="J65" s="101"/>
      <c r="K65" s="101"/>
      <c r="L65" s="146"/>
      <c r="M65" s="146"/>
      <c r="N65" s="146"/>
      <c r="O65" s="146"/>
      <c r="P65" s="146">
        <v>0.157</v>
      </c>
      <c r="Q65" s="146">
        <v>0.157</v>
      </c>
      <c r="R65" s="146"/>
      <c r="S65" s="146">
        <f t="shared" si="7"/>
        <v>0.157</v>
      </c>
      <c r="T65" s="146">
        <f t="shared" si="8"/>
        <v>0.157</v>
      </c>
      <c r="U65" s="146">
        <v>0.157</v>
      </c>
      <c r="V65" s="146">
        <v>0.157</v>
      </c>
      <c r="W65" s="146">
        <v>0.157</v>
      </c>
      <c r="X65" s="146">
        <v>0.157</v>
      </c>
      <c r="Y65" s="146">
        <v>0.157</v>
      </c>
      <c r="Z65" s="146">
        <v>0.157</v>
      </c>
      <c r="AA65" s="146">
        <v>0.157</v>
      </c>
      <c r="AB65" s="146">
        <v>0.157</v>
      </c>
      <c r="AC65" s="146">
        <v>0.157</v>
      </c>
      <c r="AD65" s="146">
        <v>0.157</v>
      </c>
      <c r="AE65" s="146">
        <v>0.157</v>
      </c>
      <c r="AF65" s="146">
        <v>0.157</v>
      </c>
      <c r="AG65" s="146">
        <v>0.157</v>
      </c>
      <c r="AH65" s="146"/>
      <c r="AI65" s="14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</row>
    <row r="66" spans="1:60" ht="15.75" hidden="1" customHeight="1" outlineLevel="1">
      <c r="B66" s="159"/>
      <c r="C66" s="494"/>
      <c r="D66" s="76"/>
      <c r="E66" s="76"/>
      <c r="F66" s="76"/>
      <c r="G66" s="76"/>
      <c r="H66" s="562"/>
      <c r="I66" s="434"/>
      <c r="J66" s="434"/>
      <c r="K66" s="147"/>
      <c r="L66" s="147"/>
      <c r="M66" s="432"/>
      <c r="N66" s="432"/>
      <c r="O66" s="432"/>
      <c r="P66" s="432"/>
      <c r="Q66" s="432"/>
      <c r="R66" s="432"/>
      <c r="S66" s="432">
        <f t="shared" si="7"/>
        <v>0</v>
      </c>
      <c r="T66" s="432">
        <f t="shared" si="8"/>
        <v>0</v>
      </c>
      <c r="U66" s="432"/>
      <c r="V66" s="432"/>
      <c r="W66" s="432"/>
      <c r="X66" s="432"/>
      <c r="Y66" s="432"/>
      <c r="Z66" s="432"/>
      <c r="AA66" s="432"/>
      <c r="AB66" s="432"/>
      <c r="AC66" s="432"/>
      <c r="AD66" s="432"/>
      <c r="AE66" s="432"/>
      <c r="AF66" s="432"/>
      <c r="AG66" s="432"/>
      <c r="AH66" s="432"/>
      <c r="AI66" s="432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</row>
    <row r="67" spans="1:60" s="157" customFormat="1" ht="15.75" hidden="1" customHeight="1" outlineLevel="1">
      <c r="A67" s="460"/>
      <c r="B67" s="161"/>
      <c r="C67" s="162" t="s">
        <v>1265</v>
      </c>
      <c r="D67" s="155"/>
      <c r="E67" s="155"/>
      <c r="F67" s="155"/>
      <c r="G67" s="155"/>
      <c r="H67" s="559"/>
      <c r="I67" s="82"/>
      <c r="J67" s="495"/>
      <c r="K67" s="101"/>
      <c r="L67" s="101"/>
      <c r="M67" s="146"/>
      <c r="N67" s="145"/>
      <c r="O67" s="145"/>
      <c r="P67" s="145"/>
      <c r="Q67" s="145"/>
      <c r="R67" s="145"/>
      <c r="S67" s="145">
        <f t="shared" si="7"/>
        <v>0</v>
      </c>
      <c r="T67" s="145">
        <f t="shared" si="8"/>
        <v>0</v>
      </c>
      <c r="U67" s="145"/>
      <c r="V67" s="145"/>
      <c r="W67" s="145"/>
      <c r="X67" s="145"/>
      <c r="Y67" s="145"/>
      <c r="Z67" s="145"/>
      <c r="AA67" s="145"/>
      <c r="AB67" s="145"/>
      <c r="AC67" s="145"/>
      <c r="AD67" s="145"/>
      <c r="AE67" s="145"/>
      <c r="AF67" s="145"/>
      <c r="AG67" s="145"/>
      <c r="AH67" s="145"/>
      <c r="AI67" s="145"/>
      <c r="AJ67" s="155"/>
      <c r="AK67" s="155"/>
      <c r="AL67" s="155"/>
      <c r="AM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</row>
    <row r="68" spans="1:60" ht="15.75" hidden="1" customHeight="1" outlineLevel="1">
      <c r="B68" s="159"/>
      <c r="C68" s="164" t="s">
        <v>1777</v>
      </c>
      <c r="D68" s="76"/>
      <c r="E68" s="76"/>
      <c r="F68" s="76"/>
      <c r="G68" s="76"/>
      <c r="H68" s="496"/>
      <c r="I68" s="146"/>
      <c r="J68" s="146"/>
      <c r="K68" s="146"/>
      <c r="L68" s="146"/>
      <c r="M68" s="433"/>
      <c r="N68" s="433"/>
      <c r="O68" s="433"/>
      <c r="P68" s="433">
        <v>4</v>
      </c>
      <c r="Q68" s="433">
        <v>4</v>
      </c>
      <c r="R68" s="433"/>
      <c r="S68" s="433">
        <f t="shared" si="7"/>
        <v>4</v>
      </c>
      <c r="T68" s="433">
        <f t="shared" si="8"/>
        <v>4</v>
      </c>
      <c r="U68" s="433">
        <v>4</v>
      </c>
      <c r="V68" s="433">
        <v>4</v>
      </c>
      <c r="W68" s="433">
        <v>4</v>
      </c>
      <c r="X68" s="433">
        <v>4</v>
      </c>
      <c r="Y68" s="433">
        <v>4</v>
      </c>
      <c r="Z68" s="433">
        <v>4</v>
      </c>
      <c r="AA68" s="433">
        <v>4</v>
      </c>
      <c r="AB68" s="433">
        <v>4</v>
      </c>
      <c r="AC68" s="433">
        <v>4</v>
      </c>
      <c r="AD68" s="433">
        <v>4</v>
      </c>
      <c r="AE68" s="433">
        <v>4</v>
      </c>
      <c r="AF68" s="433">
        <v>4</v>
      </c>
      <c r="AG68" s="433">
        <v>4</v>
      </c>
      <c r="AH68" s="433"/>
      <c r="AI68" s="433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</row>
    <row r="69" spans="1:60" ht="15.75" hidden="1" customHeight="1" outlineLevel="1">
      <c r="B69" s="159"/>
      <c r="C69" s="164"/>
      <c r="D69" s="76"/>
      <c r="E69" s="76"/>
      <c r="F69" s="76"/>
      <c r="G69" s="76"/>
      <c r="H69" s="496"/>
      <c r="I69" s="146"/>
      <c r="J69" s="146"/>
      <c r="K69" s="146"/>
      <c r="L69" s="146"/>
      <c r="M69" s="433"/>
      <c r="N69" s="433"/>
      <c r="O69" s="433"/>
      <c r="P69" s="433"/>
      <c r="Q69" s="433"/>
      <c r="R69" s="433"/>
      <c r="S69" s="433">
        <f t="shared" si="7"/>
        <v>0</v>
      </c>
      <c r="T69" s="433">
        <f t="shared" si="8"/>
        <v>0</v>
      </c>
      <c r="U69" s="433"/>
      <c r="V69" s="433"/>
      <c r="W69" s="433"/>
      <c r="X69" s="433"/>
      <c r="Y69" s="433"/>
      <c r="Z69" s="433"/>
      <c r="AA69" s="433"/>
      <c r="AB69" s="433"/>
      <c r="AC69" s="433"/>
      <c r="AD69" s="433"/>
      <c r="AE69" s="433"/>
      <c r="AF69" s="433"/>
      <c r="AG69" s="433"/>
      <c r="AH69" s="433"/>
      <c r="AI69" s="433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</row>
    <row r="70" spans="1:60" ht="15.75" hidden="1" customHeight="1" outlineLevel="1">
      <c r="B70" s="159"/>
      <c r="C70" s="164" t="s">
        <v>1801</v>
      </c>
      <c r="D70" s="76"/>
      <c r="E70" s="76"/>
      <c r="F70" s="76"/>
      <c r="G70" s="76"/>
      <c r="H70" s="496"/>
      <c r="I70" s="146"/>
      <c r="J70" s="146"/>
      <c r="K70" s="146"/>
      <c r="L70" s="146"/>
      <c r="M70" s="433"/>
      <c r="N70" s="433"/>
      <c r="O70" s="433"/>
      <c r="P70" s="134">
        <v>0.01</v>
      </c>
      <c r="Q70" s="134">
        <v>0.01</v>
      </c>
      <c r="R70" s="134"/>
      <c r="S70" s="134">
        <f t="shared" si="7"/>
        <v>0.01</v>
      </c>
      <c r="T70" s="134">
        <f t="shared" si="8"/>
        <v>0.01</v>
      </c>
      <c r="U70" s="134">
        <v>0.01</v>
      </c>
      <c r="V70" s="134">
        <v>0.01</v>
      </c>
      <c r="W70" s="134">
        <v>0.01</v>
      </c>
      <c r="X70" s="134">
        <v>0.01</v>
      </c>
      <c r="Y70" s="134">
        <v>0.01</v>
      </c>
      <c r="Z70" s="134">
        <v>0.01</v>
      </c>
      <c r="AA70" s="134">
        <v>0.01</v>
      </c>
      <c r="AB70" s="134">
        <v>0.01</v>
      </c>
      <c r="AC70" s="134">
        <v>0.01</v>
      </c>
      <c r="AD70" s="134">
        <v>0.01</v>
      </c>
      <c r="AE70" s="134">
        <v>0.01</v>
      </c>
      <c r="AF70" s="134">
        <v>0.01</v>
      </c>
      <c r="AG70" s="134">
        <v>0.01</v>
      </c>
      <c r="AH70" s="134"/>
      <c r="AI70" s="433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</row>
    <row r="71" spans="1:60" ht="15.75" hidden="1" customHeight="1" outlineLevel="1">
      <c r="B71" s="159"/>
      <c r="C71" s="164" t="s">
        <v>1800</v>
      </c>
      <c r="D71" s="76"/>
      <c r="E71" s="76"/>
      <c r="F71" s="76"/>
      <c r="G71" s="76"/>
      <c r="H71" s="496"/>
      <c r="I71" s="146"/>
      <c r="J71" s="146"/>
      <c r="K71" s="146"/>
      <c r="L71" s="146"/>
      <c r="M71" s="433"/>
      <c r="N71" s="433"/>
      <c r="O71" s="433"/>
      <c r="P71" s="134">
        <v>0.06</v>
      </c>
      <c r="Q71" s="134">
        <v>0.06</v>
      </c>
      <c r="R71" s="134"/>
      <c r="S71" s="134">
        <f t="shared" si="7"/>
        <v>0.06</v>
      </c>
      <c r="T71" s="134">
        <f t="shared" si="8"/>
        <v>0.06</v>
      </c>
      <c r="U71" s="134">
        <v>0.06</v>
      </c>
      <c r="V71" s="134">
        <v>0.06</v>
      </c>
      <c r="W71" s="134">
        <v>0.06</v>
      </c>
      <c r="X71" s="134">
        <v>0.06</v>
      </c>
      <c r="Y71" s="134">
        <v>0.06</v>
      </c>
      <c r="Z71" s="134">
        <v>0.06</v>
      </c>
      <c r="AA71" s="134">
        <v>0.06</v>
      </c>
      <c r="AB71" s="134">
        <v>0.06</v>
      </c>
      <c r="AC71" s="134">
        <v>0.06</v>
      </c>
      <c r="AD71" s="134">
        <v>0.06</v>
      </c>
      <c r="AE71" s="134">
        <v>0.06</v>
      </c>
      <c r="AF71" s="134">
        <v>0.06</v>
      </c>
      <c r="AG71" s="134">
        <v>0.06</v>
      </c>
      <c r="AH71" s="134"/>
      <c r="AI71" s="433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</row>
    <row r="72" spans="1:60" ht="15.75" hidden="1" customHeight="1" outlineLevel="1">
      <c r="B72" s="159"/>
      <c r="C72" s="164" t="s">
        <v>1802</v>
      </c>
      <c r="D72" s="76"/>
      <c r="E72" s="76"/>
      <c r="F72" s="76"/>
      <c r="G72" s="76"/>
      <c r="H72" s="492"/>
      <c r="I72" s="82"/>
      <c r="J72" s="82"/>
      <c r="K72" s="82"/>
      <c r="L72" s="146"/>
      <c r="M72" s="432"/>
      <c r="N72" s="432"/>
      <c r="O72" s="432"/>
      <c r="P72" s="436">
        <v>6.5000000000000002E-2</v>
      </c>
      <c r="Q72" s="436">
        <v>6.5000000000000002E-2</v>
      </c>
      <c r="R72" s="436"/>
      <c r="S72" s="436">
        <f t="shared" si="7"/>
        <v>6.5000000000000002E-2</v>
      </c>
      <c r="T72" s="436">
        <f t="shared" si="8"/>
        <v>6.5000000000000002E-2</v>
      </c>
      <c r="U72" s="436">
        <v>6.5000000000000002E-2</v>
      </c>
      <c r="V72" s="436">
        <v>6.5000000000000002E-2</v>
      </c>
      <c r="W72" s="436">
        <v>6.5000000000000002E-2</v>
      </c>
      <c r="X72" s="436">
        <v>6.5000000000000002E-2</v>
      </c>
      <c r="Y72" s="436">
        <v>6.5000000000000002E-2</v>
      </c>
      <c r="Z72" s="436">
        <v>6.5000000000000002E-2</v>
      </c>
      <c r="AA72" s="436">
        <v>6.5000000000000002E-2</v>
      </c>
      <c r="AB72" s="436">
        <v>6.5000000000000002E-2</v>
      </c>
      <c r="AC72" s="436">
        <v>6.5000000000000002E-2</v>
      </c>
      <c r="AD72" s="436">
        <v>6.5000000000000002E-2</v>
      </c>
      <c r="AE72" s="436">
        <v>6.5000000000000002E-2</v>
      </c>
      <c r="AF72" s="436">
        <v>6.5000000000000002E-2</v>
      </c>
      <c r="AG72" s="436">
        <v>6.5000000000000002E-2</v>
      </c>
      <c r="AH72" s="436"/>
      <c r="AI72" s="432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</row>
    <row r="73" spans="1:60" ht="15.75" hidden="1" customHeight="1" outlineLevel="1">
      <c r="B73" s="159"/>
      <c r="C73" s="164" t="s">
        <v>1803</v>
      </c>
      <c r="D73" s="76"/>
      <c r="E73" s="76"/>
      <c r="F73" s="76"/>
      <c r="G73" s="76"/>
      <c r="H73" s="492"/>
      <c r="I73" s="82"/>
      <c r="J73" s="82"/>
      <c r="K73" s="82"/>
      <c r="L73" s="146"/>
      <c r="M73" s="432"/>
      <c r="N73" s="432"/>
      <c r="O73" s="432"/>
      <c r="P73" s="436">
        <v>1.4999999999999999E-2</v>
      </c>
      <c r="Q73" s="436">
        <v>1.4999999999999999E-2</v>
      </c>
      <c r="R73" s="436"/>
      <c r="S73" s="436">
        <f t="shared" si="7"/>
        <v>1.4999999999999999E-2</v>
      </c>
      <c r="T73" s="436">
        <f t="shared" si="8"/>
        <v>1.4999999999999999E-2</v>
      </c>
      <c r="U73" s="436">
        <v>1.4999999999999999E-2</v>
      </c>
      <c r="V73" s="436">
        <v>1.4999999999999999E-2</v>
      </c>
      <c r="W73" s="436">
        <v>1.4999999999999999E-2</v>
      </c>
      <c r="X73" s="436">
        <v>1.4999999999999999E-2</v>
      </c>
      <c r="Y73" s="436">
        <v>1.4999999999999999E-2</v>
      </c>
      <c r="Z73" s="436">
        <v>1.4999999999999999E-2</v>
      </c>
      <c r="AA73" s="436">
        <v>1.4999999999999999E-2</v>
      </c>
      <c r="AB73" s="436">
        <v>1.4999999999999999E-2</v>
      </c>
      <c r="AC73" s="436">
        <v>1.4999999999999999E-2</v>
      </c>
      <c r="AD73" s="436">
        <v>1.4999999999999999E-2</v>
      </c>
      <c r="AE73" s="436">
        <v>1.4999999999999999E-2</v>
      </c>
      <c r="AF73" s="436">
        <v>1.4999999999999999E-2</v>
      </c>
      <c r="AG73" s="436">
        <v>1.4999999999999999E-2</v>
      </c>
      <c r="AH73" s="436"/>
      <c r="AI73" s="432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</row>
    <row r="74" spans="1:60" ht="15.75" hidden="1" customHeight="1" outlineLevel="1">
      <c r="B74" s="159"/>
      <c r="C74" s="164"/>
      <c r="D74" s="76"/>
      <c r="E74" s="76"/>
      <c r="F74" s="76"/>
      <c r="G74" s="76"/>
      <c r="H74" s="88"/>
      <c r="I74" s="434"/>
      <c r="J74" s="434"/>
      <c r="K74" s="147"/>
      <c r="L74" s="147"/>
      <c r="M74" s="434"/>
      <c r="N74" s="434"/>
      <c r="O74" s="434"/>
      <c r="P74" s="77"/>
      <c r="Q74" s="434"/>
      <c r="R74" s="434"/>
      <c r="S74" s="434">
        <f t="shared" si="7"/>
        <v>0</v>
      </c>
      <c r="T74" s="434">
        <f t="shared" si="8"/>
        <v>0</v>
      </c>
      <c r="U74" s="434"/>
      <c r="V74" s="434"/>
      <c r="W74" s="434"/>
      <c r="X74" s="434"/>
      <c r="Y74" s="434"/>
      <c r="Z74" s="434"/>
      <c r="AA74" s="434"/>
      <c r="AB74" s="434"/>
      <c r="AC74" s="434"/>
      <c r="AD74" s="434"/>
      <c r="AE74" s="434"/>
      <c r="AF74" s="434"/>
      <c r="AG74" s="434"/>
      <c r="AH74" s="434"/>
      <c r="AI74" s="434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</row>
    <row r="75" spans="1:60" ht="27" hidden="1" customHeight="1" outlineLevel="1">
      <c r="B75" s="159"/>
      <c r="C75" s="462" t="s">
        <v>502</v>
      </c>
      <c r="H75" s="487"/>
      <c r="I75" s="430"/>
      <c r="J75" s="97"/>
      <c r="K75" s="97"/>
      <c r="L75" s="97"/>
      <c r="M75" s="430"/>
      <c r="N75" s="430"/>
      <c r="O75" s="430"/>
      <c r="P75" s="430"/>
      <c r="Q75" s="430"/>
      <c r="R75" s="430"/>
      <c r="S75" s="430">
        <f t="shared" si="7"/>
        <v>0</v>
      </c>
      <c r="T75" s="430">
        <f t="shared" si="8"/>
        <v>0</v>
      </c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</row>
    <row r="76" spans="1:60" ht="3" hidden="1" customHeight="1" outlineLevel="1">
      <c r="B76" s="159"/>
      <c r="C76" s="464"/>
      <c r="D76" s="89"/>
      <c r="E76" s="89"/>
      <c r="F76" s="89"/>
      <c r="G76" s="89"/>
      <c r="H76" s="48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>
        <f t="shared" ref="S76:S139" si="26">Q76</f>
        <v>0</v>
      </c>
      <c r="T76" s="98">
        <f t="shared" ref="T76:T139" si="27">S76</f>
        <v>0</v>
      </c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</row>
    <row r="77" spans="1:60" ht="15.75" hidden="1" customHeight="1" outlineLevel="1">
      <c r="B77" s="159"/>
      <c r="C77" s="460" t="s">
        <v>1280</v>
      </c>
      <c r="H77" s="487"/>
      <c r="I77" s="430"/>
      <c r="J77" s="97"/>
      <c r="K77" s="97"/>
      <c r="L77" s="97"/>
      <c r="M77" s="430"/>
      <c r="N77" s="430"/>
      <c r="O77" s="430"/>
      <c r="P77" s="430"/>
      <c r="Q77" s="430"/>
      <c r="R77" s="430"/>
      <c r="S77" s="430">
        <f t="shared" si="26"/>
        <v>0</v>
      </c>
      <c r="T77" s="430">
        <f t="shared" si="27"/>
        <v>0</v>
      </c>
      <c r="U77" s="430"/>
      <c r="V77" s="430"/>
      <c r="W77" s="430"/>
      <c r="X77" s="430"/>
      <c r="Y77" s="430"/>
      <c r="Z77" s="430"/>
      <c r="AA77" s="430"/>
      <c r="AB77" s="430"/>
      <c r="AC77" s="430"/>
      <c r="AD77" s="430"/>
      <c r="AE77" s="430"/>
      <c r="AF77" s="430"/>
      <c r="AG77" s="430"/>
      <c r="AH77" s="430"/>
      <c r="AI77" s="430"/>
    </row>
    <row r="78" spans="1:60" ht="15.75" hidden="1" customHeight="1" outlineLevel="1">
      <c r="B78" s="159"/>
      <c r="C78" s="467" t="s">
        <v>502</v>
      </c>
      <c r="D78" s="468"/>
      <c r="E78" s="468"/>
      <c r="F78" s="468"/>
      <c r="G78" s="468"/>
      <c r="H78" s="466"/>
      <c r="I78" s="91"/>
      <c r="J78" s="91"/>
      <c r="K78" s="91"/>
      <c r="L78" s="135"/>
      <c r="M78" s="90"/>
      <c r="N78" s="421"/>
      <c r="O78" s="421"/>
      <c r="P78" s="421"/>
      <c r="Q78" s="421"/>
      <c r="R78" s="421"/>
      <c r="S78" s="421">
        <f t="shared" si="26"/>
        <v>0</v>
      </c>
      <c r="T78" s="421">
        <f t="shared" si="27"/>
        <v>0</v>
      </c>
      <c r="U78" s="421"/>
      <c r="V78" s="421"/>
      <c r="W78" s="421"/>
      <c r="X78" s="421"/>
      <c r="Y78" s="421"/>
      <c r="Z78" s="421"/>
      <c r="AA78" s="421"/>
      <c r="AB78" s="421"/>
      <c r="AC78" s="421"/>
      <c r="AD78" s="421"/>
      <c r="AE78" s="421"/>
      <c r="AF78" s="421"/>
      <c r="AG78" s="421"/>
      <c r="AH78" s="421"/>
      <c r="AI78" s="421"/>
    </row>
    <row r="79" spans="1:60" ht="15.75" hidden="1" customHeight="1" outlineLevel="1">
      <c r="B79" s="159"/>
      <c r="C79" s="546" t="s">
        <v>1280</v>
      </c>
      <c r="D79" s="106"/>
      <c r="E79" s="106"/>
      <c r="F79" s="106"/>
      <c r="G79" s="546"/>
      <c r="H79" s="547"/>
      <c r="I79" s="92">
        <v>0</v>
      </c>
      <c r="J79" s="92">
        <v>1</v>
      </c>
      <c r="K79" s="92">
        <v>2</v>
      </c>
      <c r="L79" s="92">
        <v>3</v>
      </c>
      <c r="M79" s="92">
        <v>4</v>
      </c>
      <c r="N79" s="92">
        <v>5</v>
      </c>
      <c r="O79" s="92">
        <f t="shared" ref="O79:W79" si="28">O7</f>
        <v>6</v>
      </c>
      <c r="P79" s="92">
        <f t="shared" si="28"/>
        <v>7</v>
      </c>
      <c r="Q79" s="92">
        <f t="shared" si="28"/>
        <v>8</v>
      </c>
      <c r="R79" s="92"/>
      <c r="S79" s="92">
        <f t="shared" si="26"/>
        <v>8</v>
      </c>
      <c r="T79" s="92">
        <f t="shared" si="27"/>
        <v>8</v>
      </c>
      <c r="U79" s="92">
        <f t="shared" si="28"/>
        <v>9</v>
      </c>
      <c r="V79" s="92">
        <f t="shared" si="28"/>
        <v>10</v>
      </c>
      <c r="W79" s="92">
        <f t="shared" si="28"/>
        <v>11</v>
      </c>
      <c r="X79" s="92">
        <f>X7</f>
        <v>12</v>
      </c>
      <c r="Y79" s="92">
        <f>Y7</f>
        <v>13</v>
      </c>
      <c r="Z79" s="92">
        <f t="shared" ref="Z79:AG79" si="29">Z7</f>
        <v>14</v>
      </c>
      <c r="AA79" s="92">
        <f t="shared" si="29"/>
        <v>15</v>
      </c>
      <c r="AB79" s="92">
        <f t="shared" si="29"/>
        <v>16</v>
      </c>
      <c r="AC79" s="92">
        <f t="shared" si="29"/>
        <v>17</v>
      </c>
      <c r="AD79" s="92">
        <f t="shared" si="29"/>
        <v>18</v>
      </c>
      <c r="AE79" s="92">
        <f t="shared" si="29"/>
        <v>19</v>
      </c>
      <c r="AF79" s="92">
        <f t="shared" si="29"/>
        <v>20</v>
      </c>
      <c r="AG79" s="92">
        <f t="shared" si="29"/>
        <v>21</v>
      </c>
      <c r="AH79" s="92"/>
      <c r="AI79" s="92"/>
    </row>
    <row r="80" spans="1:60" ht="15.75" hidden="1" customHeight="1" outlineLevel="1">
      <c r="B80" s="159"/>
      <c r="C80" s="548"/>
      <c r="D80" s="469"/>
      <c r="E80" s="469"/>
      <c r="F80" s="469"/>
      <c r="G80" s="548"/>
      <c r="H80" s="470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</row>
    <row r="81" spans="1:35" ht="15.75" hidden="1" customHeight="1" outlineLevel="1">
      <c r="B81" s="159"/>
      <c r="C81" s="471"/>
      <c r="D81" s="472"/>
      <c r="E81" s="506"/>
      <c r="F81" s="506"/>
      <c r="G81" s="471"/>
      <c r="H81" s="473"/>
      <c r="I81" s="99" t="s">
        <v>499</v>
      </c>
      <c r="J81" s="99" t="s">
        <v>499</v>
      </c>
      <c r="K81" s="99" t="s">
        <v>499</v>
      </c>
      <c r="L81" s="99" t="s">
        <v>499</v>
      </c>
      <c r="M81" s="99" t="s">
        <v>499</v>
      </c>
      <c r="N81" s="99" t="s">
        <v>499</v>
      </c>
      <c r="O81" s="99" t="s">
        <v>499</v>
      </c>
      <c r="P81" s="99" t="s">
        <v>499</v>
      </c>
      <c r="Q81" s="99" t="s">
        <v>499</v>
      </c>
      <c r="R81" s="99"/>
      <c r="S81" s="99" t="str">
        <f t="shared" si="26"/>
        <v>($)</v>
      </c>
      <c r="T81" s="99" t="str">
        <f t="shared" si="27"/>
        <v>($)</v>
      </c>
      <c r="U81" s="99" t="s">
        <v>499</v>
      </c>
      <c r="V81" s="99" t="s">
        <v>499</v>
      </c>
      <c r="W81" s="99" t="s">
        <v>499</v>
      </c>
      <c r="X81" s="99" t="s">
        <v>499</v>
      </c>
      <c r="Y81" s="99" t="s">
        <v>499</v>
      </c>
      <c r="Z81" s="99" t="s">
        <v>499</v>
      </c>
      <c r="AA81" s="99" t="s">
        <v>499</v>
      </c>
      <c r="AB81" s="99" t="s">
        <v>499</v>
      </c>
      <c r="AC81" s="99" t="s">
        <v>499</v>
      </c>
      <c r="AD81" s="99" t="s">
        <v>499</v>
      </c>
      <c r="AE81" s="99" t="s">
        <v>499</v>
      </c>
      <c r="AF81" s="99" t="s">
        <v>499</v>
      </c>
      <c r="AG81" s="99" t="s">
        <v>499</v>
      </c>
      <c r="AH81" s="99"/>
      <c r="AI81" s="99"/>
    </row>
    <row r="82" spans="1:35" ht="15.75" hidden="1" customHeight="1" outlineLevel="1">
      <c r="B82" s="159"/>
      <c r="C82" s="95"/>
      <c r="D82" s="110"/>
      <c r="E82" s="114"/>
      <c r="F82" s="114"/>
      <c r="G82" s="95"/>
      <c r="H82" s="1011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>
        <f t="shared" si="26"/>
        <v>0</v>
      </c>
      <c r="T82" s="144">
        <f t="shared" si="27"/>
        <v>0</v>
      </c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</row>
    <row r="83" spans="1:35" s="157" customFormat="1" ht="15.75" hidden="1" customHeight="1" outlineLevel="1">
      <c r="A83" s="460"/>
      <c r="B83" s="161"/>
      <c r="C83" s="162" t="s">
        <v>1246</v>
      </c>
      <c r="D83" s="163"/>
      <c r="E83" s="530"/>
      <c r="F83" s="530"/>
      <c r="G83" s="95"/>
      <c r="H83" s="1011"/>
      <c r="I83" s="141"/>
      <c r="J83" s="141"/>
      <c r="K83" s="141"/>
      <c r="L83" s="141"/>
      <c r="M83" s="141"/>
      <c r="N83" s="141"/>
      <c r="O83" s="141"/>
      <c r="P83" s="141">
        <f>SUM(P84:P86)</f>
        <v>0</v>
      </c>
      <c r="Q83" s="141">
        <f t="shared" ref="Q83:AG83" si="30">SUM(Q84:Q86)</f>
        <v>3915829.0731250001</v>
      </c>
      <c r="R83" s="141"/>
      <c r="S83" s="141">
        <f t="shared" si="26"/>
        <v>3915829.0731250001</v>
      </c>
      <c r="T83" s="141">
        <f t="shared" si="27"/>
        <v>3915829.0731250001</v>
      </c>
      <c r="U83" s="141">
        <f t="shared" si="30"/>
        <v>3917209.6524999999</v>
      </c>
      <c r="V83" s="141">
        <f t="shared" si="30"/>
        <v>3918590.2318750001</v>
      </c>
      <c r="W83" s="141">
        <f t="shared" si="30"/>
        <v>3919970.8112500003</v>
      </c>
      <c r="X83" s="141">
        <f t="shared" si="30"/>
        <v>3921351.390625</v>
      </c>
      <c r="Y83" s="141">
        <f t="shared" si="30"/>
        <v>3922731.97</v>
      </c>
      <c r="Z83" s="141">
        <f t="shared" si="30"/>
        <v>3924112.5493749999</v>
      </c>
      <c r="AA83" s="141">
        <f t="shared" si="30"/>
        <v>3925493.1287500001</v>
      </c>
      <c r="AB83" s="141">
        <f t="shared" si="30"/>
        <v>3926873.7081249999</v>
      </c>
      <c r="AC83" s="141">
        <f t="shared" si="30"/>
        <v>3928254.2875000001</v>
      </c>
      <c r="AD83" s="141">
        <f t="shared" si="30"/>
        <v>3929634.8668750003</v>
      </c>
      <c r="AE83" s="141">
        <f t="shared" si="30"/>
        <v>4379961.5</v>
      </c>
      <c r="AF83" s="141">
        <f t="shared" si="30"/>
        <v>4381499.75</v>
      </c>
      <c r="AG83" s="141">
        <f t="shared" si="30"/>
        <v>4163886.1</v>
      </c>
      <c r="AH83" s="141"/>
      <c r="AI83" s="141"/>
    </row>
    <row r="84" spans="1:35" ht="15.75" hidden="1" customHeight="1" outlineLevel="1">
      <c r="B84" s="159"/>
      <c r="C84" s="164" t="s">
        <v>1778</v>
      </c>
      <c r="D84" s="110"/>
      <c r="E84" s="114"/>
      <c r="F84" s="114"/>
      <c r="G84" s="95"/>
      <c r="H84" s="88"/>
      <c r="I84" s="82"/>
      <c r="J84" s="82"/>
      <c r="K84" s="82"/>
      <c r="L84" s="82"/>
      <c r="M84" s="82"/>
      <c r="N84" s="82"/>
      <c r="O84" s="82"/>
      <c r="P84" s="82">
        <f t="shared" ref="P84:AG84" si="31">P52*P25</f>
        <v>0</v>
      </c>
      <c r="Q84" s="82">
        <f t="shared" si="31"/>
        <v>3204075</v>
      </c>
      <c r="R84" s="82"/>
      <c r="S84" s="82">
        <f t="shared" si="26"/>
        <v>3204075</v>
      </c>
      <c r="T84" s="82">
        <f t="shared" si="27"/>
        <v>3204075</v>
      </c>
      <c r="U84" s="82">
        <f t="shared" si="31"/>
        <v>3204075</v>
      </c>
      <c r="V84" s="82">
        <f t="shared" si="31"/>
        <v>3204075</v>
      </c>
      <c r="W84" s="82">
        <f t="shared" si="31"/>
        <v>3204075</v>
      </c>
      <c r="X84" s="82">
        <f t="shared" si="31"/>
        <v>3204075</v>
      </c>
      <c r="Y84" s="82">
        <f t="shared" si="31"/>
        <v>3204075</v>
      </c>
      <c r="Z84" s="82">
        <f t="shared" si="31"/>
        <v>3204075</v>
      </c>
      <c r="AA84" s="82">
        <f t="shared" si="31"/>
        <v>3204075</v>
      </c>
      <c r="AB84" s="82">
        <f t="shared" si="31"/>
        <v>3204075</v>
      </c>
      <c r="AC84" s="82">
        <f t="shared" si="31"/>
        <v>3204075</v>
      </c>
      <c r="AD84" s="82">
        <f t="shared" si="31"/>
        <v>3204075</v>
      </c>
      <c r="AE84" s="82">
        <f t="shared" si="31"/>
        <v>3570000</v>
      </c>
      <c r="AF84" s="82">
        <f t="shared" si="31"/>
        <v>3570000</v>
      </c>
      <c r="AG84" s="82">
        <f t="shared" si="31"/>
        <v>3391500</v>
      </c>
      <c r="AH84" s="82"/>
      <c r="AI84" s="82"/>
    </row>
    <row r="85" spans="1:35" ht="15.75" hidden="1" customHeight="1" outlineLevel="1">
      <c r="B85" s="159"/>
      <c r="C85" s="164" t="s">
        <v>1282</v>
      </c>
      <c r="D85" s="110"/>
      <c r="E85" s="114"/>
      <c r="F85" s="114"/>
      <c r="G85" s="95"/>
      <c r="H85" s="88"/>
      <c r="I85" s="82"/>
      <c r="J85" s="82"/>
      <c r="K85" s="82"/>
      <c r="L85" s="82"/>
      <c r="M85" s="82"/>
      <c r="N85" s="82"/>
      <c r="O85" s="82"/>
      <c r="P85" s="82">
        <f>(P55)*P56*P25</f>
        <v>0</v>
      </c>
      <c r="Q85" s="82">
        <f>(Q55)*Q25</f>
        <v>236079.07312500005</v>
      </c>
      <c r="R85" s="82"/>
      <c r="S85" s="82">
        <f t="shared" si="26"/>
        <v>236079.07312500005</v>
      </c>
      <c r="T85" s="82">
        <f t="shared" si="27"/>
        <v>236079.07312500005</v>
      </c>
      <c r="U85" s="82">
        <f t="shared" ref="U85:AG85" si="32">(U55)*U25</f>
        <v>237459.6525</v>
      </c>
      <c r="V85" s="82">
        <f t="shared" si="32"/>
        <v>238840.23187500003</v>
      </c>
      <c r="W85" s="82">
        <f t="shared" si="32"/>
        <v>240220.81125000003</v>
      </c>
      <c r="X85" s="82">
        <f t="shared" si="32"/>
        <v>241601.390625</v>
      </c>
      <c r="Y85" s="82">
        <f t="shared" si="32"/>
        <v>242981.97000000003</v>
      </c>
      <c r="Z85" s="82">
        <f t="shared" si="32"/>
        <v>244362.549375</v>
      </c>
      <c r="AA85" s="82">
        <f t="shared" si="32"/>
        <v>245743.12875</v>
      </c>
      <c r="AB85" s="82">
        <f t="shared" si="32"/>
        <v>247123.70812500003</v>
      </c>
      <c r="AC85" s="82">
        <f t="shared" si="32"/>
        <v>248504.28750000001</v>
      </c>
      <c r="AD85" s="82">
        <f t="shared" si="32"/>
        <v>249884.86687500007</v>
      </c>
      <c r="AE85" s="82">
        <f t="shared" si="32"/>
        <v>279961.50000000006</v>
      </c>
      <c r="AF85" s="82">
        <f t="shared" si="32"/>
        <v>281499.75000000006</v>
      </c>
      <c r="AG85" s="82">
        <f t="shared" si="32"/>
        <v>268886.10000000003</v>
      </c>
      <c r="AH85" s="82"/>
      <c r="AI85" s="82"/>
    </row>
    <row r="86" spans="1:35" ht="15.75" hidden="1" customHeight="1" outlineLevel="1">
      <c r="B86" s="159"/>
      <c r="C86" s="164" t="s">
        <v>1779</v>
      </c>
      <c r="D86" s="110"/>
      <c r="E86" s="114"/>
      <c r="F86" s="114"/>
      <c r="G86" s="95"/>
      <c r="H86" s="88"/>
      <c r="I86" s="82"/>
      <c r="J86" s="82"/>
      <c r="K86" s="82"/>
      <c r="L86" s="82"/>
      <c r="M86" s="82"/>
      <c r="N86" s="82"/>
      <c r="O86" s="82"/>
      <c r="P86" s="82">
        <f>P58*P25</f>
        <v>0</v>
      </c>
      <c r="Q86" s="82">
        <f t="shared" ref="Q86:AG86" si="33">Q58*Q25</f>
        <v>475675</v>
      </c>
      <c r="R86" s="82"/>
      <c r="S86" s="82">
        <f t="shared" si="26"/>
        <v>475675</v>
      </c>
      <c r="T86" s="82">
        <f t="shared" si="27"/>
        <v>475675</v>
      </c>
      <c r="U86" s="82">
        <f t="shared" si="33"/>
        <v>475675</v>
      </c>
      <c r="V86" s="82">
        <f t="shared" si="33"/>
        <v>475675</v>
      </c>
      <c r="W86" s="82">
        <f t="shared" si="33"/>
        <v>475675</v>
      </c>
      <c r="X86" s="82">
        <f t="shared" si="33"/>
        <v>475675</v>
      </c>
      <c r="Y86" s="82">
        <f t="shared" si="33"/>
        <v>475675</v>
      </c>
      <c r="Z86" s="82">
        <f t="shared" si="33"/>
        <v>475675</v>
      </c>
      <c r="AA86" s="82">
        <f t="shared" si="33"/>
        <v>475675</v>
      </c>
      <c r="AB86" s="82">
        <f t="shared" si="33"/>
        <v>475675</v>
      </c>
      <c r="AC86" s="82">
        <f t="shared" si="33"/>
        <v>475675</v>
      </c>
      <c r="AD86" s="82">
        <f t="shared" si="33"/>
        <v>475675</v>
      </c>
      <c r="AE86" s="82">
        <f t="shared" si="33"/>
        <v>530000</v>
      </c>
      <c r="AF86" s="82">
        <f t="shared" si="33"/>
        <v>530000</v>
      </c>
      <c r="AG86" s="82">
        <f t="shared" si="33"/>
        <v>503500</v>
      </c>
      <c r="AH86" s="82"/>
      <c r="AI86" s="82"/>
    </row>
    <row r="87" spans="1:35" s="157" customFormat="1" ht="15.75" hidden="1" customHeight="1" outlineLevel="1">
      <c r="A87" s="460"/>
      <c r="B87" s="161"/>
      <c r="C87" s="162" t="s">
        <v>1782</v>
      </c>
      <c r="D87" s="163"/>
      <c r="E87" s="530"/>
      <c r="F87" s="530"/>
      <c r="G87" s="95"/>
      <c r="H87" s="1011"/>
      <c r="I87" s="141"/>
      <c r="J87" s="141"/>
      <c r="K87" s="141"/>
      <c r="L87" s="141"/>
      <c r="M87" s="141"/>
      <c r="N87" s="141"/>
      <c r="O87" s="141"/>
      <c r="P87" s="141">
        <f>SUM(P88:P90)</f>
        <v>0</v>
      </c>
      <c r="Q87" s="141">
        <f t="shared" ref="Q87:AG87" si="34">SUM(Q88:Q90)</f>
        <v>5519161</v>
      </c>
      <c r="R87" s="141"/>
      <c r="S87" s="141">
        <f t="shared" si="26"/>
        <v>5519161</v>
      </c>
      <c r="T87" s="141">
        <f t="shared" si="27"/>
        <v>5519161</v>
      </c>
      <c r="U87" s="141">
        <f t="shared" si="34"/>
        <v>5524852</v>
      </c>
      <c r="V87" s="141">
        <f t="shared" si="34"/>
        <v>5530543</v>
      </c>
      <c r="W87" s="141">
        <f t="shared" si="34"/>
        <v>5536234</v>
      </c>
      <c r="X87" s="141">
        <f t="shared" si="34"/>
        <v>5541925</v>
      </c>
      <c r="Y87" s="141">
        <f t="shared" si="34"/>
        <v>5547616</v>
      </c>
      <c r="Z87" s="141">
        <f t="shared" si="34"/>
        <v>5553307</v>
      </c>
      <c r="AA87" s="141">
        <f t="shared" si="34"/>
        <v>5558998</v>
      </c>
      <c r="AB87" s="141">
        <f t="shared" si="34"/>
        <v>5564689</v>
      </c>
      <c r="AC87" s="141">
        <f t="shared" si="34"/>
        <v>5570380</v>
      </c>
      <c r="AD87" s="141">
        <f t="shared" si="34"/>
        <v>5576071</v>
      </c>
      <c r="AE87" s="141">
        <f t="shared" si="34"/>
        <v>5581762</v>
      </c>
      <c r="AF87" s="141">
        <f t="shared" si="34"/>
        <v>5587453</v>
      </c>
      <c r="AG87" s="141">
        <f t="shared" si="34"/>
        <v>4474515.2</v>
      </c>
      <c r="AH87" s="141"/>
      <c r="AI87" s="141"/>
    </row>
    <row r="88" spans="1:35" ht="15.75" hidden="1" customHeight="1" outlineLevel="1">
      <c r="B88" s="159"/>
      <c r="C88" s="164" t="s">
        <v>1780</v>
      </c>
      <c r="D88" s="110"/>
      <c r="E88" s="114"/>
      <c r="F88" s="114"/>
      <c r="G88" s="95"/>
      <c r="H88" s="88"/>
      <c r="I88" s="82"/>
      <c r="J88" s="82"/>
      <c r="K88" s="82"/>
      <c r="L88" s="82"/>
      <c r="M88" s="82"/>
      <c r="N88" s="82"/>
      <c r="O88" s="82"/>
      <c r="P88" s="82">
        <f>P61*(P22+P21)</f>
        <v>0</v>
      </c>
      <c r="Q88" s="82">
        <f t="shared" ref="Q88:AG88" si="35">Q61*(Q22+Q21)</f>
        <v>4467500</v>
      </c>
      <c r="R88" s="82"/>
      <c r="S88" s="82">
        <f t="shared" si="26"/>
        <v>4467500</v>
      </c>
      <c r="T88" s="82">
        <f t="shared" si="27"/>
        <v>4467500</v>
      </c>
      <c r="U88" s="82">
        <f t="shared" si="35"/>
        <v>4467500</v>
      </c>
      <c r="V88" s="82">
        <f t="shared" si="35"/>
        <v>4467500</v>
      </c>
      <c r="W88" s="82">
        <f t="shared" si="35"/>
        <v>4467500</v>
      </c>
      <c r="X88" s="82">
        <f t="shared" si="35"/>
        <v>4467500</v>
      </c>
      <c r="Y88" s="82">
        <f t="shared" si="35"/>
        <v>4467500</v>
      </c>
      <c r="Z88" s="82">
        <f t="shared" si="35"/>
        <v>4467500</v>
      </c>
      <c r="AA88" s="82">
        <f t="shared" si="35"/>
        <v>4467500</v>
      </c>
      <c r="AB88" s="82">
        <f t="shared" si="35"/>
        <v>4467500</v>
      </c>
      <c r="AC88" s="82">
        <f t="shared" si="35"/>
        <v>4467500</v>
      </c>
      <c r="AD88" s="82">
        <f t="shared" si="35"/>
        <v>4467500</v>
      </c>
      <c r="AE88" s="82">
        <f t="shared" si="35"/>
        <v>4467500</v>
      </c>
      <c r="AF88" s="82">
        <f t="shared" si="35"/>
        <v>4467500</v>
      </c>
      <c r="AG88" s="82">
        <f t="shared" si="35"/>
        <v>3574000</v>
      </c>
      <c r="AH88" s="82"/>
      <c r="AI88" s="82"/>
    </row>
    <row r="89" spans="1:35" ht="15.75" hidden="1" customHeight="1" outlineLevel="1">
      <c r="B89" s="159"/>
      <c r="C89" s="164" t="s">
        <v>1282</v>
      </c>
      <c r="D89" s="110"/>
      <c r="E89" s="114"/>
      <c r="F89" s="114"/>
      <c r="G89" s="95"/>
      <c r="H89" s="88"/>
      <c r="I89" s="82"/>
      <c r="J89" s="82"/>
      <c r="K89" s="82"/>
      <c r="L89" s="82"/>
      <c r="M89" s="82"/>
      <c r="N89" s="82"/>
      <c r="O89" s="82"/>
      <c r="P89" s="82">
        <f>P64*(P21+P22)</f>
        <v>0</v>
      </c>
      <c r="Q89" s="82">
        <f>(Q21+Q22)*Q63</f>
        <v>973161</v>
      </c>
      <c r="R89" s="82"/>
      <c r="S89" s="82">
        <f t="shared" si="26"/>
        <v>973161</v>
      </c>
      <c r="T89" s="82">
        <f t="shared" si="27"/>
        <v>973161</v>
      </c>
      <c r="U89" s="82">
        <f t="shared" ref="U89:AG89" si="36">(U21+U22)*U63</f>
        <v>978852</v>
      </c>
      <c r="V89" s="82">
        <f t="shared" si="36"/>
        <v>984543</v>
      </c>
      <c r="W89" s="82">
        <f t="shared" si="36"/>
        <v>990234.00000000012</v>
      </c>
      <c r="X89" s="82">
        <f t="shared" si="36"/>
        <v>995925</v>
      </c>
      <c r="Y89" s="82">
        <f t="shared" si="36"/>
        <v>1001616.0000000001</v>
      </c>
      <c r="Z89" s="82">
        <f t="shared" si="36"/>
        <v>1007307</v>
      </c>
      <c r="AA89" s="82">
        <f t="shared" si="36"/>
        <v>1012998.0000000001</v>
      </c>
      <c r="AB89" s="82">
        <f t="shared" si="36"/>
        <v>1018689</v>
      </c>
      <c r="AC89" s="82">
        <f t="shared" si="36"/>
        <v>1024380.0000000001</v>
      </c>
      <c r="AD89" s="82">
        <f t="shared" si="36"/>
        <v>1030071.0000000002</v>
      </c>
      <c r="AE89" s="82">
        <f t="shared" si="36"/>
        <v>1035761.9999999999</v>
      </c>
      <c r="AF89" s="82">
        <f t="shared" si="36"/>
        <v>1041453</v>
      </c>
      <c r="AG89" s="82">
        <f t="shared" si="36"/>
        <v>837715.20000000007</v>
      </c>
      <c r="AH89" s="82"/>
      <c r="AI89" s="82"/>
    </row>
    <row r="90" spans="1:35" ht="15.75" hidden="1" customHeight="1" outlineLevel="1">
      <c r="B90" s="159"/>
      <c r="C90" s="164" t="s">
        <v>1781</v>
      </c>
      <c r="D90" s="110"/>
      <c r="E90" s="114"/>
      <c r="F90" s="114"/>
      <c r="G90" s="95"/>
      <c r="H90" s="88"/>
      <c r="I90" s="82"/>
      <c r="J90" s="82"/>
      <c r="K90" s="82"/>
      <c r="L90" s="82"/>
      <c r="M90" s="82"/>
      <c r="N90" s="82"/>
      <c r="O90" s="82"/>
      <c r="P90" s="82">
        <f>P65*(P21+P22)</f>
        <v>0</v>
      </c>
      <c r="Q90" s="82">
        <f t="shared" ref="Q90:AG90" si="37">Q65*(Q21+Q22)</f>
        <v>78500</v>
      </c>
      <c r="R90" s="82"/>
      <c r="S90" s="82">
        <f t="shared" si="26"/>
        <v>78500</v>
      </c>
      <c r="T90" s="82">
        <f t="shared" si="27"/>
        <v>78500</v>
      </c>
      <c r="U90" s="82">
        <f t="shared" si="37"/>
        <v>78500</v>
      </c>
      <c r="V90" s="82">
        <f t="shared" si="37"/>
        <v>78500</v>
      </c>
      <c r="W90" s="82">
        <f t="shared" si="37"/>
        <v>78500</v>
      </c>
      <c r="X90" s="82">
        <f t="shared" si="37"/>
        <v>78500</v>
      </c>
      <c r="Y90" s="82">
        <f t="shared" si="37"/>
        <v>78500</v>
      </c>
      <c r="Z90" s="82">
        <f t="shared" si="37"/>
        <v>78500</v>
      </c>
      <c r="AA90" s="82">
        <f t="shared" si="37"/>
        <v>78500</v>
      </c>
      <c r="AB90" s="82">
        <f t="shared" si="37"/>
        <v>78500</v>
      </c>
      <c r="AC90" s="82">
        <f t="shared" si="37"/>
        <v>78500</v>
      </c>
      <c r="AD90" s="82">
        <f t="shared" si="37"/>
        <v>78500</v>
      </c>
      <c r="AE90" s="82">
        <f t="shared" si="37"/>
        <v>78500</v>
      </c>
      <c r="AF90" s="82">
        <f t="shared" si="37"/>
        <v>78500</v>
      </c>
      <c r="AG90" s="82">
        <f t="shared" si="37"/>
        <v>62800</v>
      </c>
      <c r="AH90" s="82"/>
      <c r="AI90" s="82"/>
    </row>
    <row r="91" spans="1:35" s="157" customFormat="1" ht="15.75" hidden="1" customHeight="1" outlineLevel="1">
      <c r="A91" s="460"/>
      <c r="B91" s="161"/>
      <c r="C91" s="162" t="s">
        <v>1265</v>
      </c>
      <c r="D91" s="163"/>
      <c r="E91" s="530"/>
      <c r="F91" s="530"/>
      <c r="G91" s="95"/>
      <c r="H91" s="1011"/>
      <c r="I91" s="141"/>
      <c r="J91" s="141"/>
      <c r="K91" s="141"/>
      <c r="L91" s="141"/>
      <c r="M91" s="141"/>
      <c r="N91" s="141"/>
      <c r="O91" s="141"/>
      <c r="P91" s="141">
        <f>SUM(P92:P93)</f>
        <v>395000</v>
      </c>
      <c r="Q91" s="141">
        <f t="shared" ref="Q91:AG91" si="38">SUM(Q92:Q93)</f>
        <v>2370668</v>
      </c>
      <c r="R91" s="141"/>
      <c r="S91" s="141">
        <f t="shared" si="26"/>
        <v>2370668</v>
      </c>
      <c r="T91" s="141">
        <f t="shared" si="27"/>
        <v>2370668</v>
      </c>
      <c r="U91" s="141">
        <f t="shared" si="38"/>
        <v>2371000</v>
      </c>
      <c r="V91" s="141">
        <f t="shared" si="38"/>
        <v>2371000</v>
      </c>
      <c r="W91" s="141">
        <f t="shared" si="38"/>
        <v>2371000</v>
      </c>
      <c r="X91" s="141">
        <f t="shared" si="38"/>
        <v>2371000</v>
      </c>
      <c r="Y91" s="141">
        <f t="shared" si="38"/>
        <v>2371000</v>
      </c>
      <c r="Z91" s="141">
        <f t="shared" si="38"/>
        <v>2371000</v>
      </c>
      <c r="AA91" s="141">
        <f t="shared" si="38"/>
        <v>2371000</v>
      </c>
      <c r="AB91" s="141">
        <f t="shared" si="38"/>
        <v>2371000</v>
      </c>
      <c r="AC91" s="141">
        <f t="shared" si="38"/>
        <v>2371000</v>
      </c>
      <c r="AD91" s="141">
        <f t="shared" si="38"/>
        <v>2371000</v>
      </c>
      <c r="AE91" s="141">
        <f t="shared" si="38"/>
        <v>2371000</v>
      </c>
      <c r="AF91" s="141">
        <f t="shared" si="38"/>
        <v>2371000</v>
      </c>
      <c r="AG91" s="141">
        <f t="shared" si="38"/>
        <v>1971000</v>
      </c>
      <c r="AH91" s="141"/>
      <c r="AI91" s="141"/>
    </row>
    <row r="92" spans="1:35" ht="15" hidden="1" outlineLevel="1">
      <c r="B92" s="159"/>
      <c r="C92" s="164" t="s">
        <v>1783</v>
      </c>
      <c r="D92" s="110"/>
      <c r="E92" s="114"/>
      <c r="F92" s="114"/>
      <c r="G92" s="95"/>
      <c r="H92" s="88"/>
      <c r="I92" s="82"/>
      <c r="J92" s="452"/>
      <c r="K92" s="82"/>
      <c r="L92" s="82"/>
      <c r="M92" s="82"/>
      <c r="N92" s="82"/>
      <c r="O92" s="82"/>
      <c r="P92" s="82">
        <f>P68*(P21+P22)</f>
        <v>0</v>
      </c>
      <c r="Q92" s="82">
        <f t="shared" ref="Q92:AG92" si="39">Q68*(Q21+Q22)</f>
        <v>2000000</v>
      </c>
      <c r="R92" s="82"/>
      <c r="S92" s="82">
        <f t="shared" si="26"/>
        <v>2000000</v>
      </c>
      <c r="T92" s="82">
        <f t="shared" si="27"/>
        <v>2000000</v>
      </c>
      <c r="U92" s="82">
        <f t="shared" si="39"/>
        <v>2000000</v>
      </c>
      <c r="V92" s="82">
        <f t="shared" si="39"/>
        <v>2000000</v>
      </c>
      <c r="W92" s="82">
        <f t="shared" si="39"/>
        <v>2000000</v>
      </c>
      <c r="X92" s="82">
        <f t="shared" si="39"/>
        <v>2000000</v>
      </c>
      <c r="Y92" s="82">
        <f t="shared" si="39"/>
        <v>2000000</v>
      </c>
      <c r="Z92" s="82">
        <f t="shared" si="39"/>
        <v>2000000</v>
      </c>
      <c r="AA92" s="82">
        <f t="shared" si="39"/>
        <v>2000000</v>
      </c>
      <c r="AB92" s="82">
        <f t="shared" si="39"/>
        <v>2000000</v>
      </c>
      <c r="AC92" s="82">
        <f t="shared" si="39"/>
        <v>2000000</v>
      </c>
      <c r="AD92" s="82">
        <f t="shared" si="39"/>
        <v>2000000</v>
      </c>
      <c r="AE92" s="82">
        <f t="shared" si="39"/>
        <v>2000000</v>
      </c>
      <c r="AF92" s="82">
        <f t="shared" si="39"/>
        <v>2000000</v>
      </c>
      <c r="AG92" s="82">
        <f t="shared" si="39"/>
        <v>1600000</v>
      </c>
      <c r="AH92" s="82"/>
      <c r="AI92" s="82"/>
    </row>
    <row r="93" spans="1:35" ht="15.75" hidden="1" customHeight="1" outlineLevel="1">
      <c r="B93" s="159"/>
      <c r="C93" s="164" t="s">
        <v>1784</v>
      </c>
      <c r="D93" s="110"/>
      <c r="E93" s="114"/>
      <c r="F93" s="114"/>
      <c r="G93" s="95"/>
      <c r="H93" s="88"/>
      <c r="I93" s="82"/>
      <c r="J93" s="82"/>
      <c r="K93" s="82"/>
      <c r="L93" s="82"/>
      <c r="M93" s="82"/>
      <c r="N93" s="82"/>
      <c r="O93" s="82"/>
      <c r="P93" s="82">
        <v>395000</v>
      </c>
      <c r="Q93" s="82">
        <v>370668</v>
      </c>
      <c r="R93" s="82"/>
      <c r="S93" s="82">
        <f t="shared" si="26"/>
        <v>370668</v>
      </c>
      <c r="T93" s="82">
        <f t="shared" si="27"/>
        <v>370668</v>
      </c>
      <c r="U93" s="82">
        <v>371000</v>
      </c>
      <c r="V93" s="82">
        <v>371000</v>
      </c>
      <c r="W93" s="82">
        <v>371000</v>
      </c>
      <c r="X93" s="82">
        <v>371000</v>
      </c>
      <c r="Y93" s="82">
        <v>371000</v>
      </c>
      <c r="Z93" s="82">
        <v>371000</v>
      </c>
      <c r="AA93" s="82">
        <v>371000</v>
      </c>
      <c r="AB93" s="82">
        <v>371000</v>
      </c>
      <c r="AC93" s="82">
        <v>371000</v>
      </c>
      <c r="AD93" s="82">
        <v>371000</v>
      </c>
      <c r="AE93" s="82">
        <v>371000</v>
      </c>
      <c r="AF93" s="82">
        <v>371000</v>
      </c>
      <c r="AG93" s="82">
        <v>371000</v>
      </c>
      <c r="AH93" s="82"/>
      <c r="AI93" s="82"/>
    </row>
    <row r="94" spans="1:35" ht="15.75" hidden="1" customHeight="1" outlineLevel="1">
      <c r="B94" s="159"/>
      <c r="C94" s="164"/>
      <c r="D94" s="110"/>
      <c r="E94" s="114"/>
      <c r="F94" s="114"/>
      <c r="G94" s="95"/>
      <c r="H94" s="88"/>
      <c r="I94" s="82"/>
      <c r="J94" s="82"/>
      <c r="K94" s="82"/>
      <c r="L94" s="82"/>
      <c r="M94" s="100"/>
      <c r="N94" s="100"/>
      <c r="O94" s="100"/>
      <c r="P94" s="100"/>
      <c r="Q94" s="100"/>
      <c r="R94" s="100"/>
      <c r="S94" s="100">
        <f t="shared" si="26"/>
        <v>0</v>
      </c>
      <c r="T94" s="100">
        <f t="shared" si="27"/>
        <v>0</v>
      </c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</row>
    <row r="95" spans="1:35" ht="15.75" hidden="1" customHeight="1" outlineLevel="1">
      <c r="B95" s="159"/>
      <c r="C95" s="162" t="s">
        <v>1794</v>
      </c>
      <c r="D95" s="110"/>
      <c r="E95" s="114"/>
      <c r="F95" s="114"/>
      <c r="G95" s="95"/>
      <c r="H95" s="88"/>
      <c r="I95" s="82"/>
      <c r="J95" s="82"/>
      <c r="K95" s="82"/>
      <c r="L95" s="82"/>
      <c r="M95" s="82"/>
      <c r="N95" s="82"/>
      <c r="O95" s="82"/>
      <c r="P95" s="82">
        <f t="shared" ref="P95:AG95" si="40">P83+P87++P91</f>
        <v>395000</v>
      </c>
      <c r="Q95" s="82">
        <f t="shared" si="40"/>
        <v>11805658.073125001</v>
      </c>
      <c r="R95" s="82"/>
      <c r="S95" s="82">
        <f t="shared" si="26"/>
        <v>11805658.073125001</v>
      </c>
      <c r="T95" s="82">
        <f t="shared" si="27"/>
        <v>11805658.073125001</v>
      </c>
      <c r="U95" s="82">
        <f t="shared" si="40"/>
        <v>11813061.6525</v>
      </c>
      <c r="V95" s="82">
        <f t="shared" si="40"/>
        <v>11820133.231875001</v>
      </c>
      <c r="W95" s="82">
        <f t="shared" si="40"/>
        <v>11827204.811250001</v>
      </c>
      <c r="X95" s="82">
        <f t="shared" si="40"/>
        <v>11834276.390625</v>
      </c>
      <c r="Y95" s="82">
        <f t="shared" si="40"/>
        <v>11841347.970000001</v>
      </c>
      <c r="Z95" s="82">
        <f t="shared" si="40"/>
        <v>11848419.549374999</v>
      </c>
      <c r="AA95" s="82">
        <f t="shared" si="40"/>
        <v>11855491.12875</v>
      </c>
      <c r="AB95" s="82">
        <f t="shared" si="40"/>
        <v>11862562.708124999</v>
      </c>
      <c r="AC95" s="82">
        <f t="shared" si="40"/>
        <v>11869634.2875</v>
      </c>
      <c r="AD95" s="82">
        <f t="shared" si="40"/>
        <v>11876705.866875</v>
      </c>
      <c r="AE95" s="82">
        <f t="shared" si="40"/>
        <v>12332723.5</v>
      </c>
      <c r="AF95" s="82">
        <f t="shared" si="40"/>
        <v>12339952.75</v>
      </c>
      <c r="AG95" s="82">
        <f t="shared" si="40"/>
        <v>10609401.300000001</v>
      </c>
      <c r="AH95" s="82"/>
      <c r="AI95" s="82"/>
    </row>
    <row r="96" spans="1:35" ht="15.75" hidden="1" customHeight="1" outlineLevel="1">
      <c r="B96" s="159"/>
      <c r="C96" s="162" t="s">
        <v>1795</v>
      </c>
      <c r="D96" s="110"/>
      <c r="E96" s="114"/>
      <c r="F96" s="114"/>
      <c r="G96" s="95"/>
      <c r="H96" s="88"/>
      <c r="I96" s="82"/>
      <c r="J96" s="82"/>
      <c r="K96" s="82"/>
      <c r="L96" s="82"/>
      <c r="M96" s="82"/>
      <c r="N96" s="82"/>
      <c r="O96" s="82"/>
      <c r="P96" s="82"/>
      <c r="Q96" s="82">
        <f>Q95/Q37*31.1035</f>
        <v>338.05115738491509</v>
      </c>
      <c r="R96" s="82"/>
      <c r="S96" s="82">
        <f t="shared" si="26"/>
        <v>338.05115738491509</v>
      </c>
      <c r="T96" s="82">
        <f t="shared" si="27"/>
        <v>338.05115738491509</v>
      </c>
      <c r="U96" s="82">
        <f t="shared" ref="U96:AG96" si="41">U95/U37*31.1035</f>
        <v>338.26315645866492</v>
      </c>
      <c r="V96" s="82">
        <f t="shared" si="41"/>
        <v>338.46564882100938</v>
      </c>
      <c r="W96" s="82">
        <f t="shared" si="41"/>
        <v>338.6681411833539</v>
      </c>
      <c r="X96" s="82">
        <f t="shared" si="41"/>
        <v>338.87063354569824</v>
      </c>
      <c r="Y96" s="82">
        <f t="shared" si="41"/>
        <v>339.07312590804275</v>
      </c>
      <c r="Z96" s="82">
        <f t="shared" si="41"/>
        <v>339.27561827038721</v>
      </c>
      <c r="AA96" s="82">
        <f t="shared" si="41"/>
        <v>339.47811063273167</v>
      </c>
      <c r="AB96" s="82">
        <f t="shared" si="41"/>
        <v>339.68060299507613</v>
      </c>
      <c r="AC96" s="82">
        <f t="shared" si="41"/>
        <v>339.88309535742059</v>
      </c>
      <c r="AD96" s="82">
        <f t="shared" si="41"/>
        <v>340.08558771976504</v>
      </c>
      <c r="AE96" s="82">
        <f t="shared" si="41"/>
        <v>427.20724337624449</v>
      </c>
      <c r="AF96" s="82">
        <f t="shared" si="41"/>
        <v>427.45766559354121</v>
      </c>
      <c r="AG96" s="82">
        <f t="shared" si="41"/>
        <v>459.38890578846451</v>
      </c>
      <c r="AH96" s="82"/>
      <c r="AI96" s="82"/>
    </row>
    <row r="97" spans="1:35" ht="15.75" hidden="1" customHeight="1" outlineLevel="1">
      <c r="B97" s="159"/>
      <c r="C97" s="164"/>
      <c r="D97" s="110"/>
      <c r="E97" s="114"/>
      <c r="F97" s="114"/>
      <c r="G97" s="95"/>
      <c r="H97" s="88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>
        <f t="shared" si="26"/>
        <v>0</v>
      </c>
      <c r="T97" s="82">
        <f t="shared" si="27"/>
        <v>0</v>
      </c>
      <c r="U97" s="82"/>
      <c r="V97" s="82"/>
      <c r="W97" s="82"/>
      <c r="X97" s="82"/>
      <c r="Y97" s="82"/>
      <c r="Z97" s="82"/>
      <c r="AA97" s="82"/>
      <c r="AB97" s="82"/>
      <c r="AC97" s="82"/>
      <c r="AD97" s="82"/>
      <c r="AE97" s="82"/>
      <c r="AF97" s="82"/>
      <c r="AG97" s="82"/>
      <c r="AH97" s="82"/>
      <c r="AI97" s="82"/>
    </row>
    <row r="98" spans="1:35" ht="15.75" hidden="1" customHeight="1" outlineLevel="1">
      <c r="B98" s="159"/>
      <c r="C98" s="162" t="s">
        <v>1265</v>
      </c>
      <c r="D98" s="110"/>
      <c r="E98" s="114"/>
      <c r="F98" s="114"/>
      <c r="G98" s="95"/>
      <c r="H98" s="88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>
        <f t="shared" si="26"/>
        <v>0</v>
      </c>
      <c r="T98" s="82">
        <f t="shared" si="27"/>
        <v>0</v>
      </c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</row>
    <row r="99" spans="1:35" ht="15.75" hidden="1" customHeight="1" outlineLevel="1">
      <c r="B99" s="159"/>
      <c r="C99" s="164" t="s">
        <v>1796</v>
      </c>
      <c r="D99" s="110"/>
      <c r="E99" s="114"/>
      <c r="F99" s="114"/>
      <c r="G99" s="95"/>
      <c r="H99" s="88"/>
      <c r="I99" s="82"/>
      <c r="J99" s="82"/>
      <c r="K99" s="82"/>
      <c r="L99" s="82"/>
      <c r="M99" s="82"/>
      <c r="N99" s="82"/>
      <c r="O99" s="82"/>
      <c r="P99" s="82">
        <f>P70*P12</f>
        <v>0</v>
      </c>
      <c r="Q99" s="82">
        <f>Q70*Q12</f>
        <v>628608.54244699155</v>
      </c>
      <c r="R99" s="82"/>
      <c r="S99" s="82">
        <f t="shared" si="26"/>
        <v>628608.54244699155</v>
      </c>
      <c r="T99" s="82">
        <f t="shared" si="27"/>
        <v>628608.54244699155</v>
      </c>
      <c r="U99" s="82">
        <f t="shared" ref="U99:AG99" si="42">U70*U12</f>
        <v>419072.36163132766</v>
      </c>
      <c r="V99" s="82">
        <f t="shared" si="42"/>
        <v>523840.45203915972</v>
      </c>
      <c r="W99" s="82">
        <f t="shared" si="42"/>
        <v>558763.14884177025</v>
      </c>
      <c r="X99" s="82">
        <f t="shared" si="42"/>
        <v>600452.11814988672</v>
      </c>
      <c r="Y99" s="82">
        <f t="shared" si="42"/>
        <v>630474.72405738104</v>
      </c>
      <c r="Z99" s="82">
        <f t="shared" si="42"/>
        <v>630474.72405738104</v>
      </c>
      <c r="AA99" s="82">
        <f t="shared" si="42"/>
        <v>630474.72405738104</v>
      </c>
      <c r="AB99" s="82">
        <f t="shared" si="42"/>
        <v>630474.72405738104</v>
      </c>
      <c r="AC99" s="82">
        <f t="shared" si="42"/>
        <v>630474.72405738104</v>
      </c>
      <c r="AD99" s="82">
        <f t="shared" si="42"/>
        <v>630474.72405738104</v>
      </c>
      <c r="AE99" s="82">
        <f t="shared" si="42"/>
        <v>521171.06243899406</v>
      </c>
      <c r="AF99" s="82">
        <f t="shared" si="42"/>
        <v>521171.06243899406</v>
      </c>
      <c r="AG99" s="82">
        <f t="shared" si="42"/>
        <v>416936.84995119518</v>
      </c>
      <c r="AH99" s="82"/>
      <c r="AI99" s="82"/>
    </row>
    <row r="100" spans="1:35" ht="15.75" hidden="1" customHeight="1" outlineLevel="1">
      <c r="B100" s="159"/>
      <c r="C100" s="164" t="s">
        <v>1797</v>
      </c>
      <c r="D100" s="110"/>
      <c r="E100" s="114"/>
      <c r="F100" s="114"/>
      <c r="G100" s="95"/>
      <c r="H100" s="88"/>
      <c r="I100" s="82"/>
      <c r="J100" s="82"/>
      <c r="K100" s="82"/>
      <c r="L100" s="82"/>
      <c r="M100" s="82"/>
      <c r="N100" s="82"/>
      <c r="O100" s="82"/>
      <c r="P100" s="82">
        <f>P71*P12+P13*P72</f>
        <v>0</v>
      </c>
      <c r="Q100" s="82">
        <f t="shared" ref="Q100:AG100" si="43">Q71*Q12+Q13*Q72</f>
        <v>3939662.5700644627</v>
      </c>
      <c r="R100" s="82"/>
      <c r="S100" s="82">
        <f t="shared" si="26"/>
        <v>3939662.5700644627</v>
      </c>
      <c r="T100" s="82">
        <f t="shared" si="27"/>
        <v>3939662.5700644627</v>
      </c>
      <c r="U100" s="82">
        <f t="shared" si="43"/>
        <v>2682445.4851704789</v>
      </c>
      <c r="V100" s="82">
        <f t="shared" si="43"/>
        <v>3311054.0276174713</v>
      </c>
      <c r="W100" s="82">
        <f t="shared" si="43"/>
        <v>3520590.2084331349</v>
      </c>
      <c r="X100" s="82">
        <f t="shared" si="43"/>
        <v>3770724.0242818333</v>
      </c>
      <c r="Y100" s="82">
        <f t="shared" si="43"/>
        <v>3950859.6597267995</v>
      </c>
      <c r="Z100" s="82">
        <f t="shared" si="43"/>
        <v>3950859.6597267995</v>
      </c>
      <c r="AA100" s="82">
        <f t="shared" si="43"/>
        <v>3950859.6597267995</v>
      </c>
      <c r="AB100" s="82">
        <f t="shared" si="43"/>
        <v>3950859.6597267995</v>
      </c>
      <c r="AC100" s="82">
        <f t="shared" si="43"/>
        <v>3950859.6597267995</v>
      </c>
      <c r="AD100" s="82">
        <f t="shared" si="43"/>
        <v>3950859.6597267995</v>
      </c>
      <c r="AE100" s="82">
        <f t="shared" si="43"/>
        <v>3295037.6900164774</v>
      </c>
      <c r="AF100" s="82">
        <f t="shared" si="43"/>
        <v>3295037.6900164774</v>
      </c>
      <c r="AG100" s="82">
        <f t="shared" si="43"/>
        <v>2636030.1520131812</v>
      </c>
      <c r="AH100" s="82"/>
      <c r="AI100" s="82"/>
    </row>
    <row r="101" spans="1:35" ht="15.75" hidden="1" customHeight="1" outlineLevel="1">
      <c r="B101" s="159"/>
      <c r="C101" s="164" t="s">
        <v>1798</v>
      </c>
      <c r="D101" s="110"/>
      <c r="E101" s="114"/>
      <c r="F101" s="114"/>
      <c r="G101" s="95"/>
      <c r="H101" s="88"/>
      <c r="I101" s="82"/>
      <c r="J101" s="82"/>
      <c r="K101" s="82"/>
      <c r="L101" s="82"/>
      <c r="M101" s="82"/>
      <c r="N101" s="82"/>
      <c r="O101" s="82"/>
      <c r="P101" s="82">
        <f>P73*P11</f>
        <v>0</v>
      </c>
      <c r="Q101" s="82">
        <f t="shared" ref="Q101:AG101" si="44">Q73*Q11</f>
        <v>981684.65568183654</v>
      </c>
      <c r="R101" s="82"/>
      <c r="S101" s="82">
        <f t="shared" si="26"/>
        <v>981684.65568183654</v>
      </c>
      <c r="T101" s="82">
        <f t="shared" si="27"/>
        <v>981684.65568183654</v>
      </c>
      <c r="U101" s="82">
        <f t="shared" si="44"/>
        <v>667380.3844583407</v>
      </c>
      <c r="V101" s="82">
        <f t="shared" si="44"/>
        <v>824532.52007008868</v>
      </c>
      <c r="W101" s="82">
        <f t="shared" si="44"/>
        <v>876916.56527400459</v>
      </c>
      <c r="X101" s="82">
        <f t="shared" si="44"/>
        <v>939450.0192361793</v>
      </c>
      <c r="Y101" s="82">
        <f t="shared" si="44"/>
        <v>984483.92809742084</v>
      </c>
      <c r="Z101" s="82">
        <f t="shared" si="44"/>
        <v>984483.92809742084</v>
      </c>
      <c r="AA101" s="82">
        <f t="shared" si="44"/>
        <v>984483.92809742084</v>
      </c>
      <c r="AB101" s="82">
        <f t="shared" si="44"/>
        <v>984483.92809742084</v>
      </c>
      <c r="AC101" s="82">
        <f t="shared" si="44"/>
        <v>984483.92809742084</v>
      </c>
      <c r="AD101" s="82">
        <f t="shared" si="44"/>
        <v>984483.92809742084</v>
      </c>
      <c r="AE101" s="82">
        <f t="shared" si="44"/>
        <v>820528.43566984031</v>
      </c>
      <c r="AF101" s="82">
        <f t="shared" si="44"/>
        <v>820528.43566984031</v>
      </c>
      <c r="AG101" s="82">
        <f t="shared" si="44"/>
        <v>656422.74853587209</v>
      </c>
      <c r="AH101" s="82"/>
      <c r="AI101" s="82"/>
    </row>
    <row r="102" spans="1:35" ht="15.75" hidden="1" customHeight="1" outlineLevel="1">
      <c r="B102" s="159"/>
      <c r="C102" s="164" t="s">
        <v>1799</v>
      </c>
      <c r="D102" s="110"/>
      <c r="E102" s="114"/>
      <c r="F102" s="114"/>
      <c r="G102" s="95"/>
      <c r="H102" s="88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</row>
    <row r="103" spans="1:35" ht="15.75" hidden="1" customHeight="1" outlineLevel="1">
      <c r="B103" s="159"/>
      <c r="C103" s="164"/>
      <c r="D103" s="110"/>
      <c r="E103" s="114"/>
      <c r="F103" s="114"/>
      <c r="G103" s="95"/>
      <c r="H103" s="88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</row>
    <row r="104" spans="1:35" ht="15.75" hidden="1" customHeight="1" outlineLevel="1">
      <c r="B104" s="159"/>
      <c r="C104" s="162"/>
      <c r="D104" s="110"/>
      <c r="E104" s="114"/>
      <c r="F104" s="114"/>
      <c r="G104" s="95"/>
      <c r="H104" s="88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</row>
    <row r="105" spans="1:35" ht="27" customHeight="1" collapsed="1">
      <c r="B105" s="159"/>
      <c r="C105" s="462" t="s">
        <v>124</v>
      </c>
      <c r="H105" s="487"/>
      <c r="I105" s="430"/>
      <c r="J105" s="97"/>
      <c r="K105" s="97"/>
      <c r="L105" s="74"/>
      <c r="M105" s="87"/>
      <c r="N105" s="87"/>
      <c r="O105" s="434"/>
      <c r="P105" s="434"/>
      <c r="Q105" s="434"/>
      <c r="R105" s="434"/>
      <c r="S105" s="434"/>
      <c r="T105" s="434"/>
      <c r="U105" s="434"/>
      <c r="V105" s="434"/>
      <c r="W105" s="434"/>
      <c r="X105" s="434"/>
      <c r="Y105" s="434"/>
      <c r="Z105" s="434"/>
      <c r="AA105" s="434"/>
      <c r="AB105" s="434"/>
      <c r="AC105" s="434"/>
      <c r="AD105" s="434"/>
      <c r="AE105" s="434"/>
      <c r="AF105" s="434"/>
      <c r="AG105" s="434"/>
      <c r="AH105" s="434"/>
      <c r="AI105" s="434"/>
    </row>
    <row r="106" spans="1:35" ht="3" customHeight="1">
      <c r="B106" s="159"/>
      <c r="C106" s="464"/>
      <c r="D106" s="89"/>
      <c r="E106" s="89"/>
      <c r="F106" s="89"/>
      <c r="G106" s="89"/>
      <c r="H106" s="48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>
        <f t="shared" si="26"/>
        <v>0</v>
      </c>
      <c r="T106" s="98">
        <f t="shared" si="27"/>
        <v>0</v>
      </c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</row>
    <row r="107" spans="1:35" ht="15.75" customHeight="1">
      <c r="B107" s="159"/>
      <c r="C107" s="467"/>
      <c r="D107" s="468"/>
      <c r="E107" s="468"/>
      <c r="F107" s="468"/>
      <c r="G107" s="468"/>
      <c r="H107" s="466"/>
      <c r="I107" s="91"/>
      <c r="J107" s="91"/>
      <c r="K107" s="91"/>
      <c r="L107" s="135"/>
      <c r="M107" s="90"/>
      <c r="N107" s="421"/>
      <c r="O107" s="421"/>
      <c r="P107" s="421"/>
      <c r="Q107" s="421"/>
      <c r="R107" s="421"/>
      <c r="S107" s="421"/>
      <c r="T107" s="421"/>
      <c r="U107" s="421"/>
      <c r="V107" s="421"/>
      <c r="W107" s="421"/>
      <c r="X107" s="421"/>
      <c r="Y107" s="421"/>
      <c r="Z107" s="421"/>
      <c r="AA107" s="421"/>
      <c r="AB107" s="421"/>
      <c r="AC107" s="421"/>
      <c r="AD107" s="421"/>
      <c r="AE107" s="421"/>
      <c r="AF107" s="421"/>
      <c r="AG107" s="421"/>
      <c r="AH107" s="421"/>
      <c r="AI107" s="421"/>
    </row>
    <row r="108" spans="1:35" ht="15">
      <c r="B108" s="159"/>
      <c r="C108" s="546"/>
      <c r="D108" s="106"/>
      <c r="E108" s="106"/>
      <c r="F108" s="106"/>
      <c r="G108" s="546"/>
      <c r="H108" s="547"/>
      <c r="I108" s="92">
        <v>0</v>
      </c>
      <c r="J108" s="92">
        <v>1</v>
      </c>
      <c r="K108" s="92">
        <v>2</v>
      </c>
      <c r="L108" s="136">
        <v>3</v>
      </c>
      <c r="M108" s="136">
        <v>4</v>
      </c>
      <c r="N108" s="136">
        <v>5</v>
      </c>
      <c r="O108" s="136">
        <f t="shared" ref="O108:W108" si="45">O7</f>
        <v>6</v>
      </c>
      <c r="P108" s="136">
        <f t="shared" si="45"/>
        <v>7</v>
      </c>
      <c r="Q108" s="136">
        <f t="shared" si="45"/>
        <v>8</v>
      </c>
      <c r="R108" s="136"/>
      <c r="S108" s="136">
        <f t="shared" si="26"/>
        <v>8</v>
      </c>
      <c r="T108" s="136">
        <f t="shared" si="27"/>
        <v>8</v>
      </c>
      <c r="U108" s="136">
        <f t="shared" si="45"/>
        <v>9</v>
      </c>
      <c r="V108" s="136">
        <f t="shared" si="45"/>
        <v>10</v>
      </c>
      <c r="W108" s="136">
        <f t="shared" si="45"/>
        <v>11</v>
      </c>
      <c r="X108" s="136">
        <f>X7</f>
        <v>12</v>
      </c>
      <c r="Y108" s="136">
        <f>Y7</f>
        <v>13</v>
      </c>
      <c r="Z108" s="136">
        <f t="shared" ref="Z108:AG108" si="46">Z7</f>
        <v>14</v>
      </c>
      <c r="AA108" s="136">
        <f t="shared" si="46"/>
        <v>15</v>
      </c>
      <c r="AB108" s="136">
        <f t="shared" si="46"/>
        <v>16</v>
      </c>
      <c r="AC108" s="136">
        <f t="shared" si="46"/>
        <v>17</v>
      </c>
      <c r="AD108" s="136">
        <f t="shared" si="46"/>
        <v>18</v>
      </c>
      <c r="AE108" s="136">
        <f t="shared" si="46"/>
        <v>19</v>
      </c>
      <c r="AF108" s="136">
        <f t="shared" si="46"/>
        <v>20</v>
      </c>
      <c r="AG108" s="136">
        <f t="shared" si="46"/>
        <v>21</v>
      </c>
      <c r="AH108" s="136"/>
      <c r="AI108" s="136"/>
    </row>
    <row r="109" spans="1:35" ht="15">
      <c r="B109" s="159"/>
      <c r="C109" s="548"/>
      <c r="D109" s="469"/>
      <c r="E109" s="469"/>
      <c r="F109" s="469"/>
      <c r="G109" s="548"/>
      <c r="H109" s="470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</row>
    <row r="110" spans="1:35" ht="15">
      <c r="B110" s="159"/>
      <c r="C110" s="471"/>
      <c r="D110" s="472"/>
      <c r="E110" s="506"/>
      <c r="F110" s="506"/>
      <c r="G110" s="471"/>
      <c r="H110" s="473"/>
      <c r="I110" s="99" t="s">
        <v>499</v>
      </c>
      <c r="J110" s="99" t="s">
        <v>499</v>
      </c>
      <c r="K110" s="99" t="s">
        <v>499</v>
      </c>
      <c r="L110" s="99" t="s">
        <v>499</v>
      </c>
      <c r="M110" s="99" t="s">
        <v>499</v>
      </c>
      <c r="N110" s="99" t="s">
        <v>499</v>
      </c>
      <c r="O110" s="99" t="s">
        <v>499</v>
      </c>
      <c r="P110" s="99" t="s">
        <v>499</v>
      </c>
      <c r="Q110" s="99" t="s">
        <v>499</v>
      </c>
      <c r="R110" s="99"/>
      <c r="S110" s="99" t="str">
        <f t="shared" si="26"/>
        <v>($)</v>
      </c>
      <c r="T110" s="99" t="str">
        <f t="shared" si="27"/>
        <v>($)</v>
      </c>
      <c r="U110" s="99" t="s">
        <v>499</v>
      </c>
      <c r="V110" s="99" t="s">
        <v>499</v>
      </c>
      <c r="W110" s="99" t="s">
        <v>499</v>
      </c>
      <c r="X110" s="99" t="s">
        <v>499</v>
      </c>
      <c r="Y110" s="99" t="s">
        <v>499</v>
      </c>
      <c r="Z110" s="99" t="s">
        <v>499</v>
      </c>
      <c r="AA110" s="99" t="s">
        <v>499</v>
      </c>
      <c r="AB110" s="99" t="s">
        <v>499</v>
      </c>
      <c r="AC110" s="99" t="s">
        <v>499</v>
      </c>
      <c r="AD110" s="99" t="s">
        <v>499</v>
      </c>
      <c r="AE110" s="99" t="s">
        <v>499</v>
      </c>
      <c r="AF110" s="99" t="s">
        <v>499</v>
      </c>
      <c r="AG110" s="99" t="s">
        <v>499</v>
      </c>
      <c r="AH110" s="99"/>
      <c r="AI110" s="99"/>
    </row>
    <row r="111" spans="1:35" ht="7.5" customHeight="1">
      <c r="B111" s="76"/>
      <c r="C111" s="163"/>
      <c r="D111" s="163"/>
      <c r="E111" s="114"/>
      <c r="F111" s="114"/>
      <c r="G111" s="114"/>
      <c r="H111" s="1011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</row>
    <row r="112" spans="1:35" ht="15.75" customHeight="1">
      <c r="A112" s="460">
        <v>1</v>
      </c>
      <c r="B112" s="88" t="s">
        <v>522</v>
      </c>
      <c r="C112" s="110" t="s">
        <v>183</v>
      </c>
      <c r="D112" s="110"/>
      <c r="E112" s="114"/>
      <c r="F112" s="114"/>
      <c r="G112" s="114"/>
      <c r="H112" s="88"/>
      <c r="I112" s="82"/>
      <c r="J112" s="82"/>
      <c r="K112" s="82"/>
      <c r="L112" s="82"/>
      <c r="M112" s="82"/>
      <c r="N112" s="82"/>
      <c r="O112" s="82"/>
      <c r="P112" s="82">
        <f t="shared" ref="P112:Y112" si="47">P11</f>
        <v>0</v>
      </c>
      <c r="Q112" s="82">
        <f t="shared" si="47"/>
        <v>65445643.71212244</v>
      </c>
      <c r="R112" s="82"/>
      <c r="S112" s="82">
        <f t="shared" si="47"/>
        <v>44233546.683813713</v>
      </c>
      <c r="T112" s="82">
        <f t="shared" si="47"/>
        <v>44233546.683813713</v>
      </c>
      <c r="U112" s="82">
        <f t="shared" si="47"/>
        <v>44492025.630556047</v>
      </c>
      <c r="V112" s="82">
        <f t="shared" si="47"/>
        <v>54968834.671339251</v>
      </c>
      <c r="W112" s="82">
        <f t="shared" si="47"/>
        <v>58461104.351600312</v>
      </c>
      <c r="X112" s="82">
        <f t="shared" si="47"/>
        <v>62630001.282411955</v>
      </c>
      <c r="Y112" s="82">
        <f t="shared" si="47"/>
        <v>65632261.87316139</v>
      </c>
      <c r="Z112" s="82">
        <f t="shared" ref="Z112:AG112" si="48">Z11</f>
        <v>65632261.87316139</v>
      </c>
      <c r="AA112" s="82">
        <f t="shared" si="48"/>
        <v>65632261.87316139</v>
      </c>
      <c r="AB112" s="82">
        <f t="shared" si="48"/>
        <v>65632261.87316139</v>
      </c>
      <c r="AC112" s="82">
        <f t="shared" si="48"/>
        <v>65632261.87316139</v>
      </c>
      <c r="AD112" s="82">
        <f t="shared" si="48"/>
        <v>65632261.87316139</v>
      </c>
      <c r="AE112" s="82">
        <f t="shared" si="48"/>
        <v>54701895.711322688</v>
      </c>
      <c r="AF112" s="82">
        <f t="shared" si="48"/>
        <v>54701895.711322688</v>
      </c>
      <c r="AG112" s="82">
        <f t="shared" si="48"/>
        <v>43761516.569058143</v>
      </c>
      <c r="AH112" s="82"/>
      <c r="AI112" s="82"/>
    </row>
    <row r="113" spans="1:35" ht="15.75" customHeight="1">
      <c r="A113" s="460">
        <v>55</v>
      </c>
      <c r="B113" s="88" t="s">
        <v>523</v>
      </c>
      <c r="C113" s="110" t="s">
        <v>671</v>
      </c>
      <c r="D113" s="110"/>
      <c r="E113" s="114"/>
      <c r="F113" s="114"/>
      <c r="G113" s="114"/>
      <c r="H113" s="88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>
        <f t="shared" si="26"/>
        <v>0</v>
      </c>
      <c r="T113" s="82">
        <f t="shared" si="27"/>
        <v>0</v>
      </c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</row>
    <row r="114" spans="1:35" ht="15.75" hidden="1" customHeight="1" outlineLevel="1">
      <c r="B114" s="88"/>
      <c r="C114" s="110"/>
      <c r="D114" s="110"/>
      <c r="E114" s="114"/>
      <c r="F114" s="114"/>
      <c r="G114" s="114"/>
      <c r="H114" s="88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>
        <f t="shared" si="26"/>
        <v>0</v>
      </c>
      <c r="T114" s="82">
        <f t="shared" si="27"/>
        <v>0</v>
      </c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</row>
    <row r="115" spans="1:35" ht="15.75" customHeight="1" collapsed="1">
      <c r="B115" s="88" t="s">
        <v>524</v>
      </c>
      <c r="C115" s="110" t="s">
        <v>125</v>
      </c>
      <c r="D115" s="110"/>
      <c r="E115" s="114"/>
      <c r="F115" s="114"/>
      <c r="G115" s="114"/>
      <c r="H115" s="88"/>
      <c r="I115" s="82"/>
      <c r="J115" s="82"/>
      <c r="K115" s="82"/>
      <c r="L115" s="82"/>
      <c r="M115" s="82"/>
      <c r="N115" s="82"/>
      <c r="O115" s="82"/>
      <c r="P115" s="82">
        <f t="shared" ref="P115:Y115" si="49">P112+P113+P114</f>
        <v>0</v>
      </c>
      <c r="Q115" s="82">
        <f t="shared" si="49"/>
        <v>65445643.71212244</v>
      </c>
      <c r="R115" s="82"/>
      <c r="S115" s="82">
        <f t="shared" si="49"/>
        <v>44233546.683813713</v>
      </c>
      <c r="T115" s="82">
        <f t="shared" si="27"/>
        <v>44233546.683813713</v>
      </c>
      <c r="U115" s="82">
        <f t="shared" si="49"/>
        <v>44492025.630556047</v>
      </c>
      <c r="V115" s="82">
        <f t="shared" si="49"/>
        <v>54968834.671339251</v>
      </c>
      <c r="W115" s="82">
        <f t="shared" si="49"/>
        <v>58461104.351600312</v>
      </c>
      <c r="X115" s="82">
        <f t="shared" si="49"/>
        <v>62630001.282411955</v>
      </c>
      <c r="Y115" s="82">
        <f t="shared" si="49"/>
        <v>65632261.87316139</v>
      </c>
      <c r="Z115" s="82">
        <f t="shared" ref="Z115:AG115" si="50">Z112+Z113+Z114</f>
        <v>65632261.87316139</v>
      </c>
      <c r="AA115" s="82">
        <f t="shared" si="50"/>
        <v>65632261.87316139</v>
      </c>
      <c r="AB115" s="82">
        <f t="shared" si="50"/>
        <v>65632261.87316139</v>
      </c>
      <c r="AC115" s="82">
        <f t="shared" si="50"/>
        <v>65632261.87316139</v>
      </c>
      <c r="AD115" s="82">
        <f t="shared" si="50"/>
        <v>65632261.87316139</v>
      </c>
      <c r="AE115" s="82">
        <f t="shared" si="50"/>
        <v>54701895.711322688</v>
      </c>
      <c r="AF115" s="82">
        <f t="shared" si="50"/>
        <v>54701895.711322688</v>
      </c>
      <c r="AG115" s="82">
        <f t="shared" si="50"/>
        <v>43761516.569058143</v>
      </c>
      <c r="AH115" s="82"/>
      <c r="AI115" s="82"/>
    </row>
    <row r="116" spans="1:35" ht="6.75" customHeight="1">
      <c r="B116" s="88"/>
      <c r="C116" s="110"/>
      <c r="D116" s="110"/>
      <c r="E116" s="114"/>
      <c r="F116" s="114"/>
      <c r="G116" s="114"/>
      <c r="H116" s="88"/>
      <c r="I116" s="82"/>
      <c r="J116" s="82"/>
      <c r="K116" s="82"/>
      <c r="L116" s="82"/>
      <c r="M116" s="100"/>
      <c r="N116" s="100"/>
      <c r="O116" s="100"/>
      <c r="P116" s="100"/>
      <c r="Q116" s="100"/>
      <c r="R116" s="100"/>
      <c r="S116" s="100">
        <f t="shared" si="26"/>
        <v>0</v>
      </c>
      <c r="T116" s="100">
        <f t="shared" si="27"/>
        <v>0</v>
      </c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</row>
    <row r="117" spans="1:35" ht="15.75" customHeight="1">
      <c r="A117" s="460">
        <v>3</v>
      </c>
      <c r="B117" s="88" t="s">
        <v>523</v>
      </c>
      <c r="C117" s="110" t="s">
        <v>191</v>
      </c>
      <c r="D117" s="110"/>
      <c r="E117" s="114"/>
      <c r="F117" s="114"/>
      <c r="G117" s="114"/>
      <c r="H117" s="88"/>
      <c r="I117" s="82"/>
      <c r="J117" s="82"/>
      <c r="K117" s="82"/>
      <c r="L117" s="82"/>
      <c r="M117" s="82"/>
      <c r="N117" s="82"/>
      <c r="O117" s="82"/>
      <c r="P117" s="82">
        <f>SUM(P118:P119)</f>
        <v>0</v>
      </c>
      <c r="Q117" s="82">
        <f t="shared" ref="Q117:AG117" si="51">SUM(Q118:Q119)</f>
        <v>-9434990.073125001</v>
      </c>
      <c r="R117" s="82"/>
      <c r="S117" s="82">
        <f t="shared" si="51"/>
        <v>-9434990.073125001</v>
      </c>
      <c r="T117" s="82">
        <f t="shared" si="51"/>
        <v>-9434990.073125001</v>
      </c>
      <c r="U117" s="82">
        <f t="shared" si="51"/>
        <v>-9442061.6524999999</v>
      </c>
      <c r="V117" s="82">
        <f t="shared" si="51"/>
        <v>-9449133.2318750005</v>
      </c>
      <c r="W117" s="82">
        <f t="shared" si="51"/>
        <v>-9456204.8112500012</v>
      </c>
      <c r="X117" s="82">
        <f t="shared" si="51"/>
        <v>-9463276.390625</v>
      </c>
      <c r="Y117" s="82">
        <f t="shared" si="51"/>
        <v>-9470347.9700000007</v>
      </c>
      <c r="Z117" s="82">
        <f t="shared" si="51"/>
        <v>-9477419.5493749995</v>
      </c>
      <c r="AA117" s="82">
        <f t="shared" si="51"/>
        <v>-9484491.1287500001</v>
      </c>
      <c r="AB117" s="82">
        <f t="shared" si="51"/>
        <v>-9491562.708124999</v>
      </c>
      <c r="AC117" s="82">
        <f t="shared" si="51"/>
        <v>-9498634.2874999996</v>
      </c>
      <c r="AD117" s="82">
        <f t="shared" si="51"/>
        <v>-9505705.8668750003</v>
      </c>
      <c r="AE117" s="82">
        <f t="shared" si="51"/>
        <v>-9961723.5</v>
      </c>
      <c r="AF117" s="82">
        <f t="shared" si="51"/>
        <v>-9968952.75</v>
      </c>
      <c r="AG117" s="82">
        <f t="shared" si="51"/>
        <v>-8638401.3000000007</v>
      </c>
      <c r="AH117" s="82"/>
      <c r="AI117" s="82"/>
    </row>
    <row r="118" spans="1:35" ht="15.75" customHeight="1">
      <c r="B118" s="88"/>
      <c r="C118" s="482" t="s">
        <v>258</v>
      </c>
      <c r="D118" s="100"/>
      <c r="E118" s="100"/>
      <c r="F118" s="100"/>
      <c r="G118" s="100"/>
      <c r="H118" s="88"/>
      <c r="I118" s="79"/>
      <c r="J118" s="79"/>
      <c r="K118" s="79"/>
      <c r="L118" s="79"/>
      <c r="M118" s="79"/>
      <c r="N118" s="79"/>
      <c r="O118" s="79"/>
      <c r="P118" s="79">
        <f>-P83</f>
        <v>0</v>
      </c>
      <c r="Q118" s="79">
        <f t="shared" ref="Q118:AG118" si="52">-Q83</f>
        <v>-3915829.0731250001</v>
      </c>
      <c r="R118" s="79"/>
      <c r="S118" s="79">
        <f t="shared" si="26"/>
        <v>-3915829.0731250001</v>
      </c>
      <c r="T118" s="79">
        <f t="shared" si="27"/>
        <v>-3915829.0731250001</v>
      </c>
      <c r="U118" s="79">
        <f t="shared" si="52"/>
        <v>-3917209.6524999999</v>
      </c>
      <c r="V118" s="79">
        <f t="shared" si="52"/>
        <v>-3918590.2318750001</v>
      </c>
      <c r="W118" s="79">
        <f t="shared" si="52"/>
        <v>-3919970.8112500003</v>
      </c>
      <c r="X118" s="79">
        <f t="shared" si="52"/>
        <v>-3921351.390625</v>
      </c>
      <c r="Y118" s="79">
        <f t="shared" si="52"/>
        <v>-3922731.97</v>
      </c>
      <c r="Z118" s="79">
        <f t="shared" si="52"/>
        <v>-3924112.5493749999</v>
      </c>
      <c r="AA118" s="79">
        <f t="shared" si="52"/>
        <v>-3925493.1287500001</v>
      </c>
      <c r="AB118" s="79">
        <f t="shared" si="52"/>
        <v>-3926873.7081249999</v>
      </c>
      <c r="AC118" s="79">
        <f t="shared" si="52"/>
        <v>-3928254.2875000001</v>
      </c>
      <c r="AD118" s="79">
        <f t="shared" si="52"/>
        <v>-3929634.8668750003</v>
      </c>
      <c r="AE118" s="79">
        <f t="shared" si="52"/>
        <v>-4379961.5</v>
      </c>
      <c r="AF118" s="79">
        <f t="shared" si="52"/>
        <v>-4381499.75</v>
      </c>
      <c r="AG118" s="79">
        <f t="shared" si="52"/>
        <v>-4163886.1</v>
      </c>
      <c r="AH118" s="79"/>
      <c r="AI118" s="79"/>
    </row>
    <row r="119" spans="1:35" ht="15.75" customHeight="1">
      <c r="B119" s="88"/>
      <c r="C119" s="482" t="s">
        <v>259</v>
      </c>
      <c r="D119" s="100"/>
      <c r="E119" s="100"/>
      <c r="F119" s="100"/>
      <c r="G119" s="100"/>
      <c r="H119" s="88"/>
      <c r="I119" s="79"/>
      <c r="J119" s="79"/>
      <c r="K119" s="79"/>
      <c r="L119" s="79"/>
      <c r="M119" s="79"/>
      <c r="N119" s="79"/>
      <c r="O119" s="79"/>
      <c r="P119" s="79">
        <f>-P87</f>
        <v>0</v>
      </c>
      <c r="Q119" s="79">
        <f t="shared" ref="Q119:AG119" si="53">-Q87</f>
        <v>-5519161</v>
      </c>
      <c r="R119" s="79"/>
      <c r="S119" s="79">
        <f t="shared" si="26"/>
        <v>-5519161</v>
      </c>
      <c r="T119" s="79">
        <f t="shared" si="27"/>
        <v>-5519161</v>
      </c>
      <c r="U119" s="79">
        <f t="shared" si="53"/>
        <v>-5524852</v>
      </c>
      <c r="V119" s="79">
        <f t="shared" si="53"/>
        <v>-5530543</v>
      </c>
      <c r="W119" s="79">
        <f t="shared" si="53"/>
        <v>-5536234</v>
      </c>
      <c r="X119" s="79">
        <f t="shared" si="53"/>
        <v>-5541925</v>
      </c>
      <c r="Y119" s="79">
        <f t="shared" si="53"/>
        <v>-5547616</v>
      </c>
      <c r="Z119" s="79">
        <f t="shared" si="53"/>
        <v>-5553307</v>
      </c>
      <c r="AA119" s="79">
        <f t="shared" si="53"/>
        <v>-5558998</v>
      </c>
      <c r="AB119" s="79">
        <f t="shared" si="53"/>
        <v>-5564689</v>
      </c>
      <c r="AC119" s="79">
        <f t="shared" si="53"/>
        <v>-5570380</v>
      </c>
      <c r="AD119" s="79">
        <f t="shared" si="53"/>
        <v>-5576071</v>
      </c>
      <c r="AE119" s="79">
        <f t="shared" si="53"/>
        <v>-5581762</v>
      </c>
      <c r="AF119" s="79">
        <f t="shared" si="53"/>
        <v>-5587453</v>
      </c>
      <c r="AG119" s="79">
        <f t="shared" si="53"/>
        <v>-4474515.2</v>
      </c>
      <c r="AH119" s="79"/>
      <c r="AI119" s="79"/>
    </row>
    <row r="120" spans="1:35" ht="15" customHeight="1">
      <c r="B120" s="88"/>
      <c r="C120" s="482"/>
      <c r="D120" s="100"/>
      <c r="E120" s="100"/>
      <c r="F120" s="100"/>
      <c r="G120" s="100"/>
      <c r="H120" s="88"/>
      <c r="I120" s="79"/>
      <c r="J120" s="108"/>
      <c r="K120" s="79"/>
      <c r="L120" s="79"/>
      <c r="M120" s="100"/>
      <c r="N120" s="100"/>
      <c r="O120" s="100"/>
      <c r="P120" s="100"/>
      <c r="Q120" s="100"/>
      <c r="R120" s="100"/>
      <c r="S120" s="100">
        <f t="shared" si="26"/>
        <v>0</v>
      </c>
      <c r="T120" s="100">
        <f t="shared" si="27"/>
        <v>0</v>
      </c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  <c r="AI120" s="100"/>
    </row>
    <row r="121" spans="1:35" ht="15.75" customHeight="1">
      <c r="B121" s="88" t="s">
        <v>524</v>
      </c>
      <c r="C121" s="110" t="s">
        <v>185</v>
      </c>
      <c r="D121" s="100"/>
      <c r="E121" s="100"/>
      <c r="F121" s="100"/>
      <c r="G121" s="100"/>
      <c r="H121" s="88"/>
      <c r="I121" s="79"/>
      <c r="J121" s="79"/>
      <c r="K121" s="79"/>
      <c r="L121" s="79"/>
      <c r="M121" s="79"/>
      <c r="N121" s="79"/>
      <c r="O121" s="79"/>
      <c r="P121" s="79">
        <f>P115+P117</f>
        <v>0</v>
      </c>
      <c r="Q121" s="79">
        <f t="shared" ref="Q121:AG121" si="54">Q115+Q117</f>
        <v>56010653.638997436</v>
      </c>
      <c r="R121" s="79"/>
      <c r="S121" s="79">
        <f t="shared" si="54"/>
        <v>34798556.610688716</v>
      </c>
      <c r="T121" s="79">
        <f t="shared" si="27"/>
        <v>34798556.610688716</v>
      </c>
      <c r="U121" s="79">
        <f t="shared" si="54"/>
        <v>35049963.978056043</v>
      </c>
      <c r="V121" s="79">
        <f t="shared" si="54"/>
        <v>45519701.439464249</v>
      </c>
      <c r="W121" s="79">
        <f t="shared" si="54"/>
        <v>49004899.540350311</v>
      </c>
      <c r="X121" s="79">
        <f t="shared" si="54"/>
        <v>53166724.891786955</v>
      </c>
      <c r="Y121" s="79">
        <f t="shared" si="54"/>
        <v>56161913.903161392</v>
      </c>
      <c r="Z121" s="79">
        <f t="shared" si="54"/>
        <v>56154842.323786393</v>
      </c>
      <c r="AA121" s="79">
        <f t="shared" si="54"/>
        <v>56147770.744411394</v>
      </c>
      <c r="AB121" s="79">
        <f t="shared" si="54"/>
        <v>56140699.165036395</v>
      </c>
      <c r="AC121" s="79">
        <f t="shared" si="54"/>
        <v>56133627.585661389</v>
      </c>
      <c r="AD121" s="79">
        <f t="shared" si="54"/>
        <v>56126556.00628639</v>
      </c>
      <c r="AE121" s="79">
        <f t="shared" si="54"/>
        <v>44740172.211322688</v>
      </c>
      <c r="AF121" s="79">
        <f t="shared" si="54"/>
        <v>44732942.961322688</v>
      </c>
      <c r="AG121" s="79">
        <f t="shared" si="54"/>
        <v>35123115.269058138</v>
      </c>
      <c r="AH121" s="79"/>
      <c r="AI121" s="79"/>
    </row>
    <row r="122" spans="1:35" ht="6.75" customHeight="1">
      <c r="B122" s="88"/>
      <c r="C122" s="110"/>
      <c r="D122" s="110"/>
      <c r="E122" s="114"/>
      <c r="F122" s="114"/>
      <c r="G122" s="114"/>
      <c r="H122" s="88"/>
      <c r="I122" s="148"/>
      <c r="J122" s="148"/>
      <c r="K122" s="148"/>
      <c r="L122" s="148"/>
      <c r="M122" s="100"/>
      <c r="N122" s="100"/>
      <c r="O122" s="100"/>
      <c r="P122" s="100"/>
      <c r="Q122" s="100"/>
      <c r="R122" s="100"/>
      <c r="S122" s="100">
        <f t="shared" si="26"/>
        <v>0</v>
      </c>
      <c r="T122" s="100">
        <f t="shared" si="27"/>
        <v>0</v>
      </c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  <c r="AI122" s="100"/>
    </row>
    <row r="123" spans="1:35" ht="15.75" customHeight="1">
      <c r="A123" s="460">
        <v>5</v>
      </c>
      <c r="B123" s="88" t="s">
        <v>523</v>
      </c>
      <c r="C123" s="110" t="s">
        <v>263</v>
      </c>
      <c r="D123" s="100"/>
      <c r="E123" s="100"/>
      <c r="F123" s="100"/>
      <c r="G123" s="100"/>
      <c r="H123" s="88"/>
      <c r="I123" s="79"/>
      <c r="J123" s="79"/>
      <c r="K123" s="79"/>
      <c r="L123" s="79"/>
      <c r="M123" s="79"/>
      <c r="N123" s="79"/>
      <c r="O123" s="79"/>
      <c r="P123" s="79">
        <f>SUM(P124:P128)</f>
        <v>-395000</v>
      </c>
      <c r="Q123" s="79">
        <f t="shared" ref="Q123:AG123" si="55">SUM(Q124:Q128)</f>
        <v>-7920623.7681932906</v>
      </c>
      <c r="R123" s="79"/>
      <c r="S123" s="79">
        <f t="shared" si="26"/>
        <v>-7920623.7681932906</v>
      </c>
      <c r="T123" s="79">
        <f t="shared" si="27"/>
        <v>-7920623.7681932906</v>
      </c>
      <c r="U123" s="79">
        <f t="shared" si="55"/>
        <v>-6139898.2312601469</v>
      </c>
      <c r="V123" s="79">
        <f t="shared" si="55"/>
        <v>-7030426.9997267202</v>
      </c>
      <c r="W123" s="79">
        <f t="shared" si="55"/>
        <v>-7327269.9225489097</v>
      </c>
      <c r="X123" s="79">
        <f t="shared" si="55"/>
        <v>-7681626.1616678992</v>
      </c>
      <c r="Y123" s="79">
        <f t="shared" si="55"/>
        <v>-7936818.3118816018</v>
      </c>
      <c r="Z123" s="79">
        <f t="shared" si="55"/>
        <v>-7936818.3118816018</v>
      </c>
      <c r="AA123" s="79">
        <f t="shared" si="55"/>
        <v>-7936818.3118816018</v>
      </c>
      <c r="AB123" s="79">
        <f t="shared" si="55"/>
        <v>-7936818.3118816018</v>
      </c>
      <c r="AC123" s="79">
        <f t="shared" si="55"/>
        <v>-7936818.3118816018</v>
      </c>
      <c r="AD123" s="79">
        <f t="shared" si="55"/>
        <v>-7936818.3118816018</v>
      </c>
      <c r="AE123" s="79">
        <f t="shared" si="55"/>
        <v>-7007737.1881253114</v>
      </c>
      <c r="AF123" s="79">
        <f t="shared" si="55"/>
        <v>-7007737.1881253114</v>
      </c>
      <c r="AG123" s="79">
        <f t="shared" si="55"/>
        <v>-5680389.7505002487</v>
      </c>
      <c r="AH123" s="79"/>
      <c r="AI123" s="79"/>
    </row>
    <row r="124" spans="1:35" ht="15.75" customHeight="1">
      <c r="B124" s="88"/>
      <c r="C124" s="164" t="s">
        <v>1783</v>
      </c>
      <c r="D124" s="100"/>
      <c r="E124" s="100"/>
      <c r="F124" s="100"/>
      <c r="G124" s="100"/>
      <c r="H124" s="88"/>
      <c r="I124" s="79"/>
      <c r="J124" s="79"/>
      <c r="K124" s="79"/>
      <c r="L124" s="79"/>
      <c r="M124" s="79"/>
      <c r="N124" s="79"/>
      <c r="O124" s="79"/>
      <c r="P124" s="79">
        <f>-P92</f>
        <v>0</v>
      </c>
      <c r="Q124" s="79">
        <f t="shared" ref="Q124:AG124" si="56">-Q92</f>
        <v>-2000000</v>
      </c>
      <c r="R124" s="79"/>
      <c r="S124" s="79">
        <f t="shared" si="26"/>
        <v>-2000000</v>
      </c>
      <c r="T124" s="79">
        <f t="shared" si="27"/>
        <v>-2000000</v>
      </c>
      <c r="U124" s="79">
        <f t="shared" si="56"/>
        <v>-2000000</v>
      </c>
      <c r="V124" s="79">
        <f t="shared" si="56"/>
        <v>-2000000</v>
      </c>
      <c r="W124" s="79">
        <f t="shared" si="56"/>
        <v>-2000000</v>
      </c>
      <c r="X124" s="79">
        <f t="shared" si="56"/>
        <v>-2000000</v>
      </c>
      <c r="Y124" s="79">
        <f t="shared" si="56"/>
        <v>-2000000</v>
      </c>
      <c r="Z124" s="79">
        <f t="shared" si="56"/>
        <v>-2000000</v>
      </c>
      <c r="AA124" s="79">
        <f t="shared" si="56"/>
        <v>-2000000</v>
      </c>
      <c r="AB124" s="79">
        <f t="shared" si="56"/>
        <v>-2000000</v>
      </c>
      <c r="AC124" s="79">
        <f t="shared" si="56"/>
        <v>-2000000</v>
      </c>
      <c r="AD124" s="79">
        <f t="shared" si="56"/>
        <v>-2000000</v>
      </c>
      <c r="AE124" s="79">
        <f t="shared" si="56"/>
        <v>-2000000</v>
      </c>
      <c r="AF124" s="79">
        <f t="shared" si="56"/>
        <v>-2000000</v>
      </c>
      <c r="AG124" s="79">
        <f t="shared" si="56"/>
        <v>-1600000</v>
      </c>
      <c r="AH124" s="79"/>
      <c r="AI124" s="79"/>
    </row>
    <row r="125" spans="1:35" ht="15.75" customHeight="1">
      <c r="B125" s="88"/>
      <c r="C125" s="164" t="s">
        <v>1784</v>
      </c>
      <c r="D125" s="100"/>
      <c r="E125" s="100"/>
      <c r="F125" s="100"/>
      <c r="G125" s="100"/>
      <c r="H125" s="88"/>
      <c r="I125" s="79"/>
      <c r="J125" s="79"/>
      <c r="K125" s="79"/>
      <c r="L125" s="79"/>
      <c r="M125" s="79"/>
      <c r="N125" s="79"/>
      <c r="O125" s="79"/>
      <c r="P125" s="79">
        <f>-P93</f>
        <v>-395000</v>
      </c>
      <c r="Q125" s="79">
        <f t="shared" ref="Q125:AG125" si="57">-Q93</f>
        <v>-370668</v>
      </c>
      <c r="R125" s="79"/>
      <c r="S125" s="79">
        <f t="shared" si="26"/>
        <v>-370668</v>
      </c>
      <c r="T125" s="79">
        <f t="shared" si="27"/>
        <v>-370668</v>
      </c>
      <c r="U125" s="79">
        <f t="shared" si="57"/>
        <v>-371000</v>
      </c>
      <c r="V125" s="79">
        <f t="shared" si="57"/>
        <v>-371000</v>
      </c>
      <c r="W125" s="79">
        <f t="shared" si="57"/>
        <v>-371000</v>
      </c>
      <c r="X125" s="79">
        <f t="shared" si="57"/>
        <v>-371000</v>
      </c>
      <c r="Y125" s="79">
        <f t="shared" si="57"/>
        <v>-371000</v>
      </c>
      <c r="Z125" s="79">
        <f t="shared" si="57"/>
        <v>-371000</v>
      </c>
      <c r="AA125" s="79">
        <f t="shared" si="57"/>
        <v>-371000</v>
      </c>
      <c r="AB125" s="79">
        <f t="shared" si="57"/>
        <v>-371000</v>
      </c>
      <c r="AC125" s="79">
        <f t="shared" si="57"/>
        <v>-371000</v>
      </c>
      <c r="AD125" s="79">
        <f t="shared" si="57"/>
        <v>-371000</v>
      </c>
      <c r="AE125" s="79">
        <f t="shared" si="57"/>
        <v>-371000</v>
      </c>
      <c r="AF125" s="79">
        <f t="shared" si="57"/>
        <v>-371000</v>
      </c>
      <c r="AG125" s="79">
        <f t="shared" si="57"/>
        <v>-371000</v>
      </c>
      <c r="AH125" s="79"/>
      <c r="AI125" s="79"/>
    </row>
    <row r="126" spans="1:35" ht="15.75" customHeight="1">
      <c r="B126" s="88"/>
      <c r="C126" s="164" t="s">
        <v>1796</v>
      </c>
      <c r="D126" s="100"/>
      <c r="E126" s="100"/>
      <c r="F126" s="100"/>
      <c r="G126" s="100"/>
      <c r="H126" s="88"/>
      <c r="I126" s="79"/>
      <c r="J126" s="79"/>
      <c r="K126" s="79"/>
      <c r="L126" s="79"/>
      <c r="M126" s="79"/>
      <c r="N126" s="79"/>
      <c r="O126" s="79"/>
      <c r="P126" s="79">
        <f>-P99</f>
        <v>0</v>
      </c>
      <c r="Q126" s="79">
        <f t="shared" ref="Q126:AG126" si="58">-Q99</f>
        <v>-628608.54244699155</v>
      </c>
      <c r="R126" s="79"/>
      <c r="S126" s="79">
        <f t="shared" si="26"/>
        <v>-628608.54244699155</v>
      </c>
      <c r="T126" s="79">
        <f t="shared" si="27"/>
        <v>-628608.54244699155</v>
      </c>
      <c r="U126" s="79">
        <f t="shared" si="58"/>
        <v>-419072.36163132766</v>
      </c>
      <c r="V126" s="79">
        <f t="shared" si="58"/>
        <v>-523840.45203915972</v>
      </c>
      <c r="W126" s="79">
        <f t="shared" si="58"/>
        <v>-558763.14884177025</v>
      </c>
      <c r="X126" s="79">
        <f t="shared" si="58"/>
        <v>-600452.11814988672</v>
      </c>
      <c r="Y126" s="79">
        <f t="shared" si="58"/>
        <v>-630474.72405738104</v>
      </c>
      <c r="Z126" s="79">
        <f t="shared" si="58"/>
        <v>-630474.72405738104</v>
      </c>
      <c r="AA126" s="79">
        <f t="shared" si="58"/>
        <v>-630474.72405738104</v>
      </c>
      <c r="AB126" s="79">
        <f t="shared" si="58"/>
        <v>-630474.72405738104</v>
      </c>
      <c r="AC126" s="79">
        <f t="shared" si="58"/>
        <v>-630474.72405738104</v>
      </c>
      <c r="AD126" s="79">
        <f t="shared" si="58"/>
        <v>-630474.72405738104</v>
      </c>
      <c r="AE126" s="79">
        <f t="shared" si="58"/>
        <v>-521171.06243899406</v>
      </c>
      <c r="AF126" s="79">
        <f t="shared" si="58"/>
        <v>-521171.06243899406</v>
      </c>
      <c r="AG126" s="79">
        <f t="shared" si="58"/>
        <v>-416936.84995119518</v>
      </c>
      <c r="AH126" s="79"/>
      <c r="AI126" s="79"/>
    </row>
    <row r="127" spans="1:35" ht="15.75" customHeight="1">
      <c r="B127" s="88"/>
      <c r="C127" s="164" t="s">
        <v>1797</v>
      </c>
      <c r="D127" s="100"/>
      <c r="E127" s="100"/>
      <c r="F127" s="100"/>
      <c r="G127" s="100"/>
      <c r="H127" s="88"/>
      <c r="I127" s="79"/>
      <c r="J127" s="79"/>
      <c r="K127" s="79"/>
      <c r="L127" s="79"/>
      <c r="M127" s="79"/>
      <c r="N127" s="79"/>
      <c r="O127" s="79"/>
      <c r="P127" s="79">
        <f>-P100</f>
        <v>0</v>
      </c>
      <c r="Q127" s="79">
        <f t="shared" ref="Q127:AG127" si="59">-Q100</f>
        <v>-3939662.5700644627</v>
      </c>
      <c r="R127" s="79"/>
      <c r="S127" s="79">
        <f t="shared" si="26"/>
        <v>-3939662.5700644627</v>
      </c>
      <c r="T127" s="79">
        <f t="shared" si="27"/>
        <v>-3939662.5700644627</v>
      </c>
      <c r="U127" s="79">
        <f t="shared" si="59"/>
        <v>-2682445.4851704789</v>
      </c>
      <c r="V127" s="79">
        <f t="shared" si="59"/>
        <v>-3311054.0276174713</v>
      </c>
      <c r="W127" s="79">
        <f t="shared" si="59"/>
        <v>-3520590.2084331349</v>
      </c>
      <c r="X127" s="79">
        <f t="shared" si="59"/>
        <v>-3770724.0242818333</v>
      </c>
      <c r="Y127" s="79">
        <f t="shared" si="59"/>
        <v>-3950859.6597267995</v>
      </c>
      <c r="Z127" s="79">
        <f t="shared" si="59"/>
        <v>-3950859.6597267995</v>
      </c>
      <c r="AA127" s="79">
        <f t="shared" si="59"/>
        <v>-3950859.6597267995</v>
      </c>
      <c r="AB127" s="79">
        <f t="shared" si="59"/>
        <v>-3950859.6597267995</v>
      </c>
      <c r="AC127" s="79">
        <f t="shared" si="59"/>
        <v>-3950859.6597267995</v>
      </c>
      <c r="AD127" s="79">
        <f t="shared" si="59"/>
        <v>-3950859.6597267995</v>
      </c>
      <c r="AE127" s="79">
        <f t="shared" si="59"/>
        <v>-3295037.6900164774</v>
      </c>
      <c r="AF127" s="79">
        <f t="shared" si="59"/>
        <v>-3295037.6900164774</v>
      </c>
      <c r="AG127" s="79">
        <f t="shared" si="59"/>
        <v>-2636030.1520131812</v>
      </c>
      <c r="AH127" s="79"/>
      <c r="AI127" s="79"/>
    </row>
    <row r="128" spans="1:35">
      <c r="B128" s="88" t="s">
        <v>523</v>
      </c>
      <c r="C128" s="164" t="s">
        <v>1798</v>
      </c>
      <c r="D128" s="110"/>
      <c r="E128" s="114"/>
      <c r="F128" s="114"/>
      <c r="G128" s="114"/>
      <c r="H128" s="88"/>
      <c r="I128" s="148"/>
      <c r="J128" s="87"/>
      <c r="K128" s="87"/>
      <c r="L128" s="87"/>
      <c r="M128" s="87"/>
      <c r="N128" s="87"/>
      <c r="O128" s="87"/>
      <c r="P128" s="79">
        <f>-P101</f>
        <v>0</v>
      </c>
      <c r="Q128" s="79">
        <f t="shared" ref="Q128:AG128" si="60">-Q101</f>
        <v>-981684.65568183654</v>
      </c>
      <c r="R128" s="79"/>
      <c r="S128" s="79">
        <f t="shared" si="26"/>
        <v>-981684.65568183654</v>
      </c>
      <c r="T128" s="79">
        <f t="shared" si="27"/>
        <v>-981684.65568183654</v>
      </c>
      <c r="U128" s="79">
        <f t="shared" si="60"/>
        <v>-667380.3844583407</v>
      </c>
      <c r="V128" s="79">
        <f t="shared" si="60"/>
        <v>-824532.52007008868</v>
      </c>
      <c r="W128" s="79">
        <f t="shared" si="60"/>
        <v>-876916.56527400459</v>
      </c>
      <c r="X128" s="79">
        <f t="shared" si="60"/>
        <v>-939450.0192361793</v>
      </c>
      <c r="Y128" s="79">
        <f t="shared" si="60"/>
        <v>-984483.92809742084</v>
      </c>
      <c r="Z128" s="79">
        <f t="shared" si="60"/>
        <v>-984483.92809742084</v>
      </c>
      <c r="AA128" s="79">
        <f t="shared" si="60"/>
        <v>-984483.92809742084</v>
      </c>
      <c r="AB128" s="79">
        <f t="shared" si="60"/>
        <v>-984483.92809742084</v>
      </c>
      <c r="AC128" s="79">
        <f t="shared" si="60"/>
        <v>-984483.92809742084</v>
      </c>
      <c r="AD128" s="79">
        <f t="shared" si="60"/>
        <v>-984483.92809742084</v>
      </c>
      <c r="AE128" s="79">
        <f t="shared" si="60"/>
        <v>-820528.43566984031</v>
      </c>
      <c r="AF128" s="79">
        <f t="shared" si="60"/>
        <v>-820528.43566984031</v>
      </c>
      <c r="AG128" s="79">
        <f t="shared" si="60"/>
        <v>-656422.74853587209</v>
      </c>
      <c r="AH128" s="79"/>
      <c r="AI128" s="87"/>
    </row>
    <row r="129" spans="1:35" ht="26.25" customHeight="1">
      <c r="B129" s="88" t="s">
        <v>524</v>
      </c>
      <c r="C129" s="110" t="s">
        <v>347</v>
      </c>
      <c r="D129" s="100"/>
      <c r="E129" s="100"/>
      <c r="F129" s="100"/>
      <c r="G129" s="100"/>
      <c r="H129" s="88"/>
      <c r="I129" s="79"/>
      <c r="J129" s="79"/>
      <c r="K129" s="79"/>
      <c r="L129" s="79"/>
      <c r="M129" s="79"/>
      <c r="N129" s="79"/>
      <c r="O129" s="79"/>
      <c r="P129" s="79">
        <f>P121+P123</f>
        <v>-395000</v>
      </c>
      <c r="Q129" s="79">
        <f t="shared" ref="Q129:AG129" si="61">Q121+Q123</f>
        <v>48090029.870804146</v>
      </c>
      <c r="R129" s="79"/>
      <c r="S129" s="79">
        <f t="shared" si="61"/>
        <v>26877932.842495427</v>
      </c>
      <c r="T129" s="79">
        <f t="shared" si="61"/>
        <v>26877932.842495427</v>
      </c>
      <c r="U129" s="79">
        <f t="shared" si="61"/>
        <v>28910065.746795896</v>
      </c>
      <c r="V129" s="79">
        <f t="shared" si="61"/>
        <v>38489274.439737529</v>
      </c>
      <c r="W129" s="79">
        <f t="shared" si="61"/>
        <v>41677629.617801398</v>
      </c>
      <c r="X129" s="79">
        <f t="shared" si="61"/>
        <v>45485098.730119057</v>
      </c>
      <c r="Y129" s="79">
        <f t="shared" si="61"/>
        <v>48225095.59127979</v>
      </c>
      <c r="Z129" s="79">
        <f t="shared" si="61"/>
        <v>48218024.011904791</v>
      </c>
      <c r="AA129" s="79">
        <f t="shared" si="61"/>
        <v>48210952.432529792</v>
      </c>
      <c r="AB129" s="79">
        <f t="shared" si="61"/>
        <v>48203880.853154793</v>
      </c>
      <c r="AC129" s="79">
        <f t="shared" si="61"/>
        <v>48196809.273779787</v>
      </c>
      <c r="AD129" s="79">
        <f t="shared" si="61"/>
        <v>48189737.694404788</v>
      </c>
      <c r="AE129" s="79">
        <f t="shared" si="61"/>
        <v>37732435.023197375</v>
      </c>
      <c r="AF129" s="79">
        <f t="shared" si="61"/>
        <v>37725205.773197375</v>
      </c>
      <c r="AG129" s="79">
        <f t="shared" si="61"/>
        <v>29442725.518557891</v>
      </c>
      <c r="AH129" s="79"/>
      <c r="AI129" s="79"/>
    </row>
    <row r="130" spans="1:35" ht="4.5" customHeight="1">
      <c r="B130" s="88"/>
      <c r="C130" s="110"/>
      <c r="D130" s="110"/>
      <c r="E130" s="114"/>
      <c r="F130" s="114"/>
      <c r="G130" s="114"/>
      <c r="H130" s="88"/>
      <c r="I130" s="148"/>
      <c r="J130" s="148"/>
      <c r="K130" s="148"/>
      <c r="L130" s="148"/>
      <c r="M130" s="100"/>
      <c r="N130" s="100"/>
      <c r="O130" s="100"/>
      <c r="P130" s="100"/>
      <c r="Q130" s="100"/>
      <c r="R130" s="100"/>
      <c r="S130" s="100">
        <f t="shared" si="26"/>
        <v>0</v>
      </c>
      <c r="T130" s="100">
        <f t="shared" si="27"/>
        <v>0</v>
      </c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</row>
    <row r="131" spans="1:35" ht="15.75" customHeight="1">
      <c r="A131" s="460">
        <v>7</v>
      </c>
      <c r="B131" s="88" t="s">
        <v>523</v>
      </c>
      <c r="C131" s="110" t="s">
        <v>193</v>
      </c>
      <c r="D131" s="110"/>
      <c r="E131" s="114"/>
      <c r="F131" s="114"/>
      <c r="G131" s="114"/>
      <c r="H131" s="88"/>
      <c r="I131" s="79"/>
      <c r="J131" s="79"/>
      <c r="K131" s="79"/>
      <c r="L131" s="79"/>
      <c r="M131" s="79"/>
      <c r="N131" s="79"/>
      <c r="O131" s="79"/>
      <c r="P131" s="79">
        <f t="shared" ref="P131:Y131" si="62">-P372-P373</f>
        <v>0</v>
      </c>
      <c r="Q131" s="79">
        <f t="shared" si="62"/>
        <v>-1000000</v>
      </c>
      <c r="R131" s="79"/>
      <c r="S131" s="79">
        <f t="shared" si="26"/>
        <v>-1000000</v>
      </c>
      <c r="T131" s="79">
        <f t="shared" si="27"/>
        <v>-1000000</v>
      </c>
      <c r="U131" s="79">
        <f t="shared" si="62"/>
        <v>-1078571.4285714286</v>
      </c>
      <c r="V131" s="79">
        <f t="shared" si="62"/>
        <v>-1173729.2142857143</v>
      </c>
      <c r="W131" s="79">
        <f t="shared" si="62"/>
        <v>-1242337</v>
      </c>
      <c r="X131" s="79">
        <f t="shared" si="62"/>
        <v>-1291802.5</v>
      </c>
      <c r="Y131" s="79">
        <f t="shared" si="62"/>
        <v>-1291802.5</v>
      </c>
      <c r="Z131" s="79">
        <f t="shared" ref="Z131:AG131" si="63">-Z372-Z373</f>
        <v>-1291802.5</v>
      </c>
      <c r="AA131" s="79">
        <f t="shared" si="63"/>
        <v>-1291802.5</v>
      </c>
      <c r="AB131" s="79">
        <f t="shared" si="63"/>
        <v>-1291802.5</v>
      </c>
      <c r="AC131" s="79">
        <f t="shared" si="63"/>
        <v>-1291802.5</v>
      </c>
      <c r="AD131" s="79">
        <f t="shared" si="63"/>
        <v>-1291802.5</v>
      </c>
      <c r="AE131" s="79">
        <f t="shared" si="63"/>
        <v>-1291802.5</v>
      </c>
      <c r="AF131" s="79">
        <f t="shared" si="63"/>
        <v>-1291802.5</v>
      </c>
      <c r="AG131" s="79">
        <f t="shared" si="63"/>
        <v>-1291802.5</v>
      </c>
      <c r="AH131" s="79"/>
      <c r="AI131" s="79"/>
    </row>
    <row r="132" spans="1:35" ht="7.5" customHeight="1">
      <c r="B132" s="88"/>
      <c r="C132" s="110"/>
      <c r="D132" s="110"/>
      <c r="E132" s="114"/>
      <c r="F132" s="114"/>
      <c r="G132" s="114"/>
      <c r="H132" s="88"/>
      <c r="I132" s="79"/>
      <c r="J132" s="79"/>
      <c r="K132" s="79"/>
      <c r="L132" s="79"/>
      <c r="M132" s="100"/>
      <c r="N132" s="100"/>
      <c r="O132" s="100"/>
      <c r="P132" s="100"/>
      <c r="Q132" s="100"/>
      <c r="R132" s="100"/>
      <c r="S132" s="100">
        <f t="shared" si="26"/>
        <v>0</v>
      </c>
      <c r="T132" s="100">
        <f t="shared" si="27"/>
        <v>0</v>
      </c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</row>
    <row r="133" spans="1:35" ht="15.75" customHeight="1">
      <c r="B133" s="88" t="s">
        <v>524</v>
      </c>
      <c r="C133" s="110" t="s">
        <v>363</v>
      </c>
      <c r="D133" s="110"/>
      <c r="E133" s="114"/>
      <c r="F133" s="114"/>
      <c r="G133" s="114"/>
      <c r="H133" s="88"/>
      <c r="I133" s="79"/>
      <c r="J133" s="79"/>
      <c r="K133" s="79"/>
      <c r="L133" s="79"/>
      <c r="M133" s="79"/>
      <c r="N133" s="79"/>
      <c r="O133" s="79"/>
      <c r="P133" s="79">
        <f t="shared" ref="P133:Y133" si="64">P129+P131</f>
        <v>-395000</v>
      </c>
      <c r="Q133" s="79">
        <f t="shared" si="64"/>
        <v>47090029.870804146</v>
      </c>
      <c r="R133" s="79"/>
      <c r="S133" s="79">
        <f t="shared" si="64"/>
        <v>25877932.842495427</v>
      </c>
      <c r="T133" s="79">
        <f t="shared" si="27"/>
        <v>25877932.842495427</v>
      </c>
      <c r="U133" s="79">
        <f t="shared" si="64"/>
        <v>27831494.318224467</v>
      </c>
      <c r="V133" s="79">
        <f t="shared" si="64"/>
        <v>37315545.225451812</v>
      </c>
      <c r="W133" s="79">
        <f t="shared" si="64"/>
        <v>40435292.617801398</v>
      </c>
      <c r="X133" s="79">
        <f t="shared" si="64"/>
        <v>44193296.230119057</v>
      </c>
      <c r="Y133" s="79">
        <f t="shared" si="64"/>
        <v>46933293.09127979</v>
      </c>
      <c r="Z133" s="79">
        <f t="shared" ref="Z133:AG133" si="65">Z129+Z131</f>
        <v>46926221.511904791</v>
      </c>
      <c r="AA133" s="79">
        <f t="shared" si="65"/>
        <v>46919149.932529792</v>
      </c>
      <c r="AB133" s="79">
        <f t="shared" si="65"/>
        <v>46912078.353154793</v>
      </c>
      <c r="AC133" s="79">
        <f t="shared" si="65"/>
        <v>46905006.773779787</v>
      </c>
      <c r="AD133" s="79">
        <f t="shared" si="65"/>
        <v>46897935.194404788</v>
      </c>
      <c r="AE133" s="79">
        <f t="shared" si="65"/>
        <v>36440632.523197375</v>
      </c>
      <c r="AF133" s="79">
        <f t="shared" si="65"/>
        <v>36433403.273197375</v>
      </c>
      <c r="AG133" s="79">
        <f t="shared" si="65"/>
        <v>28150923.018557891</v>
      </c>
      <c r="AH133" s="79"/>
      <c r="AI133" s="79"/>
    </row>
    <row r="134" spans="1:35" ht="6.75" customHeight="1">
      <c r="B134" s="88"/>
      <c r="C134" s="110"/>
      <c r="D134" s="163"/>
      <c r="E134" s="114"/>
      <c r="F134" s="114"/>
      <c r="G134" s="114"/>
      <c r="H134" s="88"/>
      <c r="I134" s="144"/>
      <c r="J134" s="144"/>
      <c r="K134" s="149"/>
      <c r="L134" s="144"/>
      <c r="M134" s="100"/>
      <c r="N134" s="100"/>
      <c r="O134" s="100"/>
      <c r="P134" s="100"/>
      <c r="Q134" s="100"/>
      <c r="R134" s="100"/>
      <c r="S134" s="100">
        <f t="shared" si="26"/>
        <v>0</v>
      </c>
      <c r="T134" s="100">
        <f t="shared" si="27"/>
        <v>0</v>
      </c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</row>
    <row r="135" spans="1:35" ht="15.75" customHeight="1">
      <c r="A135" s="460">
        <v>8</v>
      </c>
      <c r="B135" s="88" t="s">
        <v>523</v>
      </c>
      <c r="C135" s="482" t="s">
        <v>194</v>
      </c>
      <c r="D135" s="163"/>
      <c r="E135" s="114"/>
      <c r="F135" s="114"/>
      <c r="G135" s="114"/>
      <c r="H135" s="88"/>
      <c r="I135" s="79"/>
      <c r="J135" s="79"/>
      <c r="K135" s="79"/>
      <c r="L135" s="79"/>
      <c r="M135" s="79"/>
      <c r="N135" s="79"/>
      <c r="O135" s="79"/>
      <c r="P135" s="79">
        <f t="shared" ref="P135:Y135" si="66">-P474</f>
        <v>-303333.33333333337</v>
      </c>
      <c r="Q135" s="79">
        <f t="shared" si="66"/>
        <v>-1226875</v>
      </c>
      <c r="R135" s="79"/>
      <c r="S135" s="79">
        <f t="shared" si="26"/>
        <v>-1226875</v>
      </c>
      <c r="T135" s="79">
        <f t="shared" si="27"/>
        <v>-1226875</v>
      </c>
      <c r="U135" s="79">
        <f t="shared" si="66"/>
        <v>-1300000</v>
      </c>
      <c r="V135" s="79">
        <f t="shared" si="66"/>
        <v>-284375</v>
      </c>
      <c r="W135" s="79">
        <f t="shared" si="66"/>
        <v>0</v>
      </c>
      <c r="X135" s="79">
        <f t="shared" si="66"/>
        <v>0</v>
      </c>
      <c r="Y135" s="79">
        <f t="shared" si="66"/>
        <v>0</v>
      </c>
      <c r="Z135" s="79">
        <f t="shared" ref="Z135:AG135" si="67">-Z474</f>
        <v>0</v>
      </c>
      <c r="AA135" s="79">
        <f t="shared" si="67"/>
        <v>0</v>
      </c>
      <c r="AB135" s="79">
        <f t="shared" si="67"/>
        <v>0</v>
      </c>
      <c r="AC135" s="79">
        <f t="shared" si="67"/>
        <v>0</v>
      </c>
      <c r="AD135" s="79">
        <f t="shared" si="67"/>
        <v>0</v>
      </c>
      <c r="AE135" s="79">
        <f t="shared" si="67"/>
        <v>0</v>
      </c>
      <c r="AF135" s="79">
        <f t="shared" si="67"/>
        <v>0</v>
      </c>
      <c r="AG135" s="79">
        <f t="shared" si="67"/>
        <v>0</v>
      </c>
      <c r="AH135" s="79"/>
      <c r="AI135" s="79"/>
    </row>
    <row r="136" spans="1:35" ht="15.75" customHeight="1">
      <c r="A136" s="460">
        <v>9</v>
      </c>
      <c r="B136" s="88" t="s">
        <v>525</v>
      </c>
      <c r="C136" s="482" t="s">
        <v>187</v>
      </c>
      <c r="D136" s="163"/>
      <c r="E136" s="114"/>
      <c r="F136" s="114"/>
      <c r="G136" s="114"/>
      <c r="H136" s="88"/>
      <c r="I136" s="79"/>
      <c r="J136" s="79"/>
      <c r="K136" s="79"/>
      <c r="L136" s="79"/>
      <c r="M136" s="79"/>
      <c r="N136" s="79"/>
      <c r="O136" s="79"/>
      <c r="P136" s="79">
        <f t="shared" ref="P136:Y136" si="68">P478</f>
        <v>0</v>
      </c>
      <c r="Q136" s="79">
        <f t="shared" si="68"/>
        <v>0</v>
      </c>
      <c r="R136" s="79"/>
      <c r="S136" s="79">
        <f t="shared" si="26"/>
        <v>0</v>
      </c>
      <c r="T136" s="79">
        <f t="shared" si="27"/>
        <v>0</v>
      </c>
      <c r="U136" s="79">
        <f t="shared" si="68"/>
        <v>0</v>
      </c>
      <c r="V136" s="79">
        <f t="shared" si="68"/>
        <v>0</v>
      </c>
      <c r="W136" s="79">
        <f t="shared" si="68"/>
        <v>0</v>
      </c>
      <c r="X136" s="79">
        <f t="shared" si="68"/>
        <v>0</v>
      </c>
      <c r="Y136" s="79">
        <f t="shared" si="68"/>
        <v>0</v>
      </c>
      <c r="Z136" s="79">
        <f t="shared" ref="Z136:AG136" si="69">Z478</f>
        <v>0</v>
      </c>
      <c r="AA136" s="79">
        <f t="shared" si="69"/>
        <v>0</v>
      </c>
      <c r="AB136" s="79">
        <f t="shared" si="69"/>
        <v>0</v>
      </c>
      <c r="AC136" s="79">
        <f t="shared" si="69"/>
        <v>0</v>
      </c>
      <c r="AD136" s="79">
        <f t="shared" si="69"/>
        <v>0</v>
      </c>
      <c r="AE136" s="79">
        <f t="shared" si="69"/>
        <v>0</v>
      </c>
      <c r="AF136" s="79">
        <f t="shared" si="69"/>
        <v>0</v>
      </c>
      <c r="AG136" s="79">
        <f t="shared" si="69"/>
        <v>0</v>
      </c>
      <c r="AH136" s="79"/>
      <c r="AI136" s="79"/>
    </row>
    <row r="137" spans="1:35" ht="11.25" customHeight="1">
      <c r="A137" s="460">
        <v>4</v>
      </c>
      <c r="B137" s="88"/>
      <c r="C137" s="356" t="s">
        <v>195</v>
      </c>
      <c r="D137" s="163"/>
      <c r="E137" s="114"/>
      <c r="F137" s="114"/>
      <c r="G137" s="114"/>
      <c r="H137" s="88"/>
      <c r="I137" s="144"/>
      <c r="J137" s="82"/>
      <c r="K137" s="149"/>
      <c r="L137" s="82"/>
      <c r="M137" s="79"/>
      <c r="N137" s="79"/>
      <c r="O137" s="79"/>
      <c r="P137" s="100"/>
      <c r="Q137" s="100"/>
      <c r="R137" s="100"/>
      <c r="S137" s="100">
        <f t="shared" si="26"/>
        <v>0</v>
      </c>
      <c r="T137" s="100">
        <f t="shared" si="27"/>
        <v>0</v>
      </c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</row>
    <row r="138" spans="1:35" ht="15.75" customHeight="1">
      <c r="B138" s="88" t="s">
        <v>524</v>
      </c>
      <c r="C138" s="110" t="s">
        <v>188</v>
      </c>
      <c r="D138" s="163"/>
      <c r="E138" s="114"/>
      <c r="F138" s="114"/>
      <c r="G138" s="114"/>
      <c r="H138" s="88"/>
      <c r="I138" s="79"/>
      <c r="J138" s="79"/>
      <c r="K138" s="79"/>
      <c r="L138" s="79"/>
      <c r="M138" s="79"/>
      <c r="N138" s="79"/>
      <c r="O138" s="79"/>
      <c r="P138" s="79">
        <f t="shared" ref="P138:Y138" si="70">P133+P135+P136+P137</f>
        <v>-698333.33333333337</v>
      </c>
      <c r="Q138" s="79">
        <f t="shared" si="70"/>
        <v>45863154.870804146</v>
      </c>
      <c r="R138" s="79"/>
      <c r="S138" s="79">
        <f t="shared" si="70"/>
        <v>24651057.842495427</v>
      </c>
      <c r="T138" s="79">
        <f t="shared" si="70"/>
        <v>24651057.842495427</v>
      </c>
      <c r="U138" s="79">
        <f t="shared" si="70"/>
        <v>26531494.318224467</v>
      </c>
      <c r="V138" s="79">
        <f t="shared" si="70"/>
        <v>37031170.225451812</v>
      </c>
      <c r="W138" s="79">
        <f t="shared" si="70"/>
        <v>40435292.617801398</v>
      </c>
      <c r="X138" s="79">
        <f t="shared" si="70"/>
        <v>44193296.230119057</v>
      </c>
      <c r="Y138" s="79">
        <f t="shared" si="70"/>
        <v>46933293.09127979</v>
      </c>
      <c r="Z138" s="79">
        <f t="shared" ref="Z138:AG138" si="71">Z133+Z135+Z136+Z137</f>
        <v>46926221.511904791</v>
      </c>
      <c r="AA138" s="79">
        <f t="shared" si="71"/>
        <v>46919149.932529792</v>
      </c>
      <c r="AB138" s="79">
        <f t="shared" si="71"/>
        <v>46912078.353154793</v>
      </c>
      <c r="AC138" s="79">
        <f t="shared" si="71"/>
        <v>46905006.773779787</v>
      </c>
      <c r="AD138" s="79">
        <f t="shared" si="71"/>
        <v>46897935.194404788</v>
      </c>
      <c r="AE138" s="79">
        <f t="shared" si="71"/>
        <v>36440632.523197375</v>
      </c>
      <c r="AF138" s="79">
        <f t="shared" si="71"/>
        <v>36433403.273197375</v>
      </c>
      <c r="AG138" s="79">
        <f t="shared" si="71"/>
        <v>28150923.018557891</v>
      </c>
      <c r="AH138" s="79"/>
      <c r="AI138" s="79"/>
    </row>
    <row r="139" spans="1:35" ht="6" customHeight="1">
      <c r="B139" s="88"/>
      <c r="C139" s="110"/>
      <c r="D139" s="163"/>
      <c r="E139" s="114"/>
      <c r="F139" s="114"/>
      <c r="G139" s="114"/>
      <c r="H139" s="88"/>
      <c r="I139" s="144"/>
      <c r="J139" s="144"/>
      <c r="K139" s="149"/>
      <c r="L139" s="144"/>
      <c r="M139" s="100"/>
      <c r="N139" s="100"/>
      <c r="O139" s="100"/>
      <c r="P139" s="100"/>
      <c r="Q139" s="100"/>
      <c r="R139" s="100"/>
      <c r="S139" s="100">
        <f t="shared" si="26"/>
        <v>0</v>
      </c>
      <c r="T139" s="100">
        <f t="shared" si="27"/>
        <v>0</v>
      </c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</row>
    <row r="140" spans="1:35" ht="15.75" customHeight="1">
      <c r="A140" s="460">
        <v>10</v>
      </c>
      <c r="B140" s="88" t="s">
        <v>523</v>
      </c>
      <c r="C140" s="110" t="s">
        <v>189</v>
      </c>
      <c r="D140" s="100"/>
      <c r="E140" s="100"/>
      <c r="F140" s="100"/>
      <c r="G140" s="100"/>
      <c r="H140" s="88"/>
      <c r="I140" s="79"/>
      <c r="J140" s="79"/>
      <c r="K140" s="79"/>
      <c r="L140" s="79"/>
      <c r="M140" s="79"/>
      <c r="N140" s="79"/>
      <c r="O140" s="79"/>
      <c r="P140" s="79">
        <f>IF(P138&gt;0,-20%*P138,0)</f>
        <v>0</v>
      </c>
      <c r="Q140" s="79">
        <f t="shared" ref="Q140:AG140" si="72">IF(Q138&gt;0,-20%*Q138,0)</f>
        <v>-9172630.9741608296</v>
      </c>
      <c r="R140" s="79"/>
      <c r="S140" s="79">
        <f t="shared" ref="S140:S203" si="73">Q140</f>
        <v>-9172630.9741608296</v>
      </c>
      <c r="T140" s="79">
        <f t="shared" ref="T140:T203" si="74">S140</f>
        <v>-9172630.9741608296</v>
      </c>
      <c r="U140" s="79">
        <f t="shared" si="72"/>
        <v>-5306298.8636448942</v>
      </c>
      <c r="V140" s="79">
        <f t="shared" si="72"/>
        <v>-7406234.0450903624</v>
      </c>
      <c r="W140" s="79">
        <f t="shared" si="72"/>
        <v>-8087058.52356028</v>
      </c>
      <c r="X140" s="79">
        <f t="shared" si="72"/>
        <v>-8838659.2460238114</v>
      </c>
      <c r="Y140" s="79">
        <f t="shared" si="72"/>
        <v>-9386658.618255958</v>
      </c>
      <c r="Z140" s="79">
        <f t="shared" si="72"/>
        <v>-9385244.3023809586</v>
      </c>
      <c r="AA140" s="79">
        <f t="shared" si="72"/>
        <v>-9383829.9865059592</v>
      </c>
      <c r="AB140" s="79">
        <f t="shared" si="72"/>
        <v>-9382415.6706309598</v>
      </c>
      <c r="AC140" s="79">
        <f t="shared" si="72"/>
        <v>-9381001.3547559585</v>
      </c>
      <c r="AD140" s="79">
        <f t="shared" si="72"/>
        <v>-9379587.0388809573</v>
      </c>
      <c r="AE140" s="79">
        <f t="shared" si="72"/>
        <v>-7288126.5046394756</v>
      </c>
      <c r="AF140" s="79">
        <f t="shared" si="72"/>
        <v>-7286680.654639475</v>
      </c>
      <c r="AG140" s="79">
        <f t="shared" si="72"/>
        <v>-5630184.603711579</v>
      </c>
      <c r="AH140" s="79"/>
      <c r="AI140" s="79"/>
    </row>
    <row r="141" spans="1:35" ht="4.5" customHeight="1">
      <c r="B141" s="88"/>
      <c r="C141" s="110"/>
      <c r="D141" s="100"/>
      <c r="E141" s="100"/>
      <c r="F141" s="100"/>
      <c r="G141" s="100"/>
      <c r="H141" s="492"/>
      <c r="I141" s="79"/>
      <c r="J141" s="79"/>
      <c r="K141" s="79"/>
      <c r="L141" s="79"/>
      <c r="M141" s="100"/>
      <c r="N141" s="100"/>
      <c r="O141" s="100"/>
      <c r="P141" s="100"/>
      <c r="Q141" s="100"/>
      <c r="R141" s="100"/>
      <c r="S141" s="100">
        <f t="shared" si="73"/>
        <v>0</v>
      </c>
      <c r="T141" s="100">
        <f t="shared" si="74"/>
        <v>0</v>
      </c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</row>
    <row r="142" spans="1:35" ht="15.75" customHeight="1">
      <c r="B142" s="88" t="s">
        <v>524</v>
      </c>
      <c r="C142" s="472" t="s">
        <v>190</v>
      </c>
      <c r="D142" s="497"/>
      <c r="E142" s="497"/>
      <c r="F142" s="497"/>
      <c r="G142" s="497"/>
      <c r="H142" s="498"/>
      <c r="I142" s="150"/>
      <c r="J142" s="150"/>
      <c r="K142" s="150"/>
      <c r="L142" s="150"/>
      <c r="M142" s="150"/>
      <c r="N142" s="150"/>
      <c r="O142" s="150"/>
      <c r="P142" s="150">
        <f t="shared" ref="P142:Y142" si="75">P138+P140</f>
        <v>-698333.33333333337</v>
      </c>
      <c r="Q142" s="150">
        <f t="shared" si="75"/>
        <v>36690523.896643318</v>
      </c>
      <c r="R142" s="150"/>
      <c r="S142" s="150">
        <f t="shared" si="75"/>
        <v>15478426.868334597</v>
      </c>
      <c r="T142" s="150">
        <f t="shared" si="75"/>
        <v>15478426.868334597</v>
      </c>
      <c r="U142" s="150">
        <f t="shared" si="75"/>
        <v>21225195.454579573</v>
      </c>
      <c r="V142" s="150">
        <f t="shared" si="75"/>
        <v>29624936.18036145</v>
      </c>
      <c r="W142" s="150">
        <f t="shared" si="75"/>
        <v>32348234.09424112</v>
      </c>
      <c r="X142" s="150">
        <f t="shared" si="75"/>
        <v>35354636.984095246</v>
      </c>
      <c r="Y142" s="150">
        <f t="shared" si="75"/>
        <v>37546634.473023832</v>
      </c>
      <c r="Z142" s="150">
        <f t="shared" ref="Z142:AG142" si="76">Z138+Z140</f>
        <v>37540977.209523834</v>
      </c>
      <c r="AA142" s="150">
        <f t="shared" si="76"/>
        <v>37535319.946023837</v>
      </c>
      <c r="AB142" s="150">
        <f t="shared" si="76"/>
        <v>37529662.682523832</v>
      </c>
      <c r="AC142" s="150">
        <f t="shared" si="76"/>
        <v>37524005.419023827</v>
      </c>
      <c r="AD142" s="150">
        <f t="shared" si="76"/>
        <v>37518348.155523829</v>
      </c>
      <c r="AE142" s="150">
        <f t="shared" si="76"/>
        <v>29152506.018557899</v>
      </c>
      <c r="AF142" s="150">
        <f t="shared" si="76"/>
        <v>29146722.6185579</v>
      </c>
      <c r="AG142" s="150">
        <f t="shared" si="76"/>
        <v>22520738.414846312</v>
      </c>
      <c r="AH142" s="150"/>
      <c r="AI142" s="150"/>
    </row>
    <row r="143" spans="1:35" ht="15.75" customHeight="1">
      <c r="B143" s="88"/>
      <c r="C143" s="110"/>
      <c r="D143" s="100"/>
      <c r="E143" s="100"/>
      <c r="F143" s="100"/>
      <c r="G143" s="100"/>
      <c r="H143" s="88"/>
      <c r="I143" s="79"/>
      <c r="J143" s="79"/>
      <c r="K143" s="79"/>
      <c r="L143" s="79"/>
      <c r="M143" s="9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</row>
    <row r="144" spans="1:35" ht="15.75" hidden="1" customHeight="1" outlineLevel="1">
      <c r="B144" s="111"/>
      <c r="C144" s="111"/>
      <c r="D144" s="111"/>
      <c r="E144" s="111"/>
      <c r="F144" s="111"/>
      <c r="G144" s="111"/>
      <c r="I144" s="110"/>
      <c r="J144" s="126"/>
      <c r="K144" s="111"/>
      <c r="L144" s="111"/>
      <c r="M144" s="79"/>
      <c r="N144" s="110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</row>
    <row r="145" spans="2:35" ht="15.75" hidden="1" customHeight="1" outlineLevel="1">
      <c r="B145" s="111"/>
      <c r="C145" s="111"/>
      <c r="D145" s="111"/>
      <c r="E145" s="111"/>
      <c r="F145" s="111"/>
      <c r="G145" s="111"/>
      <c r="I145" s="110"/>
      <c r="J145" s="111"/>
      <c r="K145" s="111"/>
      <c r="L145" s="111"/>
      <c r="M145" s="108"/>
      <c r="N145" s="110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  <c r="AA145" s="110"/>
      <c r="AB145" s="110"/>
      <c r="AC145" s="110"/>
      <c r="AD145" s="110"/>
      <c r="AE145" s="110"/>
      <c r="AF145" s="110"/>
      <c r="AG145" s="110"/>
      <c r="AH145" s="110"/>
      <c r="AI145" s="110"/>
    </row>
    <row r="146" spans="2:35" ht="15.75" customHeight="1" collapsed="1">
      <c r="B146" s="111"/>
      <c r="C146" s="111"/>
      <c r="D146" s="111"/>
      <c r="E146" s="111"/>
      <c r="F146" s="111"/>
      <c r="G146" s="111"/>
      <c r="I146" s="110"/>
      <c r="J146" s="111"/>
      <c r="K146" s="111"/>
      <c r="L146" s="111"/>
      <c r="M146" s="108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</row>
    <row r="147" spans="2:35" ht="27" hidden="1" outlineLevel="1">
      <c r="B147" s="76"/>
      <c r="C147" s="499" t="s">
        <v>500</v>
      </c>
      <c r="I147" s="117"/>
      <c r="J147" s="102"/>
      <c r="K147" s="103"/>
      <c r="L147" s="137"/>
      <c r="M147" s="435"/>
      <c r="N147" s="435"/>
      <c r="O147" s="435"/>
      <c r="P147" s="435"/>
      <c r="Q147" s="435"/>
      <c r="R147" s="435"/>
      <c r="S147" s="435"/>
      <c r="T147" s="435"/>
      <c r="U147" s="435"/>
      <c r="V147" s="435"/>
      <c r="W147" s="435"/>
      <c r="X147" s="435"/>
      <c r="Y147" s="435"/>
      <c r="Z147" s="435"/>
      <c r="AA147" s="435"/>
      <c r="AB147" s="435"/>
      <c r="AC147" s="435"/>
      <c r="AD147" s="435"/>
      <c r="AE147" s="435"/>
      <c r="AF147" s="435"/>
      <c r="AG147" s="435"/>
      <c r="AH147" s="435"/>
      <c r="AI147" s="435"/>
    </row>
    <row r="148" spans="2:35" ht="3" hidden="1" customHeight="1" outlineLevel="1">
      <c r="B148" s="76"/>
      <c r="C148" s="104"/>
      <c r="D148" s="104"/>
      <c r="E148" s="104"/>
      <c r="F148" s="104"/>
      <c r="G148" s="104"/>
      <c r="H148" s="465"/>
      <c r="I148" s="104"/>
      <c r="J148" s="104"/>
      <c r="K148" s="104"/>
      <c r="L148" s="104"/>
      <c r="M148" s="104"/>
      <c r="N148" s="420"/>
      <c r="O148" s="420"/>
      <c r="P148" s="420"/>
      <c r="Q148" s="420"/>
      <c r="R148" s="420"/>
      <c r="S148" s="420"/>
      <c r="T148" s="420"/>
      <c r="U148" s="420"/>
      <c r="V148" s="420"/>
      <c r="W148" s="420"/>
      <c r="X148" s="420"/>
      <c r="Y148" s="420"/>
      <c r="Z148" s="420"/>
      <c r="AA148" s="420"/>
      <c r="AB148" s="420"/>
      <c r="AC148" s="420"/>
      <c r="AD148" s="420"/>
      <c r="AE148" s="420"/>
      <c r="AF148" s="420"/>
      <c r="AG148" s="420"/>
      <c r="AH148" s="420"/>
      <c r="AI148" s="420"/>
    </row>
    <row r="149" spans="2:35" ht="15.75" hidden="1" customHeight="1" outlineLevel="1">
      <c r="B149" s="76"/>
      <c r="C149" s="75" t="s">
        <v>1317</v>
      </c>
      <c r="I149" s="117"/>
      <c r="J149" s="102"/>
      <c r="K149" s="103"/>
      <c r="L149" s="137"/>
      <c r="M149" s="435"/>
      <c r="N149" s="435"/>
      <c r="O149" s="435"/>
      <c r="P149" s="435"/>
      <c r="Q149" s="435"/>
      <c r="R149" s="435"/>
      <c r="S149" s="435"/>
      <c r="T149" s="435"/>
      <c r="U149" s="435"/>
      <c r="V149" s="435"/>
      <c r="W149" s="435"/>
      <c r="X149" s="435"/>
      <c r="Y149" s="435"/>
      <c r="Z149" s="435"/>
      <c r="AA149" s="435"/>
      <c r="AB149" s="435"/>
      <c r="AC149" s="435"/>
      <c r="AD149" s="435"/>
      <c r="AE149" s="435"/>
      <c r="AF149" s="435"/>
      <c r="AG149" s="435"/>
      <c r="AH149" s="435"/>
      <c r="AI149" s="435"/>
    </row>
    <row r="150" spans="2:35" ht="15.75" hidden="1" customHeight="1" outlineLevel="1">
      <c r="B150" s="76"/>
      <c r="C150" s="480" t="s">
        <v>433</v>
      </c>
      <c r="I150" s="117"/>
      <c r="J150" s="500"/>
      <c r="K150" s="105"/>
      <c r="L150" s="138"/>
      <c r="M150" s="138"/>
      <c r="N150" s="138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  <c r="AG150" s="138"/>
      <c r="AH150" s="138"/>
      <c r="AI150" s="138"/>
    </row>
    <row r="151" spans="2:35" ht="15.75" hidden="1" customHeight="1" outlineLevel="1">
      <c r="B151" s="76"/>
      <c r="C151" s="501"/>
      <c r="D151" s="106"/>
      <c r="E151" s="106"/>
      <c r="F151" s="106"/>
      <c r="G151" s="106"/>
      <c r="H151" s="502"/>
      <c r="I151" s="92">
        <v>0</v>
      </c>
      <c r="J151" s="92">
        <v>1</v>
      </c>
      <c r="K151" s="92">
        <v>2</v>
      </c>
      <c r="L151" s="92">
        <v>3</v>
      </c>
      <c r="M151" s="92">
        <v>4</v>
      </c>
      <c r="N151" s="92">
        <v>5</v>
      </c>
      <c r="O151" s="92">
        <f t="shared" ref="O151:W151" si="77">O7</f>
        <v>6</v>
      </c>
      <c r="P151" s="92">
        <f t="shared" si="77"/>
        <v>7</v>
      </c>
      <c r="Q151" s="92">
        <f t="shared" si="77"/>
        <v>8</v>
      </c>
      <c r="R151" s="92"/>
      <c r="S151" s="92">
        <f t="shared" si="73"/>
        <v>8</v>
      </c>
      <c r="T151" s="92">
        <f t="shared" si="74"/>
        <v>8</v>
      </c>
      <c r="U151" s="92">
        <f t="shared" si="77"/>
        <v>9</v>
      </c>
      <c r="V151" s="92">
        <f t="shared" si="77"/>
        <v>10</v>
      </c>
      <c r="W151" s="92">
        <f t="shared" si="77"/>
        <v>11</v>
      </c>
      <c r="X151" s="92">
        <f>X7</f>
        <v>12</v>
      </c>
      <c r="Y151" s="92">
        <f>Y7</f>
        <v>13</v>
      </c>
      <c r="Z151" s="92">
        <f t="shared" ref="Z151:AG151" si="78">Z7</f>
        <v>14</v>
      </c>
      <c r="AA151" s="92">
        <f t="shared" si="78"/>
        <v>15</v>
      </c>
      <c r="AB151" s="92">
        <f t="shared" si="78"/>
        <v>16</v>
      </c>
      <c r="AC151" s="92">
        <f t="shared" si="78"/>
        <v>17</v>
      </c>
      <c r="AD151" s="92">
        <f t="shared" si="78"/>
        <v>18</v>
      </c>
      <c r="AE151" s="92">
        <f t="shared" si="78"/>
        <v>19</v>
      </c>
      <c r="AF151" s="92">
        <f t="shared" si="78"/>
        <v>20</v>
      </c>
      <c r="AG151" s="92">
        <f t="shared" si="78"/>
        <v>21</v>
      </c>
      <c r="AH151" s="92"/>
      <c r="AI151" s="92"/>
    </row>
    <row r="152" spans="2:35" ht="15.75" hidden="1" customHeight="1" outlineLevel="1">
      <c r="B152" s="503"/>
      <c r="C152" s="504"/>
      <c r="D152" s="469"/>
      <c r="E152" s="469"/>
      <c r="F152" s="469"/>
      <c r="G152" s="469"/>
      <c r="H152" s="470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  <c r="AC152" s="93"/>
      <c r="AD152" s="93"/>
      <c r="AE152" s="93"/>
      <c r="AF152" s="93"/>
      <c r="AG152" s="93"/>
      <c r="AH152" s="93"/>
      <c r="AI152" s="93"/>
    </row>
    <row r="153" spans="2:35" ht="15.75" hidden="1" customHeight="1" outlineLevel="1">
      <c r="B153" s="463"/>
      <c r="C153" s="505"/>
      <c r="D153" s="472"/>
      <c r="E153" s="506"/>
      <c r="F153" s="506"/>
      <c r="G153" s="506"/>
      <c r="H153" s="473"/>
      <c r="I153" s="94" t="s">
        <v>499</v>
      </c>
      <c r="J153" s="94" t="s">
        <v>499</v>
      </c>
      <c r="K153" s="112" t="s">
        <v>499</v>
      </c>
      <c r="L153" s="112" t="s">
        <v>499</v>
      </c>
      <c r="M153" s="112" t="s">
        <v>499</v>
      </c>
      <c r="N153" s="112" t="s">
        <v>499</v>
      </c>
      <c r="O153" s="112" t="s">
        <v>499</v>
      </c>
      <c r="P153" s="112" t="s">
        <v>499</v>
      </c>
      <c r="Q153" s="112" t="s">
        <v>499</v>
      </c>
      <c r="R153" s="112"/>
      <c r="S153" s="112" t="str">
        <f t="shared" si="73"/>
        <v>($)</v>
      </c>
      <c r="T153" s="112" t="str">
        <f t="shared" si="74"/>
        <v>($)</v>
      </c>
      <c r="U153" s="112" t="s">
        <v>499</v>
      </c>
      <c r="V153" s="112" t="s">
        <v>499</v>
      </c>
      <c r="W153" s="112" t="s">
        <v>499</v>
      </c>
      <c r="X153" s="112" t="s">
        <v>499</v>
      </c>
      <c r="Y153" s="112" t="s">
        <v>499</v>
      </c>
      <c r="Z153" s="112" t="s">
        <v>499</v>
      </c>
      <c r="AA153" s="112" t="s">
        <v>499</v>
      </c>
      <c r="AB153" s="112" t="s">
        <v>499</v>
      </c>
      <c r="AC153" s="112" t="s">
        <v>499</v>
      </c>
      <c r="AD153" s="112" t="s">
        <v>499</v>
      </c>
      <c r="AE153" s="112" t="s">
        <v>499</v>
      </c>
      <c r="AF153" s="112" t="s">
        <v>499</v>
      </c>
      <c r="AG153" s="112" t="s">
        <v>499</v>
      </c>
      <c r="AH153" s="112"/>
      <c r="AI153" s="112"/>
    </row>
    <row r="154" spans="2:35" ht="15.75" hidden="1" customHeight="1" outlineLevel="1">
      <c r="B154" s="463"/>
      <c r="C154" s="110"/>
      <c r="D154" s="110"/>
      <c r="E154" s="114"/>
      <c r="F154" s="110"/>
      <c r="G154" s="110"/>
      <c r="H154" s="88"/>
      <c r="I154" s="110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>
        <f t="shared" si="73"/>
        <v>0</v>
      </c>
      <c r="T154" s="131">
        <f t="shared" si="74"/>
        <v>0</v>
      </c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</row>
    <row r="155" spans="2:35" ht="15.75" hidden="1" customHeight="1" outlineLevel="1">
      <c r="B155" s="463"/>
      <c r="C155" s="110" t="s">
        <v>1318</v>
      </c>
      <c r="D155" s="100"/>
      <c r="E155" s="507"/>
      <c r="F155" s="508"/>
      <c r="G155" s="508"/>
      <c r="H155" s="509"/>
      <c r="I155" s="510"/>
      <c r="J155" s="108"/>
      <c r="K155" s="108"/>
      <c r="L155" s="108"/>
      <c r="M155" s="108"/>
      <c r="N155" s="108"/>
      <c r="O155" s="108"/>
      <c r="P155" s="108"/>
      <c r="Q155" s="108"/>
      <c r="R155" s="108"/>
      <c r="S155" s="108">
        <f t="shared" si="73"/>
        <v>0</v>
      </c>
      <c r="T155" s="108">
        <f t="shared" si="74"/>
        <v>0</v>
      </c>
      <c r="U155" s="108"/>
      <c r="V155" s="108"/>
      <c r="W155" s="108"/>
      <c r="X155" s="108"/>
      <c r="Y155" s="108"/>
      <c r="Z155" s="108"/>
      <c r="AA155" s="108"/>
      <c r="AB155" s="108"/>
      <c r="AC155" s="108"/>
      <c r="AD155" s="108"/>
      <c r="AE155" s="108"/>
      <c r="AF155" s="108"/>
      <c r="AG155" s="108"/>
      <c r="AH155" s="108"/>
      <c r="AI155" s="108"/>
    </row>
    <row r="156" spans="2:35" ht="15.75" hidden="1" customHeight="1" outlineLevel="1">
      <c r="B156" s="111"/>
      <c r="C156" s="482" t="s">
        <v>1319</v>
      </c>
      <c r="D156" s="110"/>
      <c r="E156" s="114"/>
      <c r="F156" s="511"/>
      <c r="G156" s="511"/>
      <c r="H156" s="512"/>
      <c r="I156" s="125"/>
      <c r="J156" s="125"/>
      <c r="K156" s="125"/>
      <c r="L156" s="125"/>
      <c r="M156" s="125"/>
      <c r="N156" s="125"/>
      <c r="O156" s="125"/>
      <c r="P156" s="125"/>
      <c r="Q156" s="125">
        <f t="shared" ref="Q156:Y156" si="79">-Q117/Q112</f>
        <v>0.14416528798504835</v>
      </c>
      <c r="R156" s="125"/>
      <c r="S156" s="125">
        <f t="shared" si="73"/>
        <v>0.14416528798504835</v>
      </c>
      <c r="T156" s="125">
        <f t="shared" si="74"/>
        <v>0.14416528798504835</v>
      </c>
      <c r="U156" s="125">
        <f t="shared" si="79"/>
        <v>0.21221919026351141</v>
      </c>
      <c r="V156" s="125">
        <f t="shared" si="79"/>
        <v>0.17189982811845525</v>
      </c>
      <c r="W156" s="125">
        <f t="shared" si="79"/>
        <v>0.16175207287186916</v>
      </c>
      <c r="X156" s="125">
        <f t="shared" si="79"/>
        <v>0.15109813502881919</v>
      </c>
      <c r="Y156" s="125">
        <f t="shared" si="79"/>
        <v>0.14429409713628433</v>
      </c>
      <c r="Z156" s="125">
        <f t="shared" ref="Z156:AG156" si="80">-Z117/Z112</f>
        <v>0.14440184261348069</v>
      </c>
      <c r="AA156" s="125">
        <f t="shared" si="80"/>
        <v>0.14450958809067704</v>
      </c>
      <c r="AB156" s="125">
        <f t="shared" si="80"/>
        <v>0.14461733356787337</v>
      </c>
      <c r="AC156" s="125">
        <f t="shared" si="80"/>
        <v>0.14472507904506976</v>
      </c>
      <c r="AD156" s="125">
        <f t="shared" si="80"/>
        <v>0.14483282452226612</v>
      </c>
      <c r="AE156" s="125">
        <f t="shared" si="80"/>
        <v>0.18210929201742515</v>
      </c>
      <c r="AF156" s="125">
        <f t="shared" si="80"/>
        <v>0.18224144922890739</v>
      </c>
      <c r="AG156" s="125">
        <f t="shared" si="80"/>
        <v>0.19739721054612255</v>
      </c>
      <c r="AH156" s="125"/>
      <c r="AI156" s="125"/>
    </row>
    <row r="157" spans="2:35" ht="15.75" hidden="1" customHeight="1" outlineLevel="1">
      <c r="B157" s="111"/>
      <c r="C157" s="482" t="s">
        <v>1320</v>
      </c>
      <c r="D157" s="110"/>
      <c r="E157" s="114"/>
      <c r="F157" s="511"/>
      <c r="G157" s="511"/>
      <c r="H157" s="512"/>
      <c r="I157" s="125"/>
      <c r="J157" s="125"/>
      <c r="K157" s="125"/>
      <c r="L157" s="125"/>
      <c r="M157" s="125"/>
      <c r="N157" s="125"/>
      <c r="O157" s="125"/>
      <c r="P157" s="125"/>
      <c r="Q157" s="125">
        <f t="shared" ref="Q157:AG157" si="81">Q121/Q112</f>
        <v>0.85583471201495154</v>
      </c>
      <c r="R157" s="125"/>
      <c r="S157" s="125">
        <f t="shared" si="73"/>
        <v>0.85583471201495154</v>
      </c>
      <c r="T157" s="125">
        <f t="shared" si="74"/>
        <v>0.85583471201495154</v>
      </c>
      <c r="U157" s="125">
        <f t="shared" si="81"/>
        <v>0.78778080973648856</v>
      </c>
      <c r="V157" s="125">
        <f t="shared" si="81"/>
        <v>0.82810017188154472</v>
      </c>
      <c r="W157" s="125">
        <f t="shared" si="81"/>
        <v>0.83824792712813079</v>
      </c>
      <c r="X157" s="125">
        <f t="shared" si="81"/>
        <v>0.84890186497118081</v>
      </c>
      <c r="Y157" s="125">
        <f t="shared" si="81"/>
        <v>0.85570590286371573</v>
      </c>
      <c r="Z157" s="125">
        <f t="shared" si="81"/>
        <v>0.85559815738651934</v>
      </c>
      <c r="AA157" s="125">
        <f t="shared" si="81"/>
        <v>0.85549041190932307</v>
      </c>
      <c r="AB157" s="125">
        <f t="shared" si="81"/>
        <v>0.85538266643212668</v>
      </c>
      <c r="AC157" s="125">
        <f t="shared" si="81"/>
        <v>0.85527492095493018</v>
      </c>
      <c r="AD157" s="125">
        <f t="shared" si="81"/>
        <v>0.85516717547773391</v>
      </c>
      <c r="AE157" s="125">
        <f t="shared" si="81"/>
        <v>0.81789070798257479</v>
      </c>
      <c r="AF157" s="125">
        <f t="shared" si="81"/>
        <v>0.81775855077109261</v>
      </c>
      <c r="AG157" s="125">
        <f t="shared" si="81"/>
        <v>0.80260278945387742</v>
      </c>
      <c r="AH157" s="125"/>
      <c r="AI157" s="125"/>
    </row>
    <row r="158" spans="2:35" ht="15.75" hidden="1" customHeight="1" outlineLevel="1">
      <c r="B158" s="463"/>
      <c r="C158" s="482"/>
      <c r="D158" s="100"/>
      <c r="E158" s="507"/>
      <c r="F158" s="508"/>
      <c r="G158" s="508"/>
      <c r="H158" s="509"/>
      <c r="I158" s="110"/>
      <c r="J158" s="108"/>
      <c r="K158" s="108"/>
      <c r="L158" s="108"/>
      <c r="M158" s="108"/>
      <c r="N158" s="108"/>
      <c r="O158" s="108"/>
      <c r="P158" s="108"/>
      <c r="Q158" s="108"/>
      <c r="R158" s="108"/>
      <c r="S158" s="108">
        <f t="shared" si="73"/>
        <v>0</v>
      </c>
      <c r="T158" s="108">
        <f t="shared" si="74"/>
        <v>0</v>
      </c>
      <c r="U158" s="108"/>
      <c r="V158" s="108"/>
      <c r="W158" s="108"/>
      <c r="X158" s="108"/>
      <c r="Y158" s="108"/>
      <c r="Z158" s="108"/>
      <c r="AA158" s="108"/>
      <c r="AB158" s="108"/>
      <c r="AC158" s="108"/>
      <c r="AD158" s="108"/>
      <c r="AE158" s="108"/>
      <c r="AF158" s="108"/>
      <c r="AG158" s="108"/>
      <c r="AH158" s="108"/>
      <c r="AI158" s="108"/>
    </row>
    <row r="159" spans="2:35" ht="15.75" hidden="1" customHeight="1" outlineLevel="1">
      <c r="B159" s="463"/>
      <c r="C159" s="482" t="s">
        <v>1321</v>
      </c>
      <c r="D159" s="110"/>
      <c r="E159" s="513"/>
      <c r="F159" s="80"/>
      <c r="G159" s="80"/>
      <c r="H159" s="512"/>
      <c r="I159" s="125"/>
      <c r="J159" s="125"/>
      <c r="K159" s="125"/>
      <c r="L159" s="125"/>
      <c r="M159" s="125"/>
      <c r="N159" s="125"/>
      <c r="O159" s="125"/>
      <c r="P159" s="125"/>
      <c r="Q159" s="125">
        <f t="shared" ref="Q159:AG159" si="82">-Q123/Q112</f>
        <v>0.12102598918629263</v>
      </c>
      <c r="R159" s="125"/>
      <c r="S159" s="125">
        <f t="shared" si="73"/>
        <v>0.12102598918629263</v>
      </c>
      <c r="T159" s="125">
        <f t="shared" si="74"/>
        <v>0.12102598918629263</v>
      </c>
      <c r="U159" s="125">
        <f t="shared" si="82"/>
        <v>0.13799997065189618</v>
      </c>
      <c r="V159" s="125">
        <f t="shared" si="82"/>
        <v>0.12789841810840469</v>
      </c>
      <c r="W159" s="125">
        <f t="shared" si="82"/>
        <v>0.12533581094330343</v>
      </c>
      <c r="X159" s="125">
        <f t="shared" si="82"/>
        <v>0.12265090219350018</v>
      </c>
      <c r="Y159" s="125">
        <f t="shared" si="82"/>
        <v>0.12092861171263637</v>
      </c>
      <c r="Z159" s="125">
        <f t="shared" si="82"/>
        <v>0.12092861171263637</v>
      </c>
      <c r="AA159" s="125">
        <f t="shared" si="82"/>
        <v>0.12092861171263637</v>
      </c>
      <c r="AB159" s="125">
        <f t="shared" si="82"/>
        <v>0.12092861171263637</v>
      </c>
      <c r="AC159" s="125">
        <f t="shared" si="82"/>
        <v>0.12092861171263637</v>
      </c>
      <c r="AD159" s="125">
        <f t="shared" si="82"/>
        <v>0.12092861171263637</v>
      </c>
      <c r="AE159" s="125">
        <f t="shared" si="82"/>
        <v>0.12810775745519157</v>
      </c>
      <c r="AF159" s="125">
        <f t="shared" si="82"/>
        <v>0.12810775745519157</v>
      </c>
      <c r="AG159" s="125">
        <f t="shared" si="82"/>
        <v>0.12980331112465615</v>
      </c>
      <c r="AH159" s="125"/>
      <c r="AI159" s="125"/>
    </row>
    <row r="160" spans="2:35" ht="15.75" hidden="1" customHeight="1" outlineLevel="1">
      <c r="B160" s="111"/>
      <c r="C160" s="482"/>
      <c r="D160" s="110"/>
      <c r="E160" s="114"/>
      <c r="F160" s="511"/>
      <c r="G160" s="511"/>
      <c r="H160" s="512"/>
      <c r="I160" s="108"/>
      <c r="J160" s="125"/>
      <c r="K160" s="108"/>
      <c r="L160" s="108"/>
      <c r="M160" s="108"/>
      <c r="N160" s="108"/>
      <c r="O160" s="108"/>
      <c r="P160" s="108"/>
      <c r="Q160" s="108"/>
      <c r="R160" s="108"/>
      <c r="S160" s="108">
        <f t="shared" si="73"/>
        <v>0</v>
      </c>
      <c r="T160" s="108">
        <f t="shared" si="74"/>
        <v>0</v>
      </c>
      <c r="U160" s="108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</row>
    <row r="161" spans="2:35" ht="15.75" hidden="1" customHeight="1" outlineLevel="1">
      <c r="B161" s="111"/>
      <c r="C161" s="482" t="s">
        <v>1322</v>
      </c>
      <c r="D161" s="110"/>
      <c r="E161" s="114"/>
      <c r="F161" s="110"/>
      <c r="G161" s="110"/>
      <c r="H161" s="512"/>
      <c r="I161" s="125"/>
      <c r="J161" s="125"/>
      <c r="K161" s="125"/>
      <c r="L161" s="125"/>
      <c r="M161" s="125"/>
      <c r="N161" s="125"/>
      <c r="O161" s="125"/>
      <c r="P161" s="125"/>
      <c r="Q161" s="125">
        <f t="shared" ref="Q161:AG161" si="83">Q129/Q112</f>
        <v>0.73480872282865894</v>
      </c>
      <c r="R161" s="125"/>
      <c r="S161" s="125">
        <f t="shared" si="73"/>
        <v>0.73480872282865894</v>
      </c>
      <c r="T161" s="125">
        <f t="shared" si="74"/>
        <v>0.73480872282865894</v>
      </c>
      <c r="U161" s="125">
        <f t="shared" si="83"/>
        <v>0.64978083908459239</v>
      </c>
      <c r="V161" s="125">
        <f t="shared" si="83"/>
        <v>0.70020175377313998</v>
      </c>
      <c r="W161" s="125">
        <f t="shared" si="83"/>
        <v>0.71291211618482742</v>
      </c>
      <c r="X161" s="125">
        <f t="shared" si="83"/>
        <v>0.72625096277768064</v>
      </c>
      <c r="Y161" s="125">
        <f t="shared" si="83"/>
        <v>0.73477729115107937</v>
      </c>
      <c r="Z161" s="125">
        <f t="shared" si="83"/>
        <v>0.73466954567388298</v>
      </c>
      <c r="AA161" s="125">
        <f t="shared" si="83"/>
        <v>0.7345618001966866</v>
      </c>
      <c r="AB161" s="125">
        <f t="shared" si="83"/>
        <v>0.73445405471949032</v>
      </c>
      <c r="AC161" s="125">
        <f t="shared" si="83"/>
        <v>0.73434630924229383</v>
      </c>
      <c r="AD161" s="125">
        <f t="shared" si="83"/>
        <v>0.73423856376509755</v>
      </c>
      <c r="AE161" s="125">
        <f t="shared" si="83"/>
        <v>0.68978295052738325</v>
      </c>
      <c r="AF161" s="125">
        <f t="shared" si="83"/>
        <v>0.68965079331590107</v>
      </c>
      <c r="AG161" s="125">
        <f t="shared" si="83"/>
        <v>0.67279947832922127</v>
      </c>
      <c r="AH161" s="125"/>
      <c r="AI161" s="125"/>
    </row>
    <row r="162" spans="2:35" ht="15.75" hidden="1" customHeight="1" outlineLevel="1">
      <c r="B162" s="463"/>
      <c r="C162" s="482" t="s">
        <v>1323</v>
      </c>
      <c r="D162" s="100"/>
      <c r="E162" s="507"/>
      <c r="F162" s="508"/>
      <c r="G162" s="508"/>
      <c r="H162" s="512"/>
      <c r="I162" s="125"/>
      <c r="J162" s="125"/>
      <c r="K162" s="125"/>
      <c r="L162" s="125"/>
      <c r="M162" s="125"/>
      <c r="N162" s="125"/>
      <c r="O162" s="125"/>
      <c r="P162" s="125"/>
      <c r="Q162" s="125">
        <f t="shared" ref="Q162:AG162" si="84">Q133/Q112</f>
        <v>0.71952886700817487</v>
      </c>
      <c r="R162" s="125"/>
      <c r="S162" s="125">
        <f t="shared" si="73"/>
        <v>0.71952886700817487</v>
      </c>
      <c r="T162" s="125">
        <f t="shared" si="74"/>
        <v>0.71952886700817487</v>
      </c>
      <c r="U162" s="125">
        <f t="shared" si="84"/>
        <v>0.62553893475936662</v>
      </c>
      <c r="V162" s="125">
        <f t="shared" si="84"/>
        <v>0.67884912329982749</v>
      </c>
      <c r="W162" s="125">
        <f t="shared" si="84"/>
        <v>0.6916614570708931</v>
      </c>
      <c r="X162" s="125">
        <f t="shared" si="84"/>
        <v>0.70562502515115899</v>
      </c>
      <c r="Y162" s="125">
        <f t="shared" si="84"/>
        <v>0.71509485962835517</v>
      </c>
      <c r="Z162" s="125">
        <f t="shared" si="84"/>
        <v>0.71498711415115879</v>
      </c>
      <c r="AA162" s="125">
        <f t="shared" si="84"/>
        <v>0.71487936867396251</v>
      </c>
      <c r="AB162" s="125">
        <f t="shared" si="84"/>
        <v>0.71477162319676613</v>
      </c>
      <c r="AC162" s="125">
        <f t="shared" si="84"/>
        <v>0.71466387771956963</v>
      </c>
      <c r="AD162" s="125">
        <f t="shared" si="84"/>
        <v>0.71455613224237335</v>
      </c>
      <c r="AE162" s="125">
        <f t="shared" si="84"/>
        <v>0.66616763549667191</v>
      </c>
      <c r="AF162" s="125">
        <f t="shared" si="84"/>
        <v>0.66603547828518972</v>
      </c>
      <c r="AG162" s="125">
        <f t="shared" si="84"/>
        <v>0.64328033454083211</v>
      </c>
      <c r="AH162" s="125"/>
      <c r="AI162" s="125"/>
    </row>
    <row r="163" spans="2:35" ht="15.75" hidden="1" customHeight="1" outlineLevel="1">
      <c r="B163" s="463"/>
      <c r="C163" s="482" t="s">
        <v>1324</v>
      </c>
      <c r="D163" s="110"/>
      <c r="E163" s="507"/>
      <c r="F163" s="511"/>
      <c r="G163" s="511"/>
      <c r="H163" s="512"/>
      <c r="I163" s="125"/>
      <c r="J163" s="125"/>
      <c r="K163" s="125"/>
      <c r="L163" s="125"/>
      <c r="M163" s="125"/>
      <c r="N163" s="125"/>
      <c r="O163" s="125"/>
      <c r="P163" s="125"/>
      <c r="Q163" s="125">
        <f t="shared" ref="Q163:AG163" si="85">Q142/Q112</f>
        <v>0.56062591511873483</v>
      </c>
      <c r="R163" s="125"/>
      <c r="S163" s="125">
        <f t="shared" si="73"/>
        <v>0.56062591511873483</v>
      </c>
      <c r="T163" s="125">
        <f t="shared" si="74"/>
        <v>0.56062591511873483</v>
      </c>
      <c r="U163" s="125">
        <f t="shared" si="85"/>
        <v>0.47705617251111676</v>
      </c>
      <c r="V163" s="125">
        <f t="shared" si="85"/>
        <v>0.53894058983586002</v>
      </c>
      <c r="W163" s="125">
        <f t="shared" si="85"/>
        <v>0.55332916565671442</v>
      </c>
      <c r="X163" s="125">
        <f t="shared" si="85"/>
        <v>0.56450002012092726</v>
      </c>
      <c r="Y163" s="125">
        <f t="shared" si="85"/>
        <v>0.57207588770268414</v>
      </c>
      <c r="Z163" s="125">
        <f t="shared" si="85"/>
        <v>0.57198969132092703</v>
      </c>
      <c r="AA163" s="125">
        <f t="shared" si="85"/>
        <v>0.57190349493917003</v>
      </c>
      <c r="AB163" s="125">
        <f t="shared" si="85"/>
        <v>0.57181729855741281</v>
      </c>
      <c r="AC163" s="125">
        <f t="shared" si="85"/>
        <v>0.5717311021756557</v>
      </c>
      <c r="AD163" s="125">
        <f t="shared" si="85"/>
        <v>0.57164490579389859</v>
      </c>
      <c r="AE163" s="125">
        <f t="shared" si="85"/>
        <v>0.53293410839733757</v>
      </c>
      <c r="AF163" s="125">
        <f t="shared" si="85"/>
        <v>0.5328283826281518</v>
      </c>
      <c r="AG163" s="125">
        <f t="shared" si="85"/>
        <v>0.51462426763266567</v>
      </c>
      <c r="AH163" s="125"/>
      <c r="AI163" s="125"/>
    </row>
    <row r="164" spans="2:35" ht="15.75" hidden="1" customHeight="1" outlineLevel="1">
      <c r="B164" s="463"/>
      <c r="C164" s="110"/>
      <c r="D164" s="110"/>
      <c r="E164" s="114"/>
      <c r="F164" s="511"/>
      <c r="G164" s="511"/>
      <c r="H164" s="512"/>
      <c r="I164" s="108"/>
      <c r="J164" s="108"/>
      <c r="K164" s="108"/>
      <c r="L164" s="108"/>
      <c r="M164" s="100"/>
      <c r="N164" s="100"/>
      <c r="O164" s="100"/>
      <c r="P164" s="100"/>
      <c r="Q164" s="100"/>
      <c r="R164" s="100"/>
      <c r="S164" s="100">
        <f t="shared" si="73"/>
        <v>0</v>
      </c>
      <c r="T164" s="100">
        <f t="shared" si="74"/>
        <v>0</v>
      </c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</row>
    <row r="165" spans="2:35" ht="15.75" hidden="1" customHeight="1" outlineLevel="1">
      <c r="B165" s="463"/>
      <c r="C165" s="110" t="s">
        <v>1325</v>
      </c>
      <c r="D165" s="100"/>
      <c r="E165" s="507"/>
      <c r="F165" s="508"/>
      <c r="G165" s="508"/>
      <c r="H165" s="509"/>
      <c r="I165" s="84"/>
      <c r="J165" s="563"/>
      <c r="K165" s="563"/>
      <c r="L165" s="563"/>
      <c r="M165" s="100"/>
      <c r="N165" s="100"/>
      <c r="O165" s="100"/>
      <c r="P165" s="100"/>
      <c r="Q165" s="100"/>
      <c r="R165" s="100"/>
      <c r="S165" s="100">
        <f t="shared" si="73"/>
        <v>0</v>
      </c>
      <c r="T165" s="100">
        <f t="shared" si="74"/>
        <v>0</v>
      </c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</row>
    <row r="166" spans="2:35" ht="15.75" hidden="1" customHeight="1" outlineLevel="1">
      <c r="B166" s="463"/>
      <c r="C166" s="482" t="s">
        <v>1326</v>
      </c>
      <c r="D166" s="110"/>
      <c r="E166" s="513"/>
      <c r="F166" s="80"/>
      <c r="G166" s="80"/>
      <c r="H166" s="512"/>
      <c r="I166" s="125"/>
      <c r="J166" s="125"/>
      <c r="K166" s="125"/>
      <c r="L166" s="125"/>
      <c r="M166" s="436"/>
      <c r="N166" s="436"/>
      <c r="O166" s="436"/>
      <c r="P166" s="436"/>
      <c r="Q166" s="436"/>
      <c r="R166" s="436"/>
      <c r="S166" s="436">
        <f t="shared" si="73"/>
        <v>0</v>
      </c>
      <c r="T166" s="436">
        <f t="shared" si="74"/>
        <v>0</v>
      </c>
      <c r="U166" s="436">
        <f>U112/Q112-1</f>
        <v>-0.3201682632038223</v>
      </c>
      <c r="V166" s="436">
        <f>V112/U112-1</f>
        <v>0.23547610818573261</v>
      </c>
      <c r="W166" s="436">
        <f>W112/V112-1</f>
        <v>6.3531812183057479E-2</v>
      </c>
      <c r="X166" s="436">
        <f>X112/W112-1</f>
        <v>7.1310608601212966E-2</v>
      </c>
      <c r="Y166" s="436">
        <f>Y112/X112-1</f>
        <v>4.7936460630291222E-2</v>
      </c>
      <c r="Z166" s="436">
        <f t="shared" ref="Z166:AG166" si="86">Z112/Y112-1</f>
        <v>0</v>
      </c>
      <c r="AA166" s="436">
        <f t="shared" si="86"/>
        <v>0</v>
      </c>
      <c r="AB166" s="436">
        <f t="shared" si="86"/>
        <v>0</v>
      </c>
      <c r="AC166" s="436">
        <f t="shared" si="86"/>
        <v>0</v>
      </c>
      <c r="AD166" s="436">
        <f t="shared" si="86"/>
        <v>0</v>
      </c>
      <c r="AE166" s="436">
        <f t="shared" si="86"/>
        <v>-0.16653953177725833</v>
      </c>
      <c r="AF166" s="436">
        <f t="shared" si="86"/>
        <v>0</v>
      </c>
      <c r="AG166" s="436">
        <f t="shared" si="86"/>
        <v>-0.20000000000000018</v>
      </c>
      <c r="AH166" s="436"/>
      <c r="AI166" s="436"/>
    </row>
    <row r="167" spans="2:35" ht="15.75" hidden="1" customHeight="1" outlineLevel="1">
      <c r="B167" s="76"/>
      <c r="C167" s="482" t="s">
        <v>1327</v>
      </c>
      <c r="D167" s="110"/>
      <c r="E167" s="114"/>
      <c r="F167" s="80"/>
      <c r="G167" s="80"/>
      <c r="H167" s="512"/>
      <c r="I167" s="125"/>
      <c r="J167" s="125"/>
      <c r="K167" s="125"/>
      <c r="L167" s="125"/>
      <c r="M167" s="436"/>
      <c r="N167" s="436"/>
      <c r="O167" s="436"/>
      <c r="P167" s="436"/>
      <c r="Q167" s="436"/>
      <c r="R167" s="436"/>
      <c r="S167" s="436">
        <f t="shared" si="73"/>
        <v>0</v>
      </c>
      <c r="T167" s="436">
        <f t="shared" si="74"/>
        <v>0</v>
      </c>
      <c r="U167" s="436">
        <f>U129/Q129-1</f>
        <v>-0.39883452298815403</v>
      </c>
      <c r="V167" s="436">
        <f>V129/U129-1</f>
        <v>0.33134510231971004</v>
      </c>
      <c r="W167" s="436">
        <f>W129/V129-1</f>
        <v>8.2837497574963725E-2</v>
      </c>
      <c r="X167" s="436">
        <f>X129/W129-1</f>
        <v>9.1355222147552428E-2</v>
      </c>
      <c r="Y167" s="436">
        <f>Y129/X129-1</f>
        <v>6.0239439677117312E-2</v>
      </c>
      <c r="Z167" s="436">
        <f t="shared" ref="Z167:AG167" si="87">Z129/Y129-1</f>
        <v>-1.4663691773542098E-4</v>
      </c>
      <c r="AA167" s="436">
        <f t="shared" si="87"/>
        <v>-1.4665842327454826E-4</v>
      </c>
      <c r="AB167" s="436">
        <f t="shared" si="87"/>
        <v>-1.4667993512251787E-4</v>
      </c>
      <c r="AC167" s="436">
        <f t="shared" si="87"/>
        <v>-1.4670145328232742E-4</v>
      </c>
      <c r="AD167" s="436">
        <f t="shared" si="87"/>
        <v>-1.4672297775619736E-4</v>
      </c>
      <c r="AE167" s="436">
        <f t="shared" si="87"/>
        <v>-0.21700268919333809</v>
      </c>
      <c r="AF167" s="436">
        <f t="shared" si="87"/>
        <v>-1.915924587309048E-4</v>
      </c>
      <c r="AG167" s="436">
        <f t="shared" si="87"/>
        <v>-0.21954764950610128</v>
      </c>
      <c r="AH167" s="436"/>
      <c r="AI167" s="436"/>
    </row>
    <row r="168" spans="2:35" ht="15.75" hidden="1" customHeight="1" outlineLevel="1">
      <c r="B168" s="463"/>
      <c r="C168" s="482" t="s">
        <v>1328</v>
      </c>
      <c r="D168" s="110"/>
      <c r="E168" s="513"/>
      <c r="F168" s="80"/>
      <c r="G168" s="80"/>
      <c r="H168" s="512"/>
      <c r="I168" s="125"/>
      <c r="J168" s="125"/>
      <c r="K168" s="125"/>
      <c r="L168" s="125"/>
      <c r="M168" s="436"/>
      <c r="N168" s="436"/>
      <c r="O168" s="436"/>
      <c r="P168" s="436"/>
      <c r="Q168" s="436"/>
      <c r="R168" s="436"/>
      <c r="S168" s="436">
        <f t="shared" si="73"/>
        <v>0</v>
      </c>
      <c r="T168" s="436">
        <f t="shared" si="74"/>
        <v>0</v>
      </c>
      <c r="U168" s="436">
        <f>U133/Q133-1</f>
        <v>-0.4089726764968562</v>
      </c>
      <c r="V168" s="436">
        <f>V133/U133-1</f>
        <v>0.34076685925617189</v>
      </c>
      <c r="W168" s="436">
        <f>W133/V133-1</f>
        <v>8.3604497093658914E-2</v>
      </c>
      <c r="X168" s="436">
        <f>X133/W133-1</f>
        <v>9.2938702035340715E-2</v>
      </c>
      <c r="Y168" s="436">
        <f>Y133/X133-1</f>
        <v>6.2000282732776579E-2</v>
      </c>
      <c r="Z168" s="436">
        <f t="shared" ref="Z168:AG168" si="88">Z133/Y133-1</f>
        <v>-1.506729851930011E-4</v>
      </c>
      <c r="AA168" s="436">
        <f t="shared" si="88"/>
        <v>-1.5069569096259894E-4</v>
      </c>
      <c r="AB168" s="436">
        <f t="shared" si="88"/>
        <v>-1.5071840357649968E-4</v>
      </c>
      <c r="AC168" s="436">
        <f t="shared" si="88"/>
        <v>-1.5074112303814502E-4</v>
      </c>
      <c r="AD168" s="436">
        <f t="shared" si="88"/>
        <v>-1.5076384934986642E-4</v>
      </c>
      <c r="AE168" s="436">
        <f t="shared" si="88"/>
        <v>-0.22298002306197551</v>
      </c>
      <c r="AF168" s="436">
        <f t="shared" si="88"/>
        <v>-1.9838431716023841E-4</v>
      </c>
      <c r="AG168" s="436">
        <f t="shared" si="88"/>
        <v>-0.22733205000183387</v>
      </c>
      <c r="AH168" s="436"/>
      <c r="AI168" s="436"/>
    </row>
    <row r="169" spans="2:35" ht="15.75" hidden="1" customHeight="1" outlineLevel="1">
      <c r="B169" s="111"/>
      <c r="C169" s="482" t="s">
        <v>1329</v>
      </c>
      <c r="D169" s="110"/>
      <c r="E169" s="513"/>
      <c r="F169" s="80"/>
      <c r="G169" s="80"/>
      <c r="H169" s="512"/>
      <c r="I169" s="125"/>
      <c r="J169" s="125"/>
      <c r="K169" s="125"/>
      <c r="L169" s="125"/>
      <c r="M169" s="436"/>
      <c r="N169" s="436"/>
      <c r="O169" s="436"/>
      <c r="P169" s="436"/>
      <c r="Q169" s="436"/>
      <c r="R169" s="436"/>
      <c r="S169" s="436">
        <f t="shared" si="73"/>
        <v>0</v>
      </c>
      <c r="T169" s="436">
        <f t="shared" si="74"/>
        <v>0</v>
      </c>
      <c r="U169" s="436">
        <f>U142/Q142-1</f>
        <v>-0.42150743024627702</v>
      </c>
      <c r="V169" s="436">
        <f>V142/U142-1</f>
        <v>0.39574385751861429</v>
      </c>
      <c r="W169" s="436">
        <f>W142/V142-1</f>
        <v>9.1925866010302615E-2</v>
      </c>
      <c r="X169" s="436">
        <f>X142/W142-1</f>
        <v>9.2938702035340715E-2</v>
      </c>
      <c r="Y169" s="436">
        <f>Y142/X142-1</f>
        <v>6.2000282732776579E-2</v>
      </c>
      <c r="Z169" s="436">
        <f t="shared" ref="Z169:AG169" si="89">Z142/Y142-1</f>
        <v>-1.5067298519289007E-4</v>
      </c>
      <c r="AA169" s="436">
        <f t="shared" si="89"/>
        <v>-1.5069569096248792E-4</v>
      </c>
      <c r="AB169" s="436">
        <f t="shared" si="89"/>
        <v>-1.5071840357672173E-4</v>
      </c>
      <c r="AC169" s="436">
        <f t="shared" si="89"/>
        <v>-1.5074112303814502E-4</v>
      </c>
      <c r="AD169" s="436">
        <f t="shared" si="89"/>
        <v>-1.5076384934986642E-4</v>
      </c>
      <c r="AE169" s="436">
        <f t="shared" si="89"/>
        <v>-0.22298002306197551</v>
      </c>
      <c r="AF169" s="436">
        <f t="shared" si="89"/>
        <v>-1.9838431716012739E-4</v>
      </c>
      <c r="AG169" s="436">
        <f t="shared" si="89"/>
        <v>-0.22733205000183387</v>
      </c>
      <c r="AH169" s="436"/>
      <c r="AI169" s="436"/>
    </row>
    <row r="170" spans="2:35" ht="15.75" hidden="1" customHeight="1" outlineLevel="1">
      <c r="B170" s="463"/>
      <c r="C170" s="483"/>
      <c r="D170" s="110"/>
      <c r="E170" s="513"/>
      <c r="F170" s="80"/>
      <c r="G170" s="80"/>
      <c r="H170" s="514"/>
      <c r="I170" s="108"/>
      <c r="J170" s="80"/>
      <c r="K170" s="80"/>
      <c r="L170" s="80"/>
      <c r="M170" s="100"/>
      <c r="N170" s="100"/>
      <c r="O170" s="100"/>
      <c r="P170" s="100"/>
      <c r="Q170" s="100"/>
      <c r="R170" s="100"/>
      <c r="S170" s="100">
        <f t="shared" si="73"/>
        <v>0</v>
      </c>
      <c r="T170" s="100">
        <f t="shared" si="74"/>
        <v>0</v>
      </c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</row>
    <row r="171" spans="2:35" ht="15.75" hidden="1" customHeight="1" outlineLevel="1">
      <c r="B171" s="463"/>
      <c r="C171" s="483" t="s">
        <v>1330</v>
      </c>
      <c r="D171" s="110"/>
      <c r="E171" s="114"/>
      <c r="F171" s="110"/>
      <c r="G171" s="110"/>
      <c r="H171" s="512"/>
      <c r="I171" s="83"/>
      <c r="J171" s="83"/>
      <c r="K171" s="83"/>
      <c r="L171" s="83"/>
      <c r="M171" s="83"/>
      <c r="N171" s="83"/>
      <c r="O171" s="83"/>
      <c r="P171" s="83"/>
      <c r="Q171" s="83">
        <f>P171</f>
        <v>0</v>
      </c>
      <c r="R171" s="83"/>
      <c r="S171" s="83">
        <f t="shared" si="73"/>
        <v>0</v>
      </c>
      <c r="T171" s="83">
        <f t="shared" si="74"/>
        <v>0</v>
      </c>
      <c r="U171" s="83">
        <f>Q171</f>
        <v>0</v>
      </c>
      <c r="V171" s="83">
        <f t="shared" ref="V171:Y172" si="90">U171</f>
        <v>0</v>
      </c>
      <c r="W171" s="83">
        <f t="shared" si="90"/>
        <v>0</v>
      </c>
      <c r="X171" s="83">
        <f t="shared" si="90"/>
        <v>0</v>
      </c>
      <c r="Y171" s="83">
        <f t="shared" si="90"/>
        <v>0</v>
      </c>
      <c r="Z171" s="83">
        <f t="shared" ref="Z171:AG171" si="91">Y171</f>
        <v>0</v>
      </c>
      <c r="AA171" s="83">
        <f t="shared" si="91"/>
        <v>0</v>
      </c>
      <c r="AB171" s="83">
        <f t="shared" si="91"/>
        <v>0</v>
      </c>
      <c r="AC171" s="83">
        <f t="shared" si="91"/>
        <v>0</v>
      </c>
      <c r="AD171" s="83">
        <f t="shared" si="91"/>
        <v>0</v>
      </c>
      <c r="AE171" s="83">
        <f t="shared" si="91"/>
        <v>0</v>
      </c>
      <c r="AF171" s="83">
        <f t="shared" si="91"/>
        <v>0</v>
      </c>
      <c r="AG171" s="83">
        <f t="shared" si="91"/>
        <v>0</v>
      </c>
      <c r="AH171" s="83"/>
      <c r="AI171" s="83"/>
    </row>
    <row r="172" spans="2:35" ht="15.75" hidden="1" customHeight="1" outlineLevel="1">
      <c r="B172" s="463"/>
      <c r="C172" s="483" t="s">
        <v>1331</v>
      </c>
      <c r="D172" s="110"/>
      <c r="E172" s="513"/>
      <c r="F172" s="80"/>
      <c r="G172" s="80"/>
      <c r="H172" s="512"/>
      <c r="I172" s="83"/>
      <c r="J172" s="83"/>
      <c r="K172" s="83"/>
      <c r="L172" s="83"/>
      <c r="M172" s="83"/>
      <c r="N172" s="83"/>
      <c r="O172" s="83"/>
      <c r="P172" s="83"/>
      <c r="Q172" s="83">
        <f>P172</f>
        <v>0</v>
      </c>
      <c r="R172" s="83"/>
      <c r="S172" s="83">
        <f t="shared" si="73"/>
        <v>0</v>
      </c>
      <c r="T172" s="83">
        <f t="shared" si="74"/>
        <v>0</v>
      </c>
      <c r="U172" s="83">
        <f>Q172</f>
        <v>0</v>
      </c>
      <c r="V172" s="83">
        <f t="shared" si="90"/>
        <v>0</v>
      </c>
      <c r="W172" s="83">
        <f t="shared" si="90"/>
        <v>0</v>
      </c>
      <c r="X172" s="83">
        <f t="shared" si="90"/>
        <v>0</v>
      </c>
      <c r="Y172" s="83">
        <f t="shared" si="90"/>
        <v>0</v>
      </c>
      <c r="Z172" s="83">
        <f t="shared" ref="Z172:AG172" si="92">Y172</f>
        <v>0</v>
      </c>
      <c r="AA172" s="83">
        <f t="shared" si="92"/>
        <v>0</v>
      </c>
      <c r="AB172" s="83">
        <f t="shared" si="92"/>
        <v>0</v>
      </c>
      <c r="AC172" s="83">
        <f t="shared" si="92"/>
        <v>0</v>
      </c>
      <c r="AD172" s="83">
        <f t="shared" si="92"/>
        <v>0</v>
      </c>
      <c r="AE172" s="83">
        <f t="shared" si="92"/>
        <v>0</v>
      </c>
      <c r="AF172" s="83">
        <f t="shared" si="92"/>
        <v>0</v>
      </c>
      <c r="AG172" s="83">
        <f t="shared" si="92"/>
        <v>0</v>
      </c>
      <c r="AH172" s="83"/>
      <c r="AI172" s="83"/>
    </row>
    <row r="173" spans="2:35" ht="15.75" hidden="1" customHeight="1" outlineLevel="1">
      <c r="B173" s="88"/>
      <c r="C173" s="110"/>
      <c r="D173" s="110"/>
      <c r="E173" s="114"/>
      <c r="F173" s="80"/>
      <c r="G173" s="80"/>
      <c r="H173" s="514"/>
      <c r="I173" s="108"/>
      <c r="J173" s="108"/>
      <c r="K173" s="108"/>
      <c r="L173" s="108"/>
      <c r="M173" s="100"/>
      <c r="N173" s="100"/>
      <c r="O173" s="100"/>
      <c r="P173" s="100"/>
      <c r="Q173" s="100"/>
      <c r="R173" s="100"/>
      <c r="S173" s="100">
        <f t="shared" si="73"/>
        <v>0</v>
      </c>
      <c r="T173" s="100">
        <f t="shared" si="74"/>
        <v>0</v>
      </c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</row>
    <row r="174" spans="2:35" ht="15.75" hidden="1" customHeight="1" outlineLevel="2">
      <c r="B174" s="88"/>
      <c r="C174" s="110"/>
      <c r="D174" s="110"/>
      <c r="E174" s="114"/>
      <c r="F174" s="110"/>
      <c r="G174" s="110"/>
      <c r="H174" s="88"/>
      <c r="I174" s="108"/>
      <c r="J174" s="108"/>
      <c r="K174" s="108"/>
      <c r="L174" s="108"/>
      <c r="M174" s="108"/>
      <c r="N174" s="108"/>
      <c r="O174" s="108"/>
      <c r="P174" s="108"/>
      <c r="Q174" s="108"/>
      <c r="R174" s="108"/>
      <c r="S174" s="108">
        <f t="shared" si="73"/>
        <v>0</v>
      </c>
      <c r="T174" s="108">
        <f t="shared" si="74"/>
        <v>0</v>
      </c>
      <c r="U174" s="108"/>
      <c r="V174" s="108"/>
      <c r="W174" s="108"/>
      <c r="X174" s="108"/>
      <c r="Y174" s="108"/>
      <c r="Z174" s="108"/>
      <c r="AA174" s="108"/>
      <c r="AB174" s="108"/>
      <c r="AC174" s="108"/>
      <c r="AD174" s="108"/>
      <c r="AE174" s="108"/>
      <c r="AF174" s="108"/>
      <c r="AG174" s="108"/>
      <c r="AH174" s="108"/>
      <c r="AI174" s="108"/>
    </row>
    <row r="175" spans="2:35" ht="15.75" hidden="1" customHeight="1" outlineLevel="2">
      <c r="B175" s="88"/>
      <c r="C175" s="110"/>
      <c r="D175" s="110"/>
      <c r="E175" s="114"/>
      <c r="F175" s="110"/>
      <c r="G175" s="110"/>
      <c r="H175" s="88"/>
      <c r="I175" s="108"/>
      <c r="J175" s="108"/>
      <c r="K175" s="108"/>
      <c r="L175" s="108"/>
      <c r="M175" s="108"/>
      <c r="N175" s="108"/>
      <c r="O175" s="108"/>
      <c r="P175" s="108"/>
      <c r="Q175" s="108"/>
      <c r="R175" s="108"/>
      <c r="S175" s="108">
        <f t="shared" si="73"/>
        <v>0</v>
      </c>
      <c r="T175" s="108">
        <f t="shared" si="74"/>
        <v>0</v>
      </c>
      <c r="U175" s="108"/>
      <c r="V175" s="108"/>
      <c r="W175" s="108"/>
      <c r="X175" s="108"/>
      <c r="Y175" s="108"/>
      <c r="Z175" s="108"/>
      <c r="AA175" s="108"/>
      <c r="AB175" s="108"/>
      <c r="AC175" s="108"/>
      <c r="AD175" s="108"/>
      <c r="AE175" s="108"/>
      <c r="AF175" s="108"/>
      <c r="AG175" s="108"/>
      <c r="AH175" s="108"/>
      <c r="AI175" s="108"/>
    </row>
    <row r="176" spans="2:35" ht="15.75" hidden="1" customHeight="1" outlineLevel="2">
      <c r="B176" s="88"/>
      <c r="C176" s="110"/>
      <c r="D176" s="110"/>
      <c r="E176" s="114"/>
      <c r="F176" s="110"/>
      <c r="G176" s="110"/>
      <c r="H176" s="88"/>
      <c r="I176" s="108"/>
      <c r="J176" s="108"/>
      <c r="K176" s="86"/>
      <c r="L176" s="108"/>
      <c r="M176" s="108"/>
      <c r="N176" s="108"/>
      <c r="O176" s="108"/>
      <c r="P176" s="108"/>
      <c r="Q176" s="108"/>
      <c r="R176" s="108"/>
      <c r="S176" s="108">
        <f t="shared" si="73"/>
        <v>0</v>
      </c>
      <c r="T176" s="108">
        <f t="shared" si="74"/>
        <v>0</v>
      </c>
      <c r="U176" s="108"/>
      <c r="V176" s="108"/>
      <c r="W176" s="108"/>
      <c r="X176" s="108"/>
      <c r="Y176" s="108"/>
      <c r="Z176" s="108"/>
      <c r="AA176" s="108"/>
      <c r="AB176" s="108"/>
      <c r="AC176" s="108"/>
      <c r="AD176" s="108"/>
      <c r="AE176" s="108"/>
      <c r="AF176" s="108"/>
      <c r="AG176" s="108"/>
      <c r="AH176" s="108"/>
      <c r="AI176" s="108"/>
    </row>
    <row r="177" spans="2:35" ht="27" hidden="1" customHeight="1" outlineLevel="1">
      <c r="B177" s="111"/>
      <c r="C177" s="499" t="s">
        <v>370</v>
      </c>
      <c r="I177" s="117"/>
      <c r="J177" s="102"/>
      <c r="K177" s="103"/>
      <c r="L177" s="137"/>
      <c r="M177" s="435"/>
      <c r="N177" s="435"/>
      <c r="O177" s="435"/>
      <c r="P177" s="435"/>
      <c r="Q177" s="435"/>
      <c r="R177" s="435"/>
      <c r="S177" s="435">
        <f t="shared" si="73"/>
        <v>0</v>
      </c>
      <c r="T177" s="435">
        <f t="shared" si="74"/>
        <v>0</v>
      </c>
      <c r="U177" s="435"/>
      <c r="V177" s="435"/>
      <c r="W177" s="435"/>
      <c r="X177" s="435"/>
      <c r="Y177" s="435"/>
      <c r="Z177" s="435"/>
      <c r="AA177" s="435"/>
      <c r="AB177" s="435"/>
      <c r="AC177" s="435"/>
      <c r="AD177" s="435"/>
      <c r="AE177" s="435"/>
      <c r="AF177" s="435"/>
      <c r="AG177" s="435"/>
      <c r="AH177" s="435"/>
      <c r="AI177" s="435"/>
    </row>
    <row r="178" spans="2:35" ht="3" hidden="1" customHeight="1" outlineLevel="1">
      <c r="B178" s="111"/>
      <c r="C178" s="104"/>
      <c r="D178" s="104"/>
      <c r="E178" s="104"/>
      <c r="F178" s="104"/>
      <c r="G178" s="104"/>
      <c r="H178" s="465"/>
      <c r="I178" s="104"/>
      <c r="J178" s="104"/>
      <c r="K178" s="104"/>
      <c r="L178" s="104"/>
      <c r="M178" s="104"/>
      <c r="N178" s="420"/>
      <c r="O178" s="420"/>
      <c r="P178" s="420"/>
      <c r="Q178" s="420"/>
      <c r="R178" s="420"/>
      <c r="S178" s="420">
        <f t="shared" si="73"/>
        <v>0</v>
      </c>
      <c r="T178" s="420">
        <f t="shared" si="74"/>
        <v>0</v>
      </c>
      <c r="U178" s="420"/>
      <c r="V178" s="420"/>
      <c r="W178" s="420"/>
      <c r="X178" s="420"/>
      <c r="Y178" s="420"/>
      <c r="Z178" s="420"/>
      <c r="AA178" s="420"/>
      <c r="AB178" s="420"/>
      <c r="AC178" s="420"/>
      <c r="AD178" s="420"/>
      <c r="AE178" s="420"/>
      <c r="AF178" s="420"/>
      <c r="AG178" s="420"/>
      <c r="AH178" s="420"/>
      <c r="AI178" s="420"/>
    </row>
    <row r="179" spans="2:35" ht="15.75" hidden="1" customHeight="1" outlineLevel="1">
      <c r="B179" s="111"/>
      <c r="C179" s="75" t="s">
        <v>1332</v>
      </c>
      <c r="I179" s="117"/>
      <c r="J179" s="102"/>
      <c r="K179" s="103"/>
      <c r="L179" s="137"/>
      <c r="M179" s="435"/>
      <c r="N179" s="435"/>
      <c r="O179" s="435"/>
      <c r="P179" s="435"/>
      <c r="Q179" s="435"/>
      <c r="R179" s="435"/>
      <c r="S179" s="435">
        <f t="shared" si="73"/>
        <v>0</v>
      </c>
      <c r="T179" s="435">
        <f t="shared" si="74"/>
        <v>0</v>
      </c>
      <c r="U179" s="435"/>
      <c r="V179" s="435"/>
      <c r="W179" s="435"/>
      <c r="X179" s="435"/>
      <c r="Y179" s="435"/>
      <c r="Z179" s="435"/>
      <c r="AA179" s="435"/>
      <c r="AB179" s="435"/>
      <c r="AC179" s="435"/>
      <c r="AD179" s="435"/>
      <c r="AE179" s="435"/>
      <c r="AF179" s="435"/>
      <c r="AG179" s="435"/>
      <c r="AH179" s="435"/>
      <c r="AI179" s="435"/>
    </row>
    <row r="180" spans="2:35" ht="15.75" hidden="1" customHeight="1" outlineLevel="1">
      <c r="B180" s="76"/>
      <c r="C180" s="480" t="s">
        <v>418</v>
      </c>
      <c r="I180" s="117"/>
      <c r="J180" s="500"/>
      <c r="K180" s="105"/>
      <c r="L180" s="138"/>
      <c r="M180" s="138"/>
      <c r="N180" s="138"/>
      <c r="O180" s="138"/>
      <c r="P180" s="138"/>
      <c r="Q180" s="138"/>
      <c r="R180" s="138"/>
      <c r="S180" s="138">
        <f t="shared" si="73"/>
        <v>0</v>
      </c>
      <c r="T180" s="138">
        <f t="shared" si="74"/>
        <v>0</v>
      </c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</row>
    <row r="181" spans="2:35" ht="15.75" hidden="1" customHeight="1" outlineLevel="1">
      <c r="B181" s="76"/>
      <c r="C181" s="501"/>
      <c r="D181" s="106"/>
      <c r="E181" s="106"/>
      <c r="F181" s="106"/>
      <c r="G181" s="106"/>
      <c r="H181" s="502"/>
      <c r="I181" s="92">
        <v>0</v>
      </c>
      <c r="J181" s="92">
        <v>1</v>
      </c>
      <c r="K181" s="92">
        <v>2</v>
      </c>
      <c r="L181" s="92">
        <v>3</v>
      </c>
      <c r="M181" s="92">
        <v>4</v>
      </c>
      <c r="N181" s="92">
        <v>5</v>
      </c>
      <c r="O181" s="92">
        <f t="shared" ref="O181:W181" si="93">O7</f>
        <v>6</v>
      </c>
      <c r="P181" s="92">
        <f t="shared" si="93"/>
        <v>7</v>
      </c>
      <c r="Q181" s="92">
        <f t="shared" si="93"/>
        <v>8</v>
      </c>
      <c r="R181" s="92"/>
      <c r="S181" s="92">
        <f t="shared" si="73"/>
        <v>8</v>
      </c>
      <c r="T181" s="92">
        <f t="shared" si="74"/>
        <v>8</v>
      </c>
      <c r="U181" s="92">
        <f t="shared" si="93"/>
        <v>9</v>
      </c>
      <c r="V181" s="92">
        <f t="shared" si="93"/>
        <v>10</v>
      </c>
      <c r="W181" s="92">
        <f t="shared" si="93"/>
        <v>11</v>
      </c>
      <c r="X181" s="92">
        <f>X7</f>
        <v>12</v>
      </c>
      <c r="Y181" s="92">
        <f>Y7</f>
        <v>13</v>
      </c>
      <c r="Z181" s="92">
        <f t="shared" ref="Z181:AG181" si="94">Z7</f>
        <v>14</v>
      </c>
      <c r="AA181" s="92">
        <f t="shared" si="94"/>
        <v>15</v>
      </c>
      <c r="AB181" s="92">
        <f t="shared" si="94"/>
        <v>16</v>
      </c>
      <c r="AC181" s="92">
        <f t="shared" si="94"/>
        <v>17</v>
      </c>
      <c r="AD181" s="92">
        <f t="shared" si="94"/>
        <v>18</v>
      </c>
      <c r="AE181" s="92">
        <f t="shared" si="94"/>
        <v>19</v>
      </c>
      <c r="AF181" s="92">
        <f t="shared" si="94"/>
        <v>20</v>
      </c>
      <c r="AG181" s="92">
        <f t="shared" si="94"/>
        <v>21</v>
      </c>
      <c r="AH181" s="92"/>
      <c r="AI181" s="92"/>
    </row>
    <row r="182" spans="2:35" ht="15.75" hidden="1" customHeight="1" outlineLevel="1">
      <c r="B182" s="76"/>
      <c r="C182" s="504"/>
      <c r="D182" s="469"/>
      <c r="E182" s="469"/>
      <c r="F182" s="469"/>
      <c r="G182" s="469"/>
      <c r="H182" s="470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</row>
    <row r="183" spans="2:35" ht="15.75" hidden="1" customHeight="1" outlineLevel="1">
      <c r="B183" s="76"/>
      <c r="C183" s="505"/>
      <c r="D183" s="472"/>
      <c r="E183" s="506"/>
      <c r="F183" s="506"/>
      <c r="G183" s="506"/>
      <c r="H183" s="473"/>
      <c r="I183" s="94" t="s">
        <v>499</v>
      </c>
      <c r="J183" s="94" t="s">
        <v>499</v>
      </c>
      <c r="K183" s="112" t="s">
        <v>499</v>
      </c>
      <c r="L183" s="112" t="s">
        <v>499</v>
      </c>
      <c r="M183" s="112" t="s">
        <v>499</v>
      </c>
      <c r="N183" s="112" t="s">
        <v>499</v>
      </c>
      <c r="O183" s="112" t="s">
        <v>499</v>
      </c>
      <c r="P183" s="112" t="s">
        <v>499</v>
      </c>
      <c r="Q183" s="112" t="s">
        <v>499</v>
      </c>
      <c r="R183" s="112"/>
      <c r="S183" s="112" t="str">
        <f t="shared" si="73"/>
        <v>($)</v>
      </c>
      <c r="T183" s="112" t="str">
        <f t="shared" si="74"/>
        <v>($)</v>
      </c>
      <c r="U183" s="112" t="s">
        <v>499</v>
      </c>
      <c r="V183" s="112" t="s">
        <v>499</v>
      </c>
      <c r="W183" s="112" t="s">
        <v>499</v>
      </c>
      <c r="X183" s="112" t="s">
        <v>499</v>
      </c>
      <c r="Y183" s="112" t="s">
        <v>499</v>
      </c>
      <c r="Z183" s="112" t="s">
        <v>499</v>
      </c>
      <c r="AA183" s="112" t="s">
        <v>499</v>
      </c>
      <c r="AB183" s="112" t="s">
        <v>499</v>
      </c>
      <c r="AC183" s="112" t="s">
        <v>499</v>
      </c>
      <c r="AD183" s="112" t="s">
        <v>499</v>
      </c>
      <c r="AE183" s="112" t="s">
        <v>499</v>
      </c>
      <c r="AF183" s="112" t="s">
        <v>499</v>
      </c>
      <c r="AG183" s="112" t="s">
        <v>499</v>
      </c>
      <c r="AH183" s="112"/>
      <c r="AI183" s="112"/>
    </row>
    <row r="184" spans="2:35" ht="15.75" hidden="1" customHeight="1" outlineLevel="1">
      <c r="B184" s="76"/>
      <c r="C184" s="110"/>
      <c r="D184" s="110"/>
      <c r="E184" s="515"/>
      <c r="F184" s="80"/>
      <c r="G184" s="80"/>
      <c r="H184" s="514"/>
      <c r="I184" s="110"/>
      <c r="J184" s="107"/>
      <c r="K184" s="113"/>
      <c r="L184" s="113"/>
      <c r="M184" s="113"/>
      <c r="N184" s="113"/>
      <c r="O184" s="113"/>
      <c r="P184" s="113"/>
      <c r="Q184" s="113"/>
      <c r="R184" s="113"/>
      <c r="S184" s="113">
        <f t="shared" si="73"/>
        <v>0</v>
      </c>
      <c r="T184" s="113">
        <f t="shared" si="74"/>
        <v>0</v>
      </c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</row>
    <row r="185" spans="2:35" ht="15.75" hidden="1" customHeight="1" outlineLevel="1">
      <c r="B185" s="76"/>
      <c r="C185" s="369" t="s">
        <v>1333</v>
      </c>
      <c r="D185" s="100"/>
      <c r="E185" s="508"/>
      <c r="F185" s="508"/>
      <c r="G185" s="508"/>
      <c r="H185" s="509"/>
      <c r="I185" s="110"/>
      <c r="J185" s="110"/>
      <c r="K185" s="564"/>
      <c r="L185" s="564"/>
      <c r="M185" s="564"/>
      <c r="N185" s="80"/>
      <c r="O185" s="80"/>
      <c r="P185" s="80"/>
      <c r="Q185" s="80"/>
      <c r="R185" s="80"/>
      <c r="S185" s="80">
        <f t="shared" si="73"/>
        <v>0</v>
      </c>
      <c r="T185" s="80">
        <f t="shared" si="74"/>
        <v>0</v>
      </c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</row>
    <row r="186" spans="2:35" ht="15.75" hidden="1" customHeight="1" outlineLevel="1">
      <c r="B186" s="76"/>
      <c r="C186" s="110" t="s">
        <v>1334</v>
      </c>
      <c r="D186" s="100"/>
      <c r="E186" s="114"/>
      <c r="F186" s="114"/>
      <c r="G186" s="114"/>
      <c r="H186" s="88"/>
      <c r="I186" s="80"/>
      <c r="J186" s="80"/>
      <c r="K186" s="80"/>
      <c r="L186" s="80"/>
      <c r="M186" s="80"/>
      <c r="N186" s="80"/>
      <c r="O186" s="80"/>
      <c r="P186" s="80">
        <f>P270</f>
        <v>-7698333.333333334</v>
      </c>
      <c r="Q186" s="80">
        <f t="shared" ref="Q186:Y186" si="95">Q270</f>
        <v>24667190.563309982</v>
      </c>
      <c r="R186" s="80"/>
      <c r="S186" s="80">
        <f t="shared" si="73"/>
        <v>24667190.563309982</v>
      </c>
      <c r="T186" s="80">
        <f t="shared" si="74"/>
        <v>24667190.563309982</v>
      </c>
      <c r="U186" s="80">
        <f t="shared" si="95"/>
        <v>38138748.446460985</v>
      </c>
      <c r="V186" s="80">
        <f t="shared" si="95"/>
        <v>63601904.841108151</v>
      </c>
      <c r="W186" s="80">
        <f t="shared" si="95"/>
        <v>96499958.935349271</v>
      </c>
      <c r="X186" s="80">
        <f t="shared" si="95"/>
        <v>133146398.41944452</v>
      </c>
      <c r="Y186" s="80">
        <f t="shared" si="95"/>
        <v>171984835.39246833</v>
      </c>
      <c r="Z186" s="80">
        <f t="shared" ref="Z186:AG186" si="96">Z270</f>
        <v>210817615.10199216</v>
      </c>
      <c r="AA186" s="80">
        <f t="shared" si="96"/>
        <v>249644737.54801601</v>
      </c>
      <c r="AB186" s="80">
        <f t="shared" si="96"/>
        <v>288466202.73053986</v>
      </c>
      <c r="AC186" s="80">
        <f t="shared" si="96"/>
        <v>327282010.64956367</v>
      </c>
      <c r="AD186" s="80">
        <f t="shared" si="96"/>
        <v>366092161.30508751</v>
      </c>
      <c r="AE186" s="80">
        <f t="shared" si="96"/>
        <v>396536469.82364541</v>
      </c>
      <c r="AF186" s="80">
        <f t="shared" si="96"/>
        <v>426974994.94220328</v>
      </c>
      <c r="AG186" s="80">
        <f t="shared" si="96"/>
        <v>450787535.85704958</v>
      </c>
      <c r="AH186" s="80"/>
      <c r="AI186" s="80"/>
    </row>
    <row r="187" spans="2:35" ht="15.75" hidden="1" customHeight="1" outlineLevel="1">
      <c r="B187" s="76"/>
      <c r="C187" s="110" t="s">
        <v>1335</v>
      </c>
      <c r="D187" s="110"/>
      <c r="E187" s="110"/>
      <c r="F187" s="110"/>
      <c r="G187" s="110"/>
      <c r="H187" s="88"/>
      <c r="I187" s="80"/>
      <c r="J187" s="80"/>
      <c r="K187" s="80"/>
      <c r="L187" s="80"/>
      <c r="M187" s="80"/>
      <c r="N187" s="80"/>
      <c r="O187" s="80"/>
      <c r="P187" s="80">
        <f t="shared" ref="P187:Y187" si="97">SUM(P188:P189)</f>
        <v>0</v>
      </c>
      <c r="Q187" s="80">
        <f t="shared" si="97"/>
        <v>0</v>
      </c>
      <c r="R187" s="80"/>
      <c r="S187" s="80">
        <f t="shared" si="73"/>
        <v>0</v>
      </c>
      <c r="T187" s="80">
        <f t="shared" si="74"/>
        <v>0</v>
      </c>
      <c r="U187" s="80">
        <f t="shared" si="97"/>
        <v>0</v>
      </c>
      <c r="V187" s="80">
        <f t="shared" si="97"/>
        <v>0</v>
      </c>
      <c r="W187" s="80">
        <f t="shared" si="97"/>
        <v>0</v>
      </c>
      <c r="X187" s="80">
        <f t="shared" si="97"/>
        <v>0</v>
      </c>
      <c r="Y187" s="80">
        <f t="shared" si="97"/>
        <v>0</v>
      </c>
      <c r="Z187" s="80">
        <f t="shared" ref="Z187:AG187" si="98">SUM(Z188:Z189)</f>
        <v>0</v>
      </c>
      <c r="AA187" s="80">
        <f t="shared" si="98"/>
        <v>0</v>
      </c>
      <c r="AB187" s="80">
        <f t="shared" si="98"/>
        <v>0</v>
      </c>
      <c r="AC187" s="80">
        <f t="shared" si="98"/>
        <v>0</v>
      </c>
      <c r="AD187" s="80">
        <f t="shared" si="98"/>
        <v>0</v>
      </c>
      <c r="AE187" s="80">
        <f t="shared" si="98"/>
        <v>0</v>
      </c>
      <c r="AF187" s="80">
        <f t="shared" si="98"/>
        <v>0</v>
      </c>
      <c r="AG187" s="80">
        <f t="shared" si="98"/>
        <v>0</v>
      </c>
      <c r="AH187" s="80"/>
      <c r="AI187" s="80"/>
    </row>
    <row r="188" spans="2:35" ht="15.75" hidden="1" customHeight="1" outlineLevel="1">
      <c r="B188" s="76"/>
      <c r="C188" s="516" t="s">
        <v>1336</v>
      </c>
      <c r="D188" s="110"/>
      <c r="E188" s="515"/>
      <c r="F188" s="80"/>
      <c r="G188" s="80"/>
      <c r="H188" s="88"/>
      <c r="I188" s="80"/>
      <c r="J188" s="80"/>
      <c r="K188" s="80"/>
      <c r="L188" s="80"/>
      <c r="M188" s="80"/>
      <c r="N188" s="80"/>
      <c r="O188" s="80"/>
      <c r="P188" s="80">
        <f t="shared" ref="P188:Y190" si="99">P299</f>
        <v>0</v>
      </c>
      <c r="Q188" s="80">
        <f t="shared" si="99"/>
        <v>0</v>
      </c>
      <c r="R188" s="80"/>
      <c r="S188" s="80">
        <f t="shared" si="73"/>
        <v>0</v>
      </c>
      <c r="T188" s="80">
        <f t="shared" si="74"/>
        <v>0</v>
      </c>
      <c r="U188" s="80">
        <f t="shared" si="99"/>
        <v>0</v>
      </c>
      <c r="V188" s="80">
        <f t="shared" si="99"/>
        <v>0</v>
      </c>
      <c r="W188" s="80">
        <f t="shared" si="99"/>
        <v>0</v>
      </c>
      <c r="X188" s="80">
        <f t="shared" si="99"/>
        <v>0</v>
      </c>
      <c r="Y188" s="80">
        <f t="shared" si="99"/>
        <v>0</v>
      </c>
      <c r="Z188" s="80">
        <f t="shared" ref="Z188:AG188" si="100">Z299</f>
        <v>0</v>
      </c>
      <c r="AA188" s="80">
        <f t="shared" si="100"/>
        <v>0</v>
      </c>
      <c r="AB188" s="80">
        <f t="shared" si="100"/>
        <v>0</v>
      </c>
      <c r="AC188" s="80">
        <f t="shared" si="100"/>
        <v>0</v>
      </c>
      <c r="AD188" s="80">
        <f t="shared" si="100"/>
        <v>0</v>
      </c>
      <c r="AE188" s="80">
        <f t="shared" si="100"/>
        <v>0</v>
      </c>
      <c r="AF188" s="80">
        <f t="shared" si="100"/>
        <v>0</v>
      </c>
      <c r="AG188" s="80">
        <f t="shared" si="100"/>
        <v>0</v>
      </c>
      <c r="AH188" s="80"/>
      <c r="AI188" s="80"/>
    </row>
    <row r="189" spans="2:35" ht="15.75" hidden="1" customHeight="1" outlineLevel="1">
      <c r="B189" s="76"/>
      <c r="C189" s="516" t="s">
        <v>1337</v>
      </c>
      <c r="D189" s="110"/>
      <c r="E189" s="515"/>
      <c r="F189" s="80"/>
      <c r="G189" s="80"/>
      <c r="H189" s="88"/>
      <c r="I189" s="80"/>
      <c r="J189" s="80"/>
      <c r="K189" s="80"/>
      <c r="L189" s="80"/>
      <c r="M189" s="80"/>
      <c r="N189" s="80"/>
      <c r="O189" s="80"/>
      <c r="P189" s="80">
        <f t="shared" si="99"/>
        <v>0</v>
      </c>
      <c r="Q189" s="80">
        <f t="shared" si="99"/>
        <v>0</v>
      </c>
      <c r="R189" s="80"/>
      <c r="S189" s="80">
        <f t="shared" si="73"/>
        <v>0</v>
      </c>
      <c r="T189" s="80">
        <f t="shared" si="74"/>
        <v>0</v>
      </c>
      <c r="U189" s="80">
        <f t="shared" si="99"/>
        <v>0</v>
      </c>
      <c r="V189" s="80">
        <f t="shared" si="99"/>
        <v>0</v>
      </c>
      <c r="W189" s="80">
        <f t="shared" si="99"/>
        <v>0</v>
      </c>
      <c r="X189" s="80">
        <f t="shared" si="99"/>
        <v>0</v>
      </c>
      <c r="Y189" s="80">
        <f t="shared" si="99"/>
        <v>0</v>
      </c>
      <c r="Z189" s="80">
        <f t="shared" ref="Z189:AG189" si="101">Z300</f>
        <v>0</v>
      </c>
      <c r="AA189" s="80">
        <f t="shared" si="101"/>
        <v>0</v>
      </c>
      <c r="AB189" s="80">
        <f t="shared" si="101"/>
        <v>0</v>
      </c>
      <c r="AC189" s="80">
        <f t="shared" si="101"/>
        <v>0</v>
      </c>
      <c r="AD189" s="80">
        <f t="shared" si="101"/>
        <v>0</v>
      </c>
      <c r="AE189" s="80">
        <f t="shared" si="101"/>
        <v>0</v>
      </c>
      <c r="AF189" s="80">
        <f t="shared" si="101"/>
        <v>0</v>
      </c>
      <c r="AG189" s="80">
        <f t="shared" si="101"/>
        <v>0</v>
      </c>
      <c r="AH189" s="80"/>
      <c r="AI189" s="80"/>
    </row>
    <row r="190" spans="2:35" ht="15.75" hidden="1" customHeight="1" outlineLevel="1">
      <c r="B190" s="76"/>
      <c r="C190" s="110" t="s">
        <v>1338</v>
      </c>
      <c r="D190" s="110"/>
      <c r="E190" s="515"/>
      <c r="F190" s="80"/>
      <c r="G190" s="80"/>
      <c r="H190" s="88"/>
      <c r="I190" s="80"/>
      <c r="J190" s="80"/>
      <c r="K190" s="80"/>
      <c r="L190" s="80"/>
      <c r="M190" s="80"/>
      <c r="N190" s="80"/>
      <c r="O190" s="80"/>
      <c r="P190" s="80">
        <f t="shared" si="99"/>
        <v>0</v>
      </c>
      <c r="Q190" s="80">
        <f t="shared" si="99"/>
        <v>0</v>
      </c>
      <c r="R190" s="80"/>
      <c r="S190" s="80">
        <f t="shared" si="73"/>
        <v>0</v>
      </c>
      <c r="T190" s="80">
        <f t="shared" si="74"/>
        <v>0</v>
      </c>
      <c r="U190" s="80">
        <f t="shared" si="99"/>
        <v>0</v>
      </c>
      <c r="V190" s="80">
        <f t="shared" si="99"/>
        <v>0</v>
      </c>
      <c r="W190" s="80">
        <f t="shared" si="99"/>
        <v>0</v>
      </c>
      <c r="X190" s="80">
        <f t="shared" si="99"/>
        <v>0</v>
      </c>
      <c r="Y190" s="80">
        <f t="shared" si="99"/>
        <v>0</v>
      </c>
      <c r="Z190" s="80">
        <f t="shared" ref="Z190:AG190" si="102">Z301</f>
        <v>0</v>
      </c>
      <c r="AA190" s="80">
        <f t="shared" si="102"/>
        <v>0</v>
      </c>
      <c r="AB190" s="80">
        <f t="shared" si="102"/>
        <v>0</v>
      </c>
      <c r="AC190" s="80">
        <f t="shared" si="102"/>
        <v>0</v>
      </c>
      <c r="AD190" s="80">
        <f t="shared" si="102"/>
        <v>0</v>
      </c>
      <c r="AE190" s="80">
        <f t="shared" si="102"/>
        <v>0</v>
      </c>
      <c r="AF190" s="80">
        <f t="shared" si="102"/>
        <v>0</v>
      </c>
      <c r="AG190" s="80">
        <f t="shared" si="102"/>
        <v>0</v>
      </c>
      <c r="AH190" s="80"/>
      <c r="AI190" s="80"/>
    </row>
    <row r="191" spans="2:35" ht="15.75" hidden="1" customHeight="1" outlineLevel="1">
      <c r="B191" s="76"/>
      <c r="C191" s="110" t="s">
        <v>1339</v>
      </c>
      <c r="D191" s="110"/>
      <c r="E191" s="515"/>
      <c r="F191" s="80"/>
      <c r="G191" s="80"/>
      <c r="H191" s="88"/>
      <c r="I191" s="80"/>
      <c r="J191" s="80"/>
      <c r="K191" s="80"/>
      <c r="L191" s="80"/>
      <c r="M191" s="80"/>
      <c r="N191" s="80"/>
      <c r="O191" s="80"/>
      <c r="P191" s="80">
        <f>P313</f>
        <v>0</v>
      </c>
      <c r="Q191" s="80">
        <f>Q313</f>
        <v>0</v>
      </c>
      <c r="R191" s="80"/>
      <c r="S191" s="80">
        <f t="shared" si="73"/>
        <v>0</v>
      </c>
      <c r="T191" s="80">
        <f t="shared" si="74"/>
        <v>0</v>
      </c>
      <c r="U191" s="80">
        <f>U313</f>
        <v>0</v>
      </c>
      <c r="V191" s="80">
        <f>V313</f>
        <v>0</v>
      </c>
      <c r="W191" s="80">
        <f>W313</f>
        <v>0</v>
      </c>
      <c r="X191" s="80">
        <f>X313</f>
        <v>0</v>
      </c>
      <c r="Y191" s="80">
        <f>Y313</f>
        <v>0</v>
      </c>
      <c r="Z191" s="80">
        <f t="shared" ref="Z191:AG191" si="103">Z313</f>
        <v>0</v>
      </c>
      <c r="AA191" s="80">
        <f t="shared" si="103"/>
        <v>0</v>
      </c>
      <c r="AB191" s="80">
        <f t="shared" si="103"/>
        <v>0</v>
      </c>
      <c r="AC191" s="80">
        <f t="shared" si="103"/>
        <v>0</v>
      </c>
      <c r="AD191" s="80">
        <f t="shared" si="103"/>
        <v>0</v>
      </c>
      <c r="AE191" s="80">
        <f t="shared" si="103"/>
        <v>0</v>
      </c>
      <c r="AF191" s="80">
        <f t="shared" si="103"/>
        <v>0</v>
      </c>
      <c r="AG191" s="80">
        <f t="shared" si="103"/>
        <v>0</v>
      </c>
      <c r="AH191" s="80"/>
      <c r="AI191" s="80"/>
    </row>
    <row r="192" spans="2:35" ht="15.75" hidden="1" customHeight="1" outlineLevel="1">
      <c r="B192" s="76"/>
      <c r="C192" s="110" t="s">
        <v>1340</v>
      </c>
      <c r="D192" s="110"/>
      <c r="E192" s="515"/>
      <c r="F192" s="80"/>
      <c r="G192" s="80"/>
      <c r="H192" s="88"/>
      <c r="I192" s="80"/>
      <c r="J192" s="80"/>
      <c r="K192" s="80"/>
      <c r="L192" s="80"/>
      <c r="M192" s="80"/>
      <c r="N192" s="80"/>
      <c r="O192" s="80"/>
      <c r="P192" s="80">
        <f>P314</f>
        <v>0</v>
      </c>
      <c r="Q192" s="80">
        <f>Q306</f>
        <v>8000000</v>
      </c>
      <c r="R192" s="80"/>
      <c r="S192" s="80">
        <f t="shared" si="73"/>
        <v>8000000</v>
      </c>
      <c r="T192" s="80">
        <f t="shared" si="74"/>
        <v>8000000</v>
      </c>
      <c r="U192" s="80">
        <f t="shared" ref="U192:AG192" si="104">U306</f>
        <v>8000000</v>
      </c>
      <c r="V192" s="80">
        <f t="shared" si="104"/>
        <v>8000000</v>
      </c>
      <c r="W192" s="80">
        <f t="shared" si="104"/>
        <v>8000000</v>
      </c>
      <c r="X192" s="80">
        <f t="shared" si="104"/>
        <v>8000000</v>
      </c>
      <c r="Y192" s="80">
        <f t="shared" si="104"/>
        <v>8000000</v>
      </c>
      <c r="Z192" s="80">
        <f t="shared" si="104"/>
        <v>8000000</v>
      </c>
      <c r="AA192" s="80">
        <f t="shared" si="104"/>
        <v>8000000</v>
      </c>
      <c r="AB192" s="80">
        <f t="shared" si="104"/>
        <v>8000000</v>
      </c>
      <c r="AC192" s="80">
        <f t="shared" si="104"/>
        <v>8000000</v>
      </c>
      <c r="AD192" s="80">
        <f t="shared" si="104"/>
        <v>8000000</v>
      </c>
      <c r="AE192" s="80">
        <f t="shared" si="104"/>
        <v>8000000</v>
      </c>
      <c r="AF192" s="80">
        <f t="shared" si="104"/>
        <v>8000000</v>
      </c>
      <c r="AG192" s="80">
        <f t="shared" si="104"/>
        <v>8000000</v>
      </c>
      <c r="AH192" s="80"/>
      <c r="AI192" s="80"/>
    </row>
    <row r="193" spans="2:35" ht="15.75" hidden="1" customHeight="1" outlineLevel="1">
      <c r="B193" s="76"/>
      <c r="C193" s="110" t="s">
        <v>1341</v>
      </c>
      <c r="D193" s="110"/>
      <c r="E193" s="515"/>
      <c r="F193" s="80"/>
      <c r="G193" s="80"/>
      <c r="H193" s="88"/>
      <c r="I193" s="80"/>
      <c r="J193" s="80"/>
      <c r="K193" s="80"/>
      <c r="L193" s="80"/>
      <c r="M193" s="80"/>
      <c r="N193" s="80"/>
      <c r="O193" s="80"/>
      <c r="P193" s="80">
        <f t="shared" ref="P193:Y193" si="105">SUM(P186:P187,P190:P192)</f>
        <v>-7698333.333333334</v>
      </c>
      <c r="Q193" s="80">
        <f t="shared" si="105"/>
        <v>32667190.563309982</v>
      </c>
      <c r="R193" s="80"/>
      <c r="S193" s="80">
        <f t="shared" si="73"/>
        <v>32667190.563309982</v>
      </c>
      <c r="T193" s="80">
        <f t="shared" si="74"/>
        <v>32667190.563309982</v>
      </c>
      <c r="U193" s="80">
        <f t="shared" si="105"/>
        <v>46138748.446460985</v>
      </c>
      <c r="V193" s="80">
        <f t="shared" si="105"/>
        <v>71601904.841108143</v>
      </c>
      <c r="W193" s="80">
        <f t="shared" si="105"/>
        <v>104499958.93534927</v>
      </c>
      <c r="X193" s="80">
        <f t="shared" si="105"/>
        <v>141146398.4194445</v>
      </c>
      <c r="Y193" s="80">
        <f t="shared" si="105"/>
        <v>179984835.39246833</v>
      </c>
      <c r="Z193" s="80">
        <f t="shared" ref="Z193:AG193" si="106">SUM(Z186:Z187,Z190:Z192)</f>
        <v>218817615.10199216</v>
      </c>
      <c r="AA193" s="80">
        <f t="shared" si="106"/>
        <v>257644737.54801601</v>
      </c>
      <c r="AB193" s="80">
        <f t="shared" si="106"/>
        <v>296466202.73053986</v>
      </c>
      <c r="AC193" s="80">
        <f t="shared" si="106"/>
        <v>335282010.64956367</v>
      </c>
      <c r="AD193" s="80">
        <f t="shared" si="106"/>
        <v>374092161.30508751</v>
      </c>
      <c r="AE193" s="80">
        <f t="shared" si="106"/>
        <v>404536469.82364541</v>
      </c>
      <c r="AF193" s="80">
        <f t="shared" si="106"/>
        <v>434974994.94220328</v>
      </c>
      <c r="AG193" s="80">
        <f t="shared" si="106"/>
        <v>458787535.85704958</v>
      </c>
      <c r="AH193" s="80"/>
      <c r="AI193" s="80"/>
    </row>
    <row r="194" spans="2:35" ht="15.75" hidden="1" customHeight="1" outlineLevel="1">
      <c r="B194" s="76"/>
      <c r="C194" s="110"/>
      <c r="D194" s="110"/>
      <c r="E194" s="515"/>
      <c r="F194" s="80"/>
      <c r="G194" s="80"/>
      <c r="H194" s="88"/>
      <c r="I194" s="80"/>
      <c r="J194" s="80"/>
      <c r="K194" s="80"/>
      <c r="L194" s="80"/>
      <c r="M194" s="100"/>
      <c r="N194" s="100"/>
      <c r="O194" s="100"/>
      <c r="P194" s="100"/>
      <c r="Q194" s="100"/>
      <c r="R194" s="100"/>
      <c r="S194" s="100">
        <f t="shared" si="73"/>
        <v>0</v>
      </c>
      <c r="T194" s="100">
        <f t="shared" si="74"/>
        <v>0</v>
      </c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  <c r="AI194" s="100"/>
    </row>
    <row r="195" spans="2:35" ht="15.75" hidden="1" customHeight="1" outlineLevel="1">
      <c r="B195" s="76"/>
      <c r="C195" s="110" t="s">
        <v>1342</v>
      </c>
      <c r="D195" s="110"/>
      <c r="E195" s="110"/>
      <c r="F195" s="110"/>
      <c r="G195" s="110"/>
      <c r="H195" s="88"/>
      <c r="I195" s="80"/>
      <c r="J195" s="80"/>
      <c r="K195" s="80"/>
      <c r="L195" s="80"/>
      <c r="M195" s="80"/>
      <c r="N195" s="80"/>
      <c r="O195" s="80"/>
      <c r="P195" s="80">
        <f t="shared" ref="P195:Y195" si="107">P343</f>
        <v>14000000</v>
      </c>
      <c r="Q195" s="80">
        <f t="shared" si="107"/>
        <v>15200000</v>
      </c>
      <c r="R195" s="80"/>
      <c r="S195" s="80">
        <f t="shared" si="73"/>
        <v>15200000</v>
      </c>
      <c r="T195" s="80">
        <f t="shared" si="74"/>
        <v>15200000</v>
      </c>
      <c r="U195" s="80">
        <f t="shared" si="107"/>
        <v>15453637.571428571</v>
      </c>
      <c r="V195" s="80">
        <f t="shared" si="107"/>
        <v>15240417.357142856</v>
      </c>
      <c r="W195" s="80">
        <f t="shared" si="107"/>
        <v>14690597.357142856</v>
      </c>
      <c r="X195" s="80">
        <f t="shared" si="107"/>
        <v>13398794.857142856</v>
      </c>
      <c r="Y195" s="80">
        <f t="shared" si="107"/>
        <v>12106992.357142856</v>
      </c>
      <c r="Z195" s="80">
        <f t="shared" ref="Z195:AG195" si="108">Z343</f>
        <v>10815189.857142856</v>
      </c>
      <c r="AA195" s="80">
        <f t="shared" si="108"/>
        <v>9523387.3571428563</v>
      </c>
      <c r="AB195" s="80">
        <f t="shared" si="108"/>
        <v>8231584.8571428563</v>
      </c>
      <c r="AC195" s="80">
        <f t="shared" si="108"/>
        <v>6939782.3571428563</v>
      </c>
      <c r="AD195" s="80">
        <f t="shared" si="108"/>
        <v>5647979.8571428563</v>
      </c>
      <c r="AE195" s="80">
        <f t="shared" si="108"/>
        <v>4356177.3571428563</v>
      </c>
      <c r="AF195" s="80">
        <f t="shared" si="108"/>
        <v>3064374.8571428563</v>
      </c>
      <c r="AG195" s="80">
        <f t="shared" si="108"/>
        <v>1772572.3571428563</v>
      </c>
      <c r="AH195" s="80"/>
      <c r="AI195" s="80"/>
    </row>
    <row r="196" spans="2:35" ht="15.75" hidden="1" customHeight="1" outlineLevel="1">
      <c r="B196" s="76"/>
      <c r="C196" s="110" t="s">
        <v>1343</v>
      </c>
      <c r="D196" s="110"/>
      <c r="E196" s="515"/>
      <c r="F196" s="80"/>
      <c r="G196" s="80"/>
      <c r="H196" s="88"/>
      <c r="I196" s="80"/>
      <c r="J196" s="80"/>
      <c r="K196" s="80"/>
      <c r="L196" s="80"/>
      <c r="M196" s="80"/>
      <c r="N196" s="80"/>
      <c r="O196" s="80"/>
      <c r="P196" s="80">
        <f t="shared" ref="P196:Y196" si="109">P348</f>
        <v>0</v>
      </c>
      <c r="Q196" s="80">
        <f t="shared" si="109"/>
        <v>0</v>
      </c>
      <c r="R196" s="80"/>
      <c r="S196" s="80">
        <f t="shared" si="73"/>
        <v>0</v>
      </c>
      <c r="T196" s="80">
        <f t="shared" si="74"/>
        <v>0</v>
      </c>
      <c r="U196" s="80">
        <f t="shared" si="109"/>
        <v>0</v>
      </c>
      <c r="V196" s="80">
        <f t="shared" si="109"/>
        <v>0</v>
      </c>
      <c r="W196" s="80">
        <f t="shared" si="109"/>
        <v>0</v>
      </c>
      <c r="X196" s="80">
        <f t="shared" si="109"/>
        <v>0</v>
      </c>
      <c r="Y196" s="80">
        <f t="shared" si="109"/>
        <v>0</v>
      </c>
      <c r="Z196" s="80">
        <f t="shared" ref="Z196:AG196" si="110">Z348</f>
        <v>0</v>
      </c>
      <c r="AA196" s="80">
        <f t="shared" si="110"/>
        <v>0</v>
      </c>
      <c r="AB196" s="80">
        <f t="shared" si="110"/>
        <v>0</v>
      </c>
      <c r="AC196" s="80">
        <f t="shared" si="110"/>
        <v>0</v>
      </c>
      <c r="AD196" s="80">
        <f t="shared" si="110"/>
        <v>0</v>
      </c>
      <c r="AE196" s="80">
        <f t="shared" si="110"/>
        <v>0</v>
      </c>
      <c r="AF196" s="80">
        <f t="shared" si="110"/>
        <v>0</v>
      </c>
      <c r="AG196" s="80">
        <f t="shared" si="110"/>
        <v>0</v>
      </c>
      <c r="AH196" s="80"/>
      <c r="AI196" s="80"/>
    </row>
    <row r="197" spans="2:35" ht="15.75" hidden="1" customHeight="1" outlineLevel="1">
      <c r="B197" s="76"/>
      <c r="C197" s="110" t="s">
        <v>1344</v>
      </c>
      <c r="D197" s="110"/>
      <c r="E197" s="515"/>
      <c r="F197" s="80"/>
      <c r="G197" s="80"/>
      <c r="H197" s="88"/>
      <c r="I197" s="80"/>
      <c r="J197" s="80"/>
      <c r="K197" s="80"/>
      <c r="L197" s="80"/>
      <c r="M197" s="80"/>
      <c r="N197" s="80"/>
      <c r="O197" s="80"/>
      <c r="P197" s="80">
        <f t="shared" ref="P197:Y197" si="111">P315</f>
        <v>0</v>
      </c>
      <c r="Q197" s="80">
        <f t="shared" si="111"/>
        <v>0</v>
      </c>
      <c r="R197" s="80"/>
      <c r="S197" s="80">
        <f t="shared" si="73"/>
        <v>0</v>
      </c>
      <c r="T197" s="80">
        <f t="shared" si="74"/>
        <v>0</v>
      </c>
      <c r="U197" s="80">
        <f t="shared" si="111"/>
        <v>0</v>
      </c>
      <c r="V197" s="80">
        <f t="shared" si="111"/>
        <v>0</v>
      </c>
      <c r="W197" s="80">
        <f t="shared" si="111"/>
        <v>0</v>
      </c>
      <c r="X197" s="80">
        <f t="shared" si="111"/>
        <v>0</v>
      </c>
      <c r="Y197" s="80">
        <f t="shared" si="111"/>
        <v>0</v>
      </c>
      <c r="Z197" s="80">
        <f t="shared" ref="Z197:AG197" si="112">Z315</f>
        <v>0</v>
      </c>
      <c r="AA197" s="80">
        <f t="shared" si="112"/>
        <v>0</v>
      </c>
      <c r="AB197" s="80">
        <f t="shared" si="112"/>
        <v>0</v>
      </c>
      <c r="AC197" s="80">
        <f t="shared" si="112"/>
        <v>0</v>
      </c>
      <c r="AD197" s="80">
        <f t="shared" si="112"/>
        <v>0</v>
      </c>
      <c r="AE197" s="80">
        <f t="shared" si="112"/>
        <v>0</v>
      </c>
      <c r="AF197" s="80">
        <f t="shared" si="112"/>
        <v>0</v>
      </c>
      <c r="AG197" s="80">
        <f t="shared" si="112"/>
        <v>0</v>
      </c>
      <c r="AH197" s="80"/>
      <c r="AI197" s="80"/>
    </row>
    <row r="198" spans="2:35" ht="15.75" hidden="1" customHeight="1" outlineLevel="1">
      <c r="B198" s="76"/>
      <c r="C198" s="110" t="s">
        <v>1345</v>
      </c>
      <c r="D198" s="110"/>
      <c r="E198" s="515"/>
      <c r="F198" s="80"/>
      <c r="G198" s="80"/>
      <c r="H198" s="88"/>
      <c r="I198" s="80"/>
      <c r="J198" s="80"/>
      <c r="K198" s="80"/>
      <c r="L198" s="80"/>
      <c r="M198" s="80"/>
      <c r="N198" s="80"/>
      <c r="O198" s="80"/>
      <c r="P198" s="80">
        <f t="shared" ref="P198:Y198" si="113">O198</f>
        <v>0</v>
      </c>
      <c r="Q198" s="80">
        <f t="shared" si="113"/>
        <v>0</v>
      </c>
      <c r="R198" s="80"/>
      <c r="S198" s="80">
        <f t="shared" si="73"/>
        <v>0</v>
      </c>
      <c r="T198" s="80">
        <f t="shared" si="74"/>
        <v>0</v>
      </c>
      <c r="U198" s="80">
        <f>Q198</f>
        <v>0</v>
      </c>
      <c r="V198" s="80">
        <f t="shared" si="113"/>
        <v>0</v>
      </c>
      <c r="W198" s="80">
        <f t="shared" si="113"/>
        <v>0</v>
      </c>
      <c r="X198" s="80">
        <f t="shared" si="113"/>
        <v>0</v>
      </c>
      <c r="Y198" s="80">
        <f t="shared" si="113"/>
        <v>0</v>
      </c>
      <c r="Z198" s="80">
        <f t="shared" ref="Z198:AG198" si="114">Y198</f>
        <v>0</v>
      </c>
      <c r="AA198" s="80">
        <f t="shared" si="114"/>
        <v>0</v>
      </c>
      <c r="AB198" s="80">
        <f t="shared" si="114"/>
        <v>0</v>
      </c>
      <c r="AC198" s="80">
        <f t="shared" si="114"/>
        <v>0</v>
      </c>
      <c r="AD198" s="80">
        <f t="shared" si="114"/>
        <v>0</v>
      </c>
      <c r="AE198" s="80">
        <f t="shared" si="114"/>
        <v>0</v>
      </c>
      <c r="AF198" s="80">
        <f t="shared" si="114"/>
        <v>0</v>
      </c>
      <c r="AG198" s="80">
        <f t="shared" si="114"/>
        <v>0</v>
      </c>
      <c r="AH198" s="80"/>
      <c r="AI198" s="80"/>
    </row>
    <row r="199" spans="2:35" ht="15.75" hidden="1" customHeight="1" outlineLevel="1">
      <c r="B199" s="76"/>
      <c r="C199" s="110"/>
      <c r="D199" s="110"/>
      <c r="E199" s="515"/>
      <c r="F199" s="80"/>
      <c r="G199" s="80"/>
      <c r="H199" s="88"/>
      <c r="I199" s="80"/>
      <c r="J199" s="80"/>
      <c r="K199" s="80"/>
      <c r="L199" s="80"/>
      <c r="M199" s="100"/>
      <c r="N199" s="100"/>
      <c r="O199" s="100"/>
      <c r="P199" s="100"/>
      <c r="Q199" s="100"/>
      <c r="R199" s="100"/>
      <c r="S199" s="100">
        <f t="shared" si="73"/>
        <v>0</v>
      </c>
      <c r="T199" s="100">
        <f t="shared" si="74"/>
        <v>0</v>
      </c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  <c r="AI199" s="100"/>
    </row>
    <row r="200" spans="2:35" ht="15.75" hidden="1" customHeight="1" outlineLevel="1">
      <c r="B200" s="76"/>
      <c r="C200" s="110" t="s">
        <v>1346</v>
      </c>
      <c r="D200" s="110"/>
      <c r="E200" s="515"/>
      <c r="F200" s="80"/>
      <c r="G200" s="80"/>
      <c r="H200" s="88"/>
      <c r="I200" s="80"/>
      <c r="J200" s="80"/>
      <c r="K200" s="80"/>
      <c r="L200" s="80"/>
      <c r="M200" s="80"/>
      <c r="N200" s="80"/>
      <c r="O200" s="80"/>
      <c r="P200" s="80">
        <f t="shared" ref="P200:Y200" si="115">SUM(P193:P198)</f>
        <v>6301666.666666666</v>
      </c>
      <c r="Q200" s="80">
        <f t="shared" si="115"/>
        <v>47867190.563309982</v>
      </c>
      <c r="R200" s="80"/>
      <c r="S200" s="80">
        <f t="shared" si="73"/>
        <v>47867190.563309982</v>
      </c>
      <c r="T200" s="80">
        <f t="shared" si="74"/>
        <v>47867190.563309982</v>
      </c>
      <c r="U200" s="80">
        <f t="shared" si="115"/>
        <v>61592386.017889559</v>
      </c>
      <c r="V200" s="80">
        <f t="shared" si="115"/>
        <v>86842322.198250994</v>
      </c>
      <c r="W200" s="80">
        <f t="shared" si="115"/>
        <v>119190556.29249212</v>
      </c>
      <c r="X200" s="80">
        <f t="shared" si="115"/>
        <v>154545193.27658737</v>
      </c>
      <c r="Y200" s="80">
        <f t="shared" si="115"/>
        <v>192091827.7496112</v>
      </c>
      <c r="Z200" s="80">
        <f t="shared" ref="Z200:AG200" si="116">SUM(Z193:Z198)</f>
        <v>229632804.95913503</v>
      </c>
      <c r="AA200" s="80">
        <f t="shared" si="116"/>
        <v>267168124.90515888</v>
      </c>
      <c r="AB200" s="80">
        <f t="shared" si="116"/>
        <v>304697787.58768272</v>
      </c>
      <c r="AC200" s="80">
        <f t="shared" si="116"/>
        <v>342221793.00670654</v>
      </c>
      <c r="AD200" s="80">
        <f t="shared" si="116"/>
        <v>379740141.16223037</v>
      </c>
      <c r="AE200" s="80">
        <f t="shared" si="116"/>
        <v>408892647.18078828</v>
      </c>
      <c r="AF200" s="80">
        <f t="shared" si="116"/>
        <v>438039369.79934615</v>
      </c>
      <c r="AG200" s="80">
        <f t="shared" si="116"/>
        <v>460560108.21419245</v>
      </c>
      <c r="AH200" s="80"/>
      <c r="AI200" s="80"/>
    </row>
    <row r="201" spans="2:35" ht="15.75" hidden="1" customHeight="1" outlineLevel="1">
      <c r="B201" s="76"/>
      <c r="C201" s="372"/>
      <c r="D201" s="110"/>
      <c r="E201" s="110"/>
      <c r="F201" s="110"/>
      <c r="G201" s="110"/>
      <c r="H201" s="88"/>
      <c r="I201" s="80"/>
      <c r="J201" s="80"/>
      <c r="K201" s="80"/>
      <c r="L201" s="80"/>
      <c r="M201" s="87"/>
      <c r="N201" s="100"/>
      <c r="O201" s="100"/>
      <c r="P201" s="100"/>
      <c r="Q201" s="100"/>
      <c r="R201" s="100"/>
      <c r="S201" s="100">
        <f t="shared" si="73"/>
        <v>0</v>
      </c>
      <c r="T201" s="100">
        <f t="shared" si="74"/>
        <v>0</v>
      </c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  <c r="AI201" s="100"/>
    </row>
    <row r="202" spans="2:35" ht="15.75" hidden="1" customHeight="1" outlineLevel="1">
      <c r="B202" s="76"/>
      <c r="C202" s="369" t="s">
        <v>1347</v>
      </c>
      <c r="D202" s="110"/>
      <c r="E202" s="110"/>
      <c r="F202" s="110"/>
      <c r="G202" s="110"/>
      <c r="H202" s="88"/>
      <c r="I202" s="80"/>
      <c r="J202" s="80"/>
      <c r="K202" s="80"/>
      <c r="L202" s="80"/>
      <c r="M202" s="100"/>
      <c r="N202" s="100"/>
      <c r="O202" s="100"/>
      <c r="P202" s="100"/>
      <c r="Q202" s="100"/>
      <c r="R202" s="100"/>
      <c r="S202" s="100">
        <f t="shared" si="73"/>
        <v>0</v>
      </c>
      <c r="T202" s="100">
        <f t="shared" si="74"/>
        <v>0</v>
      </c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  <c r="AI202" s="100"/>
    </row>
    <row r="203" spans="2:35" ht="15.75" hidden="1" customHeight="1" outlineLevel="1">
      <c r="B203" s="76"/>
      <c r="C203" s="110" t="s">
        <v>1348</v>
      </c>
      <c r="D203" s="110"/>
      <c r="E203" s="110"/>
      <c r="F203" s="110"/>
      <c r="G203" s="110"/>
      <c r="H203" s="88"/>
      <c r="I203" s="80"/>
      <c r="J203" s="80"/>
      <c r="K203" s="80"/>
      <c r="L203" s="80"/>
      <c r="M203" s="80"/>
      <c r="N203" s="80"/>
      <c r="O203" s="80"/>
      <c r="P203" s="80">
        <f t="shared" ref="P203:Y203" si="117">SUM(P204:P205)</f>
        <v>0</v>
      </c>
      <c r="Q203" s="80">
        <f t="shared" si="117"/>
        <v>0</v>
      </c>
      <c r="R203" s="80"/>
      <c r="S203" s="80">
        <f t="shared" si="73"/>
        <v>0</v>
      </c>
      <c r="T203" s="80">
        <f t="shared" si="74"/>
        <v>0</v>
      </c>
      <c r="U203" s="80">
        <f t="shared" si="117"/>
        <v>0</v>
      </c>
      <c r="V203" s="80">
        <f t="shared" si="117"/>
        <v>0</v>
      </c>
      <c r="W203" s="80">
        <f t="shared" si="117"/>
        <v>0</v>
      </c>
      <c r="X203" s="80">
        <f t="shared" si="117"/>
        <v>0</v>
      </c>
      <c r="Y203" s="80">
        <f t="shared" si="117"/>
        <v>0</v>
      </c>
      <c r="Z203" s="80">
        <f t="shared" ref="Z203:AG203" si="118">SUM(Z204:Z205)</f>
        <v>0</v>
      </c>
      <c r="AA203" s="80">
        <f t="shared" si="118"/>
        <v>0</v>
      </c>
      <c r="AB203" s="80">
        <f t="shared" si="118"/>
        <v>0</v>
      </c>
      <c r="AC203" s="80">
        <f t="shared" si="118"/>
        <v>0</v>
      </c>
      <c r="AD203" s="80">
        <f t="shared" si="118"/>
        <v>0</v>
      </c>
      <c r="AE203" s="80">
        <f t="shared" si="118"/>
        <v>0</v>
      </c>
      <c r="AF203" s="80">
        <f t="shared" si="118"/>
        <v>0</v>
      </c>
      <c r="AG203" s="80">
        <f t="shared" si="118"/>
        <v>0</v>
      </c>
      <c r="AH203" s="80"/>
      <c r="AI203" s="80"/>
    </row>
    <row r="204" spans="2:35" ht="15.75" hidden="1" customHeight="1" outlineLevel="1">
      <c r="B204" s="76"/>
      <c r="C204" s="516" t="s">
        <v>1349</v>
      </c>
      <c r="D204" s="110"/>
      <c r="E204" s="515"/>
      <c r="F204" s="80"/>
      <c r="G204" s="80"/>
      <c r="H204" s="88"/>
      <c r="I204" s="80"/>
      <c r="J204" s="80"/>
      <c r="K204" s="80"/>
      <c r="L204" s="80"/>
      <c r="M204" s="80"/>
      <c r="N204" s="80"/>
      <c r="O204" s="80"/>
      <c r="P204" s="80">
        <f t="shared" ref="P204:Y204" si="119">P303</f>
        <v>0</v>
      </c>
      <c r="Q204" s="80">
        <f t="shared" si="119"/>
        <v>0</v>
      </c>
      <c r="R204" s="80"/>
      <c r="S204" s="80">
        <f t="shared" ref="S204:S266" si="120">Q204</f>
        <v>0</v>
      </c>
      <c r="T204" s="80">
        <f t="shared" ref="T204:T266" si="121">S204</f>
        <v>0</v>
      </c>
      <c r="U204" s="80">
        <f t="shared" si="119"/>
        <v>0</v>
      </c>
      <c r="V204" s="80">
        <f t="shared" si="119"/>
        <v>0</v>
      </c>
      <c r="W204" s="80">
        <f t="shared" si="119"/>
        <v>0</v>
      </c>
      <c r="X204" s="80">
        <f t="shared" si="119"/>
        <v>0</v>
      </c>
      <c r="Y204" s="80">
        <f t="shared" si="119"/>
        <v>0</v>
      </c>
      <c r="Z204" s="80">
        <f t="shared" ref="Z204:AG204" si="122">Z303</f>
        <v>0</v>
      </c>
      <c r="AA204" s="80">
        <f t="shared" si="122"/>
        <v>0</v>
      </c>
      <c r="AB204" s="80">
        <f t="shared" si="122"/>
        <v>0</v>
      </c>
      <c r="AC204" s="80">
        <f t="shared" si="122"/>
        <v>0</v>
      </c>
      <c r="AD204" s="80">
        <f t="shared" si="122"/>
        <v>0</v>
      </c>
      <c r="AE204" s="80">
        <f t="shared" si="122"/>
        <v>0</v>
      </c>
      <c r="AF204" s="80">
        <f t="shared" si="122"/>
        <v>0</v>
      </c>
      <c r="AG204" s="80">
        <f t="shared" si="122"/>
        <v>0</v>
      </c>
      <c r="AH204" s="80"/>
      <c r="AI204" s="80"/>
    </row>
    <row r="205" spans="2:35" ht="15.75" hidden="1" customHeight="1" outlineLevel="1">
      <c r="B205" s="76"/>
      <c r="C205" s="516" t="s">
        <v>1350</v>
      </c>
      <c r="D205" s="110"/>
      <c r="E205" s="515"/>
      <c r="F205" s="80"/>
      <c r="G205" s="80"/>
      <c r="H205" s="88"/>
      <c r="I205" s="80"/>
      <c r="J205" s="80"/>
      <c r="K205" s="80"/>
      <c r="L205" s="80"/>
      <c r="M205" s="80"/>
      <c r="N205" s="80"/>
      <c r="O205" s="80"/>
      <c r="P205" s="80">
        <f t="shared" ref="P205:Y205" si="123">P319</f>
        <v>0</v>
      </c>
      <c r="Q205" s="80">
        <f t="shared" si="123"/>
        <v>0</v>
      </c>
      <c r="R205" s="80"/>
      <c r="S205" s="80">
        <f t="shared" si="120"/>
        <v>0</v>
      </c>
      <c r="T205" s="80">
        <f t="shared" si="121"/>
        <v>0</v>
      </c>
      <c r="U205" s="80">
        <f t="shared" si="123"/>
        <v>0</v>
      </c>
      <c r="V205" s="80">
        <f t="shared" si="123"/>
        <v>0</v>
      </c>
      <c r="W205" s="80">
        <f t="shared" si="123"/>
        <v>0</v>
      </c>
      <c r="X205" s="80">
        <f t="shared" si="123"/>
        <v>0</v>
      </c>
      <c r="Y205" s="80">
        <f t="shared" si="123"/>
        <v>0</v>
      </c>
      <c r="Z205" s="80">
        <f t="shared" ref="Z205:AG205" si="124">Z319</f>
        <v>0</v>
      </c>
      <c r="AA205" s="80">
        <f t="shared" si="124"/>
        <v>0</v>
      </c>
      <c r="AB205" s="80">
        <f t="shared" si="124"/>
        <v>0</v>
      </c>
      <c r="AC205" s="80">
        <f t="shared" si="124"/>
        <v>0</v>
      </c>
      <c r="AD205" s="80">
        <f t="shared" si="124"/>
        <v>0</v>
      </c>
      <c r="AE205" s="80">
        <f t="shared" si="124"/>
        <v>0</v>
      </c>
      <c r="AF205" s="80">
        <f t="shared" si="124"/>
        <v>0</v>
      </c>
      <c r="AG205" s="80">
        <f t="shared" si="124"/>
        <v>0</v>
      </c>
      <c r="AH205" s="80"/>
      <c r="AI205" s="80"/>
    </row>
    <row r="206" spans="2:35" ht="15.75" hidden="1" customHeight="1" outlineLevel="1">
      <c r="B206" s="76"/>
      <c r="C206" s="110" t="s">
        <v>1351</v>
      </c>
      <c r="D206" s="110"/>
      <c r="E206" s="515"/>
      <c r="F206" s="80"/>
      <c r="G206" s="80"/>
      <c r="H206" s="88"/>
      <c r="I206" s="80"/>
      <c r="J206" s="80"/>
      <c r="K206" s="80"/>
      <c r="L206" s="80"/>
      <c r="M206" s="80"/>
      <c r="N206" s="80"/>
      <c r="O206" s="80"/>
      <c r="P206" s="80">
        <f t="shared" ref="P206:Y206" si="125">P318</f>
        <v>0</v>
      </c>
      <c r="Q206" s="80">
        <f t="shared" si="125"/>
        <v>0</v>
      </c>
      <c r="R206" s="80"/>
      <c r="S206" s="80">
        <f t="shared" si="120"/>
        <v>0</v>
      </c>
      <c r="T206" s="80">
        <f t="shared" si="121"/>
        <v>0</v>
      </c>
      <c r="U206" s="80">
        <f t="shared" si="125"/>
        <v>0</v>
      </c>
      <c r="V206" s="80">
        <f t="shared" si="125"/>
        <v>0</v>
      </c>
      <c r="W206" s="80">
        <f t="shared" si="125"/>
        <v>0</v>
      </c>
      <c r="X206" s="80">
        <f t="shared" si="125"/>
        <v>0</v>
      </c>
      <c r="Y206" s="80">
        <f t="shared" si="125"/>
        <v>0</v>
      </c>
      <c r="Z206" s="80">
        <f t="shared" ref="Z206:AG206" si="126">Z318</f>
        <v>0</v>
      </c>
      <c r="AA206" s="80">
        <f t="shared" si="126"/>
        <v>0</v>
      </c>
      <c r="AB206" s="80">
        <f t="shared" si="126"/>
        <v>0</v>
      </c>
      <c r="AC206" s="80">
        <f t="shared" si="126"/>
        <v>0</v>
      </c>
      <c r="AD206" s="80">
        <f t="shared" si="126"/>
        <v>0</v>
      </c>
      <c r="AE206" s="80">
        <f t="shared" si="126"/>
        <v>0</v>
      </c>
      <c r="AF206" s="80">
        <f t="shared" si="126"/>
        <v>0</v>
      </c>
      <c r="AG206" s="80">
        <f t="shared" si="126"/>
        <v>0</v>
      </c>
      <c r="AH206" s="80"/>
      <c r="AI206" s="80"/>
    </row>
    <row r="207" spans="2:35" ht="15.75" hidden="1" customHeight="1" outlineLevel="1">
      <c r="B207" s="76"/>
      <c r="C207" s="110" t="s">
        <v>1352</v>
      </c>
      <c r="D207" s="110"/>
      <c r="E207" s="515"/>
      <c r="F207" s="80"/>
      <c r="G207" s="80"/>
      <c r="H207" s="88"/>
      <c r="I207" s="80"/>
      <c r="J207" s="80"/>
      <c r="K207" s="80"/>
      <c r="L207" s="80"/>
      <c r="M207" s="80"/>
      <c r="N207" s="80"/>
      <c r="O207" s="80"/>
      <c r="P207" s="80">
        <f t="shared" ref="P207:Y207" si="127">SUM(P206,P203)</f>
        <v>0</v>
      </c>
      <c r="Q207" s="80">
        <f t="shared" si="127"/>
        <v>0</v>
      </c>
      <c r="R207" s="80"/>
      <c r="S207" s="80">
        <f t="shared" si="120"/>
        <v>0</v>
      </c>
      <c r="T207" s="80">
        <f t="shared" si="121"/>
        <v>0</v>
      </c>
      <c r="U207" s="80">
        <f t="shared" si="127"/>
        <v>0</v>
      </c>
      <c r="V207" s="80">
        <f t="shared" si="127"/>
        <v>0</v>
      </c>
      <c r="W207" s="80">
        <f t="shared" si="127"/>
        <v>0</v>
      </c>
      <c r="X207" s="80">
        <f t="shared" si="127"/>
        <v>0</v>
      </c>
      <c r="Y207" s="80">
        <f t="shared" si="127"/>
        <v>0</v>
      </c>
      <c r="Z207" s="80">
        <f t="shared" ref="Z207:AG207" si="128">SUM(Z206,Z203)</f>
        <v>0</v>
      </c>
      <c r="AA207" s="80">
        <f t="shared" si="128"/>
        <v>0</v>
      </c>
      <c r="AB207" s="80">
        <f t="shared" si="128"/>
        <v>0</v>
      </c>
      <c r="AC207" s="80">
        <f t="shared" si="128"/>
        <v>0</v>
      </c>
      <c r="AD207" s="80">
        <f t="shared" si="128"/>
        <v>0</v>
      </c>
      <c r="AE207" s="80">
        <f t="shared" si="128"/>
        <v>0</v>
      </c>
      <c r="AF207" s="80">
        <f t="shared" si="128"/>
        <v>0</v>
      </c>
      <c r="AG207" s="80">
        <f t="shared" si="128"/>
        <v>0</v>
      </c>
      <c r="AH207" s="80"/>
      <c r="AI207" s="80"/>
    </row>
    <row r="208" spans="2:35" ht="15.75" hidden="1" customHeight="1" outlineLevel="1">
      <c r="B208" s="76"/>
      <c r="C208" s="110"/>
      <c r="D208" s="110"/>
      <c r="E208" s="110"/>
      <c r="F208" s="110"/>
      <c r="G208" s="110"/>
      <c r="H208" s="88"/>
      <c r="I208" s="80"/>
      <c r="J208" s="80"/>
      <c r="K208" s="80"/>
      <c r="L208" s="80"/>
      <c r="M208" s="100"/>
      <c r="N208" s="100"/>
      <c r="O208" s="100"/>
      <c r="P208" s="100"/>
      <c r="Q208" s="100"/>
      <c r="R208" s="100"/>
      <c r="S208" s="100">
        <f t="shared" si="120"/>
        <v>0</v>
      </c>
      <c r="T208" s="100">
        <f t="shared" si="121"/>
        <v>0</v>
      </c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  <c r="AI208" s="100"/>
    </row>
    <row r="209" spans="1:35" ht="15.75" hidden="1" customHeight="1" outlineLevel="1">
      <c r="B209" s="76"/>
      <c r="C209" s="110" t="s">
        <v>1353</v>
      </c>
      <c r="D209" s="110"/>
      <c r="E209" s="110"/>
      <c r="F209" s="110"/>
      <c r="G209" s="110"/>
      <c r="H209" s="88"/>
      <c r="I209" s="80"/>
      <c r="J209" s="80"/>
      <c r="K209" s="80"/>
      <c r="L209" s="80"/>
      <c r="M209" s="80"/>
      <c r="N209" s="80"/>
      <c r="O209" s="80"/>
      <c r="P209" s="80">
        <f t="shared" ref="P209:Y209" si="129">P433</f>
        <v>0</v>
      </c>
      <c r="Q209" s="80">
        <f t="shared" si="129"/>
        <v>0</v>
      </c>
      <c r="R209" s="80"/>
      <c r="S209" s="80">
        <f t="shared" si="120"/>
        <v>0</v>
      </c>
      <c r="T209" s="80">
        <f t="shared" si="121"/>
        <v>0</v>
      </c>
      <c r="U209" s="80">
        <f t="shared" si="129"/>
        <v>0</v>
      </c>
      <c r="V209" s="80">
        <f t="shared" si="129"/>
        <v>0</v>
      </c>
      <c r="W209" s="80">
        <f t="shared" si="129"/>
        <v>0</v>
      </c>
      <c r="X209" s="80">
        <f t="shared" si="129"/>
        <v>0</v>
      </c>
      <c r="Y209" s="80">
        <f t="shared" si="129"/>
        <v>0</v>
      </c>
      <c r="Z209" s="80">
        <f t="shared" ref="Z209:AG209" si="130">Z433</f>
        <v>0</v>
      </c>
      <c r="AA209" s="80">
        <f t="shared" si="130"/>
        <v>0</v>
      </c>
      <c r="AB209" s="80">
        <f t="shared" si="130"/>
        <v>0</v>
      </c>
      <c r="AC209" s="80">
        <f t="shared" si="130"/>
        <v>0</v>
      </c>
      <c r="AD209" s="80">
        <f t="shared" si="130"/>
        <v>0</v>
      </c>
      <c r="AE209" s="80">
        <f t="shared" si="130"/>
        <v>0</v>
      </c>
      <c r="AF209" s="80">
        <f t="shared" si="130"/>
        <v>0</v>
      </c>
      <c r="AG209" s="80">
        <f t="shared" si="130"/>
        <v>0</v>
      </c>
      <c r="AH209" s="80"/>
      <c r="AI209" s="80"/>
    </row>
    <row r="210" spans="1:35" ht="15.75" hidden="1" customHeight="1" outlineLevel="1">
      <c r="B210" s="76"/>
      <c r="C210" s="110" t="s">
        <v>1354</v>
      </c>
      <c r="D210" s="110"/>
      <c r="E210" s="515"/>
      <c r="F210" s="80"/>
      <c r="G210" s="80"/>
      <c r="H210" s="88"/>
      <c r="I210" s="80"/>
      <c r="J210" s="80"/>
      <c r="K210" s="80"/>
      <c r="L210" s="80"/>
      <c r="M210" s="80"/>
      <c r="N210" s="80"/>
      <c r="O210" s="80"/>
      <c r="P210" s="80">
        <f t="shared" ref="P210:Y210" si="131">P420</f>
        <v>7000000</v>
      </c>
      <c r="Q210" s="80">
        <f t="shared" si="131"/>
        <v>11875000</v>
      </c>
      <c r="R210" s="80"/>
      <c r="S210" s="80">
        <f t="shared" si="120"/>
        <v>11875000</v>
      </c>
      <c r="T210" s="80">
        <f t="shared" si="121"/>
        <v>11875000</v>
      </c>
      <c r="U210" s="80">
        <f t="shared" si="131"/>
        <v>4375000</v>
      </c>
      <c r="V210" s="80">
        <f t="shared" si="131"/>
        <v>0</v>
      </c>
      <c r="W210" s="80">
        <f t="shared" si="131"/>
        <v>0</v>
      </c>
      <c r="X210" s="80">
        <f t="shared" si="131"/>
        <v>0</v>
      </c>
      <c r="Y210" s="80">
        <f t="shared" si="131"/>
        <v>0</v>
      </c>
      <c r="Z210" s="80">
        <f t="shared" ref="Z210:AG210" si="132">Z420</f>
        <v>0</v>
      </c>
      <c r="AA210" s="80">
        <f t="shared" si="132"/>
        <v>0</v>
      </c>
      <c r="AB210" s="80">
        <f t="shared" si="132"/>
        <v>0</v>
      </c>
      <c r="AC210" s="80">
        <f t="shared" si="132"/>
        <v>0</v>
      </c>
      <c r="AD210" s="80">
        <f t="shared" si="132"/>
        <v>0</v>
      </c>
      <c r="AE210" s="80">
        <f t="shared" si="132"/>
        <v>0</v>
      </c>
      <c r="AF210" s="80">
        <f t="shared" si="132"/>
        <v>0</v>
      </c>
      <c r="AG210" s="80">
        <f t="shared" si="132"/>
        <v>0</v>
      </c>
      <c r="AH210" s="80"/>
      <c r="AI210" s="80"/>
    </row>
    <row r="211" spans="1:35" ht="15.75" hidden="1" customHeight="1" outlineLevel="1">
      <c r="B211" s="76"/>
      <c r="C211" s="110" t="s">
        <v>1355</v>
      </c>
      <c r="D211" s="110"/>
      <c r="E211" s="515"/>
      <c r="F211" s="80"/>
      <c r="G211" s="80"/>
      <c r="H211" s="88"/>
      <c r="I211" s="80"/>
      <c r="J211" s="80"/>
      <c r="K211" s="80"/>
      <c r="L211" s="80"/>
      <c r="M211" s="80"/>
      <c r="N211" s="80"/>
      <c r="O211" s="80"/>
      <c r="P211" s="80">
        <f t="shared" ref="P211:Y211" si="133">O211</f>
        <v>0</v>
      </c>
      <c r="Q211" s="80">
        <f t="shared" si="133"/>
        <v>0</v>
      </c>
      <c r="R211" s="80"/>
      <c r="S211" s="80">
        <f t="shared" si="120"/>
        <v>0</v>
      </c>
      <c r="T211" s="80">
        <f t="shared" si="121"/>
        <v>0</v>
      </c>
      <c r="U211" s="80">
        <f>Q211</f>
        <v>0</v>
      </c>
      <c r="V211" s="80">
        <f t="shared" si="133"/>
        <v>0</v>
      </c>
      <c r="W211" s="80">
        <f t="shared" si="133"/>
        <v>0</v>
      </c>
      <c r="X211" s="80">
        <f t="shared" si="133"/>
        <v>0</v>
      </c>
      <c r="Y211" s="80">
        <f t="shared" si="133"/>
        <v>0</v>
      </c>
      <c r="Z211" s="80">
        <f t="shared" ref="Z211:AG211" si="134">Y211</f>
        <v>0</v>
      </c>
      <c r="AA211" s="80">
        <f t="shared" si="134"/>
        <v>0</v>
      </c>
      <c r="AB211" s="80">
        <f t="shared" si="134"/>
        <v>0</v>
      </c>
      <c r="AC211" s="80">
        <f t="shared" si="134"/>
        <v>0</v>
      </c>
      <c r="AD211" s="80">
        <f t="shared" si="134"/>
        <v>0</v>
      </c>
      <c r="AE211" s="80">
        <f t="shared" si="134"/>
        <v>0</v>
      </c>
      <c r="AF211" s="80">
        <f t="shared" si="134"/>
        <v>0</v>
      </c>
      <c r="AG211" s="80">
        <f t="shared" si="134"/>
        <v>0</v>
      </c>
      <c r="AH211" s="80"/>
      <c r="AI211" s="80"/>
    </row>
    <row r="212" spans="1:35" ht="15.75" hidden="1" customHeight="1" outlineLevel="1">
      <c r="B212" s="76"/>
      <c r="C212" s="110"/>
      <c r="D212" s="110"/>
      <c r="E212" s="110"/>
      <c r="F212" s="110"/>
      <c r="G212" s="110"/>
      <c r="H212" s="88"/>
      <c r="I212" s="80"/>
      <c r="J212" s="80"/>
      <c r="K212" s="80"/>
      <c r="L212" s="80"/>
      <c r="M212" s="100"/>
      <c r="N212" s="100"/>
      <c r="O212" s="100"/>
      <c r="P212" s="100"/>
      <c r="Q212" s="100"/>
      <c r="R212" s="100"/>
      <c r="S212" s="100">
        <f t="shared" si="120"/>
        <v>0</v>
      </c>
      <c r="T212" s="100">
        <f t="shared" si="121"/>
        <v>0</v>
      </c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  <c r="AI212" s="100"/>
    </row>
    <row r="213" spans="1:35" ht="15.75" hidden="1" customHeight="1" outlineLevel="1">
      <c r="B213" s="76"/>
      <c r="C213" s="110" t="s">
        <v>1356</v>
      </c>
      <c r="D213" s="110"/>
      <c r="E213" s="110"/>
      <c r="F213" s="110"/>
      <c r="G213" s="110"/>
      <c r="H213" s="88"/>
      <c r="I213" s="80"/>
      <c r="J213" s="80"/>
      <c r="K213" s="80"/>
      <c r="L213" s="80"/>
      <c r="M213" s="80"/>
      <c r="N213" s="80"/>
      <c r="O213" s="80"/>
      <c r="P213" s="80">
        <f t="shared" ref="P213:Y213" si="135">SUM(P207:P211)</f>
        <v>7000000</v>
      </c>
      <c r="Q213" s="80">
        <f t="shared" si="135"/>
        <v>11875000</v>
      </c>
      <c r="R213" s="80"/>
      <c r="S213" s="80">
        <f t="shared" si="120"/>
        <v>11875000</v>
      </c>
      <c r="T213" s="80">
        <f t="shared" si="121"/>
        <v>11875000</v>
      </c>
      <c r="U213" s="80">
        <f t="shared" si="135"/>
        <v>4375000</v>
      </c>
      <c r="V213" s="80">
        <f t="shared" si="135"/>
        <v>0</v>
      </c>
      <c r="W213" s="80">
        <f t="shared" si="135"/>
        <v>0</v>
      </c>
      <c r="X213" s="80">
        <f t="shared" si="135"/>
        <v>0</v>
      </c>
      <c r="Y213" s="80">
        <f t="shared" si="135"/>
        <v>0</v>
      </c>
      <c r="Z213" s="80">
        <f t="shared" ref="Z213:AG213" si="136">SUM(Z207:Z211)</f>
        <v>0</v>
      </c>
      <c r="AA213" s="80">
        <f t="shared" si="136"/>
        <v>0</v>
      </c>
      <c r="AB213" s="80">
        <f t="shared" si="136"/>
        <v>0</v>
      </c>
      <c r="AC213" s="80">
        <f t="shared" si="136"/>
        <v>0</v>
      </c>
      <c r="AD213" s="80">
        <f t="shared" si="136"/>
        <v>0</v>
      </c>
      <c r="AE213" s="80">
        <f t="shared" si="136"/>
        <v>0</v>
      </c>
      <c r="AF213" s="80">
        <f t="shared" si="136"/>
        <v>0</v>
      </c>
      <c r="AG213" s="80">
        <f t="shared" si="136"/>
        <v>0</v>
      </c>
      <c r="AH213" s="80"/>
      <c r="AI213" s="80"/>
    </row>
    <row r="214" spans="1:35" ht="15.75" hidden="1" customHeight="1" outlineLevel="1">
      <c r="B214" s="76"/>
      <c r="C214" s="372"/>
      <c r="D214" s="110"/>
      <c r="E214" s="515"/>
      <c r="F214" s="80"/>
      <c r="G214" s="80"/>
      <c r="H214" s="88"/>
      <c r="I214" s="80"/>
      <c r="J214" s="80"/>
      <c r="K214" s="80"/>
      <c r="L214" s="80"/>
      <c r="M214" s="100"/>
      <c r="N214" s="100"/>
      <c r="O214" s="100"/>
      <c r="P214" s="100"/>
      <c r="Q214" s="100"/>
      <c r="R214" s="100"/>
      <c r="S214" s="100">
        <f t="shared" si="120"/>
        <v>0</v>
      </c>
      <c r="T214" s="100">
        <f t="shared" si="121"/>
        <v>0</v>
      </c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  <c r="AI214" s="100"/>
    </row>
    <row r="215" spans="1:35" ht="15.75" hidden="1" customHeight="1" outlineLevel="1">
      <c r="B215" s="76"/>
      <c r="C215" s="110" t="s">
        <v>1357</v>
      </c>
      <c r="D215" s="110"/>
      <c r="E215" s="110"/>
      <c r="F215" s="110"/>
      <c r="G215" s="110"/>
      <c r="H215" s="88"/>
      <c r="I215" s="80"/>
      <c r="J215" s="80"/>
      <c r="K215" s="80"/>
      <c r="L215" s="80"/>
      <c r="M215" s="80"/>
      <c r="N215" s="80"/>
      <c r="O215" s="80"/>
      <c r="P215" s="80">
        <f t="shared" ref="P215:Y215" si="137">P393</f>
        <v>-698333.33333333337</v>
      </c>
      <c r="Q215" s="80">
        <f t="shared" si="137"/>
        <v>35992190.563309982</v>
      </c>
      <c r="R215" s="80"/>
      <c r="S215" s="80">
        <f t="shared" si="120"/>
        <v>35992190.563309982</v>
      </c>
      <c r="T215" s="80">
        <f t="shared" si="121"/>
        <v>35992190.563309982</v>
      </c>
      <c r="U215" s="80">
        <f t="shared" si="137"/>
        <v>57217386.017889559</v>
      </c>
      <c r="V215" s="80">
        <f t="shared" si="137"/>
        <v>86842322.198251009</v>
      </c>
      <c r="W215" s="80">
        <f t="shared" si="137"/>
        <v>119190556.29249212</v>
      </c>
      <c r="X215" s="80">
        <f t="shared" si="137"/>
        <v>154545193.27658737</v>
      </c>
      <c r="Y215" s="80">
        <f t="shared" si="137"/>
        <v>192091827.7496112</v>
      </c>
      <c r="Z215" s="80">
        <f t="shared" ref="Z215:AG215" si="138">Z393</f>
        <v>229632804.95913503</v>
      </c>
      <c r="AA215" s="80">
        <f t="shared" si="138"/>
        <v>267168124.90515888</v>
      </c>
      <c r="AB215" s="80">
        <f t="shared" si="138"/>
        <v>304697787.58768272</v>
      </c>
      <c r="AC215" s="80">
        <f t="shared" si="138"/>
        <v>342221793.00670654</v>
      </c>
      <c r="AD215" s="80">
        <f t="shared" si="138"/>
        <v>379740141.16223037</v>
      </c>
      <c r="AE215" s="80">
        <f t="shared" si="138"/>
        <v>408892647.18078828</v>
      </c>
      <c r="AF215" s="80">
        <f t="shared" si="138"/>
        <v>438039369.79934621</v>
      </c>
      <c r="AG215" s="80">
        <f t="shared" si="138"/>
        <v>460560108.21419251</v>
      </c>
      <c r="AH215" s="80"/>
      <c r="AI215" s="80"/>
    </row>
    <row r="216" spans="1:35" ht="15.75" hidden="1" customHeight="1" outlineLevel="1">
      <c r="B216" s="76"/>
      <c r="C216" s="110"/>
      <c r="D216" s="110"/>
      <c r="E216" s="515"/>
      <c r="F216" s="80"/>
      <c r="G216" s="80"/>
      <c r="H216" s="514"/>
      <c r="I216" s="80"/>
      <c r="J216" s="80"/>
      <c r="K216" s="80"/>
      <c r="L216" s="80"/>
      <c r="M216" s="100"/>
      <c r="N216" s="100"/>
      <c r="O216" s="100"/>
      <c r="P216" s="100"/>
      <c r="Q216" s="100"/>
      <c r="R216" s="100"/>
      <c r="S216" s="100">
        <f t="shared" si="120"/>
        <v>0</v>
      </c>
      <c r="T216" s="100">
        <f t="shared" si="121"/>
        <v>0</v>
      </c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  <c r="AI216" s="100"/>
    </row>
    <row r="217" spans="1:35" ht="15.75" hidden="1" customHeight="1" outlineLevel="1">
      <c r="B217" s="76"/>
      <c r="C217" s="472" t="s">
        <v>1358</v>
      </c>
      <c r="D217" s="472"/>
      <c r="E217" s="517"/>
      <c r="F217" s="115"/>
      <c r="G217" s="115"/>
      <c r="H217" s="498"/>
      <c r="I217" s="115"/>
      <c r="J217" s="115"/>
      <c r="K217" s="115"/>
      <c r="L217" s="115"/>
      <c r="M217" s="115"/>
      <c r="N217" s="115"/>
      <c r="O217" s="115"/>
      <c r="P217" s="115">
        <f t="shared" ref="P217:Y217" si="139">SUM(P213:P215)</f>
        <v>6301666.666666667</v>
      </c>
      <c r="Q217" s="115">
        <f t="shared" si="139"/>
        <v>47867190.563309982</v>
      </c>
      <c r="R217" s="115"/>
      <c r="S217" s="115">
        <f t="shared" si="120"/>
        <v>47867190.563309982</v>
      </c>
      <c r="T217" s="115">
        <f t="shared" si="121"/>
        <v>47867190.563309982</v>
      </c>
      <c r="U217" s="115">
        <f t="shared" si="139"/>
        <v>61592386.017889559</v>
      </c>
      <c r="V217" s="115">
        <f t="shared" si="139"/>
        <v>86842322.198251009</v>
      </c>
      <c r="W217" s="115">
        <f t="shared" si="139"/>
        <v>119190556.29249212</v>
      </c>
      <c r="X217" s="115">
        <f t="shared" si="139"/>
        <v>154545193.27658737</v>
      </c>
      <c r="Y217" s="115">
        <f t="shared" si="139"/>
        <v>192091827.7496112</v>
      </c>
      <c r="Z217" s="115">
        <f t="shared" ref="Z217:AG217" si="140">SUM(Z213:Z215)</f>
        <v>229632804.95913503</v>
      </c>
      <c r="AA217" s="115">
        <f t="shared" si="140"/>
        <v>267168124.90515888</v>
      </c>
      <c r="AB217" s="115">
        <f t="shared" si="140"/>
        <v>304697787.58768272</v>
      </c>
      <c r="AC217" s="115">
        <f t="shared" si="140"/>
        <v>342221793.00670654</v>
      </c>
      <c r="AD217" s="115">
        <f t="shared" si="140"/>
        <v>379740141.16223037</v>
      </c>
      <c r="AE217" s="115">
        <f t="shared" si="140"/>
        <v>408892647.18078828</v>
      </c>
      <c r="AF217" s="115">
        <f t="shared" si="140"/>
        <v>438039369.79934621</v>
      </c>
      <c r="AG217" s="115">
        <f t="shared" si="140"/>
        <v>460560108.21419251</v>
      </c>
      <c r="AH217" s="115"/>
      <c r="AI217" s="115"/>
    </row>
    <row r="218" spans="1:35" ht="15.75" hidden="1" customHeight="1" outlineLevel="1">
      <c r="B218" s="76"/>
      <c r="C218" s="374"/>
      <c r="D218" s="110"/>
      <c r="E218" s="515"/>
      <c r="F218" s="80"/>
      <c r="G218" s="80"/>
      <c r="H218" s="514"/>
      <c r="I218" s="110"/>
      <c r="J218" s="110"/>
      <c r="K218" s="110"/>
      <c r="L218" s="110"/>
      <c r="M218" s="87"/>
      <c r="N218" s="100"/>
      <c r="O218" s="100"/>
      <c r="P218" s="100"/>
      <c r="Q218" s="100"/>
      <c r="R218" s="100"/>
      <c r="S218" s="100">
        <f t="shared" si="120"/>
        <v>0</v>
      </c>
      <c r="T218" s="100">
        <f t="shared" si="121"/>
        <v>0</v>
      </c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  <c r="AI218" s="100"/>
    </row>
    <row r="219" spans="1:35" s="158" customFormat="1" ht="15.75" hidden="1" customHeight="1" outlineLevel="1">
      <c r="A219" s="565"/>
      <c r="B219" s="518"/>
      <c r="C219" s="566" t="s">
        <v>365</v>
      </c>
      <c r="D219" s="519"/>
      <c r="E219" s="519"/>
      <c r="F219" s="519"/>
      <c r="G219" s="519"/>
      <c r="H219" s="520"/>
      <c r="I219" s="567"/>
      <c r="J219" s="567"/>
      <c r="K219" s="567"/>
      <c r="L219" s="567"/>
      <c r="M219" s="567"/>
      <c r="N219" s="567"/>
      <c r="O219" s="567"/>
      <c r="P219" s="567">
        <f t="shared" ref="P219:Y219" si="141">P217-P200</f>
        <v>0</v>
      </c>
      <c r="Q219" s="567">
        <f t="shared" si="141"/>
        <v>0</v>
      </c>
      <c r="R219" s="567"/>
      <c r="S219" s="567">
        <f t="shared" si="120"/>
        <v>0</v>
      </c>
      <c r="T219" s="567">
        <f t="shared" si="121"/>
        <v>0</v>
      </c>
      <c r="U219" s="567">
        <f t="shared" si="141"/>
        <v>0</v>
      </c>
      <c r="V219" s="567">
        <f t="shared" si="141"/>
        <v>0</v>
      </c>
      <c r="W219" s="567">
        <f t="shared" si="141"/>
        <v>0</v>
      </c>
      <c r="X219" s="567">
        <f t="shared" si="141"/>
        <v>0</v>
      </c>
      <c r="Y219" s="567">
        <f t="shared" si="141"/>
        <v>0</v>
      </c>
      <c r="Z219" s="567">
        <f t="shared" ref="Z219:AG219" si="142">Z217-Z200</f>
        <v>0</v>
      </c>
      <c r="AA219" s="567">
        <f t="shared" si="142"/>
        <v>0</v>
      </c>
      <c r="AB219" s="567">
        <f t="shared" si="142"/>
        <v>0</v>
      </c>
      <c r="AC219" s="567">
        <f t="shared" si="142"/>
        <v>0</v>
      </c>
      <c r="AD219" s="567">
        <f t="shared" si="142"/>
        <v>0</v>
      </c>
      <c r="AE219" s="567">
        <f t="shared" si="142"/>
        <v>0</v>
      </c>
      <c r="AF219" s="567">
        <f t="shared" si="142"/>
        <v>0</v>
      </c>
      <c r="AG219" s="567">
        <f t="shared" si="142"/>
        <v>0</v>
      </c>
      <c r="AH219" s="567"/>
      <c r="AI219" s="567"/>
    </row>
    <row r="220" spans="1:35" ht="15.75" hidden="1" customHeight="1" outlineLevel="1">
      <c r="B220" s="76"/>
      <c r="C220" s="102"/>
      <c r="D220" s="102"/>
      <c r="E220" s="102"/>
      <c r="F220" s="102"/>
      <c r="G220" s="102"/>
      <c r="I220" s="151"/>
      <c r="J220" s="151"/>
      <c r="K220" s="151"/>
      <c r="L220" s="151"/>
      <c r="M220" s="437"/>
      <c r="N220" s="437"/>
      <c r="O220" s="437"/>
      <c r="P220" s="437"/>
      <c r="Q220" s="437"/>
      <c r="R220" s="437"/>
      <c r="S220" s="437">
        <f t="shared" si="120"/>
        <v>0</v>
      </c>
      <c r="T220" s="437">
        <f t="shared" si="121"/>
        <v>0</v>
      </c>
      <c r="U220" s="437"/>
      <c r="V220" s="437"/>
      <c r="W220" s="437"/>
      <c r="X220" s="437"/>
      <c r="Y220" s="437"/>
      <c r="Z220" s="437"/>
      <c r="AA220" s="437"/>
      <c r="AB220" s="437"/>
      <c r="AC220" s="437"/>
      <c r="AD220" s="437"/>
      <c r="AE220" s="437"/>
      <c r="AF220" s="437"/>
      <c r="AG220" s="437"/>
      <c r="AH220" s="437"/>
      <c r="AI220" s="437"/>
    </row>
    <row r="221" spans="1:35" ht="15.75" hidden="1" customHeight="1" outlineLevel="1">
      <c r="B221" s="76"/>
      <c r="C221" s="75"/>
      <c r="D221" s="111" t="s">
        <v>447</v>
      </c>
      <c r="E221" s="111"/>
      <c r="F221" s="111"/>
      <c r="G221" s="111"/>
      <c r="H221" s="111"/>
      <c r="I221" s="116"/>
      <c r="J221" s="116"/>
      <c r="K221" s="116"/>
      <c r="L221" s="116"/>
      <c r="M221" s="438"/>
      <c r="N221" s="438"/>
      <c r="O221" s="438"/>
      <c r="P221" s="438">
        <f t="shared" ref="P221:Y221" si="143">P215/(P215+P209+P210)</f>
        <v>-0.11081724411531341</v>
      </c>
      <c r="Q221" s="438">
        <f t="shared" si="143"/>
        <v>0.75191775702202712</v>
      </c>
      <c r="R221" s="438"/>
      <c r="S221" s="438">
        <f t="shared" si="120"/>
        <v>0.75191775702202712</v>
      </c>
      <c r="T221" s="438">
        <f t="shared" si="121"/>
        <v>0.75191775702202712</v>
      </c>
      <c r="U221" s="438">
        <f t="shared" si="143"/>
        <v>0.92896849297688711</v>
      </c>
      <c r="V221" s="438">
        <f t="shared" si="143"/>
        <v>1</v>
      </c>
      <c r="W221" s="438">
        <f t="shared" si="143"/>
        <v>1</v>
      </c>
      <c r="X221" s="438">
        <f t="shared" si="143"/>
        <v>1</v>
      </c>
      <c r="Y221" s="438">
        <f t="shared" si="143"/>
        <v>1</v>
      </c>
      <c r="Z221" s="438">
        <f t="shared" ref="Z221:AG221" si="144">Z215/(Z215+Z209+Z210)</f>
        <v>1</v>
      </c>
      <c r="AA221" s="438">
        <f t="shared" si="144"/>
        <v>1</v>
      </c>
      <c r="AB221" s="438">
        <f t="shared" si="144"/>
        <v>1</v>
      </c>
      <c r="AC221" s="438">
        <f t="shared" si="144"/>
        <v>1</v>
      </c>
      <c r="AD221" s="438">
        <f t="shared" si="144"/>
        <v>1</v>
      </c>
      <c r="AE221" s="438">
        <f t="shared" si="144"/>
        <v>1</v>
      </c>
      <c r="AF221" s="438">
        <f t="shared" si="144"/>
        <v>1</v>
      </c>
      <c r="AG221" s="438">
        <f t="shared" si="144"/>
        <v>1</v>
      </c>
      <c r="AH221" s="438"/>
      <c r="AI221" s="438"/>
    </row>
    <row r="222" spans="1:35" ht="15.75" hidden="1" customHeight="1" outlineLevel="1">
      <c r="B222" s="76"/>
      <c r="C222" s="75"/>
      <c r="D222" s="110" t="s">
        <v>448</v>
      </c>
      <c r="E222" s="110"/>
      <c r="F222" s="110"/>
      <c r="G222" s="110"/>
      <c r="H222" s="110"/>
      <c r="I222" s="116"/>
      <c r="J222" s="116"/>
      <c r="K222" s="116"/>
      <c r="L222" s="116"/>
      <c r="M222" s="438"/>
      <c r="N222" s="438"/>
      <c r="O222" s="438"/>
      <c r="P222" s="438">
        <f t="shared" ref="P222:Y222" si="145">1-P221</f>
        <v>1.1108172441153135</v>
      </c>
      <c r="Q222" s="438">
        <f t="shared" si="145"/>
        <v>0.24808224297797288</v>
      </c>
      <c r="R222" s="438"/>
      <c r="S222" s="438">
        <f t="shared" si="120"/>
        <v>0.24808224297797288</v>
      </c>
      <c r="T222" s="438">
        <f t="shared" si="121"/>
        <v>0.24808224297797288</v>
      </c>
      <c r="U222" s="438">
        <f t="shared" si="145"/>
        <v>7.1031507023112894E-2</v>
      </c>
      <c r="V222" s="438">
        <f t="shared" si="145"/>
        <v>0</v>
      </c>
      <c r="W222" s="438">
        <f t="shared" si="145"/>
        <v>0</v>
      </c>
      <c r="X222" s="438">
        <f t="shared" si="145"/>
        <v>0</v>
      </c>
      <c r="Y222" s="438">
        <f t="shared" si="145"/>
        <v>0</v>
      </c>
      <c r="Z222" s="438">
        <f t="shared" ref="Z222:AG222" si="146">1-Z221</f>
        <v>0</v>
      </c>
      <c r="AA222" s="438">
        <f t="shared" si="146"/>
        <v>0</v>
      </c>
      <c r="AB222" s="438">
        <f t="shared" si="146"/>
        <v>0</v>
      </c>
      <c r="AC222" s="438">
        <f t="shared" si="146"/>
        <v>0</v>
      </c>
      <c r="AD222" s="438">
        <f t="shared" si="146"/>
        <v>0</v>
      </c>
      <c r="AE222" s="438">
        <f t="shared" si="146"/>
        <v>0</v>
      </c>
      <c r="AF222" s="438">
        <f t="shared" si="146"/>
        <v>0</v>
      </c>
      <c r="AG222" s="438">
        <f t="shared" si="146"/>
        <v>0</v>
      </c>
      <c r="AH222" s="438"/>
      <c r="AI222" s="438"/>
    </row>
    <row r="223" spans="1:35" ht="15.75" hidden="1" customHeight="1" outlineLevel="1">
      <c r="B223" s="76"/>
      <c r="C223" s="75"/>
      <c r="D223" s="110"/>
      <c r="E223" s="110"/>
      <c r="F223" s="110"/>
      <c r="G223" s="110"/>
      <c r="H223" s="110"/>
      <c r="I223" s="116"/>
      <c r="J223" s="116"/>
      <c r="K223" s="116"/>
      <c r="L223" s="116"/>
      <c r="M223" s="438"/>
      <c r="N223" s="438"/>
      <c r="O223" s="438"/>
      <c r="P223" s="438"/>
      <c r="Q223" s="438"/>
      <c r="R223" s="438"/>
      <c r="S223" s="438">
        <f t="shared" si="120"/>
        <v>0</v>
      </c>
      <c r="T223" s="438">
        <f t="shared" si="121"/>
        <v>0</v>
      </c>
      <c r="U223" s="438"/>
      <c r="V223" s="438"/>
      <c r="W223" s="438"/>
      <c r="X223" s="438"/>
      <c r="Y223" s="438"/>
      <c r="Z223" s="438"/>
      <c r="AA223" s="438"/>
      <c r="AB223" s="438"/>
      <c r="AC223" s="438"/>
      <c r="AD223" s="438"/>
      <c r="AE223" s="438"/>
      <c r="AF223" s="438"/>
      <c r="AG223" s="438"/>
      <c r="AH223" s="438"/>
      <c r="AI223" s="438"/>
    </row>
    <row r="224" spans="1:35" ht="15.75" hidden="1" customHeight="1" outlineLevel="1">
      <c r="B224" s="111"/>
      <c r="C224" s="117"/>
      <c r="D224" s="117"/>
      <c r="E224" s="117"/>
      <c r="F224" s="117"/>
      <c r="G224" s="117"/>
      <c r="H224" s="88"/>
      <c r="I224" s="117"/>
      <c r="J224" s="117"/>
      <c r="K224" s="118"/>
      <c r="L224" s="118"/>
      <c r="M224" s="118"/>
      <c r="N224" s="117"/>
      <c r="O224" s="117"/>
      <c r="P224" s="117"/>
      <c r="Q224" s="117"/>
      <c r="R224" s="117"/>
      <c r="S224" s="117">
        <f t="shared" si="120"/>
        <v>0</v>
      </c>
      <c r="T224" s="117">
        <f t="shared" si="121"/>
        <v>0</v>
      </c>
      <c r="U224" s="117"/>
      <c r="V224" s="117"/>
      <c r="W224" s="117"/>
      <c r="X224" s="11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</row>
    <row r="225" spans="1:35" s="152" customFormat="1" ht="15.75" hidden="1" customHeight="1" outlineLevel="1">
      <c r="A225" s="568"/>
      <c r="C225" s="521"/>
      <c r="D225" s="439"/>
      <c r="E225" s="439"/>
      <c r="F225" s="439"/>
      <c r="G225" s="439"/>
      <c r="H225" s="522"/>
      <c r="I225" s="439"/>
      <c r="J225" s="439"/>
      <c r="L225" s="139"/>
      <c r="M225" s="439"/>
      <c r="N225" s="439"/>
      <c r="O225" s="439"/>
      <c r="P225" s="439"/>
      <c r="Q225" s="439"/>
      <c r="R225" s="439"/>
      <c r="S225" s="439">
        <f t="shared" si="120"/>
        <v>0</v>
      </c>
      <c r="T225" s="439">
        <f t="shared" si="121"/>
        <v>0</v>
      </c>
      <c r="U225" s="439"/>
      <c r="V225" s="439"/>
      <c r="W225" s="439"/>
      <c r="X225" s="439"/>
      <c r="Y225" s="439"/>
      <c r="Z225" s="439"/>
      <c r="AA225" s="439"/>
      <c r="AB225" s="439"/>
      <c r="AC225" s="439"/>
      <c r="AD225" s="439"/>
      <c r="AE225" s="439"/>
      <c r="AF225" s="439"/>
      <c r="AG225" s="439"/>
      <c r="AH225" s="439"/>
      <c r="AI225" s="439"/>
    </row>
    <row r="226" spans="1:35" ht="15.75" hidden="1" customHeight="1" outlineLevel="1">
      <c r="B226" s="111"/>
      <c r="C226" s="117"/>
      <c r="D226" s="117"/>
      <c r="E226" s="117"/>
      <c r="F226" s="117"/>
      <c r="G226" s="117"/>
      <c r="H226" s="88"/>
      <c r="I226" s="117"/>
      <c r="J226" s="117"/>
      <c r="K226" s="118"/>
      <c r="L226" s="118"/>
      <c r="M226" s="118"/>
      <c r="N226" s="117"/>
      <c r="O226" s="117"/>
      <c r="P226" s="117"/>
      <c r="Q226" s="117"/>
      <c r="R226" s="117"/>
      <c r="S226" s="117">
        <f t="shared" si="120"/>
        <v>0</v>
      </c>
      <c r="T226" s="117">
        <f t="shared" si="121"/>
        <v>0</v>
      </c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</row>
    <row r="227" spans="1:35" ht="27" collapsed="1">
      <c r="B227" s="111"/>
      <c r="C227" s="499" t="s">
        <v>131</v>
      </c>
      <c r="I227" s="117"/>
      <c r="J227" s="102"/>
      <c r="K227" s="103"/>
      <c r="L227" s="137"/>
      <c r="M227" s="435"/>
      <c r="N227" s="435"/>
      <c r="O227" s="435"/>
      <c r="P227" s="435"/>
      <c r="Q227" s="435"/>
      <c r="R227" s="435"/>
      <c r="S227" s="435">
        <f t="shared" si="120"/>
        <v>0</v>
      </c>
      <c r="T227" s="435">
        <f t="shared" si="121"/>
        <v>0</v>
      </c>
      <c r="U227" s="435"/>
      <c r="V227" s="435"/>
      <c r="W227" s="435"/>
      <c r="X227" s="435"/>
      <c r="Y227" s="435"/>
      <c r="Z227" s="435"/>
      <c r="AA227" s="435"/>
      <c r="AB227" s="435"/>
      <c r="AC227" s="435"/>
      <c r="AD227" s="435"/>
      <c r="AE227" s="435"/>
      <c r="AF227" s="435"/>
      <c r="AG227" s="435"/>
      <c r="AH227" s="435"/>
      <c r="AI227" s="435"/>
    </row>
    <row r="228" spans="1:35" ht="3" customHeight="1">
      <c r="B228" s="111"/>
      <c r="C228" s="104"/>
      <c r="D228" s="104"/>
      <c r="E228" s="104"/>
      <c r="F228" s="104"/>
      <c r="G228" s="104"/>
      <c r="H228" s="465"/>
      <c r="I228" s="104"/>
      <c r="J228" s="104"/>
      <c r="K228" s="104"/>
      <c r="L228" s="104"/>
      <c r="M228" s="104"/>
      <c r="N228" s="420"/>
      <c r="O228" s="420"/>
      <c r="P228" s="420"/>
      <c r="Q228" s="420"/>
      <c r="R228" s="420"/>
      <c r="S228" s="420">
        <f t="shared" si="120"/>
        <v>0</v>
      </c>
      <c r="T228" s="420">
        <f t="shared" si="121"/>
        <v>0</v>
      </c>
      <c r="U228" s="420"/>
      <c r="V228" s="420"/>
      <c r="W228" s="420"/>
      <c r="X228" s="420"/>
      <c r="Y228" s="420"/>
      <c r="Z228" s="420"/>
      <c r="AA228" s="420"/>
      <c r="AB228" s="420"/>
      <c r="AC228" s="420"/>
      <c r="AD228" s="420"/>
      <c r="AE228" s="420"/>
      <c r="AF228" s="420"/>
      <c r="AG228" s="420"/>
      <c r="AH228" s="420"/>
      <c r="AI228" s="420"/>
    </row>
    <row r="229" spans="1:35" ht="15.75" customHeight="1">
      <c r="B229" s="111"/>
      <c r="C229" s="75"/>
      <c r="I229" s="117"/>
      <c r="J229" s="102"/>
      <c r="K229" s="103"/>
      <c r="L229" s="137"/>
      <c r="M229" s="435"/>
      <c r="N229" s="435"/>
      <c r="O229" s="435"/>
      <c r="P229" s="435"/>
      <c r="Q229" s="435"/>
      <c r="R229" s="435"/>
      <c r="S229" s="435">
        <f t="shared" si="120"/>
        <v>0</v>
      </c>
      <c r="T229" s="435">
        <f t="shared" si="121"/>
        <v>0</v>
      </c>
      <c r="U229" s="435"/>
      <c r="V229" s="435"/>
      <c r="W229" s="435"/>
      <c r="X229" s="435"/>
      <c r="Y229" s="435"/>
      <c r="Z229" s="435"/>
      <c r="AA229" s="435"/>
      <c r="AB229" s="435"/>
      <c r="AC229" s="435"/>
      <c r="AD229" s="435"/>
      <c r="AE229" s="435"/>
      <c r="AF229" s="435"/>
      <c r="AG229" s="435"/>
      <c r="AH229" s="435"/>
      <c r="AI229" s="435"/>
    </row>
    <row r="230" spans="1:35" ht="9.75" customHeight="1">
      <c r="B230" s="76"/>
      <c r="C230" s="480"/>
      <c r="I230" s="117"/>
      <c r="J230" s="500"/>
      <c r="K230" s="105"/>
      <c r="L230" s="138"/>
      <c r="M230" s="138"/>
      <c r="N230" s="138"/>
      <c r="O230" s="138"/>
      <c r="P230" s="138"/>
      <c r="Q230" s="138"/>
      <c r="R230" s="138"/>
      <c r="S230" s="138">
        <f t="shared" si="120"/>
        <v>0</v>
      </c>
      <c r="T230" s="138">
        <f t="shared" si="121"/>
        <v>0</v>
      </c>
      <c r="U230" s="138"/>
      <c r="V230" s="138"/>
      <c r="W230" s="138"/>
      <c r="X230" s="138"/>
      <c r="Y230" s="138"/>
      <c r="Z230" s="138"/>
      <c r="AA230" s="138"/>
      <c r="AB230" s="138"/>
      <c r="AC230" s="138"/>
      <c r="AD230" s="138"/>
      <c r="AE230" s="138"/>
      <c r="AF230" s="138"/>
      <c r="AG230" s="138"/>
      <c r="AH230" s="138"/>
      <c r="AI230" s="138"/>
    </row>
    <row r="231" spans="1:35">
      <c r="B231" s="76"/>
      <c r="C231" s="501"/>
      <c r="D231" s="106"/>
      <c r="E231" s="106"/>
      <c r="F231" s="106"/>
      <c r="G231" s="106"/>
      <c r="H231" s="502"/>
      <c r="I231" s="92">
        <v>0</v>
      </c>
      <c r="J231" s="92">
        <v>1</v>
      </c>
      <c r="K231" s="92">
        <v>2</v>
      </c>
      <c r="L231" s="136">
        <v>3</v>
      </c>
      <c r="M231" s="136">
        <v>4</v>
      </c>
      <c r="N231" s="136">
        <v>5</v>
      </c>
      <c r="O231" s="136">
        <f t="shared" ref="O231:W231" si="147">O7</f>
        <v>6</v>
      </c>
      <c r="P231" s="136">
        <f t="shared" si="147"/>
        <v>7</v>
      </c>
      <c r="Q231" s="136">
        <f t="shared" si="147"/>
        <v>8</v>
      </c>
      <c r="R231" s="136"/>
      <c r="S231" s="136">
        <f t="shared" si="120"/>
        <v>8</v>
      </c>
      <c r="T231" s="136">
        <f t="shared" si="121"/>
        <v>8</v>
      </c>
      <c r="U231" s="136">
        <f t="shared" si="147"/>
        <v>9</v>
      </c>
      <c r="V231" s="136">
        <f t="shared" si="147"/>
        <v>10</v>
      </c>
      <c r="W231" s="136">
        <f t="shared" si="147"/>
        <v>11</v>
      </c>
      <c r="X231" s="136">
        <f>X7</f>
        <v>12</v>
      </c>
      <c r="Y231" s="136">
        <f>Y7</f>
        <v>13</v>
      </c>
      <c r="Z231" s="136">
        <f t="shared" ref="Z231:AG231" si="148">Z7</f>
        <v>14</v>
      </c>
      <c r="AA231" s="136">
        <f t="shared" si="148"/>
        <v>15</v>
      </c>
      <c r="AB231" s="136">
        <f t="shared" si="148"/>
        <v>16</v>
      </c>
      <c r="AC231" s="136">
        <f t="shared" si="148"/>
        <v>17</v>
      </c>
      <c r="AD231" s="136">
        <f t="shared" si="148"/>
        <v>18</v>
      </c>
      <c r="AE231" s="136">
        <f t="shared" si="148"/>
        <v>19</v>
      </c>
      <c r="AF231" s="136">
        <f t="shared" si="148"/>
        <v>20</v>
      </c>
      <c r="AG231" s="136">
        <f t="shared" si="148"/>
        <v>21</v>
      </c>
      <c r="AH231" s="136"/>
      <c r="AI231" s="136"/>
    </row>
    <row r="232" spans="1:35">
      <c r="B232" s="76"/>
      <c r="C232" s="504"/>
      <c r="D232" s="469"/>
      <c r="E232" s="469"/>
      <c r="F232" s="469"/>
      <c r="G232" s="469"/>
      <c r="H232" s="470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  <c r="AE232" s="93"/>
      <c r="AF232" s="93"/>
      <c r="AG232" s="93"/>
      <c r="AH232" s="93"/>
      <c r="AI232" s="93"/>
    </row>
    <row r="233" spans="1:35">
      <c r="B233" s="76"/>
      <c r="C233" s="505"/>
      <c r="D233" s="472"/>
      <c r="E233" s="506"/>
      <c r="F233" s="506"/>
      <c r="G233" s="506"/>
      <c r="H233" s="473"/>
      <c r="I233" s="94" t="s">
        <v>499</v>
      </c>
      <c r="J233" s="94" t="s">
        <v>499</v>
      </c>
      <c r="K233" s="112" t="s">
        <v>499</v>
      </c>
      <c r="L233" s="112" t="s">
        <v>499</v>
      </c>
      <c r="M233" s="112" t="s">
        <v>499</v>
      </c>
      <c r="N233" s="112" t="s">
        <v>499</v>
      </c>
      <c r="O233" s="112" t="s">
        <v>499</v>
      </c>
      <c r="P233" s="112" t="s">
        <v>499</v>
      </c>
      <c r="Q233" s="112" t="s">
        <v>499</v>
      </c>
      <c r="R233" s="112"/>
      <c r="S233" s="112" t="str">
        <f t="shared" si="120"/>
        <v>($)</v>
      </c>
      <c r="T233" s="112" t="str">
        <f t="shared" si="121"/>
        <v>($)</v>
      </c>
      <c r="U233" s="112" t="s">
        <v>499</v>
      </c>
      <c r="V233" s="112" t="s">
        <v>499</v>
      </c>
      <c r="W233" s="112" t="s">
        <v>499</v>
      </c>
      <c r="X233" s="112" t="s">
        <v>499</v>
      </c>
      <c r="Y233" s="112" t="s">
        <v>499</v>
      </c>
      <c r="Z233" s="112" t="s">
        <v>499</v>
      </c>
      <c r="AA233" s="112" t="s">
        <v>499</v>
      </c>
      <c r="AB233" s="112" t="s">
        <v>499</v>
      </c>
      <c r="AC233" s="112" t="s">
        <v>499</v>
      </c>
      <c r="AD233" s="112" t="s">
        <v>499</v>
      </c>
      <c r="AE233" s="112" t="s">
        <v>499</v>
      </c>
      <c r="AF233" s="112" t="s">
        <v>499</v>
      </c>
      <c r="AG233" s="112" t="s">
        <v>499</v>
      </c>
      <c r="AH233" s="112"/>
      <c r="AI233" s="112"/>
    </row>
    <row r="234" spans="1:35" ht="6" customHeight="1">
      <c r="B234" s="111"/>
      <c r="C234" s="110"/>
      <c r="D234" s="110"/>
      <c r="E234" s="110"/>
      <c r="F234" s="110"/>
      <c r="G234" s="110"/>
      <c r="H234" s="88"/>
      <c r="I234" s="110"/>
      <c r="J234" s="107"/>
      <c r="K234" s="119"/>
      <c r="L234" s="119"/>
      <c r="M234" s="119"/>
      <c r="N234" s="440"/>
      <c r="O234" s="440"/>
      <c r="P234" s="440"/>
      <c r="Q234" s="440"/>
      <c r="R234" s="440"/>
      <c r="S234" s="440">
        <f t="shared" si="120"/>
        <v>0</v>
      </c>
      <c r="T234" s="440">
        <f t="shared" si="121"/>
        <v>0</v>
      </c>
      <c r="U234" s="440"/>
      <c r="V234" s="440"/>
      <c r="W234" s="440"/>
      <c r="X234" s="440"/>
      <c r="Y234" s="440"/>
      <c r="Z234" s="440"/>
      <c r="AA234" s="440"/>
      <c r="AB234" s="440"/>
      <c r="AC234" s="440"/>
      <c r="AD234" s="440"/>
      <c r="AE234" s="440"/>
      <c r="AF234" s="440"/>
      <c r="AG234" s="440"/>
      <c r="AH234" s="440"/>
      <c r="AI234" s="440"/>
    </row>
    <row r="235" spans="1:35" ht="15.75" customHeight="1">
      <c r="B235" s="76"/>
      <c r="C235" s="523" t="s">
        <v>198</v>
      </c>
      <c r="D235" s="110"/>
      <c r="E235" s="110"/>
      <c r="F235" s="110"/>
      <c r="G235" s="110"/>
      <c r="H235" s="88"/>
      <c r="I235" s="110"/>
      <c r="J235" s="110"/>
      <c r="K235" s="110"/>
      <c r="L235" s="110"/>
      <c r="M235" s="110"/>
      <c r="N235" s="110"/>
      <c r="O235" s="110"/>
      <c r="P235" s="110"/>
      <c r="Q235" s="110"/>
      <c r="R235" s="110"/>
      <c r="S235" s="110">
        <f t="shared" si="120"/>
        <v>0</v>
      </c>
      <c r="T235" s="110">
        <f t="shared" si="121"/>
        <v>0</v>
      </c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/>
      <c r="AF235" s="110"/>
      <c r="AG235" s="110"/>
      <c r="AH235" s="110"/>
      <c r="AI235" s="110"/>
    </row>
    <row r="236" spans="1:35" ht="15.75" customHeight="1">
      <c r="B236" s="76"/>
      <c r="C236" s="516" t="s">
        <v>363</v>
      </c>
      <c r="D236" s="110"/>
      <c r="E236" s="515"/>
      <c r="F236" s="80"/>
      <c r="G236" s="80"/>
      <c r="H236" s="88"/>
      <c r="I236" s="108"/>
      <c r="J236" s="108"/>
      <c r="K236" s="108"/>
      <c r="L236" s="108"/>
      <c r="M236" s="108"/>
      <c r="N236" s="108"/>
      <c r="O236" s="108"/>
      <c r="P236" s="108">
        <f t="shared" ref="P236:Y236" si="149">P133</f>
        <v>-395000</v>
      </c>
      <c r="Q236" s="108">
        <f t="shared" si="149"/>
        <v>47090029.870804146</v>
      </c>
      <c r="R236" s="108">
        <f t="shared" si="149"/>
        <v>0</v>
      </c>
      <c r="S236" s="108">
        <f t="shared" si="149"/>
        <v>25877932.842495427</v>
      </c>
      <c r="T236" s="108">
        <f t="shared" si="149"/>
        <v>25877932.842495427</v>
      </c>
      <c r="U236" s="108">
        <f t="shared" si="149"/>
        <v>27831494.318224467</v>
      </c>
      <c r="V236" s="108">
        <f t="shared" si="149"/>
        <v>37315545.225451812</v>
      </c>
      <c r="W236" s="108">
        <f t="shared" si="149"/>
        <v>40435292.617801398</v>
      </c>
      <c r="X236" s="108">
        <f t="shared" si="149"/>
        <v>44193296.230119057</v>
      </c>
      <c r="Y236" s="108">
        <f t="shared" si="149"/>
        <v>46933293.09127979</v>
      </c>
      <c r="Z236" s="108">
        <f t="shared" ref="Z236:AG236" si="150">Z133</f>
        <v>46926221.511904791</v>
      </c>
      <c r="AA236" s="108">
        <f t="shared" si="150"/>
        <v>46919149.932529792</v>
      </c>
      <c r="AB236" s="108">
        <f t="shared" si="150"/>
        <v>46912078.353154793</v>
      </c>
      <c r="AC236" s="108">
        <f t="shared" si="150"/>
        <v>46905006.773779787</v>
      </c>
      <c r="AD236" s="108">
        <f t="shared" si="150"/>
        <v>46897935.194404788</v>
      </c>
      <c r="AE236" s="108">
        <f t="shared" si="150"/>
        <v>36440632.523197375</v>
      </c>
      <c r="AF236" s="108">
        <f t="shared" si="150"/>
        <v>36433403.273197375</v>
      </c>
      <c r="AG236" s="108">
        <f t="shared" si="150"/>
        <v>28150923.018557891</v>
      </c>
      <c r="AH236" s="108"/>
      <c r="AI236" s="108"/>
    </row>
    <row r="237" spans="1:35" ht="15.75" customHeight="1">
      <c r="B237" s="76"/>
      <c r="C237" s="516" t="s">
        <v>199</v>
      </c>
      <c r="D237" s="110"/>
      <c r="E237" s="515"/>
      <c r="F237" s="80"/>
      <c r="G237" s="80"/>
      <c r="H237" s="88"/>
      <c r="I237" s="108"/>
      <c r="J237" s="108"/>
      <c r="K237" s="108"/>
      <c r="L237" s="108"/>
      <c r="M237" s="108"/>
      <c r="N237" s="108"/>
      <c r="O237" s="108"/>
      <c r="P237" s="108">
        <f t="shared" ref="P237:Y237" si="151">P372+P373</f>
        <v>0</v>
      </c>
      <c r="Q237" s="108">
        <f t="shared" si="151"/>
        <v>1000000</v>
      </c>
      <c r="R237" s="108"/>
      <c r="S237" s="108">
        <f t="shared" si="120"/>
        <v>1000000</v>
      </c>
      <c r="T237" s="108">
        <f t="shared" si="121"/>
        <v>1000000</v>
      </c>
      <c r="U237" s="108">
        <f t="shared" si="151"/>
        <v>1078571.4285714286</v>
      </c>
      <c r="V237" s="108">
        <f t="shared" si="151"/>
        <v>1173729.2142857143</v>
      </c>
      <c r="W237" s="108">
        <f t="shared" si="151"/>
        <v>1242337</v>
      </c>
      <c r="X237" s="108">
        <f t="shared" si="151"/>
        <v>1291802.5</v>
      </c>
      <c r="Y237" s="108">
        <f t="shared" si="151"/>
        <v>1291802.5</v>
      </c>
      <c r="Z237" s="108">
        <f t="shared" ref="Z237:AG237" si="152">Z372+Z373</f>
        <v>1291802.5</v>
      </c>
      <c r="AA237" s="108">
        <f t="shared" si="152"/>
        <v>1291802.5</v>
      </c>
      <c r="AB237" s="108">
        <f t="shared" si="152"/>
        <v>1291802.5</v>
      </c>
      <c r="AC237" s="108">
        <f t="shared" si="152"/>
        <v>1291802.5</v>
      </c>
      <c r="AD237" s="108">
        <f t="shared" si="152"/>
        <v>1291802.5</v>
      </c>
      <c r="AE237" s="108">
        <f t="shared" si="152"/>
        <v>1291802.5</v>
      </c>
      <c r="AF237" s="108">
        <f t="shared" si="152"/>
        <v>1291802.5</v>
      </c>
      <c r="AG237" s="108">
        <f t="shared" si="152"/>
        <v>1291802.5</v>
      </c>
      <c r="AH237" s="108"/>
      <c r="AI237" s="108"/>
    </row>
    <row r="238" spans="1:35" ht="15.75" customHeight="1">
      <c r="A238" s="460">
        <v>11</v>
      </c>
      <c r="B238" s="76"/>
      <c r="C238" s="516" t="s">
        <v>200</v>
      </c>
      <c r="D238" s="110"/>
      <c r="E238" s="515"/>
      <c r="F238" s="80"/>
      <c r="G238" s="80"/>
      <c r="H238" s="88"/>
      <c r="I238" s="108"/>
      <c r="J238" s="108"/>
      <c r="K238" s="108"/>
      <c r="L238" s="108"/>
      <c r="M238" s="108"/>
      <c r="N238" s="108"/>
      <c r="O238" s="108"/>
      <c r="P238" s="108">
        <f t="shared" ref="P238:Y238" si="153">-P307</f>
        <v>0</v>
      </c>
      <c r="Q238" s="108">
        <f>-Q307</f>
        <v>-8000000</v>
      </c>
      <c r="R238" s="108"/>
      <c r="S238" s="108">
        <f t="shared" si="120"/>
        <v>-8000000</v>
      </c>
      <c r="T238" s="108">
        <f t="shared" si="121"/>
        <v>-8000000</v>
      </c>
      <c r="U238" s="108">
        <f t="shared" si="153"/>
        <v>0</v>
      </c>
      <c r="V238" s="108">
        <f t="shared" si="153"/>
        <v>0</v>
      </c>
      <c r="W238" s="108">
        <f t="shared" si="153"/>
        <v>0</v>
      </c>
      <c r="X238" s="108">
        <f t="shared" si="153"/>
        <v>0</v>
      </c>
      <c r="Y238" s="108">
        <f t="shared" si="153"/>
        <v>0</v>
      </c>
      <c r="Z238" s="108">
        <f t="shared" ref="Z238:AG238" si="154">-Z307</f>
        <v>0</v>
      </c>
      <c r="AA238" s="108">
        <f t="shared" si="154"/>
        <v>0</v>
      </c>
      <c r="AB238" s="108">
        <f t="shared" si="154"/>
        <v>0</v>
      </c>
      <c r="AC238" s="108">
        <f t="shared" si="154"/>
        <v>0</v>
      </c>
      <c r="AD238" s="108">
        <f t="shared" si="154"/>
        <v>0</v>
      </c>
      <c r="AE238" s="108">
        <f t="shared" si="154"/>
        <v>0</v>
      </c>
      <c r="AF238" s="108">
        <f t="shared" si="154"/>
        <v>0</v>
      </c>
      <c r="AG238" s="108">
        <f t="shared" si="154"/>
        <v>0</v>
      </c>
      <c r="AH238" s="108"/>
      <c r="AI238" s="108"/>
    </row>
    <row r="239" spans="1:35" ht="15.75" customHeight="1">
      <c r="A239" s="460">
        <v>12</v>
      </c>
      <c r="B239" s="76"/>
      <c r="C239" s="516" t="s">
        <v>201</v>
      </c>
      <c r="D239" s="110"/>
      <c r="E239" s="110"/>
      <c r="F239" s="110"/>
      <c r="G239" s="110"/>
      <c r="H239" s="88"/>
      <c r="I239" s="108"/>
      <c r="J239" s="108"/>
      <c r="K239" s="108"/>
      <c r="L239" s="108"/>
      <c r="M239" s="108"/>
      <c r="N239" s="108"/>
      <c r="O239" s="108"/>
      <c r="P239" s="108">
        <f t="shared" ref="P239:Y239" si="155">-P322</f>
        <v>0</v>
      </c>
      <c r="Q239" s="108">
        <f t="shared" si="155"/>
        <v>0</v>
      </c>
      <c r="R239" s="108"/>
      <c r="S239" s="108">
        <f t="shared" si="120"/>
        <v>0</v>
      </c>
      <c r="T239" s="108">
        <f t="shared" si="121"/>
        <v>0</v>
      </c>
      <c r="U239" s="108">
        <f t="shared" si="155"/>
        <v>0</v>
      </c>
      <c r="V239" s="108">
        <f t="shared" si="155"/>
        <v>0</v>
      </c>
      <c r="W239" s="108">
        <f t="shared" si="155"/>
        <v>0</v>
      </c>
      <c r="X239" s="108">
        <f t="shared" si="155"/>
        <v>0</v>
      </c>
      <c r="Y239" s="108">
        <f t="shared" si="155"/>
        <v>0</v>
      </c>
      <c r="Z239" s="108">
        <f t="shared" ref="Z239:AG239" si="156">-Z322</f>
        <v>0</v>
      </c>
      <c r="AA239" s="108">
        <f t="shared" si="156"/>
        <v>0</v>
      </c>
      <c r="AB239" s="108">
        <f t="shared" si="156"/>
        <v>0</v>
      </c>
      <c r="AC239" s="108">
        <f t="shared" si="156"/>
        <v>0</v>
      </c>
      <c r="AD239" s="108">
        <f t="shared" si="156"/>
        <v>0</v>
      </c>
      <c r="AE239" s="108">
        <f t="shared" si="156"/>
        <v>0</v>
      </c>
      <c r="AF239" s="108">
        <f t="shared" si="156"/>
        <v>0</v>
      </c>
      <c r="AG239" s="108">
        <f t="shared" si="156"/>
        <v>0</v>
      </c>
      <c r="AH239" s="108"/>
      <c r="AI239" s="108"/>
    </row>
    <row r="240" spans="1:35" ht="15.75" customHeight="1">
      <c r="B240" s="76"/>
      <c r="C240" s="483" t="s">
        <v>202</v>
      </c>
      <c r="D240" s="110"/>
      <c r="E240" s="515"/>
      <c r="F240" s="80"/>
      <c r="G240" s="80"/>
      <c r="H240" s="88"/>
      <c r="I240" s="80"/>
      <c r="J240" s="80"/>
      <c r="K240" s="80"/>
      <c r="L240" s="80"/>
      <c r="M240" s="80"/>
      <c r="N240" s="80"/>
      <c r="O240" s="80"/>
      <c r="P240" s="80">
        <f t="shared" ref="P240:Y240" si="157">SUM(P236:P239)</f>
        <v>-395000</v>
      </c>
      <c r="Q240" s="80">
        <f t="shared" si="157"/>
        <v>40090029.870804146</v>
      </c>
      <c r="R240" s="80"/>
      <c r="S240" s="80">
        <f t="shared" si="157"/>
        <v>18877932.842495427</v>
      </c>
      <c r="T240" s="80">
        <f t="shared" si="157"/>
        <v>18877932.842495427</v>
      </c>
      <c r="U240" s="80">
        <f t="shared" si="157"/>
        <v>28910065.746795896</v>
      </c>
      <c r="V240" s="80">
        <f t="shared" si="157"/>
        <v>38489274.439737529</v>
      </c>
      <c r="W240" s="80">
        <f t="shared" si="157"/>
        <v>41677629.617801398</v>
      </c>
      <c r="X240" s="80">
        <f t="shared" si="157"/>
        <v>45485098.730119057</v>
      </c>
      <c r="Y240" s="80">
        <f t="shared" si="157"/>
        <v>48225095.59127979</v>
      </c>
      <c r="Z240" s="80">
        <f t="shared" ref="Z240:AG240" si="158">SUM(Z236:Z239)</f>
        <v>48218024.011904791</v>
      </c>
      <c r="AA240" s="80">
        <f t="shared" si="158"/>
        <v>48210952.432529792</v>
      </c>
      <c r="AB240" s="80">
        <f t="shared" si="158"/>
        <v>48203880.853154793</v>
      </c>
      <c r="AC240" s="80">
        <f t="shared" si="158"/>
        <v>48196809.273779787</v>
      </c>
      <c r="AD240" s="80">
        <f t="shared" si="158"/>
        <v>48189737.694404788</v>
      </c>
      <c r="AE240" s="80">
        <f t="shared" si="158"/>
        <v>37732435.023197375</v>
      </c>
      <c r="AF240" s="80">
        <f t="shared" si="158"/>
        <v>37725205.773197375</v>
      </c>
      <c r="AG240" s="80">
        <f t="shared" si="158"/>
        <v>29442725.518557891</v>
      </c>
      <c r="AH240" s="80"/>
      <c r="AI240" s="80"/>
    </row>
    <row r="241" spans="1:35" ht="15.75" customHeight="1">
      <c r="A241" s="460">
        <v>13</v>
      </c>
      <c r="B241" s="76"/>
      <c r="C241" s="516" t="s">
        <v>203</v>
      </c>
      <c r="D241" s="110"/>
      <c r="E241" s="110"/>
      <c r="F241" s="110"/>
      <c r="G241" s="110"/>
      <c r="H241" s="88"/>
      <c r="I241" s="108"/>
      <c r="J241" s="108"/>
      <c r="K241" s="108"/>
      <c r="L241" s="108"/>
      <c r="M241" s="108"/>
      <c r="N241" s="108"/>
      <c r="O241" s="108"/>
      <c r="P241" s="108">
        <f t="shared" ref="P241:W242" si="159">P135</f>
        <v>-303333.33333333337</v>
      </c>
      <c r="Q241" s="108">
        <f t="shared" si="159"/>
        <v>-1226875</v>
      </c>
      <c r="R241" s="108"/>
      <c r="S241" s="108">
        <f t="shared" si="120"/>
        <v>-1226875</v>
      </c>
      <c r="T241" s="108">
        <f t="shared" si="121"/>
        <v>-1226875</v>
      </c>
      <c r="U241" s="108">
        <f t="shared" si="159"/>
        <v>-1300000</v>
      </c>
      <c r="V241" s="108">
        <f t="shared" si="159"/>
        <v>-284375</v>
      </c>
      <c r="W241" s="108">
        <f t="shared" si="159"/>
        <v>0</v>
      </c>
      <c r="X241" s="108">
        <f>X135</f>
        <v>0</v>
      </c>
      <c r="Y241" s="108">
        <f>Y135</f>
        <v>0</v>
      </c>
      <c r="Z241" s="108">
        <f t="shared" ref="Z241:AG241" si="160">Z135</f>
        <v>0</v>
      </c>
      <c r="AA241" s="108">
        <f t="shared" si="160"/>
        <v>0</v>
      </c>
      <c r="AB241" s="108">
        <f t="shared" si="160"/>
        <v>0</v>
      </c>
      <c r="AC241" s="108">
        <f t="shared" si="160"/>
        <v>0</v>
      </c>
      <c r="AD241" s="108">
        <f t="shared" si="160"/>
        <v>0</v>
      </c>
      <c r="AE241" s="108">
        <f t="shared" si="160"/>
        <v>0</v>
      </c>
      <c r="AF241" s="108">
        <f t="shared" si="160"/>
        <v>0</v>
      </c>
      <c r="AG241" s="108">
        <f t="shared" si="160"/>
        <v>0</v>
      </c>
      <c r="AH241" s="108"/>
      <c r="AI241" s="108"/>
    </row>
    <row r="242" spans="1:35" ht="15.75" customHeight="1">
      <c r="A242" s="460">
        <v>14</v>
      </c>
      <c r="B242" s="76"/>
      <c r="C242" s="516" t="s">
        <v>187</v>
      </c>
      <c r="D242" s="110"/>
      <c r="E242" s="110"/>
      <c r="F242" s="110"/>
      <c r="G242" s="110"/>
      <c r="H242" s="88"/>
      <c r="I242" s="108"/>
      <c r="J242" s="108"/>
      <c r="K242" s="108"/>
      <c r="L242" s="108"/>
      <c r="M242" s="108"/>
      <c r="N242" s="108"/>
      <c r="O242" s="108"/>
      <c r="P242" s="108">
        <f t="shared" si="159"/>
        <v>0</v>
      </c>
      <c r="Q242" s="108">
        <f t="shared" si="159"/>
        <v>0</v>
      </c>
      <c r="R242" s="108"/>
      <c r="S242" s="108">
        <f t="shared" si="120"/>
        <v>0</v>
      </c>
      <c r="T242" s="108">
        <f t="shared" si="121"/>
        <v>0</v>
      </c>
      <c r="U242" s="108">
        <f t="shared" si="159"/>
        <v>0</v>
      </c>
      <c r="V242" s="108">
        <f t="shared" si="159"/>
        <v>0</v>
      </c>
      <c r="W242" s="108">
        <f t="shared" si="159"/>
        <v>0</v>
      </c>
      <c r="X242" s="108">
        <f>X136</f>
        <v>0</v>
      </c>
      <c r="Y242" s="108">
        <f>Y136</f>
        <v>0</v>
      </c>
      <c r="Z242" s="108">
        <f t="shared" ref="Z242:AG242" si="161">Z136</f>
        <v>0</v>
      </c>
      <c r="AA242" s="108">
        <f t="shared" si="161"/>
        <v>0</v>
      </c>
      <c r="AB242" s="108">
        <f t="shared" si="161"/>
        <v>0</v>
      </c>
      <c r="AC242" s="108">
        <f t="shared" si="161"/>
        <v>0</v>
      </c>
      <c r="AD242" s="108">
        <f t="shared" si="161"/>
        <v>0</v>
      </c>
      <c r="AE242" s="108">
        <f t="shared" si="161"/>
        <v>0</v>
      </c>
      <c r="AF242" s="108">
        <f t="shared" si="161"/>
        <v>0</v>
      </c>
      <c r="AG242" s="108">
        <f t="shared" si="161"/>
        <v>0</v>
      </c>
      <c r="AH242" s="108"/>
      <c r="AI242" s="108"/>
    </row>
    <row r="243" spans="1:35" ht="15.75" customHeight="1">
      <c r="A243" s="460">
        <v>15</v>
      </c>
      <c r="B243" s="76"/>
      <c r="C243" s="516" t="s">
        <v>204</v>
      </c>
      <c r="D243" s="163"/>
      <c r="E243" s="524"/>
      <c r="F243" s="525"/>
      <c r="G243" s="525"/>
      <c r="H243" s="88"/>
      <c r="I243" s="108"/>
      <c r="J243" s="108"/>
      <c r="K243" s="108"/>
      <c r="L243" s="108"/>
      <c r="M243" s="108"/>
      <c r="N243" s="108"/>
      <c r="O243" s="108"/>
      <c r="P243" s="108">
        <f t="shared" ref="P243:Y243" si="162">P140</f>
        <v>0</v>
      </c>
      <c r="Q243" s="108">
        <f t="shared" si="162"/>
        <v>-9172630.9741608296</v>
      </c>
      <c r="R243" s="108"/>
      <c r="S243" s="108">
        <f t="shared" si="120"/>
        <v>-9172630.9741608296</v>
      </c>
      <c r="T243" s="108">
        <f t="shared" si="121"/>
        <v>-9172630.9741608296</v>
      </c>
      <c r="U243" s="108">
        <f t="shared" si="162"/>
        <v>-5306298.8636448942</v>
      </c>
      <c r="V243" s="108">
        <f t="shared" si="162"/>
        <v>-7406234.0450903624</v>
      </c>
      <c r="W243" s="108">
        <f t="shared" si="162"/>
        <v>-8087058.52356028</v>
      </c>
      <c r="X243" s="108">
        <f t="shared" si="162"/>
        <v>-8838659.2460238114</v>
      </c>
      <c r="Y243" s="108">
        <f t="shared" si="162"/>
        <v>-9386658.618255958</v>
      </c>
      <c r="Z243" s="108">
        <f t="shared" ref="Z243:AG243" si="163">Z140</f>
        <v>-9385244.3023809586</v>
      </c>
      <c r="AA243" s="108">
        <f t="shared" si="163"/>
        <v>-9383829.9865059592</v>
      </c>
      <c r="AB243" s="108">
        <f t="shared" si="163"/>
        <v>-9382415.6706309598</v>
      </c>
      <c r="AC243" s="108">
        <f t="shared" si="163"/>
        <v>-9381001.3547559585</v>
      </c>
      <c r="AD243" s="108">
        <f t="shared" si="163"/>
        <v>-9379587.0388809573</v>
      </c>
      <c r="AE243" s="108">
        <f t="shared" si="163"/>
        <v>-7288126.5046394756</v>
      </c>
      <c r="AF243" s="108">
        <f t="shared" si="163"/>
        <v>-7286680.654639475</v>
      </c>
      <c r="AG243" s="108">
        <f t="shared" si="163"/>
        <v>-5630184.603711579</v>
      </c>
      <c r="AH243" s="108"/>
      <c r="AI243" s="108"/>
    </row>
    <row r="244" spans="1:35" ht="15.75" customHeight="1">
      <c r="A244" s="460">
        <v>23</v>
      </c>
      <c r="B244" s="76"/>
      <c r="C244" s="356" t="s">
        <v>195</v>
      </c>
      <c r="D244" s="163"/>
      <c r="E244" s="524"/>
      <c r="F244" s="525"/>
      <c r="G244" s="525"/>
      <c r="H244" s="88"/>
      <c r="I244" s="108"/>
      <c r="J244" s="108"/>
      <c r="K244" s="108"/>
      <c r="L244" s="108"/>
      <c r="M244" s="108"/>
      <c r="N244" s="108"/>
      <c r="O244" s="108"/>
      <c r="P244" s="108">
        <f t="shared" ref="P244:Y244" si="164">P137</f>
        <v>0</v>
      </c>
      <c r="Q244" s="108">
        <f t="shared" si="164"/>
        <v>0</v>
      </c>
      <c r="R244" s="108"/>
      <c r="S244" s="108">
        <f t="shared" si="120"/>
        <v>0</v>
      </c>
      <c r="T244" s="108">
        <f t="shared" si="121"/>
        <v>0</v>
      </c>
      <c r="U244" s="108">
        <f t="shared" si="164"/>
        <v>0</v>
      </c>
      <c r="V244" s="108">
        <f t="shared" si="164"/>
        <v>0</v>
      </c>
      <c r="W244" s="108">
        <f t="shared" si="164"/>
        <v>0</v>
      </c>
      <c r="X244" s="108">
        <f t="shared" si="164"/>
        <v>0</v>
      </c>
      <c r="Y244" s="108">
        <f t="shared" si="164"/>
        <v>0</v>
      </c>
      <c r="Z244" s="108">
        <f t="shared" ref="Z244:AG244" si="165">Z137</f>
        <v>0</v>
      </c>
      <c r="AA244" s="108">
        <f t="shared" si="165"/>
        <v>0</v>
      </c>
      <c r="AB244" s="108">
        <f t="shared" si="165"/>
        <v>0</v>
      </c>
      <c r="AC244" s="108">
        <f t="shared" si="165"/>
        <v>0</v>
      </c>
      <c r="AD244" s="108">
        <f t="shared" si="165"/>
        <v>0</v>
      </c>
      <c r="AE244" s="108">
        <f t="shared" si="165"/>
        <v>0</v>
      </c>
      <c r="AF244" s="108">
        <f t="shared" si="165"/>
        <v>0</v>
      </c>
      <c r="AG244" s="108">
        <f t="shared" si="165"/>
        <v>0</v>
      </c>
      <c r="AH244" s="108"/>
      <c r="AI244" s="108"/>
    </row>
    <row r="245" spans="1:35" s="157" customFormat="1" ht="15.75" customHeight="1">
      <c r="A245" s="460"/>
      <c r="B245" s="155"/>
      <c r="C245" s="95" t="s">
        <v>205</v>
      </c>
      <c r="D245" s="163"/>
      <c r="E245" s="163"/>
      <c r="F245" s="163"/>
      <c r="G245" s="163"/>
      <c r="H245" s="1011"/>
      <c r="I245" s="153"/>
      <c r="J245" s="153"/>
      <c r="K245" s="153"/>
      <c r="L245" s="153"/>
      <c r="M245" s="153"/>
      <c r="N245" s="153"/>
      <c r="O245" s="153"/>
      <c r="P245" s="153">
        <f t="shared" ref="P245:Y245" si="166">SUM(P240:P244)</f>
        <v>-698333.33333333337</v>
      </c>
      <c r="Q245" s="153">
        <f t="shared" si="166"/>
        <v>29690523.896643318</v>
      </c>
      <c r="R245" s="153"/>
      <c r="S245" s="153">
        <f t="shared" si="166"/>
        <v>8478426.868334597</v>
      </c>
      <c r="T245" s="153">
        <f t="shared" si="166"/>
        <v>8478426.868334597</v>
      </c>
      <c r="U245" s="153">
        <f t="shared" si="166"/>
        <v>22303766.883151002</v>
      </c>
      <c r="V245" s="153">
        <f t="shared" si="166"/>
        <v>30798665.394647166</v>
      </c>
      <c r="W245" s="153">
        <f t="shared" si="166"/>
        <v>33590571.09424112</v>
      </c>
      <c r="X245" s="153">
        <f t="shared" si="166"/>
        <v>36646439.484095246</v>
      </c>
      <c r="Y245" s="153">
        <f t="shared" si="166"/>
        <v>38838436.973023832</v>
      </c>
      <c r="Z245" s="153">
        <f t="shared" ref="Z245:AG245" si="167">SUM(Z240:Z244)</f>
        <v>38832779.709523834</v>
      </c>
      <c r="AA245" s="153">
        <f t="shared" si="167"/>
        <v>38827122.446023837</v>
      </c>
      <c r="AB245" s="153">
        <f t="shared" si="167"/>
        <v>38821465.182523832</v>
      </c>
      <c r="AC245" s="153">
        <f t="shared" si="167"/>
        <v>38815807.919023827</v>
      </c>
      <c r="AD245" s="153">
        <f t="shared" si="167"/>
        <v>38810150.655523829</v>
      </c>
      <c r="AE245" s="153">
        <f t="shared" si="167"/>
        <v>30444308.518557899</v>
      </c>
      <c r="AF245" s="153">
        <f t="shared" si="167"/>
        <v>30438525.1185579</v>
      </c>
      <c r="AG245" s="153">
        <f t="shared" si="167"/>
        <v>23812540.914846312</v>
      </c>
      <c r="AH245" s="153"/>
      <c r="AI245" s="153"/>
    </row>
    <row r="246" spans="1:35" ht="9" customHeight="1">
      <c r="B246" s="76"/>
      <c r="C246" s="110"/>
      <c r="D246" s="110"/>
      <c r="E246" s="110"/>
      <c r="F246" s="110"/>
      <c r="G246" s="110"/>
      <c r="H246" s="88"/>
      <c r="I246" s="110"/>
      <c r="J246" s="110"/>
      <c r="K246" s="110"/>
      <c r="L246" s="110"/>
      <c r="M246" s="100"/>
      <c r="N246" s="100"/>
      <c r="O246" s="100"/>
      <c r="P246" s="100"/>
      <c r="Q246" s="100"/>
      <c r="R246" s="100"/>
      <c r="S246" s="100">
        <f t="shared" si="120"/>
        <v>0</v>
      </c>
      <c r="T246" s="100">
        <f t="shared" si="121"/>
        <v>0</v>
      </c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  <c r="AI246" s="100"/>
    </row>
    <row r="247" spans="1:35" ht="15.75" customHeight="1">
      <c r="B247" s="76"/>
      <c r="C247" s="523" t="s">
        <v>206</v>
      </c>
      <c r="D247" s="100"/>
      <c r="E247" s="100"/>
      <c r="F247" s="100"/>
      <c r="G247" s="100"/>
      <c r="H247" s="88"/>
      <c r="I247" s="108"/>
      <c r="J247" s="108"/>
      <c r="K247" s="108"/>
      <c r="L247" s="108"/>
      <c r="M247" s="100"/>
      <c r="N247" s="100"/>
      <c r="O247" s="100"/>
      <c r="P247" s="100"/>
      <c r="Q247" s="100"/>
      <c r="R247" s="100"/>
      <c r="S247" s="100">
        <f t="shared" si="120"/>
        <v>0</v>
      </c>
      <c r="T247" s="100">
        <f t="shared" si="121"/>
        <v>0</v>
      </c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  <c r="AI247" s="100"/>
    </row>
    <row r="248" spans="1:35" ht="15.75" customHeight="1">
      <c r="A248" s="460">
        <v>16</v>
      </c>
      <c r="B248" s="76"/>
      <c r="C248" s="516" t="s">
        <v>132</v>
      </c>
      <c r="D248" s="100"/>
      <c r="E248" s="100"/>
      <c r="F248" s="100"/>
      <c r="G248" s="100"/>
      <c r="H248" s="88"/>
      <c r="I248" s="108"/>
      <c r="J248" s="108"/>
      <c r="K248" s="108"/>
      <c r="L248" s="108"/>
      <c r="M248" s="108"/>
      <c r="N248" s="108"/>
      <c r="O248" s="108"/>
      <c r="P248" s="108">
        <f t="shared" ref="P248:Y248" si="168">-P335</f>
        <v>-14000000</v>
      </c>
      <c r="Q248" s="108">
        <f t="shared" si="168"/>
        <v>-2200000</v>
      </c>
      <c r="R248" s="108"/>
      <c r="S248" s="108">
        <f t="shared" si="168"/>
        <v>-2200000</v>
      </c>
      <c r="T248" s="108">
        <f t="shared" si="168"/>
        <v>-2200000</v>
      </c>
      <c r="U248" s="108">
        <f t="shared" si="168"/>
        <v>-1332209</v>
      </c>
      <c r="V248" s="108">
        <f t="shared" si="168"/>
        <v>-960509</v>
      </c>
      <c r="W248" s="108">
        <f t="shared" si="168"/>
        <v>-692517</v>
      </c>
      <c r="X248" s="108">
        <f t="shared" si="168"/>
        <v>0</v>
      </c>
      <c r="Y248" s="108">
        <f t="shared" si="168"/>
        <v>0</v>
      </c>
      <c r="Z248" s="108">
        <f t="shared" ref="Z248:AG248" si="169">-Z335</f>
        <v>0</v>
      </c>
      <c r="AA248" s="108">
        <f t="shared" si="169"/>
        <v>0</v>
      </c>
      <c r="AB248" s="108">
        <f t="shared" si="169"/>
        <v>0</v>
      </c>
      <c r="AC248" s="108">
        <f t="shared" si="169"/>
        <v>0</v>
      </c>
      <c r="AD248" s="108">
        <f t="shared" si="169"/>
        <v>0</v>
      </c>
      <c r="AE248" s="108">
        <f t="shared" si="169"/>
        <v>0</v>
      </c>
      <c r="AF248" s="108">
        <f t="shared" si="169"/>
        <v>0</v>
      </c>
      <c r="AG248" s="108">
        <f t="shared" si="169"/>
        <v>0</v>
      </c>
      <c r="AH248" s="108"/>
      <c r="AI248" s="108"/>
    </row>
    <row r="249" spans="1:35" ht="15.75" hidden="1" customHeight="1" outlineLevel="1">
      <c r="B249" s="76"/>
      <c r="C249" s="516" t="s">
        <v>208</v>
      </c>
      <c r="D249" s="100"/>
      <c r="E249" s="100"/>
      <c r="F249" s="100"/>
      <c r="G249" s="100"/>
      <c r="H249" s="88"/>
      <c r="I249" s="108"/>
      <c r="J249" s="108"/>
      <c r="K249" s="108"/>
      <c r="L249" s="108"/>
      <c r="M249" s="108"/>
      <c r="N249" s="108"/>
      <c r="O249" s="108"/>
      <c r="P249" s="108">
        <f t="shared" ref="P249:Y249" si="170">-P342</f>
        <v>0</v>
      </c>
      <c r="Q249" s="108">
        <f t="shared" si="170"/>
        <v>0</v>
      </c>
      <c r="R249" s="108"/>
      <c r="S249" s="108">
        <f t="shared" si="120"/>
        <v>0</v>
      </c>
      <c r="T249" s="108">
        <f t="shared" si="121"/>
        <v>0</v>
      </c>
      <c r="U249" s="108">
        <f t="shared" si="170"/>
        <v>0</v>
      </c>
      <c r="V249" s="108">
        <f t="shared" si="170"/>
        <v>0</v>
      </c>
      <c r="W249" s="108">
        <f t="shared" si="170"/>
        <v>0</v>
      </c>
      <c r="X249" s="108">
        <f t="shared" si="170"/>
        <v>0</v>
      </c>
      <c r="Y249" s="108">
        <f t="shared" si="170"/>
        <v>0</v>
      </c>
      <c r="Z249" s="108">
        <f t="shared" ref="Z249:AG249" si="171">-Z342</f>
        <v>0</v>
      </c>
      <c r="AA249" s="108">
        <f t="shared" si="171"/>
        <v>0</v>
      </c>
      <c r="AB249" s="108">
        <f t="shared" si="171"/>
        <v>0</v>
      </c>
      <c r="AC249" s="108">
        <f t="shared" si="171"/>
        <v>0</v>
      </c>
      <c r="AD249" s="108">
        <f t="shared" si="171"/>
        <v>0</v>
      </c>
      <c r="AE249" s="108">
        <f t="shared" si="171"/>
        <v>0</v>
      </c>
      <c r="AF249" s="108">
        <f t="shared" si="171"/>
        <v>0</v>
      </c>
      <c r="AG249" s="108">
        <f t="shared" si="171"/>
        <v>0</v>
      </c>
      <c r="AH249" s="108"/>
      <c r="AI249" s="108"/>
    </row>
    <row r="250" spans="1:35" ht="15.75" hidden="1" customHeight="1" outlineLevel="1">
      <c r="B250" s="76"/>
      <c r="C250" s="516" t="s">
        <v>209</v>
      </c>
      <c r="D250" s="110"/>
      <c r="E250" s="110"/>
      <c r="F250" s="110"/>
      <c r="G250" s="110"/>
      <c r="H250" s="88"/>
      <c r="I250" s="79"/>
      <c r="J250" s="79"/>
      <c r="K250" s="79"/>
      <c r="L250" s="79"/>
      <c r="M250" s="79"/>
      <c r="N250" s="79"/>
      <c r="O250" s="79"/>
      <c r="P250" s="79">
        <f t="shared" ref="P250:W251" si="172">O250</f>
        <v>0</v>
      </c>
      <c r="Q250" s="79">
        <f t="shared" si="172"/>
        <v>0</v>
      </c>
      <c r="R250" s="79"/>
      <c r="S250" s="79">
        <f t="shared" si="120"/>
        <v>0</v>
      </c>
      <c r="T250" s="79">
        <f t="shared" si="121"/>
        <v>0</v>
      </c>
      <c r="U250" s="79">
        <f>Q250</f>
        <v>0</v>
      </c>
      <c r="V250" s="79">
        <f t="shared" si="172"/>
        <v>0</v>
      </c>
      <c r="W250" s="79">
        <f t="shared" si="172"/>
        <v>0</v>
      </c>
      <c r="X250" s="79">
        <f>W250</f>
        <v>0</v>
      </c>
      <c r="Y250" s="79">
        <f>X250</f>
        <v>0</v>
      </c>
      <c r="Z250" s="79">
        <f t="shared" ref="Z250:AG250" si="173">Y250</f>
        <v>0</v>
      </c>
      <c r="AA250" s="79">
        <f t="shared" si="173"/>
        <v>0</v>
      </c>
      <c r="AB250" s="79">
        <f t="shared" si="173"/>
        <v>0</v>
      </c>
      <c r="AC250" s="79">
        <f t="shared" si="173"/>
        <v>0</v>
      </c>
      <c r="AD250" s="79">
        <f t="shared" si="173"/>
        <v>0</v>
      </c>
      <c r="AE250" s="79">
        <f t="shared" si="173"/>
        <v>0</v>
      </c>
      <c r="AF250" s="79">
        <f t="shared" si="173"/>
        <v>0</v>
      </c>
      <c r="AG250" s="79">
        <f t="shared" si="173"/>
        <v>0</v>
      </c>
      <c r="AH250" s="79"/>
      <c r="AI250" s="79"/>
    </row>
    <row r="251" spans="1:35" ht="15.75" hidden="1" customHeight="1" outlineLevel="1">
      <c r="B251" s="76"/>
      <c r="C251" s="516" t="s">
        <v>210</v>
      </c>
      <c r="D251" s="110"/>
      <c r="E251" s="110"/>
      <c r="F251" s="110"/>
      <c r="G251" s="110"/>
      <c r="H251" s="88"/>
      <c r="I251" s="79"/>
      <c r="J251" s="79"/>
      <c r="K251" s="79"/>
      <c r="L251" s="79"/>
      <c r="M251" s="79"/>
      <c r="N251" s="79"/>
      <c r="O251" s="79"/>
      <c r="P251" s="79">
        <f t="shared" si="172"/>
        <v>0</v>
      </c>
      <c r="Q251" s="79">
        <f t="shared" si="172"/>
        <v>0</v>
      </c>
      <c r="R251" s="79"/>
      <c r="S251" s="79">
        <f t="shared" si="120"/>
        <v>0</v>
      </c>
      <c r="T251" s="79">
        <f t="shared" si="121"/>
        <v>0</v>
      </c>
      <c r="U251" s="79">
        <f>Q251</f>
        <v>0</v>
      </c>
      <c r="V251" s="79">
        <f t="shared" si="172"/>
        <v>0</v>
      </c>
      <c r="W251" s="79">
        <f t="shared" si="172"/>
        <v>0</v>
      </c>
      <c r="X251" s="79">
        <f>W251</f>
        <v>0</v>
      </c>
      <c r="Y251" s="79">
        <f>X251</f>
        <v>0</v>
      </c>
      <c r="Z251" s="79">
        <f t="shared" ref="Z251:AG251" si="174">Y251</f>
        <v>0</v>
      </c>
      <c r="AA251" s="79">
        <f t="shared" si="174"/>
        <v>0</v>
      </c>
      <c r="AB251" s="79">
        <f t="shared" si="174"/>
        <v>0</v>
      </c>
      <c r="AC251" s="79">
        <f t="shared" si="174"/>
        <v>0</v>
      </c>
      <c r="AD251" s="79">
        <f t="shared" si="174"/>
        <v>0</v>
      </c>
      <c r="AE251" s="79">
        <f t="shared" si="174"/>
        <v>0</v>
      </c>
      <c r="AF251" s="79">
        <f t="shared" si="174"/>
        <v>0</v>
      </c>
      <c r="AG251" s="79">
        <f t="shared" si="174"/>
        <v>0</v>
      </c>
      <c r="AH251" s="79"/>
      <c r="AI251" s="79"/>
    </row>
    <row r="252" spans="1:35" s="157" customFormat="1" ht="15.75" customHeight="1" collapsed="1">
      <c r="A252" s="460"/>
      <c r="B252" s="155"/>
      <c r="C252" s="95" t="s">
        <v>211</v>
      </c>
      <c r="D252" s="163"/>
      <c r="E252" s="163"/>
      <c r="F252" s="163"/>
      <c r="G252" s="163"/>
      <c r="H252" s="1011"/>
      <c r="I252" s="153"/>
      <c r="J252" s="153"/>
      <c r="K252" s="153"/>
      <c r="L252" s="153"/>
      <c r="M252" s="153"/>
      <c r="N252" s="153"/>
      <c r="O252" s="153"/>
      <c r="P252" s="153">
        <f t="shared" ref="P252:Y252" si="175">SUM(P248:P251)</f>
        <v>-14000000</v>
      </c>
      <c r="Q252" s="153">
        <f t="shared" si="175"/>
        <v>-2200000</v>
      </c>
      <c r="R252" s="153"/>
      <c r="S252" s="153">
        <f t="shared" si="175"/>
        <v>-2200000</v>
      </c>
      <c r="T252" s="153">
        <f t="shared" si="175"/>
        <v>-2200000</v>
      </c>
      <c r="U252" s="153">
        <f t="shared" si="175"/>
        <v>-1332209</v>
      </c>
      <c r="V252" s="153">
        <f t="shared" si="175"/>
        <v>-960509</v>
      </c>
      <c r="W252" s="153">
        <f t="shared" si="175"/>
        <v>-692517</v>
      </c>
      <c r="X252" s="153">
        <f t="shared" si="175"/>
        <v>0</v>
      </c>
      <c r="Y252" s="153">
        <f t="shared" si="175"/>
        <v>0</v>
      </c>
      <c r="Z252" s="153">
        <f t="shared" ref="Z252:AG252" si="176">SUM(Z248:Z251)</f>
        <v>0</v>
      </c>
      <c r="AA252" s="153">
        <f t="shared" si="176"/>
        <v>0</v>
      </c>
      <c r="AB252" s="153">
        <f t="shared" si="176"/>
        <v>0</v>
      </c>
      <c r="AC252" s="153">
        <f t="shared" si="176"/>
        <v>0</v>
      </c>
      <c r="AD252" s="153">
        <f t="shared" si="176"/>
        <v>0</v>
      </c>
      <c r="AE252" s="153">
        <f t="shared" si="176"/>
        <v>0</v>
      </c>
      <c r="AF252" s="153">
        <f t="shared" si="176"/>
        <v>0</v>
      </c>
      <c r="AG252" s="153">
        <f t="shared" si="176"/>
        <v>0</v>
      </c>
      <c r="AH252" s="153"/>
      <c r="AI252" s="153"/>
    </row>
    <row r="253" spans="1:35" ht="9.75" customHeight="1">
      <c r="B253" s="76"/>
      <c r="C253" s="110"/>
      <c r="D253" s="110"/>
      <c r="E253" s="110"/>
      <c r="F253" s="110"/>
      <c r="G253" s="110"/>
      <c r="H253" s="88"/>
      <c r="I253" s="108"/>
      <c r="J253" s="108"/>
      <c r="K253" s="108"/>
      <c r="L253" s="108"/>
      <c r="M253" s="100"/>
      <c r="N253" s="100"/>
      <c r="O253" s="100"/>
      <c r="P253" s="100"/>
      <c r="Q253" s="100"/>
      <c r="R253" s="100"/>
      <c r="S253" s="100">
        <f t="shared" si="120"/>
        <v>0</v>
      </c>
      <c r="T253" s="100">
        <f t="shared" si="121"/>
        <v>0</v>
      </c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  <c r="AI253" s="100"/>
    </row>
    <row r="254" spans="1:35" s="157" customFormat="1" ht="15.75" customHeight="1">
      <c r="A254" s="460"/>
      <c r="B254" s="155"/>
      <c r="C254" s="95" t="s">
        <v>212</v>
      </c>
      <c r="D254" s="163"/>
      <c r="E254" s="163"/>
      <c r="F254" s="163"/>
      <c r="G254" s="163"/>
      <c r="H254" s="1011"/>
      <c r="I254" s="153"/>
      <c r="J254" s="153"/>
      <c r="K254" s="153"/>
      <c r="L254" s="153"/>
      <c r="M254" s="153"/>
      <c r="N254" s="153"/>
      <c r="O254" s="153"/>
      <c r="P254" s="153">
        <f t="shared" ref="P254:Y254" si="177">SUM(P252,P245)</f>
        <v>-14698333.333333334</v>
      </c>
      <c r="Q254" s="153">
        <f t="shared" si="177"/>
        <v>27490523.896643318</v>
      </c>
      <c r="R254" s="153"/>
      <c r="S254" s="153">
        <f t="shared" si="177"/>
        <v>6278426.868334597</v>
      </c>
      <c r="T254" s="153">
        <f t="shared" si="177"/>
        <v>6278426.868334597</v>
      </c>
      <c r="U254" s="153">
        <f t="shared" si="177"/>
        <v>20971557.883151002</v>
      </c>
      <c r="V254" s="153">
        <f t="shared" si="177"/>
        <v>29838156.394647166</v>
      </c>
      <c r="W254" s="153">
        <f t="shared" si="177"/>
        <v>32898054.09424112</v>
      </c>
      <c r="X254" s="153">
        <f t="shared" si="177"/>
        <v>36646439.484095246</v>
      </c>
      <c r="Y254" s="153">
        <f t="shared" si="177"/>
        <v>38838436.973023832</v>
      </c>
      <c r="Z254" s="153">
        <f t="shared" ref="Z254:AG254" si="178">SUM(Z252,Z245)</f>
        <v>38832779.709523834</v>
      </c>
      <c r="AA254" s="153">
        <f t="shared" si="178"/>
        <v>38827122.446023837</v>
      </c>
      <c r="AB254" s="153">
        <f t="shared" si="178"/>
        <v>38821465.182523832</v>
      </c>
      <c r="AC254" s="153">
        <f t="shared" si="178"/>
        <v>38815807.919023827</v>
      </c>
      <c r="AD254" s="153">
        <f t="shared" si="178"/>
        <v>38810150.655523829</v>
      </c>
      <c r="AE254" s="153">
        <f t="shared" si="178"/>
        <v>30444308.518557899</v>
      </c>
      <c r="AF254" s="153">
        <f t="shared" si="178"/>
        <v>30438525.1185579</v>
      </c>
      <c r="AG254" s="153">
        <f t="shared" si="178"/>
        <v>23812540.914846312</v>
      </c>
      <c r="AH254" s="153"/>
      <c r="AI254" s="153"/>
    </row>
    <row r="255" spans="1:35" ht="4.5" customHeight="1">
      <c r="B255" s="76"/>
      <c r="C255" s="95"/>
      <c r="D255" s="508"/>
      <c r="E255" s="508"/>
      <c r="F255" s="508"/>
      <c r="G255" s="508"/>
      <c r="H255" s="509"/>
      <c r="I255" s="108"/>
      <c r="J255" s="108"/>
      <c r="K255" s="108"/>
      <c r="L255" s="108"/>
      <c r="M255" s="100"/>
      <c r="N255" s="100"/>
      <c r="O255" s="100"/>
      <c r="P255" s="100"/>
      <c r="Q255" s="100"/>
      <c r="R255" s="100"/>
      <c r="S255" s="100">
        <f t="shared" si="120"/>
        <v>0</v>
      </c>
      <c r="T255" s="100">
        <f t="shared" si="121"/>
        <v>0</v>
      </c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  <c r="AI255" s="100"/>
    </row>
    <row r="256" spans="1:35" ht="15.75" hidden="1" customHeight="1" outlineLevel="1">
      <c r="B256" s="76"/>
      <c r="C256" s="110" t="s">
        <v>1359</v>
      </c>
      <c r="D256" s="110"/>
      <c r="E256" s="110"/>
      <c r="F256" s="110"/>
      <c r="G256" s="110"/>
      <c r="H256" s="88"/>
      <c r="I256" s="108"/>
      <c r="J256" s="108"/>
      <c r="K256" s="108"/>
      <c r="L256" s="108"/>
      <c r="M256" s="108"/>
      <c r="N256" s="108"/>
      <c r="O256" s="108"/>
      <c r="P256" s="108">
        <f t="shared" ref="P256:Y256" si="179">IF(P254&lt;0,P254,0)</f>
        <v>-14698333.333333334</v>
      </c>
      <c r="Q256" s="108">
        <f t="shared" si="179"/>
        <v>0</v>
      </c>
      <c r="R256" s="108"/>
      <c r="S256" s="108">
        <f t="shared" si="120"/>
        <v>0</v>
      </c>
      <c r="T256" s="108">
        <f t="shared" si="121"/>
        <v>0</v>
      </c>
      <c r="U256" s="108">
        <f t="shared" si="179"/>
        <v>0</v>
      </c>
      <c r="V256" s="108">
        <f t="shared" si="179"/>
        <v>0</v>
      </c>
      <c r="W256" s="108">
        <f t="shared" si="179"/>
        <v>0</v>
      </c>
      <c r="X256" s="108">
        <f t="shared" si="179"/>
        <v>0</v>
      </c>
      <c r="Y256" s="108">
        <f t="shared" si="179"/>
        <v>0</v>
      </c>
      <c r="Z256" s="108">
        <f t="shared" ref="Z256:AG256" si="180">IF(Z254&lt;0,Z254,0)</f>
        <v>0</v>
      </c>
      <c r="AA256" s="108">
        <f t="shared" si="180"/>
        <v>0</v>
      </c>
      <c r="AB256" s="108">
        <f t="shared" si="180"/>
        <v>0</v>
      </c>
      <c r="AC256" s="108">
        <f t="shared" si="180"/>
        <v>0</v>
      </c>
      <c r="AD256" s="108">
        <f t="shared" si="180"/>
        <v>0</v>
      </c>
      <c r="AE256" s="108">
        <f t="shared" si="180"/>
        <v>0</v>
      </c>
      <c r="AF256" s="108">
        <f t="shared" si="180"/>
        <v>0</v>
      </c>
      <c r="AG256" s="108">
        <f t="shared" si="180"/>
        <v>0</v>
      </c>
      <c r="AH256" s="108"/>
      <c r="AI256" s="108"/>
    </row>
    <row r="257" spans="1:35" ht="15.75" hidden="1" customHeight="1" outlineLevel="1">
      <c r="B257" s="76"/>
      <c r="C257" s="110"/>
      <c r="D257" s="110"/>
      <c r="E257" s="110"/>
      <c r="F257" s="110"/>
      <c r="G257" s="110"/>
      <c r="H257" s="88"/>
      <c r="I257" s="110"/>
      <c r="J257" s="110"/>
      <c r="K257" s="110"/>
      <c r="L257" s="110"/>
      <c r="M257" s="100"/>
      <c r="N257" s="100"/>
      <c r="O257" s="100"/>
      <c r="P257" s="100"/>
      <c r="Q257" s="100"/>
      <c r="R257" s="100"/>
      <c r="S257" s="100">
        <f t="shared" si="120"/>
        <v>0</v>
      </c>
      <c r="T257" s="100">
        <f t="shared" si="121"/>
        <v>0</v>
      </c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  <c r="AI257" s="100"/>
    </row>
    <row r="258" spans="1:35" ht="15.75" customHeight="1" collapsed="1">
      <c r="B258" s="76"/>
      <c r="C258" s="523" t="s">
        <v>135</v>
      </c>
      <c r="D258" s="100"/>
      <c r="E258" s="114"/>
      <c r="F258" s="114"/>
      <c r="G258" s="114"/>
      <c r="H258" s="88"/>
      <c r="I258" s="108"/>
      <c r="J258" s="108"/>
      <c r="K258" s="108"/>
      <c r="L258" s="108"/>
      <c r="M258" s="100"/>
      <c r="N258" s="100"/>
      <c r="O258" s="100"/>
      <c r="P258" s="100"/>
      <c r="Q258" s="100"/>
      <c r="R258" s="100"/>
      <c r="S258" s="100">
        <f t="shared" si="120"/>
        <v>0</v>
      </c>
      <c r="T258" s="100">
        <f t="shared" si="121"/>
        <v>0</v>
      </c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</row>
    <row r="259" spans="1:35" ht="15.75" customHeight="1">
      <c r="A259" s="460">
        <v>17</v>
      </c>
      <c r="B259" s="76"/>
      <c r="C259" s="482" t="s">
        <v>214</v>
      </c>
      <c r="D259" s="110"/>
      <c r="E259" s="110"/>
      <c r="F259" s="110"/>
      <c r="G259" s="110"/>
      <c r="H259" s="88"/>
      <c r="I259" s="108"/>
      <c r="J259" s="108"/>
      <c r="K259" s="108"/>
      <c r="L259" s="108"/>
      <c r="M259" s="108"/>
      <c r="N259" s="108"/>
      <c r="O259" s="108"/>
      <c r="P259" s="108">
        <f t="shared" ref="P259:Y259" si="181">P426</f>
        <v>7000000</v>
      </c>
      <c r="Q259" s="108">
        <f t="shared" si="181"/>
        <v>4875000</v>
      </c>
      <c r="R259" s="108"/>
      <c r="S259" s="108">
        <f t="shared" si="181"/>
        <v>4875000</v>
      </c>
      <c r="T259" s="108">
        <f t="shared" si="181"/>
        <v>4875000</v>
      </c>
      <c r="U259" s="108">
        <f t="shared" si="181"/>
        <v>-7500000</v>
      </c>
      <c r="V259" s="108">
        <f t="shared" si="181"/>
        <v>-4375000</v>
      </c>
      <c r="W259" s="108">
        <f t="shared" si="181"/>
        <v>0</v>
      </c>
      <c r="X259" s="108">
        <f t="shared" si="181"/>
        <v>0</v>
      </c>
      <c r="Y259" s="108">
        <f t="shared" si="181"/>
        <v>0</v>
      </c>
      <c r="Z259" s="108">
        <f t="shared" ref="Z259:AG259" si="182">Z426</f>
        <v>0</v>
      </c>
      <c r="AA259" s="108">
        <f t="shared" si="182"/>
        <v>0</v>
      </c>
      <c r="AB259" s="108">
        <f t="shared" si="182"/>
        <v>0</v>
      </c>
      <c r="AC259" s="108">
        <f t="shared" si="182"/>
        <v>0</v>
      </c>
      <c r="AD259" s="108">
        <f t="shared" si="182"/>
        <v>0</v>
      </c>
      <c r="AE259" s="108">
        <f t="shared" si="182"/>
        <v>0</v>
      </c>
      <c r="AF259" s="108">
        <f t="shared" si="182"/>
        <v>0</v>
      </c>
      <c r="AG259" s="108">
        <f t="shared" si="182"/>
        <v>0</v>
      </c>
      <c r="AH259" s="108"/>
      <c r="AI259" s="108"/>
    </row>
    <row r="260" spans="1:35" ht="15.75" customHeight="1">
      <c r="A260" s="460">
        <v>18</v>
      </c>
      <c r="B260" s="76"/>
      <c r="C260" s="482" t="s">
        <v>215</v>
      </c>
      <c r="D260" s="110"/>
      <c r="E260" s="110"/>
      <c r="F260" s="110"/>
      <c r="G260" s="110"/>
      <c r="H260" s="88"/>
      <c r="I260" s="108"/>
      <c r="J260" s="108"/>
      <c r="K260" s="108"/>
      <c r="L260" s="108"/>
      <c r="M260" s="108"/>
      <c r="N260" s="108"/>
      <c r="O260" s="108"/>
      <c r="P260" s="108">
        <f t="shared" ref="P260:Y260" si="183">P432</f>
        <v>0</v>
      </c>
      <c r="Q260" s="108">
        <f t="shared" si="183"/>
        <v>0</v>
      </c>
      <c r="R260" s="108"/>
      <c r="S260" s="108">
        <f t="shared" si="120"/>
        <v>0</v>
      </c>
      <c r="T260" s="108">
        <f t="shared" si="121"/>
        <v>0</v>
      </c>
      <c r="U260" s="108">
        <f t="shared" si="183"/>
        <v>0</v>
      </c>
      <c r="V260" s="108">
        <f t="shared" si="183"/>
        <v>0</v>
      </c>
      <c r="W260" s="108">
        <f t="shared" si="183"/>
        <v>0</v>
      </c>
      <c r="X260" s="108">
        <f t="shared" si="183"/>
        <v>0</v>
      </c>
      <c r="Y260" s="108">
        <f t="shared" si="183"/>
        <v>0</v>
      </c>
      <c r="Z260" s="108">
        <f t="shared" ref="Z260:AG260" si="184">Z432</f>
        <v>0</v>
      </c>
      <c r="AA260" s="108">
        <f t="shared" si="184"/>
        <v>0</v>
      </c>
      <c r="AB260" s="108">
        <f t="shared" si="184"/>
        <v>0</v>
      </c>
      <c r="AC260" s="108">
        <f t="shared" si="184"/>
        <v>0</v>
      </c>
      <c r="AD260" s="108">
        <f t="shared" si="184"/>
        <v>0</v>
      </c>
      <c r="AE260" s="108">
        <f t="shared" si="184"/>
        <v>0</v>
      </c>
      <c r="AF260" s="108">
        <f t="shared" si="184"/>
        <v>0</v>
      </c>
      <c r="AG260" s="108">
        <f t="shared" si="184"/>
        <v>0</v>
      </c>
      <c r="AH260" s="108"/>
      <c r="AI260" s="108"/>
    </row>
    <row r="261" spans="1:35" ht="15.75" hidden="1" customHeight="1" outlineLevel="1">
      <c r="B261" s="76"/>
      <c r="C261" s="482" t="s">
        <v>1360</v>
      </c>
      <c r="D261" s="110"/>
      <c r="E261" s="110"/>
      <c r="F261" s="110"/>
      <c r="G261" s="110"/>
      <c r="H261" s="88"/>
      <c r="I261" s="108"/>
      <c r="J261" s="108"/>
      <c r="K261" s="108"/>
      <c r="L261" s="108"/>
      <c r="M261" s="108"/>
      <c r="N261" s="108"/>
      <c r="O261" s="108"/>
      <c r="P261" s="108">
        <f t="shared" ref="P261:W262" si="185">P387</f>
        <v>0</v>
      </c>
      <c r="Q261" s="108">
        <f t="shared" si="185"/>
        <v>0</v>
      </c>
      <c r="R261" s="108"/>
      <c r="S261" s="108">
        <f t="shared" si="120"/>
        <v>0</v>
      </c>
      <c r="T261" s="108">
        <f t="shared" si="121"/>
        <v>0</v>
      </c>
      <c r="U261" s="108">
        <f t="shared" si="185"/>
        <v>0</v>
      </c>
      <c r="V261" s="108">
        <f t="shared" si="185"/>
        <v>0</v>
      </c>
      <c r="W261" s="108">
        <f t="shared" si="185"/>
        <v>0</v>
      </c>
      <c r="X261" s="108">
        <f>X387</f>
        <v>0</v>
      </c>
      <c r="Y261" s="108">
        <f>Y387</f>
        <v>0</v>
      </c>
      <c r="Z261" s="108">
        <f t="shared" ref="Z261:AG261" si="186">Z387</f>
        <v>0</v>
      </c>
      <c r="AA261" s="108">
        <f t="shared" si="186"/>
        <v>0</v>
      </c>
      <c r="AB261" s="108">
        <f t="shared" si="186"/>
        <v>0</v>
      </c>
      <c r="AC261" s="108">
        <f t="shared" si="186"/>
        <v>0</v>
      </c>
      <c r="AD261" s="108">
        <f t="shared" si="186"/>
        <v>0</v>
      </c>
      <c r="AE261" s="108">
        <f t="shared" si="186"/>
        <v>0</v>
      </c>
      <c r="AF261" s="108">
        <f t="shared" si="186"/>
        <v>0</v>
      </c>
      <c r="AG261" s="108">
        <f t="shared" si="186"/>
        <v>0</v>
      </c>
      <c r="AH261" s="108"/>
      <c r="AI261" s="108"/>
    </row>
    <row r="262" spans="1:35" ht="15.75" hidden="1" customHeight="1" outlineLevel="1">
      <c r="B262" s="76"/>
      <c r="C262" s="482" t="s">
        <v>1361</v>
      </c>
      <c r="D262" s="110"/>
      <c r="E262" s="110"/>
      <c r="F262" s="110"/>
      <c r="G262" s="110"/>
      <c r="H262" s="88"/>
      <c r="I262" s="108"/>
      <c r="J262" s="108"/>
      <c r="K262" s="108"/>
      <c r="L262" s="108"/>
      <c r="M262" s="108"/>
      <c r="N262" s="108"/>
      <c r="O262" s="108"/>
      <c r="P262" s="108">
        <f t="shared" si="185"/>
        <v>0</v>
      </c>
      <c r="Q262" s="108">
        <f t="shared" si="185"/>
        <v>0</v>
      </c>
      <c r="R262" s="108"/>
      <c r="S262" s="108">
        <f t="shared" si="120"/>
        <v>0</v>
      </c>
      <c r="T262" s="108">
        <f t="shared" si="121"/>
        <v>0</v>
      </c>
      <c r="U262" s="108">
        <f t="shared" si="185"/>
        <v>0</v>
      </c>
      <c r="V262" s="108">
        <f t="shared" si="185"/>
        <v>0</v>
      </c>
      <c r="W262" s="108">
        <f t="shared" si="185"/>
        <v>0</v>
      </c>
      <c r="X262" s="108">
        <f>X388</f>
        <v>0</v>
      </c>
      <c r="Y262" s="108">
        <f>Y388</f>
        <v>0</v>
      </c>
      <c r="Z262" s="108">
        <f t="shared" ref="Z262:AG262" si="187">Z388</f>
        <v>0</v>
      </c>
      <c r="AA262" s="108">
        <f t="shared" si="187"/>
        <v>0</v>
      </c>
      <c r="AB262" s="108">
        <f t="shared" si="187"/>
        <v>0</v>
      </c>
      <c r="AC262" s="108">
        <f t="shared" si="187"/>
        <v>0</v>
      </c>
      <c r="AD262" s="108">
        <f t="shared" si="187"/>
        <v>0</v>
      </c>
      <c r="AE262" s="108">
        <f t="shared" si="187"/>
        <v>0</v>
      </c>
      <c r="AF262" s="108">
        <f t="shared" si="187"/>
        <v>0</v>
      </c>
      <c r="AG262" s="108">
        <f t="shared" si="187"/>
        <v>0</v>
      </c>
      <c r="AH262" s="108"/>
      <c r="AI262" s="108"/>
    </row>
    <row r="263" spans="1:35" ht="15.75" hidden="1" customHeight="1" outlineLevel="1">
      <c r="B263" s="76"/>
      <c r="C263" s="482" t="s">
        <v>1362</v>
      </c>
      <c r="D263" s="110"/>
      <c r="E263" s="110"/>
      <c r="F263" s="110"/>
      <c r="G263" s="110"/>
      <c r="H263" s="88"/>
      <c r="I263" s="108"/>
      <c r="J263" s="108"/>
      <c r="K263" s="108"/>
      <c r="L263" s="108"/>
      <c r="M263" s="108"/>
      <c r="N263" s="108"/>
      <c r="O263" s="108"/>
      <c r="P263" s="108">
        <v>0</v>
      </c>
      <c r="Q263" s="108">
        <v>0</v>
      </c>
      <c r="R263" s="108"/>
      <c r="S263" s="108">
        <f t="shared" si="120"/>
        <v>0</v>
      </c>
      <c r="T263" s="108">
        <f t="shared" si="121"/>
        <v>0</v>
      </c>
      <c r="U263" s="108">
        <v>0</v>
      </c>
      <c r="V263" s="108">
        <v>0</v>
      </c>
      <c r="W263" s="108">
        <v>0</v>
      </c>
      <c r="X263" s="108">
        <v>0</v>
      </c>
      <c r="Y263" s="108">
        <v>0</v>
      </c>
      <c r="Z263" s="108">
        <v>0</v>
      </c>
      <c r="AA263" s="108">
        <v>0</v>
      </c>
      <c r="AB263" s="108">
        <v>0</v>
      </c>
      <c r="AC263" s="108">
        <v>0</v>
      </c>
      <c r="AD263" s="108">
        <v>0</v>
      </c>
      <c r="AE263" s="108">
        <v>0</v>
      </c>
      <c r="AF263" s="108">
        <v>0</v>
      </c>
      <c r="AG263" s="108">
        <v>0</v>
      </c>
      <c r="AH263" s="108"/>
      <c r="AI263" s="108"/>
    </row>
    <row r="264" spans="1:35" ht="15.75" hidden="1" customHeight="1" outlineLevel="1">
      <c r="B264" s="76"/>
      <c r="C264" s="482" t="s">
        <v>1363</v>
      </c>
      <c r="D264" s="110"/>
      <c r="E264" s="110"/>
      <c r="F264" s="110"/>
      <c r="G264" s="110"/>
      <c r="H264" s="88"/>
      <c r="I264" s="108"/>
      <c r="J264" s="108"/>
      <c r="K264" s="108"/>
      <c r="L264" s="108"/>
      <c r="M264" s="108"/>
      <c r="N264" s="108"/>
      <c r="O264" s="108"/>
      <c r="P264" s="108">
        <v>0</v>
      </c>
      <c r="Q264" s="108">
        <v>0</v>
      </c>
      <c r="R264" s="108"/>
      <c r="S264" s="108">
        <f t="shared" si="120"/>
        <v>0</v>
      </c>
      <c r="T264" s="108">
        <f t="shared" si="121"/>
        <v>0</v>
      </c>
      <c r="U264" s="108">
        <v>0</v>
      </c>
      <c r="V264" s="108">
        <v>0</v>
      </c>
      <c r="W264" s="108">
        <v>0</v>
      </c>
      <c r="X264" s="108">
        <v>0</v>
      </c>
      <c r="Y264" s="108">
        <v>0</v>
      </c>
      <c r="Z264" s="108">
        <v>0</v>
      </c>
      <c r="AA264" s="108">
        <v>0</v>
      </c>
      <c r="AB264" s="108">
        <v>0</v>
      </c>
      <c r="AC264" s="108">
        <v>0</v>
      </c>
      <c r="AD264" s="108">
        <v>0</v>
      </c>
      <c r="AE264" s="108">
        <v>0</v>
      </c>
      <c r="AF264" s="108">
        <v>0</v>
      </c>
      <c r="AG264" s="108">
        <v>0</v>
      </c>
      <c r="AH264" s="108"/>
      <c r="AI264" s="108"/>
    </row>
    <row r="265" spans="1:35" s="157" customFormat="1" ht="15.75" customHeight="1" collapsed="1">
      <c r="A265" s="460"/>
      <c r="B265" s="155"/>
      <c r="C265" s="95" t="s">
        <v>217</v>
      </c>
      <c r="D265" s="163"/>
      <c r="E265" s="526"/>
      <c r="F265" s="526"/>
      <c r="G265" s="526"/>
      <c r="H265" s="1011"/>
      <c r="I265" s="153"/>
      <c r="J265" s="153"/>
      <c r="K265" s="153"/>
      <c r="L265" s="153"/>
      <c r="M265" s="153"/>
      <c r="N265" s="153"/>
      <c r="O265" s="153"/>
      <c r="P265" s="153">
        <f t="shared" ref="P265:Y265" si="188">SUM(P259:P264)</f>
        <v>7000000</v>
      </c>
      <c r="Q265" s="153">
        <f t="shared" si="188"/>
        <v>4875000</v>
      </c>
      <c r="R265" s="153"/>
      <c r="S265" s="153">
        <f t="shared" si="188"/>
        <v>4875000</v>
      </c>
      <c r="T265" s="153">
        <f t="shared" si="188"/>
        <v>4875000</v>
      </c>
      <c r="U265" s="153">
        <f t="shared" si="188"/>
        <v>-7500000</v>
      </c>
      <c r="V265" s="153">
        <f t="shared" si="188"/>
        <v>-4375000</v>
      </c>
      <c r="W265" s="153">
        <f t="shared" si="188"/>
        <v>0</v>
      </c>
      <c r="X265" s="153">
        <f t="shared" si="188"/>
        <v>0</v>
      </c>
      <c r="Y265" s="153">
        <f t="shared" si="188"/>
        <v>0</v>
      </c>
      <c r="Z265" s="153">
        <f t="shared" ref="Z265:AG265" si="189">SUM(Z259:Z264)</f>
        <v>0</v>
      </c>
      <c r="AA265" s="153">
        <f t="shared" si="189"/>
        <v>0</v>
      </c>
      <c r="AB265" s="153">
        <f t="shared" si="189"/>
        <v>0</v>
      </c>
      <c r="AC265" s="153">
        <f t="shared" si="189"/>
        <v>0</v>
      </c>
      <c r="AD265" s="153">
        <f t="shared" si="189"/>
        <v>0</v>
      </c>
      <c r="AE265" s="153">
        <f t="shared" si="189"/>
        <v>0</v>
      </c>
      <c r="AF265" s="153">
        <f t="shared" si="189"/>
        <v>0</v>
      </c>
      <c r="AG265" s="153">
        <f t="shared" si="189"/>
        <v>0</v>
      </c>
      <c r="AH265" s="153"/>
      <c r="AI265" s="153"/>
    </row>
    <row r="266" spans="1:35" ht="15.75" customHeight="1">
      <c r="B266" s="76"/>
      <c r="C266" s="110"/>
      <c r="D266" s="110"/>
      <c r="E266" s="83"/>
      <c r="F266" s="83"/>
      <c r="G266" s="83"/>
      <c r="H266" s="527"/>
      <c r="I266" s="108"/>
      <c r="J266" s="108"/>
      <c r="K266" s="108"/>
      <c r="L266" s="108"/>
      <c r="M266" s="108"/>
      <c r="N266" s="108"/>
      <c r="O266" s="108"/>
      <c r="P266" s="108"/>
      <c r="Q266" s="108"/>
      <c r="R266" s="108"/>
      <c r="S266" s="108">
        <f t="shared" si="120"/>
        <v>0</v>
      </c>
      <c r="T266" s="108">
        <f t="shared" si="121"/>
        <v>0</v>
      </c>
      <c r="U266" s="108"/>
      <c r="V266" s="108"/>
      <c r="W266" s="108"/>
      <c r="X266" s="108"/>
      <c r="Y266" s="108"/>
      <c r="Z266" s="108"/>
      <c r="AA266" s="108"/>
      <c r="AB266" s="108"/>
      <c r="AC266" s="108"/>
      <c r="AD266" s="108"/>
      <c r="AE266" s="108"/>
      <c r="AF266" s="108"/>
      <c r="AG266" s="108"/>
      <c r="AH266" s="108"/>
      <c r="AI266" s="108"/>
    </row>
    <row r="267" spans="1:35" s="157" customFormat="1" ht="15.75" customHeight="1">
      <c r="A267" s="460"/>
      <c r="B267" s="155"/>
      <c r="C267" s="95" t="s">
        <v>219</v>
      </c>
      <c r="D267" s="163"/>
      <c r="E267" s="526"/>
      <c r="F267" s="526"/>
      <c r="G267" s="526"/>
      <c r="H267" s="1012"/>
      <c r="I267" s="153"/>
      <c r="J267" s="153"/>
      <c r="K267" s="153"/>
      <c r="L267" s="153"/>
      <c r="M267" s="153"/>
      <c r="N267" s="153"/>
      <c r="O267" s="153"/>
      <c r="P267" s="153">
        <f t="shared" ref="P267:Y267" si="190">P245+P252+P265</f>
        <v>-7698333.333333334</v>
      </c>
      <c r="Q267" s="153">
        <f t="shared" si="190"/>
        <v>32365523.896643318</v>
      </c>
      <c r="R267" s="153"/>
      <c r="S267" s="153">
        <f t="shared" si="190"/>
        <v>11153426.868334597</v>
      </c>
      <c r="T267" s="153">
        <f t="shared" si="190"/>
        <v>11153426.868334597</v>
      </c>
      <c r="U267" s="153">
        <f t="shared" si="190"/>
        <v>13471557.883151002</v>
      </c>
      <c r="V267" s="153">
        <f t="shared" si="190"/>
        <v>25463156.394647166</v>
      </c>
      <c r="W267" s="153">
        <f t="shared" si="190"/>
        <v>32898054.09424112</v>
      </c>
      <c r="X267" s="153">
        <f t="shared" si="190"/>
        <v>36646439.484095246</v>
      </c>
      <c r="Y267" s="153">
        <f t="shared" si="190"/>
        <v>38838436.973023832</v>
      </c>
      <c r="Z267" s="153">
        <f t="shared" ref="Z267:AG267" si="191">Z245+Z252+Z265</f>
        <v>38832779.709523834</v>
      </c>
      <c r="AA267" s="153">
        <f t="shared" si="191"/>
        <v>38827122.446023837</v>
      </c>
      <c r="AB267" s="153">
        <f t="shared" si="191"/>
        <v>38821465.182523832</v>
      </c>
      <c r="AC267" s="153">
        <f t="shared" si="191"/>
        <v>38815807.919023827</v>
      </c>
      <c r="AD267" s="153">
        <f t="shared" si="191"/>
        <v>38810150.655523829</v>
      </c>
      <c r="AE267" s="153">
        <f t="shared" si="191"/>
        <v>30444308.518557899</v>
      </c>
      <c r="AF267" s="153">
        <f t="shared" si="191"/>
        <v>30438525.1185579</v>
      </c>
      <c r="AG267" s="153">
        <f t="shared" si="191"/>
        <v>23812540.914846312</v>
      </c>
      <c r="AH267" s="153"/>
      <c r="AI267" s="153"/>
    </row>
    <row r="268" spans="1:35" ht="15.75" customHeight="1">
      <c r="B268" s="111"/>
      <c r="C268" s="110"/>
      <c r="D268" s="100"/>
      <c r="E268" s="528"/>
      <c r="F268" s="83"/>
      <c r="G268" s="83"/>
      <c r="H268" s="527"/>
      <c r="I268" s="108"/>
      <c r="J268" s="108"/>
      <c r="K268" s="108"/>
      <c r="L268" s="108"/>
      <c r="M268" s="108"/>
      <c r="N268" s="108"/>
      <c r="O268" s="108"/>
      <c r="P268" s="108"/>
      <c r="Q268" s="108"/>
      <c r="R268" s="108"/>
      <c r="S268" s="108">
        <f t="shared" ref="S268:S330" si="192">Q268</f>
        <v>0</v>
      </c>
      <c r="T268" s="108">
        <f t="shared" ref="T268:T330" si="193">S268</f>
        <v>0</v>
      </c>
      <c r="U268" s="108"/>
      <c r="V268" s="108"/>
      <c r="W268" s="108"/>
      <c r="X268" s="108"/>
      <c r="Y268" s="108"/>
      <c r="Z268" s="108"/>
      <c r="AA268" s="108"/>
      <c r="AB268" s="108"/>
      <c r="AC268" s="108"/>
      <c r="AD268" s="108"/>
      <c r="AE268" s="108"/>
      <c r="AF268" s="108"/>
      <c r="AG268" s="108"/>
      <c r="AH268" s="108"/>
      <c r="AI268" s="108"/>
    </row>
    <row r="269" spans="1:35" ht="15.75" hidden="1" customHeight="1" outlineLevel="1">
      <c r="B269" s="111"/>
      <c r="C269" s="483"/>
      <c r="D269" s="110"/>
      <c r="E269" s="110"/>
      <c r="F269" s="110"/>
      <c r="G269" s="110"/>
      <c r="H269" s="88"/>
      <c r="I269" s="108"/>
      <c r="J269" s="108"/>
      <c r="K269" s="108"/>
      <c r="L269" s="108"/>
      <c r="M269" s="108"/>
      <c r="N269" s="108"/>
      <c r="O269" s="108"/>
      <c r="P269" s="108"/>
      <c r="Q269" s="108"/>
      <c r="R269" s="108"/>
      <c r="S269" s="108">
        <f t="shared" si="192"/>
        <v>0</v>
      </c>
      <c r="T269" s="108">
        <f t="shared" si="193"/>
        <v>0</v>
      </c>
      <c r="U269" s="108"/>
      <c r="V269" s="108"/>
      <c r="W269" s="108"/>
      <c r="X269" s="108"/>
      <c r="Y269" s="108"/>
      <c r="Z269" s="108"/>
      <c r="AA269" s="108"/>
      <c r="AB269" s="108"/>
      <c r="AC269" s="108"/>
      <c r="AD269" s="108"/>
      <c r="AE269" s="108"/>
      <c r="AF269" s="108"/>
      <c r="AG269" s="108"/>
      <c r="AH269" s="108"/>
      <c r="AI269" s="108"/>
    </row>
    <row r="270" spans="1:35" ht="15.75" hidden="1" customHeight="1" outlineLevel="1">
      <c r="B270" s="111"/>
      <c r="C270" s="529" t="s">
        <v>1806</v>
      </c>
      <c r="D270" s="472"/>
      <c r="E270" s="472"/>
      <c r="F270" s="472"/>
      <c r="G270" s="472"/>
      <c r="H270" s="498"/>
      <c r="I270" s="120"/>
      <c r="J270" s="120"/>
      <c r="K270" s="120"/>
      <c r="L270" s="120"/>
      <c r="M270" s="120"/>
      <c r="N270" s="120"/>
      <c r="O270" s="120"/>
      <c r="P270" s="120">
        <f>P267</f>
        <v>-7698333.333333334</v>
      </c>
      <c r="Q270" s="120">
        <f>P270+Q267</f>
        <v>24667190.563309982</v>
      </c>
      <c r="R270" s="120"/>
      <c r="S270" s="120">
        <f>P270+S267</f>
        <v>3455093.535001263</v>
      </c>
      <c r="T270" s="120">
        <f>S270</f>
        <v>3455093.535001263</v>
      </c>
      <c r="U270" s="120">
        <f>Q270+U267</f>
        <v>38138748.446460985</v>
      </c>
      <c r="V270" s="120">
        <f t="shared" ref="V270:AG270" si="194">U270+V267</f>
        <v>63601904.841108151</v>
      </c>
      <c r="W270" s="120">
        <f t="shared" si="194"/>
        <v>96499958.935349271</v>
      </c>
      <c r="X270" s="120">
        <f t="shared" si="194"/>
        <v>133146398.41944452</v>
      </c>
      <c r="Y270" s="120">
        <f t="shared" si="194"/>
        <v>171984835.39246833</v>
      </c>
      <c r="Z270" s="120">
        <f t="shared" si="194"/>
        <v>210817615.10199216</v>
      </c>
      <c r="AA270" s="120">
        <f t="shared" si="194"/>
        <v>249644737.54801601</v>
      </c>
      <c r="AB270" s="120">
        <f t="shared" si="194"/>
        <v>288466202.73053986</v>
      </c>
      <c r="AC270" s="120">
        <f t="shared" si="194"/>
        <v>327282010.64956367</v>
      </c>
      <c r="AD270" s="120">
        <f t="shared" si="194"/>
        <v>366092161.30508751</v>
      </c>
      <c r="AE270" s="120">
        <f t="shared" si="194"/>
        <v>396536469.82364541</v>
      </c>
      <c r="AF270" s="120">
        <f t="shared" si="194"/>
        <v>426974994.94220328</v>
      </c>
      <c r="AG270" s="120">
        <f t="shared" si="194"/>
        <v>450787535.85704958</v>
      </c>
      <c r="AH270" s="120"/>
      <c r="AI270" s="120"/>
    </row>
    <row r="271" spans="1:35" ht="15.75" hidden="1" customHeight="1" outlineLevel="1">
      <c r="B271" s="111"/>
      <c r="C271" s="483"/>
      <c r="D271" s="110"/>
      <c r="E271" s="110"/>
      <c r="F271" s="110"/>
      <c r="G271" s="110"/>
      <c r="H271" s="88"/>
      <c r="I271" s="108"/>
      <c r="J271" s="108"/>
      <c r="K271" s="108"/>
      <c r="L271" s="108"/>
      <c r="M271" s="108"/>
      <c r="N271" s="108"/>
      <c r="O271" s="108"/>
      <c r="P271" s="108"/>
      <c r="Q271" s="108"/>
      <c r="R271" s="108"/>
      <c r="S271" s="108">
        <f t="shared" si="192"/>
        <v>0</v>
      </c>
      <c r="T271" s="108">
        <f t="shared" si="193"/>
        <v>0</v>
      </c>
      <c r="U271" s="108"/>
      <c r="V271" s="108"/>
      <c r="W271" s="108"/>
      <c r="X271" s="108"/>
      <c r="Y271" s="108"/>
      <c r="Z271" s="108"/>
      <c r="AA271" s="108"/>
      <c r="AB271" s="108"/>
      <c r="AC271" s="108"/>
      <c r="AD271" s="108"/>
      <c r="AE271" s="108"/>
      <c r="AF271" s="108"/>
      <c r="AG271" s="108"/>
      <c r="AH271" s="108"/>
      <c r="AI271" s="108"/>
    </row>
    <row r="272" spans="1:35" ht="15.75" hidden="1" customHeight="1" outlineLevel="1">
      <c r="B272" s="111"/>
      <c r="C272" s="102"/>
      <c r="D272" s="102"/>
      <c r="E272" s="102"/>
      <c r="F272" s="102"/>
      <c r="G272" s="102"/>
      <c r="I272" s="117"/>
      <c r="J272" s="102"/>
      <c r="K272" s="121"/>
      <c r="L272" s="121"/>
      <c r="M272" s="643"/>
      <c r="N272" s="117"/>
      <c r="O272" s="117"/>
      <c r="P272" s="117"/>
      <c r="Q272" s="117"/>
      <c r="R272" s="117"/>
      <c r="S272" s="117">
        <f t="shared" si="192"/>
        <v>0</v>
      </c>
      <c r="T272" s="117">
        <f t="shared" si="193"/>
        <v>0</v>
      </c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</row>
    <row r="273" spans="1:35" ht="15.75" hidden="1" customHeight="1" outlineLevel="1">
      <c r="B273" s="111"/>
      <c r="C273" s="102"/>
      <c r="D273" s="102"/>
      <c r="E273" s="102"/>
      <c r="F273" s="102"/>
      <c r="G273" s="102"/>
      <c r="I273" s="117"/>
      <c r="J273" s="102"/>
      <c r="K273" s="121"/>
      <c r="L273" s="121"/>
      <c r="M273" s="643"/>
      <c r="N273" s="117"/>
      <c r="O273" s="117"/>
      <c r="P273" s="117"/>
      <c r="Q273" s="117"/>
      <c r="R273" s="117"/>
      <c r="S273" s="117">
        <f t="shared" si="192"/>
        <v>0</v>
      </c>
      <c r="T273" s="117">
        <f t="shared" si="193"/>
        <v>0</v>
      </c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</row>
    <row r="274" spans="1:35" ht="15.75" hidden="1" customHeight="1" outlineLevel="1">
      <c r="B274" s="111"/>
      <c r="C274" s="102"/>
      <c r="D274" s="102"/>
      <c r="E274" s="102"/>
      <c r="F274" s="102"/>
      <c r="G274" s="102"/>
      <c r="I274" s="117"/>
      <c r="J274" s="102"/>
      <c r="K274" s="121"/>
      <c r="L274" s="121"/>
      <c r="M274" s="644"/>
      <c r="N274" s="117"/>
      <c r="O274" s="117"/>
      <c r="P274" s="117"/>
      <c r="Q274" s="117"/>
      <c r="R274" s="117"/>
      <c r="S274" s="117">
        <f t="shared" si="192"/>
        <v>0</v>
      </c>
      <c r="T274" s="117">
        <f t="shared" si="193"/>
        <v>0</v>
      </c>
      <c r="U274" s="117"/>
      <c r="V274" s="117"/>
      <c r="W274" s="117"/>
      <c r="X274" s="11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</row>
    <row r="275" spans="1:35" s="152" customFormat="1" ht="15.75" customHeight="1" collapsed="1">
      <c r="A275" s="568"/>
      <c r="C275" s="521"/>
      <c r="D275" s="439"/>
      <c r="E275" s="439"/>
      <c r="F275" s="439"/>
      <c r="G275" s="439"/>
      <c r="H275" s="522"/>
      <c r="I275" s="439"/>
      <c r="J275" s="439"/>
      <c r="L275" s="139"/>
      <c r="M275" s="439"/>
      <c r="N275" s="439"/>
      <c r="O275" s="439"/>
      <c r="P275" s="439"/>
      <c r="Q275" s="439"/>
      <c r="R275" s="439"/>
      <c r="S275" s="439">
        <f t="shared" si="192"/>
        <v>0</v>
      </c>
      <c r="T275" s="439">
        <f t="shared" si="193"/>
        <v>0</v>
      </c>
      <c r="U275" s="439"/>
      <c r="V275" s="439"/>
      <c r="W275" s="439"/>
      <c r="X275" s="439"/>
      <c r="Y275" s="439"/>
      <c r="Z275" s="439"/>
      <c r="AA275" s="439"/>
      <c r="AB275" s="439"/>
      <c r="AC275" s="439"/>
      <c r="AD275" s="439"/>
      <c r="AE275" s="439"/>
      <c r="AF275" s="439"/>
      <c r="AG275" s="439"/>
      <c r="AH275" s="439"/>
      <c r="AI275" s="439"/>
    </row>
    <row r="276" spans="1:35" ht="15.75" customHeight="1">
      <c r="B276" s="111"/>
      <c r="C276" s="102"/>
      <c r="D276" s="102"/>
      <c r="E276" s="102"/>
      <c r="F276" s="102"/>
      <c r="G276" s="102"/>
      <c r="I276" s="117"/>
      <c r="J276" s="102"/>
      <c r="K276" s="121"/>
      <c r="L276" s="121"/>
      <c r="M276" s="118"/>
      <c r="N276" s="117"/>
      <c r="O276" s="117"/>
      <c r="P276" s="117"/>
      <c r="Q276" s="117"/>
      <c r="R276" s="117"/>
      <c r="S276" s="117">
        <f t="shared" si="192"/>
        <v>0</v>
      </c>
      <c r="T276" s="117">
        <f t="shared" si="193"/>
        <v>0</v>
      </c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</row>
    <row r="277" spans="1:35" ht="27" hidden="1" outlineLevel="1">
      <c r="B277" s="111"/>
      <c r="C277" s="499" t="s">
        <v>445</v>
      </c>
      <c r="I277" s="117"/>
      <c r="J277" s="102"/>
      <c r="K277" s="103"/>
      <c r="L277" s="137"/>
      <c r="M277" s="435"/>
      <c r="N277" s="435"/>
      <c r="O277" s="435"/>
      <c r="P277" s="435"/>
      <c r="Q277" s="435"/>
      <c r="R277" s="435"/>
      <c r="S277" s="435">
        <f t="shared" si="192"/>
        <v>0</v>
      </c>
      <c r="T277" s="435">
        <f t="shared" si="193"/>
        <v>0</v>
      </c>
      <c r="U277" s="435"/>
      <c r="V277" s="435"/>
      <c r="W277" s="435"/>
      <c r="X277" s="435"/>
      <c r="Y277" s="435"/>
      <c r="Z277" s="435"/>
      <c r="AA277" s="435"/>
      <c r="AB277" s="435"/>
      <c r="AC277" s="435"/>
      <c r="AD277" s="435"/>
      <c r="AE277" s="435"/>
      <c r="AF277" s="435"/>
      <c r="AG277" s="435"/>
      <c r="AH277" s="435"/>
      <c r="AI277" s="435"/>
    </row>
    <row r="278" spans="1:35" ht="3" hidden="1" customHeight="1" outlineLevel="1">
      <c r="B278" s="111"/>
      <c r="C278" s="104"/>
      <c r="D278" s="104"/>
      <c r="E278" s="104"/>
      <c r="F278" s="104"/>
      <c r="G278" s="104"/>
      <c r="H278" s="465"/>
      <c r="I278" s="104"/>
      <c r="J278" s="104"/>
      <c r="K278" s="104"/>
      <c r="L278" s="104"/>
      <c r="M278" s="104"/>
      <c r="N278" s="420"/>
      <c r="O278" s="420"/>
      <c r="P278" s="420"/>
      <c r="Q278" s="420"/>
      <c r="R278" s="420"/>
      <c r="S278" s="420">
        <f t="shared" si="192"/>
        <v>0</v>
      </c>
      <c r="T278" s="420">
        <f t="shared" si="193"/>
        <v>0</v>
      </c>
      <c r="U278" s="420"/>
      <c r="V278" s="420"/>
      <c r="W278" s="420"/>
      <c r="X278" s="420"/>
      <c r="Y278" s="420"/>
      <c r="Z278" s="420"/>
      <c r="AA278" s="420"/>
      <c r="AB278" s="420"/>
      <c r="AC278" s="420"/>
      <c r="AD278" s="420"/>
      <c r="AE278" s="420"/>
      <c r="AF278" s="420"/>
      <c r="AG278" s="420"/>
      <c r="AH278" s="420"/>
      <c r="AI278" s="420"/>
    </row>
    <row r="279" spans="1:35" ht="15.75" hidden="1" customHeight="1" outlineLevel="1">
      <c r="B279" s="111"/>
      <c r="C279" s="1004" t="s">
        <v>1366</v>
      </c>
      <c r="I279" s="117"/>
      <c r="J279" s="102"/>
      <c r="K279" s="103"/>
      <c r="L279" s="137"/>
      <c r="M279" s="435"/>
      <c r="N279" s="435"/>
      <c r="O279" s="435"/>
      <c r="P279" s="435"/>
      <c r="Q279" s="435"/>
      <c r="R279" s="435"/>
      <c r="S279" s="435">
        <f t="shared" si="192"/>
        <v>0</v>
      </c>
      <c r="T279" s="435">
        <f t="shared" si="193"/>
        <v>0</v>
      </c>
      <c r="U279" s="435"/>
      <c r="V279" s="435"/>
      <c r="W279" s="435"/>
      <c r="X279" s="435"/>
      <c r="Y279" s="435"/>
      <c r="Z279" s="435"/>
      <c r="AA279" s="435"/>
      <c r="AB279" s="435"/>
      <c r="AC279" s="435"/>
      <c r="AD279" s="435"/>
      <c r="AE279" s="435"/>
      <c r="AF279" s="435"/>
      <c r="AG279" s="435"/>
      <c r="AH279" s="435"/>
      <c r="AI279" s="435"/>
    </row>
    <row r="280" spans="1:35" ht="15.75" hidden="1" customHeight="1" outlineLevel="1">
      <c r="B280" s="76"/>
      <c r="C280" s="480" t="s">
        <v>417</v>
      </c>
      <c r="I280" s="117"/>
      <c r="J280" s="500"/>
      <c r="K280" s="105"/>
      <c r="L280" s="138"/>
      <c r="M280" s="138"/>
      <c r="N280" s="138"/>
      <c r="O280" s="138"/>
      <c r="P280" s="138"/>
      <c r="Q280" s="138"/>
      <c r="R280" s="138"/>
      <c r="S280" s="138">
        <f t="shared" si="192"/>
        <v>0</v>
      </c>
      <c r="T280" s="138">
        <f t="shared" si="193"/>
        <v>0</v>
      </c>
      <c r="U280" s="138"/>
      <c r="V280" s="138"/>
      <c r="W280" s="138"/>
      <c r="X280" s="138"/>
      <c r="Y280" s="138"/>
      <c r="Z280" s="138"/>
      <c r="AA280" s="138"/>
      <c r="AB280" s="138"/>
      <c r="AC280" s="138"/>
      <c r="AD280" s="138"/>
      <c r="AE280" s="138"/>
      <c r="AF280" s="138"/>
      <c r="AG280" s="138"/>
      <c r="AH280" s="138"/>
      <c r="AI280" s="138"/>
    </row>
    <row r="281" spans="1:35" ht="15.75" hidden="1" customHeight="1" outlineLevel="1">
      <c r="B281" s="76"/>
      <c r="C281" s="1004" t="s">
        <v>1367</v>
      </c>
      <c r="D281" s="106"/>
      <c r="E281" s="106"/>
      <c r="F281" s="106"/>
      <c r="G281" s="106"/>
      <c r="H281" s="502"/>
      <c r="I281" s="92">
        <v>0</v>
      </c>
      <c r="J281" s="92">
        <v>1</v>
      </c>
      <c r="K281" s="92">
        <v>2</v>
      </c>
      <c r="L281" s="92">
        <v>3</v>
      </c>
      <c r="M281" s="92">
        <v>4</v>
      </c>
      <c r="N281" s="92">
        <v>5</v>
      </c>
      <c r="O281" s="92">
        <f t="shared" ref="O281:W281" si="195">O7</f>
        <v>6</v>
      </c>
      <c r="P281" s="92">
        <f t="shared" si="195"/>
        <v>7</v>
      </c>
      <c r="Q281" s="92">
        <f t="shared" si="195"/>
        <v>8</v>
      </c>
      <c r="R281" s="92"/>
      <c r="S281" s="92">
        <f t="shared" si="192"/>
        <v>8</v>
      </c>
      <c r="T281" s="92">
        <f t="shared" si="193"/>
        <v>8</v>
      </c>
      <c r="U281" s="92">
        <f t="shared" si="195"/>
        <v>9</v>
      </c>
      <c r="V281" s="92">
        <f t="shared" si="195"/>
        <v>10</v>
      </c>
      <c r="W281" s="92">
        <f t="shared" si="195"/>
        <v>11</v>
      </c>
      <c r="X281" s="92">
        <f>X7</f>
        <v>12</v>
      </c>
      <c r="Y281" s="92">
        <f>Y7</f>
        <v>13</v>
      </c>
      <c r="Z281" s="92">
        <f t="shared" ref="Z281:AG281" si="196">Z7</f>
        <v>14</v>
      </c>
      <c r="AA281" s="92">
        <f t="shared" si="196"/>
        <v>15</v>
      </c>
      <c r="AB281" s="92">
        <f t="shared" si="196"/>
        <v>16</v>
      </c>
      <c r="AC281" s="92">
        <f t="shared" si="196"/>
        <v>17</v>
      </c>
      <c r="AD281" s="92">
        <f t="shared" si="196"/>
        <v>18</v>
      </c>
      <c r="AE281" s="92">
        <f t="shared" si="196"/>
        <v>19</v>
      </c>
      <c r="AF281" s="92">
        <f t="shared" si="196"/>
        <v>20</v>
      </c>
      <c r="AG281" s="92">
        <f t="shared" si="196"/>
        <v>21</v>
      </c>
      <c r="AH281" s="92"/>
      <c r="AI281" s="92"/>
    </row>
    <row r="282" spans="1:35" ht="15.75" hidden="1" customHeight="1" outlineLevel="1">
      <c r="B282" s="76"/>
      <c r="C282" s="504"/>
      <c r="D282" s="469"/>
      <c r="E282" s="469"/>
      <c r="F282" s="469"/>
      <c r="G282" s="469"/>
      <c r="H282" s="470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F282" s="93"/>
      <c r="AG282" s="93"/>
      <c r="AH282" s="93"/>
      <c r="AI282" s="93"/>
    </row>
    <row r="283" spans="1:35" ht="15.75" hidden="1" customHeight="1" outlineLevel="1">
      <c r="B283" s="110"/>
      <c r="C283" s="505"/>
      <c r="D283" s="472"/>
      <c r="E283" s="506"/>
      <c r="F283" s="506"/>
      <c r="G283" s="506"/>
      <c r="H283" s="473"/>
      <c r="I283" s="94" t="s">
        <v>499</v>
      </c>
      <c r="J283" s="94" t="s">
        <v>499</v>
      </c>
      <c r="K283" s="112" t="s">
        <v>499</v>
      </c>
      <c r="L283" s="112" t="s">
        <v>499</v>
      </c>
      <c r="M283" s="112" t="s">
        <v>499</v>
      </c>
      <c r="N283" s="112" t="s">
        <v>499</v>
      </c>
      <c r="O283" s="112" t="s">
        <v>499</v>
      </c>
      <c r="P283" s="112" t="s">
        <v>499</v>
      </c>
      <c r="Q283" s="112" t="s">
        <v>499</v>
      </c>
      <c r="R283" s="112"/>
      <c r="S283" s="112" t="str">
        <f t="shared" si="192"/>
        <v>($)</v>
      </c>
      <c r="T283" s="112" t="str">
        <f t="shared" si="193"/>
        <v>($)</v>
      </c>
      <c r="U283" s="112" t="s">
        <v>499</v>
      </c>
      <c r="V283" s="112" t="s">
        <v>499</v>
      </c>
      <c r="W283" s="112" t="s">
        <v>499</v>
      </c>
      <c r="X283" s="112" t="s">
        <v>499</v>
      </c>
      <c r="Y283" s="112" t="s">
        <v>499</v>
      </c>
      <c r="Z283" s="112" t="s">
        <v>499</v>
      </c>
      <c r="AA283" s="112" t="s">
        <v>499</v>
      </c>
      <c r="AB283" s="112" t="s">
        <v>499</v>
      </c>
      <c r="AC283" s="112" t="s">
        <v>499</v>
      </c>
      <c r="AD283" s="112" t="s">
        <v>499</v>
      </c>
      <c r="AE283" s="112" t="s">
        <v>499</v>
      </c>
      <c r="AF283" s="112" t="s">
        <v>499</v>
      </c>
      <c r="AG283" s="112" t="s">
        <v>499</v>
      </c>
      <c r="AH283" s="112"/>
      <c r="AI283" s="112"/>
    </row>
    <row r="284" spans="1:35" ht="15.75" hidden="1" customHeight="1" outlineLevel="1">
      <c r="B284" s="76"/>
      <c r="C284" s="110"/>
      <c r="D284" s="110"/>
      <c r="E284" s="110"/>
      <c r="F284" s="110"/>
      <c r="G284" s="110"/>
      <c r="H284" s="88"/>
      <c r="I284" s="107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>
        <f t="shared" si="192"/>
        <v>0</v>
      </c>
      <c r="T284" s="119">
        <f t="shared" si="193"/>
        <v>0</v>
      </c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/>
      <c r="AH284" s="119"/>
      <c r="AI284" s="119"/>
    </row>
    <row r="285" spans="1:35" ht="15.75" hidden="1" customHeight="1" outlineLevel="1">
      <c r="B285" s="76"/>
      <c r="C285" s="110" t="s">
        <v>1368</v>
      </c>
      <c r="D285" s="100"/>
      <c r="E285" s="528"/>
      <c r="F285" s="83"/>
      <c r="G285" s="83"/>
      <c r="H285" s="88"/>
      <c r="I285" s="80"/>
      <c r="J285" s="80"/>
      <c r="K285" s="80"/>
      <c r="L285" s="80"/>
      <c r="M285" s="80"/>
      <c r="N285" s="80"/>
      <c r="O285" s="80"/>
      <c r="P285" s="80">
        <f t="shared" ref="P285:Y285" si="197">P112</f>
        <v>0</v>
      </c>
      <c r="Q285" s="80">
        <f t="shared" si="197"/>
        <v>65445643.71212244</v>
      </c>
      <c r="R285" s="80"/>
      <c r="S285" s="80">
        <f>S112</f>
        <v>44233546.683813713</v>
      </c>
      <c r="T285" s="80">
        <f>T112</f>
        <v>44233546.683813713</v>
      </c>
      <c r="U285" s="80">
        <f t="shared" si="197"/>
        <v>44492025.630556047</v>
      </c>
      <c r="V285" s="80">
        <f t="shared" si="197"/>
        <v>54968834.671339251</v>
      </c>
      <c r="W285" s="80">
        <f t="shared" si="197"/>
        <v>58461104.351600312</v>
      </c>
      <c r="X285" s="80">
        <f t="shared" si="197"/>
        <v>62630001.282411955</v>
      </c>
      <c r="Y285" s="80">
        <f t="shared" si="197"/>
        <v>65632261.87316139</v>
      </c>
      <c r="Z285" s="80">
        <f t="shared" ref="Z285:AG285" si="198">Z112</f>
        <v>65632261.87316139</v>
      </c>
      <c r="AA285" s="80">
        <f t="shared" si="198"/>
        <v>65632261.87316139</v>
      </c>
      <c r="AB285" s="80">
        <f t="shared" si="198"/>
        <v>65632261.87316139</v>
      </c>
      <c r="AC285" s="80">
        <f t="shared" si="198"/>
        <v>65632261.87316139</v>
      </c>
      <c r="AD285" s="80">
        <f t="shared" si="198"/>
        <v>65632261.87316139</v>
      </c>
      <c r="AE285" s="80">
        <f t="shared" si="198"/>
        <v>54701895.711322688</v>
      </c>
      <c r="AF285" s="80">
        <f t="shared" si="198"/>
        <v>54701895.711322688</v>
      </c>
      <c r="AG285" s="80">
        <f t="shared" si="198"/>
        <v>43761516.569058143</v>
      </c>
      <c r="AH285" s="80"/>
      <c r="AI285" s="80"/>
    </row>
    <row r="286" spans="1:35" ht="15.75" hidden="1" customHeight="1" outlineLevel="1">
      <c r="B286" s="76"/>
      <c r="C286" s="110" t="s">
        <v>1369</v>
      </c>
      <c r="D286" s="100"/>
      <c r="E286" s="100"/>
      <c r="F286" s="100"/>
      <c r="G286" s="100"/>
      <c r="H286" s="88"/>
      <c r="I286" s="80"/>
      <c r="J286" s="80"/>
      <c r="K286" s="80"/>
      <c r="L286" s="80"/>
      <c r="M286" s="80"/>
      <c r="N286" s="80"/>
      <c r="O286" s="80"/>
      <c r="P286" s="80">
        <f t="shared" ref="P286:Y286" si="199">-P117</f>
        <v>0</v>
      </c>
      <c r="Q286" s="80">
        <f t="shared" si="199"/>
        <v>9434990.073125001</v>
      </c>
      <c r="R286" s="80"/>
      <c r="S286" s="80">
        <f>-S117</f>
        <v>9434990.073125001</v>
      </c>
      <c r="T286" s="80">
        <f>-T117</f>
        <v>9434990.073125001</v>
      </c>
      <c r="U286" s="80">
        <f t="shared" si="199"/>
        <v>9442061.6524999999</v>
      </c>
      <c r="V286" s="80">
        <f t="shared" si="199"/>
        <v>9449133.2318750005</v>
      </c>
      <c r="W286" s="80">
        <f t="shared" si="199"/>
        <v>9456204.8112500012</v>
      </c>
      <c r="X286" s="80">
        <f t="shared" si="199"/>
        <v>9463276.390625</v>
      </c>
      <c r="Y286" s="80">
        <f t="shared" si="199"/>
        <v>9470347.9700000007</v>
      </c>
      <c r="Z286" s="80">
        <f t="shared" ref="Z286:AG286" si="200">-Z117</f>
        <v>9477419.5493749995</v>
      </c>
      <c r="AA286" s="80">
        <f t="shared" si="200"/>
        <v>9484491.1287500001</v>
      </c>
      <c r="AB286" s="80">
        <f t="shared" si="200"/>
        <v>9491562.708124999</v>
      </c>
      <c r="AC286" s="80">
        <f t="shared" si="200"/>
        <v>9498634.2874999996</v>
      </c>
      <c r="AD286" s="80">
        <f t="shared" si="200"/>
        <v>9505705.8668750003</v>
      </c>
      <c r="AE286" s="80">
        <f t="shared" si="200"/>
        <v>9961723.5</v>
      </c>
      <c r="AF286" s="80">
        <f t="shared" si="200"/>
        <v>9968952.75</v>
      </c>
      <c r="AG286" s="80">
        <f t="shared" si="200"/>
        <v>8638401.3000000007</v>
      </c>
      <c r="AH286" s="80"/>
      <c r="AI286" s="80"/>
    </row>
    <row r="287" spans="1:35" ht="15.75" hidden="1" customHeight="1" outlineLevel="1">
      <c r="B287" s="76"/>
      <c r="C287" s="387"/>
      <c r="D287" s="100"/>
      <c r="E287" s="100"/>
      <c r="F287" s="100"/>
      <c r="G287" s="100"/>
      <c r="H287" s="88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>
        <f t="shared" si="192"/>
        <v>0</v>
      </c>
      <c r="T287" s="100">
        <f t="shared" si="193"/>
        <v>0</v>
      </c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  <c r="AI287" s="100"/>
    </row>
    <row r="288" spans="1:35" ht="15.75" hidden="1" customHeight="1" outlineLevel="1">
      <c r="B288" s="76"/>
      <c r="C288" s="163" t="s">
        <v>1370</v>
      </c>
      <c r="D288" s="530"/>
      <c r="E288" s="530"/>
      <c r="F288" s="530"/>
      <c r="G288" s="530"/>
      <c r="H288" s="1011"/>
      <c r="I288" s="530"/>
      <c r="J288" s="530"/>
      <c r="K288" s="122"/>
      <c r="L288" s="122"/>
      <c r="M288" s="100"/>
      <c r="N288" s="100"/>
      <c r="O288" s="100"/>
      <c r="P288" s="100"/>
      <c r="Q288" s="100"/>
      <c r="R288" s="100"/>
      <c r="S288" s="100">
        <f t="shared" si="192"/>
        <v>0</v>
      </c>
      <c r="T288" s="100">
        <f t="shared" si="193"/>
        <v>0</v>
      </c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  <c r="AI288" s="100"/>
    </row>
    <row r="289" spans="2:35" ht="15.75" hidden="1" customHeight="1" outlineLevel="1">
      <c r="B289" s="76"/>
      <c r="C289" s="482" t="s">
        <v>1371</v>
      </c>
      <c r="D289" s="530"/>
      <c r="E289" s="531"/>
      <c r="F289" s="532"/>
      <c r="G289" s="532"/>
      <c r="H289" s="88"/>
      <c r="I289" s="123"/>
      <c r="J289" s="123"/>
      <c r="K289" s="123"/>
      <c r="L289" s="123"/>
      <c r="M289" s="123"/>
      <c r="N289" s="123"/>
      <c r="O289" s="123"/>
      <c r="P289" s="123">
        <v>0</v>
      </c>
      <c r="Q289" s="123">
        <v>0</v>
      </c>
      <c r="R289" s="123"/>
      <c r="S289" s="123">
        <f t="shared" si="192"/>
        <v>0</v>
      </c>
      <c r="T289" s="123">
        <f t="shared" si="193"/>
        <v>0</v>
      </c>
      <c r="U289" s="123">
        <v>0</v>
      </c>
      <c r="V289" s="123">
        <v>0</v>
      </c>
      <c r="W289" s="123">
        <v>0</v>
      </c>
      <c r="X289" s="123">
        <v>0</v>
      </c>
      <c r="Y289" s="123">
        <v>0</v>
      </c>
      <c r="Z289" s="123">
        <v>0</v>
      </c>
      <c r="AA289" s="123">
        <v>0</v>
      </c>
      <c r="AB289" s="123">
        <v>0</v>
      </c>
      <c r="AC289" s="123">
        <v>0</v>
      </c>
      <c r="AD289" s="123">
        <v>0</v>
      </c>
      <c r="AE289" s="123">
        <v>0</v>
      </c>
      <c r="AF289" s="123">
        <v>0</v>
      </c>
      <c r="AG289" s="123">
        <v>0</v>
      </c>
      <c r="AH289" s="123"/>
      <c r="AI289" s="123"/>
    </row>
    <row r="290" spans="2:35" ht="15.75" hidden="1" customHeight="1" outlineLevel="1">
      <c r="B290" s="76"/>
      <c r="C290" s="482" t="s">
        <v>1372</v>
      </c>
      <c r="D290" s="100"/>
      <c r="E290" s="528"/>
      <c r="F290" s="83"/>
      <c r="G290" s="83"/>
      <c r="H290" s="88"/>
      <c r="I290" s="569"/>
      <c r="J290" s="83"/>
      <c r="K290" s="83"/>
      <c r="L290" s="83"/>
      <c r="M290" s="83"/>
      <c r="N290" s="83"/>
      <c r="O290" s="83"/>
      <c r="P290" s="83">
        <f>O290</f>
        <v>0</v>
      </c>
      <c r="Q290" s="83">
        <v>0</v>
      </c>
      <c r="R290" s="83"/>
      <c r="S290" s="83">
        <f t="shared" si="192"/>
        <v>0</v>
      </c>
      <c r="T290" s="83">
        <f t="shared" si="193"/>
        <v>0</v>
      </c>
      <c r="U290" s="83">
        <v>0</v>
      </c>
      <c r="V290" s="83">
        <v>0</v>
      </c>
      <c r="W290" s="83">
        <v>0</v>
      </c>
      <c r="X290" s="83">
        <v>0</v>
      </c>
      <c r="Y290" s="83">
        <v>0</v>
      </c>
      <c r="Z290" s="83">
        <v>0</v>
      </c>
      <c r="AA290" s="83">
        <v>0</v>
      </c>
      <c r="AB290" s="83">
        <v>0</v>
      </c>
      <c r="AC290" s="83">
        <v>0</v>
      </c>
      <c r="AD290" s="83">
        <v>0</v>
      </c>
      <c r="AE290" s="83">
        <v>0</v>
      </c>
      <c r="AF290" s="83">
        <f>AE290</f>
        <v>0</v>
      </c>
      <c r="AG290" s="83">
        <v>0</v>
      </c>
      <c r="AH290" s="83"/>
      <c r="AI290" s="83"/>
    </row>
    <row r="291" spans="2:35" ht="15.75" hidden="1" customHeight="1" outlineLevel="1">
      <c r="B291" s="76"/>
      <c r="C291" s="482" t="s">
        <v>1373</v>
      </c>
      <c r="D291" s="110"/>
      <c r="E291" s="110"/>
      <c r="F291" s="110"/>
      <c r="G291" s="110"/>
      <c r="H291" s="88"/>
      <c r="I291" s="569"/>
      <c r="J291" s="83"/>
      <c r="K291" s="83"/>
      <c r="L291" s="83"/>
      <c r="M291" s="441"/>
      <c r="N291" s="441"/>
      <c r="O291" s="441"/>
      <c r="P291" s="441">
        <f>O291</f>
        <v>0</v>
      </c>
      <c r="Q291" s="441">
        <v>0</v>
      </c>
      <c r="R291" s="441"/>
      <c r="S291" s="441">
        <f t="shared" si="192"/>
        <v>0</v>
      </c>
      <c r="T291" s="441">
        <f t="shared" si="193"/>
        <v>0</v>
      </c>
      <c r="U291" s="441">
        <v>0</v>
      </c>
      <c r="V291" s="441">
        <v>0</v>
      </c>
      <c r="W291" s="441">
        <v>0</v>
      </c>
      <c r="X291" s="441">
        <v>0</v>
      </c>
      <c r="Y291" s="441">
        <v>0</v>
      </c>
      <c r="Z291" s="441">
        <v>0</v>
      </c>
      <c r="AA291" s="441">
        <v>0</v>
      </c>
      <c r="AB291" s="441">
        <v>0</v>
      </c>
      <c r="AC291" s="441">
        <v>0</v>
      </c>
      <c r="AD291" s="441">
        <v>0</v>
      </c>
      <c r="AE291" s="441">
        <v>0</v>
      </c>
      <c r="AF291" s="441">
        <v>0</v>
      </c>
      <c r="AG291" s="441">
        <v>0</v>
      </c>
      <c r="AH291" s="441"/>
      <c r="AI291" s="441"/>
    </row>
    <row r="292" spans="2:35" ht="15.75" hidden="1" customHeight="1" outlineLevel="1">
      <c r="B292" s="76"/>
      <c r="C292" s="482" t="s">
        <v>1374</v>
      </c>
      <c r="D292" s="110"/>
      <c r="E292" s="110"/>
      <c r="F292" s="110"/>
      <c r="G292" s="110"/>
      <c r="H292" s="88"/>
      <c r="I292" s="84"/>
      <c r="J292" s="84"/>
      <c r="K292" s="84"/>
      <c r="L292" s="84"/>
      <c r="M292" s="84"/>
      <c r="N292" s="84"/>
      <c r="O292" s="84"/>
      <c r="P292" s="84">
        <v>0</v>
      </c>
      <c r="Q292" s="84">
        <v>0</v>
      </c>
      <c r="R292" s="84"/>
      <c r="S292" s="84">
        <f t="shared" si="192"/>
        <v>0</v>
      </c>
      <c r="T292" s="84">
        <f t="shared" si="193"/>
        <v>0</v>
      </c>
      <c r="U292" s="84">
        <v>0</v>
      </c>
      <c r="V292" s="84">
        <v>0</v>
      </c>
      <c r="W292" s="84">
        <v>0</v>
      </c>
      <c r="X292" s="84">
        <v>0</v>
      </c>
      <c r="Y292" s="84">
        <v>0</v>
      </c>
      <c r="Z292" s="84">
        <v>0</v>
      </c>
      <c r="AA292" s="84">
        <v>0</v>
      </c>
      <c r="AB292" s="84">
        <v>0</v>
      </c>
      <c r="AC292" s="84">
        <v>0</v>
      </c>
      <c r="AD292" s="84">
        <v>0</v>
      </c>
      <c r="AE292" s="84">
        <v>0</v>
      </c>
      <c r="AF292" s="84">
        <v>0</v>
      </c>
      <c r="AG292" s="84">
        <v>0</v>
      </c>
      <c r="AH292" s="84"/>
      <c r="AI292" s="84"/>
    </row>
    <row r="293" spans="2:35" ht="15.75" hidden="1" customHeight="1" outlineLevel="1">
      <c r="B293" s="76"/>
      <c r="C293" s="482" t="s">
        <v>1375</v>
      </c>
      <c r="D293" s="110"/>
      <c r="E293" s="110"/>
      <c r="F293" s="110"/>
      <c r="G293" s="110"/>
      <c r="H293" s="88"/>
      <c r="I293" s="453"/>
      <c r="J293" s="78"/>
      <c r="K293" s="78"/>
      <c r="L293" s="78"/>
      <c r="M293" s="78"/>
      <c r="N293" s="78"/>
      <c r="O293" s="78"/>
      <c r="P293" s="78">
        <f t="shared" ref="P293:Y295" si="201">O293</f>
        <v>0</v>
      </c>
      <c r="Q293" s="78">
        <f t="shared" si="201"/>
        <v>0</v>
      </c>
      <c r="R293" s="78"/>
      <c r="S293" s="78">
        <f t="shared" si="192"/>
        <v>0</v>
      </c>
      <c r="T293" s="78">
        <f t="shared" si="193"/>
        <v>0</v>
      </c>
      <c r="U293" s="78">
        <f>Q293</f>
        <v>0</v>
      </c>
      <c r="V293" s="78">
        <f t="shared" si="201"/>
        <v>0</v>
      </c>
      <c r="W293" s="78">
        <f t="shared" si="201"/>
        <v>0</v>
      </c>
      <c r="X293" s="78">
        <f t="shared" si="201"/>
        <v>0</v>
      </c>
      <c r="Y293" s="78">
        <f t="shared" si="201"/>
        <v>0</v>
      </c>
      <c r="Z293" s="78">
        <f t="shared" ref="Z293:AF295" si="202">Y293</f>
        <v>0</v>
      </c>
      <c r="AA293" s="78">
        <f t="shared" si="202"/>
        <v>0</v>
      </c>
      <c r="AB293" s="78">
        <f t="shared" si="202"/>
        <v>0</v>
      </c>
      <c r="AC293" s="78">
        <f t="shared" si="202"/>
        <v>0</v>
      </c>
      <c r="AD293" s="78">
        <f t="shared" si="202"/>
        <v>0</v>
      </c>
      <c r="AE293" s="78">
        <f t="shared" si="202"/>
        <v>0</v>
      </c>
      <c r="AF293" s="78">
        <f t="shared" si="202"/>
        <v>0</v>
      </c>
      <c r="AG293" s="78">
        <f>AF293</f>
        <v>0</v>
      </c>
      <c r="AH293" s="78"/>
      <c r="AI293" s="78"/>
    </row>
    <row r="294" spans="2:35" ht="15.75" hidden="1" customHeight="1" outlineLevel="1">
      <c r="B294" s="76"/>
      <c r="C294" s="482" t="s">
        <v>1376</v>
      </c>
      <c r="D294" s="100"/>
      <c r="E294" s="528"/>
      <c r="F294" s="83"/>
      <c r="G294" s="83"/>
      <c r="H294" s="88"/>
      <c r="I294" s="570"/>
      <c r="J294" s="78"/>
      <c r="K294" s="78"/>
      <c r="L294" s="78"/>
      <c r="M294" s="78"/>
      <c r="N294" s="78"/>
      <c r="O294" s="78"/>
      <c r="P294" s="78">
        <f t="shared" si="201"/>
        <v>0</v>
      </c>
      <c r="Q294" s="78">
        <f t="shared" si="201"/>
        <v>0</v>
      </c>
      <c r="R294" s="78"/>
      <c r="S294" s="78">
        <f t="shared" si="192"/>
        <v>0</v>
      </c>
      <c r="T294" s="78">
        <f t="shared" si="193"/>
        <v>0</v>
      </c>
      <c r="U294" s="78">
        <f>Q294</f>
        <v>0</v>
      </c>
      <c r="V294" s="78">
        <f t="shared" si="201"/>
        <v>0</v>
      </c>
      <c r="W294" s="78">
        <f t="shared" si="201"/>
        <v>0</v>
      </c>
      <c r="X294" s="78">
        <f t="shared" si="201"/>
        <v>0</v>
      </c>
      <c r="Y294" s="78">
        <f t="shared" si="201"/>
        <v>0</v>
      </c>
      <c r="Z294" s="78">
        <f t="shared" si="202"/>
        <v>0</v>
      </c>
      <c r="AA294" s="78">
        <f t="shared" si="202"/>
        <v>0</v>
      </c>
      <c r="AB294" s="78">
        <f t="shared" si="202"/>
        <v>0</v>
      </c>
      <c r="AC294" s="78">
        <f t="shared" si="202"/>
        <v>0</v>
      </c>
      <c r="AD294" s="78">
        <f t="shared" si="202"/>
        <v>0</v>
      </c>
      <c r="AE294" s="78">
        <f t="shared" si="202"/>
        <v>0</v>
      </c>
      <c r="AF294" s="78">
        <f t="shared" si="202"/>
        <v>0</v>
      </c>
      <c r="AG294" s="78">
        <f>AF294</f>
        <v>0</v>
      </c>
      <c r="AH294" s="78"/>
      <c r="AI294" s="78"/>
    </row>
    <row r="295" spans="2:35" ht="15.75" hidden="1" customHeight="1" outlineLevel="1">
      <c r="B295" s="100"/>
      <c r="C295" s="482" t="s">
        <v>1377</v>
      </c>
      <c r="D295" s="110"/>
      <c r="E295" s="110"/>
      <c r="F295" s="110"/>
      <c r="G295" s="110"/>
      <c r="H295" s="88"/>
      <c r="I295" s="570"/>
      <c r="J295" s="78"/>
      <c r="K295" s="78"/>
      <c r="L295" s="78"/>
      <c r="M295" s="78"/>
      <c r="N295" s="78"/>
      <c r="O295" s="78"/>
      <c r="P295" s="78">
        <f t="shared" si="201"/>
        <v>0</v>
      </c>
      <c r="Q295" s="78">
        <f t="shared" si="201"/>
        <v>0</v>
      </c>
      <c r="R295" s="78"/>
      <c r="S295" s="78">
        <f t="shared" si="192"/>
        <v>0</v>
      </c>
      <c r="T295" s="78">
        <f t="shared" si="193"/>
        <v>0</v>
      </c>
      <c r="U295" s="78">
        <f>Q295</f>
        <v>0</v>
      </c>
      <c r="V295" s="78">
        <f t="shared" si="201"/>
        <v>0</v>
      </c>
      <c r="W295" s="78">
        <f t="shared" si="201"/>
        <v>0</v>
      </c>
      <c r="X295" s="78">
        <f t="shared" si="201"/>
        <v>0</v>
      </c>
      <c r="Y295" s="78">
        <f t="shared" si="201"/>
        <v>0</v>
      </c>
      <c r="Z295" s="78">
        <f t="shared" si="202"/>
        <v>0</v>
      </c>
      <c r="AA295" s="78">
        <f t="shared" si="202"/>
        <v>0</v>
      </c>
      <c r="AB295" s="78">
        <f t="shared" si="202"/>
        <v>0</v>
      </c>
      <c r="AC295" s="78">
        <f t="shared" si="202"/>
        <v>0</v>
      </c>
      <c r="AD295" s="78">
        <f t="shared" si="202"/>
        <v>0</v>
      </c>
      <c r="AE295" s="78">
        <f t="shared" si="202"/>
        <v>0</v>
      </c>
      <c r="AF295" s="78">
        <f t="shared" si="202"/>
        <v>0</v>
      </c>
      <c r="AG295" s="78">
        <f>AF295</f>
        <v>0</v>
      </c>
      <c r="AH295" s="78"/>
      <c r="AI295" s="78"/>
    </row>
    <row r="296" spans="2:35" ht="15.75" hidden="1" customHeight="1" outlineLevel="1">
      <c r="B296" s="100"/>
      <c r="C296" s="482" t="s">
        <v>1378</v>
      </c>
      <c r="D296" s="110"/>
      <c r="E296" s="110"/>
      <c r="F296" s="110"/>
      <c r="G296" s="110"/>
      <c r="H296" s="88"/>
      <c r="I296" s="154"/>
      <c r="J296" s="154"/>
      <c r="K296" s="154"/>
      <c r="L296" s="154"/>
      <c r="M296" s="154"/>
      <c r="N296" s="154"/>
      <c r="O296" s="154"/>
      <c r="P296" s="154">
        <f>P291*P293</f>
        <v>0</v>
      </c>
      <c r="Q296" s="154">
        <v>0</v>
      </c>
      <c r="R296" s="154"/>
      <c r="S296" s="154">
        <f t="shared" si="192"/>
        <v>0</v>
      </c>
      <c r="T296" s="154">
        <f t="shared" si="193"/>
        <v>0</v>
      </c>
      <c r="U296" s="154">
        <v>0</v>
      </c>
      <c r="V296" s="154">
        <f>V291*V293</f>
        <v>0</v>
      </c>
      <c r="W296" s="154">
        <f>W291*W293</f>
        <v>0</v>
      </c>
      <c r="X296" s="154">
        <f>X291*X293</f>
        <v>0</v>
      </c>
      <c r="Y296" s="154">
        <f>Y291*Y293</f>
        <v>0</v>
      </c>
      <c r="Z296" s="154">
        <f t="shared" ref="Z296:AG296" si="203">Z291*Z293</f>
        <v>0</v>
      </c>
      <c r="AA296" s="154">
        <f t="shared" si="203"/>
        <v>0</v>
      </c>
      <c r="AB296" s="154">
        <f t="shared" si="203"/>
        <v>0</v>
      </c>
      <c r="AC296" s="154">
        <f t="shared" si="203"/>
        <v>0</v>
      </c>
      <c r="AD296" s="154">
        <f t="shared" si="203"/>
        <v>0</v>
      </c>
      <c r="AE296" s="154">
        <f t="shared" si="203"/>
        <v>0</v>
      </c>
      <c r="AF296" s="154">
        <f t="shared" si="203"/>
        <v>0</v>
      </c>
      <c r="AG296" s="154">
        <f t="shared" si="203"/>
        <v>0</v>
      </c>
      <c r="AH296" s="154"/>
      <c r="AI296" s="154"/>
    </row>
    <row r="297" spans="2:35" ht="15.75" hidden="1" customHeight="1" outlineLevel="1">
      <c r="B297" s="100"/>
      <c r="C297" s="164"/>
      <c r="D297" s="111"/>
      <c r="E297" s="111"/>
      <c r="F297" s="111"/>
      <c r="G297" s="111"/>
      <c r="I297" s="110"/>
      <c r="J297" s="110"/>
      <c r="K297" s="110"/>
      <c r="L297" s="110"/>
      <c r="M297" s="100"/>
      <c r="N297" s="100"/>
      <c r="O297" s="100"/>
      <c r="P297" s="100"/>
      <c r="Q297" s="100"/>
      <c r="R297" s="100"/>
      <c r="S297" s="100">
        <f t="shared" si="192"/>
        <v>0</v>
      </c>
      <c r="T297" s="100">
        <f t="shared" si="193"/>
        <v>0</v>
      </c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0"/>
    </row>
    <row r="298" spans="2:35" ht="15.75" hidden="1" customHeight="1" outlineLevel="1">
      <c r="B298" s="100"/>
      <c r="C298" s="163" t="s">
        <v>1379</v>
      </c>
      <c r="D298" s="100"/>
      <c r="E298" s="528"/>
      <c r="F298" s="83"/>
      <c r="G298" s="83"/>
      <c r="H298" s="527"/>
      <c r="I298" s="110"/>
      <c r="J298" s="110"/>
      <c r="K298" s="78"/>
      <c r="L298" s="78"/>
      <c r="M298" s="87"/>
      <c r="N298" s="100"/>
      <c r="O298" s="100"/>
      <c r="P298" s="100"/>
      <c r="Q298" s="100"/>
      <c r="R298" s="100"/>
      <c r="S298" s="100">
        <f t="shared" si="192"/>
        <v>0</v>
      </c>
      <c r="T298" s="100">
        <f t="shared" si="193"/>
        <v>0</v>
      </c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  <c r="AI298" s="100"/>
    </row>
    <row r="299" spans="2:35" ht="15.75" hidden="1" customHeight="1" outlineLevel="1">
      <c r="B299" s="100"/>
      <c r="C299" s="478" t="s">
        <v>1380</v>
      </c>
      <c r="D299" s="110"/>
      <c r="E299" s="83"/>
      <c r="F299" s="83"/>
      <c r="G299" s="83"/>
      <c r="H299" s="88"/>
      <c r="I299" s="78"/>
      <c r="J299" s="78"/>
      <c r="K299" s="78"/>
      <c r="L299" s="78"/>
      <c r="M299" s="78"/>
      <c r="N299" s="78"/>
      <c r="O299" s="78"/>
      <c r="P299" s="78">
        <f t="shared" ref="P299:Y299" si="204">P289*P285</f>
        <v>0</v>
      </c>
      <c r="Q299" s="78">
        <f t="shared" si="204"/>
        <v>0</v>
      </c>
      <c r="R299" s="78"/>
      <c r="S299" s="78">
        <f t="shared" si="192"/>
        <v>0</v>
      </c>
      <c r="T299" s="78">
        <f t="shared" si="193"/>
        <v>0</v>
      </c>
      <c r="U299" s="78">
        <f t="shared" si="204"/>
        <v>0</v>
      </c>
      <c r="V299" s="78">
        <f t="shared" si="204"/>
        <v>0</v>
      </c>
      <c r="W299" s="78">
        <f t="shared" si="204"/>
        <v>0</v>
      </c>
      <c r="X299" s="78">
        <f t="shared" si="204"/>
        <v>0</v>
      </c>
      <c r="Y299" s="78">
        <f t="shared" si="204"/>
        <v>0</v>
      </c>
      <c r="Z299" s="78">
        <f t="shared" ref="Z299:AG299" si="205">Z289*Z285</f>
        <v>0</v>
      </c>
      <c r="AA299" s="78">
        <f t="shared" si="205"/>
        <v>0</v>
      </c>
      <c r="AB299" s="78">
        <f t="shared" si="205"/>
        <v>0</v>
      </c>
      <c r="AC299" s="78">
        <f t="shared" si="205"/>
        <v>0</v>
      </c>
      <c r="AD299" s="78">
        <f t="shared" si="205"/>
        <v>0</v>
      </c>
      <c r="AE299" s="78">
        <f t="shared" si="205"/>
        <v>0</v>
      </c>
      <c r="AF299" s="78">
        <f t="shared" si="205"/>
        <v>0</v>
      </c>
      <c r="AG299" s="78">
        <f t="shared" si="205"/>
        <v>0</v>
      </c>
      <c r="AH299" s="78"/>
      <c r="AI299" s="78"/>
    </row>
    <row r="300" spans="2:35" ht="15.75" hidden="1" customHeight="1" outlineLevel="1">
      <c r="B300" s="100"/>
      <c r="C300" s="478" t="s">
        <v>1337</v>
      </c>
      <c r="D300" s="100"/>
      <c r="E300" s="100"/>
      <c r="F300" s="100"/>
      <c r="G300" s="100"/>
      <c r="H300" s="88"/>
      <c r="I300" s="80"/>
      <c r="J300" s="80"/>
      <c r="K300" s="80"/>
      <c r="L300" s="80"/>
      <c r="M300" s="80"/>
      <c r="N300" s="80"/>
      <c r="O300" s="80"/>
      <c r="P300" s="80">
        <f t="shared" ref="P300:Y300" si="206">P290*P285</f>
        <v>0</v>
      </c>
      <c r="Q300" s="80">
        <f t="shared" si="206"/>
        <v>0</v>
      </c>
      <c r="R300" s="80"/>
      <c r="S300" s="80">
        <f t="shared" si="192"/>
        <v>0</v>
      </c>
      <c r="T300" s="80">
        <f t="shared" si="193"/>
        <v>0</v>
      </c>
      <c r="U300" s="80">
        <f t="shared" si="206"/>
        <v>0</v>
      </c>
      <c r="V300" s="80">
        <f t="shared" si="206"/>
        <v>0</v>
      </c>
      <c r="W300" s="80">
        <f t="shared" si="206"/>
        <v>0</v>
      </c>
      <c r="X300" s="80">
        <f t="shared" si="206"/>
        <v>0</v>
      </c>
      <c r="Y300" s="80">
        <f t="shared" si="206"/>
        <v>0</v>
      </c>
      <c r="Z300" s="80">
        <f t="shared" ref="Z300:AG300" si="207">Z290*Z285</f>
        <v>0</v>
      </c>
      <c r="AA300" s="80">
        <f t="shared" si="207"/>
        <v>0</v>
      </c>
      <c r="AB300" s="80">
        <f t="shared" si="207"/>
        <v>0</v>
      </c>
      <c r="AC300" s="80">
        <f t="shared" si="207"/>
        <v>0</v>
      </c>
      <c r="AD300" s="80">
        <f t="shared" si="207"/>
        <v>0</v>
      </c>
      <c r="AE300" s="80">
        <f t="shared" si="207"/>
        <v>0</v>
      </c>
      <c r="AF300" s="80">
        <f t="shared" si="207"/>
        <v>0</v>
      </c>
      <c r="AG300" s="80">
        <f t="shared" si="207"/>
        <v>0</v>
      </c>
      <c r="AH300" s="80"/>
      <c r="AI300" s="80"/>
    </row>
    <row r="301" spans="2:35" ht="15.75" hidden="1" customHeight="1" outlineLevel="1">
      <c r="B301" s="76"/>
      <c r="C301" s="478" t="s">
        <v>1338</v>
      </c>
      <c r="D301" s="100"/>
      <c r="E301" s="508"/>
      <c r="F301" s="508"/>
      <c r="G301" s="508"/>
      <c r="H301" s="88"/>
      <c r="I301" s="80"/>
      <c r="J301" s="80"/>
      <c r="K301" s="80"/>
      <c r="L301" s="80"/>
      <c r="M301" s="80"/>
      <c r="N301" s="80"/>
      <c r="O301" s="80"/>
      <c r="P301" s="80">
        <v>0</v>
      </c>
      <c r="Q301" s="80">
        <v>0</v>
      </c>
      <c r="R301" s="80"/>
      <c r="S301" s="80">
        <f t="shared" si="192"/>
        <v>0</v>
      </c>
      <c r="T301" s="80">
        <f t="shared" si="193"/>
        <v>0</v>
      </c>
      <c r="U301" s="80">
        <v>0</v>
      </c>
      <c r="V301" s="80">
        <v>0</v>
      </c>
      <c r="W301" s="80">
        <v>0</v>
      </c>
      <c r="X301" s="80">
        <v>0</v>
      </c>
      <c r="Y301" s="80">
        <v>0</v>
      </c>
      <c r="Z301" s="80">
        <v>0</v>
      </c>
      <c r="AA301" s="80">
        <v>0</v>
      </c>
      <c r="AB301" s="80">
        <v>0</v>
      </c>
      <c r="AC301" s="80">
        <v>0</v>
      </c>
      <c r="AD301" s="80">
        <v>0</v>
      </c>
      <c r="AE301" s="80">
        <v>0</v>
      </c>
      <c r="AF301" s="80">
        <v>0</v>
      </c>
      <c r="AG301" s="80">
        <v>0</v>
      </c>
      <c r="AH301" s="80"/>
      <c r="AI301" s="80"/>
    </row>
    <row r="302" spans="2:35" ht="15.75" hidden="1" customHeight="1" outlineLevel="1">
      <c r="B302" s="110"/>
      <c r="C302" s="482" t="s">
        <v>1381</v>
      </c>
      <c r="D302" s="100"/>
      <c r="E302" s="100"/>
      <c r="F302" s="100"/>
      <c r="G302" s="100"/>
      <c r="H302" s="88"/>
      <c r="I302" s="78"/>
      <c r="J302" s="78"/>
      <c r="K302" s="78"/>
      <c r="L302" s="78"/>
      <c r="M302" s="78"/>
      <c r="N302" s="78"/>
      <c r="O302" s="78"/>
      <c r="P302" s="78">
        <f t="shared" ref="P302:Y302" si="208">SUM(P299:P301)</f>
        <v>0</v>
      </c>
      <c r="Q302" s="78">
        <f t="shared" si="208"/>
        <v>0</v>
      </c>
      <c r="R302" s="78"/>
      <c r="S302" s="78">
        <f t="shared" si="192"/>
        <v>0</v>
      </c>
      <c r="T302" s="78">
        <f t="shared" si="193"/>
        <v>0</v>
      </c>
      <c r="U302" s="78">
        <f t="shared" si="208"/>
        <v>0</v>
      </c>
      <c r="V302" s="78">
        <f t="shared" si="208"/>
        <v>0</v>
      </c>
      <c r="W302" s="78">
        <f t="shared" si="208"/>
        <v>0</v>
      </c>
      <c r="X302" s="78">
        <f t="shared" si="208"/>
        <v>0</v>
      </c>
      <c r="Y302" s="78">
        <f t="shared" si="208"/>
        <v>0</v>
      </c>
      <c r="Z302" s="78">
        <f t="shared" ref="Z302:AG302" si="209">SUM(Z299:Z301)</f>
        <v>0</v>
      </c>
      <c r="AA302" s="78">
        <f t="shared" si="209"/>
        <v>0</v>
      </c>
      <c r="AB302" s="78">
        <f t="shared" si="209"/>
        <v>0</v>
      </c>
      <c r="AC302" s="78">
        <f t="shared" si="209"/>
        <v>0</v>
      </c>
      <c r="AD302" s="78">
        <f t="shared" si="209"/>
        <v>0</v>
      </c>
      <c r="AE302" s="78">
        <f t="shared" si="209"/>
        <v>0</v>
      </c>
      <c r="AF302" s="78">
        <f t="shared" si="209"/>
        <v>0</v>
      </c>
      <c r="AG302" s="78">
        <f t="shared" si="209"/>
        <v>0</v>
      </c>
      <c r="AH302" s="78"/>
      <c r="AI302" s="78"/>
    </row>
    <row r="303" spans="2:35" ht="15.75" hidden="1" customHeight="1" outlineLevel="1">
      <c r="B303" s="110"/>
      <c r="C303" s="478" t="s">
        <v>1382</v>
      </c>
      <c r="D303" s="110"/>
      <c r="E303" s="110"/>
      <c r="F303" s="110"/>
      <c r="G303" s="110"/>
      <c r="H303" s="88"/>
      <c r="I303" s="78"/>
      <c r="J303" s="78"/>
      <c r="K303" s="78"/>
      <c r="L303" s="78"/>
      <c r="M303" s="78"/>
      <c r="N303" s="78"/>
      <c r="O303" s="78"/>
      <c r="P303" s="78">
        <v>0</v>
      </c>
      <c r="Q303" s="78">
        <v>0</v>
      </c>
      <c r="R303" s="78"/>
      <c r="S303" s="78">
        <f t="shared" si="192"/>
        <v>0</v>
      </c>
      <c r="T303" s="78">
        <f t="shared" si="193"/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78">
        <v>0</v>
      </c>
      <c r="AA303" s="78">
        <v>0</v>
      </c>
      <c r="AB303" s="78">
        <v>0</v>
      </c>
      <c r="AC303" s="78">
        <v>0</v>
      </c>
      <c r="AD303" s="78">
        <v>0</v>
      </c>
      <c r="AE303" s="78">
        <v>0</v>
      </c>
      <c r="AF303" s="78">
        <v>0</v>
      </c>
      <c r="AG303" s="78">
        <v>0</v>
      </c>
      <c r="AH303" s="78"/>
      <c r="AI303" s="78"/>
    </row>
    <row r="304" spans="2:35" ht="15.75" hidden="1" customHeight="1" outlineLevel="1">
      <c r="B304" s="110"/>
      <c r="C304" s="482" t="s">
        <v>1383</v>
      </c>
      <c r="D304" s="110"/>
      <c r="E304" s="110"/>
      <c r="F304" s="110"/>
      <c r="G304" s="110"/>
      <c r="H304" s="88"/>
      <c r="I304" s="80"/>
      <c r="J304" s="80"/>
      <c r="K304" s="80"/>
      <c r="L304" s="80"/>
      <c r="M304" s="80"/>
      <c r="N304" s="80"/>
      <c r="O304" s="80"/>
      <c r="P304" s="80">
        <f t="shared" ref="P304:Y304" si="210">SUM(P303)</f>
        <v>0</v>
      </c>
      <c r="Q304" s="80">
        <f t="shared" si="210"/>
        <v>0</v>
      </c>
      <c r="R304" s="80"/>
      <c r="S304" s="80">
        <f t="shared" si="192"/>
        <v>0</v>
      </c>
      <c r="T304" s="80">
        <f t="shared" si="193"/>
        <v>0</v>
      </c>
      <c r="U304" s="80">
        <f t="shared" si="210"/>
        <v>0</v>
      </c>
      <c r="V304" s="80">
        <f t="shared" si="210"/>
        <v>0</v>
      </c>
      <c r="W304" s="80">
        <f t="shared" si="210"/>
        <v>0</v>
      </c>
      <c r="X304" s="80">
        <f t="shared" si="210"/>
        <v>0</v>
      </c>
      <c r="Y304" s="80">
        <f t="shared" si="210"/>
        <v>0</v>
      </c>
      <c r="Z304" s="80">
        <f t="shared" ref="Z304:AG304" si="211">SUM(Z303)</f>
        <v>0</v>
      </c>
      <c r="AA304" s="80">
        <f t="shared" si="211"/>
        <v>0</v>
      </c>
      <c r="AB304" s="80">
        <f t="shared" si="211"/>
        <v>0</v>
      </c>
      <c r="AC304" s="80">
        <f t="shared" si="211"/>
        <v>0</v>
      </c>
      <c r="AD304" s="80">
        <f t="shared" si="211"/>
        <v>0</v>
      </c>
      <c r="AE304" s="80">
        <f t="shared" si="211"/>
        <v>0</v>
      </c>
      <c r="AF304" s="80">
        <f t="shared" si="211"/>
        <v>0</v>
      </c>
      <c r="AG304" s="80">
        <f t="shared" si="211"/>
        <v>0</v>
      </c>
      <c r="AH304" s="80"/>
      <c r="AI304" s="80"/>
    </row>
    <row r="305" spans="2:35" ht="15.75" hidden="1" customHeight="1" outlineLevel="1">
      <c r="B305" s="76"/>
      <c r="C305" s="164"/>
      <c r="D305" s="111"/>
      <c r="E305" s="111"/>
      <c r="F305" s="111"/>
      <c r="G305" s="111"/>
      <c r="I305" s="110"/>
      <c r="J305" s="110"/>
      <c r="K305" s="85"/>
      <c r="L305" s="85"/>
      <c r="M305" s="100"/>
      <c r="N305" s="100"/>
      <c r="O305" s="100"/>
      <c r="P305" s="100"/>
      <c r="Q305" s="100"/>
      <c r="R305" s="100"/>
      <c r="S305" s="100">
        <f t="shared" si="192"/>
        <v>0</v>
      </c>
      <c r="T305" s="100">
        <f t="shared" si="193"/>
        <v>0</v>
      </c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  <c r="AI305" s="100"/>
    </row>
    <row r="306" spans="2:35" ht="15.75" hidden="1" customHeight="1" outlineLevel="1">
      <c r="B306" s="110"/>
      <c r="C306" s="163" t="s">
        <v>1384</v>
      </c>
      <c r="D306" s="110"/>
      <c r="E306" s="110"/>
      <c r="F306" s="110"/>
      <c r="G306" s="110"/>
      <c r="H306" s="88"/>
      <c r="I306" s="78"/>
      <c r="J306" s="78"/>
      <c r="K306" s="78"/>
      <c r="L306" s="78"/>
      <c r="M306" s="78"/>
      <c r="N306" s="78"/>
      <c r="O306" s="78"/>
      <c r="P306" s="78">
        <f>P302-P304</f>
        <v>0</v>
      </c>
      <c r="Q306" s="78">
        <v>8000000</v>
      </c>
      <c r="R306" s="78"/>
      <c r="S306" s="78">
        <f t="shared" si="192"/>
        <v>8000000</v>
      </c>
      <c r="T306" s="78">
        <f t="shared" si="193"/>
        <v>8000000</v>
      </c>
      <c r="U306" s="78">
        <v>8000000</v>
      </c>
      <c r="V306" s="78">
        <v>8000000</v>
      </c>
      <c r="W306" s="78">
        <v>8000000</v>
      </c>
      <c r="X306" s="78">
        <v>8000000</v>
      </c>
      <c r="Y306" s="78">
        <v>8000000</v>
      </c>
      <c r="Z306" s="78">
        <v>8000000</v>
      </c>
      <c r="AA306" s="78">
        <v>8000000</v>
      </c>
      <c r="AB306" s="78">
        <v>8000000</v>
      </c>
      <c r="AC306" s="78">
        <v>8000000</v>
      </c>
      <c r="AD306" s="78">
        <v>8000000</v>
      </c>
      <c r="AE306" s="78">
        <v>8000000</v>
      </c>
      <c r="AF306" s="78">
        <v>8000000</v>
      </c>
      <c r="AG306" s="78">
        <v>8000000</v>
      </c>
      <c r="AH306" s="78"/>
      <c r="AI306" s="78"/>
    </row>
    <row r="307" spans="2:35" ht="15.75" hidden="1" customHeight="1" outlineLevel="1">
      <c r="B307" s="110"/>
      <c r="C307" s="163" t="s">
        <v>1385</v>
      </c>
      <c r="D307" s="110"/>
      <c r="E307" s="110"/>
      <c r="F307" s="110"/>
      <c r="G307" s="110"/>
      <c r="H307" s="88"/>
      <c r="I307" s="78"/>
      <c r="J307" s="78"/>
      <c r="K307" s="78"/>
      <c r="L307" s="78"/>
      <c r="M307" s="78"/>
      <c r="N307" s="78"/>
      <c r="O307" s="78"/>
      <c r="P307" s="78">
        <f>P306-O306</f>
        <v>0</v>
      </c>
      <c r="Q307" s="78">
        <f t="shared" ref="Q307:AG307" si="212">Q306-P306</f>
        <v>8000000</v>
      </c>
      <c r="R307" s="78"/>
      <c r="S307" s="78">
        <f>Q307</f>
        <v>8000000</v>
      </c>
      <c r="T307" s="78">
        <f>S307</f>
        <v>8000000</v>
      </c>
      <c r="U307" s="78">
        <f>U306-Q306</f>
        <v>0</v>
      </c>
      <c r="V307" s="78">
        <f t="shared" si="212"/>
        <v>0</v>
      </c>
      <c r="W307" s="78">
        <f t="shared" si="212"/>
        <v>0</v>
      </c>
      <c r="X307" s="78">
        <f t="shared" si="212"/>
        <v>0</v>
      </c>
      <c r="Y307" s="78">
        <f t="shared" si="212"/>
        <v>0</v>
      </c>
      <c r="Z307" s="78">
        <f t="shared" si="212"/>
        <v>0</v>
      </c>
      <c r="AA307" s="78">
        <f t="shared" si="212"/>
        <v>0</v>
      </c>
      <c r="AB307" s="78">
        <f t="shared" si="212"/>
        <v>0</v>
      </c>
      <c r="AC307" s="78">
        <f t="shared" si="212"/>
        <v>0</v>
      </c>
      <c r="AD307" s="78">
        <f t="shared" si="212"/>
        <v>0</v>
      </c>
      <c r="AE307" s="78">
        <f t="shared" si="212"/>
        <v>0</v>
      </c>
      <c r="AF307" s="78">
        <f t="shared" si="212"/>
        <v>0</v>
      </c>
      <c r="AG307" s="78">
        <f t="shared" si="212"/>
        <v>0</v>
      </c>
      <c r="AH307" s="78"/>
      <c r="AI307" s="78"/>
    </row>
    <row r="308" spans="2:35" ht="15.75" hidden="1" customHeight="1" outlineLevel="1">
      <c r="B308" s="110"/>
      <c r="C308" s="482" t="s">
        <v>1386</v>
      </c>
      <c r="D308" s="100"/>
      <c r="E308" s="133"/>
      <c r="F308" s="83"/>
      <c r="G308" s="83"/>
      <c r="H308" s="88"/>
      <c r="I308" s="83"/>
      <c r="J308" s="83"/>
      <c r="K308" s="83"/>
      <c r="L308" s="83"/>
      <c r="M308" s="83"/>
      <c r="N308" s="83"/>
      <c r="O308" s="83"/>
      <c r="P308" s="83">
        <f t="shared" ref="P308:Y311" si="213">O308</f>
        <v>0</v>
      </c>
      <c r="Q308" s="83">
        <f t="shared" si="213"/>
        <v>0</v>
      </c>
      <c r="R308" s="83"/>
      <c r="S308" s="83">
        <f t="shared" si="192"/>
        <v>0</v>
      </c>
      <c r="T308" s="83">
        <f t="shared" si="193"/>
        <v>0</v>
      </c>
      <c r="U308" s="83">
        <f>Q308</f>
        <v>0</v>
      </c>
      <c r="V308" s="83">
        <f t="shared" si="213"/>
        <v>0</v>
      </c>
      <c r="W308" s="83">
        <f t="shared" si="213"/>
        <v>0</v>
      </c>
      <c r="X308" s="83">
        <f t="shared" si="213"/>
        <v>0</v>
      </c>
      <c r="Y308" s="83">
        <f t="shared" si="213"/>
        <v>0</v>
      </c>
      <c r="Z308" s="83">
        <f t="shared" ref="Z308:AF311" si="214">Y308</f>
        <v>0</v>
      </c>
      <c r="AA308" s="83">
        <f t="shared" si="214"/>
        <v>0</v>
      </c>
      <c r="AB308" s="83">
        <f t="shared" si="214"/>
        <v>0</v>
      </c>
      <c r="AC308" s="83">
        <f t="shared" si="214"/>
        <v>0</v>
      </c>
      <c r="AD308" s="83">
        <f t="shared" si="214"/>
        <v>0</v>
      </c>
      <c r="AE308" s="83">
        <f t="shared" si="214"/>
        <v>0</v>
      </c>
      <c r="AF308" s="83">
        <f t="shared" si="214"/>
        <v>0</v>
      </c>
      <c r="AG308" s="83">
        <f>AF308</f>
        <v>0</v>
      </c>
      <c r="AH308" s="83"/>
      <c r="AI308" s="83"/>
    </row>
    <row r="309" spans="2:35" ht="15.75" hidden="1" customHeight="1" outlineLevel="1">
      <c r="B309" s="110"/>
      <c r="C309" s="482" t="s">
        <v>1387</v>
      </c>
      <c r="D309" s="100"/>
      <c r="E309" s="100"/>
      <c r="F309" s="83"/>
      <c r="G309" s="83"/>
      <c r="H309" s="88"/>
      <c r="I309" s="83"/>
      <c r="J309" s="83"/>
      <c r="K309" s="83"/>
      <c r="L309" s="83"/>
      <c r="M309" s="83"/>
      <c r="N309" s="83"/>
      <c r="O309" s="83"/>
      <c r="P309" s="83">
        <f t="shared" si="213"/>
        <v>0</v>
      </c>
      <c r="Q309" s="83">
        <f t="shared" si="213"/>
        <v>0</v>
      </c>
      <c r="R309" s="83"/>
      <c r="S309" s="83">
        <f t="shared" si="192"/>
        <v>0</v>
      </c>
      <c r="T309" s="83">
        <f t="shared" si="193"/>
        <v>0</v>
      </c>
      <c r="U309" s="83">
        <f>Q309</f>
        <v>0</v>
      </c>
      <c r="V309" s="83">
        <f t="shared" si="213"/>
        <v>0</v>
      </c>
      <c r="W309" s="83">
        <f t="shared" si="213"/>
        <v>0</v>
      </c>
      <c r="X309" s="83">
        <f t="shared" si="213"/>
        <v>0</v>
      </c>
      <c r="Y309" s="83">
        <f t="shared" si="213"/>
        <v>0</v>
      </c>
      <c r="Z309" s="83">
        <f t="shared" si="214"/>
        <v>0</v>
      </c>
      <c r="AA309" s="83">
        <f t="shared" si="214"/>
        <v>0</v>
      </c>
      <c r="AB309" s="83">
        <f t="shared" si="214"/>
        <v>0</v>
      </c>
      <c r="AC309" s="83">
        <f t="shared" si="214"/>
        <v>0</v>
      </c>
      <c r="AD309" s="83">
        <f t="shared" si="214"/>
        <v>0</v>
      </c>
      <c r="AE309" s="83">
        <f t="shared" si="214"/>
        <v>0</v>
      </c>
      <c r="AF309" s="83">
        <f t="shared" si="214"/>
        <v>0</v>
      </c>
      <c r="AG309" s="83">
        <f>AF309</f>
        <v>0</v>
      </c>
      <c r="AH309" s="83"/>
      <c r="AI309" s="83"/>
    </row>
    <row r="310" spans="2:35" ht="15.75" hidden="1" customHeight="1" outlineLevel="1">
      <c r="B310" s="110"/>
      <c r="C310" s="482" t="s">
        <v>1388</v>
      </c>
      <c r="D310" s="110"/>
      <c r="E310" s="110"/>
      <c r="F310" s="110"/>
      <c r="G310" s="110"/>
      <c r="H310" s="88"/>
      <c r="I310" s="83"/>
      <c r="J310" s="83"/>
      <c r="K310" s="83"/>
      <c r="L310" s="83"/>
      <c r="M310" s="83"/>
      <c r="N310" s="83"/>
      <c r="O310" s="83"/>
      <c r="P310" s="83">
        <f t="shared" si="213"/>
        <v>0</v>
      </c>
      <c r="Q310" s="83">
        <f t="shared" si="213"/>
        <v>0</v>
      </c>
      <c r="R310" s="83"/>
      <c r="S310" s="83">
        <f t="shared" si="192"/>
        <v>0</v>
      </c>
      <c r="T310" s="83">
        <f t="shared" si="193"/>
        <v>0</v>
      </c>
      <c r="U310" s="83">
        <f>Q310</f>
        <v>0</v>
      </c>
      <c r="V310" s="83">
        <f t="shared" si="213"/>
        <v>0</v>
      </c>
      <c r="W310" s="83">
        <f t="shared" si="213"/>
        <v>0</v>
      </c>
      <c r="X310" s="83">
        <f t="shared" si="213"/>
        <v>0</v>
      </c>
      <c r="Y310" s="83">
        <f t="shared" si="213"/>
        <v>0</v>
      </c>
      <c r="Z310" s="83">
        <f t="shared" si="214"/>
        <v>0</v>
      </c>
      <c r="AA310" s="83">
        <f t="shared" si="214"/>
        <v>0</v>
      </c>
      <c r="AB310" s="83">
        <f t="shared" si="214"/>
        <v>0</v>
      </c>
      <c r="AC310" s="83">
        <f t="shared" si="214"/>
        <v>0</v>
      </c>
      <c r="AD310" s="83">
        <f t="shared" si="214"/>
        <v>0</v>
      </c>
      <c r="AE310" s="83">
        <f t="shared" si="214"/>
        <v>0</v>
      </c>
      <c r="AF310" s="83">
        <f t="shared" si="214"/>
        <v>0</v>
      </c>
      <c r="AG310" s="83">
        <f>AF310</f>
        <v>0</v>
      </c>
      <c r="AH310" s="83"/>
      <c r="AI310" s="83"/>
    </row>
    <row r="311" spans="2:35" ht="15.75" hidden="1" customHeight="1" outlineLevel="1">
      <c r="B311" s="110"/>
      <c r="C311" s="482" t="s">
        <v>1389</v>
      </c>
      <c r="D311" s="100"/>
      <c r="E311" s="100"/>
      <c r="F311" s="83"/>
      <c r="G311" s="83"/>
      <c r="H311" s="88"/>
      <c r="I311" s="83"/>
      <c r="J311" s="83"/>
      <c r="K311" s="83"/>
      <c r="L311" s="83"/>
      <c r="M311" s="83"/>
      <c r="N311" s="83"/>
      <c r="O311" s="83"/>
      <c r="P311" s="83">
        <f t="shared" si="213"/>
        <v>0</v>
      </c>
      <c r="Q311" s="83">
        <f t="shared" si="213"/>
        <v>0</v>
      </c>
      <c r="R311" s="83"/>
      <c r="S311" s="83">
        <f t="shared" si="192"/>
        <v>0</v>
      </c>
      <c r="T311" s="83">
        <f t="shared" si="193"/>
        <v>0</v>
      </c>
      <c r="U311" s="83">
        <f>Q311</f>
        <v>0</v>
      </c>
      <c r="V311" s="83">
        <f t="shared" si="213"/>
        <v>0</v>
      </c>
      <c r="W311" s="83">
        <f t="shared" si="213"/>
        <v>0</v>
      </c>
      <c r="X311" s="83">
        <f t="shared" si="213"/>
        <v>0</v>
      </c>
      <c r="Y311" s="83">
        <f t="shared" si="213"/>
        <v>0</v>
      </c>
      <c r="Z311" s="83">
        <f t="shared" si="214"/>
        <v>0</v>
      </c>
      <c r="AA311" s="83">
        <f t="shared" si="214"/>
        <v>0</v>
      </c>
      <c r="AB311" s="83">
        <f t="shared" si="214"/>
        <v>0</v>
      </c>
      <c r="AC311" s="83">
        <f t="shared" si="214"/>
        <v>0</v>
      </c>
      <c r="AD311" s="83">
        <f t="shared" si="214"/>
        <v>0</v>
      </c>
      <c r="AE311" s="83">
        <f t="shared" si="214"/>
        <v>0</v>
      </c>
      <c r="AF311" s="83">
        <f t="shared" si="214"/>
        <v>0</v>
      </c>
      <c r="AG311" s="83">
        <f>AF311</f>
        <v>0</v>
      </c>
      <c r="AH311" s="83"/>
      <c r="AI311" s="83"/>
    </row>
    <row r="312" spans="2:35" ht="15.75" hidden="1" customHeight="1" outlineLevel="1">
      <c r="B312" s="110"/>
      <c r="C312" s="110"/>
      <c r="D312" s="100"/>
      <c r="E312" s="100"/>
      <c r="F312" s="100"/>
      <c r="G312" s="100"/>
      <c r="H312" s="88"/>
      <c r="I312" s="110"/>
      <c r="J312" s="110"/>
      <c r="K312" s="87"/>
      <c r="L312" s="82"/>
      <c r="M312" s="100"/>
      <c r="N312" s="100"/>
      <c r="O312" s="100"/>
      <c r="P312" s="100"/>
      <c r="Q312" s="100"/>
      <c r="R312" s="100"/>
      <c r="S312" s="100">
        <f t="shared" si="192"/>
        <v>0</v>
      </c>
      <c r="T312" s="100">
        <f t="shared" si="193"/>
        <v>0</v>
      </c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  <c r="AI312" s="100"/>
    </row>
    <row r="313" spans="2:35" ht="15.75" hidden="1" customHeight="1" outlineLevel="1">
      <c r="B313" s="110"/>
      <c r="C313" s="482" t="s">
        <v>1390</v>
      </c>
      <c r="D313" s="100"/>
      <c r="E313" s="100"/>
      <c r="F313" s="100"/>
      <c r="G313" s="100"/>
      <c r="H313" s="88"/>
      <c r="I313" s="78"/>
      <c r="J313" s="78"/>
      <c r="K313" s="78"/>
      <c r="L313" s="78"/>
      <c r="M313" s="78"/>
      <c r="N313" s="78"/>
      <c r="O313" s="78"/>
      <c r="P313" s="78">
        <v>0</v>
      </c>
      <c r="Q313" s="78">
        <v>0</v>
      </c>
      <c r="R313" s="78"/>
      <c r="S313" s="78">
        <f t="shared" si="192"/>
        <v>0</v>
      </c>
      <c r="T313" s="78">
        <f t="shared" si="193"/>
        <v>0</v>
      </c>
      <c r="U313" s="78">
        <v>0</v>
      </c>
      <c r="V313" s="78">
        <v>0</v>
      </c>
      <c r="W313" s="78">
        <v>0</v>
      </c>
      <c r="X313" s="78">
        <v>0</v>
      </c>
      <c r="Y313" s="78">
        <v>0</v>
      </c>
      <c r="Z313" s="78">
        <v>0</v>
      </c>
      <c r="AA313" s="78">
        <v>0</v>
      </c>
      <c r="AB313" s="78">
        <v>0</v>
      </c>
      <c r="AC313" s="78">
        <v>0</v>
      </c>
      <c r="AD313" s="78">
        <v>0</v>
      </c>
      <c r="AE313" s="78">
        <v>0</v>
      </c>
      <c r="AF313" s="78">
        <v>0</v>
      </c>
      <c r="AG313" s="78">
        <v>0</v>
      </c>
      <c r="AH313" s="78"/>
      <c r="AI313" s="78"/>
    </row>
    <row r="314" spans="2:35" ht="15.75" hidden="1" customHeight="1" outlineLevel="1">
      <c r="B314" s="76"/>
      <c r="C314" s="482" t="s">
        <v>1340</v>
      </c>
      <c r="D314" s="100"/>
      <c r="E314" s="100"/>
      <c r="F314" s="100"/>
      <c r="G314" s="100"/>
      <c r="H314" s="88"/>
      <c r="I314" s="78"/>
      <c r="J314" s="78"/>
      <c r="K314" s="78"/>
      <c r="L314" s="78"/>
      <c r="M314" s="78"/>
      <c r="N314" s="78"/>
      <c r="O314" s="78"/>
      <c r="P314" s="78">
        <f t="shared" ref="P314:Y314" si="215">P308*P285</f>
        <v>0</v>
      </c>
      <c r="Q314" s="78">
        <f t="shared" si="215"/>
        <v>0</v>
      </c>
      <c r="R314" s="78"/>
      <c r="S314" s="78">
        <f t="shared" si="192"/>
        <v>0</v>
      </c>
      <c r="T314" s="78">
        <f t="shared" si="193"/>
        <v>0</v>
      </c>
      <c r="U314" s="78">
        <f t="shared" si="215"/>
        <v>0</v>
      </c>
      <c r="V314" s="78">
        <f t="shared" si="215"/>
        <v>0</v>
      </c>
      <c r="W314" s="78">
        <f t="shared" si="215"/>
        <v>0</v>
      </c>
      <c r="X314" s="78">
        <f t="shared" si="215"/>
        <v>0</v>
      </c>
      <c r="Y314" s="78">
        <f t="shared" si="215"/>
        <v>0</v>
      </c>
      <c r="Z314" s="78">
        <f t="shared" ref="Z314:AG314" si="216">Z308*Z285</f>
        <v>0</v>
      </c>
      <c r="AA314" s="78">
        <f t="shared" si="216"/>
        <v>0</v>
      </c>
      <c r="AB314" s="78">
        <f t="shared" si="216"/>
        <v>0</v>
      </c>
      <c r="AC314" s="78">
        <f t="shared" si="216"/>
        <v>0</v>
      </c>
      <c r="AD314" s="78">
        <f t="shared" si="216"/>
        <v>0</v>
      </c>
      <c r="AE314" s="78">
        <f t="shared" si="216"/>
        <v>0</v>
      </c>
      <c r="AF314" s="78">
        <f t="shared" si="216"/>
        <v>0</v>
      </c>
      <c r="AG314" s="78">
        <f t="shared" si="216"/>
        <v>0</v>
      </c>
      <c r="AH314" s="78"/>
      <c r="AI314" s="78"/>
    </row>
    <row r="315" spans="2:35" ht="15.75" hidden="1" customHeight="1" outlineLevel="1">
      <c r="B315" s="76"/>
      <c r="C315" s="482" t="s">
        <v>1344</v>
      </c>
      <c r="D315" s="100"/>
      <c r="E315" s="100"/>
      <c r="F315" s="100"/>
      <c r="G315" s="100"/>
      <c r="H315" s="88"/>
      <c r="I315" s="78"/>
      <c r="J315" s="78"/>
      <c r="K315" s="78"/>
      <c r="L315" s="78"/>
      <c r="M315" s="78"/>
      <c r="N315" s="78"/>
      <c r="O315" s="78"/>
      <c r="P315" s="78">
        <f t="shared" ref="P315:Y315" si="217">P309*P285</f>
        <v>0</v>
      </c>
      <c r="Q315" s="78">
        <f t="shared" si="217"/>
        <v>0</v>
      </c>
      <c r="R315" s="78"/>
      <c r="S315" s="78">
        <f t="shared" si="192"/>
        <v>0</v>
      </c>
      <c r="T315" s="78">
        <f t="shared" si="193"/>
        <v>0</v>
      </c>
      <c r="U315" s="78">
        <f t="shared" si="217"/>
        <v>0</v>
      </c>
      <c r="V315" s="78">
        <f t="shared" si="217"/>
        <v>0</v>
      </c>
      <c r="W315" s="78">
        <f t="shared" si="217"/>
        <v>0</v>
      </c>
      <c r="X315" s="78">
        <f t="shared" si="217"/>
        <v>0</v>
      </c>
      <c r="Y315" s="78">
        <f t="shared" si="217"/>
        <v>0</v>
      </c>
      <c r="Z315" s="78">
        <f t="shared" ref="Z315:AG315" si="218">Z309*Z285</f>
        <v>0</v>
      </c>
      <c r="AA315" s="78">
        <f t="shared" si="218"/>
        <v>0</v>
      </c>
      <c r="AB315" s="78">
        <f t="shared" si="218"/>
        <v>0</v>
      </c>
      <c r="AC315" s="78">
        <f t="shared" si="218"/>
        <v>0</v>
      </c>
      <c r="AD315" s="78">
        <f t="shared" si="218"/>
        <v>0</v>
      </c>
      <c r="AE315" s="78">
        <f t="shared" si="218"/>
        <v>0</v>
      </c>
      <c r="AF315" s="78">
        <f t="shared" si="218"/>
        <v>0</v>
      </c>
      <c r="AG315" s="78">
        <f t="shared" si="218"/>
        <v>0</v>
      </c>
      <c r="AH315" s="78"/>
      <c r="AI315" s="78"/>
    </row>
    <row r="316" spans="2:35" ht="15.75" hidden="1" customHeight="1" outlineLevel="1">
      <c r="B316" s="76"/>
      <c r="C316" s="110" t="s">
        <v>1391</v>
      </c>
      <c r="D316" s="110"/>
      <c r="E316" s="110"/>
      <c r="F316" s="110"/>
      <c r="G316" s="110"/>
      <c r="H316" s="88"/>
      <c r="I316" s="78"/>
      <c r="J316" s="78"/>
      <c r="K316" s="78"/>
      <c r="L316" s="78"/>
      <c r="M316" s="78"/>
      <c r="N316" s="78"/>
      <c r="O316" s="78"/>
      <c r="P316" s="78">
        <f t="shared" ref="P316:Y316" si="219">SUM(P313:P315)</f>
        <v>0</v>
      </c>
      <c r="Q316" s="78">
        <f t="shared" si="219"/>
        <v>0</v>
      </c>
      <c r="R316" s="78"/>
      <c r="S316" s="78">
        <f t="shared" si="192"/>
        <v>0</v>
      </c>
      <c r="T316" s="78">
        <f t="shared" si="193"/>
        <v>0</v>
      </c>
      <c r="U316" s="78">
        <f t="shared" si="219"/>
        <v>0</v>
      </c>
      <c r="V316" s="78">
        <f t="shared" si="219"/>
        <v>0</v>
      </c>
      <c r="W316" s="78">
        <f t="shared" si="219"/>
        <v>0</v>
      </c>
      <c r="X316" s="78">
        <f t="shared" si="219"/>
        <v>0</v>
      </c>
      <c r="Y316" s="78">
        <f t="shared" si="219"/>
        <v>0</v>
      </c>
      <c r="Z316" s="78">
        <f t="shared" ref="Z316:AG316" si="220">SUM(Z313:Z315)</f>
        <v>0</v>
      </c>
      <c r="AA316" s="78">
        <f t="shared" si="220"/>
        <v>0</v>
      </c>
      <c r="AB316" s="78">
        <f t="shared" si="220"/>
        <v>0</v>
      </c>
      <c r="AC316" s="78">
        <f t="shared" si="220"/>
        <v>0</v>
      </c>
      <c r="AD316" s="78">
        <f t="shared" si="220"/>
        <v>0</v>
      </c>
      <c r="AE316" s="78">
        <f t="shared" si="220"/>
        <v>0</v>
      </c>
      <c r="AF316" s="78">
        <f t="shared" si="220"/>
        <v>0</v>
      </c>
      <c r="AG316" s="78">
        <f t="shared" si="220"/>
        <v>0</v>
      </c>
      <c r="AH316" s="78"/>
      <c r="AI316" s="78"/>
    </row>
    <row r="317" spans="2:35" ht="15.75" hidden="1" customHeight="1" outlineLevel="1">
      <c r="B317" s="76"/>
      <c r="C317" s="533" t="s">
        <v>1392</v>
      </c>
      <c r="D317" s="100"/>
      <c r="E317" s="100"/>
      <c r="F317" s="100"/>
      <c r="G317" s="100"/>
      <c r="H317" s="88"/>
      <c r="I317" s="78"/>
      <c r="J317" s="78"/>
      <c r="K317" s="78"/>
      <c r="L317" s="78"/>
      <c r="M317" s="78"/>
      <c r="N317" s="78"/>
      <c r="O317" s="78"/>
      <c r="P317" s="78">
        <f t="shared" ref="P317:Y317" si="221">P316-O316</f>
        <v>0</v>
      </c>
      <c r="Q317" s="78">
        <f t="shared" si="221"/>
        <v>0</v>
      </c>
      <c r="R317" s="78"/>
      <c r="S317" s="78">
        <f t="shared" si="192"/>
        <v>0</v>
      </c>
      <c r="T317" s="78">
        <f t="shared" si="193"/>
        <v>0</v>
      </c>
      <c r="U317" s="78">
        <f>U316-Q316</f>
        <v>0</v>
      </c>
      <c r="V317" s="78">
        <f t="shared" si="221"/>
        <v>0</v>
      </c>
      <c r="W317" s="78">
        <f t="shared" si="221"/>
        <v>0</v>
      </c>
      <c r="X317" s="78">
        <f t="shared" si="221"/>
        <v>0</v>
      </c>
      <c r="Y317" s="78">
        <f t="shared" si="221"/>
        <v>0</v>
      </c>
      <c r="Z317" s="78">
        <f t="shared" ref="Z317:AG317" si="222">Z316-Y316</f>
        <v>0</v>
      </c>
      <c r="AA317" s="78">
        <f t="shared" si="222"/>
        <v>0</v>
      </c>
      <c r="AB317" s="78">
        <f t="shared" si="222"/>
        <v>0</v>
      </c>
      <c r="AC317" s="78">
        <f t="shared" si="222"/>
        <v>0</v>
      </c>
      <c r="AD317" s="78">
        <f t="shared" si="222"/>
        <v>0</v>
      </c>
      <c r="AE317" s="78">
        <f t="shared" si="222"/>
        <v>0</v>
      </c>
      <c r="AF317" s="78">
        <f t="shared" si="222"/>
        <v>0</v>
      </c>
      <c r="AG317" s="78">
        <f t="shared" si="222"/>
        <v>0</v>
      </c>
      <c r="AH317" s="78"/>
      <c r="AI317" s="78"/>
    </row>
    <row r="318" spans="2:35" ht="15.75" hidden="1" customHeight="1" outlineLevel="1">
      <c r="B318" s="76"/>
      <c r="C318" s="482" t="s">
        <v>1393</v>
      </c>
      <c r="D318" s="100"/>
      <c r="E318" s="508"/>
      <c r="F318" s="508"/>
      <c r="G318" s="508"/>
      <c r="H318" s="88"/>
      <c r="I318" s="78"/>
      <c r="J318" s="78"/>
      <c r="K318" s="78"/>
      <c r="L318" s="78"/>
      <c r="M318" s="78"/>
      <c r="N318" s="78"/>
      <c r="O318" s="78"/>
      <c r="P318" s="78">
        <f t="shared" ref="P318:Y318" si="223">P310*P285</f>
        <v>0</v>
      </c>
      <c r="Q318" s="78">
        <f t="shared" si="223"/>
        <v>0</v>
      </c>
      <c r="R318" s="78"/>
      <c r="S318" s="78">
        <f t="shared" si="192"/>
        <v>0</v>
      </c>
      <c r="T318" s="78">
        <f t="shared" si="193"/>
        <v>0</v>
      </c>
      <c r="U318" s="78">
        <f t="shared" si="223"/>
        <v>0</v>
      </c>
      <c r="V318" s="78">
        <f t="shared" si="223"/>
        <v>0</v>
      </c>
      <c r="W318" s="78">
        <f t="shared" si="223"/>
        <v>0</v>
      </c>
      <c r="X318" s="78">
        <f t="shared" si="223"/>
        <v>0</v>
      </c>
      <c r="Y318" s="78">
        <f t="shared" si="223"/>
        <v>0</v>
      </c>
      <c r="Z318" s="78">
        <f t="shared" ref="Z318:AG318" si="224">Z310*Z285</f>
        <v>0</v>
      </c>
      <c r="AA318" s="78">
        <f t="shared" si="224"/>
        <v>0</v>
      </c>
      <c r="AB318" s="78">
        <f t="shared" si="224"/>
        <v>0</v>
      </c>
      <c r="AC318" s="78">
        <f t="shared" si="224"/>
        <v>0</v>
      </c>
      <c r="AD318" s="78">
        <f t="shared" si="224"/>
        <v>0</v>
      </c>
      <c r="AE318" s="78">
        <f t="shared" si="224"/>
        <v>0</v>
      </c>
      <c r="AF318" s="78">
        <f t="shared" si="224"/>
        <v>0</v>
      </c>
      <c r="AG318" s="78">
        <f t="shared" si="224"/>
        <v>0</v>
      </c>
      <c r="AH318" s="78"/>
      <c r="AI318" s="78"/>
    </row>
    <row r="319" spans="2:35" ht="15.75" hidden="1" customHeight="1" outlineLevel="1">
      <c r="B319" s="76"/>
      <c r="C319" s="482" t="s">
        <v>1394</v>
      </c>
      <c r="D319" s="100"/>
      <c r="E319" s="114"/>
      <c r="F319" s="507"/>
      <c r="G319" s="507"/>
      <c r="H319" s="88"/>
      <c r="I319" s="78"/>
      <c r="J319" s="78"/>
      <c r="K319" s="78"/>
      <c r="L319" s="78"/>
      <c r="M319" s="78"/>
      <c r="N319" s="78"/>
      <c r="O319" s="78"/>
      <c r="P319" s="78">
        <f t="shared" ref="P319:Y319" si="225">P311*P285</f>
        <v>0</v>
      </c>
      <c r="Q319" s="78">
        <f t="shared" si="225"/>
        <v>0</v>
      </c>
      <c r="R319" s="78"/>
      <c r="S319" s="78">
        <f t="shared" si="192"/>
        <v>0</v>
      </c>
      <c r="T319" s="78">
        <f t="shared" si="193"/>
        <v>0</v>
      </c>
      <c r="U319" s="78">
        <f t="shared" si="225"/>
        <v>0</v>
      </c>
      <c r="V319" s="78">
        <f t="shared" si="225"/>
        <v>0</v>
      </c>
      <c r="W319" s="78">
        <f t="shared" si="225"/>
        <v>0</v>
      </c>
      <c r="X319" s="78">
        <f t="shared" si="225"/>
        <v>0</v>
      </c>
      <c r="Y319" s="78">
        <f t="shared" si="225"/>
        <v>0</v>
      </c>
      <c r="Z319" s="78">
        <f t="shared" ref="Z319:AG319" si="226">Z311*Z285</f>
        <v>0</v>
      </c>
      <c r="AA319" s="78">
        <f t="shared" si="226"/>
        <v>0</v>
      </c>
      <c r="AB319" s="78">
        <f t="shared" si="226"/>
        <v>0</v>
      </c>
      <c r="AC319" s="78">
        <f t="shared" si="226"/>
        <v>0</v>
      </c>
      <c r="AD319" s="78">
        <f t="shared" si="226"/>
        <v>0</v>
      </c>
      <c r="AE319" s="78">
        <f t="shared" si="226"/>
        <v>0</v>
      </c>
      <c r="AF319" s="78">
        <f t="shared" si="226"/>
        <v>0</v>
      </c>
      <c r="AG319" s="78">
        <f t="shared" si="226"/>
        <v>0</v>
      </c>
      <c r="AH319" s="78"/>
      <c r="AI319" s="78"/>
    </row>
    <row r="320" spans="2:35" ht="15.75" hidden="1" customHeight="1" outlineLevel="1">
      <c r="B320" s="111"/>
      <c r="C320" s="110" t="s">
        <v>1395</v>
      </c>
      <c r="D320" s="483"/>
      <c r="E320" s="534"/>
      <c r="F320" s="528"/>
      <c r="G320" s="528"/>
      <c r="H320" s="535"/>
      <c r="I320" s="78"/>
      <c r="J320" s="78"/>
      <c r="K320" s="78"/>
      <c r="L320" s="78"/>
      <c r="M320" s="78"/>
      <c r="N320" s="78"/>
      <c r="O320" s="78"/>
      <c r="P320" s="78">
        <f t="shared" ref="P320:Y320" si="227">SUM(P318:P319)</f>
        <v>0</v>
      </c>
      <c r="Q320" s="78">
        <f t="shared" si="227"/>
        <v>0</v>
      </c>
      <c r="R320" s="78"/>
      <c r="S320" s="78">
        <f t="shared" si="192"/>
        <v>0</v>
      </c>
      <c r="T320" s="78">
        <f t="shared" si="193"/>
        <v>0</v>
      </c>
      <c r="U320" s="78">
        <f t="shared" si="227"/>
        <v>0</v>
      </c>
      <c r="V320" s="78">
        <f t="shared" si="227"/>
        <v>0</v>
      </c>
      <c r="W320" s="78">
        <f t="shared" si="227"/>
        <v>0</v>
      </c>
      <c r="X320" s="78">
        <f t="shared" si="227"/>
        <v>0</v>
      </c>
      <c r="Y320" s="78">
        <f t="shared" si="227"/>
        <v>0</v>
      </c>
      <c r="Z320" s="78">
        <f t="shared" ref="Z320:AG320" si="228">SUM(Z318:Z319)</f>
        <v>0</v>
      </c>
      <c r="AA320" s="78">
        <f t="shared" si="228"/>
        <v>0</v>
      </c>
      <c r="AB320" s="78">
        <f t="shared" si="228"/>
        <v>0</v>
      </c>
      <c r="AC320" s="78">
        <f t="shared" si="228"/>
        <v>0</v>
      </c>
      <c r="AD320" s="78">
        <f t="shared" si="228"/>
        <v>0</v>
      </c>
      <c r="AE320" s="78">
        <f t="shared" si="228"/>
        <v>0</v>
      </c>
      <c r="AF320" s="78">
        <f t="shared" si="228"/>
        <v>0</v>
      </c>
      <c r="AG320" s="78">
        <f t="shared" si="228"/>
        <v>0</v>
      </c>
      <c r="AH320" s="78"/>
      <c r="AI320" s="78"/>
    </row>
    <row r="321" spans="1:35" ht="15.75" hidden="1" customHeight="1" outlineLevel="1">
      <c r="B321" s="111"/>
      <c r="C321" s="533" t="s">
        <v>1396</v>
      </c>
      <c r="D321" s="483"/>
      <c r="E321" s="534"/>
      <c r="F321" s="82"/>
      <c r="G321" s="82"/>
      <c r="H321" s="88"/>
      <c r="I321" s="78"/>
      <c r="J321" s="78"/>
      <c r="K321" s="78"/>
      <c r="L321" s="78"/>
      <c r="M321" s="78"/>
      <c r="N321" s="78"/>
      <c r="O321" s="78"/>
      <c r="P321" s="78">
        <f t="shared" ref="P321:Y321" si="229">P320-O320</f>
        <v>0</v>
      </c>
      <c r="Q321" s="78">
        <f t="shared" si="229"/>
        <v>0</v>
      </c>
      <c r="R321" s="78"/>
      <c r="S321" s="78">
        <f t="shared" si="192"/>
        <v>0</v>
      </c>
      <c r="T321" s="78">
        <f t="shared" si="193"/>
        <v>0</v>
      </c>
      <c r="U321" s="78">
        <f>U320-Q320</f>
        <v>0</v>
      </c>
      <c r="V321" s="78">
        <f t="shared" si="229"/>
        <v>0</v>
      </c>
      <c r="W321" s="78">
        <f t="shared" si="229"/>
        <v>0</v>
      </c>
      <c r="X321" s="78">
        <f t="shared" si="229"/>
        <v>0</v>
      </c>
      <c r="Y321" s="78">
        <f t="shared" si="229"/>
        <v>0</v>
      </c>
      <c r="Z321" s="78">
        <f t="shared" ref="Z321:AG321" si="230">Z320-Y320</f>
        <v>0</v>
      </c>
      <c r="AA321" s="78">
        <f t="shared" si="230"/>
        <v>0</v>
      </c>
      <c r="AB321" s="78">
        <f t="shared" si="230"/>
        <v>0</v>
      </c>
      <c r="AC321" s="78">
        <f t="shared" si="230"/>
        <v>0</v>
      </c>
      <c r="AD321" s="78">
        <f t="shared" si="230"/>
        <v>0</v>
      </c>
      <c r="AE321" s="78">
        <f t="shared" si="230"/>
        <v>0</v>
      </c>
      <c r="AF321" s="78">
        <f t="shared" si="230"/>
        <v>0</v>
      </c>
      <c r="AG321" s="78">
        <f t="shared" si="230"/>
        <v>0</v>
      </c>
      <c r="AH321" s="78"/>
      <c r="AI321" s="78"/>
    </row>
    <row r="322" spans="1:35" ht="15.75" hidden="1" customHeight="1" outlineLevel="1">
      <c r="B322" s="111"/>
      <c r="C322" s="482" t="s">
        <v>1397</v>
      </c>
      <c r="D322" s="483"/>
      <c r="E322" s="534"/>
      <c r="F322" s="82"/>
      <c r="G322" s="82"/>
      <c r="H322" s="88"/>
      <c r="I322" s="78"/>
      <c r="J322" s="78"/>
      <c r="K322" s="78"/>
      <c r="L322" s="78"/>
      <c r="M322" s="78"/>
      <c r="N322" s="78"/>
      <c r="O322" s="78"/>
      <c r="P322" s="78">
        <f t="shared" ref="P322:Y322" si="231">P317-P321</f>
        <v>0</v>
      </c>
      <c r="Q322" s="78">
        <f t="shared" si="231"/>
        <v>0</v>
      </c>
      <c r="R322" s="78"/>
      <c r="S322" s="78">
        <f t="shared" si="192"/>
        <v>0</v>
      </c>
      <c r="T322" s="78">
        <f t="shared" si="193"/>
        <v>0</v>
      </c>
      <c r="U322" s="78">
        <f t="shared" si="231"/>
        <v>0</v>
      </c>
      <c r="V322" s="78">
        <f t="shared" si="231"/>
        <v>0</v>
      </c>
      <c r="W322" s="78">
        <f t="shared" si="231"/>
        <v>0</v>
      </c>
      <c r="X322" s="78">
        <f t="shared" si="231"/>
        <v>0</v>
      </c>
      <c r="Y322" s="78">
        <f t="shared" si="231"/>
        <v>0</v>
      </c>
      <c r="Z322" s="78">
        <f t="shared" ref="Z322:AG322" si="232">Z317-Z321</f>
        <v>0</v>
      </c>
      <c r="AA322" s="78">
        <f t="shared" si="232"/>
        <v>0</v>
      </c>
      <c r="AB322" s="78">
        <f t="shared" si="232"/>
        <v>0</v>
      </c>
      <c r="AC322" s="78">
        <f t="shared" si="232"/>
        <v>0</v>
      </c>
      <c r="AD322" s="78">
        <f t="shared" si="232"/>
        <v>0</v>
      </c>
      <c r="AE322" s="78">
        <f t="shared" si="232"/>
        <v>0</v>
      </c>
      <c r="AF322" s="78">
        <f t="shared" si="232"/>
        <v>0</v>
      </c>
      <c r="AG322" s="78">
        <f t="shared" si="232"/>
        <v>0</v>
      </c>
      <c r="AH322" s="78"/>
      <c r="AI322" s="78"/>
    </row>
    <row r="323" spans="1:35" ht="15.75" hidden="1" customHeight="1" outlineLevel="1">
      <c r="B323" s="110"/>
      <c r="C323" s="482"/>
      <c r="D323" s="110"/>
      <c r="E323" s="110"/>
      <c r="F323" s="110"/>
      <c r="G323" s="110"/>
      <c r="H323" s="88"/>
      <c r="I323" s="110"/>
      <c r="J323" s="110"/>
      <c r="K323" s="571"/>
      <c r="L323" s="571"/>
      <c r="M323" s="100"/>
      <c r="N323" s="100"/>
      <c r="O323" s="100"/>
      <c r="P323" s="100"/>
      <c r="Q323" s="100"/>
      <c r="R323" s="100"/>
      <c r="S323" s="100">
        <f t="shared" si="192"/>
        <v>0</v>
      </c>
      <c r="T323" s="100">
        <f t="shared" si="193"/>
        <v>0</v>
      </c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  <c r="AI323" s="100"/>
    </row>
    <row r="324" spans="1:35" s="152" customFormat="1" ht="15.75" hidden="1" customHeight="1" outlineLevel="1">
      <c r="A324" s="568"/>
      <c r="C324" s="521"/>
      <c r="D324" s="439"/>
      <c r="E324" s="439"/>
      <c r="F324" s="439"/>
      <c r="G324" s="439"/>
      <c r="H324" s="522"/>
      <c r="I324" s="439"/>
      <c r="J324" s="439"/>
      <c r="L324" s="139"/>
      <c r="M324" s="439"/>
      <c r="N324" s="572"/>
      <c r="O324" s="572"/>
      <c r="P324" s="572"/>
      <c r="Q324" s="572"/>
      <c r="R324" s="572"/>
      <c r="S324" s="572">
        <f t="shared" si="192"/>
        <v>0</v>
      </c>
      <c r="T324" s="572">
        <f t="shared" si="193"/>
        <v>0</v>
      </c>
      <c r="U324" s="572"/>
      <c r="V324" s="572"/>
      <c r="W324" s="572"/>
      <c r="X324" s="572"/>
      <c r="Y324" s="572"/>
      <c r="Z324" s="572"/>
      <c r="AA324" s="572"/>
      <c r="AB324" s="572"/>
      <c r="AC324" s="572"/>
      <c r="AD324" s="572"/>
      <c r="AE324" s="572"/>
      <c r="AF324" s="572"/>
      <c r="AG324" s="572"/>
      <c r="AH324" s="572"/>
      <c r="AI324" s="572"/>
    </row>
    <row r="325" spans="1:35" ht="15.75" hidden="1" customHeight="1" outlineLevel="1">
      <c r="B325" s="111"/>
      <c r="C325" s="102"/>
      <c r="D325" s="102"/>
      <c r="E325" s="102"/>
      <c r="F325" s="102"/>
      <c r="G325" s="102"/>
      <c r="I325" s="117"/>
      <c r="J325" s="102"/>
      <c r="K325" s="121"/>
      <c r="L325" s="121"/>
      <c r="M325" s="118"/>
      <c r="N325" s="117"/>
      <c r="O325" s="117"/>
      <c r="P325" s="117"/>
      <c r="Q325" s="117"/>
      <c r="R325" s="117"/>
      <c r="S325" s="117">
        <f t="shared" si="192"/>
        <v>0</v>
      </c>
      <c r="T325" s="117">
        <f t="shared" si="193"/>
        <v>0</v>
      </c>
      <c r="U325" s="117"/>
      <c r="V325" s="117"/>
      <c r="W325" s="117"/>
      <c r="X325" s="11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</row>
    <row r="326" spans="1:35" ht="27" hidden="1" outlineLevel="1" collapsed="1">
      <c r="B326" s="111"/>
      <c r="C326" s="499" t="s">
        <v>133</v>
      </c>
      <c r="I326" s="117"/>
      <c r="J326" s="102"/>
      <c r="K326" s="103"/>
      <c r="L326" s="137"/>
      <c r="M326" s="435"/>
      <c r="N326" s="435"/>
      <c r="O326" s="435"/>
      <c r="P326" s="435"/>
      <c r="Q326" s="435"/>
      <c r="R326" s="435"/>
      <c r="S326" s="435">
        <f t="shared" si="192"/>
        <v>0</v>
      </c>
      <c r="T326" s="435">
        <f t="shared" si="193"/>
        <v>0</v>
      </c>
      <c r="U326" s="435"/>
      <c r="V326" s="435"/>
      <c r="W326" s="435"/>
      <c r="X326" s="435"/>
      <c r="Y326" s="435"/>
      <c r="Z326" s="435"/>
      <c r="AA326" s="435"/>
      <c r="AB326" s="435"/>
      <c r="AC326" s="435"/>
      <c r="AD326" s="435"/>
      <c r="AE326" s="435"/>
      <c r="AF326" s="435"/>
      <c r="AG326" s="435"/>
      <c r="AH326" s="435"/>
      <c r="AI326" s="435"/>
    </row>
    <row r="327" spans="1:35" ht="3" hidden="1" customHeight="1" outlineLevel="1">
      <c r="B327" s="111"/>
      <c r="C327" s="104"/>
      <c r="D327" s="104"/>
      <c r="E327" s="104"/>
      <c r="F327" s="104"/>
      <c r="G327" s="104"/>
      <c r="H327" s="465"/>
      <c r="I327" s="104"/>
      <c r="J327" s="104"/>
      <c r="K327" s="104"/>
      <c r="L327" s="104"/>
      <c r="M327" s="104"/>
      <c r="N327" s="420"/>
      <c r="O327" s="420"/>
      <c r="P327" s="420"/>
      <c r="Q327" s="420"/>
      <c r="R327" s="420"/>
      <c r="S327" s="420">
        <f t="shared" si="192"/>
        <v>0</v>
      </c>
      <c r="T327" s="420">
        <f t="shared" si="193"/>
        <v>0</v>
      </c>
      <c r="U327" s="420"/>
      <c r="V327" s="420"/>
      <c r="W327" s="420"/>
      <c r="X327" s="420"/>
      <c r="Y327" s="420"/>
      <c r="Z327" s="420"/>
      <c r="AA327" s="420"/>
      <c r="AB327" s="420"/>
      <c r="AC327" s="420"/>
      <c r="AD327" s="420"/>
      <c r="AE327" s="420"/>
      <c r="AF327" s="420"/>
      <c r="AG327" s="420"/>
      <c r="AH327" s="420"/>
      <c r="AI327" s="420"/>
    </row>
    <row r="328" spans="1:35" ht="15.75" hidden="1" customHeight="1" outlineLevel="1">
      <c r="B328" s="111"/>
      <c r="C328" s="75"/>
      <c r="I328" s="117"/>
      <c r="J328" s="102"/>
      <c r="K328" s="103"/>
      <c r="L328" s="137"/>
      <c r="M328" s="435"/>
      <c r="N328" s="435"/>
      <c r="O328" s="435"/>
      <c r="P328" s="435"/>
      <c r="Q328" s="435"/>
      <c r="R328" s="435"/>
      <c r="S328" s="435">
        <f t="shared" si="192"/>
        <v>0</v>
      </c>
      <c r="T328" s="435">
        <f t="shared" si="193"/>
        <v>0</v>
      </c>
      <c r="U328" s="435"/>
      <c r="V328" s="435"/>
      <c r="W328" s="435"/>
      <c r="X328" s="435"/>
      <c r="Y328" s="435"/>
      <c r="Z328" s="435"/>
      <c r="AA328" s="435"/>
      <c r="AB328" s="435"/>
      <c r="AC328" s="435"/>
      <c r="AD328" s="435"/>
      <c r="AE328" s="435"/>
      <c r="AF328" s="435"/>
      <c r="AG328" s="435"/>
      <c r="AH328" s="435"/>
      <c r="AI328" s="435"/>
    </row>
    <row r="329" spans="1:35" ht="17.25" hidden="1" customHeight="1" outlineLevel="1">
      <c r="B329" s="111"/>
      <c r="C329" s="480"/>
      <c r="I329" s="117"/>
      <c r="J329" s="500"/>
      <c r="K329" s="105"/>
      <c r="L329" s="138"/>
      <c r="M329" s="138"/>
      <c r="N329" s="138"/>
      <c r="O329" s="138"/>
      <c r="P329" s="138"/>
      <c r="Q329" s="138"/>
      <c r="R329" s="138"/>
      <c r="S329" s="138">
        <f t="shared" si="192"/>
        <v>0</v>
      </c>
      <c r="T329" s="138">
        <f t="shared" si="193"/>
        <v>0</v>
      </c>
      <c r="U329" s="138"/>
      <c r="V329" s="138"/>
      <c r="W329" s="138"/>
      <c r="X329" s="138"/>
      <c r="Y329" s="138"/>
      <c r="Z329" s="138"/>
      <c r="AA329" s="138"/>
      <c r="AB329" s="138"/>
      <c r="AC329" s="138"/>
      <c r="AD329" s="138"/>
      <c r="AE329" s="138"/>
      <c r="AF329" s="138"/>
      <c r="AG329" s="138"/>
      <c r="AH329" s="138"/>
      <c r="AI329" s="138"/>
    </row>
    <row r="330" spans="1:35" hidden="1" outlineLevel="1">
      <c r="B330" s="111"/>
      <c r="C330" s="501"/>
      <c r="D330" s="106"/>
      <c r="E330" s="106"/>
      <c r="F330" s="106"/>
      <c r="G330" s="106"/>
      <c r="H330" s="502"/>
      <c r="I330" s="92">
        <v>0</v>
      </c>
      <c r="J330" s="92">
        <v>1</v>
      </c>
      <c r="K330" s="92">
        <v>2</v>
      </c>
      <c r="L330" s="136">
        <v>3</v>
      </c>
      <c r="M330" s="136">
        <v>4</v>
      </c>
      <c r="N330" s="136">
        <v>5</v>
      </c>
      <c r="O330" s="136">
        <f t="shared" ref="O330:W330" si="233">O7</f>
        <v>6</v>
      </c>
      <c r="P330" s="136">
        <f t="shared" si="233"/>
        <v>7</v>
      </c>
      <c r="Q330" s="136">
        <f t="shared" si="233"/>
        <v>8</v>
      </c>
      <c r="R330" s="136"/>
      <c r="S330" s="136">
        <f t="shared" si="192"/>
        <v>8</v>
      </c>
      <c r="T330" s="136">
        <f t="shared" si="193"/>
        <v>8</v>
      </c>
      <c r="U330" s="136">
        <f t="shared" si="233"/>
        <v>9</v>
      </c>
      <c r="V330" s="136">
        <f t="shared" si="233"/>
        <v>10</v>
      </c>
      <c r="W330" s="136">
        <f t="shared" si="233"/>
        <v>11</v>
      </c>
      <c r="X330" s="136">
        <f>X7</f>
        <v>12</v>
      </c>
      <c r="Y330" s="136">
        <f>Y7</f>
        <v>13</v>
      </c>
      <c r="Z330" s="136">
        <f t="shared" ref="Z330:AG330" si="234">Z7</f>
        <v>14</v>
      </c>
      <c r="AA330" s="136">
        <f t="shared" si="234"/>
        <v>15</v>
      </c>
      <c r="AB330" s="136">
        <f t="shared" si="234"/>
        <v>16</v>
      </c>
      <c r="AC330" s="136">
        <f t="shared" si="234"/>
        <v>17</v>
      </c>
      <c r="AD330" s="136">
        <f t="shared" si="234"/>
        <v>18</v>
      </c>
      <c r="AE330" s="136">
        <f t="shared" si="234"/>
        <v>19</v>
      </c>
      <c r="AF330" s="136">
        <f t="shared" si="234"/>
        <v>20</v>
      </c>
      <c r="AG330" s="136">
        <f t="shared" si="234"/>
        <v>21</v>
      </c>
      <c r="AH330" s="136"/>
      <c r="AI330" s="136"/>
    </row>
    <row r="331" spans="1:35" hidden="1" outlineLevel="1">
      <c r="B331" s="111"/>
      <c r="C331" s="504"/>
      <c r="D331" s="469"/>
      <c r="E331" s="469"/>
      <c r="F331" s="469"/>
      <c r="G331" s="469"/>
      <c r="H331" s="470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  <c r="AF331" s="93"/>
      <c r="AG331" s="93"/>
      <c r="AH331" s="93"/>
      <c r="AI331" s="93"/>
    </row>
    <row r="332" spans="1:35" hidden="1" outlineLevel="1">
      <c r="B332" s="111"/>
      <c r="C332" s="505"/>
      <c r="D332" s="472"/>
      <c r="E332" s="506"/>
      <c r="F332" s="506"/>
      <c r="G332" s="506"/>
      <c r="H332" s="473"/>
      <c r="I332" s="94" t="s">
        <v>499</v>
      </c>
      <c r="J332" s="94" t="s">
        <v>499</v>
      </c>
      <c r="K332" s="112" t="s">
        <v>499</v>
      </c>
      <c r="L332" s="112" t="s">
        <v>499</v>
      </c>
      <c r="M332" s="112" t="s">
        <v>499</v>
      </c>
      <c r="N332" s="112" t="s">
        <v>499</v>
      </c>
      <c r="O332" s="112" t="s">
        <v>499</v>
      </c>
      <c r="P332" s="112" t="s">
        <v>499</v>
      </c>
      <c r="Q332" s="112" t="s">
        <v>499</v>
      </c>
      <c r="R332" s="112"/>
      <c r="S332" s="112" t="str">
        <f t="shared" ref="S332:S395" si="235">Q332</f>
        <v>($)</v>
      </c>
      <c r="T332" s="112" t="str">
        <f t="shared" ref="T332:T395" si="236">S332</f>
        <v>($)</v>
      </c>
      <c r="U332" s="112" t="s">
        <v>499</v>
      </c>
      <c r="V332" s="112" t="s">
        <v>499</v>
      </c>
      <c r="W332" s="112" t="s">
        <v>499</v>
      </c>
      <c r="X332" s="112" t="s">
        <v>499</v>
      </c>
      <c r="Y332" s="112" t="s">
        <v>499</v>
      </c>
      <c r="Z332" s="112" t="s">
        <v>499</v>
      </c>
      <c r="AA332" s="112" t="s">
        <v>499</v>
      </c>
      <c r="AB332" s="112" t="s">
        <v>499</v>
      </c>
      <c r="AC332" s="112" t="s">
        <v>499</v>
      </c>
      <c r="AD332" s="112" t="s">
        <v>499</v>
      </c>
      <c r="AE332" s="112" t="s">
        <v>499</v>
      </c>
      <c r="AF332" s="112" t="s">
        <v>499</v>
      </c>
      <c r="AG332" s="112" t="s">
        <v>499</v>
      </c>
      <c r="AH332" s="112"/>
      <c r="AI332" s="112"/>
    </row>
    <row r="333" spans="1:35" ht="15.75" hidden="1" customHeight="1" outlineLevel="1">
      <c r="B333" s="111"/>
      <c r="C333" s="107"/>
      <c r="D333" s="107"/>
      <c r="E333" s="107"/>
      <c r="F333" s="107"/>
      <c r="G333" s="107"/>
      <c r="H333" s="1011"/>
      <c r="I333" s="536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>
        <f t="shared" si="235"/>
        <v>0</v>
      </c>
      <c r="T333" s="124">
        <f t="shared" si="236"/>
        <v>0</v>
      </c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</row>
    <row r="334" spans="1:35" ht="15.75" hidden="1" customHeight="1" outlineLevel="1">
      <c r="B334" s="76"/>
      <c r="C334" s="110" t="s">
        <v>270</v>
      </c>
      <c r="D334" s="110"/>
      <c r="E334" s="110"/>
      <c r="F334" s="110"/>
      <c r="G334" s="110"/>
      <c r="H334" s="88"/>
      <c r="I334" s="78"/>
      <c r="J334" s="78"/>
      <c r="K334" s="78"/>
      <c r="L334" s="78"/>
      <c r="M334" s="78"/>
      <c r="N334" s="78"/>
      <c r="O334" s="78"/>
      <c r="P334" s="78">
        <f t="shared" ref="P334:Y334" si="237">P11</f>
        <v>0</v>
      </c>
      <c r="Q334" s="78">
        <f t="shared" si="237"/>
        <v>65445643.71212244</v>
      </c>
      <c r="R334" s="78"/>
      <c r="S334" s="78">
        <f t="shared" si="237"/>
        <v>44233546.683813713</v>
      </c>
      <c r="T334" s="78">
        <f t="shared" si="237"/>
        <v>44233546.683813713</v>
      </c>
      <c r="U334" s="78">
        <f t="shared" si="237"/>
        <v>44492025.630556047</v>
      </c>
      <c r="V334" s="78">
        <f t="shared" si="237"/>
        <v>54968834.671339251</v>
      </c>
      <c r="W334" s="78">
        <f t="shared" si="237"/>
        <v>58461104.351600312</v>
      </c>
      <c r="X334" s="78">
        <f t="shared" si="237"/>
        <v>62630001.282411955</v>
      </c>
      <c r="Y334" s="78">
        <f t="shared" si="237"/>
        <v>65632261.87316139</v>
      </c>
      <c r="Z334" s="78">
        <f t="shared" ref="Z334:AG334" si="238">Z11</f>
        <v>65632261.87316139</v>
      </c>
      <c r="AA334" s="78">
        <f t="shared" si="238"/>
        <v>65632261.87316139</v>
      </c>
      <c r="AB334" s="78">
        <f t="shared" si="238"/>
        <v>65632261.87316139</v>
      </c>
      <c r="AC334" s="78">
        <f t="shared" si="238"/>
        <v>65632261.87316139</v>
      </c>
      <c r="AD334" s="78">
        <f t="shared" si="238"/>
        <v>65632261.87316139</v>
      </c>
      <c r="AE334" s="78">
        <f t="shared" si="238"/>
        <v>54701895.711322688</v>
      </c>
      <c r="AF334" s="78">
        <f t="shared" si="238"/>
        <v>54701895.711322688</v>
      </c>
      <c r="AG334" s="78">
        <f t="shared" si="238"/>
        <v>43761516.569058143</v>
      </c>
      <c r="AH334" s="78"/>
      <c r="AI334" s="78"/>
    </row>
    <row r="335" spans="1:35" ht="15.75" hidden="1" customHeight="1" outlineLevel="1">
      <c r="B335" s="76"/>
      <c r="C335" s="110" t="s">
        <v>132</v>
      </c>
      <c r="D335" s="110"/>
      <c r="E335" s="110"/>
      <c r="F335" s="110"/>
      <c r="G335" s="110"/>
      <c r="H335" s="88"/>
      <c r="I335" s="79"/>
      <c r="J335" s="79"/>
      <c r="K335" s="79"/>
      <c r="L335" s="79"/>
      <c r="M335" s="78"/>
      <c r="N335" s="1002"/>
      <c r="O335" s="1002"/>
      <c r="P335" s="1002">
        <v>14000000</v>
      </c>
      <c r="Q335" s="78">
        <v>2200000</v>
      </c>
      <c r="R335" s="78"/>
      <c r="S335" s="78">
        <f t="shared" si="235"/>
        <v>2200000</v>
      </c>
      <c r="T335" s="78">
        <f t="shared" si="236"/>
        <v>2200000</v>
      </c>
      <c r="U335" s="78">
        <v>1332209</v>
      </c>
      <c r="V335" s="78">
        <v>960509</v>
      </c>
      <c r="W335" s="78">
        <v>692517</v>
      </c>
      <c r="X335" s="78">
        <v>0</v>
      </c>
      <c r="Y335" s="78">
        <v>0</v>
      </c>
      <c r="Z335" s="78">
        <v>0</v>
      </c>
      <c r="AA335" s="78">
        <v>0</v>
      </c>
      <c r="AB335" s="78">
        <v>0</v>
      </c>
      <c r="AC335" s="78">
        <v>0</v>
      </c>
      <c r="AD335" s="78">
        <v>0</v>
      </c>
      <c r="AE335" s="78">
        <v>0</v>
      </c>
      <c r="AF335" s="78">
        <v>0</v>
      </c>
      <c r="AG335" s="78">
        <v>0</v>
      </c>
      <c r="AH335" s="78"/>
      <c r="AI335" s="78"/>
    </row>
    <row r="336" spans="1:35" ht="15.75" hidden="1" customHeight="1" outlineLevel="1">
      <c r="B336" s="76"/>
      <c r="C336" s="110" t="s">
        <v>272</v>
      </c>
      <c r="D336" s="110"/>
      <c r="E336" s="110"/>
      <c r="F336" s="110"/>
      <c r="G336" s="110"/>
      <c r="H336" s="88"/>
      <c r="I336" s="125"/>
      <c r="J336" s="125"/>
      <c r="K336" s="125"/>
      <c r="L336" s="83"/>
      <c r="M336" s="83"/>
      <c r="N336" s="83"/>
      <c r="O336" s="83"/>
      <c r="P336" s="83"/>
      <c r="Q336" s="83"/>
      <c r="R336" s="83"/>
      <c r="S336" s="83">
        <f t="shared" si="235"/>
        <v>0</v>
      </c>
      <c r="T336" s="83">
        <f t="shared" si="236"/>
        <v>0</v>
      </c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</row>
    <row r="337" spans="2:35" ht="15.75" hidden="1" customHeight="1" outlineLevel="1">
      <c r="B337" s="111"/>
      <c r="C337" s="110"/>
      <c r="D337" s="110"/>
      <c r="E337" s="110"/>
      <c r="F337" s="110"/>
      <c r="G337" s="110"/>
      <c r="H337" s="88"/>
      <c r="I337" s="86"/>
      <c r="J337" s="80"/>
      <c r="K337" s="80"/>
      <c r="L337" s="80"/>
      <c r="M337" s="100"/>
      <c r="N337" s="100"/>
      <c r="O337" s="100"/>
      <c r="P337" s="100"/>
      <c r="Q337" s="100"/>
      <c r="R337" s="100"/>
      <c r="S337" s="100">
        <f t="shared" si="235"/>
        <v>0</v>
      </c>
      <c r="T337" s="100">
        <f t="shared" si="236"/>
        <v>0</v>
      </c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  <c r="AI337" s="100"/>
    </row>
    <row r="338" spans="2:35" ht="15.75" hidden="1" customHeight="1" outlineLevel="1">
      <c r="B338" s="111"/>
      <c r="C338" s="111" t="s">
        <v>273</v>
      </c>
      <c r="D338" s="111"/>
      <c r="E338" s="110"/>
      <c r="F338" s="110"/>
      <c r="G338" s="110"/>
      <c r="H338" s="88"/>
      <c r="I338" s="80"/>
      <c r="J338" s="126"/>
      <c r="K338" s="126"/>
      <c r="L338" s="126"/>
      <c r="M338" s="80"/>
      <c r="N338" s="80"/>
      <c r="O338" s="80"/>
      <c r="P338" s="80">
        <f t="shared" ref="P338:Y338" si="239">O343</f>
        <v>0</v>
      </c>
      <c r="Q338" s="80">
        <f t="shared" si="239"/>
        <v>14000000</v>
      </c>
      <c r="R338" s="80"/>
      <c r="S338" s="80">
        <f t="shared" si="235"/>
        <v>14000000</v>
      </c>
      <c r="T338" s="80">
        <f t="shared" si="236"/>
        <v>14000000</v>
      </c>
      <c r="U338" s="80">
        <f>Q343</f>
        <v>15200000</v>
      </c>
      <c r="V338" s="80">
        <f t="shared" si="239"/>
        <v>15453637.571428571</v>
      </c>
      <c r="W338" s="80">
        <f t="shared" si="239"/>
        <v>15240417.357142856</v>
      </c>
      <c r="X338" s="80">
        <f t="shared" si="239"/>
        <v>14690597.357142856</v>
      </c>
      <c r="Y338" s="80">
        <f t="shared" si="239"/>
        <v>13398794.857142856</v>
      </c>
      <c r="Z338" s="80">
        <f t="shared" ref="Z338:AG338" si="240">Y343</f>
        <v>12106992.357142856</v>
      </c>
      <c r="AA338" s="80">
        <f t="shared" si="240"/>
        <v>10815189.857142856</v>
      </c>
      <c r="AB338" s="80">
        <f t="shared" si="240"/>
        <v>9523387.3571428563</v>
      </c>
      <c r="AC338" s="80">
        <f t="shared" si="240"/>
        <v>8231584.8571428563</v>
      </c>
      <c r="AD338" s="80">
        <f t="shared" si="240"/>
        <v>6939782.3571428563</v>
      </c>
      <c r="AE338" s="80">
        <f t="shared" si="240"/>
        <v>5647979.8571428563</v>
      </c>
      <c r="AF338" s="80">
        <f t="shared" si="240"/>
        <v>4356177.3571428563</v>
      </c>
      <c r="AG338" s="80">
        <f t="shared" si="240"/>
        <v>3064374.8571428563</v>
      </c>
      <c r="AH338" s="80"/>
      <c r="AI338" s="80"/>
    </row>
    <row r="339" spans="2:35" ht="15.75" hidden="1" customHeight="1" outlineLevel="1">
      <c r="B339" s="111"/>
      <c r="C339" s="164" t="s">
        <v>132</v>
      </c>
      <c r="D339" s="111"/>
      <c r="E339" s="110"/>
      <c r="F339" s="110"/>
      <c r="G339" s="110"/>
      <c r="H339" s="88"/>
      <c r="I339" s="78"/>
      <c r="J339" s="78"/>
      <c r="K339" s="78"/>
      <c r="L339" s="78"/>
      <c r="M339" s="78"/>
      <c r="N339" s="78"/>
      <c r="O339" s="78"/>
      <c r="P339" s="78">
        <f t="shared" ref="P339:Y339" si="241">P335</f>
        <v>14000000</v>
      </c>
      <c r="Q339" s="78">
        <f t="shared" si="241"/>
        <v>2200000</v>
      </c>
      <c r="R339" s="78"/>
      <c r="S339" s="78">
        <f t="shared" si="235"/>
        <v>2200000</v>
      </c>
      <c r="T339" s="78">
        <f t="shared" si="236"/>
        <v>2200000</v>
      </c>
      <c r="U339" s="78">
        <f t="shared" si="241"/>
        <v>1332209</v>
      </c>
      <c r="V339" s="78">
        <f t="shared" si="241"/>
        <v>960509</v>
      </c>
      <c r="W339" s="78">
        <f t="shared" si="241"/>
        <v>692517</v>
      </c>
      <c r="X339" s="78">
        <f t="shared" si="241"/>
        <v>0</v>
      </c>
      <c r="Y339" s="78">
        <f t="shared" si="241"/>
        <v>0</v>
      </c>
      <c r="Z339" s="78">
        <f t="shared" ref="Z339:AG339" si="242">Z335</f>
        <v>0</v>
      </c>
      <c r="AA339" s="78">
        <f t="shared" si="242"/>
        <v>0</v>
      </c>
      <c r="AB339" s="78">
        <f t="shared" si="242"/>
        <v>0</v>
      </c>
      <c r="AC339" s="78">
        <f t="shared" si="242"/>
        <v>0</v>
      </c>
      <c r="AD339" s="78">
        <f t="shared" si="242"/>
        <v>0</v>
      </c>
      <c r="AE339" s="78">
        <f t="shared" si="242"/>
        <v>0</v>
      </c>
      <c r="AF339" s="78">
        <f t="shared" si="242"/>
        <v>0</v>
      </c>
      <c r="AG339" s="78">
        <f t="shared" si="242"/>
        <v>0</v>
      </c>
      <c r="AH339" s="78"/>
      <c r="AI339" s="78"/>
    </row>
    <row r="340" spans="2:35" ht="15.75" hidden="1" customHeight="1" outlineLevel="2">
      <c r="B340" s="111"/>
      <c r="C340" s="164" t="s">
        <v>1398</v>
      </c>
      <c r="D340" s="111"/>
      <c r="E340" s="110"/>
      <c r="F340" s="110"/>
      <c r="G340" s="110"/>
      <c r="H340" s="88"/>
      <c r="I340" s="78"/>
      <c r="J340" s="79"/>
      <c r="K340" s="78"/>
      <c r="L340" s="78"/>
      <c r="M340" s="100"/>
      <c r="N340" s="100"/>
      <c r="O340" s="100"/>
      <c r="P340" s="100"/>
      <c r="Q340" s="100"/>
      <c r="R340" s="100"/>
      <c r="S340" s="100">
        <f t="shared" si="235"/>
        <v>0</v>
      </c>
      <c r="T340" s="100">
        <f t="shared" si="236"/>
        <v>0</v>
      </c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78"/>
      <c r="AI340" s="100"/>
    </row>
    <row r="341" spans="2:35" ht="15.75" hidden="1" customHeight="1" outlineLevel="1">
      <c r="B341" s="111"/>
      <c r="C341" s="164" t="s">
        <v>268</v>
      </c>
      <c r="D341" s="111"/>
      <c r="E341" s="110"/>
      <c r="F341" s="110"/>
      <c r="G341" s="110"/>
      <c r="H341" s="88"/>
      <c r="I341" s="80"/>
      <c r="J341" s="79"/>
      <c r="K341" s="80"/>
      <c r="L341" s="80"/>
      <c r="M341" s="80"/>
      <c r="N341" s="80"/>
      <c r="O341" s="80"/>
      <c r="P341" s="80">
        <f t="shared" ref="P341:Y341" si="243">-P372</f>
        <v>0</v>
      </c>
      <c r="Q341" s="80">
        <f t="shared" si="243"/>
        <v>-1000000</v>
      </c>
      <c r="R341" s="80"/>
      <c r="S341" s="80">
        <f t="shared" si="235"/>
        <v>-1000000</v>
      </c>
      <c r="T341" s="80">
        <f t="shared" si="236"/>
        <v>-1000000</v>
      </c>
      <c r="U341" s="80">
        <f t="shared" si="243"/>
        <v>-1078571.4285714286</v>
      </c>
      <c r="V341" s="80">
        <f t="shared" si="243"/>
        <v>-1173729.2142857143</v>
      </c>
      <c r="W341" s="80">
        <f t="shared" si="243"/>
        <v>-1242337</v>
      </c>
      <c r="X341" s="80">
        <f t="shared" si="243"/>
        <v>-1291802.5</v>
      </c>
      <c r="Y341" s="80">
        <f t="shared" si="243"/>
        <v>-1291802.5</v>
      </c>
      <c r="Z341" s="80">
        <f t="shared" ref="Z341:AG341" si="244">-Z372</f>
        <v>-1291802.5</v>
      </c>
      <c r="AA341" s="80">
        <f t="shared" si="244"/>
        <v>-1291802.5</v>
      </c>
      <c r="AB341" s="80">
        <f t="shared" si="244"/>
        <v>-1291802.5</v>
      </c>
      <c r="AC341" s="80">
        <f t="shared" si="244"/>
        <v>-1291802.5</v>
      </c>
      <c r="AD341" s="80">
        <f t="shared" si="244"/>
        <v>-1291802.5</v>
      </c>
      <c r="AE341" s="80">
        <f t="shared" si="244"/>
        <v>-1291802.5</v>
      </c>
      <c r="AF341" s="80">
        <f t="shared" si="244"/>
        <v>-1291802.5</v>
      </c>
      <c r="AG341" s="80">
        <f t="shared" si="244"/>
        <v>-1291802.5</v>
      </c>
      <c r="AH341" s="78"/>
      <c r="AI341" s="80"/>
    </row>
    <row r="342" spans="2:35" ht="15.75" hidden="1" customHeight="1" outlineLevel="1">
      <c r="B342" s="111"/>
      <c r="C342" s="164" t="s">
        <v>274</v>
      </c>
      <c r="D342" s="111"/>
      <c r="E342" s="110"/>
      <c r="F342" s="110"/>
      <c r="G342" s="110"/>
      <c r="H342" s="88"/>
      <c r="I342" s="79"/>
      <c r="J342" s="79"/>
      <c r="K342" s="79"/>
      <c r="L342" s="79"/>
      <c r="M342" s="100"/>
      <c r="N342" s="100"/>
      <c r="O342" s="100"/>
      <c r="P342" s="100"/>
      <c r="Q342" s="100"/>
      <c r="R342" s="100"/>
      <c r="S342" s="100">
        <f t="shared" si="235"/>
        <v>0</v>
      </c>
      <c r="T342" s="100">
        <f t="shared" si="236"/>
        <v>0</v>
      </c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78"/>
      <c r="AI342" s="100"/>
    </row>
    <row r="343" spans="2:35" ht="15.75" hidden="1" customHeight="1" outlineLevel="1">
      <c r="B343" s="111"/>
      <c r="C343" s="111" t="s">
        <v>275</v>
      </c>
      <c r="D343" s="111"/>
      <c r="E343" s="110"/>
      <c r="F343" s="110"/>
      <c r="G343" s="110"/>
      <c r="H343" s="88"/>
      <c r="I343" s="79"/>
      <c r="J343" s="80"/>
      <c r="K343" s="80"/>
      <c r="L343" s="80"/>
      <c r="M343" s="80"/>
      <c r="N343" s="80"/>
      <c r="O343" s="80"/>
      <c r="P343" s="80">
        <f t="shared" ref="P343:Y343" si="245">SUM(P338:P342)</f>
        <v>14000000</v>
      </c>
      <c r="Q343" s="80">
        <f t="shared" si="245"/>
        <v>15200000</v>
      </c>
      <c r="R343" s="80"/>
      <c r="S343" s="80">
        <f t="shared" si="235"/>
        <v>15200000</v>
      </c>
      <c r="T343" s="80">
        <f t="shared" si="236"/>
        <v>15200000</v>
      </c>
      <c r="U343" s="80">
        <f t="shared" si="245"/>
        <v>15453637.571428571</v>
      </c>
      <c r="V343" s="80">
        <f t="shared" si="245"/>
        <v>15240417.357142856</v>
      </c>
      <c r="W343" s="80">
        <f t="shared" si="245"/>
        <v>14690597.357142856</v>
      </c>
      <c r="X343" s="80">
        <f t="shared" si="245"/>
        <v>13398794.857142856</v>
      </c>
      <c r="Y343" s="80">
        <f t="shared" si="245"/>
        <v>12106992.357142856</v>
      </c>
      <c r="Z343" s="80">
        <f t="shared" ref="Z343:AG343" si="246">SUM(Z338:Z342)</f>
        <v>10815189.857142856</v>
      </c>
      <c r="AA343" s="80">
        <f t="shared" si="246"/>
        <v>9523387.3571428563</v>
      </c>
      <c r="AB343" s="80">
        <f t="shared" si="246"/>
        <v>8231584.8571428563</v>
      </c>
      <c r="AC343" s="80">
        <f t="shared" si="246"/>
        <v>6939782.3571428563</v>
      </c>
      <c r="AD343" s="80">
        <f t="shared" si="246"/>
        <v>5647979.8571428563</v>
      </c>
      <c r="AE343" s="80">
        <f t="shared" si="246"/>
        <v>4356177.3571428563</v>
      </c>
      <c r="AF343" s="80">
        <f t="shared" si="246"/>
        <v>3064374.8571428563</v>
      </c>
      <c r="AG343" s="80">
        <f t="shared" si="246"/>
        <v>1772572.3571428563</v>
      </c>
      <c r="AH343" s="80"/>
      <c r="AI343" s="80"/>
    </row>
    <row r="344" spans="2:35" ht="15.75" hidden="1" customHeight="1" outlineLevel="1">
      <c r="B344" s="111"/>
      <c r="C344" s="111"/>
      <c r="D344" s="111"/>
      <c r="E344" s="110"/>
      <c r="F344" s="131"/>
      <c r="G344" s="131"/>
      <c r="H344" s="88"/>
      <c r="I344" s="80"/>
      <c r="J344" s="80"/>
      <c r="K344" s="80"/>
      <c r="L344" s="80"/>
      <c r="M344" s="100"/>
      <c r="N344" s="100"/>
      <c r="O344" s="100"/>
      <c r="P344" s="100"/>
      <c r="Q344" s="100"/>
      <c r="R344" s="100"/>
      <c r="S344" s="100">
        <f t="shared" si="235"/>
        <v>0</v>
      </c>
      <c r="T344" s="100">
        <f t="shared" si="236"/>
        <v>0</v>
      </c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  <c r="AI344" s="100"/>
    </row>
    <row r="345" spans="2:35" ht="15.75" hidden="1" customHeight="1" outlineLevel="1">
      <c r="B345" s="111"/>
      <c r="C345" s="111" t="s">
        <v>276</v>
      </c>
      <c r="D345" s="111"/>
      <c r="E345" s="110"/>
      <c r="F345" s="131"/>
      <c r="G345" s="131"/>
      <c r="H345" s="88"/>
      <c r="I345" s="80"/>
      <c r="J345" s="79"/>
      <c r="K345" s="80"/>
      <c r="L345" s="80"/>
      <c r="M345" s="80"/>
      <c r="N345" s="80"/>
      <c r="O345" s="80"/>
      <c r="P345" s="80">
        <f t="shared" ref="P345:Y345" si="247">O348</f>
        <v>0</v>
      </c>
      <c r="Q345" s="80">
        <f t="shared" si="247"/>
        <v>0</v>
      </c>
      <c r="R345" s="80"/>
      <c r="S345" s="80">
        <f t="shared" si="235"/>
        <v>0</v>
      </c>
      <c r="T345" s="80">
        <f t="shared" si="236"/>
        <v>0</v>
      </c>
      <c r="U345" s="80">
        <f>Q348</f>
        <v>0</v>
      </c>
      <c r="V345" s="80">
        <f t="shared" si="247"/>
        <v>0</v>
      </c>
      <c r="W345" s="80">
        <f t="shared" si="247"/>
        <v>0</v>
      </c>
      <c r="X345" s="80">
        <f t="shared" si="247"/>
        <v>0</v>
      </c>
      <c r="Y345" s="80">
        <f t="shared" si="247"/>
        <v>0</v>
      </c>
      <c r="Z345" s="80">
        <f t="shared" ref="Z345:AG345" si="248">Y348</f>
        <v>0</v>
      </c>
      <c r="AA345" s="80">
        <f t="shared" si="248"/>
        <v>0</v>
      </c>
      <c r="AB345" s="80">
        <f t="shared" si="248"/>
        <v>0</v>
      </c>
      <c r="AC345" s="80">
        <f t="shared" si="248"/>
        <v>0</v>
      </c>
      <c r="AD345" s="80">
        <f t="shared" si="248"/>
        <v>0</v>
      </c>
      <c r="AE345" s="80">
        <f t="shared" si="248"/>
        <v>0</v>
      </c>
      <c r="AF345" s="80">
        <f t="shared" si="248"/>
        <v>0</v>
      </c>
      <c r="AG345" s="80">
        <f t="shared" si="248"/>
        <v>0</v>
      </c>
      <c r="AH345" s="80"/>
      <c r="AI345" s="80"/>
    </row>
    <row r="346" spans="2:35" ht="15.75" hidden="1" customHeight="1" outlineLevel="1">
      <c r="B346" s="111"/>
      <c r="C346" s="164" t="s">
        <v>277</v>
      </c>
      <c r="D346" s="111"/>
      <c r="E346" s="110"/>
      <c r="F346" s="131"/>
      <c r="G346" s="131"/>
      <c r="H346" s="88"/>
      <c r="I346" s="80"/>
      <c r="J346" s="79"/>
      <c r="K346" s="80"/>
      <c r="L346" s="80"/>
      <c r="M346" s="100"/>
      <c r="N346" s="100"/>
      <c r="O346" s="100"/>
      <c r="P346" s="100"/>
      <c r="Q346" s="100"/>
      <c r="R346" s="100"/>
      <c r="S346" s="100">
        <f t="shared" si="235"/>
        <v>0</v>
      </c>
      <c r="T346" s="100">
        <f t="shared" si="236"/>
        <v>0</v>
      </c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78"/>
      <c r="AI346" s="100"/>
    </row>
    <row r="347" spans="2:35" ht="15.75" hidden="1" customHeight="1" outlineLevel="1">
      <c r="B347" s="111"/>
      <c r="C347" s="164" t="s">
        <v>278</v>
      </c>
      <c r="D347" s="111"/>
      <c r="E347" s="110"/>
      <c r="F347" s="131"/>
      <c r="G347" s="131"/>
      <c r="H347" s="88"/>
      <c r="I347" s="80"/>
      <c r="J347" s="79"/>
      <c r="K347" s="80"/>
      <c r="L347" s="80"/>
      <c r="M347" s="80"/>
      <c r="N347" s="80"/>
      <c r="O347" s="80"/>
      <c r="P347" s="80">
        <f t="shared" ref="P347:Y347" si="249">O347</f>
        <v>0</v>
      </c>
      <c r="Q347" s="80">
        <f t="shared" si="249"/>
        <v>0</v>
      </c>
      <c r="R347" s="80"/>
      <c r="S347" s="80">
        <f t="shared" si="235"/>
        <v>0</v>
      </c>
      <c r="T347" s="80">
        <f t="shared" si="236"/>
        <v>0</v>
      </c>
      <c r="U347" s="80">
        <f>Q347</f>
        <v>0</v>
      </c>
      <c r="V347" s="80">
        <f t="shared" si="249"/>
        <v>0</v>
      </c>
      <c r="W347" s="80">
        <f t="shared" si="249"/>
        <v>0</v>
      </c>
      <c r="X347" s="80">
        <f t="shared" si="249"/>
        <v>0</v>
      </c>
      <c r="Y347" s="80">
        <f t="shared" si="249"/>
        <v>0</v>
      </c>
      <c r="Z347" s="80">
        <f t="shared" ref="Z347:AG347" si="250">Y347</f>
        <v>0</v>
      </c>
      <c r="AA347" s="80">
        <f t="shared" si="250"/>
        <v>0</v>
      </c>
      <c r="AB347" s="80">
        <f t="shared" si="250"/>
        <v>0</v>
      </c>
      <c r="AC347" s="80">
        <f t="shared" si="250"/>
        <v>0</v>
      </c>
      <c r="AD347" s="80">
        <f t="shared" si="250"/>
        <v>0</v>
      </c>
      <c r="AE347" s="80">
        <f t="shared" si="250"/>
        <v>0</v>
      </c>
      <c r="AF347" s="80">
        <f t="shared" si="250"/>
        <v>0</v>
      </c>
      <c r="AG347" s="80">
        <f t="shared" si="250"/>
        <v>0</v>
      </c>
      <c r="AH347" s="78"/>
      <c r="AI347" s="80"/>
    </row>
    <row r="348" spans="2:35" ht="15.75" hidden="1" customHeight="1" outlineLevel="1">
      <c r="B348" s="111"/>
      <c r="C348" s="111" t="s">
        <v>279</v>
      </c>
      <c r="D348" s="111"/>
      <c r="E348" s="110"/>
      <c r="F348" s="131"/>
      <c r="G348" s="131"/>
      <c r="H348" s="88"/>
      <c r="I348" s="80"/>
      <c r="J348" s="80"/>
      <c r="K348" s="80"/>
      <c r="L348" s="80"/>
      <c r="M348" s="80"/>
      <c r="N348" s="80"/>
      <c r="O348" s="80"/>
      <c r="P348" s="80">
        <f t="shared" ref="P348:Y348" si="251">SUM(P345:P347)</f>
        <v>0</v>
      </c>
      <c r="Q348" s="80">
        <f t="shared" si="251"/>
        <v>0</v>
      </c>
      <c r="R348" s="80"/>
      <c r="S348" s="80">
        <f t="shared" si="235"/>
        <v>0</v>
      </c>
      <c r="T348" s="80">
        <f t="shared" si="236"/>
        <v>0</v>
      </c>
      <c r="U348" s="80">
        <f t="shared" si="251"/>
        <v>0</v>
      </c>
      <c r="V348" s="80">
        <f t="shared" si="251"/>
        <v>0</v>
      </c>
      <c r="W348" s="80">
        <f t="shared" si="251"/>
        <v>0</v>
      </c>
      <c r="X348" s="80">
        <f t="shared" si="251"/>
        <v>0</v>
      </c>
      <c r="Y348" s="80">
        <f t="shared" si="251"/>
        <v>0</v>
      </c>
      <c r="Z348" s="80">
        <f t="shared" ref="Z348:AG348" si="252">SUM(Z345:Z347)</f>
        <v>0</v>
      </c>
      <c r="AA348" s="80">
        <f t="shared" si="252"/>
        <v>0</v>
      </c>
      <c r="AB348" s="80">
        <f t="shared" si="252"/>
        <v>0</v>
      </c>
      <c r="AC348" s="80">
        <f t="shared" si="252"/>
        <v>0</v>
      </c>
      <c r="AD348" s="80">
        <f t="shared" si="252"/>
        <v>0</v>
      </c>
      <c r="AE348" s="80">
        <f t="shared" si="252"/>
        <v>0</v>
      </c>
      <c r="AF348" s="80">
        <f t="shared" si="252"/>
        <v>0</v>
      </c>
      <c r="AG348" s="80">
        <f t="shared" si="252"/>
        <v>0</v>
      </c>
      <c r="AH348" s="80"/>
      <c r="AI348" s="80"/>
    </row>
    <row r="349" spans="2:35" ht="15.75" hidden="1" customHeight="1" outlineLevel="1">
      <c r="B349" s="111"/>
      <c r="C349" s="111"/>
      <c r="D349" s="111"/>
      <c r="E349" s="110"/>
      <c r="F349" s="131"/>
      <c r="G349" s="131"/>
      <c r="H349" s="88"/>
      <c r="I349" s="80"/>
      <c r="J349" s="80"/>
      <c r="K349" s="80"/>
      <c r="L349" s="80"/>
      <c r="M349" s="100"/>
      <c r="N349" s="100"/>
      <c r="O349" s="100"/>
      <c r="P349" s="100"/>
      <c r="Q349" s="100"/>
      <c r="R349" s="100"/>
      <c r="S349" s="100">
        <f t="shared" si="235"/>
        <v>0</v>
      </c>
      <c r="T349" s="100">
        <f t="shared" si="236"/>
        <v>0</v>
      </c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  <c r="AI349" s="100"/>
    </row>
    <row r="350" spans="2:35" ht="15.75" hidden="1" customHeight="1" outlineLevel="1">
      <c r="B350" s="111"/>
      <c r="C350" s="111"/>
      <c r="D350" s="111"/>
      <c r="E350" s="110"/>
      <c r="F350" s="131"/>
      <c r="G350" s="131"/>
      <c r="H350" s="88"/>
      <c r="I350" s="80"/>
      <c r="J350" s="80"/>
      <c r="K350" s="80"/>
      <c r="L350" s="80"/>
      <c r="M350" s="100"/>
      <c r="N350" s="100"/>
      <c r="O350" s="100"/>
      <c r="P350" s="100"/>
      <c r="Q350" s="100"/>
      <c r="R350" s="100"/>
      <c r="S350" s="100">
        <f t="shared" si="235"/>
        <v>0</v>
      </c>
      <c r="T350" s="100">
        <f t="shared" si="236"/>
        <v>0</v>
      </c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  <c r="AI350" s="100"/>
    </row>
    <row r="351" spans="2:35" ht="15.75" hidden="1" customHeight="1" outlineLevel="1">
      <c r="B351" s="111"/>
      <c r="C351" s="111"/>
      <c r="D351" s="111"/>
      <c r="E351" s="110"/>
      <c r="F351" s="131"/>
      <c r="G351" s="131"/>
      <c r="H351" s="88"/>
      <c r="I351" s="80"/>
      <c r="J351" s="80"/>
      <c r="K351" s="80"/>
      <c r="L351" s="80"/>
      <c r="M351" s="100"/>
      <c r="N351" s="100"/>
      <c r="O351" s="100"/>
      <c r="P351" s="100"/>
      <c r="Q351" s="100"/>
      <c r="R351" s="100"/>
      <c r="S351" s="100">
        <f t="shared" si="235"/>
        <v>0</v>
      </c>
      <c r="T351" s="100">
        <f t="shared" si="236"/>
        <v>0</v>
      </c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  <c r="AI351" s="100"/>
    </row>
    <row r="352" spans="2:35" ht="15.75" customHeight="1" collapsed="1">
      <c r="B352" s="111"/>
      <c r="C352" s="110"/>
      <c r="D352" s="110"/>
      <c r="E352" s="110"/>
      <c r="F352" s="80"/>
      <c r="G352" s="131"/>
      <c r="H352" s="88"/>
      <c r="I352" s="80"/>
      <c r="J352" s="80"/>
      <c r="K352" s="80"/>
      <c r="L352" s="80"/>
      <c r="M352" s="100"/>
      <c r="N352" s="100"/>
      <c r="O352" s="100"/>
      <c r="P352" s="100"/>
      <c r="Q352" s="100"/>
      <c r="R352" s="100"/>
      <c r="S352" s="100">
        <f t="shared" si="235"/>
        <v>0</v>
      </c>
      <c r="T352" s="100">
        <f t="shared" si="236"/>
        <v>0</v>
      </c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</row>
    <row r="353" spans="1:35" ht="15.75" hidden="1" customHeight="1" outlineLevel="1">
      <c r="A353" s="75"/>
      <c r="C353" s="482"/>
      <c r="D353" s="110"/>
      <c r="E353" s="110"/>
      <c r="F353" s="80"/>
      <c r="H353" s="80" t="s">
        <v>462</v>
      </c>
      <c r="I353" s="80"/>
      <c r="J353" s="80"/>
      <c r="K353" s="80"/>
      <c r="L353" s="80"/>
      <c r="M353" s="573"/>
      <c r="N353" s="573"/>
      <c r="O353" s="573"/>
      <c r="P353" s="573"/>
      <c r="Q353" s="573"/>
      <c r="R353" s="573"/>
      <c r="S353" s="573">
        <f t="shared" si="235"/>
        <v>0</v>
      </c>
      <c r="T353" s="573">
        <f t="shared" si="236"/>
        <v>0</v>
      </c>
      <c r="U353" s="573"/>
      <c r="V353" s="573"/>
      <c r="W353" s="573"/>
      <c r="X353" s="573"/>
      <c r="Y353" s="573"/>
      <c r="Z353" s="573"/>
      <c r="AA353" s="573"/>
      <c r="AB353" s="573"/>
      <c r="AC353" s="573"/>
      <c r="AD353" s="573"/>
      <c r="AE353" s="573"/>
      <c r="AF353" s="573"/>
      <c r="AG353" s="573"/>
      <c r="AH353" s="573"/>
      <c r="AI353" s="573"/>
    </row>
    <row r="354" spans="1:35" ht="15.75" hidden="1" customHeight="1" outlineLevel="2">
      <c r="A354" s="75"/>
      <c r="C354" s="482"/>
      <c r="D354" s="110"/>
      <c r="E354" s="128" t="s">
        <v>528</v>
      </c>
      <c r="F354" s="126">
        <v>0</v>
      </c>
      <c r="G354" s="80"/>
      <c r="H354" s="80">
        <v>0</v>
      </c>
      <c r="I354" s="80" t="s">
        <v>449</v>
      </c>
      <c r="J354" s="80"/>
      <c r="K354" s="80"/>
      <c r="L354" s="80"/>
      <c r="M354" s="80"/>
      <c r="N354" s="80"/>
      <c r="O354" s="80"/>
      <c r="P354" s="80"/>
      <c r="Q354" s="80"/>
      <c r="R354" s="80"/>
      <c r="S354" s="80">
        <f t="shared" si="235"/>
        <v>0</v>
      </c>
      <c r="T354" s="80">
        <f t="shared" si="236"/>
        <v>0</v>
      </c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78"/>
      <c r="AI354" s="80"/>
    </row>
    <row r="355" spans="1:35" ht="15.75" hidden="1" customHeight="1" outlineLevel="2">
      <c r="A355" s="75"/>
      <c r="C355" s="81"/>
      <c r="D355" s="81"/>
      <c r="E355" s="81"/>
      <c r="F355" s="131"/>
      <c r="G355" s="574"/>
      <c r="H355" s="575"/>
      <c r="I355" s="75"/>
      <c r="L355" s="75"/>
      <c r="M355" s="573"/>
      <c r="N355" s="573"/>
      <c r="O355" s="573"/>
      <c r="P355" s="573"/>
      <c r="Q355" s="573"/>
      <c r="R355" s="573"/>
      <c r="S355" s="573">
        <f t="shared" si="235"/>
        <v>0</v>
      </c>
      <c r="T355" s="573">
        <f t="shared" si="236"/>
        <v>0</v>
      </c>
      <c r="U355" s="573"/>
      <c r="V355" s="573"/>
      <c r="W355" s="573"/>
      <c r="X355" s="573"/>
      <c r="Y355" s="573"/>
      <c r="Z355" s="573"/>
      <c r="AA355" s="573"/>
      <c r="AB355" s="573"/>
      <c r="AC355" s="573"/>
      <c r="AD355" s="573"/>
      <c r="AE355" s="573"/>
      <c r="AF355" s="573"/>
      <c r="AG355" s="573"/>
      <c r="AH355" s="78"/>
      <c r="AI355" s="573"/>
    </row>
    <row r="356" spans="1:35" ht="15.75" hidden="1" customHeight="1" outlineLevel="2">
      <c r="B356" s="111"/>
      <c r="C356" s="111"/>
      <c r="D356" s="111"/>
      <c r="E356" s="111"/>
      <c r="I356" s="80"/>
      <c r="J356" s="102"/>
      <c r="K356" s="102"/>
      <c r="L356" s="121"/>
      <c r="M356" s="100"/>
      <c r="N356" s="100"/>
      <c r="O356" s="100"/>
      <c r="P356" s="100"/>
      <c r="Q356" s="100"/>
      <c r="R356" s="100"/>
      <c r="S356" s="100">
        <f t="shared" si="235"/>
        <v>0</v>
      </c>
      <c r="T356" s="100">
        <f t="shared" si="236"/>
        <v>0</v>
      </c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78"/>
      <c r="AI356" s="100"/>
    </row>
    <row r="357" spans="1:35" ht="15.75" hidden="1" customHeight="1" outlineLevel="2">
      <c r="B357" s="111"/>
      <c r="C357" s="164"/>
      <c r="D357" s="111"/>
      <c r="E357" s="537"/>
      <c r="F357" s="538" t="str">
        <f>C335</f>
        <v>Capex</v>
      </c>
      <c r="G357" s="126"/>
      <c r="H357" s="80" t="str">
        <f>H353</f>
        <v>Срок полезного использования</v>
      </c>
      <c r="I357" s="117"/>
      <c r="J357" s="80"/>
      <c r="K357" s="117"/>
      <c r="L357" s="118"/>
      <c r="M357" s="100"/>
      <c r="N357" s="100"/>
      <c r="O357" s="100"/>
      <c r="P357" s="100"/>
      <c r="Q357" s="100"/>
      <c r="R357" s="100"/>
      <c r="S357" s="100">
        <f t="shared" si="235"/>
        <v>0</v>
      </c>
      <c r="T357" s="100">
        <f t="shared" si="236"/>
        <v>0</v>
      </c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78"/>
      <c r="AI357" s="100"/>
    </row>
    <row r="358" spans="1:35" ht="15.75" hidden="1" customHeight="1" outlineLevel="2">
      <c r="B358" s="111"/>
      <c r="C358" s="164"/>
      <c r="D358" s="111"/>
      <c r="E358" s="539">
        <f>J330</f>
        <v>1</v>
      </c>
      <c r="F358" s="126">
        <f>P335</f>
        <v>14000000</v>
      </c>
      <c r="G358" s="126"/>
      <c r="H358" s="82">
        <v>14</v>
      </c>
      <c r="I358" s="117"/>
      <c r="J358" s="80"/>
      <c r="K358" s="80"/>
      <c r="L358" s="80"/>
      <c r="M358" s="80"/>
      <c r="N358" s="80"/>
      <c r="O358" s="80"/>
      <c r="P358" s="80"/>
      <c r="Q358" s="80">
        <f>$F$358/$H$358</f>
        <v>1000000</v>
      </c>
      <c r="R358" s="80"/>
      <c r="S358" s="80">
        <f t="shared" si="235"/>
        <v>1000000</v>
      </c>
      <c r="T358" s="80">
        <f t="shared" si="236"/>
        <v>1000000</v>
      </c>
      <c r="U358" s="80">
        <f t="shared" ref="U358:AG358" si="253">$F$358/$H$358</f>
        <v>1000000</v>
      </c>
      <c r="V358" s="80">
        <f t="shared" si="253"/>
        <v>1000000</v>
      </c>
      <c r="W358" s="80">
        <f t="shared" si="253"/>
        <v>1000000</v>
      </c>
      <c r="X358" s="80">
        <f t="shared" si="253"/>
        <v>1000000</v>
      </c>
      <c r="Y358" s="80">
        <f t="shared" si="253"/>
        <v>1000000</v>
      </c>
      <c r="Z358" s="80">
        <f t="shared" si="253"/>
        <v>1000000</v>
      </c>
      <c r="AA358" s="80">
        <f t="shared" si="253"/>
        <v>1000000</v>
      </c>
      <c r="AB358" s="80">
        <f t="shared" si="253"/>
        <v>1000000</v>
      </c>
      <c r="AC358" s="80">
        <f t="shared" si="253"/>
        <v>1000000</v>
      </c>
      <c r="AD358" s="80">
        <f t="shared" si="253"/>
        <v>1000000</v>
      </c>
      <c r="AE358" s="80">
        <f t="shared" si="253"/>
        <v>1000000</v>
      </c>
      <c r="AF358" s="80">
        <f t="shared" si="253"/>
        <v>1000000</v>
      </c>
      <c r="AG358" s="80">
        <f t="shared" si="253"/>
        <v>1000000</v>
      </c>
      <c r="AH358" s="78"/>
      <c r="AI358" s="80"/>
    </row>
    <row r="359" spans="1:35" ht="15.75" hidden="1" customHeight="1" outlineLevel="2">
      <c r="B359" s="111"/>
      <c r="C359" s="111"/>
      <c r="D359" s="111"/>
      <c r="E359" s="539">
        <f>K330</f>
        <v>2</v>
      </c>
      <c r="F359" s="126">
        <f>Q335</f>
        <v>2200000</v>
      </c>
      <c r="G359" s="126"/>
      <c r="H359" s="82">
        <v>14</v>
      </c>
      <c r="I359" s="117"/>
      <c r="J359" s="80"/>
      <c r="K359" s="80"/>
      <c r="L359" s="80"/>
      <c r="M359" s="80"/>
      <c r="N359" s="80"/>
      <c r="O359" s="80"/>
      <c r="P359" s="80"/>
      <c r="Q359" s="80"/>
      <c r="R359" s="80"/>
      <c r="S359" s="80">
        <f t="shared" si="235"/>
        <v>0</v>
      </c>
      <c r="T359" s="80">
        <f t="shared" si="236"/>
        <v>0</v>
      </c>
      <c r="U359" s="80">
        <f>$F$359/$H$359/2</f>
        <v>78571.428571428565</v>
      </c>
      <c r="V359" s="80">
        <f t="shared" ref="V359:AG359" si="254">$F$359/$H$359/2</f>
        <v>78571.428571428565</v>
      </c>
      <c r="W359" s="80">
        <f t="shared" si="254"/>
        <v>78571.428571428565</v>
      </c>
      <c r="X359" s="80">
        <f t="shared" si="254"/>
        <v>78571.428571428565</v>
      </c>
      <c r="Y359" s="80">
        <f t="shared" si="254"/>
        <v>78571.428571428565</v>
      </c>
      <c r="Z359" s="80">
        <f t="shared" si="254"/>
        <v>78571.428571428565</v>
      </c>
      <c r="AA359" s="80">
        <f t="shared" si="254"/>
        <v>78571.428571428565</v>
      </c>
      <c r="AB359" s="80">
        <f t="shared" si="254"/>
        <v>78571.428571428565</v>
      </c>
      <c r="AC359" s="80">
        <f t="shared" si="254"/>
        <v>78571.428571428565</v>
      </c>
      <c r="AD359" s="80">
        <f t="shared" si="254"/>
        <v>78571.428571428565</v>
      </c>
      <c r="AE359" s="80">
        <f t="shared" si="254"/>
        <v>78571.428571428565</v>
      </c>
      <c r="AF359" s="80">
        <f t="shared" si="254"/>
        <v>78571.428571428565</v>
      </c>
      <c r="AG359" s="80">
        <f t="shared" si="254"/>
        <v>78571.428571428565</v>
      </c>
      <c r="AH359" s="78"/>
      <c r="AI359" s="80"/>
    </row>
    <row r="360" spans="1:35" ht="15.75" hidden="1" customHeight="1" outlineLevel="2">
      <c r="B360" s="111"/>
      <c r="C360" s="111"/>
      <c r="D360" s="540"/>
      <c r="E360" s="539">
        <f t="shared" ref="E360:E366" si="255">E359+1</f>
        <v>3</v>
      </c>
      <c r="F360" s="126">
        <f>U335</f>
        <v>1332209</v>
      </c>
      <c r="G360" s="126"/>
      <c r="H360" s="82">
        <v>14</v>
      </c>
      <c r="I360" s="117"/>
      <c r="J360" s="80"/>
      <c r="K360" s="80"/>
      <c r="L360" s="80"/>
      <c r="M360" s="80"/>
      <c r="N360" s="80"/>
      <c r="O360" s="80"/>
      <c r="P360" s="80"/>
      <c r="Q360" s="80"/>
      <c r="R360" s="80"/>
      <c r="S360" s="80">
        <f t="shared" si="235"/>
        <v>0</v>
      </c>
      <c r="T360" s="80">
        <f t="shared" si="236"/>
        <v>0</v>
      </c>
      <c r="U360" s="80"/>
      <c r="V360" s="80">
        <f>$F$360/$H$360</f>
        <v>95157.78571428571</v>
      </c>
      <c r="W360" s="80">
        <f t="shared" ref="W360:AG360" si="256">$F$360/$H$360</f>
        <v>95157.78571428571</v>
      </c>
      <c r="X360" s="80">
        <f t="shared" si="256"/>
        <v>95157.78571428571</v>
      </c>
      <c r="Y360" s="80">
        <f t="shared" si="256"/>
        <v>95157.78571428571</v>
      </c>
      <c r="Z360" s="80">
        <f t="shared" si="256"/>
        <v>95157.78571428571</v>
      </c>
      <c r="AA360" s="80">
        <f t="shared" si="256"/>
        <v>95157.78571428571</v>
      </c>
      <c r="AB360" s="80">
        <f t="shared" si="256"/>
        <v>95157.78571428571</v>
      </c>
      <c r="AC360" s="80">
        <f t="shared" si="256"/>
        <v>95157.78571428571</v>
      </c>
      <c r="AD360" s="80">
        <f t="shared" si="256"/>
        <v>95157.78571428571</v>
      </c>
      <c r="AE360" s="80">
        <f t="shared" si="256"/>
        <v>95157.78571428571</v>
      </c>
      <c r="AF360" s="80">
        <f t="shared" si="256"/>
        <v>95157.78571428571</v>
      </c>
      <c r="AG360" s="80">
        <f t="shared" si="256"/>
        <v>95157.78571428571</v>
      </c>
      <c r="AH360" s="78"/>
      <c r="AI360" s="80"/>
    </row>
    <row r="361" spans="1:35" ht="15.75" hidden="1" customHeight="1" outlineLevel="2">
      <c r="B361" s="111"/>
      <c r="C361" s="111"/>
      <c r="D361" s="541"/>
      <c r="E361" s="539">
        <f t="shared" si="255"/>
        <v>4</v>
      </c>
      <c r="F361" s="126">
        <f>V335</f>
        <v>960509</v>
      </c>
      <c r="G361" s="126"/>
      <c r="H361" s="82">
        <v>14</v>
      </c>
      <c r="I361" s="117"/>
      <c r="J361" s="80"/>
      <c r="K361" s="80"/>
      <c r="L361" s="80"/>
      <c r="M361" s="80"/>
      <c r="N361" s="80"/>
      <c r="O361" s="80"/>
      <c r="P361" s="80"/>
      <c r="Q361" s="80"/>
      <c r="R361" s="80"/>
      <c r="S361" s="80">
        <f t="shared" si="235"/>
        <v>0</v>
      </c>
      <c r="T361" s="80">
        <f t="shared" si="236"/>
        <v>0</v>
      </c>
      <c r="U361" s="80"/>
      <c r="V361" s="80"/>
      <c r="W361" s="80">
        <f>$F$361/$H$361</f>
        <v>68607.78571428571</v>
      </c>
      <c r="X361" s="80">
        <f t="shared" ref="X361:AG361" si="257">$F$361/$H$361</f>
        <v>68607.78571428571</v>
      </c>
      <c r="Y361" s="80">
        <f t="shared" si="257"/>
        <v>68607.78571428571</v>
      </c>
      <c r="Z361" s="80">
        <f t="shared" si="257"/>
        <v>68607.78571428571</v>
      </c>
      <c r="AA361" s="80">
        <f t="shared" si="257"/>
        <v>68607.78571428571</v>
      </c>
      <c r="AB361" s="80">
        <f t="shared" si="257"/>
        <v>68607.78571428571</v>
      </c>
      <c r="AC361" s="80">
        <f t="shared" si="257"/>
        <v>68607.78571428571</v>
      </c>
      <c r="AD361" s="80">
        <f t="shared" si="257"/>
        <v>68607.78571428571</v>
      </c>
      <c r="AE361" s="80">
        <f t="shared" si="257"/>
        <v>68607.78571428571</v>
      </c>
      <c r="AF361" s="80">
        <f t="shared" si="257"/>
        <v>68607.78571428571</v>
      </c>
      <c r="AG361" s="80">
        <f t="shared" si="257"/>
        <v>68607.78571428571</v>
      </c>
      <c r="AH361" s="78"/>
      <c r="AI361" s="80"/>
    </row>
    <row r="362" spans="1:35" ht="15.75" hidden="1" customHeight="1" outlineLevel="2">
      <c r="B362" s="111"/>
      <c r="C362" s="111"/>
      <c r="D362" s="111"/>
      <c r="E362" s="539">
        <f t="shared" si="255"/>
        <v>5</v>
      </c>
      <c r="F362" s="126">
        <f>W335</f>
        <v>692517</v>
      </c>
      <c r="G362" s="126"/>
      <c r="H362" s="82">
        <v>14</v>
      </c>
      <c r="I362" s="117"/>
      <c r="J362" s="80"/>
      <c r="K362" s="80"/>
      <c r="L362" s="80"/>
      <c r="M362" s="80"/>
      <c r="N362" s="80"/>
      <c r="O362" s="80"/>
      <c r="P362" s="80"/>
      <c r="Q362" s="80"/>
      <c r="R362" s="80"/>
      <c r="S362" s="80">
        <f t="shared" si="235"/>
        <v>0</v>
      </c>
      <c r="T362" s="80">
        <f t="shared" si="236"/>
        <v>0</v>
      </c>
      <c r="U362" s="80"/>
      <c r="V362" s="80"/>
      <c r="W362" s="80"/>
      <c r="X362" s="80">
        <f>$F$362/$H$362</f>
        <v>49465.5</v>
      </c>
      <c r="Y362" s="80">
        <f t="shared" ref="Y362:AG362" si="258">$F$362/$H$362</f>
        <v>49465.5</v>
      </c>
      <c r="Z362" s="80">
        <f t="shared" si="258"/>
        <v>49465.5</v>
      </c>
      <c r="AA362" s="80">
        <f t="shared" si="258"/>
        <v>49465.5</v>
      </c>
      <c r="AB362" s="80">
        <f t="shared" si="258"/>
        <v>49465.5</v>
      </c>
      <c r="AC362" s="80">
        <f t="shared" si="258"/>
        <v>49465.5</v>
      </c>
      <c r="AD362" s="80">
        <f t="shared" si="258"/>
        <v>49465.5</v>
      </c>
      <c r="AE362" s="80">
        <f t="shared" si="258"/>
        <v>49465.5</v>
      </c>
      <c r="AF362" s="80">
        <f t="shared" si="258"/>
        <v>49465.5</v>
      </c>
      <c r="AG362" s="80">
        <f t="shared" si="258"/>
        <v>49465.5</v>
      </c>
      <c r="AH362" s="78"/>
      <c r="AI362" s="80"/>
    </row>
    <row r="363" spans="1:35" ht="15.75" hidden="1" customHeight="1" outlineLevel="2">
      <c r="B363" s="111"/>
      <c r="C363" s="111"/>
      <c r="D363" s="111"/>
      <c r="E363" s="539">
        <f t="shared" si="255"/>
        <v>6</v>
      </c>
      <c r="F363" s="126">
        <f>X335</f>
        <v>0</v>
      </c>
      <c r="G363" s="126"/>
      <c r="H363" s="82">
        <v>14</v>
      </c>
      <c r="I363" s="117"/>
      <c r="J363" s="80"/>
      <c r="K363" s="80"/>
      <c r="L363" s="80"/>
      <c r="M363" s="80"/>
      <c r="N363" s="80"/>
      <c r="O363" s="80"/>
      <c r="P363" s="80"/>
      <c r="Q363" s="80"/>
      <c r="R363" s="80"/>
      <c r="S363" s="80">
        <f t="shared" si="235"/>
        <v>0</v>
      </c>
      <c r="T363" s="80">
        <f t="shared" si="236"/>
        <v>0</v>
      </c>
      <c r="U363" s="80"/>
      <c r="V363" s="80"/>
      <c r="W363" s="80"/>
      <c r="X363" s="80"/>
      <c r="Y363" s="80">
        <f t="shared" ref="Y363:AG363" si="259">$F$363/$H$363</f>
        <v>0</v>
      </c>
      <c r="Z363" s="80">
        <f t="shared" si="259"/>
        <v>0</v>
      </c>
      <c r="AA363" s="80">
        <f t="shared" si="259"/>
        <v>0</v>
      </c>
      <c r="AB363" s="80">
        <f t="shared" si="259"/>
        <v>0</v>
      </c>
      <c r="AC363" s="80">
        <f t="shared" si="259"/>
        <v>0</v>
      </c>
      <c r="AD363" s="80">
        <f t="shared" si="259"/>
        <v>0</v>
      </c>
      <c r="AE363" s="80">
        <f t="shared" si="259"/>
        <v>0</v>
      </c>
      <c r="AF363" s="80">
        <f t="shared" si="259"/>
        <v>0</v>
      </c>
      <c r="AG363" s="80">
        <f t="shared" si="259"/>
        <v>0</v>
      </c>
      <c r="AH363" s="78"/>
      <c r="AI363" s="80"/>
    </row>
    <row r="364" spans="1:35" ht="15.75" hidden="1" customHeight="1" outlineLevel="2">
      <c r="B364" s="111"/>
      <c r="C364" s="102"/>
      <c r="D364" s="102"/>
      <c r="E364" s="539">
        <f t="shared" si="255"/>
        <v>7</v>
      </c>
      <c r="F364" s="126">
        <f>Y335</f>
        <v>0</v>
      </c>
      <c r="H364" s="82">
        <v>14</v>
      </c>
      <c r="I364" s="75"/>
      <c r="L364" s="75"/>
      <c r="M364" s="100"/>
      <c r="N364" s="100"/>
      <c r="O364" s="100"/>
      <c r="P364" s="80"/>
      <c r="Q364" s="80"/>
      <c r="R364" s="80"/>
      <c r="S364" s="80">
        <f t="shared" si="235"/>
        <v>0</v>
      </c>
      <c r="T364" s="80">
        <f t="shared" si="236"/>
        <v>0</v>
      </c>
      <c r="U364" s="80"/>
      <c r="V364" s="80"/>
      <c r="W364" s="80"/>
      <c r="X364" s="80"/>
      <c r="Y364" s="80"/>
      <c r="Z364" s="80">
        <f t="shared" ref="Z364:AG364" si="260">$F$364/$H$364</f>
        <v>0</v>
      </c>
      <c r="AA364" s="80">
        <f t="shared" si="260"/>
        <v>0</v>
      </c>
      <c r="AB364" s="80">
        <f t="shared" si="260"/>
        <v>0</v>
      </c>
      <c r="AC364" s="80">
        <f t="shared" si="260"/>
        <v>0</v>
      </c>
      <c r="AD364" s="80">
        <f t="shared" si="260"/>
        <v>0</v>
      </c>
      <c r="AE364" s="80">
        <f t="shared" si="260"/>
        <v>0</v>
      </c>
      <c r="AF364" s="80">
        <f t="shared" si="260"/>
        <v>0</v>
      </c>
      <c r="AG364" s="80">
        <f t="shared" si="260"/>
        <v>0</v>
      </c>
      <c r="AH364" s="78"/>
      <c r="AI364" s="80"/>
    </row>
    <row r="365" spans="1:35" ht="15.75" hidden="1" customHeight="1" outlineLevel="2">
      <c r="B365" s="111"/>
      <c r="C365" s="102"/>
      <c r="D365" s="102"/>
      <c r="E365" s="539">
        <f t="shared" si="255"/>
        <v>8</v>
      </c>
      <c r="F365" s="126">
        <f>Z335</f>
        <v>0</v>
      </c>
      <c r="H365" s="82">
        <v>14</v>
      </c>
      <c r="I365" s="75"/>
      <c r="L365" s="75"/>
      <c r="M365" s="100"/>
      <c r="N365" s="100"/>
      <c r="O365" s="100"/>
      <c r="P365" s="100"/>
      <c r="Q365" s="80"/>
      <c r="R365" s="80"/>
      <c r="S365" s="80">
        <f t="shared" si="235"/>
        <v>0</v>
      </c>
      <c r="T365" s="80">
        <f t="shared" si="236"/>
        <v>0</v>
      </c>
      <c r="U365" s="80"/>
      <c r="V365" s="80"/>
      <c r="W365" s="80"/>
      <c r="X365" s="80"/>
      <c r="Y365" s="80"/>
      <c r="Z365" s="80"/>
      <c r="AA365" s="80">
        <f t="shared" ref="AA365:AG365" si="261">$F$365/$H$365</f>
        <v>0</v>
      </c>
      <c r="AB365" s="80">
        <f t="shared" si="261"/>
        <v>0</v>
      </c>
      <c r="AC365" s="80">
        <f t="shared" si="261"/>
        <v>0</v>
      </c>
      <c r="AD365" s="80">
        <f t="shared" si="261"/>
        <v>0</v>
      </c>
      <c r="AE365" s="80">
        <f t="shared" si="261"/>
        <v>0</v>
      </c>
      <c r="AF365" s="80">
        <f t="shared" si="261"/>
        <v>0</v>
      </c>
      <c r="AG365" s="80">
        <f t="shared" si="261"/>
        <v>0</v>
      </c>
      <c r="AH365" s="78"/>
      <c r="AI365" s="80"/>
    </row>
    <row r="366" spans="1:35" ht="15.75" hidden="1" customHeight="1" outlineLevel="2">
      <c r="B366" s="111"/>
      <c r="C366" s="102"/>
      <c r="D366" s="102"/>
      <c r="E366" s="539">
        <f t="shared" si="255"/>
        <v>9</v>
      </c>
      <c r="F366" s="97">
        <f>AA335</f>
        <v>0</v>
      </c>
      <c r="G366" s="126"/>
      <c r="H366" s="82">
        <v>14</v>
      </c>
      <c r="I366" s="80"/>
      <c r="J366" s="80"/>
      <c r="K366" s="80"/>
      <c r="L366" s="80"/>
      <c r="M366" s="100"/>
      <c r="N366" s="100"/>
      <c r="O366" s="100"/>
      <c r="P366" s="100"/>
      <c r="Q366" s="100"/>
      <c r="R366" s="100"/>
      <c r="S366" s="100">
        <f t="shared" si="235"/>
        <v>0</v>
      </c>
      <c r="T366" s="100">
        <f t="shared" si="236"/>
        <v>0</v>
      </c>
      <c r="U366" s="80"/>
      <c r="V366" s="80"/>
      <c r="W366" s="80"/>
      <c r="X366" s="80"/>
      <c r="Y366" s="80"/>
      <c r="Z366" s="80"/>
      <c r="AA366" s="80"/>
      <c r="AB366" s="80">
        <f t="shared" ref="AB366:AG366" si="262">$F$366/$H$366</f>
        <v>0</v>
      </c>
      <c r="AC366" s="80">
        <f t="shared" si="262"/>
        <v>0</v>
      </c>
      <c r="AD366" s="80">
        <f t="shared" si="262"/>
        <v>0</v>
      </c>
      <c r="AE366" s="80">
        <f t="shared" si="262"/>
        <v>0</v>
      </c>
      <c r="AF366" s="80">
        <f t="shared" si="262"/>
        <v>0</v>
      </c>
      <c r="AG366" s="80">
        <f t="shared" si="262"/>
        <v>0</v>
      </c>
      <c r="AH366" s="78"/>
      <c r="AI366" s="80"/>
    </row>
    <row r="367" spans="1:35" ht="15.75" hidden="1" customHeight="1" outlineLevel="2">
      <c r="B367" s="111"/>
      <c r="C367" s="102"/>
      <c r="D367" s="102"/>
      <c r="E367" s="539"/>
      <c r="F367" s="126">
        <f>AB335</f>
        <v>0</v>
      </c>
      <c r="G367" s="126"/>
      <c r="H367" s="82">
        <v>14</v>
      </c>
      <c r="I367" s="80"/>
      <c r="J367" s="80"/>
      <c r="K367" s="80"/>
      <c r="L367" s="80"/>
      <c r="M367" s="100"/>
      <c r="N367" s="100"/>
      <c r="O367" s="100"/>
      <c r="P367" s="100"/>
      <c r="Q367" s="100"/>
      <c r="R367" s="100"/>
      <c r="S367" s="100">
        <f t="shared" si="235"/>
        <v>0</v>
      </c>
      <c r="T367" s="100">
        <f t="shared" si="236"/>
        <v>0</v>
      </c>
      <c r="U367" s="100"/>
      <c r="V367" s="80"/>
      <c r="W367" s="80"/>
      <c r="X367" s="80"/>
      <c r="Y367" s="80"/>
      <c r="Z367" s="80"/>
      <c r="AA367" s="80"/>
      <c r="AB367" s="80"/>
      <c r="AC367" s="80">
        <f>$F$367/$H$367</f>
        <v>0</v>
      </c>
      <c r="AD367" s="80">
        <f>$F$367/$H$367</f>
        <v>0</v>
      </c>
      <c r="AE367" s="80">
        <f>$F$367/$H$367</f>
        <v>0</v>
      </c>
      <c r="AF367" s="80">
        <f>$F$367/$H$367</f>
        <v>0</v>
      </c>
      <c r="AG367" s="80">
        <f>$F$367/$H$367</f>
        <v>0</v>
      </c>
      <c r="AH367" s="78"/>
      <c r="AI367" s="80"/>
    </row>
    <row r="368" spans="1:35" ht="15.75" hidden="1" customHeight="1" outlineLevel="1">
      <c r="B368" s="111"/>
      <c r="C368" s="102"/>
      <c r="D368" s="102"/>
      <c r="E368" s="539"/>
      <c r="F368" s="126">
        <f>AC335</f>
        <v>0</v>
      </c>
      <c r="G368" s="126"/>
      <c r="H368" s="82">
        <v>14</v>
      </c>
      <c r="I368" s="80"/>
      <c r="J368" s="80"/>
      <c r="K368" s="80"/>
      <c r="L368" s="80"/>
      <c r="M368" s="100"/>
      <c r="N368" s="100"/>
      <c r="O368" s="100"/>
      <c r="P368" s="100"/>
      <c r="Q368" s="100"/>
      <c r="R368" s="100"/>
      <c r="S368" s="100">
        <f t="shared" si="235"/>
        <v>0</v>
      </c>
      <c r="T368" s="100">
        <f t="shared" si="236"/>
        <v>0</v>
      </c>
      <c r="U368" s="100"/>
      <c r="V368" s="100"/>
      <c r="W368" s="80"/>
      <c r="X368" s="80"/>
      <c r="Y368" s="80"/>
      <c r="Z368" s="80"/>
      <c r="AA368" s="80"/>
      <c r="AB368" s="80"/>
      <c r="AC368" s="80"/>
      <c r="AD368" s="80">
        <f>$F$368/$H$368</f>
        <v>0</v>
      </c>
      <c r="AE368" s="80">
        <f>$F$368/$H$368</f>
        <v>0</v>
      </c>
      <c r="AF368" s="80">
        <f>$F$368/$H$368</f>
        <v>0</v>
      </c>
      <c r="AG368" s="80">
        <f>$F$368/$H$368</f>
        <v>0</v>
      </c>
      <c r="AH368" s="78"/>
      <c r="AI368" s="80"/>
    </row>
    <row r="369" spans="2:35" ht="15.75" hidden="1" customHeight="1" outlineLevel="1">
      <c r="B369" s="111"/>
      <c r="C369" s="102"/>
      <c r="D369" s="102"/>
      <c r="E369" s="539"/>
      <c r="F369" s="126">
        <f>AD335</f>
        <v>0</v>
      </c>
      <c r="G369" s="126"/>
      <c r="H369" s="82">
        <v>14</v>
      </c>
      <c r="I369" s="80"/>
      <c r="J369" s="80"/>
      <c r="K369" s="80"/>
      <c r="L369" s="80"/>
      <c r="M369" s="100"/>
      <c r="N369" s="100"/>
      <c r="O369" s="100"/>
      <c r="P369" s="100"/>
      <c r="Q369" s="100"/>
      <c r="R369" s="100"/>
      <c r="S369" s="100">
        <f t="shared" si="235"/>
        <v>0</v>
      </c>
      <c r="T369" s="100">
        <f t="shared" si="236"/>
        <v>0</v>
      </c>
      <c r="U369" s="100"/>
      <c r="V369" s="100"/>
      <c r="W369" s="80"/>
      <c r="X369" s="80"/>
      <c r="Y369" s="80"/>
      <c r="Z369" s="80"/>
      <c r="AA369" s="80"/>
      <c r="AB369" s="80"/>
      <c r="AC369" s="80"/>
      <c r="AD369" s="80"/>
      <c r="AE369" s="80">
        <f>$F$369/$H$369</f>
        <v>0</v>
      </c>
      <c r="AF369" s="80">
        <f>$F$369/$H$369</f>
        <v>0</v>
      </c>
      <c r="AG369" s="80">
        <f>$F$369/$H$369</f>
        <v>0</v>
      </c>
      <c r="AH369" s="78"/>
      <c r="AI369" s="80"/>
    </row>
    <row r="370" spans="2:35" ht="15.75" hidden="1" customHeight="1" outlineLevel="1">
      <c r="B370" s="111"/>
      <c r="C370" s="102"/>
      <c r="D370" s="102"/>
      <c r="E370" s="539"/>
      <c r="F370" s="126">
        <f>AE335</f>
        <v>0</v>
      </c>
      <c r="G370" s="126"/>
      <c r="H370" s="82">
        <v>14</v>
      </c>
      <c r="I370" s="80"/>
      <c r="J370" s="80"/>
      <c r="K370" s="80"/>
      <c r="L370" s="80"/>
      <c r="M370" s="100"/>
      <c r="N370" s="100"/>
      <c r="O370" s="100"/>
      <c r="P370" s="100"/>
      <c r="Q370" s="100"/>
      <c r="R370" s="100"/>
      <c r="S370" s="100">
        <f t="shared" si="235"/>
        <v>0</v>
      </c>
      <c r="T370" s="100">
        <f t="shared" si="236"/>
        <v>0</v>
      </c>
      <c r="U370" s="100"/>
      <c r="V370" s="100"/>
      <c r="W370" s="80"/>
      <c r="X370" s="80"/>
      <c r="Y370" s="80"/>
      <c r="Z370" s="80"/>
      <c r="AA370" s="80"/>
      <c r="AB370" s="80"/>
      <c r="AC370" s="80"/>
      <c r="AD370" s="80"/>
      <c r="AE370" s="80"/>
      <c r="AF370" s="80">
        <f>$F$370/$H$370/2</f>
        <v>0</v>
      </c>
      <c r="AG370" s="80">
        <f>$F$370/$H$370/2</f>
        <v>0</v>
      </c>
      <c r="AH370" s="78"/>
      <c r="AI370" s="80"/>
    </row>
    <row r="371" spans="2:35" ht="15.75" hidden="1" customHeight="1" outlineLevel="1">
      <c r="B371" s="111"/>
      <c r="C371" s="102"/>
      <c r="D371" s="102"/>
      <c r="E371" s="539"/>
      <c r="F371" s="126">
        <f>AF335</f>
        <v>0</v>
      </c>
      <c r="G371" s="126"/>
      <c r="H371" s="82">
        <v>14</v>
      </c>
      <c r="I371" s="80"/>
      <c r="J371" s="80"/>
      <c r="K371" s="80"/>
      <c r="L371" s="80"/>
      <c r="M371" s="100"/>
      <c r="N371" s="100"/>
      <c r="O371" s="100"/>
      <c r="P371" s="100"/>
      <c r="Q371" s="100"/>
      <c r="R371" s="100"/>
      <c r="S371" s="100">
        <f t="shared" si="235"/>
        <v>0</v>
      </c>
      <c r="T371" s="100">
        <f t="shared" si="236"/>
        <v>0</v>
      </c>
      <c r="U371" s="100"/>
      <c r="V371" s="10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>
        <f>$F$371/$H$371/2</f>
        <v>0</v>
      </c>
      <c r="AH371" s="78"/>
      <c r="AI371" s="80"/>
    </row>
    <row r="372" spans="2:35" ht="15.75" hidden="1" customHeight="1" outlineLevel="1">
      <c r="B372" s="111"/>
      <c r="C372" s="111" t="s">
        <v>1399</v>
      </c>
      <c r="D372" s="111"/>
      <c r="E372" s="111"/>
      <c r="F372" s="126"/>
      <c r="G372" s="111"/>
      <c r="H372" s="88"/>
      <c r="I372" s="79"/>
      <c r="J372" s="79"/>
      <c r="K372" s="79"/>
      <c r="L372" s="79"/>
      <c r="M372" s="79"/>
      <c r="N372" s="79"/>
      <c r="O372" s="79"/>
      <c r="P372" s="79">
        <f t="shared" ref="P372:X372" si="263">SUM(P358:P371)</f>
        <v>0</v>
      </c>
      <c r="Q372" s="79">
        <f>SUM(Q358:Q371)</f>
        <v>1000000</v>
      </c>
      <c r="R372" s="79"/>
      <c r="S372" s="79">
        <f t="shared" si="235"/>
        <v>1000000</v>
      </c>
      <c r="T372" s="79">
        <f t="shared" si="236"/>
        <v>1000000</v>
      </c>
      <c r="U372" s="79">
        <f t="shared" si="263"/>
        <v>1078571.4285714286</v>
      </c>
      <c r="V372" s="79">
        <f t="shared" si="263"/>
        <v>1173729.2142857143</v>
      </c>
      <c r="W372" s="79">
        <f t="shared" si="263"/>
        <v>1242337</v>
      </c>
      <c r="X372" s="79">
        <f t="shared" si="263"/>
        <v>1291802.5</v>
      </c>
      <c r="Y372" s="79">
        <f>SUM(Y358:Y371)</f>
        <v>1291802.5</v>
      </c>
      <c r="Z372" s="79">
        <f t="shared" ref="Z372:AG372" si="264">SUM(Z358:Z371)</f>
        <v>1291802.5</v>
      </c>
      <c r="AA372" s="79">
        <f t="shared" si="264"/>
        <v>1291802.5</v>
      </c>
      <c r="AB372" s="79">
        <f t="shared" si="264"/>
        <v>1291802.5</v>
      </c>
      <c r="AC372" s="79">
        <f t="shared" si="264"/>
        <v>1291802.5</v>
      </c>
      <c r="AD372" s="79">
        <f t="shared" si="264"/>
        <v>1291802.5</v>
      </c>
      <c r="AE372" s="79">
        <f t="shared" si="264"/>
        <v>1291802.5</v>
      </c>
      <c r="AF372" s="79">
        <f t="shared" si="264"/>
        <v>1291802.5</v>
      </c>
      <c r="AG372" s="79">
        <f t="shared" si="264"/>
        <v>1291802.5</v>
      </c>
      <c r="AH372" s="79"/>
      <c r="AI372" s="79"/>
    </row>
    <row r="373" spans="2:35" ht="15.75" hidden="1" customHeight="1" outlineLevel="1">
      <c r="B373" s="111"/>
      <c r="C373" s="75" t="s">
        <v>1738</v>
      </c>
      <c r="H373" s="75"/>
      <c r="I373" s="75"/>
      <c r="J373" s="79"/>
      <c r="K373" s="79"/>
      <c r="L373" s="79"/>
      <c r="M373" s="79"/>
      <c r="N373" s="79"/>
      <c r="O373" s="79"/>
      <c r="P373" s="79">
        <f t="shared" ref="P373:Y373" si="265">P347*-1</f>
        <v>0</v>
      </c>
      <c r="Q373" s="79">
        <f t="shared" si="265"/>
        <v>0</v>
      </c>
      <c r="R373" s="79"/>
      <c r="S373" s="79">
        <f t="shared" si="235"/>
        <v>0</v>
      </c>
      <c r="T373" s="79">
        <f t="shared" si="236"/>
        <v>0</v>
      </c>
      <c r="U373" s="79">
        <f t="shared" si="265"/>
        <v>0</v>
      </c>
      <c r="V373" s="79">
        <f t="shared" si="265"/>
        <v>0</v>
      </c>
      <c r="W373" s="79">
        <f t="shared" si="265"/>
        <v>0</v>
      </c>
      <c r="X373" s="79">
        <f t="shared" si="265"/>
        <v>0</v>
      </c>
      <c r="Y373" s="79">
        <f t="shared" si="265"/>
        <v>0</v>
      </c>
      <c r="Z373" s="79">
        <f t="shared" ref="Z373:AG373" si="266">Z347*-1</f>
        <v>0</v>
      </c>
      <c r="AA373" s="79">
        <f t="shared" si="266"/>
        <v>0</v>
      </c>
      <c r="AB373" s="79">
        <f t="shared" si="266"/>
        <v>0</v>
      </c>
      <c r="AC373" s="79">
        <f t="shared" si="266"/>
        <v>0</v>
      </c>
      <c r="AD373" s="79">
        <f t="shared" si="266"/>
        <v>0</v>
      </c>
      <c r="AE373" s="79">
        <f t="shared" si="266"/>
        <v>0</v>
      </c>
      <c r="AF373" s="79">
        <f t="shared" si="266"/>
        <v>0</v>
      </c>
      <c r="AG373" s="79">
        <f t="shared" si="266"/>
        <v>0</v>
      </c>
      <c r="AH373" s="79"/>
      <c r="AI373" s="79"/>
    </row>
    <row r="374" spans="2:35" ht="15.75" hidden="1" customHeight="1" outlineLevel="1">
      <c r="B374" s="111"/>
      <c r="C374" s="75"/>
      <c r="H374" s="75"/>
      <c r="I374" s="75"/>
      <c r="L374" s="75"/>
      <c r="S374" s="81">
        <f t="shared" si="235"/>
        <v>0</v>
      </c>
      <c r="T374" s="81">
        <f t="shared" si="236"/>
        <v>0</v>
      </c>
    </row>
    <row r="375" spans="2:35" ht="15.75" hidden="1" customHeight="1" outlineLevel="1">
      <c r="B375" s="111"/>
      <c r="C375" s="75"/>
      <c r="H375" s="75"/>
      <c r="I375" s="75"/>
      <c r="L375" s="75"/>
      <c r="S375" s="81">
        <f t="shared" si="235"/>
        <v>0</v>
      </c>
      <c r="T375" s="81">
        <f t="shared" si="236"/>
        <v>0</v>
      </c>
    </row>
    <row r="376" spans="2:35" ht="15.75" hidden="1" customHeight="1" outlineLevel="1">
      <c r="B376" s="111"/>
      <c r="C376" s="164"/>
      <c r="D376" s="164"/>
      <c r="E376" s="111"/>
      <c r="F376" s="111"/>
      <c r="G376" s="111"/>
      <c r="I376" s="110"/>
      <c r="J376" s="111"/>
      <c r="K376" s="128"/>
      <c r="L376" s="128"/>
      <c r="M376" s="114"/>
      <c r="N376" s="110"/>
      <c r="O376" s="110"/>
      <c r="P376" s="110"/>
      <c r="Q376" s="110"/>
      <c r="R376" s="110"/>
      <c r="S376" s="110">
        <f t="shared" si="235"/>
        <v>0</v>
      </c>
      <c r="T376" s="110">
        <f t="shared" si="236"/>
        <v>0</v>
      </c>
      <c r="U376" s="110"/>
      <c r="V376" s="110"/>
      <c r="W376" s="110"/>
      <c r="X376" s="110"/>
      <c r="Y376" s="110"/>
      <c r="Z376" s="110"/>
      <c r="AA376" s="110"/>
      <c r="AB376" s="110"/>
      <c r="AC376" s="110"/>
      <c r="AD376" s="110"/>
      <c r="AE376" s="110"/>
      <c r="AF376" s="110"/>
      <c r="AG376" s="110"/>
      <c r="AH376" s="110"/>
      <c r="AI376" s="110"/>
    </row>
    <row r="377" spans="2:35" ht="27" hidden="1" outlineLevel="1">
      <c r="B377" s="111"/>
      <c r="C377" s="499" t="s">
        <v>431</v>
      </c>
      <c r="I377" s="117"/>
      <c r="J377" s="102"/>
      <c r="K377" s="103"/>
      <c r="L377" s="137"/>
      <c r="M377" s="435"/>
      <c r="N377" s="435"/>
      <c r="O377" s="435"/>
      <c r="P377" s="435"/>
      <c r="Q377" s="435"/>
      <c r="R377" s="435"/>
      <c r="S377" s="435">
        <f t="shared" si="235"/>
        <v>0</v>
      </c>
      <c r="T377" s="435">
        <f t="shared" si="236"/>
        <v>0</v>
      </c>
      <c r="U377" s="435"/>
      <c r="V377" s="435"/>
      <c r="W377" s="435"/>
      <c r="X377" s="435"/>
      <c r="Y377" s="435"/>
      <c r="Z377" s="435"/>
      <c r="AA377" s="435"/>
      <c r="AB377" s="435"/>
      <c r="AC377" s="435"/>
      <c r="AD377" s="435"/>
      <c r="AE377" s="435"/>
      <c r="AF377" s="435"/>
      <c r="AG377" s="435"/>
      <c r="AH377" s="435"/>
      <c r="AI377" s="435"/>
    </row>
    <row r="378" spans="2:35" ht="3" hidden="1" customHeight="1" outlineLevel="1">
      <c r="B378" s="111"/>
      <c r="C378" s="104"/>
      <c r="D378" s="104"/>
      <c r="E378" s="104"/>
      <c r="F378" s="104"/>
      <c r="G378" s="104"/>
      <c r="H378" s="465"/>
      <c r="I378" s="104"/>
      <c r="J378" s="104"/>
      <c r="K378" s="104"/>
      <c r="L378" s="104"/>
      <c r="M378" s="104"/>
      <c r="N378" s="420"/>
      <c r="O378" s="420"/>
      <c r="P378" s="420"/>
      <c r="Q378" s="420"/>
      <c r="R378" s="420"/>
      <c r="S378" s="420">
        <f t="shared" si="235"/>
        <v>0</v>
      </c>
      <c r="T378" s="420">
        <f t="shared" si="236"/>
        <v>0</v>
      </c>
      <c r="U378" s="420"/>
      <c r="V378" s="420"/>
      <c r="W378" s="420"/>
      <c r="X378" s="420"/>
      <c r="Y378" s="420"/>
      <c r="Z378" s="420"/>
      <c r="AA378" s="420"/>
      <c r="AB378" s="420"/>
      <c r="AC378" s="420"/>
      <c r="AD378" s="420"/>
      <c r="AE378" s="420"/>
      <c r="AF378" s="420"/>
      <c r="AG378" s="420"/>
      <c r="AH378" s="420"/>
      <c r="AI378" s="420"/>
    </row>
    <row r="379" spans="2:35" ht="15.75" hidden="1" customHeight="1" outlineLevel="1">
      <c r="B379" s="111"/>
      <c r="C379" s="75" t="s">
        <v>1400</v>
      </c>
      <c r="I379" s="117"/>
      <c r="J379" s="102"/>
      <c r="K379" s="103"/>
      <c r="L379" s="137"/>
      <c r="M379" s="435"/>
      <c r="N379" s="435"/>
      <c r="O379" s="435"/>
      <c r="P379" s="435"/>
      <c r="Q379" s="435"/>
      <c r="R379" s="435"/>
      <c r="S379" s="435">
        <f t="shared" si="235"/>
        <v>0</v>
      </c>
      <c r="T379" s="435">
        <f t="shared" si="236"/>
        <v>0</v>
      </c>
      <c r="U379" s="435"/>
      <c r="V379" s="435"/>
      <c r="W379" s="435"/>
      <c r="X379" s="435"/>
      <c r="Y379" s="435"/>
      <c r="Z379" s="435"/>
      <c r="AA379" s="435"/>
      <c r="AB379" s="435"/>
      <c r="AC379" s="435"/>
      <c r="AD379" s="435"/>
      <c r="AE379" s="435"/>
      <c r="AF379" s="435"/>
      <c r="AG379" s="435"/>
      <c r="AH379" s="435"/>
      <c r="AI379" s="435"/>
    </row>
    <row r="380" spans="2:35" ht="15.75" hidden="1" customHeight="1" outlineLevel="1">
      <c r="B380" s="111"/>
      <c r="C380" s="480" t="s">
        <v>416</v>
      </c>
      <c r="I380" s="117"/>
      <c r="J380" s="500"/>
      <c r="K380" s="105"/>
      <c r="L380" s="138"/>
      <c r="M380" s="138"/>
      <c r="N380" s="138"/>
      <c r="O380" s="138"/>
      <c r="P380" s="138"/>
      <c r="Q380" s="138"/>
      <c r="R380" s="138"/>
      <c r="S380" s="138">
        <f t="shared" si="235"/>
        <v>0</v>
      </c>
      <c r="T380" s="138">
        <f t="shared" si="236"/>
        <v>0</v>
      </c>
      <c r="U380" s="138"/>
      <c r="V380" s="138"/>
      <c r="W380" s="138"/>
      <c r="X380" s="138"/>
      <c r="Y380" s="138"/>
      <c r="Z380" s="138"/>
      <c r="AA380" s="138"/>
      <c r="AB380" s="138"/>
      <c r="AC380" s="138"/>
      <c r="AD380" s="138"/>
      <c r="AE380" s="138"/>
      <c r="AF380" s="138"/>
      <c r="AG380" s="138"/>
      <c r="AH380" s="138"/>
      <c r="AI380" s="138"/>
    </row>
    <row r="381" spans="2:35" ht="15.75" hidden="1" customHeight="1" outlineLevel="1">
      <c r="B381" s="111"/>
      <c r="C381" s="501" t="s">
        <v>1400</v>
      </c>
      <c r="D381" s="106"/>
      <c r="E381" s="106"/>
      <c r="F381" s="106"/>
      <c r="G381" s="106"/>
      <c r="H381" s="502"/>
      <c r="I381" s="92">
        <v>0</v>
      </c>
      <c r="J381" s="92">
        <v>1</v>
      </c>
      <c r="K381" s="92">
        <v>2</v>
      </c>
      <c r="L381" s="92">
        <v>3</v>
      </c>
      <c r="M381" s="92">
        <v>4</v>
      </c>
      <c r="N381" s="92">
        <v>5</v>
      </c>
      <c r="O381" s="92">
        <f t="shared" ref="O381:W381" si="267">O7</f>
        <v>6</v>
      </c>
      <c r="P381" s="92">
        <f t="shared" si="267"/>
        <v>7</v>
      </c>
      <c r="Q381" s="92">
        <f t="shared" si="267"/>
        <v>8</v>
      </c>
      <c r="R381" s="92"/>
      <c r="S381" s="92">
        <f t="shared" si="235"/>
        <v>8</v>
      </c>
      <c r="T381" s="92">
        <f t="shared" si="236"/>
        <v>8</v>
      </c>
      <c r="U381" s="92">
        <f t="shared" si="267"/>
        <v>9</v>
      </c>
      <c r="V381" s="92">
        <f t="shared" si="267"/>
        <v>10</v>
      </c>
      <c r="W381" s="92">
        <f t="shared" si="267"/>
        <v>11</v>
      </c>
      <c r="X381" s="92">
        <f>X7</f>
        <v>12</v>
      </c>
      <c r="Y381" s="92">
        <f>Y7</f>
        <v>13</v>
      </c>
      <c r="Z381" s="92">
        <f t="shared" ref="Z381:AG381" si="268">Z7</f>
        <v>14</v>
      </c>
      <c r="AA381" s="92">
        <f t="shared" si="268"/>
        <v>15</v>
      </c>
      <c r="AB381" s="92">
        <f t="shared" si="268"/>
        <v>16</v>
      </c>
      <c r="AC381" s="92">
        <f t="shared" si="268"/>
        <v>17</v>
      </c>
      <c r="AD381" s="92">
        <f t="shared" si="268"/>
        <v>18</v>
      </c>
      <c r="AE381" s="92">
        <f t="shared" si="268"/>
        <v>19</v>
      </c>
      <c r="AF381" s="92">
        <f t="shared" si="268"/>
        <v>20</v>
      </c>
      <c r="AG381" s="92">
        <f t="shared" si="268"/>
        <v>21</v>
      </c>
      <c r="AH381" s="92"/>
      <c r="AI381" s="92"/>
    </row>
    <row r="382" spans="2:35" ht="15.75" hidden="1" customHeight="1" outlineLevel="1">
      <c r="B382" s="111"/>
      <c r="C382" s="504"/>
      <c r="D382" s="469"/>
      <c r="E382" s="469"/>
      <c r="F382" s="469"/>
      <c r="G382" s="469"/>
      <c r="H382" s="470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</row>
    <row r="383" spans="2:35" ht="15.75" hidden="1" customHeight="1" outlineLevel="1">
      <c r="B383" s="111"/>
      <c r="C383" s="505"/>
      <c r="D383" s="472"/>
      <c r="E383" s="506"/>
      <c r="F383" s="506"/>
      <c r="G383" s="506"/>
      <c r="H383" s="473"/>
      <c r="I383" s="94" t="s">
        <v>499</v>
      </c>
      <c r="J383" s="94" t="s">
        <v>499</v>
      </c>
      <c r="K383" s="99" t="s">
        <v>499</v>
      </c>
      <c r="L383" s="99" t="s">
        <v>499</v>
      </c>
      <c r="M383" s="99" t="s">
        <v>499</v>
      </c>
      <c r="N383" s="99" t="s">
        <v>499</v>
      </c>
      <c r="O383" s="99" t="s">
        <v>499</v>
      </c>
      <c r="P383" s="99" t="s">
        <v>499</v>
      </c>
      <c r="Q383" s="99" t="s">
        <v>499</v>
      </c>
      <c r="R383" s="99"/>
      <c r="S383" s="99" t="str">
        <f t="shared" si="235"/>
        <v>($)</v>
      </c>
      <c r="T383" s="99" t="str">
        <f t="shared" si="236"/>
        <v>($)</v>
      </c>
      <c r="U383" s="99" t="s">
        <v>499</v>
      </c>
      <c r="V383" s="99" t="s">
        <v>499</v>
      </c>
      <c r="W383" s="99" t="s">
        <v>499</v>
      </c>
      <c r="X383" s="99" t="s">
        <v>499</v>
      </c>
      <c r="Y383" s="99" t="s">
        <v>499</v>
      </c>
      <c r="Z383" s="99" t="s">
        <v>499</v>
      </c>
      <c r="AA383" s="99" t="s">
        <v>499</v>
      </c>
      <c r="AB383" s="99" t="s">
        <v>499</v>
      </c>
      <c r="AC383" s="99" t="s">
        <v>499</v>
      </c>
      <c r="AD383" s="99" t="s">
        <v>499</v>
      </c>
      <c r="AE383" s="99" t="s">
        <v>499</v>
      </c>
      <c r="AF383" s="99" t="s">
        <v>499</v>
      </c>
      <c r="AG383" s="99" t="s">
        <v>499</v>
      </c>
      <c r="AH383" s="99"/>
      <c r="AI383" s="99"/>
    </row>
    <row r="384" spans="2:35" ht="15.75" hidden="1" customHeight="1" outlineLevel="1">
      <c r="B384" s="111"/>
      <c r="C384" s="102"/>
      <c r="D384" s="102"/>
      <c r="E384" s="102"/>
      <c r="F384" s="102"/>
      <c r="G384" s="102"/>
      <c r="I384" s="117"/>
      <c r="J384" s="102"/>
      <c r="K384" s="102"/>
      <c r="L384" s="121"/>
      <c r="M384" s="100"/>
      <c r="N384" s="100"/>
      <c r="O384" s="100"/>
      <c r="P384" s="100"/>
      <c r="Q384" s="100"/>
      <c r="R384" s="100"/>
      <c r="S384" s="100">
        <f t="shared" si="235"/>
        <v>0</v>
      </c>
      <c r="T384" s="100">
        <f t="shared" si="236"/>
        <v>0</v>
      </c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  <c r="AI384" s="100"/>
    </row>
    <row r="385" spans="1:35" ht="15.75" hidden="1" customHeight="1" outlineLevel="1">
      <c r="B385" s="111"/>
      <c r="C385" s="110" t="s">
        <v>1401</v>
      </c>
      <c r="D385" s="110"/>
      <c r="E385" s="110"/>
      <c r="F385" s="110"/>
      <c r="G385" s="110"/>
      <c r="H385" s="88"/>
      <c r="I385" s="80"/>
      <c r="J385" s="126"/>
      <c r="K385" s="126"/>
      <c r="L385" s="126"/>
      <c r="M385" s="80"/>
      <c r="N385" s="80"/>
      <c r="O385" s="80"/>
      <c r="P385" s="80">
        <v>0</v>
      </c>
      <c r="Q385" s="80">
        <f t="shared" ref="Q385:Y385" si="269">P393</f>
        <v>-698333.33333333337</v>
      </c>
      <c r="R385" s="80"/>
      <c r="S385" s="80">
        <f t="shared" si="235"/>
        <v>-698333.33333333337</v>
      </c>
      <c r="T385" s="80">
        <f t="shared" si="236"/>
        <v>-698333.33333333337</v>
      </c>
      <c r="U385" s="80">
        <f>Q393</f>
        <v>35992190.563309982</v>
      </c>
      <c r="V385" s="80">
        <f t="shared" si="269"/>
        <v>57217386.017889559</v>
      </c>
      <c r="W385" s="80">
        <f t="shared" si="269"/>
        <v>86842322.198251009</v>
      </c>
      <c r="X385" s="80">
        <f t="shared" si="269"/>
        <v>119190556.29249212</v>
      </c>
      <c r="Y385" s="80">
        <f t="shared" si="269"/>
        <v>154545193.27658737</v>
      </c>
      <c r="Z385" s="80">
        <f t="shared" ref="Z385:AG385" si="270">Y393</f>
        <v>192091827.7496112</v>
      </c>
      <c r="AA385" s="80">
        <f t="shared" si="270"/>
        <v>229632804.95913503</v>
      </c>
      <c r="AB385" s="80">
        <f t="shared" si="270"/>
        <v>267168124.90515888</v>
      </c>
      <c r="AC385" s="80">
        <f t="shared" si="270"/>
        <v>304697787.58768272</v>
      </c>
      <c r="AD385" s="80">
        <f t="shared" si="270"/>
        <v>342221793.00670654</v>
      </c>
      <c r="AE385" s="80">
        <f t="shared" si="270"/>
        <v>379740141.16223037</v>
      </c>
      <c r="AF385" s="80">
        <f t="shared" si="270"/>
        <v>408892647.18078828</v>
      </c>
      <c r="AG385" s="80">
        <f t="shared" si="270"/>
        <v>438039369.79934621</v>
      </c>
      <c r="AH385" s="80"/>
      <c r="AI385" s="80"/>
    </row>
    <row r="386" spans="1:35" ht="15.75" hidden="1" customHeight="1" outlineLevel="1">
      <c r="B386" s="111"/>
      <c r="C386" s="482" t="s">
        <v>1402</v>
      </c>
      <c r="D386" s="102"/>
      <c r="E386" s="110"/>
      <c r="F386" s="110"/>
      <c r="G386" s="110"/>
      <c r="H386" s="88"/>
      <c r="I386" s="80"/>
      <c r="J386" s="80"/>
      <c r="K386" s="80"/>
      <c r="L386" s="80"/>
      <c r="M386" s="80"/>
      <c r="N386" s="80"/>
      <c r="O386" s="80"/>
      <c r="P386" s="80">
        <f t="shared" ref="P386:Y386" si="271">P142</f>
        <v>-698333.33333333337</v>
      </c>
      <c r="Q386" s="80">
        <f t="shared" si="271"/>
        <v>36690523.896643318</v>
      </c>
      <c r="R386" s="80"/>
      <c r="S386" s="80">
        <f t="shared" si="271"/>
        <v>15478426.868334597</v>
      </c>
      <c r="T386" s="80">
        <f t="shared" si="271"/>
        <v>15478426.868334597</v>
      </c>
      <c r="U386" s="80">
        <f t="shared" si="271"/>
        <v>21225195.454579573</v>
      </c>
      <c r="V386" s="80">
        <f t="shared" si="271"/>
        <v>29624936.18036145</v>
      </c>
      <c r="W386" s="80">
        <f t="shared" si="271"/>
        <v>32348234.09424112</v>
      </c>
      <c r="X386" s="80">
        <f t="shared" si="271"/>
        <v>35354636.984095246</v>
      </c>
      <c r="Y386" s="80">
        <f t="shared" si="271"/>
        <v>37546634.473023832</v>
      </c>
      <c r="Z386" s="80">
        <f t="shared" ref="Z386:AG386" si="272">Z142</f>
        <v>37540977.209523834</v>
      </c>
      <c r="AA386" s="80">
        <f t="shared" si="272"/>
        <v>37535319.946023837</v>
      </c>
      <c r="AB386" s="80">
        <f t="shared" si="272"/>
        <v>37529662.682523832</v>
      </c>
      <c r="AC386" s="80">
        <f t="shared" si="272"/>
        <v>37524005.419023827</v>
      </c>
      <c r="AD386" s="80">
        <f t="shared" si="272"/>
        <v>37518348.155523829</v>
      </c>
      <c r="AE386" s="80">
        <f t="shared" si="272"/>
        <v>29152506.018557899</v>
      </c>
      <c r="AF386" s="80">
        <f t="shared" si="272"/>
        <v>29146722.6185579</v>
      </c>
      <c r="AG386" s="80">
        <f t="shared" si="272"/>
        <v>22520738.414846312</v>
      </c>
      <c r="AH386" s="80"/>
      <c r="AI386" s="80"/>
    </row>
    <row r="387" spans="1:35" ht="15.75" hidden="1" customHeight="1" outlineLevel="1">
      <c r="B387" s="111"/>
      <c r="C387" s="482" t="s">
        <v>1403</v>
      </c>
      <c r="D387" s="102"/>
      <c r="E387" s="110"/>
      <c r="F387" s="110"/>
      <c r="G387" s="110"/>
      <c r="H387" s="88"/>
      <c r="I387" s="79"/>
      <c r="J387" s="79"/>
      <c r="K387" s="79"/>
      <c r="L387" s="79"/>
      <c r="M387" s="79"/>
      <c r="N387" s="79"/>
      <c r="O387" s="79"/>
      <c r="P387" s="79">
        <v>0</v>
      </c>
      <c r="Q387" s="79">
        <v>0</v>
      </c>
      <c r="R387" s="79"/>
      <c r="S387" s="79">
        <f t="shared" si="235"/>
        <v>0</v>
      </c>
      <c r="T387" s="79">
        <f t="shared" si="236"/>
        <v>0</v>
      </c>
      <c r="U387" s="79">
        <v>0</v>
      </c>
      <c r="V387" s="79">
        <v>0</v>
      </c>
      <c r="W387" s="79">
        <v>0</v>
      </c>
      <c r="X387" s="79">
        <v>0</v>
      </c>
      <c r="Y387" s="79">
        <v>0</v>
      </c>
      <c r="Z387" s="79">
        <v>0</v>
      </c>
      <c r="AA387" s="79">
        <v>0</v>
      </c>
      <c r="AB387" s="79">
        <v>0</v>
      </c>
      <c r="AC387" s="79">
        <v>0</v>
      </c>
      <c r="AD387" s="79">
        <v>0</v>
      </c>
      <c r="AE387" s="79">
        <v>0</v>
      </c>
      <c r="AF387" s="79">
        <v>0</v>
      </c>
      <c r="AG387" s="79">
        <v>0</v>
      </c>
      <c r="AH387" s="79"/>
      <c r="AI387" s="79"/>
    </row>
    <row r="388" spans="1:35" ht="15.75" hidden="1" customHeight="1" outlineLevel="1">
      <c r="B388" s="111"/>
      <c r="C388" s="482" t="s">
        <v>1404</v>
      </c>
      <c r="D388" s="102"/>
      <c r="E388" s="110"/>
      <c r="F388" s="110"/>
      <c r="G388" s="110"/>
      <c r="H388" s="88"/>
      <c r="I388" s="82"/>
      <c r="J388" s="82"/>
      <c r="K388" s="82"/>
      <c r="L388" s="82"/>
      <c r="M388" s="82"/>
      <c r="N388" s="82"/>
      <c r="O388" s="82"/>
      <c r="P388" s="82">
        <v>0</v>
      </c>
      <c r="Q388" s="82">
        <v>0</v>
      </c>
      <c r="R388" s="82"/>
      <c r="S388" s="82">
        <f t="shared" si="235"/>
        <v>0</v>
      </c>
      <c r="T388" s="82">
        <f t="shared" si="236"/>
        <v>0</v>
      </c>
      <c r="U388" s="82">
        <v>0</v>
      </c>
      <c r="V388" s="82">
        <v>0</v>
      </c>
      <c r="W388" s="82">
        <v>0</v>
      </c>
      <c r="X388" s="82">
        <v>0</v>
      </c>
      <c r="Y388" s="82">
        <v>0</v>
      </c>
      <c r="Z388" s="82">
        <v>0</v>
      </c>
      <c r="AA388" s="82">
        <v>0</v>
      </c>
      <c r="AB388" s="82">
        <v>0</v>
      </c>
      <c r="AC388" s="82">
        <v>0</v>
      </c>
      <c r="AD388" s="82">
        <v>0</v>
      </c>
      <c r="AE388" s="82">
        <v>0</v>
      </c>
      <c r="AF388" s="82">
        <v>0</v>
      </c>
      <c r="AG388" s="82">
        <v>0</v>
      </c>
      <c r="AH388" s="82"/>
      <c r="AI388" s="82"/>
    </row>
    <row r="389" spans="1:35" ht="15.75" hidden="1" customHeight="1" outlineLevel="1">
      <c r="B389" s="111"/>
      <c r="C389" s="482" t="s">
        <v>1405</v>
      </c>
      <c r="D389" s="102"/>
      <c r="E389" s="110"/>
      <c r="F389" s="110"/>
      <c r="G389" s="110"/>
      <c r="H389" s="88"/>
      <c r="I389" s="80"/>
      <c r="J389" s="126"/>
      <c r="K389" s="126"/>
      <c r="L389" s="126"/>
      <c r="M389" s="80"/>
      <c r="N389" s="80"/>
      <c r="O389" s="80"/>
      <c r="P389" s="80">
        <v>0</v>
      </c>
      <c r="Q389" s="80">
        <v>0</v>
      </c>
      <c r="R389" s="80"/>
      <c r="S389" s="80">
        <f t="shared" si="235"/>
        <v>0</v>
      </c>
      <c r="T389" s="80">
        <f t="shared" si="236"/>
        <v>0</v>
      </c>
      <c r="U389" s="80">
        <v>0</v>
      </c>
      <c r="V389" s="80">
        <v>0</v>
      </c>
      <c r="W389" s="80">
        <v>0</v>
      </c>
      <c r="X389" s="80">
        <v>0</v>
      </c>
      <c r="Y389" s="80">
        <v>0</v>
      </c>
      <c r="Z389" s="80">
        <v>0</v>
      </c>
      <c r="AA389" s="80">
        <v>0</v>
      </c>
      <c r="AB389" s="80">
        <v>0</v>
      </c>
      <c r="AC389" s="80">
        <v>0</v>
      </c>
      <c r="AD389" s="80">
        <v>0</v>
      </c>
      <c r="AE389" s="80">
        <v>0</v>
      </c>
      <c r="AF389" s="80">
        <v>0</v>
      </c>
      <c r="AG389" s="80">
        <v>0</v>
      </c>
      <c r="AH389" s="80"/>
      <c r="AI389" s="80"/>
    </row>
    <row r="390" spans="1:35" ht="15.75" hidden="1" customHeight="1" outlineLevel="1">
      <c r="B390" s="111"/>
      <c r="C390" s="482" t="s">
        <v>1406</v>
      </c>
      <c r="D390" s="102"/>
      <c r="E390" s="110"/>
      <c r="F390" s="110"/>
      <c r="G390" s="110"/>
      <c r="H390" s="88"/>
      <c r="I390" s="79"/>
      <c r="J390" s="79"/>
      <c r="K390" s="79"/>
      <c r="L390" s="79"/>
      <c r="M390" s="79"/>
      <c r="N390" s="79"/>
      <c r="O390" s="79"/>
      <c r="P390" s="79">
        <f t="shared" ref="P390:Y390" si="273">P340+P346</f>
        <v>0</v>
      </c>
      <c r="Q390" s="79">
        <f t="shared" si="273"/>
        <v>0</v>
      </c>
      <c r="R390" s="79"/>
      <c r="S390" s="79">
        <f t="shared" si="235"/>
        <v>0</v>
      </c>
      <c r="T390" s="79">
        <f t="shared" si="236"/>
        <v>0</v>
      </c>
      <c r="U390" s="79">
        <f t="shared" si="273"/>
        <v>0</v>
      </c>
      <c r="V390" s="79">
        <f t="shared" si="273"/>
        <v>0</v>
      </c>
      <c r="W390" s="79">
        <f t="shared" si="273"/>
        <v>0</v>
      </c>
      <c r="X390" s="79">
        <f t="shared" si="273"/>
        <v>0</v>
      </c>
      <c r="Y390" s="79">
        <f t="shared" si="273"/>
        <v>0</v>
      </c>
      <c r="Z390" s="79">
        <f t="shared" ref="Z390:AG390" si="274">Z340+Z346</f>
        <v>0</v>
      </c>
      <c r="AA390" s="79">
        <f t="shared" si="274"/>
        <v>0</v>
      </c>
      <c r="AB390" s="79">
        <f t="shared" si="274"/>
        <v>0</v>
      </c>
      <c r="AC390" s="79">
        <f t="shared" si="274"/>
        <v>0</v>
      </c>
      <c r="AD390" s="79">
        <f t="shared" si="274"/>
        <v>0</v>
      </c>
      <c r="AE390" s="79">
        <f t="shared" si="274"/>
        <v>0</v>
      </c>
      <c r="AF390" s="79">
        <f t="shared" si="274"/>
        <v>0</v>
      </c>
      <c r="AG390" s="79">
        <f t="shared" si="274"/>
        <v>0</v>
      </c>
      <c r="AH390" s="79"/>
      <c r="AI390" s="79"/>
    </row>
    <row r="391" spans="1:35" ht="15.75" hidden="1" customHeight="1" outlineLevel="1">
      <c r="B391" s="111"/>
      <c r="C391" s="482" t="s">
        <v>1407</v>
      </c>
      <c r="D391" s="102"/>
      <c r="E391" s="110"/>
      <c r="F391" s="110"/>
      <c r="G391" s="110"/>
      <c r="H391" s="88"/>
      <c r="I391" s="80"/>
      <c r="J391" s="126"/>
      <c r="K391" s="126"/>
      <c r="L391" s="126"/>
      <c r="M391" s="80"/>
      <c r="N391" s="80"/>
      <c r="O391" s="80"/>
      <c r="P391" s="80">
        <v>0</v>
      </c>
      <c r="Q391" s="80">
        <v>0</v>
      </c>
      <c r="R391" s="80"/>
      <c r="S391" s="80">
        <f t="shared" si="235"/>
        <v>0</v>
      </c>
      <c r="T391" s="80">
        <f t="shared" si="236"/>
        <v>0</v>
      </c>
      <c r="U391" s="80">
        <v>0</v>
      </c>
      <c r="V391" s="80">
        <v>0</v>
      </c>
      <c r="W391" s="80">
        <v>0</v>
      </c>
      <c r="X391" s="80">
        <v>0</v>
      </c>
      <c r="Y391" s="80">
        <v>0</v>
      </c>
      <c r="Z391" s="80">
        <v>0</v>
      </c>
      <c r="AA391" s="80">
        <v>0</v>
      </c>
      <c r="AB391" s="80">
        <v>0</v>
      </c>
      <c r="AC391" s="80">
        <v>0</v>
      </c>
      <c r="AD391" s="80">
        <v>0</v>
      </c>
      <c r="AE391" s="80">
        <v>0</v>
      </c>
      <c r="AF391" s="80">
        <v>0</v>
      </c>
      <c r="AG391" s="80">
        <v>0</v>
      </c>
      <c r="AH391" s="80"/>
      <c r="AI391" s="80"/>
    </row>
    <row r="392" spans="1:35" ht="15.75" hidden="1" customHeight="1" outlineLevel="1">
      <c r="B392" s="111"/>
      <c r="C392" s="482" t="s">
        <v>1408</v>
      </c>
      <c r="D392" s="102"/>
      <c r="E392" s="110"/>
      <c r="F392" s="110"/>
      <c r="G392" s="110"/>
      <c r="H392" s="88"/>
      <c r="I392" s="79"/>
      <c r="J392" s="79"/>
      <c r="K392" s="79"/>
      <c r="L392" s="79"/>
      <c r="M392" s="79"/>
      <c r="N392" s="79"/>
      <c r="O392" s="79"/>
      <c r="P392" s="79">
        <v>0</v>
      </c>
      <c r="Q392" s="79">
        <v>0</v>
      </c>
      <c r="R392" s="79"/>
      <c r="S392" s="79">
        <f t="shared" si="235"/>
        <v>0</v>
      </c>
      <c r="T392" s="79">
        <f t="shared" si="236"/>
        <v>0</v>
      </c>
      <c r="U392" s="79">
        <v>0</v>
      </c>
      <c r="V392" s="79">
        <v>0</v>
      </c>
      <c r="W392" s="79">
        <v>0</v>
      </c>
      <c r="X392" s="79">
        <v>0</v>
      </c>
      <c r="Y392" s="79">
        <v>0</v>
      </c>
      <c r="Z392" s="79">
        <v>0</v>
      </c>
      <c r="AA392" s="79">
        <v>0</v>
      </c>
      <c r="AB392" s="79">
        <v>0</v>
      </c>
      <c r="AC392" s="79">
        <v>0</v>
      </c>
      <c r="AD392" s="79">
        <v>0</v>
      </c>
      <c r="AE392" s="79">
        <v>0</v>
      </c>
      <c r="AF392" s="79">
        <v>0</v>
      </c>
      <c r="AG392" s="79">
        <v>0</v>
      </c>
      <c r="AH392" s="79"/>
      <c r="AI392" s="79"/>
    </row>
    <row r="393" spans="1:35" ht="15.75" hidden="1" customHeight="1" outlineLevel="1">
      <c r="B393" s="111"/>
      <c r="C393" s="110" t="s">
        <v>1409</v>
      </c>
      <c r="D393" s="110"/>
      <c r="E393" s="110"/>
      <c r="F393" s="110"/>
      <c r="G393" s="110"/>
      <c r="H393" s="88"/>
      <c r="I393" s="80"/>
      <c r="J393" s="80"/>
      <c r="K393" s="80"/>
      <c r="L393" s="80"/>
      <c r="M393" s="80"/>
      <c r="N393" s="80"/>
      <c r="O393" s="80"/>
      <c r="P393" s="80">
        <f t="shared" ref="P393:Y393" si="275">SUM(P385:P392)</f>
        <v>-698333.33333333337</v>
      </c>
      <c r="Q393" s="80">
        <f t="shared" si="275"/>
        <v>35992190.563309982</v>
      </c>
      <c r="R393" s="80"/>
      <c r="S393" s="80">
        <f t="shared" si="275"/>
        <v>14780093.535001263</v>
      </c>
      <c r="T393" s="80">
        <f t="shared" si="275"/>
        <v>14780093.535001263</v>
      </c>
      <c r="U393" s="80">
        <f t="shared" si="275"/>
        <v>57217386.017889559</v>
      </c>
      <c r="V393" s="80">
        <f t="shared" si="275"/>
        <v>86842322.198251009</v>
      </c>
      <c r="W393" s="80">
        <f t="shared" si="275"/>
        <v>119190556.29249212</v>
      </c>
      <c r="X393" s="80">
        <f t="shared" si="275"/>
        <v>154545193.27658737</v>
      </c>
      <c r="Y393" s="80">
        <f t="shared" si="275"/>
        <v>192091827.7496112</v>
      </c>
      <c r="Z393" s="80">
        <f t="shared" ref="Z393:AG393" si="276">SUM(Z385:Z392)</f>
        <v>229632804.95913503</v>
      </c>
      <c r="AA393" s="80">
        <f t="shared" si="276"/>
        <v>267168124.90515888</v>
      </c>
      <c r="AB393" s="80">
        <f t="shared" si="276"/>
        <v>304697787.58768272</v>
      </c>
      <c r="AC393" s="80">
        <f t="shared" si="276"/>
        <v>342221793.00670654</v>
      </c>
      <c r="AD393" s="80">
        <f t="shared" si="276"/>
        <v>379740141.16223037</v>
      </c>
      <c r="AE393" s="80">
        <f t="shared" si="276"/>
        <v>408892647.18078828</v>
      </c>
      <c r="AF393" s="80">
        <f t="shared" si="276"/>
        <v>438039369.79934621</v>
      </c>
      <c r="AG393" s="80">
        <f t="shared" si="276"/>
        <v>460560108.21419251</v>
      </c>
      <c r="AH393" s="80"/>
      <c r="AI393" s="80"/>
    </row>
    <row r="394" spans="1:35" ht="15.75" hidden="1" customHeight="1" outlineLevel="1">
      <c r="B394" s="111"/>
      <c r="C394" s="102"/>
      <c r="D394" s="102"/>
      <c r="E394" s="102"/>
      <c r="F394" s="102"/>
      <c r="G394" s="102"/>
      <c r="I394" s="117"/>
      <c r="J394" s="102"/>
      <c r="K394" s="102"/>
      <c r="L394" s="121"/>
      <c r="M394" s="118"/>
      <c r="N394" s="118"/>
      <c r="O394" s="118"/>
      <c r="P394" s="118"/>
      <c r="Q394" s="118"/>
      <c r="R394" s="118"/>
      <c r="S394" s="118">
        <f t="shared" si="235"/>
        <v>0</v>
      </c>
      <c r="T394" s="118">
        <f t="shared" si="236"/>
        <v>0</v>
      </c>
      <c r="U394" s="118"/>
      <c r="V394" s="118"/>
      <c r="W394" s="118"/>
      <c r="X394" s="118"/>
      <c r="Y394" s="118"/>
      <c r="Z394" s="118"/>
      <c r="AA394" s="118"/>
      <c r="AB394" s="118"/>
      <c r="AC394" s="118"/>
      <c r="AD394" s="118"/>
      <c r="AE394" s="118"/>
      <c r="AF394" s="118"/>
      <c r="AG394" s="118"/>
      <c r="AH394" s="118"/>
      <c r="AI394" s="118"/>
    </row>
    <row r="395" spans="1:35" ht="15.75" hidden="1" customHeight="1" outlineLevel="1">
      <c r="B395" s="111"/>
      <c r="C395" s="110"/>
      <c r="D395" s="111"/>
      <c r="E395" s="111"/>
      <c r="F395" s="111"/>
      <c r="G395" s="111"/>
      <c r="H395" s="88"/>
      <c r="I395" s="83"/>
      <c r="J395" s="127"/>
      <c r="K395" s="127"/>
      <c r="L395" s="127"/>
      <c r="M395" s="83"/>
      <c r="N395" s="83"/>
      <c r="O395" s="83"/>
      <c r="P395" s="83"/>
      <c r="Q395" s="83"/>
      <c r="R395" s="83"/>
      <c r="S395" s="83">
        <f t="shared" si="235"/>
        <v>0</v>
      </c>
      <c r="T395" s="83">
        <f t="shared" si="236"/>
        <v>0</v>
      </c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</row>
    <row r="396" spans="1:35" ht="15.75" hidden="1" customHeight="1" outlineLevel="1">
      <c r="B396" s="111"/>
      <c r="C396" s="111"/>
      <c r="D396" s="111"/>
      <c r="E396" s="111"/>
      <c r="F396" s="111"/>
      <c r="G396" s="111"/>
      <c r="I396" s="110"/>
      <c r="J396" s="111"/>
      <c r="K396" s="128"/>
      <c r="L396" s="128"/>
      <c r="M396" s="114"/>
      <c r="N396" s="110"/>
      <c r="O396" s="110"/>
      <c r="P396" s="110"/>
      <c r="Q396" s="110"/>
      <c r="R396" s="110"/>
      <c r="S396" s="110">
        <f t="shared" ref="S396:S459" si="277">Q396</f>
        <v>0</v>
      </c>
      <c r="T396" s="110">
        <f t="shared" ref="T396:T459" si="278">S396</f>
        <v>0</v>
      </c>
      <c r="U396" s="110"/>
      <c r="V396" s="110"/>
      <c r="W396" s="110"/>
      <c r="X396" s="110"/>
      <c r="Y396" s="110"/>
      <c r="Z396" s="110"/>
      <c r="AA396" s="110"/>
      <c r="AB396" s="110"/>
      <c r="AC396" s="110"/>
      <c r="AD396" s="110"/>
      <c r="AE396" s="110"/>
      <c r="AF396" s="110"/>
      <c r="AG396" s="110"/>
      <c r="AH396" s="110"/>
      <c r="AI396" s="110"/>
    </row>
    <row r="397" spans="1:35" ht="15.75" hidden="1" customHeight="1" outlineLevel="1">
      <c r="B397" s="111"/>
      <c r="C397" s="111"/>
      <c r="D397" s="111"/>
      <c r="E397" s="111"/>
      <c r="F397" s="111"/>
      <c r="G397" s="111"/>
      <c r="I397" s="110"/>
      <c r="J397" s="111"/>
      <c r="K397" s="128"/>
      <c r="L397" s="128"/>
      <c r="M397" s="114"/>
      <c r="N397" s="110"/>
      <c r="O397" s="110"/>
      <c r="P397" s="110"/>
      <c r="Q397" s="110"/>
      <c r="R397" s="110"/>
      <c r="S397" s="110">
        <f t="shared" si="277"/>
        <v>0</v>
      </c>
      <c r="T397" s="110">
        <f t="shared" si="278"/>
        <v>0</v>
      </c>
      <c r="U397" s="110"/>
      <c r="V397" s="110"/>
      <c r="W397" s="110"/>
      <c r="X397" s="110"/>
      <c r="Y397" s="110"/>
      <c r="Z397" s="110"/>
      <c r="AA397" s="110"/>
      <c r="AB397" s="110"/>
      <c r="AC397" s="110"/>
      <c r="AD397" s="110"/>
      <c r="AE397" s="110"/>
      <c r="AF397" s="110"/>
      <c r="AG397" s="110"/>
      <c r="AH397" s="110"/>
      <c r="AI397" s="110"/>
    </row>
    <row r="398" spans="1:35" s="152" customFormat="1" ht="15.75" hidden="1" customHeight="1" outlineLevel="1">
      <c r="A398" s="568"/>
      <c r="C398" s="521"/>
      <c r="D398" s="439"/>
      <c r="E398" s="439"/>
      <c r="F398" s="439"/>
      <c r="G398" s="439"/>
      <c r="H398" s="522"/>
      <c r="I398" s="439"/>
      <c r="J398" s="439"/>
      <c r="L398" s="139"/>
      <c r="M398" s="439"/>
      <c r="N398" s="439"/>
      <c r="O398" s="439"/>
      <c r="P398" s="439"/>
      <c r="Q398" s="439"/>
      <c r="R398" s="439"/>
      <c r="S398" s="439">
        <f t="shared" si="277"/>
        <v>0</v>
      </c>
      <c r="T398" s="439">
        <f t="shared" si="278"/>
        <v>0</v>
      </c>
      <c r="U398" s="439"/>
      <c r="V398" s="439"/>
      <c r="W398" s="439"/>
      <c r="X398" s="439"/>
      <c r="Y398" s="439"/>
      <c r="Z398" s="439"/>
      <c r="AA398" s="439"/>
      <c r="AB398" s="439"/>
      <c r="AC398" s="439"/>
      <c r="AD398" s="439"/>
      <c r="AE398" s="439"/>
      <c r="AF398" s="439"/>
      <c r="AG398" s="439"/>
      <c r="AH398" s="439"/>
      <c r="AI398" s="439"/>
    </row>
    <row r="399" spans="1:35" ht="15.75" hidden="1" customHeight="1" outlineLevel="1">
      <c r="B399" s="111"/>
      <c r="C399" s="102"/>
      <c r="D399" s="102"/>
      <c r="E399" s="102"/>
      <c r="F399" s="102"/>
      <c r="G399" s="102"/>
      <c r="I399" s="117"/>
      <c r="J399" s="102"/>
      <c r="K399" s="121"/>
      <c r="L399" s="121"/>
      <c r="M399" s="118"/>
      <c r="N399" s="117"/>
      <c r="O399" s="117"/>
      <c r="P399" s="117"/>
      <c r="Q399" s="117"/>
      <c r="R399" s="117"/>
      <c r="S399" s="117">
        <f t="shared" si="277"/>
        <v>0</v>
      </c>
      <c r="T399" s="117">
        <f t="shared" si="278"/>
        <v>0</v>
      </c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</row>
    <row r="400" spans="1:35" ht="27" collapsed="1">
      <c r="B400" s="111"/>
      <c r="C400" s="499" t="s">
        <v>134</v>
      </c>
      <c r="I400" s="117"/>
      <c r="J400" s="102"/>
      <c r="K400" s="103"/>
      <c r="L400" s="137"/>
      <c r="M400" s="435"/>
      <c r="N400" s="435"/>
      <c r="O400" s="435"/>
      <c r="P400" s="435"/>
      <c r="Q400" s="435"/>
      <c r="R400" s="435"/>
      <c r="S400" s="435">
        <f t="shared" si="277"/>
        <v>0</v>
      </c>
      <c r="T400" s="435">
        <f t="shared" si="278"/>
        <v>0</v>
      </c>
      <c r="U400" s="435"/>
      <c r="V400" s="435"/>
      <c r="W400" s="435"/>
      <c r="X400" s="435"/>
      <c r="Y400" s="435"/>
      <c r="Z400" s="435"/>
      <c r="AA400" s="435"/>
      <c r="AB400" s="435"/>
      <c r="AC400" s="435"/>
      <c r="AD400" s="435"/>
      <c r="AE400" s="435"/>
      <c r="AF400" s="435"/>
      <c r="AG400" s="435"/>
      <c r="AH400" s="435"/>
      <c r="AI400" s="435"/>
    </row>
    <row r="401" spans="2:35" ht="3" customHeight="1">
      <c r="B401" s="111"/>
      <c r="C401" s="104"/>
      <c r="D401" s="104"/>
      <c r="E401" s="104"/>
      <c r="F401" s="104"/>
      <c r="G401" s="104"/>
      <c r="H401" s="465"/>
      <c r="I401" s="104"/>
      <c r="J401" s="104"/>
      <c r="K401" s="104"/>
      <c r="L401" s="104"/>
      <c r="M401" s="104"/>
      <c r="N401" s="420"/>
      <c r="O401" s="420"/>
      <c r="P401" s="420"/>
      <c r="Q401" s="420"/>
      <c r="R401" s="420"/>
      <c r="S401" s="420">
        <f t="shared" si="277"/>
        <v>0</v>
      </c>
      <c r="T401" s="420">
        <f t="shared" si="278"/>
        <v>0</v>
      </c>
      <c r="U401" s="420"/>
      <c r="V401" s="420"/>
      <c r="W401" s="420"/>
      <c r="X401" s="420"/>
      <c r="Y401" s="420"/>
      <c r="Z401" s="420"/>
      <c r="AA401" s="420"/>
      <c r="AB401" s="420"/>
      <c r="AC401" s="420"/>
      <c r="AD401" s="420"/>
      <c r="AE401" s="420"/>
      <c r="AF401" s="420"/>
      <c r="AG401" s="420"/>
      <c r="AH401" s="420"/>
      <c r="AI401" s="420"/>
    </row>
    <row r="402" spans="2:35" ht="7.5" customHeight="1">
      <c r="B402" s="111"/>
      <c r="C402" s="75"/>
      <c r="I402" s="117"/>
      <c r="J402" s="102"/>
      <c r="K402" s="103"/>
      <c r="L402" s="137"/>
      <c r="M402" s="435"/>
      <c r="N402" s="435"/>
      <c r="O402" s="435"/>
      <c r="P402" s="435"/>
      <c r="Q402" s="435"/>
      <c r="R402" s="435"/>
      <c r="S402" s="435">
        <f t="shared" si="277"/>
        <v>0</v>
      </c>
      <c r="T402" s="435">
        <f t="shared" si="278"/>
        <v>0</v>
      </c>
      <c r="U402" s="435"/>
      <c r="V402" s="435"/>
      <c r="W402" s="435"/>
      <c r="X402" s="435"/>
      <c r="Y402" s="435"/>
      <c r="Z402" s="435"/>
      <c r="AA402" s="435"/>
      <c r="AB402" s="435"/>
      <c r="AC402" s="435"/>
      <c r="AD402" s="435"/>
      <c r="AE402" s="435"/>
      <c r="AF402" s="435"/>
      <c r="AG402" s="435"/>
      <c r="AH402" s="435"/>
      <c r="AI402" s="435"/>
    </row>
    <row r="403" spans="2:35" ht="15.75" customHeight="1">
      <c r="B403" s="111"/>
      <c r="C403" s="480" t="s">
        <v>283</v>
      </c>
      <c r="I403" s="117"/>
      <c r="J403" s="500"/>
      <c r="K403" s="105"/>
      <c r="L403" s="138"/>
      <c r="M403" s="138"/>
      <c r="N403" s="138"/>
      <c r="O403" s="138"/>
      <c r="P403" s="138"/>
      <c r="Q403" s="138"/>
      <c r="R403" s="138"/>
      <c r="S403" s="138">
        <f t="shared" si="277"/>
        <v>0</v>
      </c>
      <c r="T403" s="138">
        <f t="shared" si="278"/>
        <v>0</v>
      </c>
      <c r="U403" s="138"/>
      <c r="V403" s="138"/>
      <c r="W403" s="138"/>
      <c r="X403" s="138"/>
      <c r="Y403" s="138"/>
      <c r="Z403" s="138"/>
      <c r="AA403" s="138"/>
      <c r="AB403" s="138"/>
      <c r="AC403" s="138"/>
      <c r="AD403" s="138"/>
      <c r="AE403" s="138"/>
      <c r="AF403" s="138"/>
      <c r="AG403" s="138"/>
      <c r="AH403" s="138"/>
      <c r="AI403" s="138"/>
    </row>
    <row r="404" spans="2:35">
      <c r="B404" s="111"/>
      <c r="C404" s="501"/>
      <c r="D404" s="106"/>
      <c r="E404" s="106"/>
      <c r="F404" s="106"/>
      <c r="G404" s="106"/>
      <c r="H404" s="502"/>
      <c r="I404" s="92">
        <v>0</v>
      </c>
      <c r="J404" s="92">
        <v>1</v>
      </c>
      <c r="K404" s="92">
        <v>2</v>
      </c>
      <c r="L404" s="136">
        <v>3</v>
      </c>
      <c r="M404" s="136">
        <v>4</v>
      </c>
      <c r="N404" s="136">
        <v>5</v>
      </c>
      <c r="O404" s="136">
        <f t="shared" ref="O404:W404" si="279">O7</f>
        <v>6</v>
      </c>
      <c r="P404" s="136">
        <f t="shared" si="279"/>
        <v>7</v>
      </c>
      <c r="Q404" s="136">
        <f t="shared" si="279"/>
        <v>8</v>
      </c>
      <c r="R404" s="136"/>
      <c r="S404" s="136">
        <f t="shared" si="277"/>
        <v>8</v>
      </c>
      <c r="T404" s="136">
        <f t="shared" si="278"/>
        <v>8</v>
      </c>
      <c r="U404" s="136">
        <f t="shared" si="279"/>
        <v>9</v>
      </c>
      <c r="V404" s="136">
        <f t="shared" si="279"/>
        <v>10</v>
      </c>
      <c r="W404" s="136">
        <f t="shared" si="279"/>
        <v>11</v>
      </c>
      <c r="X404" s="136">
        <f>X7</f>
        <v>12</v>
      </c>
      <c r="Y404" s="136">
        <f>Y7</f>
        <v>13</v>
      </c>
      <c r="Z404" s="136">
        <f t="shared" ref="Z404:AG404" si="280">Z7</f>
        <v>14</v>
      </c>
      <c r="AA404" s="136">
        <f t="shared" si="280"/>
        <v>15</v>
      </c>
      <c r="AB404" s="136">
        <f t="shared" si="280"/>
        <v>16</v>
      </c>
      <c r="AC404" s="136">
        <f t="shared" si="280"/>
        <v>17</v>
      </c>
      <c r="AD404" s="136">
        <f t="shared" si="280"/>
        <v>18</v>
      </c>
      <c r="AE404" s="136">
        <f t="shared" si="280"/>
        <v>19</v>
      </c>
      <c r="AF404" s="136">
        <f t="shared" si="280"/>
        <v>20</v>
      </c>
      <c r="AG404" s="136">
        <f t="shared" si="280"/>
        <v>21</v>
      </c>
      <c r="AH404" s="136"/>
      <c r="AI404" s="136"/>
    </row>
    <row r="405" spans="2:35">
      <c r="B405" s="111"/>
      <c r="C405" s="504"/>
      <c r="D405" s="469"/>
      <c r="E405" s="469"/>
      <c r="F405" s="469"/>
      <c r="G405" s="469"/>
      <c r="H405" s="470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</row>
    <row r="406" spans="2:35">
      <c r="B406" s="111"/>
      <c r="C406" s="505"/>
      <c r="D406" s="472"/>
      <c r="E406" s="506"/>
      <c r="F406" s="506"/>
      <c r="G406" s="506"/>
      <c r="H406" s="473"/>
      <c r="I406" s="94" t="s">
        <v>499</v>
      </c>
      <c r="J406" s="94" t="s">
        <v>499</v>
      </c>
      <c r="K406" s="99" t="s">
        <v>499</v>
      </c>
      <c r="L406" s="99" t="s">
        <v>499</v>
      </c>
      <c r="M406" s="99" t="s">
        <v>499</v>
      </c>
      <c r="N406" s="99" t="s">
        <v>499</v>
      </c>
      <c r="O406" s="99" t="s">
        <v>499</v>
      </c>
      <c r="P406" s="99" t="s">
        <v>499</v>
      </c>
      <c r="Q406" s="99" t="s">
        <v>499</v>
      </c>
      <c r="R406" s="99"/>
      <c r="S406" s="99" t="str">
        <f t="shared" si="277"/>
        <v>($)</v>
      </c>
      <c r="T406" s="99" t="str">
        <f t="shared" si="278"/>
        <v>($)</v>
      </c>
      <c r="U406" s="99" t="s">
        <v>499</v>
      </c>
      <c r="V406" s="99" t="s">
        <v>499</v>
      </c>
      <c r="W406" s="99" t="s">
        <v>499</v>
      </c>
      <c r="X406" s="99" t="s">
        <v>499</v>
      </c>
      <c r="Y406" s="99" t="s">
        <v>499</v>
      </c>
      <c r="Z406" s="99" t="s">
        <v>499</v>
      </c>
      <c r="AA406" s="99" t="s">
        <v>499</v>
      </c>
      <c r="AB406" s="99" t="s">
        <v>499</v>
      </c>
      <c r="AC406" s="99" t="s">
        <v>499</v>
      </c>
      <c r="AD406" s="99" t="s">
        <v>499</v>
      </c>
      <c r="AE406" s="99" t="s">
        <v>499</v>
      </c>
      <c r="AF406" s="99" t="s">
        <v>499</v>
      </c>
      <c r="AG406" s="99" t="s">
        <v>499</v>
      </c>
      <c r="AH406" s="99"/>
      <c r="AI406" s="99"/>
    </row>
    <row r="407" spans="2:35" ht="15.75" customHeight="1">
      <c r="B407" s="111"/>
      <c r="C407" s="102"/>
      <c r="D407" s="102"/>
      <c r="E407" s="102"/>
      <c r="F407" s="102"/>
      <c r="G407" s="102"/>
      <c r="I407" s="117"/>
      <c r="J407" s="102"/>
      <c r="K407" s="102"/>
      <c r="L407" s="121"/>
      <c r="M407" s="118"/>
      <c r="N407" s="118"/>
      <c r="O407" s="118"/>
      <c r="P407" s="118"/>
      <c r="Q407" s="118"/>
      <c r="R407" s="118"/>
      <c r="S407" s="118">
        <f t="shared" si="277"/>
        <v>0</v>
      </c>
      <c r="T407" s="118">
        <f t="shared" si="278"/>
        <v>0</v>
      </c>
      <c r="U407" s="118"/>
      <c r="V407" s="118"/>
      <c r="W407" s="118"/>
      <c r="X407" s="118"/>
      <c r="Y407" s="118"/>
      <c r="Z407" s="118"/>
      <c r="AA407" s="118"/>
      <c r="AB407" s="118"/>
      <c r="AC407" s="118"/>
      <c r="AD407" s="118"/>
      <c r="AE407" s="118"/>
      <c r="AF407" s="118"/>
      <c r="AG407" s="118"/>
      <c r="AH407" s="118"/>
      <c r="AI407" s="118"/>
    </row>
    <row r="408" spans="2:35" ht="15.75" customHeight="1">
      <c r="B408" s="111"/>
      <c r="C408" s="80" t="s">
        <v>212</v>
      </c>
      <c r="D408" s="80"/>
      <c r="E408" s="80"/>
      <c r="F408" s="80"/>
      <c r="G408" s="80"/>
      <c r="H408" s="88"/>
      <c r="I408" s="80"/>
      <c r="J408" s="80"/>
      <c r="K408" s="80"/>
      <c r="L408" s="80"/>
      <c r="M408" s="80"/>
      <c r="N408" s="80"/>
      <c r="O408" s="80"/>
      <c r="P408" s="80">
        <f t="shared" ref="P408:Y408" si="281">P254</f>
        <v>-14698333.333333334</v>
      </c>
      <c r="Q408" s="80">
        <f t="shared" si="281"/>
        <v>27490523.896643318</v>
      </c>
      <c r="R408" s="80"/>
      <c r="S408" s="80">
        <f t="shared" si="281"/>
        <v>6278426.868334597</v>
      </c>
      <c r="T408" s="80">
        <f t="shared" si="281"/>
        <v>6278426.868334597</v>
      </c>
      <c r="U408" s="80">
        <f t="shared" si="281"/>
        <v>20971557.883151002</v>
      </c>
      <c r="V408" s="80">
        <f t="shared" si="281"/>
        <v>29838156.394647166</v>
      </c>
      <c r="W408" s="80">
        <f t="shared" si="281"/>
        <v>32898054.09424112</v>
      </c>
      <c r="X408" s="80">
        <f t="shared" si="281"/>
        <v>36646439.484095246</v>
      </c>
      <c r="Y408" s="80">
        <f t="shared" si="281"/>
        <v>38838436.973023832</v>
      </c>
      <c r="Z408" s="80">
        <f t="shared" ref="Z408:AG408" si="282">Z254</f>
        <v>38832779.709523834</v>
      </c>
      <c r="AA408" s="80">
        <f t="shared" si="282"/>
        <v>38827122.446023837</v>
      </c>
      <c r="AB408" s="80">
        <f t="shared" si="282"/>
        <v>38821465.182523832</v>
      </c>
      <c r="AC408" s="80">
        <f t="shared" si="282"/>
        <v>38815807.919023827</v>
      </c>
      <c r="AD408" s="80">
        <f t="shared" si="282"/>
        <v>38810150.655523829</v>
      </c>
      <c r="AE408" s="80">
        <f t="shared" si="282"/>
        <v>30444308.518557899</v>
      </c>
      <c r="AF408" s="80">
        <f t="shared" si="282"/>
        <v>30438525.1185579</v>
      </c>
      <c r="AG408" s="80">
        <f t="shared" si="282"/>
        <v>23812540.914846312</v>
      </c>
      <c r="AH408" s="80"/>
      <c r="AI408" s="80"/>
    </row>
    <row r="409" spans="2:35" ht="15.75" hidden="1" customHeight="1" outlineLevel="1">
      <c r="B409" s="111"/>
      <c r="C409" s="80" t="s">
        <v>1410</v>
      </c>
      <c r="D409" s="80"/>
      <c r="E409" s="80"/>
      <c r="F409" s="80"/>
      <c r="G409" s="80"/>
      <c r="H409" s="88"/>
      <c r="I409" s="80"/>
      <c r="J409" s="80"/>
      <c r="K409" s="80"/>
      <c r="L409" s="80"/>
      <c r="M409" s="80"/>
      <c r="N409" s="80"/>
      <c r="O409" s="80"/>
      <c r="P409" s="80">
        <f t="shared" ref="P409:Y409" si="283">P387</f>
        <v>0</v>
      </c>
      <c r="Q409" s="80">
        <f t="shared" si="283"/>
        <v>0</v>
      </c>
      <c r="R409" s="80"/>
      <c r="S409" s="80">
        <f t="shared" si="277"/>
        <v>0</v>
      </c>
      <c r="T409" s="80">
        <f t="shared" si="278"/>
        <v>0</v>
      </c>
      <c r="U409" s="80">
        <f t="shared" si="283"/>
        <v>0</v>
      </c>
      <c r="V409" s="80">
        <f t="shared" si="283"/>
        <v>0</v>
      </c>
      <c r="W409" s="80">
        <f t="shared" si="283"/>
        <v>0</v>
      </c>
      <c r="X409" s="80">
        <f t="shared" si="283"/>
        <v>0</v>
      </c>
      <c r="Y409" s="80">
        <f t="shared" si="283"/>
        <v>0</v>
      </c>
      <c r="Z409" s="80">
        <f t="shared" ref="Z409:AG409" si="284">Z387</f>
        <v>0</v>
      </c>
      <c r="AA409" s="80">
        <f t="shared" si="284"/>
        <v>0</v>
      </c>
      <c r="AB409" s="80">
        <f t="shared" si="284"/>
        <v>0</v>
      </c>
      <c r="AC409" s="80">
        <f t="shared" si="284"/>
        <v>0</v>
      </c>
      <c r="AD409" s="80">
        <f t="shared" si="284"/>
        <v>0</v>
      </c>
      <c r="AE409" s="80">
        <f t="shared" si="284"/>
        <v>0</v>
      </c>
      <c r="AF409" s="80">
        <f t="shared" si="284"/>
        <v>0</v>
      </c>
      <c r="AG409" s="80">
        <f t="shared" si="284"/>
        <v>0</v>
      </c>
      <c r="AH409" s="80"/>
      <c r="AI409" s="80"/>
    </row>
    <row r="410" spans="2:35" ht="15.75" hidden="1" customHeight="1" outlineLevel="1">
      <c r="B410" s="111"/>
      <c r="C410" s="80" t="s">
        <v>1411</v>
      </c>
      <c r="D410" s="80"/>
      <c r="E410" s="80"/>
      <c r="F410" s="80"/>
      <c r="G410" s="80"/>
      <c r="H410" s="88"/>
      <c r="I410" s="80"/>
      <c r="J410" s="80"/>
      <c r="K410" s="80"/>
      <c r="L410" s="80"/>
      <c r="M410" s="80"/>
      <c r="N410" s="80"/>
      <c r="O410" s="80"/>
      <c r="P410" s="80">
        <f t="shared" ref="P410:Y410" si="285">-P388</f>
        <v>0</v>
      </c>
      <c r="Q410" s="80">
        <f t="shared" si="285"/>
        <v>0</v>
      </c>
      <c r="R410" s="80"/>
      <c r="S410" s="80">
        <f t="shared" si="277"/>
        <v>0</v>
      </c>
      <c r="T410" s="80">
        <f t="shared" si="278"/>
        <v>0</v>
      </c>
      <c r="U410" s="80">
        <f t="shared" si="285"/>
        <v>0</v>
      </c>
      <c r="V410" s="80">
        <f t="shared" si="285"/>
        <v>0</v>
      </c>
      <c r="W410" s="80">
        <f t="shared" si="285"/>
        <v>0</v>
      </c>
      <c r="X410" s="80">
        <f t="shared" si="285"/>
        <v>0</v>
      </c>
      <c r="Y410" s="80">
        <f t="shared" si="285"/>
        <v>0</v>
      </c>
      <c r="Z410" s="80">
        <f t="shared" ref="Z410:AG410" si="286">-Z388</f>
        <v>0</v>
      </c>
      <c r="AA410" s="80">
        <f t="shared" si="286"/>
        <v>0</v>
      </c>
      <c r="AB410" s="80">
        <f t="shared" si="286"/>
        <v>0</v>
      </c>
      <c r="AC410" s="80">
        <f t="shared" si="286"/>
        <v>0</v>
      </c>
      <c r="AD410" s="80">
        <f t="shared" si="286"/>
        <v>0</v>
      </c>
      <c r="AE410" s="80">
        <f t="shared" si="286"/>
        <v>0</v>
      </c>
      <c r="AF410" s="80">
        <f t="shared" si="286"/>
        <v>0</v>
      </c>
      <c r="AG410" s="80">
        <f t="shared" si="286"/>
        <v>0</v>
      </c>
      <c r="AH410" s="80"/>
      <c r="AI410" s="80"/>
    </row>
    <row r="411" spans="2:35" ht="15.75" hidden="1" customHeight="1" outlineLevel="1">
      <c r="B411" s="111"/>
      <c r="C411" s="80" t="s">
        <v>1412</v>
      </c>
      <c r="D411" s="80"/>
      <c r="E411" s="80"/>
      <c r="F411" s="80"/>
      <c r="G411" s="80"/>
      <c r="H411" s="88"/>
      <c r="I411" s="80"/>
      <c r="J411" s="80"/>
      <c r="K411" s="80"/>
      <c r="L411" s="80"/>
      <c r="M411" s="80"/>
      <c r="N411" s="80"/>
      <c r="O411" s="80"/>
      <c r="P411" s="80">
        <f t="shared" ref="P411:Y411" si="287">P392</f>
        <v>0</v>
      </c>
      <c r="Q411" s="80">
        <f t="shared" si="287"/>
        <v>0</v>
      </c>
      <c r="R411" s="80"/>
      <c r="S411" s="80">
        <f t="shared" si="277"/>
        <v>0</v>
      </c>
      <c r="T411" s="80">
        <f t="shared" si="278"/>
        <v>0</v>
      </c>
      <c r="U411" s="80">
        <f t="shared" si="287"/>
        <v>0</v>
      </c>
      <c r="V411" s="80">
        <f t="shared" si="287"/>
        <v>0</v>
      </c>
      <c r="W411" s="80">
        <f t="shared" si="287"/>
        <v>0</v>
      </c>
      <c r="X411" s="80">
        <f t="shared" si="287"/>
        <v>0</v>
      </c>
      <c r="Y411" s="80">
        <f t="shared" si="287"/>
        <v>0</v>
      </c>
      <c r="Z411" s="80">
        <f t="shared" ref="Z411:AG411" si="288">Z392</f>
        <v>0</v>
      </c>
      <c r="AA411" s="80">
        <f t="shared" si="288"/>
        <v>0</v>
      </c>
      <c r="AB411" s="80">
        <f t="shared" si="288"/>
        <v>0</v>
      </c>
      <c r="AC411" s="80">
        <f t="shared" si="288"/>
        <v>0</v>
      </c>
      <c r="AD411" s="80">
        <f t="shared" si="288"/>
        <v>0</v>
      </c>
      <c r="AE411" s="80">
        <f t="shared" si="288"/>
        <v>0</v>
      </c>
      <c r="AF411" s="80">
        <f t="shared" si="288"/>
        <v>0</v>
      </c>
      <c r="AG411" s="80">
        <f t="shared" si="288"/>
        <v>0</v>
      </c>
      <c r="AH411" s="80"/>
      <c r="AI411" s="80"/>
    </row>
    <row r="412" spans="2:35" ht="15.75" customHeight="1" collapsed="1">
      <c r="B412" s="111"/>
      <c r="C412" s="80" t="s">
        <v>285</v>
      </c>
      <c r="D412" s="80"/>
      <c r="E412" s="80"/>
      <c r="F412" s="80"/>
      <c r="G412" s="80"/>
      <c r="H412" s="88"/>
      <c r="I412" s="80"/>
      <c r="J412" s="80"/>
      <c r="K412" s="80"/>
      <c r="L412" s="80"/>
      <c r="M412" s="80"/>
      <c r="N412" s="80"/>
      <c r="O412" s="80"/>
      <c r="P412" s="80">
        <f t="shared" ref="P412:Y412" si="289">P269</f>
        <v>0</v>
      </c>
      <c r="Q412" s="80">
        <f t="shared" si="289"/>
        <v>0</v>
      </c>
      <c r="R412" s="80"/>
      <c r="S412" s="80">
        <f t="shared" si="277"/>
        <v>0</v>
      </c>
      <c r="T412" s="80">
        <f t="shared" si="278"/>
        <v>0</v>
      </c>
      <c r="U412" s="80">
        <f t="shared" si="289"/>
        <v>0</v>
      </c>
      <c r="V412" s="80">
        <f t="shared" si="289"/>
        <v>0</v>
      </c>
      <c r="W412" s="80">
        <f t="shared" si="289"/>
        <v>0</v>
      </c>
      <c r="X412" s="80">
        <f t="shared" si="289"/>
        <v>0</v>
      </c>
      <c r="Y412" s="80">
        <f t="shared" si="289"/>
        <v>0</v>
      </c>
      <c r="Z412" s="80">
        <f t="shared" ref="Z412:AG412" si="290">Z269</f>
        <v>0</v>
      </c>
      <c r="AA412" s="80">
        <f t="shared" si="290"/>
        <v>0</v>
      </c>
      <c r="AB412" s="80">
        <f t="shared" si="290"/>
        <v>0</v>
      </c>
      <c r="AC412" s="80">
        <f t="shared" si="290"/>
        <v>0</v>
      </c>
      <c r="AD412" s="80">
        <f t="shared" si="290"/>
        <v>0</v>
      </c>
      <c r="AE412" s="80">
        <f t="shared" si="290"/>
        <v>0</v>
      </c>
      <c r="AF412" s="80">
        <f t="shared" si="290"/>
        <v>0</v>
      </c>
      <c r="AG412" s="80">
        <f t="shared" si="290"/>
        <v>0</v>
      </c>
      <c r="AH412" s="80"/>
      <c r="AI412" s="80"/>
    </row>
    <row r="413" spans="2:35" ht="15.75" customHeight="1">
      <c r="B413" s="111"/>
      <c r="C413" s="80" t="s">
        <v>286</v>
      </c>
      <c r="D413" s="80"/>
      <c r="E413" s="80"/>
      <c r="F413" s="80"/>
      <c r="G413" s="80"/>
      <c r="H413" s="88"/>
      <c r="I413" s="79"/>
      <c r="J413" s="79"/>
      <c r="K413" s="79"/>
      <c r="L413" s="79"/>
      <c r="M413" s="79"/>
      <c r="N413" s="79"/>
      <c r="O413" s="79"/>
      <c r="P413" s="79">
        <f t="shared" ref="P413:AG413" si="291">-P112*P172</f>
        <v>0</v>
      </c>
      <c r="Q413" s="79">
        <f t="shared" si="291"/>
        <v>0</v>
      </c>
      <c r="R413" s="79"/>
      <c r="S413" s="79">
        <f t="shared" si="277"/>
        <v>0</v>
      </c>
      <c r="T413" s="79">
        <f t="shared" si="278"/>
        <v>0</v>
      </c>
      <c r="U413" s="79">
        <f t="shared" si="291"/>
        <v>0</v>
      </c>
      <c r="V413" s="79">
        <f t="shared" si="291"/>
        <v>0</v>
      </c>
      <c r="W413" s="79">
        <f t="shared" si="291"/>
        <v>0</v>
      </c>
      <c r="X413" s="79">
        <f t="shared" si="291"/>
        <v>0</v>
      </c>
      <c r="Y413" s="79">
        <f t="shared" si="291"/>
        <v>0</v>
      </c>
      <c r="Z413" s="79">
        <f t="shared" si="291"/>
        <v>0</v>
      </c>
      <c r="AA413" s="79">
        <f t="shared" si="291"/>
        <v>0</v>
      </c>
      <c r="AB413" s="79">
        <f t="shared" si="291"/>
        <v>0</v>
      </c>
      <c r="AC413" s="79">
        <f t="shared" si="291"/>
        <v>0</v>
      </c>
      <c r="AD413" s="79">
        <f t="shared" si="291"/>
        <v>0</v>
      </c>
      <c r="AE413" s="79">
        <f t="shared" si="291"/>
        <v>0</v>
      </c>
      <c r="AF413" s="79">
        <f t="shared" si="291"/>
        <v>0</v>
      </c>
      <c r="AG413" s="79">
        <f t="shared" si="291"/>
        <v>0</v>
      </c>
      <c r="AH413" s="79"/>
      <c r="AI413" s="79"/>
    </row>
    <row r="414" spans="2:35" ht="15.75" customHeight="1">
      <c r="B414" s="111"/>
      <c r="C414" s="525" t="s">
        <v>287</v>
      </c>
      <c r="D414" s="80"/>
      <c r="E414" s="80"/>
      <c r="F414" s="80"/>
      <c r="G414" s="80"/>
      <c r="H414" s="88"/>
      <c r="I414" s="129"/>
      <c r="J414" s="129"/>
      <c r="K414" s="129"/>
      <c r="L414" s="129"/>
      <c r="M414" s="129"/>
      <c r="N414" s="129"/>
      <c r="O414" s="129"/>
      <c r="P414" s="129">
        <f t="shared" ref="P414:Y414" si="292">SUM(P408:P413)</f>
        <v>-14698333.333333334</v>
      </c>
      <c r="Q414" s="129">
        <f t="shared" si="292"/>
        <v>27490523.896643318</v>
      </c>
      <c r="R414" s="129"/>
      <c r="S414" s="129">
        <f t="shared" si="292"/>
        <v>6278426.868334597</v>
      </c>
      <c r="T414" s="129">
        <f t="shared" si="292"/>
        <v>6278426.868334597</v>
      </c>
      <c r="U414" s="129">
        <f t="shared" si="292"/>
        <v>20971557.883151002</v>
      </c>
      <c r="V414" s="129">
        <f t="shared" si="292"/>
        <v>29838156.394647166</v>
      </c>
      <c r="W414" s="129">
        <f t="shared" si="292"/>
        <v>32898054.09424112</v>
      </c>
      <c r="X414" s="129">
        <f t="shared" si="292"/>
        <v>36646439.484095246</v>
      </c>
      <c r="Y414" s="129">
        <f t="shared" si="292"/>
        <v>38838436.973023832</v>
      </c>
      <c r="Z414" s="129">
        <f t="shared" ref="Z414:AG414" si="293">SUM(Z408:Z413)</f>
        <v>38832779.709523834</v>
      </c>
      <c r="AA414" s="129">
        <f t="shared" si="293"/>
        <v>38827122.446023837</v>
      </c>
      <c r="AB414" s="129">
        <f t="shared" si="293"/>
        <v>38821465.182523832</v>
      </c>
      <c r="AC414" s="129">
        <f t="shared" si="293"/>
        <v>38815807.919023827</v>
      </c>
      <c r="AD414" s="129">
        <f t="shared" si="293"/>
        <v>38810150.655523829</v>
      </c>
      <c r="AE414" s="129">
        <f t="shared" si="293"/>
        <v>30444308.518557899</v>
      </c>
      <c r="AF414" s="129">
        <f t="shared" si="293"/>
        <v>30438525.1185579</v>
      </c>
      <c r="AG414" s="129">
        <f t="shared" si="293"/>
        <v>23812540.914846312</v>
      </c>
      <c r="AH414" s="129"/>
      <c r="AI414" s="129"/>
    </row>
    <row r="415" spans="2:35" ht="7.5" customHeight="1">
      <c r="B415" s="111"/>
      <c r="C415" s="80"/>
      <c r="D415" s="80"/>
      <c r="E415" s="80"/>
      <c r="F415" s="80"/>
      <c r="G415" s="80"/>
      <c r="H415" s="514"/>
      <c r="I415" s="80"/>
      <c r="J415" s="80"/>
      <c r="K415" s="80"/>
      <c r="L415" s="82"/>
      <c r="M415" s="100"/>
      <c r="N415" s="100"/>
      <c r="O415" s="100"/>
      <c r="P415" s="100"/>
      <c r="Q415" s="100"/>
      <c r="R415" s="100"/>
      <c r="S415" s="100">
        <f t="shared" si="277"/>
        <v>0</v>
      </c>
      <c r="T415" s="100">
        <f t="shared" si="278"/>
        <v>0</v>
      </c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  <c r="AE415" s="100"/>
      <c r="AF415" s="100"/>
      <c r="AG415" s="100"/>
      <c r="AH415" s="100"/>
      <c r="AI415" s="100"/>
    </row>
    <row r="416" spans="2:35" ht="15.75" customHeight="1">
      <c r="B416" s="111"/>
      <c r="C416" s="76" t="s">
        <v>288</v>
      </c>
      <c r="D416" s="80"/>
      <c r="E416" s="80"/>
      <c r="F416" s="80"/>
      <c r="G416" s="80"/>
      <c r="H416" s="514"/>
      <c r="I416" s="80"/>
      <c r="J416" s="80"/>
      <c r="K416" s="80"/>
      <c r="L416" s="82"/>
      <c r="M416" s="100"/>
      <c r="N416" s="100"/>
      <c r="O416" s="100"/>
      <c r="P416" s="100"/>
      <c r="Q416" s="100"/>
      <c r="R416" s="100"/>
      <c r="S416" s="100">
        <f t="shared" si="277"/>
        <v>0</v>
      </c>
      <c r="T416" s="100">
        <f t="shared" si="278"/>
        <v>0</v>
      </c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100"/>
      <c r="AG416" s="100"/>
      <c r="AH416" s="100"/>
      <c r="AI416" s="100"/>
    </row>
    <row r="417" spans="2:35" ht="15.75" customHeight="1">
      <c r="B417" s="111"/>
      <c r="C417" s="164" t="s">
        <v>1804</v>
      </c>
      <c r="D417" s="80"/>
      <c r="E417" s="80"/>
      <c r="F417" s="80"/>
      <c r="G417" s="80"/>
      <c r="H417" s="88"/>
      <c r="I417" s="80"/>
      <c r="J417" s="80"/>
      <c r="K417" s="80"/>
      <c r="L417" s="80"/>
      <c r="M417" s="80"/>
      <c r="N417" s="80"/>
      <c r="O417" s="80"/>
      <c r="P417" s="80">
        <f t="shared" ref="P417:Q419" si="294">O417+P423</f>
        <v>7000000</v>
      </c>
      <c r="Q417" s="80">
        <f t="shared" si="294"/>
        <v>11875000</v>
      </c>
      <c r="R417" s="80"/>
      <c r="S417" s="80">
        <f t="shared" si="277"/>
        <v>11875000</v>
      </c>
      <c r="T417" s="80">
        <f t="shared" si="278"/>
        <v>11875000</v>
      </c>
      <c r="U417" s="80">
        <f>Q417+U423</f>
        <v>4375000</v>
      </c>
      <c r="V417" s="80">
        <f t="shared" ref="V417:Y419" si="295">U417+V423</f>
        <v>0</v>
      </c>
      <c r="W417" s="80">
        <f t="shared" si="295"/>
        <v>0</v>
      </c>
      <c r="X417" s="80">
        <f t="shared" si="295"/>
        <v>0</v>
      </c>
      <c r="Y417" s="80">
        <f t="shared" si="295"/>
        <v>0</v>
      </c>
      <c r="Z417" s="80">
        <f t="shared" ref="Z417:AF419" si="296">Y417+Z423</f>
        <v>0</v>
      </c>
      <c r="AA417" s="80">
        <f t="shared" si="296"/>
        <v>0</v>
      </c>
      <c r="AB417" s="80">
        <f t="shared" si="296"/>
        <v>0</v>
      </c>
      <c r="AC417" s="80">
        <f t="shared" si="296"/>
        <v>0</v>
      </c>
      <c r="AD417" s="80">
        <f t="shared" si="296"/>
        <v>0</v>
      </c>
      <c r="AE417" s="80">
        <f t="shared" si="296"/>
        <v>0</v>
      </c>
      <c r="AF417" s="80">
        <f t="shared" si="296"/>
        <v>0</v>
      </c>
      <c r="AG417" s="80">
        <f>AF417+AG423</f>
        <v>0</v>
      </c>
      <c r="AH417" s="80"/>
      <c r="AI417" s="80"/>
    </row>
    <row r="418" spans="2:35" ht="15.75" customHeight="1">
      <c r="B418" s="111"/>
      <c r="C418" s="164"/>
      <c r="D418" s="80"/>
      <c r="E418" s="80"/>
      <c r="F418" s="80"/>
      <c r="G418" s="80"/>
      <c r="H418" s="88"/>
      <c r="I418" s="80"/>
      <c r="J418" s="80"/>
      <c r="K418" s="80"/>
      <c r="L418" s="82"/>
      <c r="M418" s="82"/>
      <c r="N418" s="82"/>
      <c r="O418" s="82"/>
      <c r="P418" s="82">
        <f t="shared" si="294"/>
        <v>0</v>
      </c>
      <c r="Q418" s="82">
        <f t="shared" si="294"/>
        <v>0</v>
      </c>
      <c r="R418" s="82"/>
      <c r="S418" s="82">
        <f t="shared" si="277"/>
        <v>0</v>
      </c>
      <c r="T418" s="82">
        <f t="shared" si="278"/>
        <v>0</v>
      </c>
      <c r="U418" s="82">
        <f>Q418+U424</f>
        <v>0</v>
      </c>
      <c r="V418" s="82">
        <f t="shared" si="295"/>
        <v>0</v>
      </c>
      <c r="W418" s="82">
        <f t="shared" si="295"/>
        <v>0</v>
      </c>
      <c r="X418" s="82">
        <f t="shared" si="295"/>
        <v>0</v>
      </c>
      <c r="Y418" s="82">
        <f t="shared" si="295"/>
        <v>0</v>
      </c>
      <c r="Z418" s="82">
        <f t="shared" si="296"/>
        <v>0</v>
      </c>
      <c r="AA418" s="82">
        <f t="shared" si="296"/>
        <v>0</v>
      </c>
      <c r="AB418" s="82">
        <f t="shared" si="296"/>
        <v>0</v>
      </c>
      <c r="AC418" s="82">
        <f t="shared" si="296"/>
        <v>0</v>
      </c>
      <c r="AD418" s="82">
        <f t="shared" si="296"/>
        <v>0</v>
      </c>
      <c r="AE418" s="82">
        <f t="shared" si="296"/>
        <v>0</v>
      </c>
      <c r="AF418" s="82">
        <f t="shared" si="296"/>
        <v>0</v>
      </c>
      <c r="AG418" s="82">
        <f>AF418+AG424</f>
        <v>0</v>
      </c>
      <c r="AH418" s="82"/>
      <c r="AI418" s="82"/>
    </row>
    <row r="419" spans="2:35" ht="15.75" customHeight="1">
      <c r="B419" s="111"/>
      <c r="C419" s="164"/>
      <c r="D419" s="80"/>
      <c r="E419" s="80"/>
      <c r="F419" s="80"/>
      <c r="G419" s="80"/>
      <c r="H419" s="88"/>
      <c r="I419" s="80"/>
      <c r="J419" s="80"/>
      <c r="K419" s="80"/>
      <c r="L419" s="80"/>
      <c r="M419" s="80"/>
      <c r="N419" s="80"/>
      <c r="O419" s="80"/>
      <c r="P419" s="80">
        <f t="shared" si="294"/>
        <v>0</v>
      </c>
      <c r="Q419" s="80">
        <f t="shared" si="294"/>
        <v>0</v>
      </c>
      <c r="R419" s="80"/>
      <c r="S419" s="80">
        <f t="shared" si="277"/>
        <v>0</v>
      </c>
      <c r="T419" s="80">
        <f t="shared" si="278"/>
        <v>0</v>
      </c>
      <c r="U419" s="80">
        <f>Q419+U425</f>
        <v>0</v>
      </c>
      <c r="V419" s="80">
        <f t="shared" si="295"/>
        <v>0</v>
      </c>
      <c r="W419" s="80">
        <f t="shared" si="295"/>
        <v>0</v>
      </c>
      <c r="X419" s="80">
        <f t="shared" si="295"/>
        <v>0</v>
      </c>
      <c r="Y419" s="80">
        <f t="shared" si="295"/>
        <v>0</v>
      </c>
      <c r="Z419" s="80">
        <f t="shared" si="296"/>
        <v>0</v>
      </c>
      <c r="AA419" s="80">
        <f t="shared" si="296"/>
        <v>0</v>
      </c>
      <c r="AB419" s="80">
        <f t="shared" si="296"/>
        <v>0</v>
      </c>
      <c r="AC419" s="80">
        <f t="shared" si="296"/>
        <v>0</v>
      </c>
      <c r="AD419" s="80">
        <f t="shared" si="296"/>
        <v>0</v>
      </c>
      <c r="AE419" s="80">
        <f t="shared" si="296"/>
        <v>0</v>
      </c>
      <c r="AF419" s="80">
        <f t="shared" si="296"/>
        <v>0</v>
      </c>
      <c r="AG419" s="80">
        <f>AF419+AG425</f>
        <v>0</v>
      </c>
      <c r="AH419" s="80"/>
      <c r="AI419" s="80"/>
    </row>
    <row r="420" spans="2:35" ht="15.75" customHeight="1">
      <c r="B420" s="111"/>
      <c r="C420" s="76" t="s">
        <v>289</v>
      </c>
      <c r="D420" s="80"/>
      <c r="E420" s="80"/>
      <c r="F420" s="80"/>
      <c r="G420" s="80"/>
      <c r="H420" s="88"/>
      <c r="I420" s="80"/>
      <c r="J420" s="80"/>
      <c r="K420" s="80"/>
      <c r="L420" s="82"/>
      <c r="M420" s="82"/>
      <c r="N420" s="82"/>
      <c r="O420" s="82"/>
      <c r="P420" s="82">
        <f t="shared" ref="P420:Y420" si="297">SUM(P417:P419)</f>
        <v>7000000</v>
      </c>
      <c r="Q420" s="82">
        <f t="shared" si="297"/>
        <v>11875000</v>
      </c>
      <c r="R420" s="82"/>
      <c r="S420" s="82">
        <f t="shared" si="277"/>
        <v>11875000</v>
      </c>
      <c r="T420" s="82">
        <f t="shared" si="278"/>
        <v>11875000</v>
      </c>
      <c r="U420" s="82">
        <f t="shared" si="297"/>
        <v>4375000</v>
      </c>
      <c r="V420" s="82">
        <f t="shared" si="297"/>
        <v>0</v>
      </c>
      <c r="W420" s="82">
        <f t="shared" si="297"/>
        <v>0</v>
      </c>
      <c r="X420" s="82">
        <f t="shared" si="297"/>
        <v>0</v>
      </c>
      <c r="Y420" s="82">
        <f t="shared" si="297"/>
        <v>0</v>
      </c>
      <c r="Z420" s="82">
        <f t="shared" ref="Z420:AG420" si="298">SUM(Z417:Z419)</f>
        <v>0</v>
      </c>
      <c r="AA420" s="82">
        <f t="shared" si="298"/>
        <v>0</v>
      </c>
      <c r="AB420" s="82">
        <f t="shared" si="298"/>
        <v>0</v>
      </c>
      <c r="AC420" s="82">
        <f t="shared" si="298"/>
        <v>0</v>
      </c>
      <c r="AD420" s="82">
        <f t="shared" si="298"/>
        <v>0</v>
      </c>
      <c r="AE420" s="82">
        <f t="shared" si="298"/>
        <v>0</v>
      </c>
      <c r="AF420" s="82">
        <f t="shared" si="298"/>
        <v>0</v>
      </c>
      <c r="AG420" s="82">
        <f t="shared" si="298"/>
        <v>0</v>
      </c>
      <c r="AH420" s="82"/>
      <c r="AI420" s="82"/>
    </row>
    <row r="421" spans="2:35" ht="7.5" customHeight="1">
      <c r="B421" s="111"/>
      <c r="C421" s="102"/>
      <c r="D421" s="102"/>
      <c r="E421" s="102"/>
      <c r="F421" s="102"/>
      <c r="G421" s="102"/>
      <c r="I421" s="117"/>
      <c r="J421" s="102"/>
      <c r="K421" s="102"/>
      <c r="L421" s="121"/>
      <c r="M421" s="100"/>
      <c r="N421" s="100"/>
      <c r="O421" s="100"/>
      <c r="P421" s="100"/>
      <c r="Q421" s="100"/>
      <c r="R421" s="100"/>
      <c r="S421" s="100">
        <f t="shared" si="277"/>
        <v>0</v>
      </c>
      <c r="T421" s="100">
        <f t="shared" si="278"/>
        <v>0</v>
      </c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  <c r="AE421" s="100"/>
      <c r="AF421" s="100"/>
      <c r="AG421" s="100"/>
      <c r="AH421" s="100"/>
      <c r="AI421" s="100"/>
    </row>
    <row r="422" spans="2:35" ht="15.75" customHeight="1">
      <c r="B422" s="111"/>
      <c r="C422" s="76" t="s">
        <v>290</v>
      </c>
      <c r="D422" s="80"/>
      <c r="E422" s="80"/>
      <c r="F422" s="80"/>
      <c r="G422" s="80"/>
      <c r="H422" s="88"/>
      <c r="I422" s="80"/>
      <c r="J422" s="80"/>
      <c r="K422" s="80"/>
      <c r="L422" s="82"/>
      <c r="M422" s="100"/>
      <c r="N422" s="100"/>
      <c r="O422" s="100"/>
      <c r="P422" s="100"/>
      <c r="Q422" s="100"/>
      <c r="R422" s="100"/>
      <c r="S422" s="100">
        <f t="shared" si="277"/>
        <v>0</v>
      </c>
      <c r="T422" s="100">
        <f t="shared" si="278"/>
        <v>0</v>
      </c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  <c r="AE422" s="100"/>
      <c r="AF422" s="100"/>
      <c r="AG422" s="100"/>
      <c r="AH422" s="100"/>
      <c r="AI422" s="100"/>
    </row>
    <row r="423" spans="2:35" ht="15.75" customHeight="1">
      <c r="B423" s="110"/>
      <c r="C423" s="164" t="s">
        <v>1804</v>
      </c>
      <c r="D423" s="80"/>
      <c r="E423" s="80"/>
      <c r="F423" s="80"/>
      <c r="G423" s="80"/>
      <c r="H423" s="88"/>
      <c r="I423" s="79"/>
      <c r="J423" s="79"/>
      <c r="K423" s="79"/>
      <c r="L423" s="79"/>
      <c r="M423" s="79"/>
      <c r="N423" s="79"/>
      <c r="O423" s="79"/>
      <c r="P423" s="79">
        <f>7000000</f>
        <v>7000000</v>
      </c>
      <c r="Q423" s="79">
        <f>-450000000/30/24*5+8000000</f>
        <v>4875000</v>
      </c>
      <c r="R423" s="79"/>
      <c r="S423" s="79">
        <f t="shared" si="277"/>
        <v>4875000</v>
      </c>
      <c r="T423" s="79">
        <f t="shared" si="278"/>
        <v>4875000</v>
      </c>
      <c r="U423" s="79">
        <f>-450000000/30/24*12</f>
        <v>-7500000</v>
      </c>
      <c r="V423" s="79">
        <f>-450000000/30/24*7</f>
        <v>-4375000</v>
      </c>
      <c r="W423" s="79">
        <v>0</v>
      </c>
      <c r="X423" s="79">
        <v>0</v>
      </c>
      <c r="Y423" s="79">
        <f>X423</f>
        <v>0</v>
      </c>
      <c r="Z423" s="79">
        <f t="shared" ref="Z423:AG423" si="299">Y423</f>
        <v>0</v>
      </c>
      <c r="AA423" s="79">
        <f t="shared" si="299"/>
        <v>0</v>
      </c>
      <c r="AB423" s="79">
        <f t="shared" si="299"/>
        <v>0</v>
      </c>
      <c r="AC423" s="79">
        <f t="shared" si="299"/>
        <v>0</v>
      </c>
      <c r="AD423" s="79">
        <f t="shared" si="299"/>
        <v>0</v>
      </c>
      <c r="AE423" s="79">
        <f t="shared" si="299"/>
        <v>0</v>
      </c>
      <c r="AF423" s="79">
        <f t="shared" si="299"/>
        <v>0</v>
      </c>
      <c r="AG423" s="79">
        <f t="shared" si="299"/>
        <v>0</v>
      </c>
      <c r="AH423" s="79"/>
      <c r="AI423" s="79"/>
    </row>
    <row r="424" spans="2:35" ht="15.75" customHeight="1">
      <c r="B424" s="110"/>
      <c r="C424" s="164"/>
      <c r="D424" s="80"/>
      <c r="E424" s="80"/>
      <c r="F424" s="80"/>
      <c r="G424" s="80"/>
      <c r="H424" s="88"/>
      <c r="I424" s="79"/>
      <c r="J424" s="79"/>
      <c r="K424" s="79"/>
      <c r="L424" s="79"/>
      <c r="M424" s="79"/>
      <c r="N424" s="79"/>
      <c r="O424" s="79"/>
      <c r="P424" s="79">
        <v>0</v>
      </c>
      <c r="Q424" s="79">
        <v>0</v>
      </c>
      <c r="R424" s="79"/>
      <c r="S424" s="79">
        <f t="shared" si="277"/>
        <v>0</v>
      </c>
      <c r="T424" s="79">
        <f t="shared" si="278"/>
        <v>0</v>
      </c>
      <c r="U424" s="79">
        <v>0</v>
      </c>
      <c r="V424" s="79">
        <f>-U418</f>
        <v>0</v>
      </c>
      <c r="W424" s="79">
        <f>-V418</f>
        <v>0</v>
      </c>
      <c r="X424" s="79">
        <f>-W418</f>
        <v>0</v>
      </c>
      <c r="Y424" s="79">
        <f>-X418</f>
        <v>0</v>
      </c>
      <c r="Z424" s="79">
        <f t="shared" ref="Z424:AG424" si="300">-Y418</f>
        <v>0</v>
      </c>
      <c r="AA424" s="79">
        <f t="shared" si="300"/>
        <v>0</v>
      </c>
      <c r="AB424" s="79">
        <f t="shared" si="300"/>
        <v>0</v>
      </c>
      <c r="AC424" s="79">
        <f t="shared" si="300"/>
        <v>0</v>
      </c>
      <c r="AD424" s="79">
        <f t="shared" si="300"/>
        <v>0</v>
      </c>
      <c r="AE424" s="79">
        <f t="shared" si="300"/>
        <v>0</v>
      </c>
      <c r="AF424" s="79">
        <f t="shared" si="300"/>
        <v>0</v>
      </c>
      <c r="AG424" s="79">
        <f t="shared" si="300"/>
        <v>0</v>
      </c>
      <c r="AH424" s="79"/>
      <c r="AI424" s="79"/>
    </row>
    <row r="425" spans="2:35" ht="15.75" customHeight="1">
      <c r="B425" s="110"/>
      <c r="C425" s="164"/>
      <c r="D425" s="80"/>
      <c r="E425" s="80"/>
      <c r="F425" s="80"/>
      <c r="G425" s="80"/>
      <c r="H425" s="88"/>
      <c r="I425" s="79"/>
      <c r="J425" s="79"/>
      <c r="K425" s="79"/>
      <c r="L425" s="79"/>
      <c r="M425" s="79"/>
      <c r="N425" s="79"/>
      <c r="O425" s="79"/>
      <c r="P425" s="79">
        <v>0</v>
      </c>
      <c r="Q425" s="79">
        <v>0</v>
      </c>
      <c r="R425" s="79"/>
      <c r="S425" s="79">
        <f t="shared" si="277"/>
        <v>0</v>
      </c>
      <c r="T425" s="79">
        <f t="shared" si="278"/>
        <v>0</v>
      </c>
      <c r="U425" s="79">
        <v>0</v>
      </c>
      <c r="V425" s="79">
        <v>0</v>
      </c>
      <c r="W425" s="79">
        <v>0</v>
      </c>
      <c r="X425" s="79">
        <v>0</v>
      </c>
      <c r="Y425" s="79">
        <v>0</v>
      </c>
      <c r="Z425" s="79">
        <v>0</v>
      </c>
      <c r="AA425" s="79">
        <v>0</v>
      </c>
      <c r="AB425" s="79">
        <v>0</v>
      </c>
      <c r="AC425" s="79">
        <v>0</v>
      </c>
      <c r="AD425" s="79">
        <v>0</v>
      </c>
      <c r="AE425" s="79">
        <v>0</v>
      </c>
      <c r="AF425" s="79">
        <v>0</v>
      </c>
      <c r="AG425" s="79">
        <v>0</v>
      </c>
      <c r="AH425" s="79"/>
      <c r="AI425" s="79"/>
    </row>
    <row r="426" spans="2:35" ht="15.75" customHeight="1">
      <c r="B426" s="110"/>
      <c r="C426" s="76" t="s">
        <v>290</v>
      </c>
      <c r="D426" s="80"/>
      <c r="E426" s="80"/>
      <c r="F426" s="80"/>
      <c r="G426" s="80"/>
      <c r="H426" s="514"/>
      <c r="I426" s="80"/>
      <c r="J426" s="80"/>
      <c r="K426" s="80"/>
      <c r="L426" s="82"/>
      <c r="M426" s="82"/>
      <c r="N426" s="82"/>
      <c r="O426" s="82"/>
      <c r="P426" s="82">
        <f t="shared" ref="P426:Y426" si="301">SUM(P423:P425)</f>
        <v>7000000</v>
      </c>
      <c r="Q426" s="82">
        <f t="shared" si="301"/>
        <v>4875000</v>
      </c>
      <c r="R426" s="82"/>
      <c r="S426" s="82">
        <f t="shared" si="277"/>
        <v>4875000</v>
      </c>
      <c r="T426" s="82">
        <f t="shared" si="278"/>
        <v>4875000</v>
      </c>
      <c r="U426" s="82">
        <f t="shared" si="301"/>
        <v>-7500000</v>
      </c>
      <c r="V426" s="82">
        <f t="shared" si="301"/>
        <v>-4375000</v>
      </c>
      <c r="W426" s="82">
        <f t="shared" si="301"/>
        <v>0</v>
      </c>
      <c r="X426" s="82">
        <f t="shared" si="301"/>
        <v>0</v>
      </c>
      <c r="Y426" s="82">
        <f t="shared" si="301"/>
        <v>0</v>
      </c>
      <c r="Z426" s="82">
        <f t="shared" ref="Z426:AG426" si="302">SUM(Z423:Z425)</f>
        <v>0</v>
      </c>
      <c r="AA426" s="82">
        <f t="shared" si="302"/>
        <v>0</v>
      </c>
      <c r="AB426" s="82">
        <f t="shared" si="302"/>
        <v>0</v>
      </c>
      <c r="AC426" s="82">
        <f t="shared" si="302"/>
        <v>0</v>
      </c>
      <c r="AD426" s="82">
        <f t="shared" si="302"/>
        <v>0</v>
      </c>
      <c r="AE426" s="82">
        <f t="shared" si="302"/>
        <v>0</v>
      </c>
      <c r="AF426" s="82">
        <f t="shared" si="302"/>
        <v>0</v>
      </c>
      <c r="AG426" s="82">
        <f t="shared" si="302"/>
        <v>0</v>
      </c>
      <c r="AH426" s="82"/>
      <c r="AI426" s="82"/>
    </row>
    <row r="427" spans="2:35" ht="15.75" customHeight="1">
      <c r="B427" s="110"/>
      <c r="C427" s="102"/>
      <c r="D427" s="102"/>
      <c r="E427" s="102"/>
      <c r="F427" s="102"/>
      <c r="G427" s="102"/>
      <c r="I427" s="117"/>
      <c r="J427" s="102"/>
      <c r="K427" s="102"/>
      <c r="L427" s="121"/>
      <c r="M427" s="100"/>
      <c r="N427" s="100"/>
      <c r="O427" s="100"/>
      <c r="P427" s="100"/>
      <c r="Q427" s="100"/>
      <c r="R427" s="100"/>
      <c r="S427" s="100">
        <f t="shared" si="277"/>
        <v>0</v>
      </c>
      <c r="T427" s="100">
        <f t="shared" si="278"/>
        <v>0</v>
      </c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  <c r="AE427" s="100"/>
      <c r="AF427" s="100"/>
      <c r="AG427" s="100"/>
      <c r="AH427" s="100"/>
      <c r="AI427" s="100"/>
    </row>
    <row r="428" spans="2:35" ht="15.75" customHeight="1">
      <c r="B428" s="111"/>
      <c r="C428" s="76" t="s">
        <v>291</v>
      </c>
      <c r="D428" s="80"/>
      <c r="E428" s="80"/>
      <c r="F428" s="80"/>
      <c r="G428" s="80"/>
      <c r="H428" s="88"/>
      <c r="I428" s="80"/>
      <c r="J428" s="80"/>
      <c r="K428" s="80"/>
      <c r="L428" s="80"/>
      <c r="M428" s="80"/>
      <c r="N428" s="80"/>
      <c r="O428" s="80"/>
      <c r="P428" s="80">
        <f t="shared" ref="P428:Y428" si="303">P414+P426</f>
        <v>-7698333.333333334</v>
      </c>
      <c r="Q428" s="80">
        <f t="shared" si="303"/>
        <v>32365523.896643318</v>
      </c>
      <c r="R428" s="80"/>
      <c r="S428" s="80">
        <f t="shared" si="303"/>
        <v>11153426.868334597</v>
      </c>
      <c r="T428" s="80">
        <f t="shared" si="303"/>
        <v>11153426.868334597</v>
      </c>
      <c r="U428" s="80">
        <f t="shared" si="303"/>
        <v>13471557.883151002</v>
      </c>
      <c r="V428" s="80">
        <f t="shared" si="303"/>
        <v>25463156.394647166</v>
      </c>
      <c r="W428" s="80">
        <f t="shared" si="303"/>
        <v>32898054.09424112</v>
      </c>
      <c r="X428" s="80">
        <f t="shared" si="303"/>
        <v>36646439.484095246</v>
      </c>
      <c r="Y428" s="80">
        <f t="shared" si="303"/>
        <v>38838436.973023832</v>
      </c>
      <c r="Z428" s="80">
        <f t="shared" ref="Z428:AG428" si="304">Z414+Z426</f>
        <v>38832779.709523834</v>
      </c>
      <c r="AA428" s="80">
        <f t="shared" si="304"/>
        <v>38827122.446023837</v>
      </c>
      <c r="AB428" s="80">
        <f t="shared" si="304"/>
        <v>38821465.182523832</v>
      </c>
      <c r="AC428" s="80">
        <f t="shared" si="304"/>
        <v>38815807.919023827</v>
      </c>
      <c r="AD428" s="80">
        <f t="shared" si="304"/>
        <v>38810150.655523829</v>
      </c>
      <c r="AE428" s="80">
        <f t="shared" si="304"/>
        <v>30444308.518557899</v>
      </c>
      <c r="AF428" s="80">
        <f t="shared" si="304"/>
        <v>30438525.1185579</v>
      </c>
      <c r="AG428" s="80">
        <f t="shared" si="304"/>
        <v>23812540.914846312</v>
      </c>
      <c r="AH428" s="80"/>
      <c r="AI428" s="80"/>
    </row>
    <row r="429" spans="2:35" ht="6.75" customHeight="1">
      <c r="B429" s="110"/>
      <c r="C429" s="102"/>
      <c r="D429" s="525"/>
      <c r="E429" s="525"/>
      <c r="F429" s="525"/>
      <c r="G429" s="525"/>
      <c r="H429" s="542"/>
      <c r="I429" s="525"/>
      <c r="J429" s="80"/>
      <c r="K429" s="80"/>
      <c r="L429" s="80"/>
      <c r="M429" s="100"/>
      <c r="N429" s="100"/>
      <c r="O429" s="100"/>
      <c r="P429" s="100"/>
      <c r="Q429" s="100"/>
      <c r="R429" s="100"/>
      <c r="S429" s="100">
        <f t="shared" si="277"/>
        <v>0</v>
      </c>
      <c r="T429" s="100">
        <f t="shared" si="278"/>
        <v>0</v>
      </c>
      <c r="U429" s="100"/>
      <c r="V429" s="100"/>
      <c r="W429" s="100"/>
      <c r="X429" s="100"/>
      <c r="Y429" s="100"/>
      <c r="Z429" s="100"/>
      <c r="AA429" s="100"/>
      <c r="AB429" s="100"/>
      <c r="AC429" s="100"/>
      <c r="AD429" s="100"/>
      <c r="AE429" s="100"/>
      <c r="AF429" s="100"/>
      <c r="AG429" s="100"/>
      <c r="AH429" s="100"/>
      <c r="AI429" s="100"/>
    </row>
    <row r="430" spans="2:35" ht="15.75" customHeight="1">
      <c r="B430" s="111"/>
      <c r="C430" s="76" t="s">
        <v>292</v>
      </c>
      <c r="D430" s="525"/>
      <c r="E430" s="525"/>
      <c r="F430" s="525"/>
      <c r="G430" s="525"/>
      <c r="H430" s="542"/>
      <c r="I430" s="525"/>
      <c r="J430" s="80"/>
      <c r="K430" s="80"/>
      <c r="L430" s="80"/>
      <c r="M430" s="100"/>
      <c r="N430" s="100"/>
      <c r="O430" s="100"/>
      <c r="P430" s="100"/>
      <c r="Q430" s="100"/>
      <c r="R430" s="100"/>
      <c r="S430" s="100">
        <f t="shared" si="277"/>
        <v>0</v>
      </c>
      <c r="T430" s="100">
        <f t="shared" si="278"/>
        <v>0</v>
      </c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  <c r="AE430" s="100"/>
      <c r="AF430" s="100"/>
      <c r="AG430" s="100"/>
      <c r="AH430" s="100"/>
      <c r="AI430" s="100"/>
    </row>
    <row r="431" spans="2:35" ht="15.75" customHeight="1">
      <c r="B431" s="111"/>
      <c r="C431" s="164" t="s">
        <v>293</v>
      </c>
      <c r="D431" s="82"/>
      <c r="E431" s="87"/>
      <c r="F431" s="80"/>
      <c r="G431" s="80"/>
      <c r="H431" s="88"/>
      <c r="I431" s="131"/>
      <c r="J431" s="543"/>
      <c r="K431" s="131"/>
      <c r="L431" s="131"/>
      <c r="M431" s="131"/>
      <c r="N431" s="131"/>
      <c r="O431" s="131"/>
      <c r="P431" s="131">
        <f t="shared" ref="P431:Y431" si="305">O433</f>
        <v>0</v>
      </c>
      <c r="Q431" s="131">
        <f t="shared" si="305"/>
        <v>0</v>
      </c>
      <c r="R431" s="131"/>
      <c r="S431" s="131">
        <f t="shared" si="277"/>
        <v>0</v>
      </c>
      <c r="T431" s="131">
        <f t="shared" si="278"/>
        <v>0</v>
      </c>
      <c r="U431" s="131">
        <f>Q433</f>
        <v>0</v>
      </c>
      <c r="V431" s="131">
        <f t="shared" si="305"/>
        <v>0</v>
      </c>
      <c r="W431" s="131">
        <f t="shared" si="305"/>
        <v>0</v>
      </c>
      <c r="X431" s="131">
        <f t="shared" si="305"/>
        <v>0</v>
      </c>
      <c r="Y431" s="131">
        <f t="shared" si="305"/>
        <v>0</v>
      </c>
      <c r="Z431" s="131">
        <f t="shared" ref="Z431:AG431" si="306">Y433</f>
        <v>0</v>
      </c>
      <c r="AA431" s="131">
        <f t="shared" si="306"/>
        <v>0</v>
      </c>
      <c r="AB431" s="131">
        <f t="shared" si="306"/>
        <v>0</v>
      </c>
      <c r="AC431" s="131">
        <f t="shared" si="306"/>
        <v>0</v>
      </c>
      <c r="AD431" s="131">
        <f t="shared" si="306"/>
        <v>0</v>
      </c>
      <c r="AE431" s="131">
        <f t="shared" si="306"/>
        <v>0</v>
      </c>
      <c r="AF431" s="131">
        <f t="shared" si="306"/>
        <v>0</v>
      </c>
      <c r="AG431" s="131">
        <f t="shared" si="306"/>
        <v>0</v>
      </c>
      <c r="AH431" s="131"/>
      <c r="AI431" s="131"/>
    </row>
    <row r="432" spans="2:35" ht="15.75" customHeight="1">
      <c r="B432" s="111"/>
      <c r="C432" s="164" t="s">
        <v>294</v>
      </c>
      <c r="D432" s="80"/>
      <c r="E432" s="80"/>
      <c r="F432" s="80"/>
      <c r="G432" s="80"/>
      <c r="H432" s="88"/>
      <c r="I432" s="131"/>
      <c r="J432" s="131"/>
      <c r="K432" s="131"/>
      <c r="L432" s="131"/>
      <c r="M432" s="131"/>
      <c r="N432" s="131"/>
      <c r="O432" s="131"/>
      <c r="P432" s="131">
        <v>0</v>
      </c>
      <c r="Q432" s="131">
        <f t="shared" ref="Q432:Y432" si="307">-MIN(Q428,Q431)</f>
        <v>0</v>
      </c>
      <c r="R432" s="131"/>
      <c r="S432" s="131">
        <f t="shared" si="277"/>
        <v>0</v>
      </c>
      <c r="T432" s="131">
        <f t="shared" si="278"/>
        <v>0</v>
      </c>
      <c r="U432" s="131">
        <f t="shared" si="307"/>
        <v>0</v>
      </c>
      <c r="V432" s="131">
        <f t="shared" si="307"/>
        <v>0</v>
      </c>
      <c r="W432" s="131">
        <f t="shared" si="307"/>
        <v>0</v>
      </c>
      <c r="X432" s="131">
        <f t="shared" si="307"/>
        <v>0</v>
      </c>
      <c r="Y432" s="131">
        <f t="shared" si="307"/>
        <v>0</v>
      </c>
      <c r="Z432" s="131">
        <f t="shared" ref="Z432:AG432" si="308">-MIN(Z428,Z431)</f>
        <v>0</v>
      </c>
      <c r="AA432" s="131">
        <f t="shared" si="308"/>
        <v>0</v>
      </c>
      <c r="AB432" s="131">
        <f t="shared" si="308"/>
        <v>0</v>
      </c>
      <c r="AC432" s="131">
        <f t="shared" si="308"/>
        <v>0</v>
      </c>
      <c r="AD432" s="131">
        <f t="shared" si="308"/>
        <v>0</v>
      </c>
      <c r="AE432" s="131">
        <f t="shared" si="308"/>
        <v>0</v>
      </c>
      <c r="AF432" s="131">
        <f t="shared" si="308"/>
        <v>0</v>
      </c>
      <c r="AG432" s="131">
        <f t="shared" si="308"/>
        <v>0</v>
      </c>
      <c r="AH432" s="131"/>
      <c r="AI432" s="131"/>
    </row>
    <row r="433" spans="2:35" ht="15.75" customHeight="1">
      <c r="B433" s="111"/>
      <c r="C433" s="164" t="s">
        <v>295</v>
      </c>
      <c r="D433" s="80"/>
      <c r="E433" s="80"/>
      <c r="F433" s="80"/>
      <c r="G433" s="80"/>
      <c r="H433" s="88"/>
      <c r="I433" s="130"/>
      <c r="J433" s="130"/>
      <c r="K433" s="130"/>
      <c r="L433" s="130"/>
      <c r="M433" s="130"/>
      <c r="N433" s="130"/>
      <c r="O433" s="130"/>
      <c r="P433" s="130">
        <f t="shared" ref="P433:Y433" si="309">P431+P432</f>
        <v>0</v>
      </c>
      <c r="Q433" s="130">
        <f t="shared" si="309"/>
        <v>0</v>
      </c>
      <c r="R433" s="130"/>
      <c r="S433" s="130">
        <f t="shared" si="277"/>
        <v>0</v>
      </c>
      <c r="T433" s="130">
        <f t="shared" si="278"/>
        <v>0</v>
      </c>
      <c r="U433" s="130">
        <f t="shared" si="309"/>
        <v>0</v>
      </c>
      <c r="V433" s="130">
        <f t="shared" si="309"/>
        <v>0</v>
      </c>
      <c r="W433" s="130">
        <f t="shared" si="309"/>
        <v>0</v>
      </c>
      <c r="X433" s="130">
        <f t="shared" si="309"/>
        <v>0</v>
      </c>
      <c r="Y433" s="130">
        <f t="shared" si="309"/>
        <v>0</v>
      </c>
      <c r="Z433" s="130">
        <f t="shared" ref="Z433:AG433" si="310">Z431+Z432</f>
        <v>0</v>
      </c>
      <c r="AA433" s="130">
        <f t="shared" si="310"/>
        <v>0</v>
      </c>
      <c r="AB433" s="130">
        <f t="shared" si="310"/>
        <v>0</v>
      </c>
      <c r="AC433" s="130">
        <f t="shared" si="310"/>
        <v>0</v>
      </c>
      <c r="AD433" s="130">
        <f t="shared" si="310"/>
        <v>0</v>
      </c>
      <c r="AE433" s="130">
        <f t="shared" si="310"/>
        <v>0</v>
      </c>
      <c r="AF433" s="130">
        <f t="shared" si="310"/>
        <v>0</v>
      </c>
      <c r="AG433" s="130">
        <f t="shared" si="310"/>
        <v>0</v>
      </c>
      <c r="AH433" s="130"/>
      <c r="AI433" s="130"/>
    </row>
    <row r="434" spans="2:35" ht="15.75" customHeight="1">
      <c r="B434" s="111"/>
      <c r="C434" s="102"/>
      <c r="D434" s="80"/>
      <c r="E434" s="80"/>
      <c r="F434" s="80"/>
      <c r="G434" s="80"/>
      <c r="H434" s="88"/>
      <c r="I434" s="80"/>
      <c r="J434" s="80"/>
      <c r="K434" s="80"/>
      <c r="L434" s="80"/>
      <c r="M434" s="100"/>
      <c r="N434" s="100"/>
      <c r="O434" s="100"/>
      <c r="P434" s="100"/>
      <c r="Q434" s="100"/>
      <c r="R434" s="100"/>
      <c r="S434" s="100">
        <f t="shared" si="277"/>
        <v>0</v>
      </c>
      <c r="T434" s="100">
        <f t="shared" si="278"/>
        <v>0</v>
      </c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100"/>
      <c r="AG434" s="100"/>
      <c r="AH434" s="100"/>
      <c r="AI434" s="100"/>
    </row>
    <row r="435" spans="2:35" ht="15.75" hidden="1" customHeight="1" outlineLevel="1">
      <c r="B435" s="111"/>
      <c r="C435" s="76" t="s">
        <v>296</v>
      </c>
      <c r="D435" s="80"/>
      <c r="E435" s="80"/>
      <c r="F435" s="80"/>
      <c r="G435" s="80"/>
      <c r="H435" s="88"/>
      <c r="I435" s="131"/>
      <c r="J435" s="132"/>
      <c r="K435" s="132"/>
      <c r="L435" s="132"/>
      <c r="M435" s="131"/>
      <c r="N435" s="131"/>
      <c r="O435" s="131"/>
      <c r="P435" s="131">
        <f t="shared" ref="P435:Y435" si="311">P428+P432</f>
        <v>-7698333.333333334</v>
      </c>
      <c r="Q435" s="131">
        <f t="shared" si="311"/>
        <v>32365523.896643318</v>
      </c>
      <c r="R435" s="131"/>
      <c r="S435" s="131">
        <f t="shared" si="311"/>
        <v>11153426.868334597</v>
      </c>
      <c r="T435" s="131">
        <f t="shared" si="311"/>
        <v>11153426.868334597</v>
      </c>
      <c r="U435" s="131">
        <f t="shared" si="311"/>
        <v>13471557.883151002</v>
      </c>
      <c r="V435" s="131">
        <f t="shared" si="311"/>
        <v>25463156.394647166</v>
      </c>
      <c r="W435" s="131">
        <f t="shared" si="311"/>
        <v>32898054.09424112</v>
      </c>
      <c r="X435" s="131">
        <f t="shared" si="311"/>
        <v>36646439.484095246</v>
      </c>
      <c r="Y435" s="131">
        <f t="shared" si="311"/>
        <v>38838436.973023832</v>
      </c>
      <c r="Z435" s="131">
        <f t="shared" ref="Z435:AG435" si="312">Z428+Z432</f>
        <v>38832779.709523834</v>
      </c>
      <c r="AA435" s="131">
        <f t="shared" si="312"/>
        <v>38827122.446023837</v>
      </c>
      <c r="AB435" s="131">
        <f t="shared" si="312"/>
        <v>38821465.182523832</v>
      </c>
      <c r="AC435" s="131">
        <f t="shared" si="312"/>
        <v>38815807.919023827</v>
      </c>
      <c r="AD435" s="131">
        <f t="shared" si="312"/>
        <v>38810150.655523829</v>
      </c>
      <c r="AE435" s="131">
        <f t="shared" si="312"/>
        <v>30444308.518557899</v>
      </c>
      <c r="AF435" s="131">
        <f t="shared" si="312"/>
        <v>30438525.1185579</v>
      </c>
      <c r="AG435" s="131">
        <f t="shared" si="312"/>
        <v>23812540.914846312</v>
      </c>
      <c r="AH435" s="131"/>
      <c r="AI435" s="131"/>
    </row>
    <row r="436" spans="2:35" ht="15.75" hidden="1" customHeight="1" outlineLevel="1">
      <c r="B436" s="111"/>
      <c r="C436" s="76"/>
      <c r="D436" s="80"/>
      <c r="E436" s="80"/>
      <c r="F436" s="80"/>
      <c r="G436" s="80"/>
      <c r="H436" s="88"/>
      <c r="I436" s="80"/>
      <c r="J436" s="80"/>
      <c r="K436" s="80"/>
      <c r="L436" s="80"/>
      <c r="M436" s="100"/>
      <c r="N436" s="100"/>
      <c r="O436" s="100"/>
      <c r="P436" s="100"/>
      <c r="Q436" s="100"/>
      <c r="R436" s="100"/>
      <c r="S436" s="100">
        <f t="shared" si="277"/>
        <v>0</v>
      </c>
      <c r="T436" s="100">
        <f t="shared" si="278"/>
        <v>0</v>
      </c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  <c r="AE436" s="100"/>
      <c r="AF436" s="100"/>
      <c r="AG436" s="100"/>
      <c r="AH436" s="100"/>
      <c r="AI436" s="100"/>
    </row>
    <row r="437" spans="2:35" ht="15.75" hidden="1" customHeight="1" outlineLevel="1">
      <c r="B437" s="111"/>
      <c r="C437" s="76" t="s">
        <v>1413</v>
      </c>
      <c r="D437" s="80"/>
      <c r="E437" s="80"/>
      <c r="F437" s="80"/>
      <c r="G437" s="80"/>
      <c r="H437" s="88"/>
      <c r="I437" s="131"/>
      <c r="J437" s="132"/>
      <c r="K437" s="132"/>
      <c r="L437" s="132"/>
      <c r="M437" s="131"/>
      <c r="N437" s="131"/>
      <c r="O437" s="131"/>
      <c r="P437" s="131">
        <f t="shared" ref="P437:Y437" si="313">-P413</f>
        <v>0</v>
      </c>
      <c r="Q437" s="131">
        <f t="shared" si="313"/>
        <v>0</v>
      </c>
      <c r="R437" s="131"/>
      <c r="S437" s="131">
        <f t="shared" si="277"/>
        <v>0</v>
      </c>
      <c r="T437" s="131">
        <f t="shared" si="278"/>
        <v>0</v>
      </c>
      <c r="U437" s="131">
        <f t="shared" si="313"/>
        <v>0</v>
      </c>
      <c r="V437" s="131">
        <f t="shared" si="313"/>
        <v>0</v>
      </c>
      <c r="W437" s="131">
        <f t="shared" si="313"/>
        <v>0</v>
      </c>
      <c r="X437" s="131">
        <f t="shared" si="313"/>
        <v>0</v>
      </c>
      <c r="Y437" s="131">
        <f t="shared" si="313"/>
        <v>0</v>
      </c>
      <c r="Z437" s="131">
        <f t="shared" ref="Z437:AG437" si="314">-Z413</f>
        <v>0</v>
      </c>
      <c r="AA437" s="131">
        <f t="shared" si="314"/>
        <v>0</v>
      </c>
      <c r="AB437" s="131">
        <f t="shared" si="314"/>
        <v>0</v>
      </c>
      <c r="AC437" s="131">
        <f t="shared" si="314"/>
        <v>0</v>
      </c>
      <c r="AD437" s="131">
        <f t="shared" si="314"/>
        <v>0</v>
      </c>
      <c r="AE437" s="131">
        <f t="shared" si="314"/>
        <v>0</v>
      </c>
      <c r="AF437" s="131">
        <f t="shared" si="314"/>
        <v>0</v>
      </c>
      <c r="AG437" s="131">
        <f t="shared" si="314"/>
        <v>0</v>
      </c>
      <c r="AH437" s="131"/>
      <c r="AI437" s="131"/>
    </row>
    <row r="438" spans="2:35" ht="15.75" hidden="1" customHeight="1" outlineLevel="1">
      <c r="B438" s="111"/>
      <c r="C438" s="76" t="s">
        <v>1414</v>
      </c>
      <c r="D438" s="126"/>
      <c r="E438" s="126"/>
      <c r="F438" s="126"/>
      <c r="G438" s="126"/>
      <c r="H438" s="88"/>
      <c r="I438" s="543"/>
      <c r="J438" s="132"/>
      <c r="K438" s="132"/>
      <c r="L438" s="132"/>
      <c r="M438" s="131"/>
      <c r="N438" s="131"/>
      <c r="O438" s="131"/>
      <c r="P438" s="131">
        <f t="shared" ref="P438:Y438" si="315">P270</f>
        <v>-7698333.333333334</v>
      </c>
      <c r="Q438" s="131">
        <f t="shared" si="315"/>
        <v>24667190.563309982</v>
      </c>
      <c r="R438" s="131"/>
      <c r="S438" s="131">
        <f t="shared" si="315"/>
        <v>3455093.535001263</v>
      </c>
      <c r="T438" s="131">
        <f t="shared" si="315"/>
        <v>3455093.535001263</v>
      </c>
      <c r="U438" s="131">
        <f t="shared" si="315"/>
        <v>38138748.446460985</v>
      </c>
      <c r="V438" s="131">
        <f t="shared" si="315"/>
        <v>63601904.841108151</v>
      </c>
      <c r="W438" s="131">
        <f t="shared" si="315"/>
        <v>96499958.935349271</v>
      </c>
      <c r="X438" s="131">
        <f t="shared" si="315"/>
        <v>133146398.41944452</v>
      </c>
      <c r="Y438" s="131">
        <f t="shared" si="315"/>
        <v>171984835.39246833</v>
      </c>
      <c r="Z438" s="131">
        <f t="shared" ref="Z438:AG438" si="316">Z270</f>
        <v>210817615.10199216</v>
      </c>
      <c r="AA438" s="131">
        <f t="shared" si="316"/>
        <v>249644737.54801601</v>
      </c>
      <c r="AB438" s="131">
        <f t="shared" si="316"/>
        <v>288466202.73053986</v>
      </c>
      <c r="AC438" s="131">
        <f t="shared" si="316"/>
        <v>327282010.64956367</v>
      </c>
      <c r="AD438" s="131">
        <f t="shared" si="316"/>
        <v>366092161.30508751</v>
      </c>
      <c r="AE438" s="131">
        <f t="shared" si="316"/>
        <v>396536469.82364541</v>
      </c>
      <c r="AF438" s="131">
        <f t="shared" si="316"/>
        <v>426974994.94220328</v>
      </c>
      <c r="AG438" s="131">
        <f t="shared" si="316"/>
        <v>450787535.85704958</v>
      </c>
      <c r="AH438" s="131"/>
      <c r="AI438" s="131"/>
    </row>
    <row r="439" spans="2:35" ht="15.75" hidden="1" customHeight="1" outlineLevel="1">
      <c r="B439" s="111"/>
      <c r="C439" s="102"/>
      <c r="D439" s="102"/>
      <c r="E439" s="102"/>
      <c r="F439" s="102"/>
      <c r="G439" s="102"/>
      <c r="I439" s="117"/>
      <c r="J439" s="102"/>
      <c r="K439" s="102"/>
      <c r="L439" s="121"/>
      <c r="M439" s="118"/>
      <c r="N439" s="118"/>
      <c r="O439" s="118"/>
      <c r="P439" s="118"/>
      <c r="Q439" s="118"/>
      <c r="R439" s="118"/>
      <c r="S439" s="118">
        <f t="shared" si="277"/>
        <v>0</v>
      </c>
      <c r="T439" s="118">
        <f t="shared" si="278"/>
        <v>0</v>
      </c>
      <c r="U439" s="118"/>
      <c r="V439" s="118"/>
      <c r="W439" s="118"/>
      <c r="X439" s="118"/>
      <c r="Y439" s="118"/>
      <c r="Z439" s="118"/>
      <c r="AA439" s="118"/>
      <c r="AB439" s="118"/>
      <c r="AC439" s="118"/>
      <c r="AD439" s="118"/>
      <c r="AE439" s="118"/>
      <c r="AF439" s="118"/>
      <c r="AG439" s="118"/>
      <c r="AH439" s="118"/>
      <c r="AI439" s="118"/>
    </row>
    <row r="440" spans="2:35" ht="15.75" hidden="1" customHeight="1" outlineLevel="1">
      <c r="B440" s="111"/>
      <c r="C440" s="102"/>
      <c r="D440" s="102"/>
      <c r="E440" s="102"/>
      <c r="F440" s="102"/>
      <c r="G440" s="102"/>
      <c r="I440" s="117"/>
      <c r="J440" s="102"/>
      <c r="K440" s="102"/>
      <c r="L440" s="121"/>
      <c r="M440" s="118"/>
      <c r="N440" s="118"/>
      <c r="O440" s="118"/>
      <c r="P440" s="118"/>
      <c r="Q440" s="118"/>
      <c r="R440" s="118"/>
      <c r="S440" s="118">
        <f t="shared" si="277"/>
        <v>0</v>
      </c>
      <c r="T440" s="118">
        <f t="shared" si="278"/>
        <v>0</v>
      </c>
      <c r="U440" s="118"/>
      <c r="V440" s="118"/>
      <c r="W440" s="118"/>
      <c r="X440" s="118"/>
      <c r="Y440" s="118"/>
      <c r="Z440" s="118"/>
      <c r="AA440" s="118"/>
      <c r="AB440" s="118"/>
      <c r="AC440" s="118"/>
      <c r="AD440" s="118"/>
      <c r="AE440" s="118"/>
      <c r="AF440" s="118"/>
      <c r="AG440" s="118"/>
      <c r="AH440" s="118"/>
      <c r="AI440" s="118"/>
    </row>
    <row r="441" spans="2:35" ht="15.75" hidden="1" customHeight="1" outlineLevel="1">
      <c r="B441" s="111"/>
      <c r="C441" s="102"/>
      <c r="D441" s="102"/>
      <c r="E441" s="102"/>
      <c r="F441" s="102"/>
      <c r="G441" s="102"/>
      <c r="I441" s="117"/>
      <c r="J441" s="102"/>
      <c r="K441" s="102"/>
      <c r="L441" s="121"/>
      <c r="M441" s="118"/>
      <c r="N441" s="118"/>
      <c r="O441" s="118"/>
      <c r="P441" s="118"/>
      <c r="Q441" s="118"/>
      <c r="R441" s="118"/>
      <c r="S441" s="118">
        <f t="shared" si="277"/>
        <v>0</v>
      </c>
      <c r="T441" s="118">
        <f t="shared" si="278"/>
        <v>0</v>
      </c>
      <c r="U441" s="118"/>
      <c r="V441" s="118"/>
      <c r="W441" s="118"/>
      <c r="X441" s="118"/>
      <c r="Y441" s="118"/>
      <c r="Z441" s="118"/>
      <c r="AA441" s="118"/>
      <c r="AB441" s="118"/>
      <c r="AC441" s="118"/>
      <c r="AD441" s="118"/>
      <c r="AE441" s="118"/>
      <c r="AF441" s="118"/>
      <c r="AG441" s="118"/>
      <c r="AH441" s="118"/>
      <c r="AI441" s="118"/>
    </row>
    <row r="442" spans="2:35" ht="15.75" customHeight="1" collapsed="1">
      <c r="B442" s="111"/>
      <c r="C442" s="102"/>
      <c r="D442" s="102"/>
      <c r="E442" s="102"/>
      <c r="F442" s="102"/>
      <c r="G442" s="102"/>
      <c r="I442" s="117"/>
      <c r="J442" s="102"/>
      <c r="K442" s="102"/>
      <c r="L442" s="121"/>
      <c r="M442" s="118"/>
      <c r="N442" s="118"/>
      <c r="O442" s="118"/>
      <c r="P442" s="118"/>
      <c r="Q442" s="118"/>
      <c r="R442" s="118"/>
      <c r="S442" s="118">
        <f t="shared" si="277"/>
        <v>0</v>
      </c>
      <c r="T442" s="118">
        <f t="shared" si="278"/>
        <v>0</v>
      </c>
      <c r="U442" s="118"/>
      <c r="V442" s="118"/>
      <c r="W442" s="118"/>
      <c r="X442" s="118"/>
      <c r="Y442" s="118"/>
      <c r="Z442" s="118"/>
      <c r="AA442" s="118"/>
      <c r="AB442" s="118"/>
      <c r="AC442" s="118"/>
      <c r="AD442" s="118"/>
      <c r="AE442" s="118"/>
      <c r="AF442" s="118"/>
      <c r="AG442" s="118"/>
      <c r="AH442" s="118"/>
      <c r="AI442" s="118"/>
    </row>
    <row r="443" spans="2:35" ht="27" hidden="1" outlineLevel="1">
      <c r="B443" s="111"/>
      <c r="C443" s="499" t="s">
        <v>432</v>
      </c>
      <c r="I443" s="117"/>
      <c r="J443" s="102"/>
      <c r="K443" s="103"/>
      <c r="L443" s="137"/>
      <c r="M443" s="435"/>
      <c r="N443" s="435"/>
      <c r="O443" s="435"/>
      <c r="P443" s="435"/>
      <c r="Q443" s="435"/>
      <c r="R443" s="435"/>
      <c r="S443" s="435">
        <f t="shared" si="277"/>
        <v>0</v>
      </c>
      <c r="T443" s="435">
        <f t="shared" si="278"/>
        <v>0</v>
      </c>
      <c r="U443" s="435"/>
      <c r="V443" s="435"/>
      <c r="W443" s="435"/>
      <c r="X443" s="435"/>
      <c r="Y443" s="435"/>
      <c r="Z443" s="435"/>
      <c r="AA443" s="435"/>
      <c r="AB443" s="435"/>
      <c r="AC443" s="435"/>
      <c r="AD443" s="435"/>
      <c r="AE443" s="435"/>
      <c r="AF443" s="435"/>
      <c r="AG443" s="435"/>
      <c r="AH443" s="435"/>
      <c r="AI443" s="435"/>
    </row>
    <row r="444" spans="2:35" ht="3" hidden="1" customHeight="1" outlineLevel="1">
      <c r="B444" s="111"/>
      <c r="C444" s="104"/>
      <c r="D444" s="104"/>
      <c r="E444" s="104"/>
      <c r="F444" s="104"/>
      <c r="G444" s="104"/>
      <c r="H444" s="465"/>
      <c r="I444" s="104"/>
      <c r="J444" s="104"/>
      <c r="K444" s="104"/>
      <c r="L444" s="104"/>
      <c r="M444" s="104"/>
      <c r="N444" s="420"/>
      <c r="O444" s="420"/>
      <c r="P444" s="420"/>
      <c r="Q444" s="420"/>
      <c r="R444" s="420"/>
      <c r="S444" s="420">
        <f t="shared" si="277"/>
        <v>0</v>
      </c>
      <c r="T444" s="420">
        <f t="shared" si="278"/>
        <v>0</v>
      </c>
      <c r="U444" s="420"/>
      <c r="V444" s="420"/>
      <c r="W444" s="420"/>
      <c r="X444" s="420"/>
      <c r="Y444" s="420"/>
      <c r="Z444" s="420"/>
      <c r="AA444" s="420"/>
      <c r="AB444" s="420"/>
      <c r="AC444" s="420"/>
      <c r="AD444" s="420"/>
      <c r="AE444" s="420"/>
      <c r="AF444" s="420"/>
      <c r="AG444" s="420"/>
      <c r="AH444" s="420"/>
      <c r="AI444" s="420"/>
    </row>
    <row r="445" spans="2:35" ht="15.75" hidden="1" customHeight="1" outlineLevel="1">
      <c r="B445" s="111"/>
      <c r="C445" s="75" t="s">
        <v>1415</v>
      </c>
      <c r="I445" s="117"/>
      <c r="J445" s="102"/>
      <c r="K445" s="103"/>
      <c r="L445" s="137"/>
      <c r="M445" s="435"/>
      <c r="N445" s="435"/>
      <c r="O445" s="435"/>
      <c r="P445" s="435"/>
      <c r="Q445" s="435"/>
      <c r="R445" s="435"/>
      <c r="S445" s="435">
        <f t="shared" si="277"/>
        <v>0</v>
      </c>
      <c r="T445" s="435">
        <f t="shared" si="278"/>
        <v>0</v>
      </c>
      <c r="U445" s="435"/>
      <c r="V445" s="435"/>
      <c r="W445" s="435"/>
      <c r="X445" s="435"/>
      <c r="Y445" s="435"/>
      <c r="Z445" s="435"/>
      <c r="AA445" s="435"/>
      <c r="AB445" s="435"/>
      <c r="AC445" s="435"/>
      <c r="AD445" s="435"/>
      <c r="AE445" s="435"/>
      <c r="AF445" s="435"/>
      <c r="AG445" s="435"/>
      <c r="AH445" s="435"/>
      <c r="AI445" s="435"/>
    </row>
    <row r="446" spans="2:35" ht="15.75" hidden="1" customHeight="1" outlineLevel="1">
      <c r="B446" s="111"/>
      <c r="C446" s="480" t="s">
        <v>427</v>
      </c>
      <c r="I446" s="117"/>
      <c r="J446" s="500"/>
      <c r="K446" s="105"/>
      <c r="L446" s="138"/>
      <c r="M446" s="138"/>
      <c r="N446" s="138"/>
      <c r="O446" s="138"/>
      <c r="P446" s="138"/>
      <c r="Q446" s="138"/>
      <c r="R446" s="138"/>
      <c r="S446" s="138">
        <f t="shared" si="277"/>
        <v>0</v>
      </c>
      <c r="T446" s="138">
        <f t="shared" si="278"/>
        <v>0</v>
      </c>
      <c r="U446" s="138"/>
      <c r="V446" s="138"/>
      <c r="W446" s="138"/>
      <c r="X446" s="138"/>
      <c r="Y446" s="138"/>
      <c r="Z446" s="138"/>
      <c r="AA446" s="138"/>
      <c r="AB446" s="138"/>
      <c r="AC446" s="138"/>
      <c r="AD446" s="138"/>
      <c r="AE446" s="138"/>
      <c r="AF446" s="138"/>
      <c r="AG446" s="138"/>
      <c r="AH446" s="138"/>
      <c r="AI446" s="138"/>
    </row>
    <row r="447" spans="2:35" ht="15.75" hidden="1" customHeight="1" outlineLevel="1">
      <c r="B447" s="111"/>
      <c r="C447" s="501" t="s">
        <v>1415</v>
      </c>
      <c r="D447" s="106"/>
      <c r="E447" s="106"/>
      <c r="F447" s="106"/>
      <c r="G447" s="106"/>
      <c r="H447" s="502"/>
      <c r="I447" s="92">
        <v>0</v>
      </c>
      <c r="J447" s="92">
        <v>1</v>
      </c>
      <c r="K447" s="92">
        <v>2</v>
      </c>
      <c r="L447" s="92">
        <v>3</v>
      </c>
      <c r="M447" s="92">
        <v>4</v>
      </c>
      <c r="N447" s="92">
        <v>5</v>
      </c>
      <c r="O447" s="92">
        <f t="shared" ref="O447:W447" si="317">O7</f>
        <v>6</v>
      </c>
      <c r="P447" s="92">
        <f t="shared" si="317"/>
        <v>7</v>
      </c>
      <c r="Q447" s="92">
        <f t="shared" si="317"/>
        <v>8</v>
      </c>
      <c r="R447" s="92"/>
      <c r="S447" s="92">
        <f t="shared" si="277"/>
        <v>8</v>
      </c>
      <c r="T447" s="92">
        <f t="shared" si="278"/>
        <v>8</v>
      </c>
      <c r="U447" s="92">
        <f t="shared" si="317"/>
        <v>9</v>
      </c>
      <c r="V447" s="92">
        <f t="shared" si="317"/>
        <v>10</v>
      </c>
      <c r="W447" s="92">
        <f t="shared" si="317"/>
        <v>11</v>
      </c>
      <c r="X447" s="92">
        <f>X7</f>
        <v>12</v>
      </c>
      <c r="Y447" s="92">
        <f>Y7</f>
        <v>13</v>
      </c>
      <c r="Z447" s="92">
        <f t="shared" ref="Z447:AG447" si="318">Z7</f>
        <v>14</v>
      </c>
      <c r="AA447" s="92">
        <f t="shared" si="318"/>
        <v>15</v>
      </c>
      <c r="AB447" s="92">
        <f t="shared" si="318"/>
        <v>16</v>
      </c>
      <c r="AC447" s="92">
        <f t="shared" si="318"/>
        <v>17</v>
      </c>
      <c r="AD447" s="92">
        <f t="shared" si="318"/>
        <v>18</v>
      </c>
      <c r="AE447" s="92">
        <f t="shared" si="318"/>
        <v>19</v>
      </c>
      <c r="AF447" s="92">
        <f t="shared" si="318"/>
        <v>20</v>
      </c>
      <c r="AG447" s="92">
        <f t="shared" si="318"/>
        <v>21</v>
      </c>
      <c r="AH447" s="92"/>
      <c r="AI447" s="92"/>
    </row>
    <row r="448" spans="2:35" ht="15.75" hidden="1" customHeight="1" outlineLevel="1">
      <c r="B448" s="111"/>
      <c r="C448" s="504"/>
      <c r="D448" s="469"/>
      <c r="E448" s="469"/>
      <c r="F448" s="469"/>
      <c r="G448" s="469"/>
      <c r="H448" s="470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3"/>
      <c r="AG448" s="93"/>
      <c r="AH448" s="93"/>
      <c r="AI448" s="93"/>
    </row>
    <row r="449" spans="2:35" ht="15.75" hidden="1" customHeight="1" outlineLevel="1">
      <c r="B449" s="111"/>
      <c r="C449" s="505"/>
      <c r="D449" s="472"/>
      <c r="E449" s="506"/>
      <c r="F449" s="506"/>
      <c r="G449" s="506"/>
      <c r="H449" s="473"/>
      <c r="I449" s="94" t="s">
        <v>499</v>
      </c>
      <c r="J449" s="94" t="s">
        <v>499</v>
      </c>
      <c r="K449" s="112" t="s">
        <v>499</v>
      </c>
      <c r="L449" s="112" t="s">
        <v>499</v>
      </c>
      <c r="M449" s="112" t="s">
        <v>499</v>
      </c>
      <c r="N449" s="112" t="s">
        <v>499</v>
      </c>
      <c r="O449" s="112" t="s">
        <v>499</v>
      </c>
      <c r="P449" s="112" t="s">
        <v>499</v>
      </c>
      <c r="Q449" s="112" t="s">
        <v>499</v>
      </c>
      <c r="R449" s="112"/>
      <c r="S449" s="112" t="str">
        <f t="shared" si="277"/>
        <v>($)</v>
      </c>
      <c r="T449" s="112" t="str">
        <f t="shared" si="278"/>
        <v>($)</v>
      </c>
      <c r="U449" s="112" t="s">
        <v>499</v>
      </c>
      <c r="V449" s="112" t="s">
        <v>499</v>
      </c>
      <c r="W449" s="112" t="s">
        <v>499</v>
      </c>
      <c r="X449" s="112" t="s">
        <v>499</v>
      </c>
      <c r="Y449" s="112" t="s">
        <v>499</v>
      </c>
      <c r="Z449" s="112" t="s">
        <v>499</v>
      </c>
      <c r="AA449" s="112" t="s">
        <v>499</v>
      </c>
      <c r="AB449" s="112" t="s">
        <v>499</v>
      </c>
      <c r="AC449" s="112" t="s">
        <v>499</v>
      </c>
      <c r="AD449" s="112" t="s">
        <v>499</v>
      </c>
      <c r="AE449" s="112" t="s">
        <v>499</v>
      </c>
      <c r="AF449" s="112" t="s">
        <v>499</v>
      </c>
      <c r="AG449" s="112" t="s">
        <v>499</v>
      </c>
      <c r="AH449" s="112"/>
      <c r="AI449" s="112"/>
    </row>
    <row r="450" spans="2:35" ht="15.75" hidden="1" customHeight="1" outlineLevel="1">
      <c r="B450" s="111"/>
      <c r="C450" s="106"/>
      <c r="D450" s="106"/>
      <c r="E450" s="106"/>
      <c r="F450" s="106"/>
      <c r="G450" s="106"/>
      <c r="I450" s="106"/>
      <c r="J450" s="106"/>
      <c r="K450" s="106"/>
      <c r="L450" s="140"/>
      <c r="M450" s="100"/>
      <c r="S450" s="81">
        <f t="shared" si="277"/>
        <v>0</v>
      </c>
      <c r="T450" s="81">
        <f t="shared" si="278"/>
        <v>0</v>
      </c>
    </row>
    <row r="451" spans="2:35" ht="15.75" hidden="1" customHeight="1" outlineLevel="1">
      <c r="B451" s="111"/>
      <c r="C451" s="76" t="s">
        <v>1416</v>
      </c>
      <c r="D451" s="117"/>
      <c r="E451" s="117"/>
      <c r="F451" s="117"/>
      <c r="G451" s="117"/>
      <c r="H451" s="88"/>
      <c r="I451" s="117"/>
      <c r="J451" s="117"/>
      <c r="K451" s="117"/>
      <c r="L451" s="118"/>
      <c r="M451" s="100"/>
      <c r="S451" s="81">
        <f t="shared" si="277"/>
        <v>0</v>
      </c>
      <c r="T451" s="81">
        <f t="shared" si="278"/>
        <v>0</v>
      </c>
    </row>
    <row r="452" spans="2:35" ht="15.75" hidden="1" customHeight="1" outlineLevel="1">
      <c r="B452" s="111"/>
      <c r="C452" s="164" t="str">
        <f>C417</f>
        <v>PromsvyazBank @ 13%</v>
      </c>
      <c r="D452" s="110"/>
      <c r="E452" s="110"/>
      <c r="F452" s="110"/>
      <c r="G452" s="110"/>
      <c r="H452" s="88"/>
      <c r="I452" s="80"/>
      <c r="J452" s="80"/>
      <c r="K452" s="80"/>
      <c r="L452" s="80"/>
      <c r="M452" s="80"/>
      <c r="N452" s="80"/>
      <c r="O452" s="80"/>
      <c r="P452" s="80">
        <f>P417/3</f>
        <v>2333333.3333333335</v>
      </c>
      <c r="Q452" s="80">
        <f t="shared" ref="P452:Y454" si="319">AVERAGE(P417:Q417)</f>
        <v>9437500</v>
      </c>
      <c r="R452" s="80"/>
      <c r="S452" s="80">
        <f t="shared" si="277"/>
        <v>9437500</v>
      </c>
      <c r="T452" s="80">
        <f t="shared" si="278"/>
        <v>9437500</v>
      </c>
      <c r="U452" s="80">
        <f>AVERAGE(Q417:U417)</f>
        <v>10000000</v>
      </c>
      <c r="V452" s="80">
        <f t="shared" si="319"/>
        <v>2187500</v>
      </c>
      <c r="W452" s="80">
        <f t="shared" si="319"/>
        <v>0</v>
      </c>
      <c r="X452" s="80">
        <f t="shared" si="319"/>
        <v>0</v>
      </c>
      <c r="Y452" s="80">
        <f t="shared" si="319"/>
        <v>0</v>
      </c>
      <c r="Z452" s="80">
        <f t="shared" ref="Z452:AF454" si="320">AVERAGE(Y417:Z417)</f>
        <v>0</v>
      </c>
      <c r="AA452" s="80">
        <f t="shared" si="320"/>
        <v>0</v>
      </c>
      <c r="AB452" s="80">
        <f t="shared" si="320"/>
        <v>0</v>
      </c>
      <c r="AC452" s="80">
        <f t="shared" si="320"/>
        <v>0</v>
      </c>
      <c r="AD452" s="80">
        <f t="shared" si="320"/>
        <v>0</v>
      </c>
      <c r="AE452" s="80">
        <f t="shared" si="320"/>
        <v>0</v>
      </c>
      <c r="AF452" s="80">
        <f t="shared" si="320"/>
        <v>0</v>
      </c>
      <c r="AG452" s="80">
        <f>AVERAGE(AF417:AG417)</f>
        <v>0</v>
      </c>
      <c r="AH452" s="80"/>
      <c r="AI452" s="80"/>
    </row>
    <row r="453" spans="2:35" ht="15.75" hidden="1" customHeight="1" outlineLevel="1">
      <c r="B453" s="111"/>
      <c r="C453" s="164"/>
      <c r="D453" s="110"/>
      <c r="E453" s="110"/>
      <c r="F453" s="110"/>
      <c r="G453" s="110"/>
      <c r="H453" s="88"/>
      <c r="I453" s="80"/>
      <c r="J453" s="80"/>
      <c r="K453" s="80"/>
      <c r="L453" s="80"/>
      <c r="M453" s="80"/>
      <c r="N453" s="80"/>
      <c r="O453" s="80"/>
      <c r="P453" s="80">
        <f t="shared" si="319"/>
        <v>0</v>
      </c>
      <c r="Q453" s="80">
        <f t="shared" si="319"/>
        <v>0</v>
      </c>
      <c r="R453" s="80"/>
      <c r="S453" s="80">
        <f t="shared" si="277"/>
        <v>0</v>
      </c>
      <c r="T453" s="80">
        <f t="shared" si="278"/>
        <v>0</v>
      </c>
      <c r="U453" s="80">
        <f>AVERAGE(Q418:U418)</f>
        <v>0</v>
      </c>
      <c r="V453" s="80">
        <f t="shared" si="319"/>
        <v>0</v>
      </c>
      <c r="W453" s="80">
        <f t="shared" si="319"/>
        <v>0</v>
      </c>
      <c r="X453" s="80">
        <f t="shared" si="319"/>
        <v>0</v>
      </c>
      <c r="Y453" s="80">
        <f t="shared" si="319"/>
        <v>0</v>
      </c>
      <c r="Z453" s="80">
        <f t="shared" si="320"/>
        <v>0</v>
      </c>
      <c r="AA453" s="80">
        <f t="shared" si="320"/>
        <v>0</v>
      </c>
      <c r="AB453" s="80">
        <f t="shared" si="320"/>
        <v>0</v>
      </c>
      <c r="AC453" s="80">
        <f t="shared" si="320"/>
        <v>0</v>
      </c>
      <c r="AD453" s="80">
        <f t="shared" si="320"/>
        <v>0</v>
      </c>
      <c r="AE453" s="80">
        <f t="shared" si="320"/>
        <v>0</v>
      </c>
      <c r="AF453" s="80">
        <f t="shared" si="320"/>
        <v>0</v>
      </c>
      <c r="AG453" s="80">
        <f>AVERAGE(AF418:AG418)</f>
        <v>0</v>
      </c>
      <c r="AH453" s="80"/>
      <c r="AI453" s="80"/>
    </row>
    <row r="454" spans="2:35" ht="15.75" hidden="1" customHeight="1" outlineLevel="1">
      <c r="B454" s="111"/>
      <c r="C454" s="164"/>
      <c r="D454" s="110"/>
      <c r="E454" s="110"/>
      <c r="F454" s="110"/>
      <c r="G454" s="110"/>
      <c r="H454" s="88"/>
      <c r="I454" s="80"/>
      <c r="J454" s="80"/>
      <c r="K454" s="80"/>
      <c r="L454" s="80"/>
      <c r="M454" s="80"/>
      <c r="N454" s="80"/>
      <c r="O454" s="80"/>
      <c r="P454" s="80">
        <f t="shared" si="319"/>
        <v>0</v>
      </c>
      <c r="Q454" s="80">
        <f t="shared" si="319"/>
        <v>0</v>
      </c>
      <c r="R454" s="80"/>
      <c r="S454" s="80">
        <f t="shared" si="277"/>
        <v>0</v>
      </c>
      <c r="T454" s="80">
        <f t="shared" si="278"/>
        <v>0</v>
      </c>
      <c r="U454" s="80">
        <f>AVERAGE(Q419:U419)</f>
        <v>0</v>
      </c>
      <c r="V454" s="80">
        <f t="shared" si="319"/>
        <v>0</v>
      </c>
      <c r="W454" s="80">
        <f t="shared" si="319"/>
        <v>0</v>
      </c>
      <c r="X454" s="80">
        <f t="shared" si="319"/>
        <v>0</v>
      </c>
      <c r="Y454" s="80">
        <f t="shared" si="319"/>
        <v>0</v>
      </c>
      <c r="Z454" s="80">
        <f t="shared" si="320"/>
        <v>0</v>
      </c>
      <c r="AA454" s="80">
        <f t="shared" si="320"/>
        <v>0</v>
      </c>
      <c r="AB454" s="80">
        <f t="shared" si="320"/>
        <v>0</v>
      </c>
      <c r="AC454" s="80">
        <f t="shared" si="320"/>
        <v>0</v>
      </c>
      <c r="AD454" s="80">
        <f t="shared" si="320"/>
        <v>0</v>
      </c>
      <c r="AE454" s="80">
        <f t="shared" si="320"/>
        <v>0</v>
      </c>
      <c r="AF454" s="80">
        <f t="shared" si="320"/>
        <v>0</v>
      </c>
      <c r="AG454" s="80">
        <f>AVERAGE(AF419:AG419)</f>
        <v>0</v>
      </c>
      <c r="AH454" s="80"/>
      <c r="AI454" s="80"/>
    </row>
    <row r="455" spans="2:35" ht="15.75" hidden="1" customHeight="1" outlineLevel="1">
      <c r="B455" s="111"/>
      <c r="C455" s="164" t="s">
        <v>1417</v>
      </c>
      <c r="D455" s="110"/>
      <c r="E455" s="110"/>
      <c r="F455" s="110"/>
      <c r="G455" s="110"/>
      <c r="H455" s="88"/>
      <c r="I455" s="80"/>
      <c r="J455" s="80"/>
      <c r="K455" s="80"/>
      <c r="L455" s="80"/>
      <c r="M455" s="80"/>
      <c r="N455" s="80"/>
      <c r="O455" s="80"/>
      <c r="P455" s="80">
        <f t="shared" ref="P455:Y455" si="321">O433</f>
        <v>0</v>
      </c>
      <c r="Q455" s="80">
        <f t="shared" si="321"/>
        <v>0</v>
      </c>
      <c r="R455" s="80"/>
      <c r="S455" s="80">
        <f t="shared" si="277"/>
        <v>0</v>
      </c>
      <c r="T455" s="80">
        <f t="shared" si="278"/>
        <v>0</v>
      </c>
      <c r="U455" s="80">
        <f>Q433</f>
        <v>0</v>
      </c>
      <c r="V455" s="80">
        <f t="shared" si="321"/>
        <v>0</v>
      </c>
      <c r="W455" s="80">
        <f t="shared" si="321"/>
        <v>0</v>
      </c>
      <c r="X455" s="80">
        <f t="shared" si="321"/>
        <v>0</v>
      </c>
      <c r="Y455" s="80">
        <f t="shared" si="321"/>
        <v>0</v>
      </c>
      <c r="Z455" s="80">
        <f t="shared" ref="Z455:AG455" si="322">Y433</f>
        <v>0</v>
      </c>
      <c r="AA455" s="80">
        <f t="shared" si="322"/>
        <v>0</v>
      </c>
      <c r="AB455" s="80">
        <f t="shared" si="322"/>
        <v>0</v>
      </c>
      <c r="AC455" s="80">
        <f t="shared" si="322"/>
        <v>0</v>
      </c>
      <c r="AD455" s="80">
        <f t="shared" si="322"/>
        <v>0</v>
      </c>
      <c r="AE455" s="80">
        <f t="shared" si="322"/>
        <v>0</v>
      </c>
      <c r="AF455" s="80">
        <f t="shared" si="322"/>
        <v>0</v>
      </c>
      <c r="AG455" s="80">
        <f t="shared" si="322"/>
        <v>0</v>
      </c>
      <c r="AH455" s="80"/>
      <c r="AI455" s="80"/>
    </row>
    <row r="456" spans="2:35" ht="15.75" hidden="1" customHeight="1" outlineLevel="1">
      <c r="B456" s="111"/>
      <c r="C456" s="164" t="s">
        <v>1418</v>
      </c>
      <c r="D456" s="110"/>
      <c r="E456" s="110"/>
      <c r="F456" s="110"/>
      <c r="G456" s="110"/>
      <c r="H456" s="88"/>
      <c r="I456" s="80"/>
      <c r="J456" s="80"/>
      <c r="K456" s="80"/>
      <c r="L456" s="80"/>
      <c r="M456" s="80"/>
      <c r="N456" s="80"/>
      <c r="O456" s="80"/>
      <c r="P456" s="80">
        <f t="shared" ref="P456:Y456" si="323">O438</f>
        <v>0</v>
      </c>
      <c r="Q456" s="80">
        <f t="shared" si="323"/>
        <v>-7698333.333333334</v>
      </c>
      <c r="R456" s="80"/>
      <c r="S456" s="80">
        <f t="shared" si="277"/>
        <v>-7698333.333333334</v>
      </c>
      <c r="T456" s="80">
        <f t="shared" si="278"/>
        <v>-7698333.333333334</v>
      </c>
      <c r="U456" s="80">
        <f>Q438</f>
        <v>24667190.563309982</v>
      </c>
      <c r="V456" s="80">
        <f t="shared" si="323"/>
        <v>38138748.446460985</v>
      </c>
      <c r="W456" s="80">
        <f t="shared" si="323"/>
        <v>63601904.841108151</v>
      </c>
      <c r="X456" s="80">
        <f t="shared" si="323"/>
        <v>96499958.935349271</v>
      </c>
      <c r="Y456" s="80">
        <f t="shared" si="323"/>
        <v>133146398.41944452</v>
      </c>
      <c r="Z456" s="80">
        <f t="shared" ref="Z456:AG456" si="324">Y438</f>
        <v>171984835.39246833</v>
      </c>
      <c r="AA456" s="80">
        <f t="shared" si="324"/>
        <v>210817615.10199216</v>
      </c>
      <c r="AB456" s="80">
        <f t="shared" si="324"/>
        <v>249644737.54801601</v>
      </c>
      <c r="AC456" s="80">
        <f t="shared" si="324"/>
        <v>288466202.73053986</v>
      </c>
      <c r="AD456" s="80">
        <f t="shared" si="324"/>
        <v>327282010.64956367</v>
      </c>
      <c r="AE456" s="80">
        <f t="shared" si="324"/>
        <v>366092161.30508751</v>
      </c>
      <c r="AF456" s="80">
        <f t="shared" si="324"/>
        <v>396536469.82364541</v>
      </c>
      <c r="AG456" s="80">
        <f t="shared" si="324"/>
        <v>426974994.94220328</v>
      </c>
      <c r="AH456" s="80"/>
      <c r="AI456" s="80"/>
    </row>
    <row r="457" spans="2:35" ht="15.75" hidden="1" customHeight="1" outlineLevel="2">
      <c r="B457" s="111"/>
      <c r="C457" s="102"/>
      <c r="D457" s="102"/>
      <c r="E457" s="102"/>
      <c r="F457" s="102"/>
      <c r="G457" s="102"/>
      <c r="H457" s="88"/>
      <c r="I457" s="117"/>
      <c r="J457" s="102"/>
      <c r="K457" s="102"/>
      <c r="L457" s="102"/>
      <c r="M457" s="117"/>
      <c r="N457" s="117"/>
      <c r="O457" s="117"/>
      <c r="P457" s="117"/>
      <c r="Q457" s="117"/>
      <c r="R457" s="117"/>
      <c r="S457" s="117">
        <f t="shared" si="277"/>
        <v>0</v>
      </c>
      <c r="T457" s="117">
        <f t="shared" si="278"/>
        <v>0</v>
      </c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</row>
    <row r="458" spans="2:35" ht="15.75" hidden="1" customHeight="1" outlineLevel="1">
      <c r="B458" s="111"/>
      <c r="C458" s="76" t="s">
        <v>1419</v>
      </c>
      <c r="D458" s="110"/>
      <c r="E458" s="110"/>
      <c r="F458" s="110"/>
      <c r="G458" s="110"/>
      <c r="H458" s="88"/>
      <c r="I458" s="110"/>
      <c r="J458" s="110"/>
      <c r="K458" s="110"/>
      <c r="L458" s="114"/>
      <c r="M458" s="114"/>
      <c r="N458" s="114"/>
      <c r="O458" s="114"/>
      <c r="P458" s="114"/>
      <c r="Q458" s="114"/>
      <c r="R458" s="114"/>
      <c r="S458" s="114">
        <f t="shared" si="277"/>
        <v>0</v>
      </c>
      <c r="T458" s="114">
        <f t="shared" si="278"/>
        <v>0</v>
      </c>
      <c r="U458" s="114"/>
      <c r="V458" s="114"/>
      <c r="W458" s="114"/>
      <c r="X458" s="114"/>
      <c r="Y458" s="114"/>
      <c r="Z458" s="114"/>
      <c r="AA458" s="114"/>
      <c r="AB458" s="114"/>
      <c r="AC458" s="114"/>
      <c r="AD458" s="114"/>
      <c r="AE458" s="114"/>
      <c r="AF458" s="114"/>
      <c r="AG458" s="114"/>
      <c r="AH458" s="114"/>
      <c r="AI458" s="114"/>
    </row>
    <row r="459" spans="2:35" ht="15.75" hidden="1" customHeight="1" outlineLevel="1">
      <c r="B459" s="111"/>
      <c r="C459" s="164" t="str">
        <f>C452</f>
        <v>PromsvyazBank @ 13%</v>
      </c>
      <c r="D459" s="110"/>
      <c r="E459" s="110"/>
      <c r="F459" s="110"/>
      <c r="G459" s="110"/>
      <c r="H459" s="88"/>
      <c r="I459" s="133"/>
      <c r="J459" s="133"/>
      <c r="K459" s="133"/>
      <c r="L459" s="133"/>
      <c r="M459" s="133"/>
      <c r="N459" s="133"/>
      <c r="O459" s="133"/>
      <c r="P459" s="133">
        <v>0.13</v>
      </c>
      <c r="Q459" s="133">
        <f t="shared" ref="Q459:Y459" si="325">P459</f>
        <v>0.13</v>
      </c>
      <c r="R459" s="133"/>
      <c r="S459" s="133">
        <f t="shared" si="277"/>
        <v>0.13</v>
      </c>
      <c r="T459" s="133">
        <f t="shared" si="278"/>
        <v>0.13</v>
      </c>
      <c r="U459" s="133">
        <f>Q459</f>
        <v>0.13</v>
      </c>
      <c r="V459" s="133">
        <f t="shared" si="325"/>
        <v>0.13</v>
      </c>
      <c r="W459" s="133">
        <f t="shared" si="325"/>
        <v>0.13</v>
      </c>
      <c r="X459" s="133">
        <f t="shared" si="325"/>
        <v>0.13</v>
      </c>
      <c r="Y459" s="133">
        <f t="shared" si="325"/>
        <v>0.13</v>
      </c>
      <c r="Z459" s="133">
        <f t="shared" ref="Z459:AG459" si="326">Y459</f>
        <v>0.13</v>
      </c>
      <c r="AA459" s="133">
        <f t="shared" si="326"/>
        <v>0.13</v>
      </c>
      <c r="AB459" s="133">
        <f t="shared" si="326"/>
        <v>0.13</v>
      </c>
      <c r="AC459" s="133">
        <f t="shared" si="326"/>
        <v>0.13</v>
      </c>
      <c r="AD459" s="133">
        <f t="shared" si="326"/>
        <v>0.13</v>
      </c>
      <c r="AE459" s="133">
        <f t="shared" si="326"/>
        <v>0.13</v>
      </c>
      <c r="AF459" s="133">
        <f t="shared" si="326"/>
        <v>0.13</v>
      </c>
      <c r="AG459" s="133">
        <f t="shared" si="326"/>
        <v>0.13</v>
      </c>
      <c r="AH459" s="133"/>
      <c r="AI459" s="133"/>
    </row>
    <row r="460" spans="2:35" ht="15.75" hidden="1" customHeight="1" outlineLevel="1">
      <c r="B460" s="111"/>
      <c r="C460" s="164">
        <f>C453</f>
        <v>0</v>
      </c>
      <c r="D460" s="110"/>
      <c r="E460" s="110"/>
      <c r="F460" s="110"/>
      <c r="G460" s="110"/>
      <c r="H460" s="88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>
        <f t="shared" ref="S460:S478" si="327">Q460</f>
        <v>0</v>
      </c>
      <c r="T460" s="133">
        <f t="shared" ref="T460:T478" si="328">S460</f>
        <v>0</v>
      </c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</row>
    <row r="461" spans="2:35" ht="15.75" hidden="1" customHeight="1" outlineLevel="1">
      <c r="B461" s="111"/>
      <c r="C461" s="164">
        <f>C454</f>
        <v>0</v>
      </c>
      <c r="D461" s="110"/>
      <c r="E461" s="110"/>
      <c r="F461" s="110"/>
      <c r="G461" s="110"/>
      <c r="H461" s="88"/>
      <c r="I461" s="133"/>
      <c r="J461" s="133"/>
      <c r="K461" s="83"/>
      <c r="L461" s="83"/>
      <c r="M461" s="83"/>
      <c r="N461" s="83"/>
      <c r="O461" s="83"/>
      <c r="P461" s="83"/>
      <c r="Q461" s="83"/>
      <c r="R461" s="83"/>
      <c r="S461" s="83">
        <f t="shared" si="327"/>
        <v>0</v>
      </c>
      <c r="T461" s="83">
        <f t="shared" si="328"/>
        <v>0</v>
      </c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</row>
    <row r="462" spans="2:35" ht="15.75" hidden="1" customHeight="1" outlineLevel="1">
      <c r="B462" s="111"/>
      <c r="C462" s="164" t="s">
        <v>1417</v>
      </c>
      <c r="D462" s="110"/>
      <c r="E462" s="110"/>
      <c r="F462" s="110"/>
      <c r="G462" s="110"/>
      <c r="H462" s="88"/>
      <c r="I462" s="133"/>
      <c r="J462" s="83"/>
      <c r="K462" s="83"/>
      <c r="L462" s="133"/>
      <c r="M462" s="133"/>
      <c r="N462" s="133"/>
      <c r="O462" s="133"/>
      <c r="P462" s="133"/>
      <c r="Q462" s="133"/>
      <c r="R462" s="133"/>
      <c r="S462" s="133">
        <f t="shared" si="327"/>
        <v>0</v>
      </c>
      <c r="T462" s="133">
        <f t="shared" si="328"/>
        <v>0</v>
      </c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</row>
    <row r="463" spans="2:35" ht="15.75" hidden="1" customHeight="1" outlineLevel="1">
      <c r="B463" s="111"/>
      <c r="C463" s="164" t="s">
        <v>896</v>
      </c>
      <c r="D463" s="110"/>
      <c r="E463" s="110"/>
      <c r="F463" s="110"/>
      <c r="G463" s="110"/>
      <c r="H463" s="88"/>
      <c r="I463" s="83"/>
      <c r="J463" s="83"/>
      <c r="K463" s="83"/>
      <c r="L463" s="83"/>
      <c r="M463" s="83"/>
      <c r="N463" s="83"/>
      <c r="O463" s="83"/>
      <c r="P463" s="83">
        <f t="shared" ref="P463:Y463" si="329">O463</f>
        <v>0</v>
      </c>
      <c r="Q463" s="83">
        <f t="shared" si="329"/>
        <v>0</v>
      </c>
      <c r="R463" s="83"/>
      <c r="S463" s="83">
        <f t="shared" si="327"/>
        <v>0</v>
      </c>
      <c r="T463" s="83">
        <f t="shared" si="328"/>
        <v>0</v>
      </c>
      <c r="U463" s="83">
        <f>Q463</f>
        <v>0</v>
      </c>
      <c r="V463" s="83">
        <f t="shared" si="329"/>
        <v>0</v>
      </c>
      <c r="W463" s="83">
        <f t="shared" si="329"/>
        <v>0</v>
      </c>
      <c r="X463" s="83">
        <f t="shared" si="329"/>
        <v>0</v>
      </c>
      <c r="Y463" s="83">
        <f t="shared" si="329"/>
        <v>0</v>
      </c>
      <c r="Z463" s="83">
        <f t="shared" ref="Z463:AG463" si="330">Y463</f>
        <v>0</v>
      </c>
      <c r="AA463" s="83">
        <f t="shared" si="330"/>
        <v>0</v>
      </c>
      <c r="AB463" s="83">
        <f t="shared" si="330"/>
        <v>0</v>
      </c>
      <c r="AC463" s="83">
        <f t="shared" si="330"/>
        <v>0</v>
      </c>
      <c r="AD463" s="83">
        <f t="shared" si="330"/>
        <v>0</v>
      </c>
      <c r="AE463" s="83">
        <f t="shared" si="330"/>
        <v>0</v>
      </c>
      <c r="AF463" s="83">
        <f t="shared" si="330"/>
        <v>0</v>
      </c>
      <c r="AG463" s="83">
        <f t="shared" si="330"/>
        <v>0</v>
      </c>
      <c r="AH463" s="83"/>
      <c r="AI463" s="83"/>
    </row>
    <row r="464" spans="2:35" ht="15.75" hidden="1" customHeight="1" outlineLevel="2">
      <c r="B464" s="111"/>
      <c r="C464" s="102"/>
      <c r="D464" s="102"/>
      <c r="E464" s="102"/>
      <c r="F464" s="102"/>
      <c r="G464" s="102"/>
      <c r="H464" s="88"/>
      <c r="I464" s="117"/>
      <c r="J464" s="102"/>
      <c r="K464" s="102"/>
      <c r="L464" s="102"/>
      <c r="M464" s="117"/>
      <c r="N464" s="117"/>
      <c r="O464" s="117"/>
      <c r="P464" s="117"/>
      <c r="Q464" s="117"/>
      <c r="R464" s="117"/>
      <c r="S464" s="117">
        <f t="shared" si="327"/>
        <v>0</v>
      </c>
      <c r="T464" s="117">
        <f t="shared" si="328"/>
        <v>0</v>
      </c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</row>
    <row r="465" spans="2:35" ht="15.75" hidden="1" customHeight="1" outlineLevel="1">
      <c r="B465" s="111"/>
      <c r="C465" s="76" t="s">
        <v>1420</v>
      </c>
      <c r="D465" s="110"/>
      <c r="E465" s="110"/>
      <c r="F465" s="110"/>
      <c r="G465" s="110"/>
      <c r="H465" s="88"/>
      <c r="I465" s="110"/>
      <c r="J465" s="576"/>
      <c r="K465" s="134"/>
      <c r="L465" s="134"/>
      <c r="M465" s="134"/>
      <c r="N465" s="134"/>
      <c r="O465" s="134"/>
      <c r="P465" s="134"/>
      <c r="Q465" s="134"/>
      <c r="R465" s="134"/>
      <c r="S465" s="134">
        <f t="shared" si="327"/>
        <v>0</v>
      </c>
      <c r="T465" s="134">
        <f t="shared" si="328"/>
        <v>0</v>
      </c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  <c r="AE465" s="134"/>
      <c r="AF465" s="134"/>
      <c r="AG465" s="134"/>
      <c r="AH465" s="134"/>
      <c r="AI465" s="134"/>
    </row>
    <row r="466" spans="2:35" ht="15.75" hidden="1" customHeight="1" outlineLevel="1">
      <c r="B466" s="111"/>
      <c r="C466" s="164" t="str">
        <f>C459</f>
        <v>PromsvyazBank @ 13%</v>
      </c>
      <c r="D466" s="110"/>
      <c r="E466" s="110"/>
      <c r="F466" s="110"/>
      <c r="G466" s="110"/>
      <c r="H466" s="88"/>
      <c r="I466" s="79"/>
      <c r="J466" s="79"/>
      <c r="K466" s="79"/>
      <c r="L466" s="79"/>
      <c r="M466" s="79"/>
      <c r="N466" s="79"/>
      <c r="O466" s="79"/>
      <c r="P466" s="79">
        <f>P452*P459</f>
        <v>303333.33333333337</v>
      </c>
      <c r="Q466" s="79">
        <f t="shared" ref="P466:Y469" si="331">Q452*Q459</f>
        <v>1226875</v>
      </c>
      <c r="R466" s="79"/>
      <c r="S466" s="79">
        <f t="shared" si="327"/>
        <v>1226875</v>
      </c>
      <c r="T466" s="79">
        <f t="shared" si="328"/>
        <v>1226875</v>
      </c>
      <c r="U466" s="79">
        <f t="shared" si="331"/>
        <v>1300000</v>
      </c>
      <c r="V466" s="79">
        <f t="shared" si="331"/>
        <v>284375</v>
      </c>
      <c r="W466" s="79">
        <f t="shared" si="331"/>
        <v>0</v>
      </c>
      <c r="X466" s="79">
        <f t="shared" si="331"/>
        <v>0</v>
      </c>
      <c r="Y466" s="79">
        <f t="shared" si="331"/>
        <v>0</v>
      </c>
      <c r="Z466" s="79">
        <f t="shared" ref="Z466:AG466" si="332">Z452*Z459</f>
        <v>0</v>
      </c>
      <c r="AA466" s="79">
        <f t="shared" si="332"/>
        <v>0</v>
      </c>
      <c r="AB466" s="79">
        <f t="shared" si="332"/>
        <v>0</v>
      </c>
      <c r="AC466" s="79">
        <f t="shared" si="332"/>
        <v>0</v>
      </c>
      <c r="AD466" s="79">
        <f t="shared" si="332"/>
        <v>0</v>
      </c>
      <c r="AE466" s="79">
        <f t="shared" si="332"/>
        <v>0</v>
      </c>
      <c r="AF466" s="79">
        <f t="shared" si="332"/>
        <v>0</v>
      </c>
      <c r="AG466" s="79">
        <f t="shared" si="332"/>
        <v>0</v>
      </c>
      <c r="AH466" s="79"/>
      <c r="AI466" s="79"/>
    </row>
    <row r="467" spans="2:35" ht="15.75" hidden="1" customHeight="1" outlineLevel="1">
      <c r="B467" s="111"/>
      <c r="C467" s="164">
        <f>C460</f>
        <v>0</v>
      </c>
      <c r="D467" s="110"/>
      <c r="E467" s="110"/>
      <c r="F467" s="110"/>
      <c r="G467" s="110"/>
      <c r="H467" s="88"/>
      <c r="I467" s="79"/>
      <c r="J467" s="79"/>
      <c r="K467" s="79"/>
      <c r="L467" s="79"/>
      <c r="M467" s="79"/>
      <c r="N467" s="79"/>
      <c r="O467" s="79"/>
      <c r="P467" s="79">
        <f t="shared" si="331"/>
        <v>0</v>
      </c>
      <c r="Q467" s="79">
        <f t="shared" si="331"/>
        <v>0</v>
      </c>
      <c r="R467" s="79"/>
      <c r="S467" s="79">
        <f t="shared" si="327"/>
        <v>0</v>
      </c>
      <c r="T467" s="79">
        <f t="shared" si="328"/>
        <v>0</v>
      </c>
      <c r="U467" s="79">
        <f t="shared" si="331"/>
        <v>0</v>
      </c>
      <c r="V467" s="79">
        <f t="shared" si="331"/>
        <v>0</v>
      </c>
      <c r="W467" s="79">
        <f t="shared" si="331"/>
        <v>0</v>
      </c>
      <c r="X467" s="79">
        <f t="shared" si="331"/>
        <v>0</v>
      </c>
      <c r="Y467" s="79">
        <f t="shared" si="331"/>
        <v>0</v>
      </c>
      <c r="Z467" s="79">
        <f t="shared" ref="Z467:AG467" si="333">Z453*Z460</f>
        <v>0</v>
      </c>
      <c r="AA467" s="79">
        <f t="shared" si="333"/>
        <v>0</v>
      </c>
      <c r="AB467" s="79">
        <f t="shared" si="333"/>
        <v>0</v>
      </c>
      <c r="AC467" s="79">
        <f t="shared" si="333"/>
        <v>0</v>
      </c>
      <c r="AD467" s="79">
        <f t="shared" si="333"/>
        <v>0</v>
      </c>
      <c r="AE467" s="79">
        <f t="shared" si="333"/>
        <v>0</v>
      </c>
      <c r="AF467" s="79">
        <f t="shared" si="333"/>
        <v>0</v>
      </c>
      <c r="AG467" s="79">
        <f t="shared" si="333"/>
        <v>0</v>
      </c>
      <c r="AH467" s="79"/>
      <c r="AI467" s="79"/>
    </row>
    <row r="468" spans="2:35" ht="15.75" hidden="1" customHeight="1" outlineLevel="1">
      <c r="B468" s="111"/>
      <c r="C468" s="164">
        <f>C461</f>
        <v>0</v>
      </c>
      <c r="D468" s="110"/>
      <c r="E468" s="110"/>
      <c r="F468" s="110"/>
      <c r="G468" s="110"/>
      <c r="H468" s="88"/>
      <c r="I468" s="79"/>
      <c r="J468" s="79"/>
      <c r="K468" s="79"/>
      <c r="L468" s="79"/>
      <c r="M468" s="79"/>
      <c r="N468" s="79"/>
      <c r="O468" s="79"/>
      <c r="P468" s="79">
        <f t="shared" si="331"/>
        <v>0</v>
      </c>
      <c r="Q468" s="79">
        <f t="shared" si="331"/>
        <v>0</v>
      </c>
      <c r="R468" s="79"/>
      <c r="S468" s="79">
        <f t="shared" si="327"/>
        <v>0</v>
      </c>
      <c r="T468" s="79">
        <f t="shared" si="328"/>
        <v>0</v>
      </c>
      <c r="U468" s="79">
        <f t="shared" si="331"/>
        <v>0</v>
      </c>
      <c r="V468" s="79">
        <f t="shared" si="331"/>
        <v>0</v>
      </c>
      <c r="W468" s="79">
        <f t="shared" si="331"/>
        <v>0</v>
      </c>
      <c r="X468" s="79">
        <f t="shared" si="331"/>
        <v>0</v>
      </c>
      <c r="Y468" s="79">
        <f t="shared" si="331"/>
        <v>0</v>
      </c>
      <c r="Z468" s="79">
        <f t="shared" ref="Z468:AG468" si="334">Z454*Z461</f>
        <v>0</v>
      </c>
      <c r="AA468" s="79">
        <f t="shared" si="334"/>
        <v>0</v>
      </c>
      <c r="AB468" s="79">
        <f t="shared" si="334"/>
        <v>0</v>
      </c>
      <c r="AC468" s="79">
        <f t="shared" si="334"/>
        <v>0</v>
      </c>
      <c r="AD468" s="79">
        <f t="shared" si="334"/>
        <v>0</v>
      </c>
      <c r="AE468" s="79">
        <f t="shared" si="334"/>
        <v>0</v>
      </c>
      <c r="AF468" s="79">
        <f t="shared" si="334"/>
        <v>0</v>
      </c>
      <c r="AG468" s="79">
        <f t="shared" si="334"/>
        <v>0</v>
      </c>
      <c r="AH468" s="79"/>
      <c r="AI468" s="79"/>
    </row>
    <row r="469" spans="2:35" ht="15.75" hidden="1" customHeight="1" outlineLevel="1">
      <c r="B469" s="111"/>
      <c r="C469" s="164" t="s">
        <v>1417</v>
      </c>
      <c r="D469" s="110"/>
      <c r="E469" s="110"/>
      <c r="F469" s="110"/>
      <c r="G469" s="110"/>
      <c r="H469" s="88"/>
      <c r="I469" s="79"/>
      <c r="J469" s="79"/>
      <c r="K469" s="79"/>
      <c r="L469" s="79"/>
      <c r="M469" s="79"/>
      <c r="N469" s="79"/>
      <c r="O469" s="79"/>
      <c r="P469" s="79">
        <f t="shared" si="331"/>
        <v>0</v>
      </c>
      <c r="Q469" s="79">
        <f t="shared" si="331"/>
        <v>0</v>
      </c>
      <c r="R469" s="79"/>
      <c r="S469" s="79">
        <f t="shared" si="327"/>
        <v>0</v>
      </c>
      <c r="T469" s="79">
        <f t="shared" si="328"/>
        <v>0</v>
      </c>
      <c r="U469" s="79">
        <f t="shared" si="331"/>
        <v>0</v>
      </c>
      <c r="V469" s="79">
        <f t="shared" si="331"/>
        <v>0</v>
      </c>
      <c r="W469" s="79">
        <f t="shared" si="331"/>
        <v>0</v>
      </c>
      <c r="X469" s="79">
        <f t="shared" si="331"/>
        <v>0</v>
      </c>
      <c r="Y469" s="79">
        <f t="shared" si="331"/>
        <v>0</v>
      </c>
      <c r="Z469" s="79">
        <f t="shared" ref="Z469:AG469" si="335">Z455*Z462</f>
        <v>0</v>
      </c>
      <c r="AA469" s="79">
        <f t="shared" si="335"/>
        <v>0</v>
      </c>
      <c r="AB469" s="79">
        <f t="shared" si="335"/>
        <v>0</v>
      </c>
      <c r="AC469" s="79">
        <f t="shared" si="335"/>
        <v>0</v>
      </c>
      <c r="AD469" s="79">
        <f t="shared" si="335"/>
        <v>0</v>
      </c>
      <c r="AE469" s="79">
        <f t="shared" si="335"/>
        <v>0</v>
      </c>
      <c r="AF469" s="79">
        <f t="shared" si="335"/>
        <v>0</v>
      </c>
      <c r="AG469" s="79">
        <f t="shared" si="335"/>
        <v>0</v>
      </c>
      <c r="AH469" s="79"/>
      <c r="AI469" s="79"/>
    </row>
    <row r="470" spans="2:35" ht="15.75" hidden="1" customHeight="1" outlineLevel="1">
      <c r="B470" s="111"/>
      <c r="C470" s="164" t="s">
        <v>1421</v>
      </c>
      <c r="D470" s="110"/>
      <c r="E470" s="110"/>
      <c r="F470" s="110"/>
      <c r="G470" s="110"/>
      <c r="H470" s="88"/>
      <c r="I470" s="80"/>
      <c r="J470" s="80"/>
      <c r="K470" s="80"/>
      <c r="L470" s="80"/>
      <c r="M470" s="80"/>
      <c r="N470" s="80"/>
      <c r="O470" s="80"/>
      <c r="P470" s="80">
        <f t="shared" ref="P470:Y470" si="336">SUM(P466:P469)</f>
        <v>303333.33333333337</v>
      </c>
      <c r="Q470" s="80">
        <f t="shared" si="336"/>
        <v>1226875</v>
      </c>
      <c r="R470" s="80"/>
      <c r="S470" s="80">
        <f t="shared" si="336"/>
        <v>1226875</v>
      </c>
      <c r="T470" s="80">
        <f t="shared" si="336"/>
        <v>1226875</v>
      </c>
      <c r="U470" s="80">
        <f t="shared" si="336"/>
        <v>1300000</v>
      </c>
      <c r="V470" s="80">
        <f t="shared" si="336"/>
        <v>284375</v>
      </c>
      <c r="W470" s="80">
        <f t="shared" si="336"/>
        <v>0</v>
      </c>
      <c r="X470" s="80">
        <f t="shared" si="336"/>
        <v>0</v>
      </c>
      <c r="Y470" s="80">
        <f t="shared" si="336"/>
        <v>0</v>
      </c>
      <c r="Z470" s="80">
        <f t="shared" ref="Z470:AG470" si="337">SUM(Z466:Z469)</f>
        <v>0</v>
      </c>
      <c r="AA470" s="80">
        <f t="shared" si="337"/>
        <v>0</v>
      </c>
      <c r="AB470" s="80">
        <f t="shared" si="337"/>
        <v>0</v>
      </c>
      <c r="AC470" s="80">
        <f t="shared" si="337"/>
        <v>0</v>
      </c>
      <c r="AD470" s="80">
        <f t="shared" si="337"/>
        <v>0</v>
      </c>
      <c r="AE470" s="80">
        <f t="shared" si="337"/>
        <v>0</v>
      </c>
      <c r="AF470" s="80">
        <f t="shared" si="337"/>
        <v>0</v>
      </c>
      <c r="AG470" s="80">
        <f t="shared" si="337"/>
        <v>0</v>
      </c>
      <c r="AH470" s="80"/>
      <c r="AI470" s="80"/>
    </row>
    <row r="471" spans="2:35" ht="15.75" hidden="1" customHeight="1" outlineLevel="2">
      <c r="B471" s="111"/>
      <c r="C471" s="102"/>
      <c r="D471" s="102"/>
      <c r="E471" s="102"/>
      <c r="F471" s="102"/>
      <c r="G471" s="102"/>
      <c r="H471" s="88"/>
      <c r="I471" s="117"/>
      <c r="J471" s="102"/>
      <c r="K471" s="102"/>
      <c r="L471" s="102"/>
      <c r="M471" s="117"/>
      <c r="N471" s="117"/>
      <c r="O471" s="117"/>
      <c r="P471" s="117"/>
      <c r="Q471" s="117"/>
      <c r="R471" s="117"/>
      <c r="S471" s="117">
        <f t="shared" si="327"/>
        <v>0</v>
      </c>
      <c r="T471" s="117">
        <f t="shared" si="328"/>
        <v>0</v>
      </c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</row>
    <row r="472" spans="2:35" ht="15.75" hidden="1" customHeight="1" outlineLevel="1">
      <c r="B472" s="111"/>
      <c r="C472" s="544" t="s">
        <v>1422</v>
      </c>
      <c r="D472" s="110"/>
      <c r="E472" s="110"/>
      <c r="F472" s="110"/>
      <c r="G472" s="110"/>
      <c r="H472" s="88"/>
      <c r="I472" s="79"/>
      <c r="J472" s="79"/>
      <c r="K472" s="79"/>
      <c r="L472" s="79"/>
      <c r="M472" s="79"/>
      <c r="N472" s="79"/>
      <c r="O472" s="79"/>
      <c r="P472" s="79">
        <f t="shared" ref="P472:Y472" si="338">O472</f>
        <v>0</v>
      </c>
      <c r="Q472" s="79">
        <f t="shared" si="338"/>
        <v>0</v>
      </c>
      <c r="R472" s="79"/>
      <c r="S472" s="79">
        <f t="shared" si="327"/>
        <v>0</v>
      </c>
      <c r="T472" s="79">
        <f t="shared" si="328"/>
        <v>0</v>
      </c>
      <c r="U472" s="79">
        <f>Q472</f>
        <v>0</v>
      </c>
      <c r="V472" s="79">
        <f t="shared" si="338"/>
        <v>0</v>
      </c>
      <c r="W472" s="79">
        <f t="shared" si="338"/>
        <v>0</v>
      </c>
      <c r="X472" s="79">
        <f t="shared" si="338"/>
        <v>0</v>
      </c>
      <c r="Y472" s="79">
        <f t="shared" si="338"/>
        <v>0</v>
      </c>
      <c r="Z472" s="79">
        <f t="shared" ref="Z472:AG472" si="339">Y472</f>
        <v>0</v>
      </c>
      <c r="AA472" s="79">
        <f t="shared" si="339"/>
        <v>0</v>
      </c>
      <c r="AB472" s="79">
        <f t="shared" si="339"/>
        <v>0</v>
      </c>
      <c r="AC472" s="79">
        <f t="shared" si="339"/>
        <v>0</v>
      </c>
      <c r="AD472" s="79">
        <f t="shared" si="339"/>
        <v>0</v>
      </c>
      <c r="AE472" s="79">
        <f t="shared" si="339"/>
        <v>0</v>
      </c>
      <c r="AF472" s="79">
        <f t="shared" si="339"/>
        <v>0</v>
      </c>
      <c r="AG472" s="79">
        <f t="shared" si="339"/>
        <v>0</v>
      </c>
      <c r="AH472" s="79"/>
      <c r="AI472" s="79"/>
    </row>
    <row r="473" spans="2:35" ht="15.75" hidden="1" customHeight="1" outlineLevel="2">
      <c r="B473" s="111"/>
      <c r="C473" s="102"/>
      <c r="D473" s="102"/>
      <c r="E473" s="102"/>
      <c r="F473" s="102"/>
      <c r="G473" s="102"/>
      <c r="H473" s="88"/>
      <c r="I473" s="117"/>
      <c r="J473" s="102"/>
      <c r="K473" s="102"/>
      <c r="L473" s="102"/>
      <c r="M473" s="117"/>
      <c r="N473" s="117"/>
      <c r="O473" s="117"/>
      <c r="P473" s="117"/>
      <c r="Q473" s="117"/>
      <c r="R473" s="117"/>
      <c r="S473" s="117">
        <f t="shared" si="327"/>
        <v>0</v>
      </c>
      <c r="T473" s="117">
        <f t="shared" si="328"/>
        <v>0</v>
      </c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</row>
    <row r="474" spans="2:35" ht="15.75" hidden="1" customHeight="1" outlineLevel="1">
      <c r="B474" s="111"/>
      <c r="C474" s="544" t="s">
        <v>1423</v>
      </c>
      <c r="D474" s="110"/>
      <c r="E474" s="110"/>
      <c r="F474" s="110"/>
      <c r="G474" s="110"/>
      <c r="H474" s="88"/>
      <c r="I474" s="80"/>
      <c r="J474" s="80"/>
      <c r="K474" s="80"/>
      <c r="L474" s="80"/>
      <c r="M474" s="80"/>
      <c r="N474" s="80"/>
      <c r="O474" s="80"/>
      <c r="P474" s="80">
        <f t="shared" ref="P474:Y474" si="340">P470+P472</f>
        <v>303333.33333333337</v>
      </c>
      <c r="Q474" s="80">
        <f t="shared" si="340"/>
        <v>1226875</v>
      </c>
      <c r="R474" s="80"/>
      <c r="S474" s="80">
        <f t="shared" si="327"/>
        <v>1226875</v>
      </c>
      <c r="T474" s="80">
        <f t="shared" si="328"/>
        <v>1226875</v>
      </c>
      <c r="U474" s="80">
        <f t="shared" si="340"/>
        <v>1300000</v>
      </c>
      <c r="V474" s="80">
        <f t="shared" si="340"/>
        <v>284375</v>
      </c>
      <c r="W474" s="80">
        <f t="shared" si="340"/>
        <v>0</v>
      </c>
      <c r="X474" s="80">
        <f t="shared" si="340"/>
        <v>0</v>
      </c>
      <c r="Y474" s="80">
        <f t="shared" si="340"/>
        <v>0</v>
      </c>
      <c r="Z474" s="80">
        <f t="shared" ref="Z474:AG474" si="341">Z470+Z472</f>
        <v>0</v>
      </c>
      <c r="AA474" s="80">
        <f t="shared" si="341"/>
        <v>0</v>
      </c>
      <c r="AB474" s="80">
        <f t="shared" si="341"/>
        <v>0</v>
      </c>
      <c r="AC474" s="80">
        <f t="shared" si="341"/>
        <v>0</v>
      </c>
      <c r="AD474" s="80">
        <f t="shared" si="341"/>
        <v>0</v>
      </c>
      <c r="AE474" s="80">
        <f t="shared" si="341"/>
        <v>0</v>
      </c>
      <c r="AF474" s="80">
        <f t="shared" si="341"/>
        <v>0</v>
      </c>
      <c r="AG474" s="80">
        <f t="shared" si="341"/>
        <v>0</v>
      </c>
      <c r="AH474" s="80"/>
      <c r="AI474" s="80"/>
    </row>
    <row r="475" spans="2:35" ht="15.75" hidden="1" customHeight="1" outlineLevel="2">
      <c r="B475" s="111"/>
      <c r="C475" s="102"/>
      <c r="D475" s="110"/>
      <c r="E475" s="110"/>
      <c r="F475" s="110"/>
      <c r="G475" s="110"/>
      <c r="H475" s="88"/>
      <c r="I475" s="110"/>
      <c r="J475" s="110"/>
      <c r="K475" s="114"/>
      <c r="L475" s="114"/>
      <c r="M475" s="114"/>
      <c r="N475" s="114"/>
      <c r="O475" s="114"/>
      <c r="P475" s="114"/>
      <c r="Q475" s="114"/>
      <c r="R475" s="114"/>
      <c r="S475" s="114">
        <f t="shared" si="327"/>
        <v>0</v>
      </c>
      <c r="T475" s="114">
        <f t="shared" si="328"/>
        <v>0</v>
      </c>
      <c r="U475" s="114"/>
      <c r="V475" s="114"/>
      <c r="W475" s="114"/>
      <c r="X475" s="114"/>
      <c r="Y475" s="114"/>
      <c r="Z475" s="114"/>
      <c r="AA475" s="114"/>
      <c r="AB475" s="114"/>
      <c r="AC475" s="114"/>
      <c r="AD475" s="114"/>
      <c r="AE475" s="114"/>
      <c r="AF475" s="114"/>
      <c r="AG475" s="114"/>
      <c r="AH475" s="114"/>
      <c r="AI475" s="114"/>
    </row>
    <row r="476" spans="2:35" ht="15.75" hidden="1" customHeight="1" outlineLevel="1">
      <c r="B476" s="111"/>
      <c r="C476" s="76" t="s">
        <v>1424</v>
      </c>
      <c r="D476" s="110"/>
      <c r="E476" s="110"/>
      <c r="F476" s="110"/>
      <c r="G476" s="110"/>
      <c r="H476" s="88"/>
      <c r="I476" s="79"/>
      <c r="J476" s="79"/>
      <c r="K476" s="79"/>
      <c r="L476" s="79"/>
      <c r="M476" s="79"/>
      <c r="N476" s="79"/>
      <c r="O476" s="79"/>
      <c r="P476" s="79">
        <f t="shared" ref="P476:Y476" si="342">P456*P463</f>
        <v>0</v>
      </c>
      <c r="Q476" s="79">
        <f t="shared" si="342"/>
        <v>0</v>
      </c>
      <c r="R476" s="79"/>
      <c r="S476" s="79">
        <f t="shared" si="327"/>
        <v>0</v>
      </c>
      <c r="T476" s="79">
        <f t="shared" si="328"/>
        <v>0</v>
      </c>
      <c r="U476" s="79">
        <f t="shared" si="342"/>
        <v>0</v>
      </c>
      <c r="V476" s="79">
        <f t="shared" si="342"/>
        <v>0</v>
      </c>
      <c r="W476" s="79">
        <f t="shared" si="342"/>
        <v>0</v>
      </c>
      <c r="X476" s="79">
        <f t="shared" si="342"/>
        <v>0</v>
      </c>
      <c r="Y476" s="79">
        <f t="shared" si="342"/>
        <v>0</v>
      </c>
      <c r="Z476" s="79">
        <f t="shared" ref="Z476:AG476" si="343">Z456*Z463</f>
        <v>0</v>
      </c>
      <c r="AA476" s="79">
        <f t="shared" si="343"/>
        <v>0</v>
      </c>
      <c r="AB476" s="79">
        <f t="shared" si="343"/>
        <v>0</v>
      </c>
      <c r="AC476" s="79">
        <f t="shared" si="343"/>
        <v>0</v>
      </c>
      <c r="AD476" s="79">
        <f t="shared" si="343"/>
        <v>0</v>
      </c>
      <c r="AE476" s="79">
        <f t="shared" si="343"/>
        <v>0</v>
      </c>
      <c r="AF476" s="79">
        <f t="shared" si="343"/>
        <v>0</v>
      </c>
      <c r="AG476" s="79">
        <f t="shared" si="343"/>
        <v>0</v>
      </c>
      <c r="AH476" s="79"/>
      <c r="AI476" s="79"/>
    </row>
    <row r="477" spans="2:35" ht="15.75" hidden="1" customHeight="1" outlineLevel="1">
      <c r="B477" s="111"/>
      <c r="C477" s="76" t="s">
        <v>1425</v>
      </c>
      <c r="D477" s="110"/>
      <c r="E477" s="110"/>
      <c r="F477" s="110"/>
      <c r="G477" s="110"/>
      <c r="H477" s="88"/>
      <c r="I477" s="79"/>
      <c r="J477" s="79"/>
      <c r="K477" s="79"/>
      <c r="L477" s="79"/>
      <c r="M477" s="79"/>
      <c r="N477" s="79"/>
      <c r="O477" s="79"/>
      <c r="P477" s="79">
        <f t="shared" ref="P477:Y477" si="344">O477</f>
        <v>0</v>
      </c>
      <c r="Q477" s="79">
        <f t="shared" si="344"/>
        <v>0</v>
      </c>
      <c r="R477" s="79"/>
      <c r="S477" s="79">
        <f t="shared" si="327"/>
        <v>0</v>
      </c>
      <c r="T477" s="79">
        <f t="shared" si="328"/>
        <v>0</v>
      </c>
      <c r="U477" s="79">
        <f>Q477</f>
        <v>0</v>
      </c>
      <c r="V477" s="79">
        <f t="shared" si="344"/>
        <v>0</v>
      </c>
      <c r="W477" s="79">
        <f t="shared" si="344"/>
        <v>0</v>
      </c>
      <c r="X477" s="79">
        <f t="shared" si="344"/>
        <v>0</v>
      </c>
      <c r="Y477" s="79">
        <f t="shared" si="344"/>
        <v>0</v>
      </c>
      <c r="Z477" s="79">
        <f t="shared" ref="Z477:AG477" si="345">Y477</f>
        <v>0</v>
      </c>
      <c r="AA477" s="79">
        <f t="shared" si="345"/>
        <v>0</v>
      </c>
      <c r="AB477" s="79">
        <f t="shared" si="345"/>
        <v>0</v>
      </c>
      <c r="AC477" s="79">
        <f t="shared" si="345"/>
        <v>0</v>
      </c>
      <c r="AD477" s="79">
        <f t="shared" si="345"/>
        <v>0</v>
      </c>
      <c r="AE477" s="79">
        <f t="shared" si="345"/>
        <v>0</v>
      </c>
      <c r="AF477" s="79">
        <f t="shared" si="345"/>
        <v>0</v>
      </c>
      <c r="AG477" s="79">
        <f t="shared" si="345"/>
        <v>0</v>
      </c>
      <c r="AH477" s="79"/>
      <c r="AI477" s="79"/>
    </row>
    <row r="478" spans="2:35" ht="15.75" hidden="1" customHeight="1" outlineLevel="1">
      <c r="B478" s="111"/>
      <c r="C478" s="544" t="s">
        <v>1426</v>
      </c>
      <c r="D478" s="110"/>
      <c r="E478" s="110"/>
      <c r="F478" s="110"/>
      <c r="G478" s="110"/>
      <c r="H478" s="88"/>
      <c r="I478" s="80"/>
      <c r="J478" s="80"/>
      <c r="K478" s="80"/>
      <c r="L478" s="80"/>
      <c r="M478" s="80"/>
      <c r="N478" s="80"/>
      <c r="O478" s="80"/>
      <c r="P478" s="80">
        <f t="shared" ref="P478:Y478" si="346">SUM(P476:P477)</f>
        <v>0</v>
      </c>
      <c r="Q478" s="80">
        <f t="shared" si="346"/>
        <v>0</v>
      </c>
      <c r="R478" s="80"/>
      <c r="S478" s="80">
        <f t="shared" si="327"/>
        <v>0</v>
      </c>
      <c r="T478" s="80">
        <f t="shared" si="328"/>
        <v>0</v>
      </c>
      <c r="U478" s="80">
        <f t="shared" si="346"/>
        <v>0</v>
      </c>
      <c r="V478" s="80">
        <f t="shared" si="346"/>
        <v>0</v>
      </c>
      <c r="W478" s="80">
        <f t="shared" si="346"/>
        <v>0</v>
      </c>
      <c r="X478" s="80">
        <f t="shared" si="346"/>
        <v>0</v>
      </c>
      <c r="Y478" s="80">
        <f t="shared" si="346"/>
        <v>0</v>
      </c>
      <c r="Z478" s="80">
        <f t="shared" ref="Z478:AG478" si="347">SUM(Z476:Z477)</f>
        <v>0</v>
      </c>
      <c r="AA478" s="80">
        <f t="shared" si="347"/>
        <v>0</v>
      </c>
      <c r="AB478" s="80">
        <f t="shared" si="347"/>
        <v>0</v>
      </c>
      <c r="AC478" s="80">
        <f t="shared" si="347"/>
        <v>0</v>
      </c>
      <c r="AD478" s="80">
        <f t="shared" si="347"/>
        <v>0</v>
      </c>
      <c r="AE478" s="80">
        <f t="shared" si="347"/>
        <v>0</v>
      </c>
      <c r="AF478" s="80">
        <f t="shared" si="347"/>
        <v>0</v>
      </c>
      <c r="AG478" s="80">
        <f t="shared" si="347"/>
        <v>0</v>
      </c>
      <c r="AH478" s="80"/>
      <c r="AI478" s="80"/>
    </row>
    <row r="479" spans="2:35" ht="15.75" hidden="1" customHeight="1" outlineLevel="1">
      <c r="B479" s="111"/>
      <c r="C479" s="102"/>
      <c r="D479" s="102"/>
      <c r="E479" s="102"/>
      <c r="F479" s="102"/>
      <c r="G479" s="102"/>
      <c r="I479" s="117"/>
      <c r="J479" s="102"/>
      <c r="K479" s="102"/>
      <c r="L479" s="102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  <c r="AE479" s="100"/>
      <c r="AF479" s="100"/>
      <c r="AG479" s="100"/>
      <c r="AH479" s="100"/>
      <c r="AI479" s="100"/>
    </row>
    <row r="480" spans="2:35" ht="15.75" hidden="1" customHeight="1" outlineLevel="1">
      <c r="B480" s="111"/>
      <c r="C480" s="102"/>
      <c r="D480" s="102"/>
      <c r="E480" s="102"/>
      <c r="F480" s="102"/>
      <c r="G480" s="102"/>
      <c r="I480" s="117"/>
      <c r="J480" s="102"/>
      <c r="K480" s="102"/>
      <c r="L480" s="121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  <c r="Z480" s="118"/>
      <c r="AA480" s="118"/>
      <c r="AB480" s="118"/>
      <c r="AC480" s="118"/>
      <c r="AD480" s="118"/>
      <c r="AE480" s="118"/>
      <c r="AF480" s="118"/>
      <c r="AG480" s="118"/>
      <c r="AH480" s="118"/>
      <c r="AI480" s="118"/>
    </row>
    <row r="481" spans="2:35" ht="15.75" hidden="1" customHeight="1" outlineLevel="1">
      <c r="B481" s="111"/>
      <c r="C481" s="102"/>
      <c r="D481" s="110"/>
      <c r="E481" s="110"/>
      <c r="F481" s="110"/>
      <c r="G481" s="110"/>
      <c r="H481" s="88"/>
      <c r="I481" s="110"/>
      <c r="J481" s="110"/>
      <c r="K481" s="114"/>
      <c r="L481" s="114"/>
      <c r="M481" s="114"/>
      <c r="N481" s="110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  <c r="AF481" s="110"/>
      <c r="AG481" s="110"/>
      <c r="AH481" s="110"/>
      <c r="AI481" s="110"/>
    </row>
    <row r="482" spans="2:35" ht="15.75" hidden="1" customHeight="1" outlineLevel="1">
      <c r="B482" s="111"/>
      <c r="C482" s="102"/>
      <c r="D482" s="110"/>
      <c r="E482" s="110"/>
      <c r="F482" s="110"/>
      <c r="G482" s="110"/>
      <c r="H482" s="88"/>
      <c r="I482" s="110"/>
      <c r="J482" s="110"/>
      <c r="K482" s="114"/>
      <c r="L482" s="114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  <c r="AB482" s="100"/>
      <c r="AC482" s="100"/>
      <c r="AD482" s="100"/>
      <c r="AE482" s="100"/>
      <c r="AF482" s="100"/>
      <c r="AG482" s="100"/>
      <c r="AH482" s="100"/>
      <c r="AI482" s="100"/>
    </row>
    <row r="483" spans="2:35" hidden="1" outlineLevel="1">
      <c r="C483" s="545"/>
      <c r="D483" s="81"/>
      <c r="E483" s="81"/>
      <c r="F483" s="81"/>
      <c r="G483" s="81"/>
      <c r="H483" s="88"/>
      <c r="J483" s="81"/>
      <c r="K483" s="81"/>
    </row>
    <row r="484" spans="2:35" hidden="1" outlineLevel="1">
      <c r="C484" s="545"/>
      <c r="D484" s="81"/>
      <c r="E484" s="81"/>
      <c r="F484" s="81"/>
      <c r="G484" s="81"/>
      <c r="H484" s="88"/>
      <c r="J484" s="81"/>
      <c r="K484" s="81"/>
    </row>
    <row r="485" spans="2:35" hidden="1" outlineLevel="1">
      <c r="C485" s="545"/>
      <c r="D485" s="81"/>
      <c r="E485" s="81"/>
      <c r="F485" s="81"/>
      <c r="G485" s="81"/>
      <c r="H485" s="88"/>
      <c r="J485" s="81"/>
      <c r="K485" s="81"/>
    </row>
    <row r="486" spans="2:35" hidden="1" outlineLevel="1">
      <c r="C486" s="545"/>
      <c r="D486" s="81"/>
      <c r="E486" s="81"/>
      <c r="F486" s="81"/>
      <c r="G486" s="81"/>
      <c r="H486" s="88"/>
      <c r="J486" s="81"/>
      <c r="K486" s="81"/>
    </row>
    <row r="487" spans="2:35" hidden="1" outlineLevel="1">
      <c r="C487" s="545"/>
      <c r="D487" s="81"/>
      <c r="E487" s="81"/>
      <c r="F487" s="81"/>
      <c r="G487" s="81"/>
      <c r="H487" s="88"/>
      <c r="J487" s="81"/>
      <c r="K487" s="81"/>
    </row>
    <row r="488" spans="2:35" hidden="1" outlineLevel="1">
      <c r="C488" s="545"/>
      <c r="D488" s="81"/>
      <c r="E488" s="81"/>
      <c r="F488" s="81"/>
      <c r="G488" s="81"/>
      <c r="H488" s="88"/>
      <c r="J488" s="81"/>
      <c r="K488" s="81"/>
    </row>
    <row r="489" spans="2:35" hidden="1" outlineLevel="1">
      <c r="C489" s="545"/>
      <c r="D489" s="81"/>
      <c r="E489" s="81"/>
      <c r="F489" s="81"/>
      <c r="G489" s="81"/>
      <c r="H489" s="88"/>
      <c r="J489" s="81"/>
      <c r="K489" s="81"/>
    </row>
    <row r="490" spans="2:35" hidden="1" outlineLevel="1">
      <c r="C490" s="545"/>
      <c r="D490" s="81"/>
      <c r="E490" s="81"/>
      <c r="F490" s="81"/>
      <c r="G490" s="81"/>
      <c r="H490" s="88"/>
      <c r="J490" s="81"/>
      <c r="K490" s="81"/>
    </row>
    <row r="491" spans="2:35" hidden="1" outlineLevel="1">
      <c r="C491" s="545"/>
      <c r="D491" s="81"/>
      <c r="E491" s="81"/>
      <c r="F491" s="81"/>
      <c r="G491" s="81"/>
      <c r="H491" s="88"/>
      <c r="J491" s="81"/>
      <c r="K491" s="81"/>
    </row>
    <row r="492" spans="2:35" collapsed="1">
      <c r="C492" s="545"/>
      <c r="D492" s="81"/>
      <c r="E492" s="81"/>
      <c r="F492" s="81"/>
      <c r="G492" s="81"/>
      <c r="H492" s="88"/>
      <c r="J492" s="81"/>
      <c r="K492" s="81"/>
    </row>
    <row r="493" spans="2:35">
      <c r="C493" s="545"/>
      <c r="D493" s="81"/>
      <c r="E493" s="81"/>
      <c r="F493" s="81"/>
      <c r="G493" s="81"/>
      <c r="H493" s="88"/>
      <c r="J493" s="81"/>
      <c r="K493" s="81"/>
    </row>
    <row r="494" spans="2:35">
      <c r="C494" s="545"/>
      <c r="D494" s="81"/>
      <c r="E494" s="81"/>
      <c r="F494" s="81"/>
      <c r="G494" s="81"/>
      <c r="H494" s="88"/>
      <c r="J494" s="81"/>
      <c r="K494" s="81"/>
    </row>
  </sheetData>
  <conditionalFormatting sqref="I165">
    <cfRule type="cellIs" dxfId="6" priority="1" stopIfTrue="1" operator="notEqual">
      <formula>1</formula>
    </cfRule>
  </conditionalFormatting>
  <printOptions horizontalCentered="1"/>
  <pageMargins left="0.35433070866141736" right="0.35433070866141736" top="0.62992125984251968" bottom="0.35433070866141736" header="0.51181102362204722" footer="0.23622047244094491"/>
  <pageSetup paperSize="9" fitToHeight="14" orientation="portrait" r:id="rId1"/>
  <headerFooter alignWithMargins="0"/>
  <rowBreaks count="4" manualBreakCount="4">
    <brk id="225" min="1" max="17" man="1"/>
    <brk id="275" min="1" max="18" man="1"/>
    <brk id="324" min="1" max="17" man="1"/>
    <brk id="398" min="1" max="17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C000"/>
    <pageSetUpPr fitToPage="1"/>
  </sheetPr>
  <dimension ref="A1:BH607"/>
  <sheetViews>
    <sheetView showGridLines="0" zoomScale="80" zoomScaleNormal="80" zoomScaleSheetLayoutView="85" workbookViewId="0">
      <pane xSplit="3" ySplit="9" topLeftCell="D506" activePane="bottomRight" state="frozen"/>
      <selection activeCell="Q32" sqref="Q32"/>
      <selection pane="topRight" activeCell="Q32" sqref="Q32"/>
      <selection pane="bottomLeft" activeCell="Q32" sqref="Q32"/>
      <selection pane="bottomRight" activeCell="C524" sqref="C524"/>
    </sheetView>
  </sheetViews>
  <sheetFormatPr defaultRowHeight="12.75" outlineLevelRow="2" outlineLevelCol="1"/>
  <cols>
    <col min="1" max="1" width="3.28515625" style="460" bestFit="1" customWidth="1"/>
    <col min="2" max="2" width="3.28515625" style="75" customWidth="1"/>
    <col min="3" max="3" width="15.7109375" style="460" customWidth="1"/>
    <col min="4" max="4" width="41.7109375" style="75" customWidth="1"/>
    <col min="5" max="5" width="1.42578125" style="75" hidden="1" customWidth="1" outlineLevel="1"/>
    <col min="6" max="6" width="10.140625" style="75" hidden="1" customWidth="1" outlineLevel="1"/>
    <col min="7" max="7" width="12.7109375" style="75" hidden="1" customWidth="1" outlineLevel="1"/>
    <col min="8" max="8" width="5.28515625" style="463" hidden="1" customWidth="1" outlineLevel="1"/>
    <col min="9" max="9" width="11.140625" style="81" hidden="1" customWidth="1" outlineLevel="1"/>
    <col min="10" max="10" width="11.7109375" style="75" hidden="1" customWidth="1" outlineLevel="1"/>
    <col min="11" max="11" width="11.7109375" style="75" hidden="1" customWidth="1" outlineLevel="1" collapsed="1"/>
    <col min="12" max="13" width="11.7109375" style="81" hidden="1" customWidth="1" outlineLevel="1" collapsed="1"/>
    <col min="14" max="14" width="14.28515625" style="81" hidden="1" customWidth="1" outlineLevel="1" collapsed="1"/>
    <col min="15" max="15" width="16" style="81" customWidth="1" collapsed="1"/>
    <col min="16" max="16" width="12.7109375" style="81" bestFit="1" customWidth="1"/>
    <col min="17" max="20" width="14" style="81" bestFit="1" customWidth="1"/>
    <col min="21" max="22" width="12.7109375" style="81" bestFit="1" customWidth="1"/>
    <col min="23" max="23" width="14.28515625" style="81" bestFit="1" customWidth="1"/>
    <col min="24" max="25" width="12.7109375" style="81" bestFit="1" customWidth="1"/>
    <col min="26" max="60" width="11.7109375" style="75" customWidth="1"/>
    <col min="61" max="16384" width="9.140625" style="75"/>
  </cols>
  <sheetData>
    <row r="1" spans="1:60" ht="15.75" customHeight="1">
      <c r="E1" s="81"/>
      <c r="F1" s="81"/>
      <c r="G1" s="81"/>
      <c r="H1" s="88"/>
      <c r="J1" s="81"/>
      <c r="P1" s="715"/>
      <c r="Q1" s="715"/>
      <c r="R1" s="715"/>
      <c r="S1" s="715"/>
      <c r="T1" s="715"/>
      <c r="U1" s="715"/>
      <c r="V1" s="715"/>
      <c r="W1" s="715"/>
      <c r="X1" s="715"/>
      <c r="Y1" s="715"/>
    </row>
    <row r="2" spans="1:60" ht="15.75" customHeight="1">
      <c r="C2" s="461"/>
      <c r="D2" s="81"/>
      <c r="E2" s="81"/>
      <c r="F2" s="81"/>
      <c r="G2" s="81"/>
      <c r="H2" s="88"/>
      <c r="J2" s="81"/>
      <c r="O2" s="715"/>
      <c r="P2" s="715"/>
      <c r="Q2" s="715"/>
      <c r="R2" s="715"/>
      <c r="S2" s="715"/>
      <c r="T2" s="715"/>
      <c r="U2" s="1323"/>
      <c r="V2" s="715"/>
      <c r="W2" s="715"/>
      <c r="X2" s="715"/>
      <c r="Y2" s="715"/>
    </row>
    <row r="3" spans="1:60" ht="27" customHeight="1">
      <c r="C3" s="462" t="s">
        <v>1858</v>
      </c>
      <c r="L3" s="75"/>
      <c r="O3" s="715"/>
    </row>
    <row r="4" spans="1:60" ht="3" customHeight="1">
      <c r="C4" s="464"/>
      <c r="D4" s="89"/>
      <c r="E4" s="89"/>
      <c r="F4" s="89"/>
      <c r="G4" s="89"/>
      <c r="H4" s="465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</row>
    <row r="5" spans="1:60" ht="15.75" customHeight="1">
      <c r="H5" s="466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</row>
    <row r="6" spans="1:60" ht="15.75" customHeight="1">
      <c r="C6" s="467" t="s">
        <v>168</v>
      </c>
      <c r="D6" s="468"/>
      <c r="E6" s="468"/>
      <c r="F6" s="468"/>
      <c r="G6" s="468"/>
      <c r="H6" s="466"/>
      <c r="I6" s="91"/>
      <c r="J6" s="91"/>
      <c r="K6" s="91"/>
      <c r="L6" s="135"/>
      <c r="M6" s="90"/>
      <c r="N6" s="421"/>
      <c r="O6" s="421"/>
      <c r="P6" s="421"/>
      <c r="Q6" s="421"/>
      <c r="R6" s="421"/>
      <c r="S6" s="421"/>
      <c r="T6" s="421"/>
      <c r="U6" s="421"/>
      <c r="V6" s="421"/>
      <c r="W6" s="421"/>
      <c r="X6" s="421"/>
      <c r="Y6" s="421"/>
    </row>
    <row r="7" spans="1:60" ht="15.75" customHeight="1">
      <c r="B7" s="91"/>
      <c r="C7" s="546"/>
      <c r="D7" s="106"/>
      <c r="E7" s="106"/>
      <c r="F7" s="106"/>
      <c r="G7" s="546"/>
      <c r="H7" s="547"/>
      <c r="I7" s="92">
        <v>0</v>
      </c>
      <c r="J7" s="92">
        <v>1</v>
      </c>
      <c r="K7" s="92">
        <v>2</v>
      </c>
      <c r="L7" s="136">
        <v>3</v>
      </c>
      <c r="M7" s="136">
        <v>4</v>
      </c>
      <c r="N7" s="136">
        <v>5</v>
      </c>
      <c r="O7" s="136">
        <f t="shared" ref="O7:W7" si="0">N7+1</f>
        <v>6</v>
      </c>
      <c r="P7" s="136">
        <f t="shared" si="0"/>
        <v>7</v>
      </c>
      <c r="Q7" s="136">
        <f t="shared" si="0"/>
        <v>8</v>
      </c>
      <c r="R7" s="136" t="s">
        <v>2084</v>
      </c>
      <c r="S7" s="136" t="s">
        <v>2085</v>
      </c>
      <c r="T7" s="136" t="s">
        <v>2012</v>
      </c>
      <c r="U7" s="136">
        <f>Q7+1</f>
        <v>9</v>
      </c>
      <c r="V7" s="136">
        <f t="shared" si="0"/>
        <v>10</v>
      </c>
      <c r="W7" s="136">
        <f t="shared" si="0"/>
        <v>11</v>
      </c>
      <c r="X7" s="136">
        <f>W7+1</f>
        <v>12</v>
      </c>
      <c r="Y7" s="136">
        <f>X7+1</f>
        <v>13</v>
      </c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</row>
    <row r="8" spans="1:60" ht="15.75" customHeight="1">
      <c r="B8" s="91"/>
      <c r="C8" s="548"/>
      <c r="D8" s="469"/>
      <c r="E8" s="469"/>
      <c r="F8" s="469"/>
      <c r="G8" s="548"/>
      <c r="H8" s="470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</row>
    <row r="9" spans="1:60" ht="15.75" customHeight="1">
      <c r="B9" s="91"/>
      <c r="C9" s="471"/>
      <c r="D9" s="472"/>
      <c r="E9" s="506"/>
      <c r="F9" s="506"/>
      <c r="G9" s="471"/>
      <c r="H9" s="473"/>
      <c r="I9" s="94" t="s">
        <v>499</v>
      </c>
      <c r="J9" s="94" t="s">
        <v>499</v>
      </c>
      <c r="K9" s="94" t="s">
        <v>499</v>
      </c>
      <c r="L9" s="94" t="s">
        <v>499</v>
      </c>
      <c r="M9" s="94" t="s">
        <v>499</v>
      </c>
      <c r="N9" s="94" t="s">
        <v>499</v>
      </c>
      <c r="O9" s="94" t="s">
        <v>499</v>
      </c>
      <c r="P9" s="94" t="s">
        <v>499</v>
      </c>
      <c r="Q9" s="94" t="s">
        <v>499</v>
      </c>
      <c r="R9" s="94"/>
      <c r="S9" s="94"/>
      <c r="T9" s="94" t="s">
        <v>499</v>
      </c>
      <c r="U9" s="94" t="s">
        <v>499</v>
      </c>
      <c r="V9" s="94" t="s">
        <v>499</v>
      </c>
      <c r="W9" s="94" t="s">
        <v>499</v>
      </c>
      <c r="X9" s="94" t="s">
        <v>499</v>
      </c>
      <c r="Y9" s="94" t="s">
        <v>499</v>
      </c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</row>
    <row r="10" spans="1:60" ht="15.75" customHeight="1">
      <c r="B10" s="91"/>
      <c r="C10" s="95"/>
      <c r="D10" s="110"/>
      <c r="E10" s="114"/>
      <c r="F10" s="114"/>
      <c r="G10" s="95"/>
      <c r="H10" s="1324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</row>
    <row r="11" spans="1:60" s="157" customFormat="1" ht="15.75" customHeight="1">
      <c r="A11" s="460"/>
      <c r="B11" s="474"/>
      <c r="C11" s="162" t="s">
        <v>170</v>
      </c>
      <c r="D11" s="475"/>
      <c r="E11" s="475"/>
      <c r="F11" s="475"/>
      <c r="H11" s="476"/>
      <c r="I11" s="141"/>
      <c r="J11" s="141">
        <v>43445089</v>
      </c>
      <c r="K11" s="141">
        <f>K14*K19</f>
        <v>48275099.56533955</v>
      </c>
      <c r="L11" s="141">
        <f>L14*L19</f>
        <v>54247971.495015129</v>
      </c>
      <c r="M11" s="141">
        <f>M14*M19</f>
        <v>47704832.224652044</v>
      </c>
      <c r="N11" s="141">
        <f>N14*N19</f>
        <v>69573863.987720326</v>
      </c>
      <c r="O11" s="141">
        <f>O14*O19</f>
        <v>66704839.6924017</v>
      </c>
      <c r="P11" s="141">
        <f>P12+P13</f>
        <v>78876219.976671964</v>
      </c>
      <c r="Q11" s="141">
        <f t="shared" ref="Q11:Y11" si="1">Q12+Q13</f>
        <v>106322102.99785639</v>
      </c>
      <c r="R11" s="141">
        <f t="shared" si="1"/>
        <v>46897493.236936457</v>
      </c>
      <c r="S11" s="141">
        <f t="shared" si="1"/>
        <v>39254971.430084273</v>
      </c>
      <c r="T11" s="141">
        <f>R11+S11</f>
        <v>86152464.667020738</v>
      </c>
      <c r="U11" s="141">
        <f t="shared" si="1"/>
        <v>117079521.87381488</v>
      </c>
      <c r="V11" s="141">
        <f t="shared" si="1"/>
        <v>117079521.87381488</v>
      </c>
      <c r="W11" s="141">
        <f t="shared" si="1"/>
        <v>117079521.87381488</v>
      </c>
      <c r="X11" s="141">
        <f t="shared" si="1"/>
        <v>117079521.87381488</v>
      </c>
      <c r="Y11" s="141">
        <f t="shared" si="1"/>
        <v>112393921.14645489</v>
      </c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5"/>
      <c r="AU11" s="155"/>
      <c r="AV11" s="155"/>
      <c r="AW11" s="155"/>
      <c r="AX11" s="155"/>
      <c r="AY11" s="155"/>
      <c r="AZ11" s="155"/>
      <c r="BA11" s="155"/>
      <c r="BB11" s="155"/>
      <c r="BC11" s="155"/>
      <c r="BD11" s="155"/>
      <c r="BE11" s="155"/>
    </row>
    <row r="12" spans="1:60" s="157" customFormat="1" ht="15.75" customHeight="1">
      <c r="A12" s="460"/>
      <c r="B12" s="474"/>
      <c r="C12" s="162" t="s">
        <v>1982</v>
      </c>
      <c r="D12" s="475"/>
      <c r="E12" s="475"/>
      <c r="F12" s="475"/>
      <c r="H12" s="476"/>
      <c r="I12" s="141"/>
      <c r="J12" s="141"/>
      <c r="K12" s="141"/>
      <c r="L12" s="141"/>
      <c r="M12" s="141"/>
      <c r="N12" s="141"/>
      <c r="O12" s="141"/>
      <c r="P12" s="141">
        <f>P14*P21</f>
        <v>70207499.976671964</v>
      </c>
      <c r="Q12" s="141">
        <f t="shared" ref="Q12:Y12" si="2">Q14*Q21</f>
        <v>87539052.599761516</v>
      </c>
      <c r="R12" s="141">
        <f>R14*R21</f>
        <v>40487125.18969427</v>
      </c>
      <c r="S12" s="141">
        <f>S14*S21</f>
        <v>32453982.950782813</v>
      </c>
      <c r="T12" s="141">
        <f>R12+S12</f>
        <v>72941108.140477091</v>
      </c>
      <c r="U12" s="141">
        <f t="shared" si="2"/>
        <v>91591521.938096479</v>
      </c>
      <c r="V12" s="141">
        <f t="shared" si="2"/>
        <v>91591521.938096479</v>
      </c>
      <c r="W12" s="141">
        <f t="shared" si="2"/>
        <v>91591521.938096479</v>
      </c>
      <c r="X12" s="141">
        <f t="shared" si="2"/>
        <v>91591521.938096479</v>
      </c>
      <c r="Y12" s="141">
        <f t="shared" si="2"/>
        <v>91591521.938096479</v>
      </c>
      <c r="Z12" s="155"/>
      <c r="AA12" s="155"/>
      <c r="AB12" s="155"/>
      <c r="AC12" s="155"/>
      <c r="AD12" s="155"/>
      <c r="AE12" s="155"/>
      <c r="AF12" s="155"/>
      <c r="AG12" s="155"/>
      <c r="AH12" s="155"/>
      <c r="AI12" s="155"/>
      <c r="AJ12" s="155"/>
      <c r="AK12" s="155"/>
      <c r="AL12" s="155"/>
      <c r="AM12" s="155"/>
      <c r="AN12" s="155"/>
      <c r="AO12" s="155"/>
      <c r="AP12" s="155"/>
      <c r="AQ12" s="155"/>
      <c r="AR12" s="155"/>
      <c r="AS12" s="155"/>
      <c r="AT12" s="155"/>
      <c r="AU12" s="155"/>
      <c r="AV12" s="155"/>
      <c r="AW12" s="155"/>
      <c r="AX12" s="155"/>
      <c r="AY12" s="155"/>
      <c r="AZ12" s="155"/>
      <c r="BA12" s="155"/>
      <c r="BB12" s="155"/>
      <c r="BC12" s="155"/>
      <c r="BD12" s="155"/>
      <c r="BE12" s="155"/>
    </row>
    <row r="13" spans="1:60" s="157" customFormat="1" ht="15.75" customHeight="1">
      <c r="A13" s="460"/>
      <c r="B13" s="474"/>
      <c r="C13" s="162" t="s">
        <v>1983</v>
      </c>
      <c r="D13" s="475"/>
      <c r="E13" s="475"/>
      <c r="F13" s="475"/>
      <c r="H13" s="476"/>
      <c r="I13" s="141"/>
      <c r="J13" s="141"/>
      <c r="K13" s="141"/>
      <c r="L13" s="141"/>
      <c r="M13" s="141"/>
      <c r="N13" s="141"/>
      <c r="O13" s="141"/>
      <c r="P13" s="141">
        <f>P15*P17</f>
        <v>8668720</v>
      </c>
      <c r="Q13" s="141">
        <f t="shared" ref="Q13:Y13" si="3">Q15*Q16</f>
        <v>18783050.398094881</v>
      </c>
      <c r="R13" s="141">
        <f t="shared" si="3"/>
        <v>6410368.0472421851</v>
      </c>
      <c r="S13" s="141">
        <f t="shared" si="3"/>
        <v>6800988.4793014564</v>
      </c>
      <c r="T13" s="141">
        <f>R13+S13</f>
        <v>13211356.526543641</v>
      </c>
      <c r="U13" s="141">
        <f t="shared" si="3"/>
        <v>25487999.935718399</v>
      </c>
      <c r="V13" s="141">
        <f t="shared" si="3"/>
        <v>25487999.935718399</v>
      </c>
      <c r="W13" s="141">
        <f t="shared" si="3"/>
        <v>25487999.935718399</v>
      </c>
      <c r="X13" s="141">
        <f t="shared" si="3"/>
        <v>25487999.935718399</v>
      </c>
      <c r="Y13" s="141">
        <f t="shared" si="3"/>
        <v>20802399.208358403</v>
      </c>
      <c r="Z13" s="155"/>
      <c r="AA13" s="155"/>
      <c r="AB13" s="155"/>
      <c r="AC13" s="155"/>
      <c r="AD13" s="155"/>
      <c r="AE13" s="155"/>
      <c r="AF13" s="155"/>
      <c r="AG13" s="155"/>
      <c r="AH13" s="155"/>
      <c r="AI13" s="155"/>
      <c r="AJ13" s="155"/>
      <c r="AK13" s="155"/>
      <c r="AL13" s="155"/>
      <c r="AM13" s="155"/>
      <c r="AN13" s="155"/>
      <c r="AO13" s="155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5"/>
      <c r="BA13" s="155"/>
      <c r="BB13" s="155"/>
      <c r="BC13" s="155"/>
      <c r="BD13" s="155"/>
      <c r="BE13" s="155"/>
    </row>
    <row r="14" spans="1:60" ht="15.75" customHeight="1">
      <c r="B14" s="91"/>
      <c r="C14" s="477" t="s">
        <v>1195</v>
      </c>
      <c r="D14" s="74"/>
      <c r="E14" s="74"/>
      <c r="F14" s="74"/>
      <c r="I14" s="82">
        <f t="shared" ref="I14:N14" si="4">I50</f>
        <v>21846.2</v>
      </c>
      <c r="J14" s="82">
        <f t="shared" si="4"/>
        <v>32947</v>
      </c>
      <c r="K14" s="82">
        <f t="shared" si="4"/>
        <v>32220.182000000001</v>
      </c>
      <c r="L14" s="82">
        <f t="shared" si="4"/>
        <v>38319.288732155859</v>
      </c>
      <c r="M14" s="82">
        <f t="shared" si="4"/>
        <v>35460.320446088197</v>
      </c>
      <c r="N14" s="82">
        <f t="shared" si="4"/>
        <v>37291.368508683765</v>
      </c>
      <c r="O14" s="82">
        <v>34000</v>
      </c>
      <c r="P14" s="82">
        <v>40000</v>
      </c>
      <c r="Q14" s="82">
        <v>41000</v>
      </c>
      <c r="R14" s="1948">
        <f>R50+1927</f>
        <v>26282.945723199995</v>
      </c>
      <c r="S14" s="82">
        <f>S50</f>
        <v>21449.01211480661</v>
      </c>
      <c r="T14" s="82">
        <f t="shared" ref="T14:Y14" si="5">T50</f>
        <v>42898.02422961322</v>
      </c>
      <c r="U14" s="82">
        <f t="shared" si="5"/>
        <v>42898.02422961322</v>
      </c>
      <c r="V14" s="82">
        <f t="shared" si="5"/>
        <v>42898.02422961322</v>
      </c>
      <c r="W14" s="82">
        <f t="shared" si="5"/>
        <v>42898.02422961322</v>
      </c>
      <c r="X14" s="82">
        <f t="shared" si="5"/>
        <v>42898.02422961322</v>
      </c>
      <c r="Y14" s="82">
        <f t="shared" si="5"/>
        <v>42898.02422961322</v>
      </c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</row>
    <row r="15" spans="1:60" ht="15.75" customHeight="1">
      <c r="B15" s="91"/>
      <c r="C15" s="477" t="s">
        <v>1194</v>
      </c>
      <c r="D15" s="74"/>
      <c r="E15" s="74"/>
      <c r="F15" s="74"/>
      <c r="I15" s="82"/>
      <c r="J15" s="82"/>
      <c r="K15" s="82"/>
      <c r="L15" s="82"/>
      <c r="M15" s="82"/>
      <c r="N15" s="82"/>
      <c r="O15" s="82"/>
      <c r="P15" s="82">
        <v>1083.5899999999999</v>
      </c>
      <c r="Q15" s="82">
        <f t="shared" ref="Q15:Y15" si="6">Q75</f>
        <v>2087.0055997883201</v>
      </c>
      <c r="R15" s="1948">
        <f>R75-148.2</f>
        <v>895.30279989415999</v>
      </c>
      <c r="S15" s="82">
        <f t="shared" si="6"/>
        <v>1030.4527998941601</v>
      </c>
      <c r="T15" s="82">
        <f>T75</f>
        <v>2087.0055997883201</v>
      </c>
      <c r="U15" s="82">
        <f t="shared" si="6"/>
        <v>2831.9999928575999</v>
      </c>
      <c r="V15" s="82">
        <f t="shared" si="6"/>
        <v>2831.9999928575999</v>
      </c>
      <c r="W15" s="82">
        <f t="shared" si="6"/>
        <v>2831.9999928575999</v>
      </c>
      <c r="X15" s="82">
        <f t="shared" si="6"/>
        <v>2831.9999928575999</v>
      </c>
      <c r="Y15" s="82">
        <f t="shared" si="6"/>
        <v>2311.3776898176002</v>
      </c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</row>
    <row r="16" spans="1:60" s="81" customFormat="1" ht="15.75" hidden="1" customHeight="1" outlineLevel="1">
      <c r="A16" s="460"/>
      <c r="B16" s="91"/>
      <c r="C16" s="478" t="s">
        <v>112</v>
      </c>
      <c r="D16" s="87"/>
      <c r="E16" s="87"/>
      <c r="F16" s="87"/>
      <c r="H16" s="463"/>
      <c r="I16" s="82">
        <v>3600</v>
      </c>
      <c r="J16" s="82">
        <v>6500</v>
      </c>
      <c r="K16" s="82">
        <f>Commodities_prices!K13</f>
        <v>7217</v>
      </c>
      <c r="L16" s="82">
        <v>6278</v>
      </c>
      <c r="M16" s="82">
        <v>6100</v>
      </c>
      <c r="N16" s="82">
        <v>8000</v>
      </c>
      <c r="O16" s="82">
        <v>8575</v>
      </c>
      <c r="P16" s="82">
        <v>7720</v>
      </c>
      <c r="Q16" s="82">
        <f>Commodities_prices!Q127</f>
        <v>9000</v>
      </c>
      <c r="R16" s="1948">
        <v>7160</v>
      </c>
      <c r="S16" s="82">
        <f>Total!T146</f>
        <v>6600</v>
      </c>
      <c r="T16" s="82">
        <f>Total!U146</f>
        <v>6600</v>
      </c>
      <c r="U16" s="82">
        <f>Commodities_prices!R127</f>
        <v>9000</v>
      </c>
      <c r="V16" s="82">
        <f>Commodities_prices!S127</f>
        <v>9000</v>
      </c>
      <c r="W16" s="82">
        <f>Commodities_prices!T127</f>
        <v>9000</v>
      </c>
      <c r="X16" s="82">
        <f>Commodities_prices!U127</f>
        <v>9000</v>
      </c>
      <c r="Y16" s="82">
        <f>Commodities_prices!V127</f>
        <v>9000</v>
      </c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</row>
    <row r="17" spans="1:57" s="81" customFormat="1" ht="15.75" hidden="1" customHeight="1" outlineLevel="1">
      <c r="A17" s="460"/>
      <c r="B17" s="91"/>
      <c r="C17" s="478" t="s">
        <v>1992</v>
      </c>
      <c r="D17" s="87"/>
      <c r="E17" s="87"/>
      <c r="F17" s="87"/>
      <c r="H17" s="463"/>
      <c r="I17" s="82"/>
      <c r="J17" s="82"/>
      <c r="K17" s="82"/>
      <c r="L17" s="82"/>
      <c r="M17" s="82"/>
      <c r="N17" s="82"/>
      <c r="O17" s="82"/>
      <c r="P17" s="82">
        <f>Commodities_prices!P143</f>
        <v>8000</v>
      </c>
      <c r="Q17" s="82">
        <f t="shared" ref="Q17:Y17" si="7">Q16</f>
        <v>9000</v>
      </c>
      <c r="R17" s="82">
        <f>R16</f>
        <v>7160</v>
      </c>
      <c r="S17" s="82">
        <v>6600</v>
      </c>
      <c r="T17" s="82">
        <f>Total!U146</f>
        <v>6600</v>
      </c>
      <c r="U17" s="82">
        <f t="shared" si="7"/>
        <v>9000</v>
      </c>
      <c r="V17" s="82">
        <f t="shared" si="7"/>
        <v>9000</v>
      </c>
      <c r="W17" s="82">
        <f t="shared" si="7"/>
        <v>9000</v>
      </c>
      <c r="X17" s="82">
        <f t="shared" si="7"/>
        <v>9000</v>
      </c>
      <c r="Y17" s="82">
        <f t="shared" si="7"/>
        <v>9000</v>
      </c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</row>
    <row r="18" spans="1:57" s="81" customFormat="1" ht="15.75" hidden="1" customHeight="1" outlineLevel="1">
      <c r="A18" s="460"/>
      <c r="B18" s="91"/>
      <c r="C18" s="478" t="s">
        <v>113</v>
      </c>
      <c r="D18" s="87"/>
      <c r="E18" s="87"/>
      <c r="F18" s="87"/>
      <c r="H18" s="463"/>
      <c r="I18" s="82"/>
      <c r="J18" s="82">
        <v>700</v>
      </c>
      <c r="K18" s="82">
        <f>J18</f>
        <v>700</v>
      </c>
      <c r="L18" s="82">
        <f>K18</f>
        <v>700</v>
      </c>
      <c r="M18" s="82">
        <v>900</v>
      </c>
      <c r="N18" s="82">
        <v>1270</v>
      </c>
      <c r="O18" s="82">
        <v>1460</v>
      </c>
      <c r="P18" s="82">
        <v>1500</v>
      </c>
      <c r="Q18" s="82">
        <f>Commodities_prices!Q132</f>
        <v>1800</v>
      </c>
      <c r="R18" s="1948">
        <v>1382</v>
      </c>
      <c r="S18" s="82">
        <v>1200</v>
      </c>
      <c r="T18" s="82">
        <f>Total!U149</f>
        <v>1200</v>
      </c>
      <c r="U18" s="82">
        <f>Commodities_prices!R132</f>
        <v>1800</v>
      </c>
      <c r="V18" s="82">
        <f>Commodities_prices!S132</f>
        <v>1800</v>
      </c>
      <c r="W18" s="82">
        <f>Commodities_prices!T132</f>
        <v>1800</v>
      </c>
      <c r="X18" s="82">
        <f>Commodities_prices!U132</f>
        <v>1800</v>
      </c>
      <c r="Y18" s="82">
        <f>Commodities_prices!V132</f>
        <v>1800</v>
      </c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</row>
    <row r="19" spans="1:57" s="81" customFormat="1" ht="15.75" hidden="1" customHeight="1" outlineLevel="1">
      <c r="A19" s="460"/>
      <c r="B19" s="91"/>
      <c r="C19" s="478" t="s">
        <v>114</v>
      </c>
      <c r="D19" s="87"/>
      <c r="E19" s="87"/>
      <c r="F19" s="87"/>
      <c r="H19" s="463"/>
      <c r="I19" s="82"/>
      <c r="J19" s="82">
        <v>1363.2431498617966</v>
      </c>
      <c r="K19" s="82">
        <v>1498.287612569648</v>
      </c>
      <c r="L19" s="82">
        <v>1415.6831530511322</v>
      </c>
      <c r="M19" s="82">
        <v>1345.3017802582942</v>
      </c>
      <c r="N19" s="82">
        <f>(N53-1%)*N16+(N55-1)*N18/31.1035-60-(N53-1%)*0.06*2204.62-(N16/2204.62-0.9)*10%*2204.62*(N53-1%)/2-(N55-1)/31.1035*5</f>
        <v>1865.6827778127576</v>
      </c>
      <c r="O19" s="82">
        <f>(O53-1%)*O16+(O55)*O18*90%/31.1035-71.25-(O53-1%)*0.07125*2204.62-(O16/2204.62-1.8)*5%*2204.62*(O53-1%)-(O55*90%)/31.1035*6</f>
        <v>1961.9070497765206</v>
      </c>
      <c r="P19" s="82">
        <f>P21</f>
        <v>1755.1874994167993</v>
      </c>
      <c r="Q19" s="82">
        <f t="shared" ref="Q19:Y19" si="8">Q21</f>
        <v>2135.0988438966224</v>
      </c>
      <c r="R19" s="82">
        <f t="shared" si="8"/>
        <v>1540.4333142900427</v>
      </c>
      <c r="S19" s="82">
        <f t="shared" si="8"/>
        <v>1513.0758832654717</v>
      </c>
      <c r="T19" s="82">
        <f>T21</f>
        <v>1513.0758832654717</v>
      </c>
      <c r="U19" s="82">
        <f t="shared" si="8"/>
        <v>2135.0988438966224</v>
      </c>
      <c r="V19" s="82">
        <f t="shared" si="8"/>
        <v>2135.0988438966224</v>
      </c>
      <c r="W19" s="82">
        <f t="shared" si="8"/>
        <v>2135.0988438966224</v>
      </c>
      <c r="X19" s="82">
        <f t="shared" si="8"/>
        <v>2135.0988438966224</v>
      </c>
      <c r="Y19" s="82">
        <f t="shared" si="8"/>
        <v>2135.0988438966224</v>
      </c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</row>
    <row r="20" spans="1:57" s="81" customFormat="1" ht="15.75" hidden="1" customHeight="1" outlineLevel="1">
      <c r="A20" s="460"/>
      <c r="B20" s="91"/>
      <c r="C20" s="478"/>
      <c r="D20" s="87"/>
      <c r="E20" s="87"/>
      <c r="F20" s="87"/>
      <c r="H20" s="88"/>
      <c r="I20" s="549"/>
      <c r="J20" s="77"/>
      <c r="K20" s="77"/>
      <c r="L20" s="77"/>
      <c r="N20" s="429">
        <f t="shared" ref="N20:Y20" si="9">N19/(N16*N53)-1</f>
        <v>0.10736157277585323</v>
      </c>
      <c r="O20" s="429">
        <f t="shared" si="9"/>
        <v>9.3138198981483677E-2</v>
      </c>
      <c r="P20" s="429">
        <f t="shared" si="9"/>
        <v>0.10206443871468363</v>
      </c>
      <c r="Q20" s="429">
        <f t="shared" si="9"/>
        <v>0.16120021966423148</v>
      </c>
      <c r="R20" s="429">
        <f>R19/(R16*R53)-1</f>
        <v>7.5721588191370648E-2</v>
      </c>
      <c r="S20" s="429">
        <f t="shared" si="9"/>
        <v>0.12214352279436924</v>
      </c>
      <c r="T20" s="429">
        <f>T19/(T16*T53)-1</f>
        <v>0.12214352279436924</v>
      </c>
      <c r="U20" s="429">
        <f t="shared" si="9"/>
        <v>0.16120021966423148</v>
      </c>
      <c r="V20" s="429">
        <f t="shared" si="9"/>
        <v>0.16120021966423148</v>
      </c>
      <c r="W20" s="429">
        <f t="shared" si="9"/>
        <v>0.16120021966423148</v>
      </c>
      <c r="X20" s="429">
        <f t="shared" si="9"/>
        <v>0.16120021966423148</v>
      </c>
      <c r="Y20" s="429">
        <f t="shared" si="9"/>
        <v>0.16120021966423148</v>
      </c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</row>
    <row r="21" spans="1:57" s="81" customFormat="1" ht="15.75" hidden="1" customHeight="1" outlineLevel="1">
      <c r="A21" s="460"/>
      <c r="B21" s="91"/>
      <c r="C21" s="95" t="s">
        <v>1829</v>
      </c>
      <c r="D21" s="87"/>
      <c r="E21" s="87"/>
      <c r="F21" s="87"/>
      <c r="H21" s="88"/>
      <c r="I21" s="549"/>
      <c r="J21" s="77"/>
      <c r="K21" s="77"/>
      <c r="L21" s="77"/>
      <c r="N21" s="429"/>
      <c r="O21" s="429"/>
      <c r="P21" s="1175">
        <f>P22+P23+P24+P28+P29</f>
        <v>1755.1874994167993</v>
      </c>
      <c r="Q21" s="1175">
        <f t="shared" ref="Q21:Y21" si="10">Q22+Q23+Q24+Q28+Q29</f>
        <v>2135.0988438966224</v>
      </c>
      <c r="R21" s="1175">
        <f t="shared" si="10"/>
        <v>1540.4333142900427</v>
      </c>
      <c r="S21" s="1175">
        <f t="shared" si="10"/>
        <v>1513.0758832654717</v>
      </c>
      <c r="T21" s="1175">
        <f>T22+T23+T24+T28+T29</f>
        <v>1513.0758832654717</v>
      </c>
      <c r="U21" s="1175">
        <f t="shared" si="10"/>
        <v>2135.0988438966224</v>
      </c>
      <c r="V21" s="1175">
        <f t="shared" si="10"/>
        <v>2135.0988438966224</v>
      </c>
      <c r="W21" s="1175">
        <f t="shared" si="10"/>
        <v>2135.0988438966224</v>
      </c>
      <c r="X21" s="1175">
        <f t="shared" si="10"/>
        <v>2135.0988438966224</v>
      </c>
      <c r="Y21" s="1175">
        <f t="shared" si="10"/>
        <v>2135.0988438966224</v>
      </c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</row>
    <row r="22" spans="1:57" s="81" customFormat="1" ht="15.75" hidden="1" customHeight="1" outlineLevel="1">
      <c r="A22" s="460"/>
      <c r="B22" s="91"/>
      <c r="C22" s="1326" t="s">
        <v>1830</v>
      </c>
      <c r="D22" s="87"/>
      <c r="E22" s="87"/>
      <c r="F22" s="87"/>
      <c r="H22" s="88"/>
      <c r="I22" s="549"/>
      <c r="J22" s="77"/>
      <c r="K22" s="77"/>
      <c r="L22" s="77"/>
      <c r="N22" s="429"/>
      <c r="O22" s="429"/>
      <c r="P22" s="1175">
        <f>P16*(P53-1%)</f>
        <v>1515.4359999999999</v>
      </c>
      <c r="Q22" s="1175">
        <f t="shared" ref="Q22:Y22" si="11">Q16*(Q53-1%)</f>
        <v>1748.7</v>
      </c>
      <c r="R22" s="1175">
        <f t="shared" si="11"/>
        <v>1360.4</v>
      </c>
      <c r="S22" s="1175">
        <f t="shared" si="11"/>
        <v>1282.3800000000001</v>
      </c>
      <c r="T22" s="1175">
        <f>T16*(T53-1%)</f>
        <v>1282.3800000000001</v>
      </c>
      <c r="U22" s="1175">
        <f t="shared" si="11"/>
        <v>1748.7</v>
      </c>
      <c r="V22" s="1175">
        <f t="shared" si="11"/>
        <v>1748.7</v>
      </c>
      <c r="W22" s="1175">
        <f t="shared" si="11"/>
        <v>1748.7</v>
      </c>
      <c r="X22" s="1175">
        <f t="shared" si="11"/>
        <v>1748.7</v>
      </c>
      <c r="Y22" s="1175">
        <f t="shared" si="11"/>
        <v>1748.7</v>
      </c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</row>
    <row r="23" spans="1:57" s="81" customFormat="1" ht="15.75" hidden="1" customHeight="1" outlineLevel="1">
      <c r="A23" s="460"/>
      <c r="B23" s="91"/>
      <c r="C23" s="1326" t="s">
        <v>1831</v>
      </c>
      <c r="D23" s="87"/>
      <c r="E23" s="87"/>
      <c r="F23" s="87"/>
      <c r="H23" s="88"/>
      <c r="I23" s="549"/>
      <c r="J23" s="77"/>
      <c r="K23" s="77"/>
      <c r="L23" s="77"/>
      <c r="N23" s="429"/>
      <c r="O23" s="429"/>
      <c r="P23" s="1175">
        <f>(P55-1)*P18/31.1035</f>
        <v>378.38148898084711</v>
      </c>
      <c r="Q23" s="1175">
        <f t="shared" ref="Q23:Y23" si="12">(Q55-1)*Q18/31.1035</f>
        <v>537.05688189345085</v>
      </c>
      <c r="R23" s="1175">
        <f t="shared" si="12"/>
        <v>311.02609031137973</v>
      </c>
      <c r="S23" s="1175">
        <f t="shared" si="12"/>
        <v>358.03792126230053</v>
      </c>
      <c r="T23" s="1175">
        <f>(T55-1)*T18/31.1035</f>
        <v>358.03792126230053</v>
      </c>
      <c r="U23" s="1175">
        <f t="shared" si="12"/>
        <v>537.05688189345085</v>
      </c>
      <c r="V23" s="1175">
        <f t="shared" si="12"/>
        <v>537.05688189345085</v>
      </c>
      <c r="W23" s="1175">
        <f t="shared" si="12"/>
        <v>537.05688189345085</v>
      </c>
      <c r="X23" s="1175">
        <f t="shared" si="12"/>
        <v>537.05688189345085</v>
      </c>
      <c r="Y23" s="1175">
        <f t="shared" si="12"/>
        <v>537.05688189345085</v>
      </c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</row>
    <row r="24" spans="1:57" s="81" customFormat="1" ht="15.75" hidden="1" customHeight="1" outlineLevel="1">
      <c r="A24" s="460"/>
      <c r="B24" s="91"/>
      <c r="C24" s="1326" t="s">
        <v>1832</v>
      </c>
      <c r="D24" s="87"/>
      <c r="E24" s="87"/>
      <c r="F24" s="87"/>
      <c r="H24" s="88"/>
      <c r="I24" s="549"/>
      <c r="J24" s="77"/>
      <c r="K24" s="77"/>
      <c r="L24" s="77"/>
      <c r="N24" s="429"/>
      <c r="O24" s="429"/>
      <c r="P24" s="1175">
        <v>-70</v>
      </c>
      <c r="Q24" s="1175">
        <v>-70</v>
      </c>
      <c r="R24" s="1175">
        <v>-70</v>
      </c>
      <c r="S24" s="1175">
        <v>-70</v>
      </c>
      <c r="T24" s="1175">
        <v>-70</v>
      </c>
      <c r="U24" s="1175">
        <v>-70</v>
      </c>
      <c r="V24" s="1175">
        <v>-70</v>
      </c>
      <c r="W24" s="1175">
        <v>-70</v>
      </c>
      <c r="X24" s="1175">
        <v>-70</v>
      </c>
      <c r="Y24" s="1175">
        <v>-70</v>
      </c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</row>
    <row r="25" spans="1:57" s="81" customFormat="1" ht="15.75" hidden="1" customHeight="1" outlineLevel="1">
      <c r="A25" s="460"/>
      <c r="B25" s="91"/>
      <c r="C25" s="1326" t="s">
        <v>1833</v>
      </c>
      <c r="D25" s="87"/>
      <c r="E25" s="87"/>
      <c r="F25" s="87"/>
      <c r="H25" s="88"/>
      <c r="I25" s="549"/>
      <c r="J25" s="77"/>
      <c r="K25" s="77"/>
      <c r="L25" s="77"/>
      <c r="N25" s="429"/>
      <c r="O25" s="429"/>
      <c r="P25" s="1013">
        <f>P22/((P53-0.01)*1000)*0.453593</f>
        <v>3.5017379599999998</v>
      </c>
      <c r="Q25" s="1013">
        <f t="shared" ref="Q25:Y25" si="13">Q22/((Q53-0.01)*1000)*0.453593</f>
        <v>4.0823369999999999</v>
      </c>
      <c r="R25" s="1013">
        <f t="shared" si="13"/>
        <v>3.2477258800000004</v>
      </c>
      <c r="S25" s="1013">
        <f t="shared" si="13"/>
        <v>2.9937138000000005</v>
      </c>
      <c r="T25" s="1013">
        <f>T22/((T53-0.01)*1000)*0.453593</f>
        <v>2.9937138000000005</v>
      </c>
      <c r="U25" s="1013">
        <f t="shared" si="13"/>
        <v>4.0823369999999999</v>
      </c>
      <c r="V25" s="1013">
        <f t="shared" si="13"/>
        <v>4.0823369999999999</v>
      </c>
      <c r="W25" s="1013">
        <f t="shared" si="13"/>
        <v>4.0823369999999999</v>
      </c>
      <c r="X25" s="1013">
        <f t="shared" si="13"/>
        <v>4.0823369999999999</v>
      </c>
      <c r="Y25" s="1013">
        <f t="shared" si="13"/>
        <v>4.0823369999999999</v>
      </c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</row>
    <row r="26" spans="1:57" s="81" customFormat="1" ht="15.75" hidden="1" customHeight="1" outlineLevel="1">
      <c r="A26" s="460"/>
      <c r="B26" s="91"/>
      <c r="C26" s="1326" t="s">
        <v>1834</v>
      </c>
      <c r="D26" s="87"/>
      <c r="E26" s="87"/>
      <c r="F26" s="87"/>
      <c r="H26" s="88"/>
      <c r="I26" s="549"/>
      <c r="J26" s="77"/>
      <c r="K26" s="77"/>
      <c r="L26" s="77"/>
      <c r="N26" s="429"/>
      <c r="O26" s="429"/>
      <c r="P26" s="1013">
        <f>P25-1.8</f>
        <v>1.7017379599999998</v>
      </c>
      <c r="Q26" s="1013">
        <f t="shared" ref="Q26:Y26" si="14">Q25-1.8</f>
        <v>2.2823370000000001</v>
      </c>
      <c r="R26" s="1013">
        <f t="shared" si="14"/>
        <v>1.4477258800000004</v>
      </c>
      <c r="S26" s="1013">
        <f t="shared" si="14"/>
        <v>1.1937138000000005</v>
      </c>
      <c r="T26" s="1013">
        <f>T25-1.8</f>
        <v>1.1937138000000005</v>
      </c>
      <c r="U26" s="1013">
        <f t="shared" si="14"/>
        <v>2.2823370000000001</v>
      </c>
      <c r="V26" s="1013">
        <f t="shared" si="14"/>
        <v>2.2823370000000001</v>
      </c>
      <c r="W26" s="1013">
        <f t="shared" si="14"/>
        <v>2.2823370000000001</v>
      </c>
      <c r="X26" s="1013">
        <f t="shared" si="14"/>
        <v>2.2823370000000001</v>
      </c>
      <c r="Y26" s="1013">
        <f t="shared" si="14"/>
        <v>2.2823370000000001</v>
      </c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</row>
    <row r="27" spans="1:57" s="81" customFormat="1" ht="15.75" hidden="1" customHeight="1" outlineLevel="1">
      <c r="A27" s="460"/>
      <c r="B27" s="91"/>
      <c r="C27" s="1326" t="s">
        <v>1835</v>
      </c>
      <c r="D27" s="87"/>
      <c r="E27" s="87"/>
      <c r="F27" s="87"/>
      <c r="H27" s="88"/>
      <c r="I27" s="549"/>
      <c r="J27" s="77"/>
      <c r="K27" s="77"/>
      <c r="L27" s="77"/>
      <c r="N27" s="429"/>
      <c r="O27" s="429"/>
      <c r="P27" s="1013">
        <f>-0.07-IF(P25&gt;1.8,0.05*P26,0)</f>
        <v>-0.155086898</v>
      </c>
      <c r="Q27" s="1013">
        <f t="shared" ref="Q27:Y27" si="15">-0.07-IF(Q25&gt;1.8,0.05*Q26,0)</f>
        <v>-0.18411685</v>
      </c>
      <c r="R27" s="1013">
        <f t="shared" si="15"/>
        <v>-0.14238629400000002</v>
      </c>
      <c r="S27" s="1013">
        <f t="shared" si="15"/>
        <v>-0.12968569000000002</v>
      </c>
      <c r="T27" s="1013">
        <f>-0.07-IF(T25&gt;1.8,0.05*T26,0)</f>
        <v>-0.12968569000000002</v>
      </c>
      <c r="U27" s="1013">
        <f t="shared" si="15"/>
        <v>-0.18411685</v>
      </c>
      <c r="V27" s="1013">
        <f t="shared" si="15"/>
        <v>-0.18411685</v>
      </c>
      <c r="W27" s="1013">
        <f t="shared" si="15"/>
        <v>-0.18411685</v>
      </c>
      <c r="X27" s="1013">
        <f t="shared" si="15"/>
        <v>-0.18411685</v>
      </c>
      <c r="Y27" s="1013">
        <f t="shared" si="15"/>
        <v>-0.18411685</v>
      </c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</row>
    <row r="28" spans="1:57" s="81" customFormat="1" ht="15.75" hidden="1" customHeight="1" outlineLevel="1">
      <c r="A28" s="460"/>
      <c r="B28" s="91"/>
      <c r="C28" s="1326" t="s">
        <v>1836</v>
      </c>
      <c r="D28" s="87"/>
      <c r="E28" s="87"/>
      <c r="F28" s="87"/>
      <c r="H28" s="88"/>
      <c r="I28" s="549"/>
      <c r="J28" s="77"/>
      <c r="K28" s="77"/>
      <c r="L28" s="77"/>
      <c r="N28" s="429"/>
      <c r="O28" s="429"/>
      <c r="P28" s="1175">
        <f>P27/0.453593*(P53-0.01)*1000</f>
        <v>-67.116463608124448</v>
      </c>
      <c r="Q28" s="1175">
        <f t="shared" ref="Q28:Y28" si="16">Q27/0.453593*(Q53-0.01)*1000</f>
        <v>-78.86784839051748</v>
      </c>
      <c r="R28" s="1175">
        <f t="shared" si="16"/>
        <v>-59.642445672662497</v>
      </c>
      <c r="S28" s="1175">
        <f>S27/0.453593*(S53-0.01)*1000</f>
        <v>-55.551848390517499</v>
      </c>
      <c r="T28" s="1175">
        <f>T27/0.453593*(T53-0.01)*1000</f>
        <v>-55.551848390517499</v>
      </c>
      <c r="U28" s="1175">
        <f t="shared" si="16"/>
        <v>-78.86784839051748</v>
      </c>
      <c r="V28" s="1175">
        <f t="shared" si="16"/>
        <v>-78.86784839051748</v>
      </c>
      <c r="W28" s="1175">
        <f t="shared" si="16"/>
        <v>-78.86784839051748</v>
      </c>
      <c r="X28" s="1175">
        <f t="shared" si="16"/>
        <v>-78.86784839051748</v>
      </c>
      <c r="Y28" s="1175">
        <f t="shared" si="16"/>
        <v>-78.86784839051748</v>
      </c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</row>
    <row r="29" spans="1:57" s="81" customFormat="1" ht="15.75" hidden="1" customHeight="1" outlineLevel="1">
      <c r="A29" s="460"/>
      <c r="B29" s="91"/>
      <c r="C29" s="1326" t="s">
        <v>1837</v>
      </c>
      <c r="D29" s="87"/>
      <c r="E29" s="87"/>
      <c r="F29" s="87"/>
      <c r="H29" s="88"/>
      <c r="I29" s="549"/>
      <c r="J29" s="77"/>
      <c r="K29" s="77"/>
      <c r="L29" s="77"/>
      <c r="N29" s="429"/>
      <c r="O29" s="429"/>
      <c r="P29" s="1175">
        <f>-6/31.1035*(P55-1)</f>
        <v>-1.5135259559233885</v>
      </c>
      <c r="Q29" s="1175">
        <f t="shared" ref="Q29:Y29" si="17">-6/31.1035*(Q55-1)</f>
        <v>-1.790189606311503</v>
      </c>
      <c r="R29" s="1175">
        <f t="shared" si="17"/>
        <v>-1.3503303486745866</v>
      </c>
      <c r="S29" s="1175">
        <f t="shared" si="17"/>
        <v>-1.790189606311503</v>
      </c>
      <c r="T29" s="1175">
        <f>-6/31.1035*(T55-1)</f>
        <v>-1.790189606311503</v>
      </c>
      <c r="U29" s="1175">
        <f t="shared" si="17"/>
        <v>-1.790189606311503</v>
      </c>
      <c r="V29" s="1175">
        <f t="shared" si="17"/>
        <v>-1.790189606311503</v>
      </c>
      <c r="W29" s="1175">
        <f t="shared" si="17"/>
        <v>-1.790189606311503</v>
      </c>
      <c r="X29" s="1175">
        <f t="shared" si="17"/>
        <v>-1.790189606311503</v>
      </c>
      <c r="Y29" s="1175">
        <f t="shared" si="17"/>
        <v>-1.790189606311503</v>
      </c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</row>
    <row r="30" spans="1:57" s="81" customFormat="1" ht="15.75" hidden="1" customHeight="1" outlineLevel="1">
      <c r="A30" s="460"/>
      <c r="B30" s="91"/>
      <c r="C30" s="478"/>
      <c r="D30" s="87"/>
      <c r="E30" s="87"/>
      <c r="F30" s="87"/>
      <c r="H30" s="88"/>
      <c r="I30" s="549"/>
      <c r="J30" s="77"/>
      <c r="K30" s="77"/>
      <c r="L30" s="77"/>
      <c r="N30" s="429"/>
      <c r="O30" s="429"/>
      <c r="P30" s="429"/>
      <c r="Q30" s="429"/>
      <c r="R30" s="429"/>
      <c r="S30" s="429"/>
      <c r="T30" s="429"/>
      <c r="U30" s="429"/>
      <c r="V30" s="429"/>
      <c r="W30" s="429"/>
      <c r="X30" s="429"/>
      <c r="Y30" s="429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</row>
    <row r="31" spans="1:57" s="480" customFormat="1" ht="22.5" customHeight="1" collapsed="1">
      <c r="A31" s="460"/>
      <c r="B31" s="474" t="s">
        <v>523</v>
      </c>
      <c r="C31" s="95" t="s">
        <v>299</v>
      </c>
      <c r="D31" s="479"/>
      <c r="E31" s="479"/>
      <c r="F31" s="479"/>
      <c r="H31" s="476"/>
      <c r="I31" s="141">
        <f>-I11*1.5%</f>
        <v>0</v>
      </c>
      <c r="J31" s="141">
        <f>-J11*1.5%</f>
        <v>-651676.33499999996</v>
      </c>
      <c r="K31" s="141">
        <f>-K11*1.5%</f>
        <v>-724126.4934800932</v>
      </c>
      <c r="L31" s="141">
        <f>-L11*0.7%</f>
        <v>-379735.80046510586</v>
      </c>
      <c r="M31" s="141">
        <f>-M11*0.7%</f>
        <v>-333933.82557256427</v>
      </c>
      <c r="N31" s="141">
        <f>-N11*0.7%</f>
        <v>-487017.04791404225</v>
      </c>
      <c r="O31" s="141">
        <f>-O11*1%</f>
        <v>-667048.396924017</v>
      </c>
      <c r="P31" s="141">
        <f>-P11*1%</f>
        <v>-788762.19976671971</v>
      </c>
      <c r="Q31" s="141">
        <f t="shared" ref="Q31:Y31" si="18">-Q11*1%</f>
        <v>-1063221.029978564</v>
      </c>
      <c r="R31" s="1947">
        <f>-R11*2.2%</f>
        <v>-1031744.8512126021</v>
      </c>
      <c r="S31" s="141">
        <f t="shared" si="18"/>
        <v>-392549.71430084272</v>
      </c>
      <c r="T31" s="141">
        <f>-T11*1%</f>
        <v>-861524.64667020738</v>
      </c>
      <c r="U31" s="141">
        <f t="shared" si="18"/>
        <v>-1170795.2187381489</v>
      </c>
      <c r="V31" s="141">
        <f t="shared" si="18"/>
        <v>-1170795.2187381489</v>
      </c>
      <c r="W31" s="141">
        <f t="shared" si="18"/>
        <v>-1170795.2187381489</v>
      </c>
      <c r="X31" s="141">
        <f t="shared" si="18"/>
        <v>-1170795.2187381489</v>
      </c>
      <c r="Y31" s="141">
        <f t="shared" si="18"/>
        <v>-1123939.2114645489</v>
      </c>
      <c r="Z31" s="156"/>
      <c r="AA31" s="156"/>
      <c r="AB31" s="156"/>
      <c r="AC31" s="156"/>
      <c r="AD31" s="156"/>
      <c r="AE31" s="156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6"/>
      <c r="BB31" s="156"/>
      <c r="BC31" s="156"/>
      <c r="BD31" s="156"/>
      <c r="BE31" s="156"/>
    </row>
    <row r="32" spans="1:57" s="480" customFormat="1" ht="15.75" customHeight="1">
      <c r="A32" s="460"/>
      <c r="B32" s="474" t="s">
        <v>523</v>
      </c>
      <c r="C32" s="95" t="s">
        <v>115</v>
      </c>
      <c r="D32" s="479"/>
      <c r="E32" s="479"/>
      <c r="F32" s="479"/>
      <c r="H32" s="476"/>
      <c r="I32" s="141"/>
      <c r="J32" s="141">
        <f t="shared" ref="J32:O32" si="19">-J163</f>
        <v>-1024058.16</v>
      </c>
      <c r="K32" s="141">
        <f t="shared" si="19"/>
        <v>-1323310.352</v>
      </c>
      <c r="L32" s="141">
        <f t="shared" si="19"/>
        <v>-1458215.5418617134</v>
      </c>
      <c r="M32" s="141">
        <f>-M163</f>
        <v>-998296.06315773632</v>
      </c>
      <c r="N32" s="141">
        <f>-N163</f>
        <v>-1172246.062251233</v>
      </c>
      <c r="O32" s="141">
        <f t="shared" si="19"/>
        <v>-1076809.622084866</v>
      </c>
      <c r="P32" s="141">
        <f>-P163-P194</f>
        <v>-1161811.8524100001</v>
      </c>
      <c r="Q32" s="141">
        <f t="shared" ref="Q32:Y32" si="20">-Q163-Q194</f>
        <v>-1822630.9999999998</v>
      </c>
      <c r="R32" s="141">
        <f t="shared" si="20"/>
        <v>0</v>
      </c>
      <c r="S32" s="141">
        <f t="shared" si="20"/>
        <v>0</v>
      </c>
      <c r="T32" s="141">
        <f>-T163-T194</f>
        <v>-1822630.9999999998</v>
      </c>
      <c r="U32" s="141">
        <f t="shared" si="20"/>
        <v>-2066538.9552587485</v>
      </c>
      <c r="V32" s="141">
        <f t="shared" si="20"/>
        <v>-2132413.9193423479</v>
      </c>
      <c r="W32" s="141">
        <f t="shared" si="20"/>
        <v>-2201050.5127995955</v>
      </c>
      <c r="X32" s="141">
        <f t="shared" si="20"/>
        <v>-2272564.5094590383</v>
      </c>
      <c r="Y32" s="141">
        <f t="shared" si="20"/>
        <v>-2269745.2484815815</v>
      </c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</row>
    <row r="33" spans="1:57" s="81" customFormat="1" ht="15.75" customHeight="1">
      <c r="A33" s="460"/>
      <c r="B33" s="91"/>
      <c r="C33" s="478"/>
      <c r="D33" s="87"/>
      <c r="E33" s="87"/>
      <c r="F33" s="87"/>
      <c r="H33" s="88"/>
      <c r="I33" s="77"/>
      <c r="J33" s="77"/>
      <c r="K33" s="77"/>
      <c r="L33" s="77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</row>
    <row r="34" spans="1:57" s="157" customFormat="1" ht="15.75" customHeight="1">
      <c r="A34" s="460"/>
      <c r="B34" s="474" t="s">
        <v>524</v>
      </c>
      <c r="C34" s="162" t="s">
        <v>332</v>
      </c>
      <c r="D34" s="475"/>
      <c r="E34" s="475"/>
      <c r="F34" s="475"/>
      <c r="H34" s="476"/>
      <c r="I34" s="141">
        <f>I11+I31</f>
        <v>0</v>
      </c>
      <c r="J34" s="141">
        <f t="shared" ref="J34:Y34" si="21">J11+J31+J32</f>
        <v>41769354.505000003</v>
      </c>
      <c r="K34" s="141">
        <f t="shared" si="21"/>
        <v>46227662.719859459</v>
      </c>
      <c r="L34" s="141">
        <f t="shared" si="21"/>
        <v>52410020.15268831</v>
      </c>
      <c r="M34" s="141">
        <f t="shared" si="21"/>
        <v>46372602.335921742</v>
      </c>
      <c r="N34" s="141">
        <f t="shared" si="21"/>
        <v>67914600.877555043</v>
      </c>
      <c r="O34" s="141">
        <f t="shared" si="21"/>
        <v>64960981.673392817</v>
      </c>
      <c r="P34" s="141">
        <f t="shared" si="21"/>
        <v>76925645.924495235</v>
      </c>
      <c r="Q34" s="141">
        <f t="shared" si="21"/>
        <v>103436250.96787784</v>
      </c>
      <c r="R34" s="141">
        <f t="shared" si="21"/>
        <v>45865748.385723859</v>
      </c>
      <c r="S34" s="141">
        <f t="shared" si="21"/>
        <v>38862421.715783432</v>
      </c>
      <c r="T34" s="141">
        <f>T11+T31+T32</f>
        <v>83468309.020350531</v>
      </c>
      <c r="U34" s="141">
        <f t="shared" si="21"/>
        <v>113842187.69981799</v>
      </c>
      <c r="V34" s="141">
        <f t="shared" si="21"/>
        <v>113776312.73573437</v>
      </c>
      <c r="W34" s="141">
        <f t="shared" si="21"/>
        <v>113707676.14227714</v>
      </c>
      <c r="X34" s="141">
        <f t="shared" si="21"/>
        <v>113636162.14561769</v>
      </c>
      <c r="Y34" s="141">
        <f t="shared" si="21"/>
        <v>109000236.68650874</v>
      </c>
      <c r="Z34" s="155"/>
      <c r="AA34" s="155"/>
      <c r="AB34" s="155"/>
      <c r="AC34" s="155"/>
      <c r="AD34" s="155"/>
      <c r="AE34" s="155"/>
      <c r="AF34" s="155"/>
      <c r="AG34" s="155"/>
      <c r="AH34" s="155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  <c r="AT34" s="155"/>
      <c r="AU34" s="155"/>
      <c r="AV34" s="155"/>
      <c r="AW34" s="155"/>
      <c r="AX34" s="155"/>
      <c r="AY34" s="155"/>
      <c r="AZ34" s="155"/>
      <c r="BA34" s="155"/>
      <c r="BB34" s="155"/>
      <c r="BC34" s="155"/>
      <c r="BD34" s="155"/>
      <c r="BE34" s="155"/>
    </row>
    <row r="35" spans="1:57" s="81" customFormat="1" ht="15.75" customHeight="1">
      <c r="A35" s="460"/>
      <c r="B35" s="91"/>
      <c r="C35" s="87"/>
      <c r="D35" s="87"/>
      <c r="E35" s="87"/>
      <c r="F35" s="87"/>
      <c r="H35" s="88"/>
      <c r="I35" s="82"/>
      <c r="J35" s="82"/>
      <c r="K35" s="82"/>
      <c r="L35" s="82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</row>
    <row r="36" spans="1:57" s="81" customFormat="1" ht="15.75" customHeight="1">
      <c r="A36" s="460"/>
      <c r="B36" s="91"/>
      <c r="C36" s="87" t="s">
        <v>116</v>
      </c>
      <c r="D36" s="87"/>
      <c r="E36" s="87"/>
      <c r="F36" s="87"/>
      <c r="H36" s="88"/>
      <c r="I36" s="82"/>
      <c r="J36" s="82"/>
      <c r="K36" s="82"/>
      <c r="L36" s="82"/>
      <c r="M36" s="82"/>
      <c r="N36" s="82"/>
      <c r="O36" s="82"/>
      <c r="P36" s="82"/>
      <c r="Q36" s="82">
        <f>17850000+5450000+12480000</f>
        <v>35780000</v>
      </c>
      <c r="R36" s="82"/>
      <c r="S36" s="82"/>
      <c r="T36" s="82">
        <f>17850000+5450000+12480000</f>
        <v>35780000</v>
      </c>
      <c r="U36" s="82">
        <f>Q36-U40-U63</f>
        <v>30259591.84</v>
      </c>
      <c r="V36" s="82">
        <f>U36-V40-V63</f>
        <v>24739183.68</v>
      </c>
      <c r="W36" s="82">
        <f>V36-W40-W63</f>
        <v>19218775.52</v>
      </c>
      <c r="X36" s="82">
        <f>W36-X40-X63</f>
        <v>13698367.359999999</v>
      </c>
      <c r="Y36" s="82">
        <f>X36-Y40-Y63</f>
        <v>8415973.1999999993</v>
      </c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</row>
    <row r="37" spans="1:57" s="81" customFormat="1" ht="15.75" customHeight="1">
      <c r="A37" s="460"/>
      <c r="B37" s="91"/>
      <c r="C37" s="87"/>
      <c r="D37" s="87"/>
      <c r="E37" s="87"/>
      <c r="F37" s="87"/>
      <c r="H37" s="88"/>
      <c r="I37" s="82"/>
      <c r="J37" s="82"/>
      <c r="K37" s="87"/>
      <c r="L37" s="87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</row>
    <row r="38" spans="1:57" s="81" customFormat="1" ht="15.75" customHeight="1">
      <c r="A38" s="460"/>
      <c r="B38" s="91"/>
      <c r="C38" s="87" t="s">
        <v>117</v>
      </c>
      <c r="D38" s="87"/>
      <c r="E38" s="87"/>
      <c r="F38" s="87"/>
      <c r="H38" s="88"/>
      <c r="I38" s="82">
        <f>I50*I53/(I43*I46)</f>
        <v>1939950.5373666959</v>
      </c>
      <c r="J38" s="82">
        <v>3943872</v>
      </c>
      <c r="K38" s="82">
        <v>3943872</v>
      </c>
      <c r="L38" s="82">
        <f t="shared" ref="L38:R38" si="22">L40*(1-L42)</f>
        <v>4144502.4000000004</v>
      </c>
      <c r="M38" s="82">
        <f t="shared" si="22"/>
        <v>3651480</v>
      </c>
      <c r="N38" s="82">
        <f t="shared" si="22"/>
        <v>4051527.64</v>
      </c>
      <c r="O38" s="82">
        <f t="shared" si="22"/>
        <v>3971450</v>
      </c>
      <c r="P38" s="82">
        <f t="shared" si="22"/>
        <v>4327185.1499999994</v>
      </c>
      <c r="Q38" s="82">
        <f t="shared" si="22"/>
        <v>4410000</v>
      </c>
      <c r="R38" s="82">
        <f t="shared" si="22"/>
        <v>2265760</v>
      </c>
      <c r="S38" s="82">
        <f t="shared" ref="S38:Y38" si="23">S40*(1-S42)</f>
        <v>2205000</v>
      </c>
      <c r="T38" s="82">
        <f t="shared" si="23"/>
        <v>4410000</v>
      </c>
      <c r="U38" s="82">
        <f t="shared" si="23"/>
        <v>4410000</v>
      </c>
      <c r="V38" s="82">
        <f t="shared" si="23"/>
        <v>4410000</v>
      </c>
      <c r="W38" s="82">
        <f t="shared" si="23"/>
        <v>4410000</v>
      </c>
      <c r="X38" s="82">
        <f t="shared" si="23"/>
        <v>4410000</v>
      </c>
      <c r="Y38" s="82">
        <f t="shared" si="23"/>
        <v>4410000</v>
      </c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</row>
    <row r="39" spans="1:57" s="81" customFormat="1" ht="15.75" customHeight="1">
      <c r="A39" s="460"/>
      <c r="B39" s="91"/>
      <c r="C39" s="87" t="s">
        <v>118</v>
      </c>
      <c r="D39" s="87"/>
      <c r="E39" s="87"/>
      <c r="F39" s="87"/>
      <c r="H39" s="88"/>
      <c r="I39" s="82">
        <f>I40*2</f>
        <v>3959082.7293197876</v>
      </c>
      <c r="J39" s="82">
        <f>J40*2</f>
        <v>8048718.3673469387</v>
      </c>
      <c r="K39" s="82">
        <v>7894064</v>
      </c>
      <c r="L39" s="82">
        <v>7272500</v>
      </c>
      <c r="M39" s="82">
        <v>5864500</v>
      </c>
      <c r="N39" s="82">
        <v>13865321</v>
      </c>
      <c r="O39" s="82">
        <v>15473647</v>
      </c>
      <c r="P39" s="82">
        <v>12494926</v>
      </c>
      <c r="Q39" s="82">
        <f>8310000+4500000</f>
        <v>12810000</v>
      </c>
      <c r="R39" s="82"/>
      <c r="S39" s="82"/>
      <c r="T39" s="82">
        <f>8310000+4500000</f>
        <v>12810000</v>
      </c>
      <c r="U39" s="82">
        <f>U40+10000000</f>
        <v>14500000</v>
      </c>
      <c r="V39" s="82">
        <f>V40+9110000</f>
        <v>13610000</v>
      </c>
      <c r="W39" s="82">
        <f>21365000+W40</f>
        <v>25865000</v>
      </c>
      <c r="X39" s="82">
        <f>24000000+X40</f>
        <v>28500000</v>
      </c>
      <c r="Y39" s="82">
        <f>17600000+Y40</f>
        <v>22100000</v>
      </c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</row>
    <row r="40" spans="1:57" s="81" customFormat="1" ht="15.75" customHeight="1">
      <c r="A40" s="460"/>
      <c r="B40" s="91"/>
      <c r="C40" s="481" t="s">
        <v>119</v>
      </c>
      <c r="D40" s="87"/>
      <c r="E40" s="87"/>
      <c r="F40" s="87"/>
      <c r="H40" s="88"/>
      <c r="I40" s="82">
        <f>I38/(1-I42)</f>
        <v>1979541.3646598938</v>
      </c>
      <c r="J40" s="82">
        <f>J38/(1-J42)</f>
        <v>4024359.1836734693</v>
      </c>
      <c r="K40" s="82">
        <v>4109464</v>
      </c>
      <c r="L40" s="82">
        <v>4236000</v>
      </c>
      <c r="M40" s="82">
        <v>3726000</v>
      </c>
      <c r="N40" s="82">
        <v>4135900</v>
      </c>
      <c r="O40" s="82">
        <v>4052500</v>
      </c>
      <c r="P40" s="82">
        <v>4435000</v>
      </c>
      <c r="Q40" s="82">
        <v>4500000</v>
      </c>
      <c r="R40" s="1948">
        <v>2312000</v>
      </c>
      <c r="S40" s="82">
        <f>T40/2</f>
        <v>2250000</v>
      </c>
      <c r="T40" s="82">
        <v>4500000</v>
      </c>
      <c r="U40" s="82">
        <v>4500000</v>
      </c>
      <c r="V40" s="82">
        <v>4500000</v>
      </c>
      <c r="W40" s="82">
        <v>4500000</v>
      </c>
      <c r="X40" s="82">
        <v>4500000</v>
      </c>
      <c r="Y40" s="82">
        <v>4500000</v>
      </c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</row>
    <row r="41" spans="1:57" s="81" customFormat="1" ht="15.75" customHeight="1">
      <c r="A41" s="460"/>
      <c r="B41" s="91"/>
      <c r="C41" s="481" t="s">
        <v>1763</v>
      </c>
      <c r="D41" s="87"/>
      <c r="E41" s="87"/>
      <c r="F41" s="87"/>
      <c r="H41" s="88"/>
      <c r="I41" s="82"/>
      <c r="J41" s="82"/>
      <c r="K41" s="82"/>
      <c r="L41" s="82"/>
      <c r="M41" s="82"/>
      <c r="N41" s="82"/>
      <c r="O41" s="1013">
        <f>(O39-O40)/O40</f>
        <v>2.8182966070326958</v>
      </c>
      <c r="P41" s="1013">
        <f t="shared" ref="P41:Y41" si="24">(P39-P40)/P40</f>
        <v>1.8173452085682074</v>
      </c>
      <c r="Q41" s="1013">
        <f t="shared" si="24"/>
        <v>1.8466666666666667</v>
      </c>
      <c r="R41" s="1013">
        <f t="shared" si="24"/>
        <v>-1</v>
      </c>
      <c r="S41" s="1013">
        <f t="shared" si="24"/>
        <v>-1</v>
      </c>
      <c r="T41" s="1013">
        <f>(T39-T40)/T40</f>
        <v>1.8466666666666667</v>
      </c>
      <c r="U41" s="1013">
        <f t="shared" si="24"/>
        <v>2.2222222222222223</v>
      </c>
      <c r="V41" s="1013">
        <f t="shared" si="24"/>
        <v>2.0244444444444443</v>
      </c>
      <c r="W41" s="1013">
        <f t="shared" si="24"/>
        <v>4.7477777777777774</v>
      </c>
      <c r="X41" s="1013">
        <f t="shared" si="24"/>
        <v>5.333333333333333</v>
      </c>
      <c r="Y41" s="1013">
        <f t="shared" si="24"/>
        <v>3.911111111111111</v>
      </c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</row>
    <row r="42" spans="1:57" s="81" customFormat="1" ht="15.75" hidden="1" customHeight="1" outlineLevel="1">
      <c r="A42" s="460"/>
      <c r="B42" s="91"/>
      <c r="C42" s="482" t="s">
        <v>1222</v>
      </c>
      <c r="D42" s="87"/>
      <c r="E42" s="87"/>
      <c r="F42" s="87"/>
      <c r="H42" s="88"/>
      <c r="I42" s="486">
        <v>0.02</v>
      </c>
      <c r="J42" s="77">
        <f>I42</f>
        <v>0.02</v>
      </c>
      <c r="K42" s="550">
        <v>2.0140000000000002E-2</v>
      </c>
      <c r="L42" s="550">
        <v>2.1600000000000001E-2</v>
      </c>
      <c r="M42" s="77">
        <v>0.02</v>
      </c>
      <c r="N42" s="77">
        <v>2.0400000000000001E-2</v>
      </c>
      <c r="O42" s="77">
        <v>0.02</v>
      </c>
      <c r="P42" s="556">
        <v>2.4309999999999998E-2</v>
      </c>
      <c r="Q42" s="77">
        <v>0.02</v>
      </c>
      <c r="R42" s="77">
        <v>0.02</v>
      </c>
      <c r="S42" s="77">
        <v>0.02</v>
      </c>
      <c r="T42" s="77">
        <v>0.02</v>
      </c>
      <c r="U42" s="77">
        <f t="shared" ref="U42:U48" si="25">Q42</f>
        <v>0.02</v>
      </c>
      <c r="V42" s="77">
        <f t="shared" ref="V42:Y43" si="26">U42</f>
        <v>0.02</v>
      </c>
      <c r="W42" s="77">
        <f t="shared" si="26"/>
        <v>0.02</v>
      </c>
      <c r="X42" s="77">
        <f t="shared" si="26"/>
        <v>0.02</v>
      </c>
      <c r="Y42" s="77">
        <f t="shared" si="26"/>
        <v>0.02</v>
      </c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0"/>
      <c r="BC42" s="100"/>
      <c r="BD42" s="100"/>
      <c r="BE42" s="100"/>
    </row>
    <row r="43" spans="1:57" s="81" customFormat="1" ht="15.75" hidden="1" customHeight="1" outlineLevel="1">
      <c r="A43" s="460"/>
      <c r="B43" s="91"/>
      <c r="C43" s="482" t="s">
        <v>1223</v>
      </c>
      <c r="D43" s="87"/>
      <c r="E43" s="87"/>
      <c r="F43" s="87"/>
      <c r="H43" s="88"/>
      <c r="I43" s="551">
        <v>2.588785046728972E-3</v>
      </c>
      <c r="J43" s="551">
        <v>2.1875000000000002E-3</v>
      </c>
      <c r="K43" s="552">
        <v>2.1069999999999999E-3</v>
      </c>
      <c r="L43" s="551">
        <v>2.2300000000000002E-3</v>
      </c>
      <c r="M43" s="551">
        <v>2.32E-3</v>
      </c>
      <c r="N43" s="551">
        <v>2.2000000000000001E-3</v>
      </c>
      <c r="O43" s="551">
        <v>2.15E-3</v>
      </c>
      <c r="P43" s="551">
        <v>2.4502999999999999E-3</v>
      </c>
      <c r="Q43" s="551">
        <v>2.3966E-3</v>
      </c>
      <c r="R43" s="1951">
        <v>2.5799999999999998E-3</v>
      </c>
      <c r="S43" s="551">
        <v>2.3966E-3</v>
      </c>
      <c r="T43" s="551">
        <v>2.3966E-3</v>
      </c>
      <c r="U43" s="551">
        <f t="shared" si="25"/>
        <v>2.3966E-3</v>
      </c>
      <c r="V43" s="551">
        <f t="shared" si="26"/>
        <v>2.3966E-3</v>
      </c>
      <c r="W43" s="551">
        <f t="shared" si="26"/>
        <v>2.3966E-3</v>
      </c>
      <c r="X43" s="551">
        <f t="shared" si="26"/>
        <v>2.3966E-3</v>
      </c>
      <c r="Y43" s="551">
        <f t="shared" si="26"/>
        <v>2.3966E-3</v>
      </c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</row>
    <row r="44" spans="1:57" s="81" customFormat="1" ht="15.75" hidden="1" customHeight="1" outlineLevel="1">
      <c r="A44" s="460"/>
      <c r="B44" s="91"/>
      <c r="C44" s="482" t="s">
        <v>1224</v>
      </c>
      <c r="D44" s="87"/>
      <c r="E44" s="87"/>
      <c r="F44" s="87"/>
      <c r="H44" s="88"/>
      <c r="I44" s="553">
        <v>2.7102803738317752E-7</v>
      </c>
      <c r="J44" s="550">
        <v>2.1875000000000002E-3</v>
      </c>
      <c r="K44" s="554">
        <v>0.222</v>
      </c>
      <c r="L44" s="554">
        <v>0.23899999999999999</v>
      </c>
      <c r="M44" s="555">
        <v>0.19800000000000001</v>
      </c>
      <c r="N44" s="555">
        <v>0.219</v>
      </c>
      <c r="O44" s="555">
        <v>0.19800000000000001</v>
      </c>
      <c r="P44" s="555">
        <v>0.191</v>
      </c>
      <c r="Q44" s="555">
        <v>0.2</v>
      </c>
      <c r="R44" s="1949">
        <v>0.14499999999999999</v>
      </c>
      <c r="S44" s="555">
        <v>0.2</v>
      </c>
      <c r="T44" s="555">
        <v>0.2</v>
      </c>
      <c r="U44" s="555">
        <f t="shared" si="25"/>
        <v>0.2</v>
      </c>
      <c r="V44" s="555">
        <f t="shared" ref="V44:W46" si="27">U44</f>
        <v>0.2</v>
      </c>
      <c r="W44" s="555">
        <f t="shared" si="27"/>
        <v>0.2</v>
      </c>
      <c r="X44" s="555">
        <f t="shared" ref="X44:Y48" si="28">W44</f>
        <v>0.2</v>
      </c>
      <c r="Y44" s="555">
        <f t="shared" si="28"/>
        <v>0.2</v>
      </c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</row>
    <row r="45" spans="1:57" s="81" customFormat="1" ht="15.75" hidden="1" customHeight="1" outlineLevel="1">
      <c r="A45" s="460"/>
      <c r="B45" s="91"/>
      <c r="C45" s="482" t="s">
        <v>1225</v>
      </c>
      <c r="D45" s="87"/>
      <c r="E45" s="87"/>
      <c r="F45" s="87"/>
      <c r="H45" s="88"/>
      <c r="I45" s="553"/>
      <c r="J45" s="553"/>
      <c r="K45" s="554">
        <v>0.745</v>
      </c>
      <c r="L45" s="554">
        <v>0.78100000000000003</v>
      </c>
      <c r="M45" s="555">
        <v>0.77800000000000002</v>
      </c>
      <c r="N45" s="555">
        <v>0.97</v>
      </c>
      <c r="O45" s="555">
        <f>N45</f>
        <v>0.97</v>
      </c>
      <c r="P45" s="555">
        <v>0.90600000000000003</v>
      </c>
      <c r="Q45" s="555">
        <v>0.86</v>
      </c>
      <c r="R45" s="1950">
        <v>0.74</v>
      </c>
      <c r="S45" s="555">
        <v>0.86</v>
      </c>
      <c r="T45" s="555">
        <v>0.86</v>
      </c>
      <c r="U45" s="555">
        <f t="shared" si="25"/>
        <v>0.86</v>
      </c>
      <c r="V45" s="555">
        <f t="shared" si="27"/>
        <v>0.86</v>
      </c>
      <c r="W45" s="555">
        <f t="shared" si="27"/>
        <v>0.86</v>
      </c>
      <c r="X45" s="555">
        <f t="shared" si="28"/>
        <v>0.86</v>
      </c>
      <c r="Y45" s="555">
        <f t="shared" si="28"/>
        <v>0.86</v>
      </c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0"/>
      <c r="BC45" s="100"/>
      <c r="BD45" s="100"/>
      <c r="BE45" s="100"/>
    </row>
    <row r="46" spans="1:57" s="81" customFormat="1" ht="15.75" hidden="1" customHeight="1" outlineLevel="1">
      <c r="A46" s="460"/>
      <c r="B46" s="91"/>
      <c r="C46" s="482" t="s">
        <v>1226</v>
      </c>
      <c r="D46" s="87"/>
      <c r="E46" s="87"/>
      <c r="F46" s="87"/>
      <c r="H46" s="88"/>
      <c r="I46" s="486">
        <v>0.87</v>
      </c>
      <c r="J46" s="77">
        <f>I46</f>
        <v>0.87</v>
      </c>
      <c r="K46" s="556">
        <v>0.88190000000000002</v>
      </c>
      <c r="L46" s="556">
        <v>0.89390000000000003</v>
      </c>
      <c r="M46" s="77">
        <v>0.88280000000000003</v>
      </c>
      <c r="N46" s="77">
        <v>0.88109999999999999</v>
      </c>
      <c r="O46" s="77">
        <v>0.88129999999999997</v>
      </c>
      <c r="P46" s="77">
        <v>0.83950000000000002</v>
      </c>
      <c r="Q46" s="77">
        <v>0.82922333000000004</v>
      </c>
      <c r="R46" s="1952">
        <v>0.83330000000000004</v>
      </c>
      <c r="S46" s="77">
        <v>0.82922333000000004</v>
      </c>
      <c r="T46" s="77">
        <v>0.82922333000000004</v>
      </c>
      <c r="U46" s="77">
        <f t="shared" si="25"/>
        <v>0.82922333000000004</v>
      </c>
      <c r="V46" s="77">
        <f t="shared" si="27"/>
        <v>0.82922333000000004</v>
      </c>
      <c r="W46" s="77">
        <f t="shared" si="27"/>
        <v>0.82922333000000004</v>
      </c>
      <c r="X46" s="77">
        <f t="shared" si="28"/>
        <v>0.82922333000000004</v>
      </c>
      <c r="Y46" s="77">
        <f t="shared" si="28"/>
        <v>0.82922333000000004</v>
      </c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</row>
    <row r="47" spans="1:57" s="81" customFormat="1" ht="15.75" hidden="1" customHeight="1" outlineLevel="1">
      <c r="A47" s="460"/>
      <c r="B47" s="91"/>
      <c r="C47" s="482" t="s">
        <v>1227</v>
      </c>
      <c r="D47" s="87"/>
      <c r="E47" s="87"/>
      <c r="F47" s="87"/>
      <c r="H47" s="88"/>
      <c r="I47" s="77">
        <v>0.57999999999999996</v>
      </c>
      <c r="J47" s="77">
        <f>I47</f>
        <v>0.57999999999999996</v>
      </c>
      <c r="K47" s="556">
        <v>0.52300000000000002</v>
      </c>
      <c r="L47" s="556">
        <v>0.51390000000000002</v>
      </c>
      <c r="M47" s="77">
        <v>0.4713</v>
      </c>
      <c r="N47" s="77">
        <v>0.46339999999999998</v>
      </c>
      <c r="O47" s="77">
        <v>0.43590000000000001</v>
      </c>
      <c r="P47" s="77">
        <v>0.46179999999999999</v>
      </c>
      <c r="Q47" s="77">
        <v>0.5</v>
      </c>
      <c r="R47" s="1953">
        <v>0.48730000000000001</v>
      </c>
      <c r="S47" s="77">
        <v>0.5</v>
      </c>
      <c r="T47" s="77">
        <v>0.5</v>
      </c>
      <c r="U47" s="77">
        <f t="shared" si="25"/>
        <v>0.5</v>
      </c>
      <c r="V47" s="77">
        <f>U47</f>
        <v>0.5</v>
      </c>
      <c r="W47" s="77">
        <f>V47</f>
        <v>0.5</v>
      </c>
      <c r="X47" s="77">
        <f t="shared" si="28"/>
        <v>0.5</v>
      </c>
      <c r="Y47" s="77">
        <f t="shared" si="28"/>
        <v>0.5</v>
      </c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</row>
    <row r="48" spans="1:57" s="81" customFormat="1" ht="15.75" hidden="1" customHeight="1" outlineLevel="1">
      <c r="A48" s="460"/>
      <c r="B48" s="91"/>
      <c r="C48" s="482" t="s">
        <v>1228</v>
      </c>
      <c r="D48" s="87"/>
      <c r="E48" s="87"/>
      <c r="F48" s="87"/>
      <c r="H48" s="88"/>
      <c r="I48" s="77"/>
      <c r="J48" s="77"/>
      <c r="K48" s="556">
        <v>0.37809999999999999</v>
      </c>
      <c r="L48" s="556">
        <v>0.33329999999999999</v>
      </c>
      <c r="M48" s="77">
        <v>0.34549999999999997</v>
      </c>
      <c r="N48" s="77">
        <v>0.29699999999999999</v>
      </c>
      <c r="O48" s="77">
        <v>0.3</v>
      </c>
      <c r="P48" s="77">
        <v>0.46179999999999999</v>
      </c>
      <c r="Q48" s="77">
        <f>P48</f>
        <v>0.46179999999999999</v>
      </c>
      <c r="R48" s="1952">
        <v>0.40160000000000001</v>
      </c>
      <c r="S48" s="77">
        <f>R48</f>
        <v>0.40160000000000001</v>
      </c>
      <c r="T48" s="77">
        <f>S48</f>
        <v>0.40160000000000001</v>
      </c>
      <c r="U48" s="77">
        <f t="shared" si="25"/>
        <v>0.46179999999999999</v>
      </c>
      <c r="V48" s="77">
        <f>U48</f>
        <v>0.46179999999999999</v>
      </c>
      <c r="W48" s="77">
        <f>V48</f>
        <v>0.46179999999999999</v>
      </c>
      <c r="X48" s="77">
        <f t="shared" si="28"/>
        <v>0.46179999999999999</v>
      </c>
      <c r="Y48" s="77">
        <f t="shared" si="28"/>
        <v>0.46179999999999999</v>
      </c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</row>
    <row r="49" spans="1:57" s="81" customFormat="1" ht="15.75" hidden="1" customHeight="1" outlineLevel="1">
      <c r="A49" s="460"/>
      <c r="B49" s="91"/>
      <c r="C49" s="482"/>
      <c r="D49" s="87"/>
      <c r="E49" s="87"/>
      <c r="F49" s="87"/>
      <c r="H49" s="88"/>
      <c r="I49" s="77"/>
      <c r="J49" s="77"/>
      <c r="K49" s="77"/>
      <c r="L49" s="77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</row>
    <row r="50" spans="1:57" s="81" customFormat="1" ht="15.75" customHeight="1" collapsed="1">
      <c r="A50" s="460"/>
      <c r="B50" s="91"/>
      <c r="C50" s="483" t="s">
        <v>120</v>
      </c>
      <c r="D50" s="87"/>
      <c r="E50" s="87"/>
      <c r="F50" s="87"/>
      <c r="H50" s="88"/>
      <c r="I50" s="82">
        <f>I51/(1+I52)</f>
        <v>21846.2</v>
      </c>
      <c r="J50" s="82">
        <f>J51/(1+J52)</f>
        <v>32947</v>
      </c>
      <c r="K50" s="82">
        <v>32220.182000000001</v>
      </c>
      <c r="L50" s="82">
        <f>L38*L43*L46/L53</f>
        <v>38319.288732155859</v>
      </c>
      <c r="M50" s="82">
        <f>M38*M43*M46/M53</f>
        <v>35460.320446088197</v>
      </c>
      <c r="N50" s="82">
        <f>N38*N43*N46/N53</f>
        <v>37291.368508683765</v>
      </c>
      <c r="O50" s="82">
        <f>O38*O43*O46/O53</f>
        <v>35953.57669732441</v>
      </c>
      <c r="P50" s="82">
        <f t="shared" ref="P50:Y50" si="29">P38*P43*P46/P53</f>
        <v>43146.563443874329</v>
      </c>
      <c r="Q50" s="82">
        <f>Q38*Q43*Q46/Q53</f>
        <v>42898.02422961322</v>
      </c>
      <c r="R50" s="82">
        <f>R38*R43*R46/R53</f>
        <v>24355.945723199995</v>
      </c>
      <c r="S50" s="82">
        <f>S38*S43*S46/S53</f>
        <v>21449.01211480661</v>
      </c>
      <c r="T50" s="82">
        <f>T38*T43*T46/T53</f>
        <v>42898.02422961322</v>
      </c>
      <c r="U50" s="82">
        <f t="shared" si="29"/>
        <v>42898.02422961322</v>
      </c>
      <c r="V50" s="82">
        <f t="shared" si="29"/>
        <v>42898.02422961322</v>
      </c>
      <c r="W50" s="82">
        <f t="shared" si="29"/>
        <v>42898.02422961322</v>
      </c>
      <c r="X50" s="82">
        <f t="shared" si="29"/>
        <v>42898.02422961322</v>
      </c>
      <c r="Y50" s="82">
        <f t="shared" si="29"/>
        <v>42898.02422961322</v>
      </c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</row>
    <row r="51" spans="1:57" s="81" customFormat="1" ht="15.75" customHeight="1">
      <c r="A51" s="460"/>
      <c r="B51" s="91"/>
      <c r="C51" s="483" t="s">
        <v>121</v>
      </c>
      <c r="D51" s="87"/>
      <c r="E51" s="87"/>
      <c r="F51" s="87"/>
      <c r="H51" s="88"/>
      <c r="I51" s="82">
        <f>21846.2*106.5%</f>
        <v>23266.203000000001</v>
      </c>
      <c r="J51" s="82">
        <f>(600+2471+4365+2245+3277+2803+2679+3107+2850*4)*106.5%</f>
        <v>35088.555</v>
      </c>
      <c r="K51" s="82">
        <v>36354.68</v>
      </c>
      <c r="L51" s="82">
        <f t="shared" ref="L51:Q51" si="30">L50/(1-L52)</f>
        <v>41651.400795821581</v>
      </c>
      <c r="M51" s="82">
        <f t="shared" si="30"/>
        <v>38543.826571834994</v>
      </c>
      <c r="N51" s="82">
        <f t="shared" si="30"/>
        <v>40534.096205091046</v>
      </c>
      <c r="O51" s="82">
        <f t="shared" si="30"/>
        <v>39079.974671004791</v>
      </c>
      <c r="P51" s="82">
        <f t="shared" si="30"/>
        <v>46898.438525950354</v>
      </c>
      <c r="Q51" s="82">
        <f t="shared" si="30"/>
        <v>46628.287206101326</v>
      </c>
      <c r="R51" s="82">
        <f t="shared" ref="R51:Y51" si="31">R50/(1-R52)</f>
        <v>26473.854046956516</v>
      </c>
      <c r="S51" s="82">
        <f t="shared" si="31"/>
        <v>23314.143603050663</v>
      </c>
      <c r="T51" s="82">
        <f t="shared" si="31"/>
        <v>46628.287206101326</v>
      </c>
      <c r="U51" s="82">
        <f t="shared" si="31"/>
        <v>46628.287206101326</v>
      </c>
      <c r="V51" s="82">
        <f t="shared" si="31"/>
        <v>46628.287206101326</v>
      </c>
      <c r="W51" s="82">
        <f t="shared" si="31"/>
        <v>46628.287206101326</v>
      </c>
      <c r="X51" s="82">
        <f t="shared" si="31"/>
        <v>46628.287206101326</v>
      </c>
      <c r="Y51" s="82">
        <f t="shared" si="31"/>
        <v>46628.287206101326</v>
      </c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</row>
    <row r="52" spans="1:57" s="81" customFormat="1" ht="15.75" hidden="1" customHeight="1" outlineLevel="1">
      <c r="A52" s="460"/>
      <c r="B52" s="91"/>
      <c r="C52" s="482" t="s">
        <v>1229</v>
      </c>
      <c r="D52" s="87"/>
      <c r="E52" s="87"/>
      <c r="F52" s="87"/>
      <c r="H52" s="88"/>
      <c r="I52" s="133">
        <v>6.5000000000000002E-2</v>
      </c>
      <c r="J52" s="133">
        <f>I52</f>
        <v>6.5000000000000002E-2</v>
      </c>
      <c r="K52" s="133">
        <v>7.9399999999999998E-2</v>
      </c>
      <c r="L52" s="133">
        <v>0.08</v>
      </c>
      <c r="M52" s="133">
        <v>0.08</v>
      </c>
      <c r="N52" s="133">
        <f>M52</f>
        <v>0.08</v>
      </c>
      <c r="O52" s="133">
        <f>N52</f>
        <v>0.08</v>
      </c>
      <c r="P52" s="133">
        <f>O52</f>
        <v>0.08</v>
      </c>
      <c r="Q52" s="133">
        <f>P52</f>
        <v>0.08</v>
      </c>
      <c r="R52" s="133">
        <v>0.08</v>
      </c>
      <c r="S52" s="133">
        <v>0.08</v>
      </c>
      <c r="T52" s="133">
        <v>0.08</v>
      </c>
      <c r="U52" s="133">
        <f>Q52</f>
        <v>0.08</v>
      </c>
      <c r="V52" s="133">
        <f t="shared" ref="V52:Y53" si="32">U52</f>
        <v>0.08</v>
      </c>
      <c r="W52" s="133">
        <f t="shared" si="32"/>
        <v>0.08</v>
      </c>
      <c r="X52" s="133">
        <f t="shared" si="32"/>
        <v>0.08</v>
      </c>
      <c r="Y52" s="133">
        <f t="shared" si="32"/>
        <v>0.08</v>
      </c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</row>
    <row r="53" spans="1:57" s="81" customFormat="1" ht="15.75" hidden="1" customHeight="1" outlineLevel="1">
      <c r="A53" s="460"/>
      <c r="B53" s="91"/>
      <c r="C53" s="482" t="s">
        <v>1230</v>
      </c>
      <c r="D53" s="87"/>
      <c r="E53" s="87"/>
      <c r="F53" s="87"/>
      <c r="H53" s="88"/>
      <c r="I53" s="77">
        <v>0.2</v>
      </c>
      <c r="J53" s="77">
        <f>I53</f>
        <v>0.2</v>
      </c>
      <c r="K53" s="556">
        <v>0.219</v>
      </c>
      <c r="L53" s="556">
        <v>0.21560000000000001</v>
      </c>
      <c r="M53" s="77">
        <v>0.2109</v>
      </c>
      <c r="N53" s="77">
        <v>0.21060000000000001</v>
      </c>
      <c r="O53" s="556">
        <v>0.20930000000000001</v>
      </c>
      <c r="P53" s="556">
        <v>0.20630000000000001</v>
      </c>
      <c r="Q53" s="556">
        <v>0.20430000000000001</v>
      </c>
      <c r="R53" s="556">
        <v>0.2</v>
      </c>
      <c r="S53" s="556">
        <v>0.20430000000000001</v>
      </c>
      <c r="T53" s="556">
        <v>0.20430000000000001</v>
      </c>
      <c r="U53" s="556">
        <f>Q53</f>
        <v>0.20430000000000001</v>
      </c>
      <c r="V53" s="556">
        <f t="shared" si="32"/>
        <v>0.20430000000000001</v>
      </c>
      <c r="W53" s="556">
        <f t="shared" si="32"/>
        <v>0.20430000000000001</v>
      </c>
      <c r="X53" s="556">
        <f t="shared" si="32"/>
        <v>0.20430000000000001</v>
      </c>
      <c r="Y53" s="556">
        <f t="shared" si="32"/>
        <v>0.20430000000000001</v>
      </c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 s="81" customFormat="1" ht="15.75" hidden="1" customHeight="1" outlineLevel="1">
      <c r="A54" s="460"/>
      <c r="B54" s="91"/>
      <c r="C54" s="482" t="s">
        <v>1231</v>
      </c>
      <c r="D54" s="87"/>
      <c r="E54" s="87"/>
      <c r="F54" s="87"/>
      <c r="H54" s="88"/>
      <c r="I54" s="142">
        <f>I44*I47*I38/I50</f>
        <v>1.395908543922984E-5</v>
      </c>
      <c r="J54" s="142">
        <f>J44*J47*J38/J50</f>
        <v>0.15187384587367592</v>
      </c>
      <c r="K54" s="142">
        <f t="shared" ref="K54:U54" si="33">K38*K44/1000*K47</f>
        <v>457.90720243200002</v>
      </c>
      <c r="L54" s="142">
        <f t="shared" si="33"/>
        <v>509.03648822304001</v>
      </c>
      <c r="M54" s="142">
        <f t="shared" si="33"/>
        <v>340.74661975200002</v>
      </c>
      <c r="N54" s="142">
        <f>N38*N44/1000*N47</f>
        <v>411.16766193434398</v>
      </c>
      <c r="O54" s="142">
        <f>O38*O44/1000*O47</f>
        <v>342.76870089000005</v>
      </c>
      <c r="P54" s="142">
        <f t="shared" si="33"/>
        <v>381.67417353356996</v>
      </c>
      <c r="Q54" s="142">
        <f t="shared" si="33"/>
        <v>441</v>
      </c>
      <c r="R54" s="142">
        <f t="shared" si="33"/>
        <v>160.09520295999999</v>
      </c>
      <c r="S54" s="142">
        <f t="shared" si="33"/>
        <v>220.5</v>
      </c>
      <c r="T54" s="142">
        <f>T38*T44/1000*T47</f>
        <v>441</v>
      </c>
      <c r="U54" s="142">
        <f t="shared" si="33"/>
        <v>441</v>
      </c>
      <c r="V54" s="142">
        <f>V38*V44/1000*V47</f>
        <v>441</v>
      </c>
      <c r="W54" s="142">
        <f>W38*W44/1000*W47</f>
        <v>441</v>
      </c>
      <c r="X54" s="142">
        <f>X38*X44/1000*X47</f>
        <v>441</v>
      </c>
      <c r="Y54" s="142">
        <f>Y38*Y44/1000*Y47</f>
        <v>441</v>
      </c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 s="81" customFormat="1" ht="15.75" hidden="1" customHeight="1" outlineLevel="1">
      <c r="A55" s="460"/>
      <c r="B55" s="91"/>
      <c r="C55" s="482" t="s">
        <v>1232</v>
      </c>
      <c r="D55" s="87"/>
      <c r="E55" s="87"/>
      <c r="F55" s="87"/>
      <c r="H55" s="88"/>
      <c r="I55" s="142"/>
      <c r="J55" s="142"/>
      <c r="K55" s="142">
        <f t="shared" ref="K55:U55" si="34">K54*1000/K50</f>
        <v>14.211813031720306</v>
      </c>
      <c r="L55" s="142">
        <f t="shared" si="34"/>
        <v>13.284079769358533</v>
      </c>
      <c r="M55" s="142">
        <f t="shared" si="34"/>
        <v>9.6092369010046408</v>
      </c>
      <c r="N55" s="142">
        <f>N54*1000/N50</f>
        <v>11.025813167425014</v>
      </c>
      <c r="O55" s="142">
        <v>9.5399999999999991</v>
      </c>
      <c r="P55" s="142">
        <f t="shared" si="34"/>
        <v>8.8459924283438518</v>
      </c>
      <c r="Q55" s="142">
        <f t="shared" si="34"/>
        <v>10.280193736651638</v>
      </c>
      <c r="R55" s="142">
        <v>8</v>
      </c>
      <c r="S55" s="142">
        <f t="shared" si="34"/>
        <v>10.280193736651638</v>
      </c>
      <c r="T55" s="142">
        <f>T54*1000/T50</f>
        <v>10.280193736651638</v>
      </c>
      <c r="U55" s="142">
        <f t="shared" si="34"/>
        <v>10.280193736651638</v>
      </c>
      <c r="V55" s="142">
        <f>V54*1000/V50</f>
        <v>10.280193736651638</v>
      </c>
      <c r="W55" s="142">
        <f>W54*1000/W50</f>
        <v>10.280193736651638</v>
      </c>
      <c r="X55" s="142">
        <f>X54*1000/X50</f>
        <v>10.280193736651638</v>
      </c>
      <c r="Y55" s="142">
        <f>Y54*1000/Y50</f>
        <v>10.280193736651638</v>
      </c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s="81" customFormat="1" ht="15.75" hidden="1" customHeight="1" outlineLevel="1">
      <c r="A56" s="460"/>
      <c r="B56" s="91"/>
      <c r="C56" s="482" t="s">
        <v>247</v>
      </c>
      <c r="D56" s="87"/>
      <c r="E56" s="87"/>
      <c r="F56" s="87"/>
      <c r="H56" s="88"/>
      <c r="I56" s="484"/>
      <c r="J56" s="484"/>
      <c r="K56" s="142">
        <f t="shared" ref="K56:U56" si="35">K38*K45/1000*K48</f>
        <v>1110.927612384</v>
      </c>
      <c r="L56" s="142">
        <f t="shared" si="35"/>
        <v>1078.8442295875202</v>
      </c>
      <c r="M56" s="142">
        <f t="shared" si="35"/>
        <v>981.51417251999987</v>
      </c>
      <c r="N56" s="142">
        <f t="shared" si="35"/>
        <v>1167.2045978075998</v>
      </c>
      <c r="O56" s="142">
        <f t="shared" si="35"/>
        <v>1155.6919499999999</v>
      </c>
      <c r="P56" s="142">
        <f t="shared" si="35"/>
        <v>1810.4544566566196</v>
      </c>
      <c r="Q56" s="142">
        <f t="shared" si="35"/>
        <v>1751.4226799999999</v>
      </c>
      <c r="R56" s="142">
        <f t="shared" si="35"/>
        <v>673.34761983999999</v>
      </c>
      <c r="S56" s="142">
        <f t="shared" si="35"/>
        <v>761.55408</v>
      </c>
      <c r="T56" s="142">
        <f>T38*T45/1000*T48</f>
        <v>1523.10816</v>
      </c>
      <c r="U56" s="142">
        <f t="shared" si="35"/>
        <v>1751.4226799999999</v>
      </c>
      <c r="V56" s="142">
        <f>V38*V45/1000*V48</f>
        <v>1751.4226799999999</v>
      </c>
      <c r="W56" s="142">
        <f>W38*W45/1000*W48</f>
        <v>1751.4226799999999</v>
      </c>
      <c r="X56" s="142">
        <f>X38*X45/1000*X48</f>
        <v>1751.4226799999999</v>
      </c>
      <c r="Y56" s="142">
        <f>Y38*Y45/1000*Y48</f>
        <v>1751.4226799999999</v>
      </c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s="81" customFormat="1" ht="15.75" hidden="1" customHeight="1" outlineLevel="1">
      <c r="A57" s="460"/>
      <c r="B57" s="91"/>
      <c r="C57" s="482" t="s">
        <v>1233</v>
      </c>
      <c r="D57" s="87"/>
      <c r="E57" s="87"/>
      <c r="F57" s="87"/>
      <c r="H57" s="88"/>
      <c r="I57" s="484"/>
      <c r="J57" s="484"/>
      <c r="K57" s="142">
        <f t="shared" ref="K57:U57" si="36">K56*1000/K50</f>
        <v>34.479246963409459</v>
      </c>
      <c r="L57" s="142">
        <f t="shared" si="36"/>
        <v>28.154077627286483</v>
      </c>
      <c r="M57" s="142">
        <f t="shared" si="36"/>
        <v>27.679224557833223</v>
      </c>
      <c r="N57" s="142">
        <f t="shared" si="36"/>
        <v>31.299591419816135</v>
      </c>
      <c r="O57" s="142">
        <v>25.38</v>
      </c>
      <c r="P57" s="142">
        <f t="shared" si="36"/>
        <v>41.960571414028948</v>
      </c>
      <c r="Q57" s="142">
        <f t="shared" si="36"/>
        <v>40.827583821237241</v>
      </c>
      <c r="R57" s="142">
        <f t="shared" si="36"/>
        <v>27.646129100977994</v>
      </c>
      <c r="S57" s="142">
        <f t="shared" si="36"/>
        <v>35.505321919897959</v>
      </c>
      <c r="T57" s="142">
        <f>T56*1000/T50</f>
        <v>35.505321919897959</v>
      </c>
      <c r="U57" s="142">
        <f t="shared" si="36"/>
        <v>40.827583821237241</v>
      </c>
      <c r="V57" s="142">
        <f>V56*1000/V50</f>
        <v>40.827583821237241</v>
      </c>
      <c r="W57" s="142">
        <f>W56*1000/W50</f>
        <v>40.827583821237241</v>
      </c>
      <c r="X57" s="142">
        <f>X56*1000/X50</f>
        <v>40.827583821237241</v>
      </c>
      <c r="Y57" s="142">
        <f>Y56*1000/Y50</f>
        <v>40.827583821237241</v>
      </c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</row>
    <row r="58" spans="1:57" s="81" customFormat="1" ht="15.75" hidden="1" customHeight="1" outlineLevel="1">
      <c r="A58" s="460"/>
      <c r="B58" s="91"/>
      <c r="C58" s="482" t="s">
        <v>248</v>
      </c>
      <c r="D58" s="87"/>
      <c r="E58" s="87"/>
      <c r="F58" s="87"/>
      <c r="H58" s="88"/>
      <c r="I58" s="553"/>
      <c r="J58" s="549"/>
      <c r="K58" s="549"/>
      <c r="L58" s="549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</row>
    <row r="59" spans="1:57" s="81" customFormat="1" ht="15.75" customHeight="1" collapsed="1">
      <c r="A59" s="460"/>
      <c r="B59" s="91"/>
      <c r="C59" s="483" t="s">
        <v>122</v>
      </c>
      <c r="D59" s="87"/>
      <c r="E59" s="87"/>
      <c r="F59" s="87"/>
      <c r="H59" s="88"/>
      <c r="I59" s="82">
        <v>4367.0553800000007</v>
      </c>
      <c r="J59" s="82">
        <v>6586.1053000000011</v>
      </c>
      <c r="K59" s="82">
        <f t="shared" ref="K59:Q59" si="37">K50*K53</f>
        <v>7056.2198580000004</v>
      </c>
      <c r="L59" s="82">
        <f t="shared" si="37"/>
        <v>8261.6386506528033</v>
      </c>
      <c r="M59" s="82">
        <f t="shared" si="37"/>
        <v>7478.5815820800008</v>
      </c>
      <c r="N59" s="82">
        <f t="shared" si="37"/>
        <v>7853.5622079288014</v>
      </c>
      <c r="O59" s="82">
        <f t="shared" si="37"/>
        <v>7525.083602749999</v>
      </c>
      <c r="P59" s="82">
        <f t="shared" si="37"/>
        <v>8901.1360384712752</v>
      </c>
      <c r="Q59" s="82">
        <f t="shared" si="37"/>
        <v>8764.0663501099807</v>
      </c>
      <c r="R59" s="82">
        <f t="shared" ref="R59:Y59" si="38">R50*R53</f>
        <v>4871.1891446399995</v>
      </c>
      <c r="S59" s="82">
        <f t="shared" si="38"/>
        <v>4382.0331750549904</v>
      </c>
      <c r="T59" s="82">
        <f t="shared" si="38"/>
        <v>8764.0663501099807</v>
      </c>
      <c r="U59" s="82">
        <f t="shared" si="38"/>
        <v>8764.0663501099807</v>
      </c>
      <c r="V59" s="82">
        <f t="shared" si="38"/>
        <v>8764.0663501099807</v>
      </c>
      <c r="W59" s="82">
        <f t="shared" si="38"/>
        <v>8764.0663501099807</v>
      </c>
      <c r="X59" s="82">
        <f t="shared" si="38"/>
        <v>8764.0663501099807</v>
      </c>
      <c r="Y59" s="82">
        <f t="shared" si="38"/>
        <v>8764.0663501099807</v>
      </c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</row>
    <row r="60" spans="1:57" s="81" customFormat="1" ht="15.75" customHeight="1">
      <c r="A60" s="460"/>
      <c r="B60" s="91"/>
      <c r="C60" s="483"/>
      <c r="D60" s="87"/>
      <c r="E60" s="87"/>
      <c r="F60" s="87"/>
      <c r="H60" s="88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</row>
    <row r="61" spans="1:57" s="81" customFormat="1" ht="15.75" customHeight="1">
      <c r="A61" s="460"/>
      <c r="B61" s="91"/>
      <c r="C61" s="87" t="s">
        <v>1191</v>
      </c>
      <c r="D61" s="87"/>
      <c r="E61" s="87"/>
      <c r="F61" s="87"/>
      <c r="H61" s="88"/>
      <c r="I61" s="82"/>
      <c r="J61" s="82"/>
      <c r="K61" s="82"/>
      <c r="L61" s="82"/>
      <c r="M61" s="82"/>
      <c r="N61" s="82"/>
      <c r="O61" s="82"/>
      <c r="P61" s="82">
        <f>P63*(1-P64)</f>
        <v>190435.56</v>
      </c>
      <c r="Q61" s="82">
        <f t="shared" ref="Q61:Y61" si="39">Q63*(1-Q64)</f>
        <v>574253.54</v>
      </c>
      <c r="R61" s="82">
        <f>T61/2</f>
        <v>287126.77</v>
      </c>
      <c r="S61" s="82">
        <f>T61/2</f>
        <v>287126.77</v>
      </c>
      <c r="T61" s="82">
        <f>T63*(1-T64)</f>
        <v>574253.54</v>
      </c>
      <c r="U61" s="82">
        <f t="shared" si="39"/>
        <v>999999.99679999996</v>
      </c>
      <c r="V61" s="82">
        <f t="shared" si="39"/>
        <v>999999.99679999996</v>
      </c>
      <c r="W61" s="82">
        <f t="shared" si="39"/>
        <v>999999.99679999996</v>
      </c>
      <c r="X61" s="82">
        <f t="shared" si="39"/>
        <v>999999.99679999996</v>
      </c>
      <c r="Y61" s="82">
        <f t="shared" si="39"/>
        <v>766746.27679999999</v>
      </c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 s="81" customFormat="1" ht="15.75" customHeight="1">
      <c r="A62" s="460"/>
      <c r="B62" s="91"/>
      <c r="C62" s="87" t="s">
        <v>1192</v>
      </c>
      <c r="D62" s="87"/>
      <c r="E62" s="87"/>
      <c r="F62" s="87"/>
      <c r="H62" s="88"/>
      <c r="I62" s="82"/>
      <c r="J62" s="82"/>
      <c r="K62" s="82"/>
      <c r="L62" s="82"/>
      <c r="M62" s="82"/>
      <c r="N62" s="82"/>
      <c r="O62" s="82"/>
      <c r="P62" s="82">
        <f>194322+136358</f>
        <v>330680</v>
      </c>
      <c r="Q62" s="82">
        <f>2000000+1940000</f>
        <v>3940000</v>
      </c>
      <c r="R62" s="82"/>
      <c r="S62" s="82"/>
      <c r="T62" s="82">
        <f>2000000+1940000</f>
        <v>3940000</v>
      </c>
      <c r="U62" s="82">
        <f>1650000+1500000</f>
        <v>3150000</v>
      </c>
      <c r="V62" s="82">
        <f>1650000+1500000</f>
        <v>3150000</v>
      </c>
      <c r="W62" s="82">
        <f>1095000+1450000</f>
        <v>2545000</v>
      </c>
      <c r="X62" s="82">
        <f>X63</f>
        <v>1020408.16</v>
      </c>
      <c r="Y62" s="82">
        <f>Y63</f>
        <v>782394.16</v>
      </c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 s="81" customFormat="1" ht="15.75" customHeight="1">
      <c r="A63" s="460"/>
      <c r="B63" s="91"/>
      <c r="C63" s="481" t="s">
        <v>1193</v>
      </c>
      <c r="D63" s="87"/>
      <c r="E63" s="87"/>
      <c r="F63" s="87"/>
      <c r="H63" s="88"/>
      <c r="I63" s="82"/>
      <c r="J63" s="82"/>
      <c r="K63" s="82"/>
      <c r="L63" s="82"/>
      <c r="M63" s="82"/>
      <c r="N63" s="82"/>
      <c r="O63" s="82"/>
      <c r="P63" s="82">
        <v>194322</v>
      </c>
      <c r="Q63" s="82">
        <v>585973</v>
      </c>
      <c r="R63" s="82">
        <f>T63/2</f>
        <v>292986.5</v>
      </c>
      <c r="S63" s="82">
        <f>T63/2</f>
        <v>292986.5</v>
      </c>
      <c r="T63" s="82">
        <v>585973</v>
      </c>
      <c r="U63" s="82">
        <v>1020408.16</v>
      </c>
      <c r="V63" s="82">
        <v>1020408.16</v>
      </c>
      <c r="W63" s="82">
        <v>1020408.16</v>
      </c>
      <c r="X63" s="82">
        <v>1020408.16</v>
      </c>
      <c r="Y63" s="82">
        <f>1020408.16-238014</f>
        <v>782394.16</v>
      </c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 s="81" customFormat="1" ht="15.75" customHeight="1">
      <c r="A64" s="460"/>
      <c r="B64" s="91"/>
      <c r="C64" s="482" t="s">
        <v>1234</v>
      </c>
      <c r="D64" s="87"/>
      <c r="E64" s="87"/>
      <c r="F64" s="87"/>
      <c r="H64" s="88"/>
      <c r="I64" s="82"/>
      <c r="J64" s="82"/>
      <c r="K64" s="82"/>
      <c r="L64" s="82"/>
      <c r="M64" s="82"/>
      <c r="N64" s="82"/>
      <c r="O64" s="82"/>
      <c r="P64" s="77">
        <v>0.02</v>
      </c>
      <c r="Q64" s="77">
        <v>0.02</v>
      </c>
      <c r="R64" s="77">
        <v>0.02</v>
      </c>
      <c r="S64" s="77">
        <v>0.02</v>
      </c>
      <c r="T64" s="77">
        <v>0.02</v>
      </c>
      <c r="U64" s="77">
        <v>0.02</v>
      </c>
      <c r="V64" s="77">
        <v>0.02</v>
      </c>
      <c r="W64" s="77">
        <v>0.02</v>
      </c>
      <c r="X64" s="77">
        <v>0.02</v>
      </c>
      <c r="Y64" s="77">
        <v>0.02</v>
      </c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60" s="81" customFormat="1" ht="15.75" customHeight="1">
      <c r="A65" s="460"/>
      <c r="B65" s="91"/>
      <c r="C65" s="482" t="s">
        <v>1235</v>
      </c>
      <c r="D65" s="87"/>
      <c r="E65" s="87"/>
      <c r="F65" s="87"/>
      <c r="H65" s="88"/>
      <c r="I65" s="82"/>
      <c r="J65" s="82"/>
      <c r="K65" s="82"/>
      <c r="L65" s="82"/>
      <c r="M65" s="82"/>
      <c r="N65" s="82"/>
      <c r="O65" s="82"/>
      <c r="P65" s="551">
        <v>4.0699999999999998E-3</v>
      </c>
      <c r="Q65" s="551">
        <v>3.18001E-3</v>
      </c>
      <c r="R65" s="551">
        <v>3.18001E-3</v>
      </c>
      <c r="S65" s="551">
        <v>3.18001E-3</v>
      </c>
      <c r="T65" s="551">
        <v>3.18001E-3</v>
      </c>
      <c r="U65" s="551">
        <v>2.7899999999999999E-3</v>
      </c>
      <c r="V65" s="551">
        <v>2.7899999999999999E-3</v>
      </c>
      <c r="W65" s="551">
        <v>2.7899999999999999E-3</v>
      </c>
      <c r="X65" s="551">
        <v>2.7899999999999999E-3</v>
      </c>
      <c r="Y65" s="551">
        <v>2.7899999999999999E-3</v>
      </c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60" s="81" customFormat="1" ht="15.75" customHeight="1">
      <c r="A66" s="460"/>
      <c r="B66" s="91"/>
      <c r="C66" s="482" t="s">
        <v>1236</v>
      </c>
      <c r="D66" s="87"/>
      <c r="E66" s="87"/>
      <c r="F66" s="87"/>
      <c r="H66" s="88"/>
      <c r="I66" s="82"/>
      <c r="J66" s="82"/>
      <c r="K66" s="82"/>
      <c r="L66" s="82"/>
      <c r="M66" s="82"/>
      <c r="N66" s="82"/>
      <c r="O66" s="82"/>
      <c r="P66" s="555">
        <v>0.24</v>
      </c>
      <c r="Q66" s="555">
        <v>0.33200000000000002</v>
      </c>
      <c r="R66" s="555">
        <v>0.33200000000000002</v>
      </c>
      <c r="S66" s="555">
        <v>0.33200000000000002</v>
      </c>
      <c r="T66" s="555">
        <v>0.33200000000000002</v>
      </c>
      <c r="U66" s="555">
        <v>0.17</v>
      </c>
      <c r="V66" s="555">
        <v>0.17</v>
      </c>
      <c r="W66" s="555">
        <v>0.17</v>
      </c>
      <c r="X66" s="555">
        <v>0.17</v>
      </c>
      <c r="Y66" s="555">
        <v>0.17</v>
      </c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60" s="81" customFormat="1" ht="15.75" customHeight="1">
      <c r="A67" s="460"/>
      <c r="B67" s="91"/>
      <c r="C67" s="482" t="s">
        <v>1237</v>
      </c>
      <c r="D67" s="87"/>
      <c r="E67" s="87"/>
      <c r="F67" s="87"/>
      <c r="H67" s="88"/>
      <c r="I67" s="82"/>
      <c r="J67" s="82"/>
      <c r="K67" s="82"/>
      <c r="L67" s="82"/>
      <c r="M67" s="82"/>
      <c r="N67" s="82"/>
      <c r="O67" s="82"/>
      <c r="P67" s="555">
        <v>0</v>
      </c>
      <c r="Q67" s="555">
        <v>0</v>
      </c>
      <c r="R67" s="555">
        <v>0</v>
      </c>
      <c r="S67" s="555">
        <v>0</v>
      </c>
      <c r="T67" s="555">
        <v>0</v>
      </c>
      <c r="U67" s="555">
        <v>0</v>
      </c>
      <c r="V67" s="555">
        <v>0</v>
      </c>
      <c r="W67" s="555">
        <v>0</v>
      </c>
      <c r="X67" s="555">
        <v>0</v>
      </c>
      <c r="Y67" s="555">
        <v>0</v>
      </c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60" s="81" customFormat="1" ht="15.75" customHeight="1">
      <c r="A68" s="460"/>
      <c r="B68" s="91"/>
      <c r="C68" s="482" t="s">
        <v>1238</v>
      </c>
      <c r="D68" s="87"/>
      <c r="E68" s="87"/>
      <c r="F68" s="87"/>
      <c r="H68" s="88"/>
      <c r="I68" s="82"/>
      <c r="J68" s="82"/>
      <c r="K68" s="82"/>
      <c r="L68" s="82"/>
      <c r="M68" s="82"/>
      <c r="N68" s="82"/>
      <c r="O68" s="82"/>
      <c r="P68" s="77">
        <v>0.8</v>
      </c>
      <c r="Q68" s="77">
        <v>0.8</v>
      </c>
      <c r="R68" s="77">
        <v>0.8</v>
      </c>
      <c r="S68" s="77">
        <v>0.8</v>
      </c>
      <c r="T68" s="77">
        <v>0.8</v>
      </c>
      <c r="U68" s="77">
        <f>Q68</f>
        <v>0.8</v>
      </c>
      <c r="V68" s="77">
        <f>U68</f>
        <v>0.8</v>
      </c>
      <c r="W68" s="77">
        <f>V68</f>
        <v>0.8</v>
      </c>
      <c r="X68" s="77">
        <f>W68</f>
        <v>0.8</v>
      </c>
      <c r="Y68" s="77">
        <f>X68</f>
        <v>0.8</v>
      </c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60" s="81" customFormat="1" ht="15.75" customHeight="1">
      <c r="A69" s="460"/>
      <c r="B69" s="91"/>
      <c r="C69" s="482" t="s">
        <v>1239</v>
      </c>
      <c r="D69" s="87"/>
      <c r="E69" s="87"/>
      <c r="F69" s="87"/>
      <c r="H69" s="88"/>
      <c r="I69" s="82"/>
      <c r="J69" s="82"/>
      <c r="K69" s="82"/>
      <c r="L69" s="82"/>
      <c r="M69" s="82"/>
      <c r="N69" s="82"/>
      <c r="O69" s="82"/>
      <c r="P69" s="77">
        <v>0</v>
      </c>
      <c r="Q69" s="77">
        <v>0</v>
      </c>
      <c r="R69" s="77">
        <v>0</v>
      </c>
      <c r="S69" s="77">
        <v>0</v>
      </c>
      <c r="T69" s="77">
        <v>0</v>
      </c>
      <c r="U69" s="77">
        <v>0</v>
      </c>
      <c r="V69" s="77">
        <v>0</v>
      </c>
      <c r="W69" s="77">
        <v>0</v>
      </c>
      <c r="X69" s="77">
        <v>0</v>
      </c>
      <c r="Y69" s="77">
        <v>0</v>
      </c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60" s="81" customFormat="1" ht="15.75" customHeight="1">
      <c r="A70" s="460"/>
      <c r="B70" s="91"/>
      <c r="C70" s="482" t="s">
        <v>1240</v>
      </c>
      <c r="D70" s="87"/>
      <c r="E70" s="87"/>
      <c r="F70" s="87"/>
      <c r="H70" s="88"/>
      <c r="I70" s="82"/>
      <c r="J70" s="82"/>
      <c r="K70" s="82"/>
      <c r="L70" s="82"/>
      <c r="M70" s="82"/>
      <c r="N70" s="82"/>
      <c r="O70" s="82"/>
      <c r="P70" s="77">
        <v>0</v>
      </c>
      <c r="Q70" s="77">
        <v>0</v>
      </c>
      <c r="R70" s="77">
        <v>0</v>
      </c>
      <c r="S70" s="77">
        <v>0</v>
      </c>
      <c r="T70" s="77">
        <v>0</v>
      </c>
      <c r="U70" s="77">
        <v>0</v>
      </c>
      <c r="V70" s="77">
        <v>0</v>
      </c>
      <c r="W70" s="77">
        <v>0</v>
      </c>
      <c r="X70" s="77">
        <v>0</v>
      </c>
      <c r="Y70" s="77">
        <v>0</v>
      </c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60" s="81" customFormat="1" ht="15.75" customHeight="1">
      <c r="A71" s="460"/>
      <c r="B71" s="91"/>
      <c r="C71" s="482"/>
      <c r="D71" s="87"/>
      <c r="E71" s="87"/>
      <c r="F71" s="87"/>
      <c r="H71" s="88"/>
      <c r="I71" s="82"/>
      <c r="J71" s="82"/>
      <c r="K71" s="82"/>
      <c r="L71" s="82"/>
      <c r="M71" s="82"/>
      <c r="N71" s="82"/>
      <c r="O71" s="82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60" s="81" customFormat="1" ht="15.75" customHeight="1">
      <c r="A72" s="460"/>
      <c r="B72" s="91"/>
      <c r="C72" s="483" t="s">
        <v>1838</v>
      </c>
      <c r="D72" s="87"/>
      <c r="E72" s="87"/>
      <c r="F72" s="87"/>
      <c r="H72" s="88"/>
      <c r="I72" s="82"/>
      <c r="J72" s="82"/>
      <c r="K72" s="82"/>
      <c r="L72" s="82"/>
      <c r="M72" s="82"/>
      <c r="N72" s="82"/>
      <c r="O72" s="82"/>
      <c r="P72" s="82">
        <f>P61*P65*P68/P73</f>
        <v>620.1201953795379</v>
      </c>
      <c r="Q72" s="82">
        <f t="shared" ref="Q72:Y72" si="40">Q61*Q65*Q68/Q73</f>
        <v>1461.0517049588161</v>
      </c>
      <c r="R72" s="82">
        <f t="shared" si="40"/>
        <v>730.52585247940806</v>
      </c>
      <c r="S72" s="82">
        <f t="shared" si="40"/>
        <v>730.52585247940806</v>
      </c>
      <c r="T72" s="82">
        <f>T61*T65*T68/T73</f>
        <v>1461.0517049588161</v>
      </c>
      <c r="U72" s="82">
        <f t="shared" si="40"/>
        <v>2232.2232151791177</v>
      </c>
      <c r="V72" s="82">
        <f t="shared" si="40"/>
        <v>2232.2232151791177</v>
      </c>
      <c r="W72" s="82">
        <f t="shared" si="40"/>
        <v>2232.2232151791177</v>
      </c>
      <c r="X72" s="82">
        <f t="shared" si="40"/>
        <v>2232.2232151791177</v>
      </c>
      <c r="Y72" s="82">
        <f t="shared" si="40"/>
        <v>1711.5488447020703</v>
      </c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60" s="81" customFormat="1" ht="15.75" customHeight="1">
      <c r="A73" s="460"/>
      <c r="B73" s="91"/>
      <c r="C73" s="482" t="s">
        <v>1241</v>
      </c>
      <c r="D73" s="87"/>
      <c r="E73" s="87"/>
      <c r="F73" s="87"/>
      <c r="H73" s="88"/>
      <c r="I73" s="82"/>
      <c r="J73" s="82"/>
      <c r="K73" s="82"/>
      <c r="L73" s="82"/>
      <c r="M73" s="82"/>
      <c r="N73" s="82"/>
      <c r="O73" s="82"/>
      <c r="P73" s="556">
        <v>0.99990000000000001</v>
      </c>
      <c r="Q73" s="556">
        <v>0.99990000000000001</v>
      </c>
      <c r="R73" s="556">
        <v>0.99990000000000001</v>
      </c>
      <c r="S73" s="556">
        <v>0.99990000000000001</v>
      </c>
      <c r="T73" s="556">
        <v>0.99990000000000001</v>
      </c>
      <c r="U73" s="556">
        <v>0.99990000000000001</v>
      </c>
      <c r="V73" s="556">
        <v>0.99990000000000001</v>
      </c>
      <c r="W73" s="556">
        <v>0.99990000000000001</v>
      </c>
      <c r="X73" s="556">
        <v>0.99990000000000001</v>
      </c>
      <c r="Y73" s="556">
        <v>0.99990000000000001</v>
      </c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60" s="81" customFormat="1" ht="15.75" customHeight="1">
      <c r="A74" s="460"/>
      <c r="B74" s="91"/>
      <c r="C74" s="483" t="s">
        <v>1825</v>
      </c>
      <c r="D74" s="87"/>
      <c r="E74" s="87"/>
      <c r="F74" s="87"/>
      <c r="H74" s="88"/>
      <c r="I74" s="82"/>
      <c r="J74" s="82"/>
      <c r="K74" s="82"/>
      <c r="L74" s="82"/>
      <c r="M74" s="82"/>
      <c r="N74" s="82"/>
      <c r="O74" s="82"/>
      <c r="P74" s="82">
        <v>560.34</v>
      </c>
      <c r="Q74" s="82">
        <v>626.1</v>
      </c>
      <c r="R74" s="82">
        <f>T74/2</f>
        <v>313.05</v>
      </c>
      <c r="S74" s="82">
        <f>U74/2</f>
        <v>300</v>
      </c>
      <c r="T74" s="82">
        <v>626.1</v>
      </c>
      <c r="U74" s="82">
        <v>600</v>
      </c>
      <c r="V74" s="82">
        <v>600</v>
      </c>
      <c r="W74" s="82">
        <v>600</v>
      </c>
      <c r="X74" s="82">
        <v>600</v>
      </c>
      <c r="Y74" s="82">
        <v>600</v>
      </c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60" ht="15.75" customHeight="1">
      <c r="B75" s="91"/>
      <c r="C75" s="483" t="s">
        <v>122</v>
      </c>
      <c r="D75" s="91"/>
      <c r="E75" s="91"/>
      <c r="F75" s="91"/>
      <c r="G75" s="143"/>
      <c r="H75" s="485"/>
      <c r="I75" s="486"/>
      <c r="J75" s="143"/>
      <c r="K75" s="143"/>
      <c r="L75" s="143"/>
      <c r="M75" s="486"/>
      <c r="N75" s="100"/>
      <c r="O75" s="100"/>
      <c r="P75" s="82">
        <f>(P72+P74)*P73</f>
        <v>1180.3421493599999</v>
      </c>
      <c r="Q75" s="82">
        <f t="shared" ref="Q75:Y75" si="41">Q72*Q73+Q74</f>
        <v>2087.0055997883201</v>
      </c>
      <c r="R75" s="82">
        <f t="shared" si="41"/>
        <v>1043.50279989416</v>
      </c>
      <c r="S75" s="82">
        <f t="shared" si="41"/>
        <v>1030.4527998941601</v>
      </c>
      <c r="T75" s="82">
        <f>T72*T73+T74</f>
        <v>2087.0055997883201</v>
      </c>
      <c r="U75" s="82">
        <f t="shared" si="41"/>
        <v>2831.9999928575999</v>
      </c>
      <c r="V75" s="82">
        <f t="shared" si="41"/>
        <v>2831.9999928575999</v>
      </c>
      <c r="W75" s="82">
        <f t="shared" si="41"/>
        <v>2831.9999928575999</v>
      </c>
      <c r="X75" s="82">
        <f t="shared" si="41"/>
        <v>2831.9999928575999</v>
      </c>
      <c r="Y75" s="82">
        <f t="shared" si="41"/>
        <v>2311.3776898176002</v>
      </c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</row>
    <row r="76" spans="1:60" s="81" customFormat="1" ht="15.75" customHeight="1">
      <c r="A76" s="460"/>
      <c r="B76" s="100"/>
      <c r="C76" s="135"/>
      <c r="D76" s="100"/>
      <c r="E76" s="100"/>
      <c r="F76" s="100"/>
      <c r="G76" s="100"/>
      <c r="H76" s="466"/>
      <c r="I76" s="91"/>
      <c r="J76" s="91"/>
      <c r="K76" s="91"/>
      <c r="L76" s="91"/>
      <c r="M76" s="91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</row>
    <row r="77" spans="1:60" ht="27" hidden="1" customHeight="1" outlineLevel="1">
      <c r="B77" s="159"/>
      <c r="C77" s="462" t="s">
        <v>35</v>
      </c>
      <c r="H77" s="487"/>
      <c r="I77" s="430"/>
      <c r="J77" s="97"/>
      <c r="K77" s="97"/>
      <c r="L77" s="97"/>
      <c r="M77" s="430"/>
      <c r="N77" s="430"/>
      <c r="O77" s="430"/>
      <c r="P77" s="430"/>
      <c r="Q77" s="430"/>
      <c r="R77" s="430"/>
      <c r="S77" s="430"/>
      <c r="T77" s="430"/>
      <c r="U77" s="430"/>
      <c r="V77" s="430"/>
      <c r="W77" s="430"/>
      <c r="X77" s="430"/>
      <c r="Y77" s="430"/>
    </row>
    <row r="78" spans="1:60" ht="3" hidden="1" customHeight="1" outlineLevel="1">
      <c r="B78" s="159"/>
      <c r="C78" s="464"/>
      <c r="D78" s="89"/>
      <c r="E78" s="89"/>
      <c r="F78" s="89"/>
      <c r="G78" s="89"/>
      <c r="H78" s="48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</row>
    <row r="79" spans="1:60" ht="15.75" hidden="1" customHeight="1" outlineLevel="1">
      <c r="B79" s="159"/>
      <c r="C79" s="460" t="s">
        <v>1242</v>
      </c>
      <c r="H79" s="487"/>
      <c r="I79" s="430"/>
      <c r="J79" s="97"/>
      <c r="K79" s="97"/>
      <c r="L79" s="97"/>
      <c r="M79" s="430"/>
      <c r="N79" s="430"/>
      <c r="O79" s="430"/>
      <c r="P79" s="430"/>
      <c r="Q79" s="430"/>
      <c r="R79" s="430"/>
      <c r="S79" s="430"/>
      <c r="T79" s="430"/>
      <c r="U79" s="430"/>
      <c r="V79" s="430"/>
      <c r="W79" s="430"/>
      <c r="X79" s="430"/>
      <c r="Y79" s="430"/>
    </row>
    <row r="80" spans="1:60" ht="15.75" hidden="1" customHeight="1" outlineLevel="1">
      <c r="B80" s="159"/>
      <c r="C80" s="467" t="s">
        <v>503</v>
      </c>
      <c r="D80" s="468"/>
      <c r="E80" s="468"/>
      <c r="F80" s="468"/>
      <c r="G80" s="468"/>
      <c r="H80" s="466"/>
      <c r="I80" s="91"/>
      <c r="J80" s="91"/>
      <c r="K80" s="91"/>
      <c r="L80" s="135"/>
      <c r="M80" s="90"/>
      <c r="N80" s="421"/>
      <c r="O80" s="421"/>
      <c r="P80" s="421"/>
      <c r="Q80" s="421"/>
      <c r="R80" s="421"/>
      <c r="S80" s="421"/>
      <c r="T80" s="421"/>
      <c r="U80" s="421"/>
      <c r="V80" s="421"/>
      <c r="W80" s="421"/>
      <c r="X80" s="421"/>
      <c r="Y80" s="421"/>
    </row>
    <row r="81" spans="1:60" ht="15.75" hidden="1" customHeight="1" outlineLevel="1">
      <c r="B81" s="159"/>
      <c r="C81" s="546" t="s">
        <v>1243</v>
      </c>
      <c r="D81" s="106"/>
      <c r="E81" s="106"/>
      <c r="F81" s="106"/>
      <c r="G81" s="546"/>
      <c r="H81" s="557"/>
      <c r="I81" s="92">
        <v>0</v>
      </c>
      <c r="J81" s="92">
        <v>1</v>
      </c>
      <c r="K81" s="92">
        <v>2</v>
      </c>
      <c r="L81" s="92">
        <v>3</v>
      </c>
      <c r="M81" s="92">
        <v>4</v>
      </c>
      <c r="N81" s="92">
        <v>5</v>
      </c>
      <c r="O81" s="92">
        <f t="shared" ref="O81:Q81" si="42">O7</f>
        <v>6</v>
      </c>
      <c r="P81" s="92">
        <f t="shared" si="42"/>
        <v>7</v>
      </c>
      <c r="Q81" s="92">
        <f t="shared" si="42"/>
        <v>8</v>
      </c>
      <c r="R81" s="92"/>
      <c r="S81" s="92"/>
      <c r="T81" s="92" t="str">
        <f>T7</f>
        <v>Revised</v>
      </c>
      <c r="U81" s="92">
        <f t="shared" ref="U81:W81" si="43">U7</f>
        <v>9</v>
      </c>
      <c r="V81" s="92">
        <f t="shared" si="43"/>
        <v>10</v>
      </c>
      <c r="W81" s="92">
        <f t="shared" si="43"/>
        <v>11</v>
      </c>
      <c r="X81" s="92">
        <f>X7</f>
        <v>12</v>
      </c>
      <c r="Y81" s="92">
        <f>Y7</f>
        <v>13</v>
      </c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</row>
    <row r="82" spans="1:60" ht="15.75" hidden="1" customHeight="1" outlineLevel="1">
      <c r="B82" s="159"/>
      <c r="C82" s="548"/>
      <c r="D82" s="469"/>
      <c r="E82" s="469"/>
      <c r="F82" s="469"/>
      <c r="G82" s="548"/>
      <c r="H82" s="489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</row>
    <row r="83" spans="1:60" ht="15.75" hidden="1" customHeight="1" outlineLevel="1">
      <c r="B83" s="159"/>
      <c r="C83" s="471"/>
      <c r="D83" s="472"/>
      <c r="E83" s="506"/>
      <c r="F83" s="506"/>
      <c r="G83" s="471"/>
      <c r="H83" s="490"/>
      <c r="I83" s="94" t="s">
        <v>499</v>
      </c>
      <c r="J83" s="94" t="s">
        <v>499</v>
      </c>
      <c r="K83" s="94" t="s">
        <v>499</v>
      </c>
      <c r="L83" s="94" t="s">
        <v>499</v>
      </c>
      <c r="M83" s="94" t="s">
        <v>499</v>
      </c>
      <c r="N83" s="94" t="s">
        <v>499</v>
      </c>
      <c r="O83" s="94" t="s">
        <v>499</v>
      </c>
      <c r="P83" s="94" t="s">
        <v>499</v>
      </c>
      <c r="Q83" s="94" t="s">
        <v>499</v>
      </c>
      <c r="R83" s="94"/>
      <c r="S83" s="94"/>
      <c r="T83" s="94" t="s">
        <v>499</v>
      </c>
      <c r="U83" s="94" t="s">
        <v>499</v>
      </c>
      <c r="V83" s="94" t="s">
        <v>499</v>
      </c>
      <c r="W83" s="94" t="s">
        <v>499</v>
      </c>
      <c r="X83" s="94" t="s">
        <v>499</v>
      </c>
      <c r="Y83" s="94" t="s">
        <v>499</v>
      </c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</row>
    <row r="84" spans="1:60" ht="15.75" hidden="1" customHeight="1" outlineLevel="1">
      <c r="B84" s="159"/>
      <c r="C84" s="95"/>
      <c r="D84" s="110"/>
      <c r="E84" s="114"/>
      <c r="F84" s="114"/>
      <c r="G84" s="95"/>
      <c r="H84" s="491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</row>
    <row r="85" spans="1:60" ht="15.75" hidden="1" customHeight="1" outlineLevel="1">
      <c r="B85" s="159"/>
      <c r="C85" s="95" t="s">
        <v>1244</v>
      </c>
      <c r="D85" s="110"/>
      <c r="E85" s="114"/>
      <c r="F85" s="114"/>
      <c r="G85" s="95"/>
      <c r="H85" s="491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</row>
    <row r="86" spans="1:60" ht="15.75" hidden="1" customHeight="1" outlineLevel="1">
      <c r="B86" s="159"/>
      <c r="C86" s="95" t="s">
        <v>1839</v>
      </c>
      <c r="D86" s="110"/>
      <c r="E86" s="114"/>
      <c r="F86" s="114"/>
      <c r="G86" s="95"/>
      <c r="H86" s="491"/>
      <c r="I86" s="144"/>
      <c r="J86" s="144"/>
      <c r="K86" s="144"/>
      <c r="L86" s="144"/>
      <c r="M86" s="558"/>
      <c r="N86" s="558"/>
      <c r="O86" s="558"/>
      <c r="P86" s="558">
        <v>0</v>
      </c>
      <c r="Q86" s="558">
        <v>0</v>
      </c>
      <c r="R86" s="558"/>
      <c r="S86" s="558"/>
      <c r="T86" s="558">
        <v>0</v>
      </c>
      <c r="U86" s="558">
        <f>Q86</f>
        <v>0</v>
      </c>
      <c r="V86" s="558">
        <f>U86</f>
        <v>0</v>
      </c>
      <c r="W86" s="558">
        <f>V86</f>
        <v>0</v>
      </c>
      <c r="X86" s="558">
        <f>W86</f>
        <v>0</v>
      </c>
      <c r="Y86" s="558">
        <f>X86</f>
        <v>0</v>
      </c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</row>
    <row r="87" spans="1:60" s="157" customFormat="1" ht="15.75" hidden="1" customHeight="1" outlineLevel="1">
      <c r="A87" s="460"/>
      <c r="B87" s="161"/>
      <c r="C87" s="162" t="s">
        <v>1246</v>
      </c>
      <c r="D87" s="155"/>
      <c r="E87" s="155"/>
      <c r="F87" s="155"/>
      <c r="G87" s="155"/>
      <c r="H87" s="559"/>
      <c r="I87" s="146">
        <f>SUM(I88:I99)</f>
        <v>1.1372383893433975</v>
      </c>
      <c r="J87" s="145"/>
      <c r="K87" s="101"/>
      <c r="L87" s="145"/>
      <c r="M87" s="641"/>
      <c r="N87" s="431"/>
      <c r="O87" s="431"/>
      <c r="P87" s="431"/>
      <c r="Q87" s="431"/>
      <c r="R87" s="431"/>
      <c r="S87" s="431"/>
      <c r="T87" s="431"/>
      <c r="U87" s="431"/>
      <c r="V87" s="431"/>
      <c r="W87" s="431"/>
      <c r="X87" s="431"/>
      <c r="Y87" s="431"/>
      <c r="Z87" s="155"/>
      <c r="AA87" s="155"/>
      <c r="AB87" s="155"/>
      <c r="AC87" s="155"/>
      <c r="AD87" s="155"/>
      <c r="AE87" s="155"/>
      <c r="AF87" s="155"/>
      <c r="AG87" s="155"/>
      <c r="AH87" s="155"/>
      <c r="AI87" s="155"/>
      <c r="AJ87" s="155"/>
      <c r="AK87" s="155"/>
      <c r="AL87" s="155"/>
      <c r="AM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</row>
    <row r="88" spans="1:60" ht="15.75" hidden="1" customHeight="1" outlineLevel="1">
      <c r="B88" s="159"/>
      <c r="C88" s="164" t="s">
        <v>1247</v>
      </c>
      <c r="D88" s="76"/>
      <c r="E88" s="76"/>
      <c r="F88" s="76"/>
      <c r="G88" s="76"/>
      <c r="H88" s="492"/>
      <c r="I88" s="146">
        <v>0.30228799525555877</v>
      </c>
      <c r="J88" s="146">
        <f>J143/J39</f>
        <v>3.7273014945718323E-2</v>
      </c>
      <c r="K88" s="146">
        <f>K143/K39</f>
        <v>5.2400132555297248E-2</v>
      </c>
      <c r="L88" s="146">
        <f>0.03*'Control list'!H19</f>
        <v>3.3000000000000002E-2</v>
      </c>
      <c r="M88" s="146">
        <f>(248881-74880)/M39*'Control list'!I17</f>
        <v>3.2637241026515482E-2</v>
      </c>
      <c r="N88" s="146">
        <f>(518373-108389)*'Control list'!J17/'Cu segment'!N39</f>
        <v>3.2525925652929347E-2</v>
      </c>
      <c r="O88" s="146">
        <f>(543089-107648)*'Control list'!K17/'Cu segment'!O39</f>
        <v>3.0954893826904546E-2</v>
      </c>
      <c r="P88" s="146">
        <f>(675510-154631)*'Control list'!L17/'Cu segment'!P39</f>
        <v>4.3771603769402083E-2</v>
      </c>
      <c r="Q88" s="146">
        <f>(760867-151722+0/2)*'Control list'!M17/'Cu segment'!Q39</f>
        <v>4.9929918032786888E-2</v>
      </c>
      <c r="R88" s="146"/>
      <c r="S88" s="146"/>
      <c r="T88" s="146">
        <f>(760867-151722+0/2)*'Control list'!P17/'Cu segment'!T39</f>
        <v>4.9929918032786888E-2</v>
      </c>
      <c r="U88" s="146">
        <f>Q88*(1+U$86)</f>
        <v>4.9929918032786888E-2</v>
      </c>
      <c r="V88" s="146">
        <f>U88*(1+V$86)</f>
        <v>4.9929918032786888E-2</v>
      </c>
      <c r="W88" s="146">
        <f>V88*(1+W$86)</f>
        <v>4.9929918032786888E-2</v>
      </c>
      <c r="X88" s="146">
        <f>W88*(1+X$86)</f>
        <v>4.9929918032786888E-2</v>
      </c>
      <c r="Y88" s="146">
        <f>X88*(1+Y$86)</f>
        <v>4.9929918032786888E-2</v>
      </c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</row>
    <row r="89" spans="1:60" ht="15.75" hidden="1" customHeight="1" outlineLevel="1">
      <c r="B89" s="159"/>
      <c r="C89" s="164" t="s">
        <v>1248</v>
      </c>
      <c r="D89" s="76"/>
      <c r="E89" s="76"/>
      <c r="F89" s="76"/>
      <c r="G89" s="76"/>
      <c r="H89" s="492"/>
      <c r="I89" s="146"/>
      <c r="J89" s="146">
        <f>J144/J$39</f>
        <v>5.5909522418577481E-2</v>
      </c>
      <c r="K89" s="146"/>
      <c r="L89" s="146">
        <v>0.21939</v>
      </c>
      <c r="M89" s="146">
        <f>1299060/M39</f>
        <v>0.22151249040838947</v>
      </c>
      <c r="N89" s="146">
        <f>1949402/'Cu segment'!N39</f>
        <v>0.14059551884878829</v>
      </c>
      <c r="O89" s="146">
        <f>1935304/'Cu segment'!O39</f>
        <v>0.12507096743256454</v>
      </c>
      <c r="P89" s="146">
        <f>2346200/'Cu segment'!P39</f>
        <v>0.18777222049974526</v>
      </c>
      <c r="Q89" s="146">
        <f>2298820/'Cu segment'!Q39</f>
        <v>0.17945511319281812</v>
      </c>
      <c r="R89" s="146"/>
      <c r="S89" s="146"/>
      <c r="T89" s="146">
        <f>2298820/'Cu segment'!T39</f>
        <v>0.17945511319281812</v>
      </c>
      <c r="U89" s="146">
        <f>Q89</f>
        <v>0.17945511319281812</v>
      </c>
      <c r="V89" s="146">
        <f>U89</f>
        <v>0.17945511319281812</v>
      </c>
      <c r="W89" s="146">
        <f>V89</f>
        <v>0.17945511319281812</v>
      </c>
      <c r="X89" s="146">
        <f>W89</f>
        <v>0.17945511319281812</v>
      </c>
      <c r="Y89" s="146">
        <f>X89</f>
        <v>0.17945511319281812</v>
      </c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</row>
    <row r="90" spans="1:60" ht="15.75" hidden="1" customHeight="1" outlineLevel="1">
      <c r="B90" s="159"/>
      <c r="C90" s="164" t="s">
        <v>1249</v>
      </c>
      <c r="D90" s="76"/>
      <c r="E90" s="76"/>
      <c r="F90" s="76"/>
      <c r="G90" s="76"/>
      <c r="H90" s="492"/>
      <c r="I90" s="146"/>
      <c r="J90" s="146">
        <f>J145/J$39</f>
        <v>0.10560687567953524</v>
      </c>
      <c r="K90" s="146">
        <f>K145/K$39</f>
        <v>0.11868825879800315</v>
      </c>
      <c r="L90" s="146">
        <f>0.0946*'Control list'!H19</f>
        <v>0.10406000000000001</v>
      </c>
      <c r="M90" s="146">
        <f>635141/M39*'Control list'!I17</f>
        <v>0.11913293545911843</v>
      </c>
      <c r="N90" s="146">
        <f>1359806*'Control list'!J17/'Cu segment'!N39</f>
        <v>0.10787969495982098</v>
      </c>
      <c r="O90" s="146">
        <f>1469439*'Control list'!K17/'Cu segment'!O39</f>
        <v>0.10446037059007486</v>
      </c>
      <c r="P90" s="146">
        <f>1811180*'Control list'!L17/'Cu segment'!P39</f>
        <v>0.15220090138989217</v>
      </c>
      <c r="Q90" s="146">
        <f>1666126*'Control list'!M17/'Cu segment'!Q39</f>
        <v>0.1365677049180328</v>
      </c>
      <c r="R90" s="146"/>
      <c r="S90" s="146"/>
      <c r="T90" s="146">
        <f>1666126*'Control list'!P17/'Cu segment'!T39</f>
        <v>0.1365677049180328</v>
      </c>
      <c r="U90" s="146">
        <f>Q90*(1+U$86)</f>
        <v>0.1365677049180328</v>
      </c>
      <c r="V90" s="146">
        <f t="shared" ref="V90:Y91" si="44">U90*(1+V$86)</f>
        <v>0.1365677049180328</v>
      </c>
      <c r="W90" s="146">
        <f t="shared" si="44"/>
        <v>0.1365677049180328</v>
      </c>
      <c r="X90" s="146">
        <f t="shared" si="44"/>
        <v>0.1365677049180328</v>
      </c>
      <c r="Y90" s="146">
        <f t="shared" si="44"/>
        <v>0.1365677049180328</v>
      </c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</row>
    <row r="91" spans="1:60" ht="15.75" hidden="1" customHeight="1" outlineLevel="1">
      <c r="B91" s="159"/>
      <c r="C91" s="164" t="s">
        <v>1250</v>
      </c>
      <c r="D91" s="76"/>
      <c r="E91" s="76"/>
      <c r="F91" s="76"/>
      <c r="G91" s="76"/>
      <c r="H91" s="492"/>
      <c r="I91" s="146"/>
      <c r="J91" s="146">
        <f>J146/J$39</f>
        <v>2.7333544293526767E-2</v>
      </c>
      <c r="K91" s="146">
        <f>K146/K$39</f>
        <v>3.1662767079795651E-2</v>
      </c>
      <c r="L91" s="146">
        <f>0.0449*'Control list'!H19</f>
        <v>4.9390000000000003E-2</v>
      </c>
      <c r="M91" s="146">
        <f>(380350-156893.5)/M39*'Control list'!I17</f>
        <v>4.1913573194645753E-2</v>
      </c>
      <c r="N91" s="146">
        <f>(669514-233808)*'Control list'!J17/'Cu segment'!N39</f>
        <v>3.4566570799190302E-2</v>
      </c>
      <c r="O91" s="146">
        <f>(785504-253431)*'Control list'!K17/'Cu segment'!O39</f>
        <v>3.7824328033333063E-2</v>
      </c>
      <c r="P91" s="146">
        <f>(996965-254826)*'Control list'!L17/'Cu segment'!P39</f>
        <v>6.2364991197226785E-2</v>
      </c>
      <c r="Q91" s="146">
        <f>(1037207-377084+0/2)*'Control list'!M17/'Cu segment'!Q39</f>
        <v>5.4108442622950823E-2</v>
      </c>
      <c r="R91" s="146"/>
      <c r="S91" s="146"/>
      <c r="T91" s="146">
        <f>(1037207-377084+0/2)*'Control list'!P17/'Cu segment'!T39</f>
        <v>5.4108442622950823E-2</v>
      </c>
      <c r="U91" s="146">
        <f>Q91*(1+U$86)</f>
        <v>5.4108442622950823E-2</v>
      </c>
      <c r="V91" s="146">
        <f t="shared" si="44"/>
        <v>5.4108442622950823E-2</v>
      </c>
      <c r="W91" s="146">
        <f t="shared" si="44"/>
        <v>5.4108442622950823E-2</v>
      </c>
      <c r="X91" s="146">
        <f t="shared" si="44"/>
        <v>5.4108442622950823E-2</v>
      </c>
      <c r="Y91" s="146">
        <f t="shared" si="44"/>
        <v>5.4108442622950823E-2</v>
      </c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</row>
    <row r="92" spans="1:60" ht="15.75" hidden="1" customHeight="1" outlineLevel="1">
      <c r="B92" s="159"/>
      <c r="C92" s="164" t="s">
        <v>1251</v>
      </c>
      <c r="D92" s="76"/>
      <c r="E92" s="76"/>
      <c r="F92" s="76"/>
      <c r="G92" s="76"/>
      <c r="H92" s="492"/>
      <c r="I92" s="146"/>
      <c r="J92" s="146"/>
      <c r="K92" s="146"/>
      <c r="L92" s="146">
        <v>0.44579999999999997</v>
      </c>
      <c r="M92" s="146">
        <f>2727375/M39</f>
        <v>0.46506522295165831</v>
      </c>
      <c r="N92" s="146">
        <f>4206199/'Cu segment'!N39</f>
        <v>0.30336109780653475</v>
      </c>
      <c r="O92" s="146">
        <f>4554012/'Cu segment'!O39</f>
        <v>0.29430760569890213</v>
      </c>
      <c r="P92" s="146">
        <f>3872259/'Cu segment'!P39</f>
        <v>0.30990651725348356</v>
      </c>
      <c r="Q92" s="146">
        <f>5713400/'Cu segment'!Q39</f>
        <v>0.44601092896174865</v>
      </c>
      <c r="R92" s="146"/>
      <c r="S92" s="146"/>
      <c r="T92" s="146">
        <f>5713400/'Cu segment'!T39</f>
        <v>0.44601092896174865</v>
      </c>
      <c r="U92" s="146">
        <f>Q92</f>
        <v>0.44601092896174865</v>
      </c>
      <c r="V92" s="146">
        <f t="shared" ref="V92:Y93" si="45">U92</f>
        <v>0.44601092896174865</v>
      </c>
      <c r="W92" s="146">
        <f t="shared" si="45"/>
        <v>0.44601092896174865</v>
      </c>
      <c r="X92" s="146">
        <f t="shared" si="45"/>
        <v>0.44601092896174865</v>
      </c>
      <c r="Y92" s="146">
        <f t="shared" si="45"/>
        <v>0.44601092896174865</v>
      </c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</row>
    <row r="93" spans="1:60" ht="15.75" hidden="1" customHeight="1" outlineLevel="1">
      <c r="B93" s="159"/>
      <c r="C93" s="164" t="s">
        <v>1252</v>
      </c>
      <c r="D93" s="76"/>
      <c r="E93" s="76"/>
      <c r="F93" s="76"/>
      <c r="G93" s="76"/>
      <c r="H93" s="492"/>
      <c r="I93" s="146">
        <v>0.7533623435880098</v>
      </c>
      <c r="J93" s="146">
        <f>J147/J$39</f>
        <v>0.26530065775783535</v>
      </c>
      <c r="K93" s="146">
        <f>K147/K$39</f>
        <v>0.30582126783618679</v>
      </c>
      <c r="L93" s="146">
        <v>0.42230000000000001</v>
      </c>
      <c r="M93" s="146">
        <f>2696475/M39</f>
        <v>0.45979623156279309</v>
      </c>
      <c r="N93" s="146">
        <f>(3907266)/'Cu segment'!N39</f>
        <v>0.28180133730766133</v>
      </c>
      <c r="O93" s="146">
        <f>(3449139)/'Cu segment'!O39</f>
        <v>0.22290407684755895</v>
      </c>
      <c r="P93" s="146">
        <f>(3198794)/'Cu segment'!P39</f>
        <v>0.25600743853945196</v>
      </c>
      <c r="Q93" s="146">
        <f>(3437368)/'Cu segment'!Q39</f>
        <v>0.26833473848555817</v>
      </c>
      <c r="R93" s="146"/>
      <c r="S93" s="146"/>
      <c r="T93" s="146">
        <f>(3437368)/'Cu segment'!T39</f>
        <v>0.26833473848555817</v>
      </c>
      <c r="U93" s="146">
        <f>Q93</f>
        <v>0.26833473848555817</v>
      </c>
      <c r="V93" s="146">
        <f t="shared" si="45"/>
        <v>0.26833473848555817</v>
      </c>
      <c r="W93" s="146">
        <f t="shared" si="45"/>
        <v>0.26833473848555817</v>
      </c>
      <c r="X93" s="146">
        <f t="shared" si="45"/>
        <v>0.26833473848555817</v>
      </c>
      <c r="Y93" s="146">
        <f t="shared" si="45"/>
        <v>0.26833473848555817</v>
      </c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</row>
    <row r="94" spans="1:60" ht="15.75" hidden="1" customHeight="1" outlineLevel="1">
      <c r="B94" s="159"/>
      <c r="C94" s="493" t="s">
        <v>36</v>
      </c>
      <c r="D94" s="76"/>
      <c r="E94" s="76"/>
      <c r="F94" s="76"/>
      <c r="G94" s="76"/>
      <c r="H94" s="492"/>
      <c r="I94" s="146"/>
      <c r="J94" s="146"/>
      <c r="K94" s="560"/>
      <c r="L94" s="560">
        <f>0.84*'Control list'!H19</f>
        <v>0.92400000000000004</v>
      </c>
      <c r="M94" s="560">
        <f>0.59*'Control list'!I17</f>
        <v>0.64900000000000002</v>
      </c>
      <c r="N94" s="560">
        <f>0.72*'Control list'!J17</f>
        <v>0.79200000000000004</v>
      </c>
      <c r="O94" s="560">
        <f>0.868*'Control list'!K17</f>
        <v>0.95480000000000009</v>
      </c>
      <c r="P94" s="560">
        <f>0.937*'Control list'!L17</f>
        <v>0.98385000000000011</v>
      </c>
      <c r="Q94" s="560">
        <f>0.978*'Control list'!M17</f>
        <v>1.0268999999999999</v>
      </c>
      <c r="R94" s="560"/>
      <c r="S94" s="560"/>
      <c r="T94" s="560">
        <f>0.978*'Control list'!P17</f>
        <v>1.0268999999999999</v>
      </c>
      <c r="U94" s="560">
        <f>Q94*(1+U95)</f>
        <v>1.0699499999999997</v>
      </c>
      <c r="V94" s="560">
        <f>U94*(1+V95)</f>
        <v>1.1148047546012265</v>
      </c>
      <c r="W94" s="560">
        <f>V94*(1+W95)</f>
        <v>1.1615399232501531</v>
      </c>
      <c r="X94" s="560">
        <f>W94*(1+X95)</f>
        <v>1.2102343372105377</v>
      </c>
      <c r="Y94" s="560">
        <f>X94*(1+Y95)</f>
        <v>1.2609701325332696</v>
      </c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</row>
    <row r="95" spans="1:60" ht="15.75" hidden="1" customHeight="1" outlineLevel="1">
      <c r="B95" s="159"/>
      <c r="C95" s="493" t="s">
        <v>1253</v>
      </c>
      <c r="D95" s="76"/>
      <c r="E95" s="76"/>
      <c r="F95" s="76"/>
      <c r="G95" s="76"/>
      <c r="H95" s="492"/>
      <c r="I95" s="146"/>
      <c r="J95" s="146"/>
      <c r="K95" s="560"/>
      <c r="L95" s="77">
        <f>(M94-L94)/L94</f>
        <v>-0.29761904761904762</v>
      </c>
      <c r="M95" s="77">
        <f>(M94-L94)/M94</f>
        <v>-0.42372881355932207</v>
      </c>
      <c r="N95" s="77">
        <f>(N94-M94)/N94</f>
        <v>0.18055555555555558</v>
      </c>
      <c r="O95" s="77">
        <f>(O94-N94)/O94</f>
        <v>0.17050691244239635</v>
      </c>
      <c r="P95" s="77">
        <f>(P94-O94)/P94</f>
        <v>2.9526858769121325E-2</v>
      </c>
      <c r="Q95" s="77">
        <f>(Q94-P94)/Q94</f>
        <v>4.1922290388547875E-2</v>
      </c>
      <c r="R95" s="77"/>
      <c r="S95" s="77"/>
      <c r="T95" s="77">
        <f>(T94-S94)/T94</f>
        <v>1</v>
      </c>
      <c r="U95" s="77">
        <f>Q95</f>
        <v>4.1922290388547875E-2</v>
      </c>
      <c r="V95" s="77">
        <f>U95</f>
        <v>4.1922290388547875E-2</v>
      </c>
      <c r="W95" s="77">
        <f>V95</f>
        <v>4.1922290388547875E-2</v>
      </c>
      <c r="X95" s="77">
        <f>W95</f>
        <v>4.1922290388547875E-2</v>
      </c>
      <c r="Y95" s="77">
        <f>X95</f>
        <v>4.1922290388547875E-2</v>
      </c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</row>
    <row r="96" spans="1:60" ht="15.75" hidden="1" customHeight="1" outlineLevel="1">
      <c r="B96" s="159"/>
      <c r="C96" s="164" t="s">
        <v>1254</v>
      </c>
      <c r="D96" s="76"/>
      <c r="E96" s="76"/>
      <c r="F96" s="76"/>
      <c r="G96" s="76"/>
      <c r="H96" s="492"/>
      <c r="I96" s="146"/>
      <c r="J96" s="146">
        <f>J148/J$39</f>
        <v>0.17040003201999493</v>
      </c>
      <c r="K96" s="146">
        <f>K148/K$39</f>
        <v>0.13216579495111772</v>
      </c>
      <c r="L96" s="146">
        <f>0.0728*'Control list'!H19</f>
        <v>8.0080000000000012E-2</v>
      </c>
      <c r="M96" s="146">
        <f>(2151660-1599980)/M39*'Control list'!$I$17</f>
        <v>0.10347821638673374</v>
      </c>
      <c r="N96" s="146">
        <f>(3912172-2819214)*'Control list'!J17/'Cu segment'!N39</f>
        <v>8.6709409756903583E-2</v>
      </c>
      <c r="O96" s="146">
        <f>(4166127-2995431)*'Control list'!K17/'Cu segment'!O39</f>
        <v>8.322314707062918E-2</v>
      </c>
      <c r="P96" s="146">
        <f>(814795+285549)*'Control list'!L17/'Cu segment'!P39</f>
        <v>9.2466429973254743E-2</v>
      </c>
      <c r="Q96" s="146">
        <f>(4622173-3361746)*'Control list'!M17/'Cu segment'!Q39</f>
        <v>0.10331368852459018</v>
      </c>
      <c r="R96" s="146"/>
      <c r="S96" s="146"/>
      <c r="T96" s="146">
        <f>(4622173-3361746)*'Control list'!P17/'Cu segment'!T39</f>
        <v>0.10331368852459018</v>
      </c>
      <c r="U96" s="146">
        <f>Q96*(1+U$86)</f>
        <v>0.10331368852459018</v>
      </c>
      <c r="V96" s="146">
        <f t="shared" ref="V96:Y97" si="46">U96*(1+V$86)</f>
        <v>0.10331368852459018</v>
      </c>
      <c r="W96" s="146">
        <f t="shared" si="46"/>
        <v>0.10331368852459018</v>
      </c>
      <c r="X96" s="146">
        <f t="shared" si="46"/>
        <v>0.10331368852459018</v>
      </c>
      <c r="Y96" s="146">
        <f t="shared" si="46"/>
        <v>0.10331368852459018</v>
      </c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</row>
    <row r="97" spans="1:57" ht="15.75" hidden="1" customHeight="1" outlineLevel="1">
      <c r="B97" s="159"/>
      <c r="C97" s="164" t="s">
        <v>1255</v>
      </c>
      <c r="D97" s="76"/>
      <c r="E97" s="76"/>
      <c r="F97" s="76"/>
      <c r="G97" s="76"/>
      <c r="H97" s="492"/>
      <c r="I97" s="146">
        <v>8.1588050499828937E-2</v>
      </c>
      <c r="J97" s="146"/>
      <c r="K97" s="146"/>
      <c r="L97" s="146">
        <f>0.0126*'Control list'!H19</f>
        <v>1.3860000000000001E-2</v>
      </c>
      <c r="M97" s="146">
        <f>(158200-114541.7)/M40*'Control list'!$I$17</f>
        <v>1.2888923778851317E-2</v>
      </c>
      <c r="N97" s="146">
        <f>(173203-124066)*'Control list'!J17/'Cu segment'!N40</f>
        <v>1.3068667037404193E-2</v>
      </c>
      <c r="O97" s="146">
        <f>(168171-119418)*'Control list'!K17/'Cu segment'!O40</f>
        <v>1.3233386798272672E-2</v>
      </c>
      <c r="P97" s="146">
        <f>(210611-156498)*'Control list'!L17/'Cu segment'!P40</f>
        <v>1.281142051860203E-2</v>
      </c>
      <c r="Q97" s="146">
        <f>(217575-157410)*'Control list'!M17/'Cu segment'!Q40</f>
        <v>1.4038500000000001E-2</v>
      </c>
      <c r="R97" s="146"/>
      <c r="S97" s="146"/>
      <c r="T97" s="146">
        <f>(217575-157410)*'Control list'!P17/'Cu segment'!T40</f>
        <v>1.4038500000000001E-2</v>
      </c>
      <c r="U97" s="146">
        <f>Q97*(1+U$86)</f>
        <v>1.4038500000000001E-2</v>
      </c>
      <c r="V97" s="146">
        <f t="shared" si="46"/>
        <v>1.4038500000000001E-2</v>
      </c>
      <c r="W97" s="146">
        <f t="shared" si="46"/>
        <v>1.4038500000000001E-2</v>
      </c>
      <c r="X97" s="146">
        <f t="shared" si="46"/>
        <v>1.4038500000000001E-2</v>
      </c>
      <c r="Y97" s="146">
        <f t="shared" si="46"/>
        <v>1.4038500000000001E-2</v>
      </c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</row>
    <row r="98" spans="1:57" ht="15.75" hidden="1" customHeight="1" outlineLevel="1">
      <c r="B98" s="159"/>
      <c r="C98" s="164" t="s">
        <v>1256</v>
      </c>
      <c r="D98" s="76"/>
      <c r="E98" s="76"/>
      <c r="F98" s="76"/>
      <c r="G98" s="76"/>
      <c r="H98" s="492"/>
      <c r="I98" s="146"/>
      <c r="J98" s="146"/>
      <c r="K98" s="146"/>
      <c r="L98" s="146">
        <f>0.5528</f>
        <v>0.55279999999999996</v>
      </c>
      <c r="M98" s="146">
        <f>1991838/M40</f>
        <v>0.53457809983896942</v>
      </c>
      <c r="N98" s="146">
        <f>2231739/N40</f>
        <v>0.53960177954012423</v>
      </c>
      <c r="O98" s="146">
        <f>2147183/O40</f>
        <v>0.52984157927205433</v>
      </c>
      <c r="P98" s="146">
        <f>2366441/P40</f>
        <v>0.53358308906426155</v>
      </c>
      <c r="Q98" s="146">
        <f>2385000/Q40</f>
        <v>0.53</v>
      </c>
      <c r="R98" s="146"/>
      <c r="S98" s="146"/>
      <c r="T98" s="146">
        <f>2385000/T40</f>
        <v>0.53</v>
      </c>
      <c r="U98" s="146">
        <f>Q98</f>
        <v>0.53</v>
      </c>
      <c r="V98" s="146">
        <f>U98</f>
        <v>0.53</v>
      </c>
      <c r="W98" s="146">
        <f>V98</f>
        <v>0.53</v>
      </c>
      <c r="X98" s="146">
        <f>W98</f>
        <v>0.53</v>
      </c>
      <c r="Y98" s="146">
        <f>X98</f>
        <v>0.53</v>
      </c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</row>
    <row r="99" spans="1:57" ht="15.75" hidden="1" customHeight="1" outlineLevel="1">
      <c r="B99" s="159"/>
      <c r="C99" s="164" t="s">
        <v>1257</v>
      </c>
      <c r="D99" s="76"/>
      <c r="E99" s="76"/>
      <c r="F99" s="76"/>
      <c r="G99" s="76"/>
      <c r="H99" s="492"/>
      <c r="I99" s="146"/>
      <c r="J99" s="146"/>
      <c r="K99" s="146"/>
      <c r="L99" s="146">
        <f>0.0464*'Control list'!H19</f>
        <v>5.1040000000000002E-2</v>
      </c>
      <c r="M99" s="146">
        <f>107245/M39*'Control list'!I17</f>
        <v>2.0115866655298832E-2</v>
      </c>
      <c r="N99" s="146">
        <f>241960*'Control list'!J17/'Cu segment'!N39</f>
        <v>1.9195805131377773E-2</v>
      </c>
      <c r="O99" s="146">
        <f>339773*'Control list'!K17/'Cu segment'!O39</f>
        <v>2.415398903697364E-2</v>
      </c>
      <c r="P99" s="146">
        <f>368096*'Control list'!L17/'Cu segment'!P39</f>
        <v>3.0932620169179071E-2</v>
      </c>
      <c r="Q99" s="146">
        <f>536099*'Control list'!M17/'Cu segment'!Q39</f>
        <v>4.3942540983606559E-2</v>
      </c>
      <c r="R99" s="146"/>
      <c r="S99" s="146"/>
      <c r="T99" s="146">
        <f>536099*'Control list'!P17/'Cu segment'!T39</f>
        <v>4.3942540983606559E-2</v>
      </c>
      <c r="U99" s="146">
        <f>Q99*(1+U$86)</f>
        <v>4.3942540983606559E-2</v>
      </c>
      <c r="V99" s="146">
        <f>U99*(1+V$86)</f>
        <v>4.3942540983606559E-2</v>
      </c>
      <c r="W99" s="146">
        <f>V99*(1+W$86)</f>
        <v>4.3942540983606559E-2</v>
      </c>
      <c r="X99" s="146">
        <f>W99*(1+X$86)</f>
        <v>4.3942540983606559E-2</v>
      </c>
      <c r="Y99" s="146">
        <f>X99*(1+Y$86)</f>
        <v>4.3942540983606559E-2</v>
      </c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</row>
    <row r="100" spans="1:57" ht="15.75" hidden="1" customHeight="1" outlineLevel="1">
      <c r="B100" s="159"/>
      <c r="C100" s="164" t="s">
        <v>1258</v>
      </c>
      <c r="D100" s="76"/>
      <c r="E100" s="76"/>
      <c r="F100" s="76"/>
      <c r="G100" s="76"/>
      <c r="H100" s="492"/>
      <c r="I100" s="146"/>
      <c r="J100" s="146"/>
      <c r="K100" s="561">
        <v>0.09</v>
      </c>
      <c r="L100" s="561">
        <f>0.08*'Control list'!H19</f>
        <v>8.8000000000000009E-2</v>
      </c>
      <c r="M100" s="146">
        <f>0.058*'Control list'!I17</f>
        <v>6.3800000000000009E-2</v>
      </c>
      <c r="N100" s="561">
        <f>0.056*'Control list'!J17</f>
        <v>6.1600000000000009E-2</v>
      </c>
      <c r="O100" s="561">
        <f>0.056*'Control list'!K17</f>
        <v>6.1600000000000009E-2</v>
      </c>
      <c r="P100" s="561">
        <f>0.066*'Control list'!L17</f>
        <v>6.93E-2</v>
      </c>
      <c r="Q100" s="561">
        <f>0.066*'Control list'!M17</f>
        <v>6.93E-2</v>
      </c>
      <c r="R100" s="561"/>
      <c r="S100" s="561"/>
      <c r="T100" s="561">
        <f>0.066*'Control list'!P17</f>
        <v>6.93E-2</v>
      </c>
      <c r="U100" s="561">
        <f>0.067*'Control list'!N17</f>
        <v>7.035000000000001E-2</v>
      </c>
      <c r="V100" s="561">
        <f>0.068*'Control list'!O17</f>
        <v>7.1400000000000005E-2</v>
      </c>
      <c r="W100" s="561">
        <f>0.069*'Control list'!P17</f>
        <v>7.2450000000000014E-2</v>
      </c>
      <c r="X100" s="561">
        <f>0.07*'Control list'!Q17</f>
        <v>7.350000000000001E-2</v>
      </c>
      <c r="Y100" s="561">
        <f>0.071*'Control list'!R17</f>
        <v>7.4549999999999991E-2</v>
      </c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</row>
    <row r="101" spans="1:57" ht="15.75" hidden="1" customHeight="1" outlineLevel="1">
      <c r="B101" s="159"/>
      <c r="C101" s="164" t="s">
        <v>1259</v>
      </c>
      <c r="D101" s="76"/>
      <c r="E101" s="76"/>
      <c r="F101" s="76"/>
      <c r="G101" s="76"/>
      <c r="H101" s="492"/>
      <c r="I101" s="146"/>
      <c r="J101" s="146"/>
      <c r="K101" s="146"/>
      <c r="L101" s="77">
        <f>L100/K100-1</f>
        <v>-2.2222222222222143E-2</v>
      </c>
      <c r="M101" s="77">
        <f>M100/L100-1</f>
        <v>-0.27499999999999991</v>
      </c>
      <c r="N101" s="77">
        <f t="shared" ref="N101:Y101" si="47">(N100-M100)/N100</f>
        <v>-3.5714285714285719E-2</v>
      </c>
      <c r="O101" s="77">
        <f t="shared" si="47"/>
        <v>0</v>
      </c>
      <c r="P101" s="77">
        <f t="shared" si="47"/>
        <v>0.11111111111111099</v>
      </c>
      <c r="Q101" s="77">
        <f t="shared" si="47"/>
        <v>0</v>
      </c>
      <c r="R101" s="77"/>
      <c r="S101" s="77"/>
      <c r="T101" s="77">
        <f t="shared" si="47"/>
        <v>1</v>
      </c>
      <c r="U101" s="77">
        <f>(U100-Q100)/U100</f>
        <v>1.4925373134328488E-2</v>
      </c>
      <c r="V101" s="77">
        <f t="shared" si="47"/>
        <v>1.470588235294111E-2</v>
      </c>
      <c r="W101" s="77">
        <f t="shared" si="47"/>
        <v>1.4492753623188531E-2</v>
      </c>
      <c r="X101" s="77">
        <f t="shared" si="47"/>
        <v>1.4285714285714221E-2</v>
      </c>
      <c r="Y101" s="77">
        <f t="shared" si="47"/>
        <v>1.4084507042253275E-2</v>
      </c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</row>
    <row r="102" spans="1:57" ht="15.75" hidden="1" customHeight="1" outlineLevel="1">
      <c r="B102" s="159"/>
      <c r="C102" s="493"/>
      <c r="D102" s="76"/>
      <c r="E102" s="76"/>
      <c r="F102" s="76"/>
      <c r="G102" s="76"/>
      <c r="H102" s="492"/>
      <c r="I102" s="434"/>
      <c r="J102" s="434"/>
      <c r="K102" s="147"/>
      <c r="L102" s="147"/>
      <c r="M102" s="432"/>
      <c r="N102" s="432"/>
      <c r="O102" s="432"/>
      <c r="P102" s="432"/>
      <c r="Q102" s="432"/>
      <c r="R102" s="432"/>
      <c r="S102" s="432"/>
      <c r="T102" s="432"/>
      <c r="U102" s="432"/>
      <c r="V102" s="432"/>
      <c r="W102" s="432"/>
      <c r="X102" s="432"/>
      <c r="Y102" s="432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</row>
    <row r="103" spans="1:57" s="157" customFormat="1" ht="15.75" hidden="1" customHeight="1" outlineLevel="1">
      <c r="A103" s="460"/>
      <c r="B103" s="161"/>
      <c r="C103" s="162" t="s">
        <v>1260</v>
      </c>
      <c r="D103" s="155"/>
      <c r="E103" s="155"/>
      <c r="F103" s="155"/>
      <c r="G103" s="155"/>
      <c r="H103" s="559"/>
      <c r="I103" s="146">
        <f>SUM(I105:I106)</f>
        <v>142.21682758396244</v>
      </c>
      <c r="J103" s="145"/>
      <c r="K103" s="101"/>
      <c r="L103" s="145"/>
      <c r="M103" s="641"/>
      <c r="N103" s="431"/>
      <c r="O103" s="431"/>
      <c r="P103" s="431"/>
      <c r="Q103" s="431"/>
      <c r="R103" s="431"/>
      <c r="S103" s="431"/>
      <c r="T103" s="431"/>
      <c r="U103" s="431"/>
      <c r="V103" s="431"/>
      <c r="W103" s="431"/>
      <c r="X103" s="431"/>
      <c r="Y103" s="431"/>
      <c r="Z103" s="155"/>
      <c r="AA103" s="155"/>
      <c r="AB103" s="155"/>
      <c r="AC103" s="155"/>
      <c r="AD103" s="155"/>
      <c r="AE103" s="155"/>
      <c r="AF103" s="155"/>
      <c r="AG103" s="155"/>
      <c r="AH103" s="155"/>
      <c r="AI103" s="155"/>
      <c r="AJ103" s="155"/>
      <c r="AK103" s="155"/>
      <c r="AL103" s="155"/>
      <c r="AM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</row>
    <row r="104" spans="1:57" s="157" customFormat="1" ht="15.75" hidden="1" customHeight="1" outlineLevel="1">
      <c r="A104" s="460"/>
      <c r="B104" s="161"/>
      <c r="C104" s="164" t="s">
        <v>1261</v>
      </c>
      <c r="D104" s="76"/>
      <c r="E104" s="155"/>
      <c r="F104" s="155"/>
      <c r="G104" s="155"/>
      <c r="H104" s="559"/>
      <c r="I104" s="146"/>
      <c r="J104" s="101">
        <f>J155/J$40</f>
        <v>9.9394706521915524E-2</v>
      </c>
      <c r="K104" s="101">
        <f>K155/K$40</f>
        <v>0.11613197306510045</v>
      </c>
      <c r="L104" s="145">
        <f>0.099*'Control list'!H19</f>
        <v>0.10890000000000001</v>
      </c>
      <c r="M104" s="146">
        <f>(866143-465637.7)/M40*'Control list'!I17</f>
        <v>0.11823827965646806</v>
      </c>
      <c r="N104" s="146">
        <f>(918544-514997)*'Control list'!J17/'Cu segment'!N40</f>
        <v>0.1073289247805798</v>
      </c>
      <c r="O104" s="146">
        <f>(902719-507286)*'Control list'!K17/'Cu segment'!O40</f>
        <v>0.10733529919802592</v>
      </c>
      <c r="P104" s="146">
        <f>(1095418-673493)*'Control list'!L17/'Cu segment'!P40</f>
        <v>9.9892051860202932E-2</v>
      </c>
      <c r="Q104" s="146">
        <f>(1178010-683100)*'Control list'!M17/'Cu segment'!Q40</f>
        <v>0.115479</v>
      </c>
      <c r="R104" s="146"/>
      <c r="S104" s="146"/>
      <c r="T104" s="146">
        <f>(1178010-683100)*'Control list'!P17/'Cu segment'!T40</f>
        <v>0.115479</v>
      </c>
      <c r="U104" s="146">
        <f>Q104*(1+U$86)</f>
        <v>0.115479</v>
      </c>
      <c r="V104" s="146">
        <f t="shared" ref="V104:Y105" si="48">U104*(1+V$86)</f>
        <v>0.115479</v>
      </c>
      <c r="W104" s="146">
        <f t="shared" si="48"/>
        <v>0.115479</v>
      </c>
      <c r="X104" s="146">
        <f t="shared" si="48"/>
        <v>0.115479</v>
      </c>
      <c r="Y104" s="146">
        <f t="shared" si="48"/>
        <v>0.115479</v>
      </c>
      <c r="Z104" s="155"/>
      <c r="AA104" s="155"/>
      <c r="AB104" s="155"/>
      <c r="AC104" s="155"/>
      <c r="AD104" s="155"/>
      <c r="AE104" s="155"/>
      <c r="AF104" s="155"/>
      <c r="AG104" s="155"/>
      <c r="AH104" s="155"/>
      <c r="AI104" s="155"/>
      <c r="AJ104" s="155"/>
      <c r="AK104" s="155"/>
      <c r="AL104" s="155"/>
      <c r="AM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</row>
    <row r="105" spans="1:57" ht="15.75" hidden="1" customHeight="1" outlineLevel="1">
      <c r="B105" s="159"/>
      <c r="C105" s="164" t="s">
        <v>1262</v>
      </c>
      <c r="D105" s="76"/>
      <c r="E105" s="76"/>
      <c r="F105" s="76"/>
      <c r="G105" s="76"/>
      <c r="H105" s="562"/>
      <c r="I105" s="146">
        <v>142.21682758396244</v>
      </c>
      <c r="J105" s="101">
        <f>J156/J$40</f>
        <v>0.48579697929258808</v>
      </c>
      <c r="K105" s="101">
        <f>K156/K$40</f>
        <v>1.0950527219864683</v>
      </c>
      <c r="L105" s="146">
        <f>0.89869*'Control list'!H19</f>
        <v>0.98855900000000008</v>
      </c>
      <c r="M105" s="146">
        <f>(7381006-3924038)/M40*'Control list'!I17</f>
        <v>1.020575630703167</v>
      </c>
      <c r="N105" s="146">
        <f>(8098170-4363684)*'Control list'!J17/'Cu segment'!N40</f>
        <v>0.99323837616963673</v>
      </c>
      <c r="O105" s="146">
        <f>(8139050-4239990)*'Control list'!K17/'Cu segment'!O40</f>
        <v>1.0583506477483036</v>
      </c>
      <c r="P105" s="146">
        <f>(9701106-5480159)*'Control list'!L17/'Cu segment'!P40</f>
        <v>0.99932228861330341</v>
      </c>
      <c r="Q105" s="146">
        <f>(10457004-5791500)*'Control list'!M17/'Cu segment'!Q40</f>
        <v>1.0886176000000001</v>
      </c>
      <c r="R105" s="146"/>
      <c r="S105" s="146"/>
      <c r="T105" s="146">
        <f>(10457004-5791500)*'Control list'!P17/'Cu segment'!T40</f>
        <v>1.0886176000000001</v>
      </c>
      <c r="U105" s="146">
        <f>Q105*(1+U$86)</f>
        <v>1.0886176000000001</v>
      </c>
      <c r="V105" s="146">
        <f t="shared" si="48"/>
        <v>1.0886176000000001</v>
      </c>
      <c r="W105" s="146">
        <f t="shared" si="48"/>
        <v>1.0886176000000001</v>
      </c>
      <c r="X105" s="146">
        <f t="shared" si="48"/>
        <v>1.0886176000000001</v>
      </c>
      <c r="Y105" s="146">
        <f t="shared" si="48"/>
        <v>1.0886176000000001</v>
      </c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</row>
    <row r="106" spans="1:57" ht="15.75" hidden="1" customHeight="1" outlineLevel="1">
      <c r="B106" s="159"/>
      <c r="C106" s="164" t="s">
        <v>1263</v>
      </c>
      <c r="D106" s="76"/>
      <c r="E106" s="76"/>
      <c r="F106" s="76"/>
      <c r="G106" s="76"/>
      <c r="H106" s="562"/>
      <c r="I106" s="146"/>
      <c r="J106" s="101">
        <f>J157/J$40</f>
        <v>0.92880111418979971</v>
      </c>
      <c r="K106" s="101">
        <f>K157/K$40/K100</f>
        <v>16.284851145251142</v>
      </c>
      <c r="L106" s="146">
        <f>20.9099</f>
        <v>20.9099</v>
      </c>
      <c r="M106" s="146">
        <f>(8092984+68217182)/M40</f>
        <v>20.480452495974234</v>
      </c>
      <c r="N106" s="146">
        <f>(9264913+78501584)/N40</f>
        <v>21.220652578640681</v>
      </c>
      <c r="O106" s="146">
        <f>(9121356+76233838)/O40</f>
        <v>21.062355089450957</v>
      </c>
      <c r="P106" s="146">
        <f>(10150008+82847264)/P40</f>
        <v>20.968945208568208</v>
      </c>
      <c r="Q106" s="146">
        <f>(87750000+10350000)/Q40</f>
        <v>21.8</v>
      </c>
      <c r="R106" s="146"/>
      <c r="S106" s="146"/>
      <c r="T106" s="146">
        <f>(87750000+10350000)/T40</f>
        <v>21.8</v>
      </c>
      <c r="U106" s="146">
        <f>Q106</f>
        <v>21.8</v>
      </c>
      <c r="V106" s="146">
        <f>U106</f>
        <v>21.8</v>
      </c>
      <c r="W106" s="146">
        <f>V106</f>
        <v>21.8</v>
      </c>
      <c r="X106" s="146">
        <f>W106</f>
        <v>21.8</v>
      </c>
      <c r="Y106" s="146">
        <f>X106</f>
        <v>21.8</v>
      </c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</row>
    <row r="107" spans="1:57" ht="15.75" hidden="1" customHeight="1" outlineLevel="1">
      <c r="B107" s="159"/>
      <c r="C107" s="164" t="s">
        <v>1264</v>
      </c>
      <c r="D107" s="76"/>
      <c r="E107" s="76"/>
      <c r="F107" s="76"/>
      <c r="G107" s="76"/>
      <c r="H107" s="562"/>
      <c r="I107" s="146"/>
      <c r="J107" s="101">
        <f>J158/J$40</f>
        <v>0.17394073641335217</v>
      </c>
      <c r="K107" s="101">
        <f>K158/K$40</f>
        <v>0.19026836589881307</v>
      </c>
      <c r="L107" s="146">
        <f>0.1289*'Control list'!H19</f>
        <v>0.14179</v>
      </c>
      <c r="M107" s="146">
        <f>522193/M40*'Control list'!I17</f>
        <v>0.15416325818572196</v>
      </c>
      <c r="N107" s="146">
        <f>571615*'Control list'!J17/'Cu segment'!N40</f>
        <v>0.15202894170555381</v>
      </c>
      <c r="O107" s="146">
        <f>698364*'Control list'!K17/'Cu segment'!O40</f>
        <v>0.18956209747069711</v>
      </c>
      <c r="P107" s="146">
        <f>745649*'Control list'!L17/'Cu segment'!P40</f>
        <v>0.17653471251409247</v>
      </c>
      <c r="Q107" s="146">
        <f>795150*'Control list'!M17/'Cu segment'!Q40</f>
        <v>0.18553500000000001</v>
      </c>
      <c r="R107" s="146"/>
      <c r="S107" s="146"/>
      <c r="T107" s="146">
        <f>795150*'Control list'!P17/'Cu segment'!T40</f>
        <v>0.18553500000000001</v>
      </c>
      <c r="U107" s="146">
        <f>Q107*(1+U86)</f>
        <v>0.18553500000000001</v>
      </c>
      <c r="V107" s="146">
        <f>U107*(1+V86)</f>
        <v>0.18553500000000001</v>
      </c>
      <c r="W107" s="146">
        <f>V107*(1+W86)</f>
        <v>0.18553500000000001</v>
      </c>
      <c r="X107" s="146">
        <f>W107*(1+X86)</f>
        <v>0.18553500000000001</v>
      </c>
      <c r="Y107" s="146">
        <f>X107*(1+Y86)</f>
        <v>0.18553500000000001</v>
      </c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</row>
    <row r="108" spans="1:57" ht="15.75" hidden="1" customHeight="1" outlineLevel="1">
      <c r="B108" s="159"/>
      <c r="C108" s="494"/>
      <c r="D108" s="76"/>
      <c r="E108" s="76"/>
      <c r="F108" s="76"/>
      <c r="G108" s="76"/>
      <c r="H108" s="562"/>
      <c r="I108" s="434"/>
      <c r="J108" s="434"/>
      <c r="K108" s="147"/>
      <c r="L108" s="147"/>
      <c r="M108" s="432"/>
      <c r="N108" s="432"/>
      <c r="O108" s="432"/>
      <c r="P108" s="432"/>
      <c r="Q108" s="432"/>
      <c r="R108" s="432"/>
      <c r="S108" s="432"/>
      <c r="T108" s="432"/>
      <c r="U108" s="432"/>
      <c r="V108" s="432"/>
      <c r="W108" s="432"/>
      <c r="X108" s="432"/>
      <c r="Y108" s="432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</row>
    <row r="109" spans="1:57" s="157" customFormat="1" ht="15.75" hidden="1" customHeight="1" outlineLevel="1">
      <c r="A109" s="460"/>
      <c r="B109" s="161"/>
      <c r="C109" s="162" t="s">
        <v>1265</v>
      </c>
      <c r="D109" s="155"/>
      <c r="E109" s="155"/>
      <c r="F109" s="155"/>
      <c r="G109" s="155"/>
      <c r="H109" s="559"/>
      <c r="I109" s="82">
        <f>SUM(I110:I113)</f>
        <v>0</v>
      </c>
      <c r="J109" s="495">
        <f>J164/J51</f>
        <v>28.585536223990985</v>
      </c>
      <c r="K109" s="101">
        <f t="shared" ref="K109:U109" si="49">SUM(K110:K113)</f>
        <v>36.4</v>
      </c>
      <c r="L109" s="101">
        <f t="shared" si="49"/>
        <v>35.01</v>
      </c>
      <c r="M109" s="146">
        <f>SUM(M110:M113)</f>
        <v>28.152482848413271</v>
      </c>
      <c r="N109" s="145">
        <f t="shared" si="49"/>
        <v>28.92</v>
      </c>
      <c r="O109" s="145">
        <f t="shared" si="49"/>
        <v>29.95</v>
      </c>
      <c r="P109" s="145">
        <f>SUM(P110:P113)</f>
        <v>27.68</v>
      </c>
      <c r="Q109" s="145">
        <f>SUM(Q110:Q113)</f>
        <v>36.893536585365851</v>
      </c>
      <c r="R109" s="145"/>
      <c r="S109" s="145"/>
      <c r="T109" s="145">
        <f>SUM(T110:T113)</f>
        <v>35.261181072199655</v>
      </c>
      <c r="U109" s="145">
        <f t="shared" si="49"/>
        <v>38.367367873709405</v>
      </c>
      <c r="V109" s="145">
        <f>SUM(V110:V113)</f>
        <v>39.90298554530662</v>
      </c>
      <c r="W109" s="145">
        <f>SUM(W110:W113)</f>
        <v>41.502979826858322</v>
      </c>
      <c r="X109" s="145">
        <f>SUM(X110:X113)</f>
        <v>43.170049533301253</v>
      </c>
      <c r="Y109" s="145">
        <f>SUM(Y110:Y113)</f>
        <v>44.907006620075634</v>
      </c>
      <c r="Z109" s="155"/>
      <c r="AA109" s="155"/>
      <c r="AB109" s="155"/>
      <c r="AC109" s="155"/>
      <c r="AD109" s="155"/>
      <c r="AE109" s="155"/>
      <c r="AF109" s="155"/>
      <c r="AG109" s="155"/>
      <c r="AH109" s="155"/>
      <c r="AI109" s="155"/>
      <c r="AJ109" s="155"/>
      <c r="AK109" s="155"/>
      <c r="AL109" s="155"/>
      <c r="AM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</row>
    <row r="110" spans="1:57" ht="15.75" hidden="1" customHeight="1" outlineLevel="1">
      <c r="B110" s="159"/>
      <c r="C110" s="164" t="s">
        <v>1266</v>
      </c>
      <c r="D110" s="76"/>
      <c r="E110" s="76"/>
      <c r="F110" s="76"/>
      <c r="G110" s="76"/>
      <c r="H110" s="496"/>
      <c r="I110" s="146"/>
      <c r="J110" s="146"/>
      <c r="K110" s="146">
        <v>35.6</v>
      </c>
      <c r="L110" s="146">
        <v>34.69</v>
      </c>
      <c r="M110" s="433">
        <v>26</v>
      </c>
      <c r="N110" s="433">
        <v>26.6</v>
      </c>
      <c r="O110" s="433">
        <v>28.15</v>
      </c>
      <c r="P110" s="433">
        <v>26.2</v>
      </c>
      <c r="Q110" s="433">
        <f>1441407/Q14</f>
        <v>35.156268292682924</v>
      </c>
      <c r="R110" s="433"/>
      <c r="S110" s="433"/>
      <c r="T110" s="433">
        <f>1441407/T14</f>
        <v>33.60077826160051</v>
      </c>
      <c r="U110" s="433">
        <f>Q110*(1+U95)</f>
        <v>36.630099581026478</v>
      </c>
      <c r="V110" s="433">
        <f>U110*(1+V95)</f>
        <v>38.165717252623693</v>
      </c>
      <c r="W110" s="433">
        <f>V110*(1+W95)</f>
        <v>39.765711534175395</v>
      </c>
      <c r="X110" s="433">
        <f>W110*(1+X95)</f>
        <v>41.432781240618326</v>
      </c>
      <c r="Y110" s="433">
        <f>X110*(1+Y95)</f>
        <v>43.169738327392707</v>
      </c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</row>
    <row r="111" spans="1:57" ht="15.75" hidden="1" customHeight="1" outlineLevel="1">
      <c r="B111" s="159"/>
      <c r="C111" s="164" t="s">
        <v>1267</v>
      </c>
      <c r="D111" s="76"/>
      <c r="E111" s="76"/>
      <c r="F111" s="76"/>
      <c r="G111" s="76"/>
      <c r="H111" s="496"/>
      <c r="I111" s="146"/>
      <c r="J111" s="146"/>
      <c r="K111" s="146"/>
      <c r="L111" s="146"/>
      <c r="M111" s="642">
        <f>0.09%*M19</f>
        <v>1.2107716022324648</v>
      </c>
      <c r="N111" s="145">
        <v>1.72</v>
      </c>
      <c r="O111" s="145">
        <v>1.2</v>
      </c>
      <c r="P111" s="145">
        <v>0.88</v>
      </c>
      <c r="Q111" s="145">
        <f>42085/Q14</f>
        <v>1.0264634146341463</v>
      </c>
      <c r="R111" s="145"/>
      <c r="S111" s="145"/>
      <c r="T111" s="145">
        <f>42085/T14</f>
        <v>0.9810475133945219</v>
      </c>
      <c r="U111" s="145">
        <f>Q111</f>
        <v>1.0264634146341463</v>
      </c>
      <c r="V111" s="145">
        <f t="shared" ref="V111:W113" si="50">U111</f>
        <v>1.0264634146341463</v>
      </c>
      <c r="W111" s="145">
        <f t="shared" si="50"/>
        <v>1.0264634146341463</v>
      </c>
      <c r="X111" s="145">
        <f t="shared" ref="X111:Y113" si="51">W111</f>
        <v>1.0264634146341463</v>
      </c>
      <c r="Y111" s="145">
        <f t="shared" si="51"/>
        <v>1.0264634146341463</v>
      </c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</row>
    <row r="112" spans="1:57" ht="15.75" hidden="1" customHeight="1" outlineLevel="1">
      <c r="B112" s="159"/>
      <c r="C112" s="164" t="s">
        <v>1268</v>
      </c>
      <c r="D112" s="76"/>
      <c r="E112" s="76"/>
      <c r="F112" s="76"/>
      <c r="G112" s="76"/>
      <c r="H112" s="496"/>
      <c r="I112" s="146"/>
      <c r="J112" s="146"/>
      <c r="K112" s="146">
        <v>0.8</v>
      </c>
      <c r="L112" s="146">
        <v>0.32</v>
      </c>
      <c r="M112" s="642">
        <f>0.07%*M19</f>
        <v>0.94171124618080615</v>
      </c>
      <c r="N112" s="145">
        <v>0.6</v>
      </c>
      <c r="O112" s="145">
        <v>0.6</v>
      </c>
      <c r="P112" s="145">
        <v>0.6</v>
      </c>
      <c r="Q112" s="145">
        <f>29143/Q14</f>
        <v>0.71080487804878045</v>
      </c>
      <c r="R112" s="145"/>
      <c r="S112" s="145"/>
      <c r="T112" s="145">
        <f>29143/T14</f>
        <v>0.67935529720462284</v>
      </c>
      <c r="U112" s="145">
        <f>Q112</f>
        <v>0.71080487804878045</v>
      </c>
      <c r="V112" s="145">
        <f t="shared" si="50"/>
        <v>0.71080487804878045</v>
      </c>
      <c r="W112" s="145">
        <f t="shared" si="50"/>
        <v>0.71080487804878045</v>
      </c>
      <c r="X112" s="145">
        <f t="shared" si="51"/>
        <v>0.71080487804878045</v>
      </c>
      <c r="Y112" s="145">
        <f t="shared" si="51"/>
        <v>0.71080487804878045</v>
      </c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</row>
    <row r="113" spans="1:60" ht="15.75" hidden="1" customHeight="1" outlineLevel="1">
      <c r="B113" s="159"/>
      <c r="C113" s="164" t="s">
        <v>1269</v>
      </c>
      <c r="D113" s="76"/>
      <c r="E113" s="76"/>
      <c r="F113" s="76"/>
      <c r="G113" s="76"/>
      <c r="H113" s="492"/>
      <c r="I113" s="82"/>
      <c r="J113" s="82"/>
      <c r="K113" s="82"/>
      <c r="L113" s="146"/>
      <c r="M113" s="432">
        <v>0</v>
      </c>
      <c r="N113" s="432">
        <f>M113</f>
        <v>0</v>
      </c>
      <c r="O113" s="432">
        <f>N113</f>
        <v>0</v>
      </c>
      <c r="P113" s="432">
        <f>O113</f>
        <v>0</v>
      </c>
      <c r="Q113" s="432">
        <f>P113</f>
        <v>0</v>
      </c>
      <c r="R113" s="432"/>
      <c r="S113" s="432"/>
      <c r="T113" s="432">
        <f>S113</f>
        <v>0</v>
      </c>
      <c r="U113" s="432">
        <f>Q113</f>
        <v>0</v>
      </c>
      <c r="V113" s="432">
        <f t="shared" si="50"/>
        <v>0</v>
      </c>
      <c r="W113" s="432">
        <f t="shared" si="50"/>
        <v>0</v>
      </c>
      <c r="X113" s="432">
        <f t="shared" si="51"/>
        <v>0</v>
      </c>
      <c r="Y113" s="432">
        <f t="shared" si="51"/>
        <v>0</v>
      </c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</row>
    <row r="114" spans="1:60" ht="15.75" hidden="1" customHeight="1" outlineLevel="1">
      <c r="B114" s="159"/>
      <c r="C114" s="164"/>
      <c r="D114" s="76"/>
      <c r="E114" s="76"/>
      <c r="F114" s="76"/>
      <c r="G114" s="76"/>
      <c r="H114" s="492"/>
      <c r="I114" s="82"/>
      <c r="J114" s="82"/>
      <c r="K114" s="82"/>
      <c r="L114" s="146"/>
      <c r="M114" s="432"/>
      <c r="N114" s="432"/>
      <c r="O114" s="432"/>
      <c r="P114" s="432"/>
      <c r="Q114" s="432"/>
      <c r="R114" s="432"/>
      <c r="S114" s="432"/>
      <c r="T114" s="432"/>
      <c r="U114" s="432"/>
      <c r="V114" s="432"/>
      <c r="W114" s="432"/>
      <c r="X114" s="432"/>
      <c r="Y114" s="432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</row>
    <row r="115" spans="1:60" ht="15.75" hidden="1" customHeight="1" outlineLevel="1">
      <c r="B115" s="159"/>
      <c r="C115" s="164"/>
      <c r="D115" s="76"/>
      <c r="E115" s="76"/>
      <c r="F115" s="76"/>
      <c r="G115" s="76"/>
      <c r="H115" s="492"/>
      <c r="I115" s="82"/>
      <c r="J115" s="82"/>
      <c r="K115" s="82"/>
      <c r="L115" s="146"/>
      <c r="M115" s="432"/>
      <c r="N115" s="432"/>
      <c r="O115" s="432"/>
      <c r="P115" s="432"/>
      <c r="Q115" s="432"/>
      <c r="R115" s="432"/>
      <c r="S115" s="432"/>
      <c r="T115" s="432"/>
      <c r="U115" s="432"/>
      <c r="V115" s="432"/>
      <c r="W115" s="432"/>
      <c r="X115" s="432"/>
      <c r="Y115" s="432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</row>
    <row r="116" spans="1:60" ht="15.75" hidden="1" customHeight="1" outlineLevel="1">
      <c r="B116" s="159"/>
      <c r="C116" s="95" t="s">
        <v>1270</v>
      </c>
      <c r="D116" s="76"/>
      <c r="E116" s="76"/>
      <c r="F116" s="76"/>
      <c r="G116" s="76"/>
      <c r="H116" s="492"/>
      <c r="I116" s="82"/>
      <c r="J116" s="82"/>
      <c r="K116" s="82"/>
      <c r="L116" s="146"/>
      <c r="M116" s="432"/>
      <c r="N116" s="432"/>
      <c r="O116" s="432"/>
      <c r="P116" s="432"/>
      <c r="Q116" s="87"/>
      <c r="R116" s="87"/>
      <c r="S116" s="87"/>
      <c r="T116" s="87"/>
      <c r="U116" s="432"/>
      <c r="V116" s="432"/>
      <c r="W116" s="432"/>
      <c r="X116" s="432"/>
      <c r="Y116" s="432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</row>
    <row r="117" spans="1:60" ht="15.75" hidden="1" customHeight="1" outlineLevel="1">
      <c r="B117" s="159"/>
      <c r="C117" s="162" t="s">
        <v>1271</v>
      </c>
      <c r="D117" s="76"/>
      <c r="E117" s="76"/>
      <c r="F117" s="76"/>
      <c r="G117" s="76"/>
      <c r="H117" s="492"/>
      <c r="I117" s="82"/>
      <c r="J117" s="82"/>
      <c r="K117" s="82"/>
      <c r="L117" s="146"/>
      <c r="M117" s="432"/>
      <c r="N117" s="432"/>
      <c r="O117" s="432"/>
      <c r="P117" s="432"/>
      <c r="Q117" s="432"/>
      <c r="R117" s="432"/>
      <c r="S117" s="432"/>
      <c r="T117" s="432"/>
      <c r="U117" s="432"/>
      <c r="V117" s="432"/>
      <c r="W117" s="432"/>
      <c r="X117" s="432"/>
      <c r="Y117" s="432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</row>
    <row r="118" spans="1:60" ht="15.75" hidden="1" customHeight="1" outlineLevel="1">
      <c r="B118" s="159"/>
      <c r="C118" s="164" t="s">
        <v>1247</v>
      </c>
      <c r="D118" s="76"/>
      <c r="E118" s="76"/>
      <c r="F118" s="76"/>
      <c r="G118" s="76"/>
      <c r="H118" s="492"/>
      <c r="I118" s="82"/>
      <c r="J118" s="82"/>
      <c r="K118" s="82"/>
      <c r="L118" s="146"/>
      <c r="M118" s="432"/>
      <c r="N118" s="432"/>
      <c r="O118" s="432"/>
      <c r="P118" s="146">
        <f>(105959-10467)*'Control list'!L17/P62</f>
        <v>0.30321337849280272</v>
      </c>
      <c r="Q118" s="146">
        <v>0.11</v>
      </c>
      <c r="R118" s="146"/>
      <c r="S118" s="146"/>
      <c r="T118" s="146">
        <v>0.11</v>
      </c>
      <c r="U118" s="145">
        <f>Q118*(1+U125)</f>
        <v>0.11166666666666669</v>
      </c>
      <c r="V118" s="145">
        <f>U118*(1+V125)</f>
        <v>0.11333333333333334</v>
      </c>
      <c r="W118" s="145">
        <f>V118*(1+W125)</f>
        <v>0.11500000000000003</v>
      </c>
      <c r="X118" s="145">
        <f>W118*(1+X125)</f>
        <v>0.11666666666666668</v>
      </c>
      <c r="Y118" s="145">
        <f>X118*(1+Y125)</f>
        <v>0.11833333333333332</v>
      </c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</row>
    <row r="119" spans="1:60" ht="15.75" hidden="1" customHeight="1" outlineLevel="1">
      <c r="B119" s="159"/>
      <c r="C119" s="164" t="s">
        <v>1249</v>
      </c>
      <c r="D119" s="76"/>
      <c r="E119" s="76"/>
      <c r="F119" s="76"/>
      <c r="G119" s="76"/>
      <c r="H119" s="492"/>
      <c r="I119" s="82"/>
      <c r="J119" s="82"/>
      <c r="K119" s="82"/>
      <c r="L119" s="146"/>
      <c r="M119" s="432"/>
      <c r="N119" s="432"/>
      <c r="O119" s="432"/>
      <c r="P119" s="146">
        <f>268372*'Control list'!L17/'Cu segment'!P62</f>
        <v>0.85215495342929726</v>
      </c>
      <c r="Q119" s="146">
        <v>0.2</v>
      </c>
      <c r="R119" s="146"/>
      <c r="S119" s="146"/>
      <c r="T119" s="146">
        <v>0.2</v>
      </c>
      <c r="U119" s="145">
        <f>Q119*(1+U125)</f>
        <v>0.20303030303030309</v>
      </c>
      <c r="V119" s="145">
        <f>U119*(1+V125)</f>
        <v>0.20606060606060608</v>
      </c>
      <c r="W119" s="145">
        <f>V119*(1+W125)</f>
        <v>0.20909090909090916</v>
      </c>
      <c r="X119" s="145">
        <f>W119*(1+X125)</f>
        <v>0.21212121212121215</v>
      </c>
      <c r="Y119" s="145">
        <f>X119*(1+Y125)</f>
        <v>0.21515151515151512</v>
      </c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</row>
    <row r="120" spans="1:60" ht="15.75" hidden="1" customHeight="1" outlineLevel="1">
      <c r="B120" s="159"/>
      <c r="C120" s="164" t="s">
        <v>1980</v>
      </c>
      <c r="D120" s="76"/>
      <c r="E120" s="76"/>
      <c r="F120" s="76"/>
      <c r="G120" s="76"/>
      <c r="H120" s="492"/>
      <c r="I120" s="82"/>
      <c r="J120" s="82"/>
      <c r="K120" s="82"/>
      <c r="L120" s="146"/>
      <c r="M120" s="432"/>
      <c r="N120" s="432"/>
      <c r="O120" s="432"/>
      <c r="P120" s="146">
        <f>(1927292-482367)*'Control list'!L17/'Cu segment'!P75</f>
        <v>1285.365646581912</v>
      </c>
      <c r="Q120" s="146">
        <f>(1450607+1484573)*'Control list'!M17/'Cu segment'!Q75</f>
        <v>1476.7277099364724</v>
      </c>
      <c r="R120" s="146"/>
      <c r="S120" s="146"/>
      <c r="T120" s="146">
        <f>(1450607+1484573)*'Control list'!P17/'Cu segment'!T75</f>
        <v>1476.7277099364724</v>
      </c>
      <c r="U120" s="145">
        <f>Q120*(1+U125)</f>
        <v>1499.1023722082375</v>
      </c>
      <c r="V120" s="145">
        <f>U120*(1+V125)</f>
        <v>1521.477034480002</v>
      </c>
      <c r="W120" s="145">
        <f>V120*(1+W125)</f>
        <v>1543.8516967517669</v>
      </c>
      <c r="X120" s="145">
        <f>W120*(1+X125)</f>
        <v>1566.2263590235314</v>
      </c>
      <c r="Y120" s="145">
        <f>X120*(1+Y125)</f>
        <v>1588.6010212952956</v>
      </c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</row>
    <row r="121" spans="1:60" ht="15.75" hidden="1" customHeight="1" outlineLevel="1">
      <c r="B121" s="159"/>
      <c r="C121" s="164" t="s">
        <v>1272</v>
      </c>
      <c r="D121" s="76"/>
      <c r="E121" s="76"/>
      <c r="F121" s="76"/>
      <c r="G121" s="76"/>
      <c r="H121" s="492"/>
      <c r="I121" s="82"/>
      <c r="J121" s="82"/>
      <c r="K121" s="82"/>
      <c r="L121" s="146"/>
      <c r="M121" s="432"/>
      <c r="N121" s="432"/>
      <c r="O121" s="432"/>
      <c r="P121" s="146">
        <f>(205882+19518)*'Control list'!L17/'Cu segment'!P75</f>
        <v>200.50965741444224</v>
      </c>
      <c r="Q121" s="146">
        <f>(884642)*'Control list'!M17/'Cu segment'!Q75-(Q187+Q188+Q191)/Q75</f>
        <v>291.78646762239526</v>
      </c>
      <c r="R121" s="146"/>
      <c r="S121" s="146"/>
      <c r="T121" s="146">
        <f>(884642)*'Control list'!P17/'Cu segment'!T75-(T187+T188+T191)/T75</f>
        <v>291.78646762239526</v>
      </c>
      <c r="U121" s="145">
        <f>Q121*(1+U125)</f>
        <v>296.20747470758312</v>
      </c>
      <c r="V121" s="145">
        <f>U121*(1+V125)</f>
        <v>300.62848179277086</v>
      </c>
      <c r="W121" s="145">
        <f>V121*(1+W125)</f>
        <v>305.04948887795871</v>
      </c>
      <c r="X121" s="145">
        <f>W121*(1+X125)</f>
        <v>309.47049596314645</v>
      </c>
      <c r="Y121" s="145">
        <f>X121*(1+Y125)</f>
        <v>313.89150304833419</v>
      </c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</row>
    <row r="122" spans="1:60" ht="15.75" hidden="1" customHeight="1" outlineLevel="1">
      <c r="B122" s="159"/>
      <c r="C122" s="164" t="s">
        <v>1273</v>
      </c>
      <c r="D122" s="76"/>
      <c r="E122" s="76"/>
      <c r="F122" s="76"/>
      <c r="G122" s="76"/>
      <c r="H122" s="492"/>
      <c r="I122" s="82"/>
      <c r="J122" s="82"/>
      <c r="K122" s="82"/>
      <c r="L122" s="146"/>
      <c r="M122" s="432"/>
      <c r="N122" s="432"/>
      <c r="O122" s="432"/>
      <c r="P122" s="146">
        <f>(0)*'Control list'!L17/'Cu segment'!P75</f>
        <v>0</v>
      </c>
      <c r="Q122" s="146">
        <v>67.989999999999995</v>
      </c>
      <c r="R122" s="146"/>
      <c r="S122" s="146"/>
      <c r="T122" s="146">
        <v>67.989999999999995</v>
      </c>
      <c r="U122" s="145">
        <f>Q122*(1+U125)</f>
        <v>69.020151515151525</v>
      </c>
      <c r="V122" s="145">
        <f>U122*(1+V125)</f>
        <v>70.050303030303027</v>
      </c>
      <c r="W122" s="145">
        <f>V122*(1+W125)</f>
        <v>71.080454545454558</v>
      </c>
      <c r="X122" s="145">
        <f>W122*(1+X125)</f>
        <v>72.110606060606059</v>
      </c>
      <c r="Y122" s="145">
        <f>X122*(1+Y125)</f>
        <v>73.140757575757561</v>
      </c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</row>
    <row r="123" spans="1:60" ht="15.75" hidden="1" customHeight="1" outlineLevel="1">
      <c r="B123" s="159"/>
      <c r="C123" s="164" t="s">
        <v>1274</v>
      </c>
      <c r="D123" s="76"/>
      <c r="E123" s="76"/>
      <c r="F123" s="76"/>
      <c r="G123" s="76"/>
      <c r="H123" s="492"/>
      <c r="I123" s="434"/>
      <c r="J123" s="434"/>
      <c r="K123" s="147"/>
      <c r="L123" s="147"/>
      <c r="M123" s="432"/>
      <c r="N123" s="432"/>
      <c r="O123" s="432"/>
      <c r="P123" s="146">
        <f>(167262+241508+7401000)/'Cu segment'!P75</f>
        <v>6616.5306426061125</v>
      </c>
      <c r="Q123" s="146">
        <f>10852000/'Cu segment'!Q75</f>
        <v>5199.7943853627858</v>
      </c>
      <c r="R123" s="146"/>
      <c r="S123" s="146"/>
      <c r="T123" s="146">
        <f>10852000/'Cu segment'!T75</f>
        <v>5199.7943853627858</v>
      </c>
      <c r="U123" s="145">
        <f>Q123*(1+U125)</f>
        <v>5278.5791487773749</v>
      </c>
      <c r="V123" s="145">
        <f>U123*(1+V125)</f>
        <v>5357.3639121919614</v>
      </c>
      <c r="W123" s="145">
        <f>V123*(1+W125)</f>
        <v>5436.1486756065497</v>
      </c>
      <c r="X123" s="145">
        <f>W123*(1+X125)</f>
        <v>5514.9334390211361</v>
      </c>
      <c r="Y123" s="145">
        <f>X123*(1+Y125)</f>
        <v>5593.7182024357226</v>
      </c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</row>
    <row r="124" spans="1:60" ht="15.75" hidden="1" customHeight="1" outlineLevel="1">
      <c r="B124" s="159"/>
      <c r="C124" s="164" t="s">
        <v>1258</v>
      </c>
      <c r="D124" s="76"/>
      <c r="E124" s="76"/>
      <c r="F124" s="76"/>
      <c r="G124" s="76"/>
      <c r="H124" s="88"/>
      <c r="I124" s="434"/>
      <c r="J124" s="434"/>
      <c r="K124" s="147"/>
      <c r="L124" s="147"/>
      <c r="M124" s="434"/>
      <c r="N124" s="434"/>
      <c r="O124" s="434"/>
      <c r="P124" s="561">
        <f t="shared" ref="P124:Y124" si="52">P100</f>
        <v>6.93E-2</v>
      </c>
      <c r="Q124" s="561">
        <f t="shared" si="52"/>
        <v>6.93E-2</v>
      </c>
      <c r="R124" s="561"/>
      <c r="S124" s="561"/>
      <c r="T124" s="561">
        <f>T100</f>
        <v>6.93E-2</v>
      </c>
      <c r="U124" s="561">
        <f t="shared" si="52"/>
        <v>7.035000000000001E-2</v>
      </c>
      <c r="V124" s="561">
        <f t="shared" si="52"/>
        <v>7.1400000000000005E-2</v>
      </c>
      <c r="W124" s="561">
        <f t="shared" si="52"/>
        <v>7.2450000000000014E-2</v>
      </c>
      <c r="X124" s="561">
        <f t="shared" si="52"/>
        <v>7.350000000000001E-2</v>
      </c>
      <c r="Y124" s="561">
        <f t="shared" si="52"/>
        <v>7.4549999999999991E-2</v>
      </c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</row>
    <row r="125" spans="1:60" ht="15.75" hidden="1" customHeight="1" outlineLevel="1">
      <c r="B125" s="159"/>
      <c r="C125" s="164" t="s">
        <v>1275</v>
      </c>
      <c r="D125" s="76"/>
      <c r="E125" s="76"/>
      <c r="F125" s="76"/>
      <c r="G125" s="76"/>
      <c r="H125" s="88"/>
      <c r="I125" s="434"/>
      <c r="J125" s="434"/>
      <c r="K125" s="147"/>
      <c r="L125" s="147"/>
      <c r="M125" s="434"/>
      <c r="N125" s="434"/>
      <c r="O125" s="434"/>
      <c r="P125" s="77"/>
      <c r="Q125" s="77">
        <f t="shared" ref="Q125:Y125" si="53">(Q124-P124)/P124</f>
        <v>0</v>
      </c>
      <c r="R125" s="77"/>
      <c r="S125" s="77"/>
      <c r="T125" s="77"/>
      <c r="U125" s="77">
        <f>(U124-Q124)/Q124</f>
        <v>1.5151515151515286E-2</v>
      </c>
      <c r="V125" s="77">
        <f t="shared" si="53"/>
        <v>1.492537313432829E-2</v>
      </c>
      <c r="W125" s="77">
        <f t="shared" si="53"/>
        <v>1.4705882352941305E-2</v>
      </c>
      <c r="X125" s="77">
        <f t="shared" si="53"/>
        <v>1.4492753623188338E-2</v>
      </c>
      <c r="Y125" s="77">
        <f t="shared" si="53"/>
        <v>1.4285714285714032E-2</v>
      </c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</row>
    <row r="126" spans="1:60" ht="15.75" hidden="1" customHeight="1" outlineLevel="1">
      <c r="B126" s="159"/>
      <c r="C126" s="164" t="s">
        <v>1826</v>
      </c>
      <c r="D126" s="76"/>
      <c r="E126" s="76"/>
      <c r="F126" s="76"/>
      <c r="G126" s="76"/>
      <c r="H126" s="88"/>
      <c r="I126" s="434"/>
      <c r="J126" s="434"/>
      <c r="K126" s="147"/>
      <c r="L126" s="147"/>
      <c r="M126" s="434"/>
      <c r="N126" s="434"/>
      <c r="O126" s="434"/>
      <c r="P126" s="77"/>
      <c r="Q126" s="145">
        <f t="shared" ref="Q126:Y126" si="54">P126*(1+Q125)</f>
        <v>0</v>
      </c>
      <c r="R126" s="145"/>
      <c r="S126" s="145"/>
      <c r="T126" s="145"/>
      <c r="U126" s="145">
        <f>Q126*(1+U125)</f>
        <v>0</v>
      </c>
      <c r="V126" s="145">
        <f t="shared" si="54"/>
        <v>0</v>
      </c>
      <c r="W126" s="145">
        <f t="shared" si="54"/>
        <v>0</v>
      </c>
      <c r="X126" s="145">
        <f t="shared" si="54"/>
        <v>0</v>
      </c>
      <c r="Y126" s="145">
        <f t="shared" si="54"/>
        <v>0</v>
      </c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</row>
    <row r="127" spans="1:60" ht="15.75" hidden="1" customHeight="1" outlineLevel="1">
      <c r="B127" s="159"/>
      <c r="C127" s="164"/>
      <c r="D127" s="76"/>
      <c r="E127" s="76"/>
      <c r="F127" s="76"/>
      <c r="G127" s="76"/>
      <c r="H127" s="88"/>
      <c r="I127" s="434"/>
      <c r="J127" s="434"/>
      <c r="K127" s="147"/>
      <c r="L127" s="147"/>
      <c r="M127" s="434"/>
      <c r="N127" s="434"/>
      <c r="O127" s="434"/>
      <c r="P127" s="77"/>
      <c r="Q127" s="77"/>
      <c r="R127" s="77"/>
      <c r="S127" s="77"/>
      <c r="T127" s="77"/>
      <c r="U127" s="434"/>
      <c r="V127" s="434"/>
      <c r="W127" s="434"/>
      <c r="X127" s="434"/>
      <c r="Y127" s="434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</row>
    <row r="128" spans="1:60" s="762" customFormat="1" ht="15.75" hidden="1" customHeight="1" outlineLevel="1">
      <c r="A128" s="848"/>
      <c r="B128" s="849"/>
      <c r="C128" s="850" t="s">
        <v>1265</v>
      </c>
      <c r="D128" s="648"/>
      <c r="E128" s="648"/>
      <c r="F128" s="648"/>
      <c r="G128" s="648"/>
      <c r="H128" s="759"/>
      <c r="I128" s="980"/>
      <c r="J128" s="980"/>
      <c r="K128" s="981"/>
      <c r="L128" s="981"/>
      <c r="M128" s="980"/>
      <c r="N128" s="980"/>
      <c r="O128" s="980"/>
      <c r="P128" s="982">
        <f t="shared" ref="P128:Y128" si="55">SUM(P129:P132)</f>
        <v>50.399000000000001</v>
      </c>
      <c r="Q128" s="982">
        <f>SUM(Q129:Q132)</f>
        <v>148.5362569374237</v>
      </c>
      <c r="R128" s="982"/>
      <c r="S128" s="982"/>
      <c r="T128" s="982">
        <f>SUM(T129:T132)</f>
        <v>148.5362569374237</v>
      </c>
      <c r="U128" s="982">
        <f t="shared" si="55"/>
        <v>148.5362569374237</v>
      </c>
      <c r="V128" s="982">
        <f t="shared" si="55"/>
        <v>148.5362569374237</v>
      </c>
      <c r="W128" s="982">
        <f t="shared" si="55"/>
        <v>148.5362569374237</v>
      </c>
      <c r="X128" s="982">
        <f t="shared" si="55"/>
        <v>148.5362569374237</v>
      </c>
      <c r="Y128" s="982">
        <f t="shared" si="55"/>
        <v>148.5362569374237</v>
      </c>
      <c r="Z128" s="648"/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</row>
    <row r="129" spans="1:60" ht="15.75" hidden="1" customHeight="1" outlineLevel="1">
      <c r="B129" s="159"/>
      <c r="C129" s="164" t="s">
        <v>1276</v>
      </c>
      <c r="D129" s="76"/>
      <c r="E129" s="76"/>
      <c r="F129" s="76"/>
      <c r="G129" s="76"/>
      <c r="H129" s="88"/>
      <c r="I129" s="434"/>
      <c r="J129" s="434"/>
      <c r="K129" s="147"/>
      <c r="L129" s="147"/>
      <c r="M129" s="434"/>
      <c r="N129" s="434"/>
      <c r="O129" s="434"/>
      <c r="P129" s="433">
        <v>46.2</v>
      </c>
      <c r="Q129" s="433">
        <f>301202/Q15</f>
        <v>144.32256436233337</v>
      </c>
      <c r="R129" s="433"/>
      <c r="S129" s="433"/>
      <c r="T129" s="433">
        <f>301202/T15</f>
        <v>144.32256436233337</v>
      </c>
      <c r="U129" s="145">
        <f>Q129</f>
        <v>144.32256436233337</v>
      </c>
      <c r="V129" s="145">
        <f t="shared" ref="V129:Y130" si="56">U129</f>
        <v>144.32256436233337</v>
      </c>
      <c r="W129" s="145">
        <f t="shared" si="56"/>
        <v>144.32256436233337</v>
      </c>
      <c r="X129" s="145">
        <f t="shared" si="56"/>
        <v>144.32256436233337</v>
      </c>
      <c r="Y129" s="145">
        <f t="shared" si="56"/>
        <v>144.32256436233337</v>
      </c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</row>
    <row r="130" spans="1:60" ht="15.75" hidden="1" customHeight="1" outlineLevel="1">
      <c r="B130" s="159"/>
      <c r="C130" s="164" t="s">
        <v>1277</v>
      </c>
      <c r="D130" s="76"/>
      <c r="E130" s="76"/>
      <c r="F130" s="76"/>
      <c r="G130" s="76"/>
      <c r="H130" s="88"/>
      <c r="I130" s="434"/>
      <c r="J130" s="434"/>
      <c r="K130" s="147"/>
      <c r="L130" s="147"/>
      <c r="M130" s="434"/>
      <c r="N130" s="434"/>
      <c r="O130" s="434"/>
      <c r="P130" s="145">
        <v>3.399</v>
      </c>
      <c r="Q130" s="145">
        <f>8794/Q15</f>
        <v>4.2136925750903371</v>
      </c>
      <c r="R130" s="145"/>
      <c r="S130" s="145"/>
      <c r="T130" s="145">
        <f>8794/T15</f>
        <v>4.2136925750903371</v>
      </c>
      <c r="U130" s="145">
        <f>Q130</f>
        <v>4.2136925750903371</v>
      </c>
      <c r="V130" s="145">
        <f t="shared" si="56"/>
        <v>4.2136925750903371</v>
      </c>
      <c r="W130" s="145">
        <f t="shared" si="56"/>
        <v>4.2136925750903371</v>
      </c>
      <c r="X130" s="145">
        <f t="shared" si="56"/>
        <v>4.2136925750903371</v>
      </c>
      <c r="Y130" s="145">
        <f t="shared" si="56"/>
        <v>4.2136925750903371</v>
      </c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</row>
    <row r="131" spans="1:60" ht="15.75" hidden="1" customHeight="1" outlineLevel="1">
      <c r="B131" s="159"/>
      <c r="C131" s="164" t="s">
        <v>1278</v>
      </c>
      <c r="D131" s="76"/>
      <c r="E131" s="76"/>
      <c r="F131" s="76"/>
      <c r="G131" s="76"/>
      <c r="H131" s="88"/>
      <c r="I131" s="434"/>
      <c r="J131" s="434"/>
      <c r="K131" s="147"/>
      <c r="L131" s="147"/>
      <c r="M131" s="434"/>
      <c r="N131" s="434"/>
      <c r="O131" s="434"/>
      <c r="P131" s="145">
        <v>0.8</v>
      </c>
      <c r="Q131" s="145">
        <v>0</v>
      </c>
      <c r="R131" s="145"/>
      <c r="S131" s="145"/>
      <c r="T131" s="145">
        <v>0</v>
      </c>
      <c r="U131" s="145">
        <f>Q131</f>
        <v>0</v>
      </c>
      <c r="V131" s="145">
        <f t="shared" ref="V131:Y132" si="57">U131</f>
        <v>0</v>
      </c>
      <c r="W131" s="145">
        <f t="shared" si="57"/>
        <v>0</v>
      </c>
      <c r="X131" s="145">
        <f t="shared" si="57"/>
        <v>0</v>
      </c>
      <c r="Y131" s="145">
        <f t="shared" si="57"/>
        <v>0</v>
      </c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</row>
    <row r="132" spans="1:60" ht="15.75" hidden="1" customHeight="1" outlineLevel="1">
      <c r="B132" s="159"/>
      <c r="C132" s="164" t="s">
        <v>1279</v>
      </c>
      <c r="D132" s="76"/>
      <c r="E132" s="76"/>
      <c r="F132" s="76"/>
      <c r="G132" s="76"/>
      <c r="H132" s="88"/>
      <c r="I132" s="434"/>
      <c r="J132" s="434"/>
      <c r="K132" s="147"/>
      <c r="L132" s="147"/>
      <c r="M132" s="434"/>
      <c r="N132" s="434"/>
      <c r="O132" s="434"/>
      <c r="P132" s="432">
        <f>O132</f>
        <v>0</v>
      </c>
      <c r="Q132" s="432">
        <f>P132</f>
        <v>0</v>
      </c>
      <c r="R132" s="432"/>
      <c r="S132" s="432"/>
      <c r="T132" s="432">
        <f>S132</f>
        <v>0</v>
      </c>
      <c r="U132" s="145">
        <f>Q132</f>
        <v>0</v>
      </c>
      <c r="V132" s="145">
        <f t="shared" si="57"/>
        <v>0</v>
      </c>
      <c r="W132" s="145">
        <f t="shared" si="57"/>
        <v>0</v>
      </c>
      <c r="X132" s="145">
        <f t="shared" si="57"/>
        <v>0</v>
      </c>
      <c r="Y132" s="145">
        <f t="shared" si="57"/>
        <v>0</v>
      </c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</row>
    <row r="133" spans="1:60" ht="15.75" hidden="1" customHeight="1" outlineLevel="1">
      <c r="B133" s="159"/>
      <c r="C133" s="164"/>
      <c r="D133" s="76"/>
      <c r="E133" s="76"/>
      <c r="F133" s="76"/>
      <c r="G133" s="76"/>
      <c r="H133" s="88"/>
      <c r="I133" s="434"/>
      <c r="J133" s="434"/>
      <c r="K133" s="147"/>
      <c r="L133" s="147"/>
      <c r="M133" s="434"/>
      <c r="N133" s="434"/>
      <c r="O133" s="434"/>
      <c r="P133" s="77"/>
      <c r="Q133" s="434"/>
      <c r="R133" s="434"/>
      <c r="S133" s="434"/>
      <c r="T133" s="434"/>
      <c r="U133" s="434"/>
      <c r="V133" s="434"/>
      <c r="W133" s="434"/>
      <c r="X133" s="434"/>
      <c r="Y133" s="434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</row>
    <row r="134" spans="1:60" ht="27" hidden="1" customHeight="1" outlineLevel="1">
      <c r="B134" s="159"/>
      <c r="C134" s="462" t="s">
        <v>502</v>
      </c>
      <c r="H134" s="487"/>
      <c r="I134" s="430"/>
      <c r="J134" s="97"/>
      <c r="K134" s="97"/>
      <c r="L134" s="97"/>
      <c r="M134" s="430"/>
      <c r="N134" s="430"/>
      <c r="O134" s="430"/>
      <c r="P134" s="430"/>
      <c r="Q134" s="430"/>
      <c r="R134" s="430"/>
      <c r="S134" s="430"/>
      <c r="T134" s="430"/>
      <c r="U134" s="430"/>
      <c r="V134" s="430"/>
      <c r="W134" s="430"/>
      <c r="X134" s="430"/>
      <c r="Y134" s="430"/>
    </row>
    <row r="135" spans="1:60" ht="3" hidden="1" customHeight="1" outlineLevel="1">
      <c r="B135" s="159"/>
      <c r="C135" s="464"/>
      <c r="D135" s="89"/>
      <c r="E135" s="89"/>
      <c r="F135" s="89"/>
      <c r="G135" s="89"/>
      <c r="H135" s="48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</row>
    <row r="136" spans="1:60" ht="15.75" hidden="1" customHeight="1" outlineLevel="1">
      <c r="B136" s="159"/>
      <c r="C136" s="460" t="s">
        <v>1280</v>
      </c>
      <c r="H136" s="487"/>
      <c r="I136" s="430"/>
      <c r="J136" s="97"/>
      <c r="K136" s="97"/>
      <c r="L136" s="97"/>
      <c r="M136" s="430"/>
      <c r="N136" s="430"/>
      <c r="O136" s="430"/>
      <c r="P136" s="430"/>
      <c r="Q136" s="430"/>
      <c r="R136" s="430"/>
      <c r="S136" s="430"/>
      <c r="T136" s="430"/>
      <c r="U136" s="430"/>
      <c r="V136" s="430"/>
      <c r="W136" s="430"/>
      <c r="X136" s="430"/>
      <c r="Y136" s="430"/>
    </row>
    <row r="137" spans="1:60" ht="15.75" hidden="1" customHeight="1" outlineLevel="1">
      <c r="B137" s="159"/>
      <c r="C137" s="467" t="s">
        <v>502</v>
      </c>
      <c r="D137" s="468"/>
      <c r="E137" s="468"/>
      <c r="F137" s="468"/>
      <c r="G137" s="468"/>
      <c r="H137" s="466"/>
      <c r="I137" s="91"/>
      <c r="J137" s="91"/>
      <c r="K137" s="91"/>
      <c r="L137" s="135"/>
      <c r="M137" s="90"/>
      <c r="N137" s="421"/>
      <c r="O137" s="421"/>
      <c r="P137" s="421"/>
      <c r="Q137" s="421"/>
      <c r="R137" s="421"/>
      <c r="S137" s="421"/>
      <c r="T137" s="421"/>
      <c r="U137" s="421"/>
      <c r="V137" s="421"/>
      <c r="W137" s="421"/>
      <c r="X137" s="421"/>
      <c r="Y137" s="421"/>
    </row>
    <row r="138" spans="1:60" ht="15.75" hidden="1" customHeight="1" outlineLevel="1">
      <c r="B138" s="159"/>
      <c r="C138" s="546" t="s">
        <v>1280</v>
      </c>
      <c r="D138" s="106"/>
      <c r="E138" s="106"/>
      <c r="F138" s="106"/>
      <c r="G138" s="546"/>
      <c r="H138" s="547"/>
      <c r="I138" s="92">
        <v>0</v>
      </c>
      <c r="J138" s="92">
        <v>1</v>
      </c>
      <c r="K138" s="92">
        <v>2</v>
      </c>
      <c r="L138" s="92">
        <v>3</v>
      </c>
      <c r="M138" s="92">
        <v>4</v>
      </c>
      <c r="N138" s="92">
        <v>5</v>
      </c>
      <c r="O138" s="92">
        <f t="shared" ref="O138:Q138" si="58">O7</f>
        <v>6</v>
      </c>
      <c r="P138" s="92">
        <f t="shared" si="58"/>
        <v>7</v>
      </c>
      <c r="Q138" s="92">
        <f t="shared" si="58"/>
        <v>8</v>
      </c>
      <c r="R138" s="92"/>
      <c r="S138" s="92"/>
      <c r="T138" s="92" t="str">
        <f>T7</f>
        <v>Revised</v>
      </c>
      <c r="U138" s="92">
        <f t="shared" ref="U138:W138" si="59">U7</f>
        <v>9</v>
      </c>
      <c r="V138" s="92">
        <f t="shared" si="59"/>
        <v>10</v>
      </c>
      <c r="W138" s="92">
        <f t="shared" si="59"/>
        <v>11</v>
      </c>
      <c r="X138" s="92">
        <f>X7</f>
        <v>12</v>
      </c>
      <c r="Y138" s="92">
        <f>Y7</f>
        <v>13</v>
      </c>
    </row>
    <row r="139" spans="1:60" ht="15.75" hidden="1" customHeight="1" outlineLevel="1">
      <c r="B139" s="159"/>
      <c r="C139" s="548"/>
      <c r="D139" s="469"/>
      <c r="E139" s="469"/>
      <c r="F139" s="469"/>
      <c r="G139" s="548"/>
      <c r="H139" s="470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</row>
    <row r="140" spans="1:60" ht="15.75" hidden="1" customHeight="1" outlineLevel="1">
      <c r="B140" s="159"/>
      <c r="C140" s="471"/>
      <c r="D140" s="472"/>
      <c r="E140" s="506"/>
      <c r="F140" s="506"/>
      <c r="G140" s="471"/>
      <c r="H140" s="473"/>
      <c r="I140" s="99" t="s">
        <v>499</v>
      </c>
      <c r="J140" s="99" t="s">
        <v>499</v>
      </c>
      <c r="K140" s="99" t="s">
        <v>499</v>
      </c>
      <c r="L140" s="99" t="s">
        <v>499</v>
      </c>
      <c r="M140" s="99" t="s">
        <v>499</v>
      </c>
      <c r="N140" s="99" t="s">
        <v>499</v>
      </c>
      <c r="O140" s="99" t="s">
        <v>499</v>
      </c>
      <c r="P140" s="99" t="s">
        <v>499</v>
      </c>
      <c r="Q140" s="99" t="s">
        <v>499</v>
      </c>
      <c r="R140" s="99"/>
      <c r="S140" s="99"/>
      <c r="T140" s="99" t="s">
        <v>499</v>
      </c>
      <c r="U140" s="99" t="s">
        <v>499</v>
      </c>
      <c r="V140" s="99" t="s">
        <v>499</v>
      </c>
      <c r="W140" s="99" t="s">
        <v>499</v>
      </c>
      <c r="X140" s="99" t="s">
        <v>499</v>
      </c>
      <c r="Y140" s="99" t="s">
        <v>499</v>
      </c>
    </row>
    <row r="141" spans="1:60" ht="15.75" hidden="1" customHeight="1" outlineLevel="1">
      <c r="B141" s="159"/>
      <c r="C141" s="95" t="s">
        <v>1196</v>
      </c>
      <c r="D141" s="110"/>
      <c r="E141" s="114"/>
      <c r="F141" s="114"/>
      <c r="G141" s="95"/>
      <c r="H141" s="132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</row>
    <row r="142" spans="1:60" s="157" customFormat="1" ht="15.75" hidden="1" customHeight="1" outlineLevel="1">
      <c r="A142" s="460"/>
      <c r="B142" s="161"/>
      <c r="C142" s="162" t="s">
        <v>1246</v>
      </c>
      <c r="D142" s="163"/>
      <c r="E142" s="530"/>
      <c r="F142" s="530"/>
      <c r="G142" s="95"/>
      <c r="H142" s="1324"/>
      <c r="I142" s="141"/>
      <c r="J142" s="141">
        <f>SUM(J143:J152)</f>
        <v>6652831.4244805528</v>
      </c>
      <c r="K142" s="141">
        <f>SUM(K143:K152)</f>
        <v>7178475.5048554409</v>
      </c>
      <c r="L142" s="141">
        <f>SUM(L143:L150)+L152</f>
        <v>7376277.214651268</v>
      </c>
      <c r="M142" s="141">
        <f>SUM(M143:M150)+M152</f>
        <v>5544227.5717993807</v>
      </c>
      <c r="N142" s="141">
        <f t="shared" ref="N142:V142" si="60">SUM(N143:N150)+N152+N153</f>
        <v>11867058.638600003</v>
      </c>
      <c r="O142" s="141">
        <f t="shared" si="60"/>
        <v>13924386.7774</v>
      </c>
      <c r="P142" s="141">
        <f t="shared" si="60"/>
        <v>11806909.808400001</v>
      </c>
      <c r="Q142" s="141">
        <f>SUM(Q143:Q150)+Q152+Q153</f>
        <v>11429802.054299999</v>
      </c>
      <c r="R142" s="141"/>
      <c r="S142" s="141"/>
      <c r="T142" s="141">
        <f>SUM(T143:T150)+T152+T153</f>
        <v>11429802.054299999</v>
      </c>
      <c r="U142" s="141">
        <f t="shared" si="60"/>
        <v>12902914.014057377</v>
      </c>
      <c r="V142" s="141">
        <f t="shared" si="60"/>
        <v>12503645.02390103</v>
      </c>
      <c r="W142" s="141">
        <f>SUM(W143:W150)+W152+W153</f>
        <v>21881271.480177008</v>
      </c>
      <c r="X142" s="141">
        <f>SUM(X143:X150)+X152+X153</f>
        <v>24306805.409998719</v>
      </c>
      <c r="Y142" s="141">
        <f>SUM(Y143:Y150)+Y152+Y153</f>
        <v>19841002.890180029</v>
      </c>
    </row>
    <row r="143" spans="1:60" ht="15.75" hidden="1" customHeight="1" outlineLevel="1">
      <c r="B143" s="159"/>
      <c r="C143" s="164" t="s">
        <v>1281</v>
      </c>
      <c r="D143" s="110"/>
      <c r="E143" s="114"/>
      <c r="F143" s="114"/>
      <c r="G143" s="95"/>
      <c r="H143" s="88"/>
      <c r="I143" s="82"/>
      <c r="J143" s="82">
        <v>300000</v>
      </c>
      <c r="K143" s="82">
        <v>413650</v>
      </c>
      <c r="L143" s="82">
        <f t="shared" ref="L143:Y143" si="61">L88*L39</f>
        <v>239992.5</v>
      </c>
      <c r="M143" s="82">
        <f t="shared" si="61"/>
        <v>191401.10000000003</v>
      </c>
      <c r="N143" s="82">
        <f t="shared" si="61"/>
        <v>450982.39999999997</v>
      </c>
      <c r="O143" s="82">
        <f t="shared" si="61"/>
        <v>478985.10000000003</v>
      </c>
      <c r="P143" s="82">
        <f t="shared" si="61"/>
        <v>546922.95000000007</v>
      </c>
      <c r="Q143" s="82">
        <f t="shared" si="61"/>
        <v>639602.25</v>
      </c>
      <c r="R143" s="82"/>
      <c r="S143" s="82"/>
      <c r="T143" s="82">
        <f>T88*T39</f>
        <v>639602.25</v>
      </c>
      <c r="U143" s="82">
        <f t="shared" si="61"/>
        <v>723983.81147540989</v>
      </c>
      <c r="V143" s="82">
        <f t="shared" si="61"/>
        <v>679546.18442622956</v>
      </c>
      <c r="W143" s="82">
        <f t="shared" si="61"/>
        <v>1291437.3299180327</v>
      </c>
      <c r="X143" s="82">
        <f t="shared" si="61"/>
        <v>1423002.6639344264</v>
      </c>
      <c r="Y143" s="82">
        <f t="shared" si="61"/>
        <v>1103451.1885245903</v>
      </c>
    </row>
    <row r="144" spans="1:60" ht="15.75" hidden="1" customHeight="1" outlineLevel="1">
      <c r="B144" s="159"/>
      <c r="C144" s="164" t="s">
        <v>1282</v>
      </c>
      <c r="D144" s="110"/>
      <c r="E144" s="114"/>
      <c r="F144" s="114"/>
      <c r="G144" s="95"/>
      <c r="H144" s="88"/>
      <c r="I144" s="82"/>
      <c r="J144" s="82">
        <v>450000</v>
      </c>
      <c r="K144" s="82">
        <v>652031.94989544002</v>
      </c>
      <c r="L144" s="82">
        <f t="shared" ref="L144:Y144" si="62">L100*L89*L39+L100*L92*L39+L100*L98*L40</f>
        <v>631774.44659999991</v>
      </c>
      <c r="M144" s="82">
        <f t="shared" si="62"/>
        <v>383965.81740000006</v>
      </c>
      <c r="N144" s="82">
        <f t="shared" si="62"/>
        <v>516660.14400000003</v>
      </c>
      <c r="O144" s="82">
        <f t="shared" si="62"/>
        <v>532008.33840000012</v>
      </c>
      <c r="P144" s="82">
        <f t="shared" si="62"/>
        <v>594933.57000000007</v>
      </c>
      <c r="Q144" s="82">
        <f t="shared" si="62"/>
        <v>720527.34600000002</v>
      </c>
      <c r="R144" s="82"/>
      <c r="S144" s="82"/>
      <c r="T144" s="82">
        <f>T100*T89*T39+T100*T92*T39+T100*T98*T40</f>
        <v>720527.34600000002</v>
      </c>
      <c r="U144" s="82">
        <f t="shared" si="62"/>
        <v>805807.02295081981</v>
      </c>
      <c r="V144" s="82">
        <f t="shared" si="62"/>
        <v>778088.128327869</v>
      </c>
      <c r="W144" s="82">
        <f t="shared" si="62"/>
        <v>1344866.1066147543</v>
      </c>
      <c r="X144" s="82">
        <f t="shared" si="62"/>
        <v>1485492.4918032789</v>
      </c>
      <c r="Y144" s="82">
        <f t="shared" si="62"/>
        <v>1208291.4550819672</v>
      </c>
    </row>
    <row r="145" spans="1:25" ht="15.75" hidden="1" customHeight="1" outlineLevel="1">
      <c r="B145" s="159"/>
      <c r="C145" s="164" t="s">
        <v>1283</v>
      </c>
      <c r="D145" s="110"/>
      <c r="E145" s="114"/>
      <c r="F145" s="114"/>
      <c r="G145" s="95"/>
      <c r="H145" s="88"/>
      <c r="I145" s="82"/>
      <c r="J145" s="82">
        <v>850000</v>
      </c>
      <c r="K145" s="82">
        <v>936932.71100000001</v>
      </c>
      <c r="L145" s="82">
        <f t="shared" ref="L145:Y145" si="63">L90*L39</f>
        <v>756776.35000000009</v>
      </c>
      <c r="M145" s="82">
        <f t="shared" si="63"/>
        <v>698655.10000000009</v>
      </c>
      <c r="N145" s="82">
        <f t="shared" si="63"/>
        <v>1495786.6</v>
      </c>
      <c r="O145" s="82">
        <f t="shared" si="63"/>
        <v>1616382.9000000001</v>
      </c>
      <c r="P145" s="82">
        <f t="shared" si="63"/>
        <v>1901738.9999999998</v>
      </c>
      <c r="Q145" s="82">
        <f t="shared" si="63"/>
        <v>1749432.3000000003</v>
      </c>
      <c r="R145" s="82"/>
      <c r="S145" s="82"/>
      <c r="T145" s="82">
        <f>T90*T39</f>
        <v>1749432.3000000003</v>
      </c>
      <c r="U145" s="82">
        <f t="shared" si="63"/>
        <v>1980231.7213114756</v>
      </c>
      <c r="V145" s="82">
        <f t="shared" si="63"/>
        <v>1858686.4639344264</v>
      </c>
      <c r="W145" s="82">
        <f t="shared" si="63"/>
        <v>3532323.6877049184</v>
      </c>
      <c r="X145" s="82">
        <f t="shared" si="63"/>
        <v>3892179.590163935</v>
      </c>
      <c r="Y145" s="82">
        <f t="shared" si="63"/>
        <v>3018146.2786885248</v>
      </c>
    </row>
    <row r="146" spans="1:25" ht="15.75" hidden="1" customHeight="1" outlineLevel="1">
      <c r="B146" s="159"/>
      <c r="C146" s="164" t="s">
        <v>1250</v>
      </c>
      <c r="D146" s="110"/>
      <c r="E146" s="114"/>
      <c r="F146" s="114"/>
      <c r="G146" s="95"/>
      <c r="H146" s="88"/>
      <c r="I146" s="82"/>
      <c r="J146" s="82">
        <v>220000</v>
      </c>
      <c r="K146" s="82">
        <v>249947.90974499995</v>
      </c>
      <c r="L146" s="82">
        <f t="shared" ref="L146:Y146" si="64">L91*L39</f>
        <v>359188.77500000002</v>
      </c>
      <c r="M146" s="82">
        <f t="shared" si="64"/>
        <v>245802.15000000002</v>
      </c>
      <c r="N146" s="82">
        <f t="shared" si="64"/>
        <v>479276.60000000009</v>
      </c>
      <c r="O146" s="82">
        <f t="shared" si="64"/>
        <v>585280.30000000005</v>
      </c>
      <c r="P146" s="82">
        <f t="shared" si="64"/>
        <v>779245.95000000007</v>
      </c>
      <c r="Q146" s="82">
        <f>Q91*Q39</f>
        <v>693129.15</v>
      </c>
      <c r="R146" s="82"/>
      <c r="S146" s="82"/>
      <c r="T146" s="82">
        <f>T91*T39</f>
        <v>693129.15</v>
      </c>
      <c r="U146" s="82">
        <f t="shared" si="64"/>
        <v>784572.41803278693</v>
      </c>
      <c r="V146" s="82">
        <f t="shared" si="64"/>
        <v>736415.90409836068</v>
      </c>
      <c r="W146" s="82">
        <f t="shared" si="64"/>
        <v>1399514.8684426229</v>
      </c>
      <c r="X146" s="82">
        <f t="shared" si="64"/>
        <v>1542090.6147540985</v>
      </c>
      <c r="Y146" s="82">
        <f t="shared" si="64"/>
        <v>1195796.5819672132</v>
      </c>
    </row>
    <row r="147" spans="1:25" ht="15.75" hidden="1" customHeight="1" outlineLevel="1">
      <c r="B147" s="159"/>
      <c r="C147" s="164" t="s">
        <v>1284</v>
      </c>
      <c r="D147" s="110"/>
      <c r="E147" s="114"/>
      <c r="F147" s="114"/>
      <c r="G147" s="95"/>
      <c r="H147" s="88"/>
      <c r="I147" s="82"/>
      <c r="J147" s="82">
        <v>2135330.2769647134</v>
      </c>
      <c r="K147" s="82">
        <v>2414172.6608600002</v>
      </c>
      <c r="L147" s="82">
        <f t="shared" ref="L147:Y147" si="65">L93*L39*L94</f>
        <v>2837767.3170000003</v>
      </c>
      <c r="M147" s="82">
        <f t="shared" si="65"/>
        <v>1750012.2750000001</v>
      </c>
      <c r="N147" s="82">
        <f t="shared" si="65"/>
        <v>3094554.6720000003</v>
      </c>
      <c r="O147" s="82">
        <f t="shared" si="65"/>
        <v>3293237.9172000005</v>
      </c>
      <c r="P147" s="82">
        <f t="shared" si="65"/>
        <v>3147133.4769000006</v>
      </c>
      <c r="Q147" s="82">
        <f t="shared" si="65"/>
        <v>3529833.1991999997</v>
      </c>
      <c r="R147" s="82"/>
      <c r="S147" s="82"/>
      <c r="T147" s="82">
        <f>T93*T39*T94</f>
        <v>3529833.1991999997</v>
      </c>
      <c r="U147" s="82">
        <f t="shared" si="65"/>
        <v>4163018.9249180318</v>
      </c>
      <c r="V147" s="82">
        <f t="shared" si="65"/>
        <v>4071306.8635448106</v>
      </c>
      <c r="W147" s="82">
        <f t="shared" si="65"/>
        <v>8061642.2961338023</v>
      </c>
      <c r="X147" s="82">
        <f t="shared" si="65"/>
        <v>9255315.5598765239</v>
      </c>
      <c r="Y147" s="82">
        <f t="shared" si="65"/>
        <v>7477802.2056062613</v>
      </c>
    </row>
    <row r="148" spans="1:25" ht="15.75" hidden="1" customHeight="1" outlineLevel="1">
      <c r="B148" s="159"/>
      <c r="C148" s="164" t="s">
        <v>1285</v>
      </c>
      <c r="D148" s="110"/>
      <c r="E148" s="114"/>
      <c r="F148" s="114"/>
      <c r="G148" s="95"/>
      <c r="H148" s="88"/>
      <c r="I148" s="82"/>
      <c r="J148" s="82">
        <f>5631501.86751584-J143-J144-J145-J146-J149-J155-J158-J170-J171-J175-J178-J179</f>
        <v>1371501.8675158396</v>
      </c>
      <c r="K148" s="82">
        <v>1043325.2439550001</v>
      </c>
      <c r="L148" s="82">
        <f t="shared" ref="L148:Y148" si="66">(L96+L99)*L39</f>
        <v>953570.20000000007</v>
      </c>
      <c r="M148" s="82">
        <f t="shared" si="66"/>
        <v>724817.5</v>
      </c>
      <c r="N148" s="82">
        <f t="shared" si="66"/>
        <v>1468409.8000000003</v>
      </c>
      <c r="O148" s="82">
        <f t="shared" si="66"/>
        <v>1661515.9000000001</v>
      </c>
      <c r="P148" s="82">
        <f t="shared" si="66"/>
        <v>1541862</v>
      </c>
      <c r="Q148" s="82">
        <f>(Q96+Q99)*Q39</f>
        <v>1886352.3</v>
      </c>
      <c r="R148" s="82"/>
      <c r="S148" s="82"/>
      <c r="T148" s="82">
        <f>(T96+T99)*T39</f>
        <v>1886352.3</v>
      </c>
      <c r="U148" s="82">
        <f t="shared" si="66"/>
        <v>2135215.3278688523</v>
      </c>
      <c r="V148" s="82">
        <f t="shared" si="66"/>
        <v>2004157.2836065574</v>
      </c>
      <c r="W148" s="82">
        <f t="shared" si="66"/>
        <v>3808782.3762295083</v>
      </c>
      <c r="X148" s="82">
        <f t="shared" si="66"/>
        <v>4196802.5409836071</v>
      </c>
      <c r="Y148" s="82">
        <f t="shared" si="66"/>
        <v>3254362.6721311477</v>
      </c>
    </row>
    <row r="149" spans="1:25" ht="15.75" hidden="1" customHeight="1" outlineLevel="1">
      <c r="B149" s="159"/>
      <c r="C149" s="164" t="s">
        <v>1286</v>
      </c>
      <c r="D149" s="110"/>
      <c r="E149" s="114"/>
      <c r="F149" s="114"/>
      <c r="G149" s="95"/>
      <c r="H149" s="88"/>
      <c r="I149" s="82"/>
      <c r="J149" s="82">
        <v>60000</v>
      </c>
      <c r="K149" s="82">
        <v>76708.029399999999</v>
      </c>
      <c r="L149" s="82">
        <f t="shared" ref="L149:Y149" si="67">L97*L40</f>
        <v>58710.960000000006</v>
      </c>
      <c r="M149" s="82">
        <f t="shared" si="67"/>
        <v>48024.130000000005</v>
      </c>
      <c r="N149" s="82">
        <f t="shared" si="67"/>
        <v>54050.700000000004</v>
      </c>
      <c r="O149" s="82">
        <f t="shared" si="67"/>
        <v>53628.3</v>
      </c>
      <c r="P149" s="82">
        <f t="shared" si="67"/>
        <v>56818.65</v>
      </c>
      <c r="Q149" s="82">
        <f t="shared" si="67"/>
        <v>63173.25</v>
      </c>
      <c r="R149" s="82"/>
      <c r="S149" s="82"/>
      <c r="T149" s="82">
        <f>T97*T40</f>
        <v>63173.25</v>
      </c>
      <c r="U149" s="82">
        <f t="shared" si="67"/>
        <v>63173.25</v>
      </c>
      <c r="V149" s="82">
        <f t="shared" si="67"/>
        <v>63173.25</v>
      </c>
      <c r="W149" s="82">
        <f t="shared" si="67"/>
        <v>63173.25</v>
      </c>
      <c r="X149" s="82">
        <f t="shared" si="67"/>
        <v>63173.25</v>
      </c>
      <c r="Y149" s="82">
        <f t="shared" si="67"/>
        <v>63173.25</v>
      </c>
    </row>
    <row r="150" spans="1:25" ht="15.75" hidden="1" customHeight="1" outlineLevel="1">
      <c r="B150" s="159"/>
      <c r="C150" s="164" t="s">
        <v>1287</v>
      </c>
      <c r="D150" s="110"/>
      <c r="E150" s="114"/>
      <c r="F150" s="114"/>
      <c r="G150" s="95"/>
      <c r="H150" s="88"/>
      <c r="I150" s="82"/>
      <c r="J150" s="82">
        <f>3246152*39%</f>
        <v>1265999.28</v>
      </c>
      <c r="K150" s="82">
        <v>1391707</v>
      </c>
      <c r="L150" s="82">
        <f>839180*'Control list'!H19</f>
        <v>923098.00000000012</v>
      </c>
      <c r="M150" s="82">
        <f>(819027)*'Control list'!I17</f>
        <v>900929.70000000007</v>
      </c>
      <c r="N150" s="87">
        <f>(1135637+54851+32733)*'Control list'!J17</f>
        <v>1345543.1</v>
      </c>
      <c r="O150" s="87">
        <f>(1222025+58220+32008)*'Control list'!K17</f>
        <v>1443478.3</v>
      </c>
      <c r="P150" s="87">
        <f>(1281444+60316+31669)*'Control list'!L17</f>
        <v>1442100.45</v>
      </c>
      <c r="Q150" s="87">
        <f>(1319887+62554+32136)*'Control list'!M17</f>
        <v>1485305.85</v>
      </c>
      <c r="R150" s="87"/>
      <c r="S150" s="87"/>
      <c r="T150" s="87">
        <f>(1319887+62554+32136)*'Control list'!P17</f>
        <v>1485305.85</v>
      </c>
      <c r="U150" s="87">
        <f>Q150*(1+U151)</f>
        <v>1528511.2500000005</v>
      </c>
      <c r="V150" s="87">
        <f>U150*(1+V151)</f>
        <v>1572973.4326277403</v>
      </c>
      <c r="W150" s="87">
        <f>V150*(1+W151)</f>
        <v>1618728.9558730402</v>
      </c>
      <c r="X150" s="87">
        <f>W150*(1+X151)</f>
        <v>1665815.4411447959</v>
      </c>
      <c r="Y150" s="87">
        <f>X150*(1+Y151)</f>
        <v>1714271.6042043017</v>
      </c>
    </row>
    <row r="151" spans="1:25" ht="15.75" hidden="1" customHeight="1" outlineLevel="1">
      <c r="B151" s="159"/>
      <c r="C151" s="164" t="s">
        <v>1288</v>
      </c>
      <c r="D151" s="110"/>
      <c r="E151" s="114"/>
      <c r="F151" s="114"/>
      <c r="G151" s="95"/>
      <c r="H151" s="88"/>
      <c r="I151" s="82"/>
      <c r="J151" s="82"/>
      <c r="K151" s="82"/>
      <c r="L151" s="82"/>
      <c r="M151" s="486">
        <f>M150/L150-1</f>
        <v>-2.4015109988322014E-2</v>
      </c>
      <c r="N151" s="77">
        <f>(N150-M150)/N150</f>
        <v>0.33043415703294826</v>
      </c>
      <c r="O151" s="77">
        <f>(O150-N150)/O150</f>
        <v>6.7846672859578114E-2</v>
      </c>
      <c r="P151" s="77">
        <f>(P150-O150)/P150</f>
        <v>-9.5544661954726742E-4</v>
      </c>
      <c r="Q151" s="77">
        <f>(Q150-P150)/Q150</f>
        <v>2.9088554387636821E-2</v>
      </c>
      <c r="R151" s="77"/>
      <c r="S151" s="77"/>
      <c r="T151" s="77">
        <f>(T150-S150)/T150</f>
        <v>1</v>
      </c>
      <c r="U151" s="486">
        <f>Q151</f>
        <v>2.9088554387636821E-2</v>
      </c>
      <c r="V151" s="486">
        <f>U151</f>
        <v>2.9088554387636821E-2</v>
      </c>
      <c r="W151" s="486">
        <f>V151</f>
        <v>2.9088554387636821E-2</v>
      </c>
      <c r="X151" s="486">
        <f>W151</f>
        <v>2.9088554387636821E-2</v>
      </c>
      <c r="Y151" s="486">
        <f>X151</f>
        <v>2.9088554387636821E-2</v>
      </c>
    </row>
    <row r="152" spans="1:25" ht="15.75" hidden="1" customHeight="1" outlineLevel="1">
      <c r="B152" s="159"/>
      <c r="C152" s="164" t="s">
        <v>1289</v>
      </c>
      <c r="D152" s="110"/>
      <c r="E152" s="114"/>
      <c r="F152" s="114"/>
      <c r="G152" s="95"/>
      <c r="H152" s="88"/>
      <c r="I152" s="82"/>
      <c r="J152" s="82"/>
      <c r="K152" s="82"/>
      <c r="L152" s="82">
        <f>L150*0.666666666</f>
        <v>615398.66605126811</v>
      </c>
      <c r="M152" s="82">
        <f>M150*0.666666666</f>
        <v>600619.79939938022</v>
      </c>
      <c r="N152" s="82">
        <f>N150*0.446</f>
        <v>600112.2226000001</v>
      </c>
      <c r="O152" s="82">
        <f>O150*0.446</f>
        <v>643791.32180000003</v>
      </c>
      <c r="P152" s="82">
        <f>P150*0.47</f>
        <v>677787.21149999998</v>
      </c>
      <c r="Q152" s="82">
        <f>Q150*0.446</f>
        <v>662446.40910000005</v>
      </c>
      <c r="R152" s="82"/>
      <c r="S152" s="82"/>
      <c r="T152" s="82">
        <f>T150*0.446</f>
        <v>662446.40910000005</v>
      </c>
      <c r="U152" s="82">
        <f>U150*0.47</f>
        <v>718400.28750000021</v>
      </c>
      <c r="V152" s="82">
        <f>V150*0.47</f>
        <v>739297.51333503786</v>
      </c>
      <c r="W152" s="82">
        <f>W150*0.47</f>
        <v>760802.60926032893</v>
      </c>
      <c r="X152" s="82">
        <f>X150*0.47</f>
        <v>782933.25733805401</v>
      </c>
      <c r="Y152" s="82">
        <f>Y150*0.47</f>
        <v>805707.6539760218</v>
      </c>
    </row>
    <row r="153" spans="1:25" ht="15.75" hidden="1" customHeight="1" outlineLevel="1">
      <c r="B153" s="159"/>
      <c r="C153" s="164" t="s">
        <v>1290</v>
      </c>
      <c r="D153" s="110"/>
      <c r="E153" s="114"/>
      <c r="F153" s="114"/>
      <c r="G153" s="95"/>
      <c r="H153" s="88"/>
      <c r="I153" s="82"/>
      <c r="J153" s="82"/>
      <c r="K153" s="82"/>
      <c r="L153" s="82"/>
      <c r="M153" s="82"/>
      <c r="N153" s="87">
        <f>(2146984)*'Control list'!J17</f>
        <v>2361682.4000000004</v>
      </c>
      <c r="O153" s="87">
        <f>(3287344)*'Control list'!K17</f>
        <v>3616078.4000000004</v>
      </c>
      <c r="P153" s="87">
        <f>(1065111)*'Control list'!L17</f>
        <v>1118366.55</v>
      </c>
      <c r="Q153" s="82"/>
      <c r="R153" s="82"/>
      <c r="S153" s="82"/>
      <c r="T153" s="82"/>
      <c r="U153" s="82"/>
      <c r="V153" s="82"/>
      <c r="W153" s="82"/>
      <c r="X153" s="82"/>
      <c r="Y153" s="82"/>
    </row>
    <row r="154" spans="1:25" s="157" customFormat="1" ht="15.75" hidden="1" customHeight="1" outlineLevel="1">
      <c r="A154" s="460"/>
      <c r="B154" s="161"/>
      <c r="C154" s="162" t="s">
        <v>1260</v>
      </c>
      <c r="D154" s="163"/>
      <c r="E154" s="530"/>
      <c r="F154" s="530"/>
      <c r="G154" s="95"/>
      <c r="H154" s="1324"/>
      <c r="I154" s="141"/>
      <c r="J154" s="141">
        <f>SUM(J155:J161)</f>
        <v>8075080.8687128285</v>
      </c>
      <c r="K154" s="141">
        <f>SUM(K155:K161)</f>
        <v>13196801.75907455</v>
      </c>
      <c r="L154" s="141">
        <f t="shared" ref="L154:U154" si="68">SUM(L155:L159)+L161</f>
        <v>14635652.699896673</v>
      </c>
      <c r="M154" s="141">
        <f t="shared" si="68"/>
        <v>11213325.853522493</v>
      </c>
      <c r="N154" s="141">
        <f t="shared" si="68"/>
        <v>12269817.010000002</v>
      </c>
      <c r="O154" s="141">
        <f t="shared" si="68"/>
        <v>12518960.7224</v>
      </c>
      <c r="P154" s="141">
        <f t="shared" si="68"/>
        <v>13849469.7411</v>
      </c>
      <c r="Q154" s="141">
        <f t="shared" si="68"/>
        <v>14850302.002199998</v>
      </c>
      <c r="R154" s="141"/>
      <c r="S154" s="141"/>
      <c r="T154" s="141">
        <f>SUM(T155:T159)+T161</f>
        <v>14850302.002199998</v>
      </c>
      <c r="U154" s="141">
        <f t="shared" si="68"/>
        <v>14953307.0022</v>
      </c>
      <c r="V154" s="141">
        <f>SUM(V155:V159)+V161</f>
        <v>15056312.0022</v>
      </c>
      <c r="W154" s="141">
        <f>SUM(W155:W159)+W161</f>
        <v>15159317.002200002</v>
      </c>
      <c r="X154" s="141">
        <f>SUM(X155:X159)+X161</f>
        <v>15262322.0022</v>
      </c>
      <c r="Y154" s="141">
        <f>SUM(Y155:Y159)+Y161</f>
        <v>15365327.002199998</v>
      </c>
    </row>
    <row r="155" spans="1:25" ht="15.75" hidden="1" customHeight="1" outlineLevel="1">
      <c r="B155" s="159"/>
      <c r="C155" s="164" t="s">
        <v>1291</v>
      </c>
      <c r="D155" s="110"/>
      <c r="E155" s="114"/>
      <c r="F155" s="114"/>
      <c r="G155" s="95"/>
      <c r="H155" s="88"/>
      <c r="I155" s="82"/>
      <c r="J155" s="82">
        <v>400000</v>
      </c>
      <c r="K155" s="82">
        <v>477240.16255999997</v>
      </c>
      <c r="L155" s="82">
        <f t="shared" ref="L155:Y155" si="69">L104*L40</f>
        <v>461300.4</v>
      </c>
      <c r="M155" s="82">
        <f t="shared" si="69"/>
        <v>440555.83</v>
      </c>
      <c r="N155" s="82">
        <f t="shared" si="69"/>
        <v>443901.7</v>
      </c>
      <c r="O155" s="82">
        <f t="shared" si="69"/>
        <v>434976.30000000005</v>
      </c>
      <c r="P155" s="82">
        <f t="shared" si="69"/>
        <v>443021.25</v>
      </c>
      <c r="Q155" s="82">
        <f t="shared" si="69"/>
        <v>519655.5</v>
      </c>
      <c r="R155" s="82"/>
      <c r="S155" s="82"/>
      <c r="T155" s="82">
        <f>T104*T40</f>
        <v>519655.5</v>
      </c>
      <c r="U155" s="82">
        <f t="shared" si="69"/>
        <v>519655.5</v>
      </c>
      <c r="V155" s="82">
        <f t="shared" si="69"/>
        <v>519655.5</v>
      </c>
      <c r="W155" s="82">
        <f t="shared" si="69"/>
        <v>519655.5</v>
      </c>
      <c r="X155" s="82">
        <f t="shared" si="69"/>
        <v>519655.5</v>
      </c>
      <c r="Y155" s="82">
        <f t="shared" si="69"/>
        <v>519655.5</v>
      </c>
    </row>
    <row r="156" spans="1:25" ht="15.75" hidden="1" customHeight="1" outlineLevel="1">
      <c r="B156" s="159"/>
      <c r="C156" s="164" t="s">
        <v>1262</v>
      </c>
      <c r="D156" s="110"/>
      <c r="E156" s="114"/>
      <c r="F156" s="114"/>
      <c r="G156" s="95"/>
      <c r="H156" s="88"/>
      <c r="I156" s="82"/>
      <c r="J156" s="82">
        <f>1712001.98462641+243019.550390547</f>
        <v>1955021.535016957</v>
      </c>
      <c r="K156" s="82">
        <v>4500079.7391053997</v>
      </c>
      <c r="L156" s="82">
        <f t="shared" ref="L156:Y156" si="70">L105*L40</f>
        <v>4187535.9240000001</v>
      </c>
      <c r="M156" s="82">
        <f t="shared" si="70"/>
        <v>3802664.8000000003</v>
      </c>
      <c r="N156" s="82">
        <f t="shared" si="70"/>
        <v>4107934.6000000006</v>
      </c>
      <c r="O156" s="82">
        <f t="shared" si="70"/>
        <v>4288966</v>
      </c>
      <c r="P156" s="82">
        <f t="shared" si="70"/>
        <v>4431994.3500000006</v>
      </c>
      <c r="Q156" s="82">
        <f t="shared" si="70"/>
        <v>4898779.2</v>
      </c>
      <c r="R156" s="82"/>
      <c r="S156" s="82"/>
      <c r="T156" s="82">
        <f>T105*T40</f>
        <v>4898779.2</v>
      </c>
      <c r="U156" s="82">
        <f t="shared" si="70"/>
        <v>4898779.2</v>
      </c>
      <c r="V156" s="82">
        <f t="shared" si="70"/>
        <v>4898779.2</v>
      </c>
      <c r="W156" s="82">
        <f t="shared" si="70"/>
        <v>4898779.2</v>
      </c>
      <c r="X156" s="82">
        <f t="shared" si="70"/>
        <v>4898779.2</v>
      </c>
      <c r="Y156" s="82">
        <f t="shared" si="70"/>
        <v>4898779.2</v>
      </c>
    </row>
    <row r="157" spans="1:25" ht="15.75" hidden="1" customHeight="1" outlineLevel="1">
      <c r="B157" s="159"/>
      <c r="C157" s="164" t="s">
        <v>1282</v>
      </c>
      <c r="D157" s="110"/>
      <c r="E157" s="114"/>
      <c r="F157" s="114"/>
      <c r="G157" s="95"/>
      <c r="H157" s="88"/>
      <c r="I157" s="82"/>
      <c r="J157" s="82">
        <v>3737829.2936958713</v>
      </c>
      <c r="K157" s="82">
        <v>6022980.8574091503</v>
      </c>
      <c r="L157" s="82">
        <f t="shared" ref="L157:Y157" si="71">L106*L100*L40</f>
        <v>7794541.6032000007</v>
      </c>
      <c r="M157" s="82">
        <f t="shared" si="71"/>
        <v>4868588.5908000004</v>
      </c>
      <c r="N157" s="82">
        <f t="shared" si="71"/>
        <v>5406416.2152000004</v>
      </c>
      <c r="O157" s="82">
        <f t="shared" si="71"/>
        <v>5257879.9504000004</v>
      </c>
      <c r="P157" s="82">
        <f>P106*P100*P40</f>
        <v>6444710.9495999999</v>
      </c>
      <c r="Q157" s="82">
        <f t="shared" si="71"/>
        <v>6798330</v>
      </c>
      <c r="R157" s="82"/>
      <c r="S157" s="82"/>
      <c r="T157" s="82">
        <f>T106*T100*T40</f>
        <v>6798330</v>
      </c>
      <c r="U157" s="82">
        <f t="shared" si="71"/>
        <v>6901335.0000000009</v>
      </c>
      <c r="V157" s="82">
        <f t="shared" si="71"/>
        <v>7004340.0000000009</v>
      </c>
      <c r="W157" s="82">
        <f t="shared" si="71"/>
        <v>7107345.0000000019</v>
      </c>
      <c r="X157" s="82">
        <f t="shared" si="71"/>
        <v>7210350.0000000009</v>
      </c>
      <c r="Y157" s="82">
        <f t="shared" si="71"/>
        <v>7313355</v>
      </c>
    </row>
    <row r="158" spans="1:25" ht="15.75" hidden="1" customHeight="1" outlineLevel="1">
      <c r="B158" s="159"/>
      <c r="C158" s="164" t="s">
        <v>1292</v>
      </c>
      <c r="D158" s="110"/>
      <c r="E158" s="114"/>
      <c r="F158" s="114"/>
      <c r="G158" s="95"/>
      <c r="H158" s="88"/>
      <c r="I158" s="82"/>
      <c r="J158" s="82">
        <v>700000</v>
      </c>
      <c r="K158" s="82">
        <v>781901</v>
      </c>
      <c r="L158" s="82">
        <f t="shared" ref="L158:Y158" si="72">L107*L40</f>
        <v>600622.43999999994</v>
      </c>
      <c r="M158" s="82">
        <f t="shared" si="72"/>
        <v>574412.30000000005</v>
      </c>
      <c r="N158" s="82">
        <f t="shared" si="72"/>
        <v>628776.5</v>
      </c>
      <c r="O158" s="82">
        <f t="shared" si="72"/>
        <v>768200.4</v>
      </c>
      <c r="P158" s="82">
        <f t="shared" si="72"/>
        <v>782931.45000000007</v>
      </c>
      <c r="Q158" s="82">
        <f t="shared" si="72"/>
        <v>834907.5</v>
      </c>
      <c r="R158" s="82"/>
      <c r="S158" s="82"/>
      <c r="T158" s="82">
        <f>T107*T40</f>
        <v>834907.5</v>
      </c>
      <c r="U158" s="82">
        <f t="shared" si="72"/>
        <v>834907.5</v>
      </c>
      <c r="V158" s="82">
        <f t="shared" si="72"/>
        <v>834907.5</v>
      </c>
      <c r="W158" s="82">
        <f t="shared" si="72"/>
        <v>834907.5</v>
      </c>
      <c r="X158" s="82">
        <f t="shared" si="72"/>
        <v>834907.5</v>
      </c>
      <c r="Y158" s="82">
        <f t="shared" si="72"/>
        <v>834907.5</v>
      </c>
    </row>
    <row r="159" spans="1:25" ht="15.75" hidden="1" customHeight="1" outlineLevel="1">
      <c r="B159" s="159"/>
      <c r="C159" s="164" t="s">
        <v>1287</v>
      </c>
      <c r="D159" s="110"/>
      <c r="E159" s="114"/>
      <c r="F159" s="114"/>
      <c r="G159" s="95"/>
      <c r="H159" s="88"/>
      <c r="I159" s="82"/>
      <c r="J159" s="82">
        <f>3246152*39.5%</f>
        <v>1282230.04</v>
      </c>
      <c r="K159" s="82">
        <v>1414600</v>
      </c>
      <c r="L159" s="82">
        <f>868174*'Control list'!H19</f>
        <v>954991.4</v>
      </c>
      <c r="M159" s="82">
        <f>(832966)*'Control list'!I17</f>
        <v>916262.60000000009</v>
      </c>
      <c r="N159" s="87">
        <f>(987292+40515+30151)*'Control list'!J17</f>
        <v>1163753.8</v>
      </c>
      <c r="O159" s="87">
        <f>(1033516+41510+37094)*'Control list'!K17</f>
        <v>1223332</v>
      </c>
      <c r="P159" s="87">
        <f>(1070580+43051+36874)*'Control list'!L17</f>
        <v>1208030.25</v>
      </c>
      <c r="Q159" s="87">
        <f>(1102697+44521+37416)*'Control list'!M17</f>
        <v>1243865.7</v>
      </c>
      <c r="R159" s="87"/>
      <c r="S159" s="87"/>
      <c r="T159" s="87">
        <f>(1102697+44521+37416)*'Control list'!P17</f>
        <v>1243865.7</v>
      </c>
      <c r="U159" s="87">
        <f>Q159*(1+U160)</f>
        <v>1243865.7</v>
      </c>
      <c r="V159" s="87">
        <f>U159*(1+V160)</f>
        <v>1243865.7</v>
      </c>
      <c r="W159" s="87">
        <f>V159*(1+W160)</f>
        <v>1243865.7</v>
      </c>
      <c r="X159" s="87">
        <f>W159*(1+X160)</f>
        <v>1243865.7</v>
      </c>
      <c r="Y159" s="87">
        <f>X159*(1+Y160)</f>
        <v>1243865.7</v>
      </c>
    </row>
    <row r="160" spans="1:25" ht="15.75" hidden="1" customHeight="1" outlineLevel="1">
      <c r="B160" s="159"/>
      <c r="C160" s="164" t="s">
        <v>1288</v>
      </c>
      <c r="D160" s="110"/>
      <c r="E160" s="114"/>
      <c r="F160" s="114"/>
      <c r="G160" s="95"/>
      <c r="H160" s="88"/>
      <c r="I160" s="82"/>
      <c r="J160" s="82"/>
      <c r="K160" s="82"/>
      <c r="L160" s="82"/>
      <c r="M160" s="486">
        <f>M159/L159-1</f>
        <v>-4.0554082476554121E-2</v>
      </c>
      <c r="N160" s="77">
        <f>(N159-L159)/N159</f>
        <v>0.17938708341919057</v>
      </c>
      <c r="O160" s="77">
        <f>(O159-N159)/O159</f>
        <v>4.8701578966298564E-2</v>
      </c>
      <c r="P160" s="77">
        <f>(P159-O159)/P159</f>
        <v>-1.266669439776032E-2</v>
      </c>
      <c r="Q160" s="77">
        <f>(Q159-P159)/Q159</f>
        <v>2.8809742080676357E-2</v>
      </c>
      <c r="R160" s="77"/>
      <c r="S160" s="77"/>
      <c r="T160" s="77">
        <f>(T159-S159)/T159</f>
        <v>1</v>
      </c>
      <c r="U160" s="486">
        <v>0</v>
      </c>
      <c r="V160" s="486">
        <f>U160</f>
        <v>0</v>
      </c>
      <c r="W160" s="486">
        <f>V160</f>
        <v>0</v>
      </c>
      <c r="X160" s="486">
        <f>W160</f>
        <v>0</v>
      </c>
      <c r="Y160" s="486">
        <f>X160</f>
        <v>0</v>
      </c>
    </row>
    <row r="161" spans="1:25" ht="15.75" hidden="1" customHeight="1" outlineLevel="1">
      <c r="B161" s="159"/>
      <c r="C161" s="164" t="s">
        <v>1289</v>
      </c>
      <c r="D161" s="110"/>
      <c r="E161" s="114"/>
      <c r="F161" s="114"/>
      <c r="G161" s="95"/>
      <c r="H161" s="88"/>
      <c r="I161" s="82"/>
      <c r="J161" s="82"/>
      <c r="K161" s="82"/>
      <c r="L161" s="82">
        <f>L159*0.666666666</f>
        <v>636660.93269667239</v>
      </c>
      <c r="M161" s="82">
        <f>M159*0.666666666</f>
        <v>610841.73272249172</v>
      </c>
      <c r="N161" s="82">
        <f>N159*0.446</f>
        <v>519034.19480000006</v>
      </c>
      <c r="O161" s="82">
        <f>O159*0.446</f>
        <v>545606.07200000004</v>
      </c>
      <c r="P161" s="82">
        <f>P159*0.446</f>
        <v>538781.4915</v>
      </c>
      <c r="Q161" s="82">
        <f t="shared" ref="Q161:Y161" si="73">Q159*0.446</f>
        <v>554764.10219999996</v>
      </c>
      <c r="R161" s="82"/>
      <c r="S161" s="82"/>
      <c r="T161" s="82">
        <f>T159*0.446</f>
        <v>554764.10219999996</v>
      </c>
      <c r="U161" s="82">
        <f t="shared" si="73"/>
        <v>554764.10219999996</v>
      </c>
      <c r="V161" s="82">
        <f t="shared" si="73"/>
        <v>554764.10219999996</v>
      </c>
      <c r="W161" s="82">
        <f t="shared" si="73"/>
        <v>554764.10219999996</v>
      </c>
      <c r="X161" s="82">
        <f t="shared" si="73"/>
        <v>554764.10219999996</v>
      </c>
      <c r="Y161" s="82">
        <f t="shared" si="73"/>
        <v>554764.10219999996</v>
      </c>
    </row>
    <row r="162" spans="1:25" ht="15.75" hidden="1" customHeight="1" outlineLevel="1">
      <c r="B162" s="159"/>
      <c r="C162" s="494"/>
      <c r="D162" s="110"/>
      <c r="E162" s="114"/>
      <c r="F162" s="114"/>
      <c r="G162" s="95"/>
      <c r="H162" s="88"/>
      <c r="I162" s="144"/>
      <c r="J162" s="144"/>
      <c r="K162" s="144"/>
      <c r="L162" s="144"/>
      <c r="M162" s="486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</row>
    <row r="163" spans="1:25" s="157" customFormat="1" ht="15.75" hidden="1" customHeight="1" outlineLevel="1">
      <c r="A163" s="460"/>
      <c r="B163" s="161"/>
      <c r="C163" s="162" t="s">
        <v>1265</v>
      </c>
      <c r="D163" s="163"/>
      <c r="E163" s="530"/>
      <c r="F163" s="530"/>
      <c r="G163" s="95"/>
      <c r="H163" s="1324"/>
      <c r="I163" s="141"/>
      <c r="J163" s="141">
        <f t="shared" ref="J163:U163" si="74">SUM(J164:J167)</f>
        <v>1024058.16</v>
      </c>
      <c r="K163" s="141">
        <f t="shared" si="74"/>
        <v>1323310.352</v>
      </c>
      <c r="L163" s="141">
        <f t="shared" si="74"/>
        <v>1458215.5418617134</v>
      </c>
      <c r="M163" s="141">
        <f>SUM(M164:M167)</f>
        <v>998296.06315773632</v>
      </c>
      <c r="N163" s="141">
        <f t="shared" si="74"/>
        <v>1172246.062251233</v>
      </c>
      <c r="O163" s="141">
        <f t="shared" si="74"/>
        <v>1076809.622084866</v>
      </c>
      <c r="P163" s="141">
        <f t="shared" si="74"/>
        <v>1107200</v>
      </c>
      <c r="Q163" s="141">
        <f t="shared" si="74"/>
        <v>1512634.9999999998</v>
      </c>
      <c r="R163" s="141"/>
      <c r="S163" s="141"/>
      <c r="T163" s="141">
        <f>SUM(T164:T167)</f>
        <v>1512634.9999999998</v>
      </c>
      <c r="U163" s="141">
        <f t="shared" si="74"/>
        <v>1645884.2766728699</v>
      </c>
      <c r="V163" s="141">
        <f>SUM(V164:V167)</f>
        <v>1711759.2407564693</v>
      </c>
      <c r="W163" s="141">
        <f>SUM(W164:W167)</f>
        <v>1780395.8342137169</v>
      </c>
      <c r="X163" s="141">
        <f>SUM(X164:X167)</f>
        <v>1851909.8308731599</v>
      </c>
      <c r="Y163" s="141">
        <f>SUM(Y164:Y167)</f>
        <v>1926421.8580674056</v>
      </c>
    </row>
    <row r="164" spans="1:25" ht="15.75" hidden="1" customHeight="1" outlineLevel="1">
      <c r="B164" s="159"/>
      <c r="C164" s="164" t="s">
        <v>1293</v>
      </c>
      <c r="D164" s="110"/>
      <c r="E164" s="114"/>
      <c r="F164" s="114"/>
      <c r="G164" s="95"/>
      <c r="H164" s="88"/>
      <c r="I164" s="82"/>
      <c r="J164" s="452">
        <f>1024058.16-21033</f>
        <v>1003025.16</v>
      </c>
      <c r="K164" s="82">
        <f>K110*K51</f>
        <v>1294226.608</v>
      </c>
      <c r="L164" s="82">
        <f>L110*L51</f>
        <v>1444887.0936070506</v>
      </c>
      <c r="M164" s="82">
        <f>M110*M14</f>
        <v>921968.33159829315</v>
      </c>
      <c r="N164" s="82">
        <f>N110*N51</f>
        <v>1078206.9590554219</v>
      </c>
      <c r="O164" s="82">
        <f>O110*O50</f>
        <v>1012093.1840296821</v>
      </c>
      <c r="P164" s="82">
        <f>P110*P14</f>
        <v>1048000</v>
      </c>
      <c r="Q164" s="82">
        <f t="shared" ref="Q164:Y164" si="75">Q110*Q14</f>
        <v>1441406.9999999998</v>
      </c>
      <c r="R164" s="82"/>
      <c r="S164" s="82"/>
      <c r="T164" s="82">
        <f>T110*T14</f>
        <v>1441406.9999999998</v>
      </c>
      <c r="U164" s="82">
        <f t="shared" si="75"/>
        <v>1571358.899360019</v>
      </c>
      <c r="V164" s="82">
        <f t="shared" si="75"/>
        <v>1637233.8634436184</v>
      </c>
      <c r="W164" s="82">
        <f t="shared" si="75"/>
        <v>1705870.456900866</v>
      </c>
      <c r="X164" s="82">
        <f t="shared" si="75"/>
        <v>1777384.453560309</v>
      </c>
      <c r="Y164" s="82">
        <f t="shared" si="75"/>
        <v>1851896.4807545547</v>
      </c>
    </row>
    <row r="165" spans="1:25" ht="15.75" hidden="1" customHeight="1" outlineLevel="1">
      <c r="B165" s="159"/>
      <c r="C165" s="164" t="s">
        <v>1294</v>
      </c>
      <c r="D165" s="110"/>
      <c r="E165" s="114"/>
      <c r="F165" s="114"/>
      <c r="G165" s="95"/>
      <c r="H165" s="88"/>
      <c r="I165" s="82"/>
      <c r="J165" s="82">
        <f>J111*J50</f>
        <v>0</v>
      </c>
      <c r="K165" s="82">
        <f>K111*K50</f>
        <v>0</v>
      </c>
      <c r="L165" s="82">
        <f>L111*L50</f>
        <v>0</v>
      </c>
      <c r="M165" s="82">
        <f>M111*M14</f>
        <v>42934.349002186835</v>
      </c>
      <c r="N165" s="82">
        <f>N111*N51</f>
        <v>69718.645472756602</v>
      </c>
      <c r="O165" s="82">
        <f>O111*O50</f>
        <v>43144.292036789288</v>
      </c>
      <c r="P165" s="82">
        <f>P111*P14</f>
        <v>35200</v>
      </c>
      <c r="Q165" s="82">
        <f t="shared" ref="Q165:Y165" si="76">Q111*Q14</f>
        <v>42085</v>
      </c>
      <c r="R165" s="82"/>
      <c r="S165" s="82"/>
      <c r="T165" s="82">
        <f>T111*T14</f>
        <v>42085</v>
      </c>
      <c r="U165" s="82">
        <f t="shared" si="76"/>
        <v>44033.252431787128</v>
      </c>
      <c r="V165" s="82">
        <f t="shared" si="76"/>
        <v>44033.252431787128</v>
      </c>
      <c r="W165" s="82">
        <f t="shared" si="76"/>
        <v>44033.252431787128</v>
      </c>
      <c r="X165" s="82">
        <f t="shared" si="76"/>
        <v>44033.252431787128</v>
      </c>
      <c r="Y165" s="82">
        <f t="shared" si="76"/>
        <v>44033.252431787128</v>
      </c>
    </row>
    <row r="166" spans="1:25" ht="15.75" hidden="1" customHeight="1" outlineLevel="1">
      <c r="B166" s="159"/>
      <c r="C166" s="164" t="s">
        <v>1295</v>
      </c>
      <c r="D166" s="110"/>
      <c r="E166" s="114"/>
      <c r="F166" s="114"/>
      <c r="G166" s="95"/>
      <c r="H166" s="88"/>
      <c r="I166" s="82"/>
      <c r="J166" s="82">
        <v>21033</v>
      </c>
      <c r="K166" s="82">
        <f>K112*K51</f>
        <v>29083.744000000002</v>
      </c>
      <c r="L166" s="82">
        <f>L112*L51</f>
        <v>13328.448254662906</v>
      </c>
      <c r="M166" s="82">
        <f>M112*M14</f>
        <v>33393.382557256438</v>
      </c>
      <c r="N166" s="82">
        <f>N112*N51</f>
        <v>24320.457723054627</v>
      </c>
      <c r="O166" s="82">
        <f>O112*O50</f>
        <v>21572.146018394644</v>
      </c>
      <c r="P166" s="82">
        <f>P112*P14</f>
        <v>24000</v>
      </c>
      <c r="Q166" s="82">
        <f t="shared" ref="Q166:Y166" si="77">Q112*Q14</f>
        <v>29143</v>
      </c>
      <c r="R166" s="82"/>
      <c r="S166" s="82"/>
      <c r="T166" s="82">
        <f>T112*T14</f>
        <v>29143</v>
      </c>
      <c r="U166" s="82">
        <f t="shared" si="77"/>
        <v>30492.124881063854</v>
      </c>
      <c r="V166" s="82">
        <f t="shared" si="77"/>
        <v>30492.124881063854</v>
      </c>
      <c r="W166" s="82">
        <f t="shared" si="77"/>
        <v>30492.124881063854</v>
      </c>
      <c r="X166" s="82">
        <f t="shared" si="77"/>
        <v>30492.124881063854</v>
      </c>
      <c r="Y166" s="82">
        <f t="shared" si="77"/>
        <v>30492.124881063854</v>
      </c>
    </row>
    <row r="167" spans="1:25" ht="15.75" hidden="1" customHeight="1" outlineLevel="1">
      <c r="B167" s="159"/>
      <c r="C167" s="164" t="s">
        <v>1296</v>
      </c>
      <c r="D167" s="110"/>
      <c r="E167" s="114"/>
      <c r="F167" s="114"/>
      <c r="G167" s="95"/>
      <c r="H167" s="88"/>
      <c r="I167" s="82"/>
      <c r="J167" s="82">
        <f t="shared" ref="J167:Y167" si="78">J113*J50</f>
        <v>0</v>
      </c>
      <c r="K167" s="82">
        <f t="shared" si="78"/>
        <v>0</v>
      </c>
      <c r="L167" s="82">
        <f t="shared" si="78"/>
        <v>0</v>
      </c>
      <c r="M167" s="82">
        <f t="shared" si="78"/>
        <v>0</v>
      </c>
      <c r="N167" s="82">
        <f t="shared" si="78"/>
        <v>0</v>
      </c>
      <c r="O167" s="82">
        <f t="shared" si="78"/>
        <v>0</v>
      </c>
      <c r="P167" s="82">
        <f>P113*P14</f>
        <v>0</v>
      </c>
      <c r="Q167" s="82">
        <f t="shared" si="78"/>
        <v>0</v>
      </c>
      <c r="R167" s="82"/>
      <c r="S167" s="82"/>
      <c r="T167" s="82">
        <f>T113*T50</f>
        <v>0</v>
      </c>
      <c r="U167" s="82">
        <f t="shared" si="78"/>
        <v>0</v>
      </c>
      <c r="V167" s="82">
        <f t="shared" si="78"/>
        <v>0</v>
      </c>
      <c r="W167" s="82">
        <f t="shared" si="78"/>
        <v>0</v>
      </c>
      <c r="X167" s="82">
        <f t="shared" si="78"/>
        <v>0</v>
      </c>
      <c r="Y167" s="82">
        <f t="shared" si="78"/>
        <v>0</v>
      </c>
    </row>
    <row r="168" spans="1:25" ht="15.75" hidden="1" customHeight="1" outlineLevel="1">
      <c r="B168" s="159"/>
      <c r="C168" s="494"/>
      <c r="D168" s="110"/>
      <c r="E168" s="114"/>
      <c r="F168" s="114"/>
      <c r="G168" s="95"/>
      <c r="H168" s="88"/>
      <c r="I168" s="144"/>
      <c r="J168" s="144"/>
      <c r="K168" s="144"/>
      <c r="L168" s="144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</row>
    <row r="169" spans="1:25" s="157" customFormat="1" ht="15.75" hidden="1" customHeight="1" outlineLevel="1">
      <c r="A169" s="460"/>
      <c r="B169" s="161"/>
      <c r="C169" s="162" t="s">
        <v>1297</v>
      </c>
      <c r="D169" s="163"/>
      <c r="E169" s="530"/>
      <c r="F169" s="530"/>
      <c r="G169" s="95"/>
      <c r="H169" s="1324"/>
      <c r="I169" s="141"/>
      <c r="J169" s="141">
        <f>SUM(J170:J179)</f>
        <v>8137064.1574306982</v>
      </c>
      <c r="K169" s="141">
        <f>SUM(K170:K179)</f>
        <v>7124250.7300000004</v>
      </c>
      <c r="L169" s="141">
        <f>SUM(L170:L179)</f>
        <v>6423440.3910010355</v>
      </c>
      <c r="M169" s="141">
        <f>SUM(M170:M179)-M173</f>
        <v>5387886.257644061</v>
      </c>
      <c r="N169" s="141">
        <f t="shared" ref="N169:V169" si="79">SUM(N170:N179)-N173</f>
        <v>8206529.8601088002</v>
      </c>
      <c r="O169" s="141">
        <f t="shared" si="79"/>
        <v>9732294.2419999987</v>
      </c>
      <c r="P169" s="141">
        <f t="shared" si="79"/>
        <v>10278376.688821871</v>
      </c>
      <c r="Q169" s="141">
        <f t="shared" si="79"/>
        <v>10950814.644000001</v>
      </c>
      <c r="R169" s="141"/>
      <c r="S169" s="141"/>
      <c r="T169" s="141">
        <f>SUM(T170:T179)-T173</f>
        <v>10316674.284000002</v>
      </c>
      <c r="U169" s="141">
        <f t="shared" si="79"/>
        <v>10950814.644000001</v>
      </c>
      <c r="V169" s="141">
        <f t="shared" si="79"/>
        <v>10950814.644000001</v>
      </c>
      <c r="W169" s="141">
        <f>SUM(W170:W179)-W173</f>
        <v>10950814.644000001</v>
      </c>
      <c r="X169" s="141">
        <f>SUM(X170:X179)-X173</f>
        <v>10950814.644000001</v>
      </c>
      <c r="Y169" s="141">
        <f>SUM(Y170:Y179)-Y173</f>
        <v>10950814.644000001</v>
      </c>
    </row>
    <row r="170" spans="1:25" ht="15.75" hidden="1" customHeight="1" outlineLevel="1">
      <c r="B170" s="159"/>
      <c r="C170" s="164" t="s">
        <v>1298</v>
      </c>
      <c r="D170" s="110"/>
      <c r="E170" s="114"/>
      <c r="F170" s="114"/>
      <c r="G170" s="95"/>
      <c r="H170" s="88"/>
      <c r="I170" s="82"/>
      <c r="J170" s="82">
        <v>170000</v>
      </c>
      <c r="K170" s="82">
        <v>188600</v>
      </c>
      <c r="L170" s="82">
        <f>L38*L43*L16*0.5%</f>
        <v>290113.92464928009</v>
      </c>
      <c r="M170" s="82">
        <f>M38*M43*M16*0.5%</f>
        <v>258378.7248</v>
      </c>
      <c r="N170" s="82">
        <f>N38*N43*N16*1.92%</f>
        <v>1369092.2201088001</v>
      </c>
      <c r="O170" s="82">
        <f>1239551*'Control list'!K17</f>
        <v>1363506.1</v>
      </c>
      <c r="P170" s="82">
        <f>P38*P43*P16*2.3%</f>
        <v>1882651.2388218697</v>
      </c>
      <c r="Q170" s="82">
        <f t="shared" ref="Q170:Y170" si="80">Q38*Q43*Q16*2.5%</f>
        <v>2378026.35</v>
      </c>
      <c r="R170" s="82"/>
      <c r="S170" s="82"/>
      <c r="T170" s="82">
        <f>T38*T43*T16*2.5%</f>
        <v>1743885.99</v>
      </c>
      <c r="U170" s="82">
        <f t="shared" si="80"/>
        <v>2378026.35</v>
      </c>
      <c r="V170" s="82">
        <f t="shared" si="80"/>
        <v>2378026.35</v>
      </c>
      <c r="W170" s="82">
        <f t="shared" si="80"/>
        <v>2378026.35</v>
      </c>
      <c r="X170" s="82">
        <f t="shared" si="80"/>
        <v>2378026.35</v>
      </c>
      <c r="Y170" s="82">
        <f t="shared" si="80"/>
        <v>2378026.35</v>
      </c>
    </row>
    <row r="171" spans="1:25" ht="15.75" hidden="1" customHeight="1" outlineLevel="1">
      <c r="B171" s="159"/>
      <c r="C171" s="164" t="s">
        <v>1299</v>
      </c>
      <c r="D171" s="110"/>
      <c r="E171" s="114"/>
      <c r="F171" s="114"/>
      <c r="G171" s="95"/>
      <c r="H171" s="88"/>
      <c r="I171" s="82"/>
      <c r="J171" s="82">
        <v>200000</v>
      </c>
      <c r="K171" s="82">
        <v>222568</v>
      </c>
      <c r="L171" s="82">
        <f>173058*'Control list'!H19</f>
        <v>190363.80000000002</v>
      </c>
      <c r="M171" s="82">
        <f>162140*'Control list'!$I$17</f>
        <v>178354</v>
      </c>
      <c r="N171" s="87">
        <f>181758*'Control list'!J17</f>
        <v>199933.80000000002</v>
      </c>
      <c r="O171" s="87">
        <f>198580*'Control list'!K17</f>
        <v>218438.00000000003</v>
      </c>
      <c r="P171" s="87">
        <f>181174*'Control list'!L17</f>
        <v>190232.7</v>
      </c>
      <c r="Q171" s="87">
        <f>181176*'Control list'!M17</f>
        <v>190234.80000000002</v>
      </c>
      <c r="R171" s="87"/>
      <c r="S171" s="87"/>
      <c r="T171" s="87">
        <f>181176*'Control list'!P17</f>
        <v>190234.80000000002</v>
      </c>
      <c r="U171" s="87">
        <f>Q171</f>
        <v>190234.80000000002</v>
      </c>
      <c r="V171" s="87">
        <f>U171</f>
        <v>190234.80000000002</v>
      </c>
      <c r="W171" s="87">
        <f>V171</f>
        <v>190234.80000000002</v>
      </c>
      <c r="X171" s="87">
        <f>W171</f>
        <v>190234.80000000002</v>
      </c>
      <c r="Y171" s="87">
        <f>X171</f>
        <v>190234.80000000002</v>
      </c>
    </row>
    <row r="172" spans="1:25" ht="15.75" hidden="1" customHeight="1" outlineLevel="1">
      <c r="B172" s="159"/>
      <c r="C172" s="164" t="s">
        <v>1287</v>
      </c>
      <c r="D172" s="110"/>
      <c r="E172" s="114"/>
      <c r="F172" s="114"/>
      <c r="G172" s="95"/>
      <c r="H172" s="88"/>
      <c r="I172" s="82"/>
      <c r="J172" s="82">
        <f>3246152*21.5%+20454</f>
        <v>718376.67999999993</v>
      </c>
      <c r="K172" s="82">
        <v>771968</v>
      </c>
      <c r="L172" s="82">
        <f>(260856+168569)*'Control list'!H19</f>
        <v>472367.50000000006</v>
      </c>
      <c r="M172" s="82">
        <f>(393030+274159)*'Control list'!I17</f>
        <v>733907.9</v>
      </c>
      <c r="N172" s="87">
        <f>(308209+190+6385+218579+2827)*'Control list'!J17</f>
        <v>589809</v>
      </c>
      <c r="O172" s="87">
        <f>(328869+228959+170+5506+2803)*'Control list'!K17</f>
        <v>622937.70000000007</v>
      </c>
      <c r="P172" s="87">
        <f>(344958+234528+171+5117+2626)*'Control list'!L17</f>
        <v>616770</v>
      </c>
      <c r="Q172" s="87">
        <f>(376609+241564+185+5196+2664)*'Control list'!M17</f>
        <v>657528.9</v>
      </c>
      <c r="R172" s="87"/>
      <c r="S172" s="87"/>
      <c r="T172" s="87">
        <f>(376609+241564+185+5196+2664)*'Control list'!P17</f>
        <v>657528.9</v>
      </c>
      <c r="U172" s="87">
        <f>Q172*(1+U173)</f>
        <v>657528.9</v>
      </c>
      <c r="V172" s="87">
        <f>U172*(1+V173)</f>
        <v>657528.9</v>
      </c>
      <c r="W172" s="87">
        <f>V172*(1+W173)</f>
        <v>657528.9</v>
      </c>
      <c r="X172" s="87">
        <f>W172*(1+X173)</f>
        <v>657528.9</v>
      </c>
      <c r="Y172" s="87">
        <f>X172*(1+Y173)</f>
        <v>657528.9</v>
      </c>
    </row>
    <row r="173" spans="1:25" ht="15.75" hidden="1" customHeight="1" outlineLevel="1">
      <c r="B173" s="159"/>
      <c r="C173" s="164" t="s">
        <v>1288</v>
      </c>
      <c r="D173" s="110"/>
      <c r="E173" s="114"/>
      <c r="F173" s="114"/>
      <c r="G173" s="95"/>
      <c r="H173" s="88"/>
      <c r="I173" s="82"/>
      <c r="J173" s="82"/>
      <c r="K173" s="82"/>
      <c r="L173" s="82"/>
      <c r="M173" s="486">
        <f>M172/L172-1</f>
        <v>0.55367992082435791</v>
      </c>
      <c r="N173" s="77">
        <f>(N172-M172)/N172</f>
        <v>-0.24431451537701193</v>
      </c>
      <c r="O173" s="77">
        <f>(O172-N172)/O172</f>
        <v>5.3181401607255534E-2</v>
      </c>
      <c r="P173" s="77">
        <f>(P172-O172)/P172</f>
        <v>-1.0000000000000113E-2</v>
      </c>
      <c r="Q173" s="77">
        <f>(Q172-P172)/Q172</f>
        <v>6.1987997789907059E-2</v>
      </c>
      <c r="R173" s="77"/>
      <c r="S173" s="77"/>
      <c r="T173" s="77">
        <f>(T172-S172)/T172</f>
        <v>1</v>
      </c>
      <c r="U173" s="486">
        <v>0</v>
      </c>
      <c r="V173" s="486">
        <f>U173</f>
        <v>0</v>
      </c>
      <c r="W173" s="486">
        <f>V173</f>
        <v>0</v>
      </c>
      <c r="X173" s="486">
        <f>W173</f>
        <v>0</v>
      </c>
      <c r="Y173" s="486">
        <f>X173</f>
        <v>0</v>
      </c>
    </row>
    <row r="174" spans="1:25" ht="15.75" hidden="1" customHeight="1" outlineLevel="1">
      <c r="B174" s="159"/>
      <c r="C174" s="164" t="s">
        <v>1289</v>
      </c>
      <c r="D174" s="110"/>
      <c r="E174" s="114"/>
      <c r="F174" s="114"/>
      <c r="G174" s="95"/>
      <c r="H174" s="88"/>
      <c r="I174" s="82"/>
      <c r="J174" s="82"/>
      <c r="K174" s="82"/>
      <c r="L174" s="82">
        <f>L172*0.666666666</f>
        <v>314911.66635175503</v>
      </c>
      <c r="M174" s="82">
        <f>M172*0.666666666</f>
        <v>489271.9328440614</v>
      </c>
      <c r="N174" s="82">
        <f t="shared" ref="N174:Y174" si="81">N172*0.46</f>
        <v>271312.14</v>
      </c>
      <c r="O174" s="82">
        <f t="shared" si="81"/>
        <v>286551.34200000006</v>
      </c>
      <c r="P174" s="82">
        <f t="shared" si="81"/>
        <v>283714.2</v>
      </c>
      <c r="Q174" s="82">
        <f t="shared" si="81"/>
        <v>302463.29400000005</v>
      </c>
      <c r="R174" s="82"/>
      <c r="S174" s="82"/>
      <c r="T174" s="82">
        <f>T172*0.46</f>
        <v>302463.29400000005</v>
      </c>
      <c r="U174" s="82">
        <f t="shared" si="81"/>
        <v>302463.29400000005</v>
      </c>
      <c r="V174" s="82">
        <f t="shared" si="81"/>
        <v>302463.29400000005</v>
      </c>
      <c r="W174" s="82">
        <f t="shared" si="81"/>
        <v>302463.29400000005</v>
      </c>
      <c r="X174" s="82">
        <f t="shared" si="81"/>
        <v>302463.29400000005</v>
      </c>
      <c r="Y174" s="82">
        <f t="shared" si="81"/>
        <v>302463.29400000005</v>
      </c>
    </row>
    <row r="175" spans="1:25" ht="15.75" hidden="1" customHeight="1" outlineLevel="1">
      <c r="B175" s="159"/>
      <c r="C175" s="164" t="s">
        <v>1300</v>
      </c>
      <c r="D175" s="110"/>
      <c r="E175" s="114"/>
      <c r="F175" s="114"/>
      <c r="G175" s="95"/>
      <c r="H175" s="88"/>
      <c r="I175" s="82"/>
      <c r="J175" s="82">
        <v>360000</v>
      </c>
      <c r="K175" s="82">
        <v>367803</v>
      </c>
      <c r="L175" s="82">
        <f>274685*'Control list'!H19</f>
        <v>302153.5</v>
      </c>
      <c r="M175" s="82">
        <f>(251842)*'Control list'!I17</f>
        <v>277026.2</v>
      </c>
      <c r="N175" s="82">
        <f>297842*'Control list'!J17</f>
        <v>327626.2</v>
      </c>
      <c r="O175" s="82">
        <f>317090*'Control list'!K17</f>
        <v>348799</v>
      </c>
      <c r="P175" s="82">
        <f>322041*'Control list'!L17</f>
        <v>338143.05</v>
      </c>
      <c r="Q175" s="82">
        <f>331777*'Control list'!M17</f>
        <v>348365.85000000003</v>
      </c>
      <c r="R175" s="82"/>
      <c r="S175" s="82"/>
      <c r="T175" s="82">
        <f>331777*'Control list'!P17</f>
        <v>348365.85000000003</v>
      </c>
      <c r="U175" s="82">
        <f>Q175*(1+U86)</f>
        <v>348365.85000000003</v>
      </c>
      <c r="V175" s="82">
        <f>U175*(1+V86)</f>
        <v>348365.85000000003</v>
      </c>
      <c r="W175" s="82">
        <f>V175*(1+W86)</f>
        <v>348365.85000000003</v>
      </c>
      <c r="X175" s="82">
        <f>W175*(1+X86)</f>
        <v>348365.85000000003</v>
      </c>
      <c r="Y175" s="82">
        <f>X175*(1+Y86)</f>
        <v>348365.85000000003</v>
      </c>
    </row>
    <row r="176" spans="1:25" ht="15.75" hidden="1" customHeight="1" outlineLevel="1">
      <c r="B176" s="159"/>
      <c r="C176" s="164" t="s">
        <v>1301</v>
      </c>
      <c r="D176" s="110"/>
      <c r="E176" s="114"/>
      <c r="F176" s="114"/>
      <c r="G176" s="95"/>
      <c r="H176" s="88"/>
      <c r="I176" s="82"/>
      <c r="J176" s="82">
        <f>125254.557331398+46720.5828299355+4102.97835874065+955039.236786149+174591+58783-85256+604100.767621557</f>
        <v>1883336.12292778</v>
      </c>
      <c r="K176" s="82">
        <v>652265</v>
      </c>
      <c r="L176" s="82">
        <f>(35484+65786+36559+20850+33996+3254+36318+44477+6574+81696+68502+32647)*'Control list'!H19+372020*'Control list'!H19</f>
        <v>921979.3</v>
      </c>
      <c r="M176" s="82">
        <f>(3522381-237396)*'Control list'!I17-M158-M178-M177-M179+374433*'Control list'!I17</f>
        <v>1094735.3999999999</v>
      </c>
      <c r="N176" s="82">
        <f>(5747062-571615-223239-222032-3781200-164333)*'Control list'!J17</f>
        <v>863107.3</v>
      </c>
      <c r="O176" s="82">
        <f>(7347079-698364-201776-383204-151022-5054000)*'Control list'!K17</f>
        <v>944584.3</v>
      </c>
      <c r="P176" s="82">
        <f>(7564131-745650-183371-5300500-229728-176618)*'Control list'!L17</f>
        <v>974677.20000000007</v>
      </c>
      <c r="Q176" s="82">
        <f>(8298888-795150-766409-5440000-228000-195186)*'Control list'!M17</f>
        <v>917850.15</v>
      </c>
      <c r="R176" s="82"/>
      <c r="S176" s="82"/>
      <c r="T176" s="82">
        <f>(8298888-795150-766409-5440000-228000-195186)*'Control list'!P17</f>
        <v>917850.15</v>
      </c>
      <c r="U176" s="82">
        <f>Q176*(1+U86)</f>
        <v>917850.15</v>
      </c>
      <c r="V176" s="82">
        <f>U176*(1+V86)</f>
        <v>917850.15</v>
      </c>
      <c r="W176" s="82">
        <f>V176*(1+W86)</f>
        <v>917850.15</v>
      </c>
      <c r="X176" s="82">
        <f>W176*(1+X86)</f>
        <v>917850.15</v>
      </c>
      <c r="Y176" s="82">
        <f>X176*(1+Y86)</f>
        <v>917850.15</v>
      </c>
    </row>
    <row r="177" spans="1:25" ht="15.75" hidden="1" customHeight="1" outlineLevel="1">
      <c r="B177" s="159"/>
      <c r="C177" s="164" t="s">
        <v>1302</v>
      </c>
      <c r="D177" s="110"/>
      <c r="E177" s="114"/>
      <c r="F177" s="114"/>
      <c r="G177" s="95"/>
      <c r="H177" s="88"/>
      <c r="I177" s="82"/>
      <c r="J177" s="82">
        <v>4255351.3545029182</v>
      </c>
      <c r="K177" s="82">
        <f>1425277.61+3050927.12</f>
        <v>4476204.7300000004</v>
      </c>
      <c r="L177" s="82">
        <f>(2299709+989890)*'Control list'!H19</f>
        <v>3618558.9000000004</v>
      </c>
      <c r="M177" s="82">
        <f>(1866841)*'Control list'!I17</f>
        <v>2053525.1</v>
      </c>
      <c r="N177" s="82">
        <f>3781200*'Control list'!J17</f>
        <v>4159320.0000000005</v>
      </c>
      <c r="O177" s="82">
        <f>5054000*'Control list'!K17</f>
        <v>5559400</v>
      </c>
      <c r="P177" s="82">
        <f>5300500*'Control list'!L17</f>
        <v>5565525</v>
      </c>
      <c r="Q177" s="82">
        <f>5440000*'Control list'!M17</f>
        <v>5712000</v>
      </c>
      <c r="R177" s="82"/>
      <c r="S177" s="82"/>
      <c r="T177" s="82">
        <f>5440000*'Control list'!P17</f>
        <v>5712000</v>
      </c>
      <c r="U177" s="82">
        <f>Q177</f>
        <v>5712000</v>
      </c>
      <c r="V177" s="82">
        <f>U177</f>
        <v>5712000</v>
      </c>
      <c r="W177" s="82">
        <f>V177</f>
        <v>5712000</v>
      </c>
      <c r="X177" s="82">
        <f>W177</f>
        <v>5712000</v>
      </c>
      <c r="Y177" s="82">
        <f>X177</f>
        <v>5712000</v>
      </c>
    </row>
    <row r="178" spans="1:25" ht="15.75" hidden="1" customHeight="1" outlineLevel="1">
      <c r="B178" s="159"/>
      <c r="C178" s="164" t="s">
        <v>1303</v>
      </c>
      <c r="D178" s="110"/>
      <c r="E178" s="114"/>
      <c r="F178" s="114"/>
      <c r="G178" s="95"/>
      <c r="H178" s="88"/>
      <c r="I178" s="82"/>
      <c r="J178" s="82">
        <v>400000</v>
      </c>
      <c r="K178" s="82">
        <v>323204</v>
      </c>
      <c r="L178" s="82">
        <f>219165*'Control list'!H19</f>
        <v>241081.50000000003</v>
      </c>
      <c r="M178" s="82">
        <f>174176*'Control list'!I17</f>
        <v>191593.60000000001</v>
      </c>
      <c r="N178" s="82">
        <f>223239*'Control list'!J17</f>
        <v>245562.90000000002</v>
      </c>
      <c r="O178" s="82">
        <f>201776*'Control list'!K17</f>
        <v>221953.6</v>
      </c>
      <c r="P178" s="82">
        <f>229728*'Control list'!L17</f>
        <v>241214.40000000002</v>
      </c>
      <c r="Q178" s="82">
        <f>228000*'Control list'!M17</f>
        <v>239400</v>
      </c>
      <c r="R178" s="82"/>
      <c r="S178" s="82"/>
      <c r="T178" s="82">
        <f>228000*'Control list'!P17</f>
        <v>239400</v>
      </c>
      <c r="U178" s="82">
        <f>Q178*(1+U86)</f>
        <v>239400</v>
      </c>
      <c r="V178" s="82">
        <f>U178*(1+V86)</f>
        <v>239400</v>
      </c>
      <c r="W178" s="82">
        <f>V178*(1+W86)</f>
        <v>239400</v>
      </c>
      <c r="X178" s="82">
        <f>W178*(1+X86)</f>
        <v>239400</v>
      </c>
      <c r="Y178" s="82">
        <f>X178*(1+Y86)</f>
        <v>239400</v>
      </c>
    </row>
    <row r="179" spans="1:25" ht="15.75" hidden="1" customHeight="1" outlineLevel="1">
      <c r="B179" s="159"/>
      <c r="C179" s="164" t="s">
        <v>1304</v>
      </c>
      <c r="D179" s="110"/>
      <c r="E179" s="114"/>
      <c r="F179" s="114"/>
      <c r="G179" s="95"/>
      <c r="H179" s="88"/>
      <c r="I179" s="82"/>
      <c r="J179" s="82">
        <v>150000</v>
      </c>
      <c r="K179" s="82">
        <v>121638</v>
      </c>
      <c r="L179" s="82">
        <f>65373*'Control list'!H19</f>
        <v>71910.3</v>
      </c>
      <c r="M179" s="82">
        <f>(90916+10078)*'Control list'!I17</f>
        <v>111093.40000000001</v>
      </c>
      <c r="N179" s="82">
        <f>164333*'Control list'!J17</f>
        <v>180766.30000000002</v>
      </c>
      <c r="O179" s="82">
        <f>151022*'Control list'!K17</f>
        <v>166124.20000000001</v>
      </c>
      <c r="P179" s="82">
        <f>176618*'Control list'!L17</f>
        <v>185448.9</v>
      </c>
      <c r="Q179" s="82">
        <f>195186*'Control list'!M17</f>
        <v>204945.30000000002</v>
      </c>
      <c r="R179" s="82"/>
      <c r="S179" s="82"/>
      <c r="T179" s="82">
        <f>195186*'Control list'!P17</f>
        <v>204945.30000000002</v>
      </c>
      <c r="U179" s="82">
        <f>Q179*(1+U86)</f>
        <v>204945.30000000002</v>
      </c>
      <c r="V179" s="82">
        <f>U179*(1+V86)</f>
        <v>204945.30000000002</v>
      </c>
      <c r="W179" s="82">
        <f>V179*(1+W86)</f>
        <v>204945.30000000002</v>
      </c>
      <c r="X179" s="82">
        <f>W179*(1+X86)</f>
        <v>204945.30000000002</v>
      </c>
      <c r="Y179" s="82">
        <f>X179*(1+Y86)</f>
        <v>204945.30000000002</v>
      </c>
    </row>
    <row r="180" spans="1:25" ht="15.75" hidden="1" customHeight="1" outlineLevel="1">
      <c r="B180" s="159"/>
      <c r="C180" s="164"/>
      <c r="D180" s="110"/>
      <c r="E180" s="114"/>
      <c r="F180" s="114"/>
      <c r="G180" s="95"/>
      <c r="H180" s="88"/>
      <c r="I180" s="82"/>
      <c r="J180" s="82"/>
      <c r="K180" s="82"/>
      <c r="L180" s="82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</row>
    <row r="181" spans="1:25" ht="15.75" hidden="1" customHeight="1" outlineLevel="1">
      <c r="B181" s="159"/>
      <c r="C181" s="164" t="s">
        <v>1840</v>
      </c>
      <c r="D181" s="110"/>
      <c r="E181" s="114"/>
      <c r="F181" s="114"/>
      <c r="G181" s="95"/>
      <c r="H181" s="88"/>
      <c r="I181" s="82"/>
      <c r="J181" s="82"/>
      <c r="K181" s="82"/>
      <c r="L181" s="82"/>
      <c r="M181" s="82">
        <f t="shared" ref="M181:Y181" si="82">M142+M154+M169</f>
        <v>22145439.682965934</v>
      </c>
      <c r="N181" s="82">
        <f t="shared" si="82"/>
        <v>32343405.508708805</v>
      </c>
      <c r="O181" s="82">
        <f t="shared" si="82"/>
        <v>36175641.741799995</v>
      </c>
      <c r="P181" s="82">
        <f>P142+P154+P169</f>
        <v>35934756.238321871</v>
      </c>
      <c r="Q181" s="82">
        <f>Q142+Q154+Q169</f>
        <v>37230918.700499997</v>
      </c>
      <c r="R181" s="82"/>
      <c r="S181" s="82"/>
      <c r="T181" s="82">
        <f>T142+T154+T169</f>
        <v>36596778.340499997</v>
      </c>
      <c r="U181" s="82">
        <f t="shared" si="82"/>
        <v>38807035.660257377</v>
      </c>
      <c r="V181" s="82">
        <f t="shared" si="82"/>
        <v>38510771.670101032</v>
      </c>
      <c r="W181" s="82">
        <f t="shared" si="82"/>
        <v>47991403.126377009</v>
      </c>
      <c r="X181" s="82">
        <f t="shared" si="82"/>
        <v>50519942.056198724</v>
      </c>
      <c r="Y181" s="82">
        <f t="shared" si="82"/>
        <v>46157144.53638003</v>
      </c>
    </row>
    <row r="182" spans="1:25" ht="15.75" hidden="1" customHeight="1" outlineLevel="1">
      <c r="B182" s="159"/>
      <c r="C182" s="164" t="s">
        <v>1841</v>
      </c>
      <c r="D182" s="110"/>
      <c r="E182" s="114"/>
      <c r="F182" s="114"/>
      <c r="G182" s="95"/>
      <c r="H182" s="88"/>
      <c r="I182" s="82"/>
      <c r="J182" s="82"/>
      <c r="K182" s="82"/>
      <c r="L182" s="82"/>
      <c r="M182" s="82">
        <f t="shared" ref="M182:Y182" si="83">M181/M59</f>
        <v>2961.1818016440857</v>
      </c>
      <c r="N182" s="82">
        <f t="shared" si="83"/>
        <v>4118.3102205589639</v>
      </c>
      <c r="O182" s="82">
        <f t="shared" si="83"/>
        <v>4807.34084184524</v>
      </c>
      <c r="P182" s="82">
        <f t="shared" si="83"/>
        <v>4037.0977460640497</v>
      </c>
      <c r="Q182" s="82">
        <f t="shared" si="83"/>
        <v>4248.1329115032067</v>
      </c>
      <c r="R182" s="82"/>
      <c r="S182" s="82"/>
      <c r="T182" s="82">
        <f>T181/T59</f>
        <v>4175.7760471588335</v>
      </c>
      <c r="U182" s="82">
        <f t="shared" si="83"/>
        <v>4427.9714586791533</v>
      </c>
      <c r="V182" s="82">
        <f t="shared" si="83"/>
        <v>4394.1670603187249</v>
      </c>
      <c r="W182" s="82">
        <f t="shared" si="83"/>
        <v>5475.9287765746731</v>
      </c>
      <c r="X182" s="82">
        <f t="shared" si="83"/>
        <v>5764.4408472061314</v>
      </c>
      <c r="Y182" s="82">
        <f t="shared" si="83"/>
        <v>5266.6356794298808</v>
      </c>
    </row>
    <row r="183" spans="1:25" ht="15.75" hidden="1" customHeight="1" outlineLevel="1">
      <c r="B183" s="159"/>
      <c r="C183" s="164" t="s">
        <v>1842</v>
      </c>
      <c r="D183" s="110"/>
      <c r="E183" s="114"/>
      <c r="F183" s="114"/>
      <c r="G183" s="95"/>
      <c r="H183" s="88"/>
      <c r="I183" s="82"/>
      <c r="J183" s="82"/>
      <c r="K183" s="82"/>
      <c r="L183" s="82"/>
      <c r="M183" s="82">
        <f t="shared" ref="M183:Y183" si="84">M181/M50</f>
        <v>624.51324196673772</v>
      </c>
      <c r="N183" s="82">
        <f t="shared" si="84"/>
        <v>867.31613244971788</v>
      </c>
      <c r="O183" s="82">
        <f t="shared" si="84"/>
        <v>1006.1764381982089</v>
      </c>
      <c r="P183" s="82">
        <f t="shared" si="84"/>
        <v>832.85326501301358</v>
      </c>
      <c r="Q183" s="82">
        <f t="shared" si="84"/>
        <v>867.89355382010513</v>
      </c>
      <c r="R183" s="82"/>
      <c r="S183" s="82"/>
      <c r="T183" s="82">
        <f>T181/T50</f>
        <v>853.11104643454962</v>
      </c>
      <c r="U183" s="82">
        <f t="shared" si="84"/>
        <v>904.63456900815106</v>
      </c>
      <c r="V183" s="82">
        <f t="shared" si="84"/>
        <v>897.72833042311549</v>
      </c>
      <c r="W183" s="82">
        <f t="shared" si="84"/>
        <v>1118.7322490542058</v>
      </c>
      <c r="X183" s="82">
        <f t="shared" si="84"/>
        <v>1177.6752650842127</v>
      </c>
      <c r="Y183" s="82">
        <f t="shared" si="84"/>
        <v>1075.9736693075245</v>
      </c>
    </row>
    <row r="184" spans="1:25" ht="15.75" hidden="1" customHeight="1" outlineLevel="1">
      <c r="B184" s="159"/>
      <c r="C184" s="164"/>
      <c r="D184" s="110"/>
      <c r="E184" s="114"/>
      <c r="F184" s="114"/>
      <c r="G184" s="95"/>
      <c r="H184" s="88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</row>
    <row r="185" spans="1:25" ht="15.75" hidden="1" customHeight="1" outlineLevel="1">
      <c r="B185" s="159"/>
      <c r="C185" s="95" t="s">
        <v>1197</v>
      </c>
      <c r="D185" s="110"/>
      <c r="E185" s="114"/>
      <c r="F185" s="114"/>
      <c r="G185" s="95"/>
      <c r="H185" s="88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</row>
    <row r="186" spans="1:25" s="762" customFormat="1" ht="15.75" hidden="1" customHeight="1" outlineLevel="1">
      <c r="A186" s="848"/>
      <c r="B186" s="849"/>
      <c r="C186" s="850" t="s">
        <v>1271</v>
      </c>
      <c r="D186" s="760"/>
      <c r="E186" s="983"/>
      <c r="F186" s="983"/>
      <c r="G186" s="523"/>
      <c r="H186" s="759"/>
      <c r="I186" s="650"/>
      <c r="J186" s="650"/>
      <c r="K186" s="650"/>
      <c r="L186" s="650"/>
      <c r="M186" s="650"/>
      <c r="N186" s="650"/>
      <c r="O186" s="650"/>
      <c r="P186" s="650">
        <f>SUM(P187:P193)</f>
        <v>2677115.5109999999</v>
      </c>
      <c r="Q186" s="650">
        <f t="shared" ref="Q186:Y186" si="85">SUM(Q187:Q193)</f>
        <v>4762856.6999999993</v>
      </c>
      <c r="R186" s="650"/>
      <c r="S186" s="650"/>
      <c r="T186" s="650">
        <f>SUM(T187:T193)</f>
        <v>4762856.6999999993</v>
      </c>
      <c r="U186" s="650">
        <f t="shared" si="85"/>
        <v>7322735.6522397557</v>
      </c>
      <c r="V186" s="650">
        <f t="shared" si="85"/>
        <v>7447960.8715025978</v>
      </c>
      <c r="W186" s="650">
        <f t="shared" si="85"/>
        <v>7377579.6395092411</v>
      </c>
      <c r="X186" s="650">
        <f t="shared" si="85"/>
        <v>6999632.9725021021</v>
      </c>
      <c r="Y186" s="650">
        <f t="shared" si="85"/>
        <v>5791222.8102550618</v>
      </c>
    </row>
    <row r="187" spans="1:25" ht="15.75" hidden="1" customHeight="1" outlineLevel="1">
      <c r="B187" s="159"/>
      <c r="C187" s="164" t="s">
        <v>1305</v>
      </c>
      <c r="D187" s="110"/>
      <c r="E187" s="114"/>
      <c r="F187" s="114"/>
      <c r="G187" s="95"/>
      <c r="H187" s="88"/>
      <c r="I187" s="82"/>
      <c r="J187" s="82"/>
      <c r="K187" s="82"/>
      <c r="L187" s="82"/>
      <c r="M187" s="82"/>
      <c r="N187" s="82"/>
      <c r="O187" s="82"/>
      <c r="P187" s="82">
        <f t="shared" ref="P187:Y187" si="86">P118*P62</f>
        <v>100266.6</v>
      </c>
      <c r="Q187" s="82">
        <f>Q118*Q61</f>
        <v>63167.889400000007</v>
      </c>
      <c r="R187" s="82"/>
      <c r="S187" s="82"/>
      <c r="T187" s="82">
        <f>T118*T61</f>
        <v>63167.889400000007</v>
      </c>
      <c r="U187" s="82">
        <f t="shared" si="86"/>
        <v>351750.00000000006</v>
      </c>
      <c r="V187" s="82">
        <f t="shared" si="86"/>
        <v>357000</v>
      </c>
      <c r="W187" s="82">
        <f t="shared" si="86"/>
        <v>292675.00000000006</v>
      </c>
      <c r="X187" s="82">
        <f t="shared" si="86"/>
        <v>119047.61866666669</v>
      </c>
      <c r="Y187" s="82">
        <f t="shared" si="86"/>
        <v>92583.308933333319</v>
      </c>
    </row>
    <row r="188" spans="1:25" ht="15.75" hidden="1" customHeight="1" outlineLevel="1">
      <c r="B188" s="159"/>
      <c r="C188" s="164" t="s">
        <v>1306</v>
      </c>
      <c r="D188" s="110"/>
      <c r="E188" s="114"/>
      <c r="F188" s="114"/>
      <c r="G188" s="95"/>
      <c r="H188" s="88"/>
      <c r="I188" s="82"/>
      <c r="J188" s="82"/>
      <c r="K188" s="82"/>
      <c r="L188" s="82"/>
      <c r="M188" s="82"/>
      <c r="N188" s="82"/>
      <c r="O188" s="82"/>
      <c r="P188" s="82">
        <f t="shared" ref="P188:Y188" si="87">P119*P62</f>
        <v>281790.60000000003</v>
      </c>
      <c r="Q188" s="82">
        <f>Q119*Q61</f>
        <v>114850.70800000001</v>
      </c>
      <c r="R188" s="82"/>
      <c r="S188" s="82"/>
      <c r="T188" s="82">
        <f>T119*T61</f>
        <v>114850.70800000001</v>
      </c>
      <c r="U188" s="82">
        <f t="shared" si="87"/>
        <v>639545.4545454547</v>
      </c>
      <c r="V188" s="82">
        <f t="shared" si="87"/>
        <v>649090.90909090918</v>
      </c>
      <c r="W188" s="82">
        <f t="shared" si="87"/>
        <v>532136.36363636376</v>
      </c>
      <c r="X188" s="82">
        <f t="shared" si="87"/>
        <v>216450.21575757579</v>
      </c>
      <c r="Y188" s="82">
        <f t="shared" si="87"/>
        <v>168333.28896969697</v>
      </c>
    </row>
    <row r="189" spans="1:25" ht="15.75" hidden="1" customHeight="1" outlineLevel="1">
      <c r="B189" s="159"/>
      <c r="C189" s="164" t="s">
        <v>1828</v>
      </c>
      <c r="D189" s="110"/>
      <c r="E189" s="114"/>
      <c r="F189" s="114"/>
      <c r="G189" s="95"/>
      <c r="H189" s="88"/>
      <c r="I189" s="82"/>
      <c r="J189" s="82"/>
      <c r="K189" s="82"/>
      <c r="L189" s="82"/>
      <c r="M189" s="82"/>
      <c r="N189" s="82"/>
      <c r="O189" s="82"/>
      <c r="P189" s="82">
        <f t="shared" ref="P189:Y189" si="88">P120*P75</f>
        <v>1517171.25</v>
      </c>
      <c r="Q189" s="82">
        <f>Q120*Q75</f>
        <v>3081939</v>
      </c>
      <c r="R189" s="82"/>
      <c r="S189" s="82"/>
      <c r="T189" s="82">
        <f>T120*T75</f>
        <v>3081939</v>
      </c>
      <c r="U189" s="82">
        <f t="shared" si="88"/>
        <v>4245457.9073865395</v>
      </c>
      <c r="V189" s="82">
        <f t="shared" si="88"/>
        <v>4308822.9507803675</v>
      </c>
      <c r="W189" s="82">
        <f t="shared" si="88"/>
        <v>4372187.9941741973</v>
      </c>
      <c r="X189" s="82">
        <f t="shared" si="88"/>
        <v>4435553.0375680253</v>
      </c>
      <c r="Y189" s="82">
        <f t="shared" si="88"/>
        <v>3671856.9586434006</v>
      </c>
    </row>
    <row r="190" spans="1:25" ht="15.75" hidden="1" customHeight="1" outlineLevel="1">
      <c r="B190" s="159"/>
      <c r="C190" s="164" t="s">
        <v>1307</v>
      </c>
      <c r="D190" s="110"/>
      <c r="E190" s="114"/>
      <c r="F190" s="114"/>
      <c r="G190" s="95"/>
      <c r="H190" s="88"/>
      <c r="I190" s="82"/>
      <c r="J190" s="82"/>
      <c r="K190" s="82"/>
      <c r="L190" s="82"/>
      <c r="M190" s="82"/>
      <c r="N190" s="82"/>
      <c r="O190" s="82"/>
      <c r="P190" s="82">
        <f t="shared" ref="P190:Y190" si="89">P121*P75</f>
        <v>236670</v>
      </c>
      <c r="Q190" s="82">
        <f t="shared" si="89"/>
        <v>608959.99187039223</v>
      </c>
      <c r="R190" s="82"/>
      <c r="S190" s="82"/>
      <c r="T190" s="82">
        <f>T121*T75</f>
        <v>608959.99187039223</v>
      </c>
      <c r="U190" s="82">
        <f t="shared" si="89"/>
        <v>838859.56625624304</v>
      </c>
      <c r="V190" s="82">
        <f t="shared" si="89"/>
        <v>851379.85828991816</v>
      </c>
      <c r="W190" s="82">
        <f t="shared" si="89"/>
        <v>863900.15032359352</v>
      </c>
      <c r="X190" s="82">
        <f t="shared" si="89"/>
        <v>876420.44235726865</v>
      </c>
      <c r="Y190" s="82">
        <f t="shared" si="89"/>
        <v>725521.81716923288</v>
      </c>
    </row>
    <row r="191" spans="1:25" ht="15.75" hidden="1" customHeight="1" outlineLevel="1">
      <c r="B191" s="159"/>
      <c r="C191" s="164" t="s">
        <v>1308</v>
      </c>
      <c r="D191" s="110"/>
      <c r="E191" s="114"/>
      <c r="F191" s="114"/>
      <c r="G191" s="95"/>
      <c r="H191" s="88"/>
      <c r="I191" s="82"/>
      <c r="J191" s="82"/>
      <c r="K191" s="82"/>
      <c r="L191" s="82"/>
      <c r="M191" s="82"/>
      <c r="N191" s="82"/>
      <c r="O191" s="82"/>
      <c r="P191" s="82">
        <f t="shared" ref="P191:Y191" si="90">P122*P75</f>
        <v>0</v>
      </c>
      <c r="Q191" s="82">
        <f t="shared" si="90"/>
        <v>141895.51072960786</v>
      </c>
      <c r="R191" s="82"/>
      <c r="S191" s="82"/>
      <c r="T191" s="82">
        <f>T122*T75</f>
        <v>141895.51072960786</v>
      </c>
      <c r="U191" s="82">
        <f t="shared" si="90"/>
        <v>195465.06859793959</v>
      </c>
      <c r="V191" s="82">
        <f t="shared" si="90"/>
        <v>198382.45768149087</v>
      </c>
      <c r="W191" s="82">
        <f t="shared" si="90"/>
        <v>201299.84676504225</v>
      </c>
      <c r="X191" s="82">
        <f t="shared" si="90"/>
        <v>204217.23584859355</v>
      </c>
      <c r="Y191" s="82">
        <f t="shared" si="90"/>
        <v>169055.91527696364</v>
      </c>
    </row>
    <row r="192" spans="1:25" ht="15.75" hidden="1" customHeight="1" outlineLevel="1">
      <c r="B192" s="159"/>
      <c r="C192" s="164" t="s">
        <v>1309</v>
      </c>
      <c r="D192" s="110"/>
      <c r="E192" s="114"/>
      <c r="F192" s="114"/>
      <c r="G192" s="95"/>
      <c r="H192" s="88"/>
      <c r="I192" s="82"/>
      <c r="J192" s="82"/>
      <c r="K192" s="82"/>
      <c r="L192" s="82"/>
      <c r="M192" s="82"/>
      <c r="N192" s="82"/>
      <c r="O192" s="82"/>
      <c r="P192" s="82">
        <f t="shared" ref="P192:Y192" si="91">P123*P124*P75</f>
        <v>541217.06099999999</v>
      </c>
      <c r="Q192" s="82">
        <f>Q123*Q124*Q75</f>
        <v>752043.6</v>
      </c>
      <c r="R192" s="82"/>
      <c r="S192" s="82"/>
      <c r="T192" s="82">
        <f>T123*T124*T75</f>
        <v>752043.6</v>
      </c>
      <c r="U192" s="82">
        <f t="shared" si="91"/>
        <v>1051657.6554535788</v>
      </c>
      <c r="V192" s="82">
        <f t="shared" si="91"/>
        <v>1083284.6956599124</v>
      </c>
      <c r="W192" s="82">
        <f t="shared" si="91"/>
        <v>1115380.2846100442</v>
      </c>
      <c r="X192" s="82">
        <f t="shared" si="91"/>
        <v>1147944.4223039728</v>
      </c>
      <c r="Y192" s="82">
        <f t="shared" si="91"/>
        <v>963871.52126243396</v>
      </c>
    </row>
    <row r="193" spans="1:25" ht="15" hidden="1" customHeight="1" outlineLevel="1">
      <c r="B193" s="159"/>
      <c r="C193" s="164" t="s">
        <v>1827</v>
      </c>
      <c r="D193" s="110"/>
      <c r="E193" s="114"/>
      <c r="F193" s="114"/>
      <c r="G193" s="95"/>
      <c r="H193" s="88"/>
      <c r="I193" s="82"/>
      <c r="J193" s="82"/>
      <c r="K193" s="82"/>
      <c r="L193" s="82"/>
      <c r="M193" s="82"/>
      <c r="N193" s="82"/>
      <c r="O193" s="82"/>
      <c r="P193" s="82">
        <f t="shared" ref="P193:Y193" si="92">P126*P75</f>
        <v>0</v>
      </c>
      <c r="Q193" s="82">
        <f t="shared" si="92"/>
        <v>0</v>
      </c>
      <c r="R193" s="82"/>
      <c r="S193" s="82"/>
      <c r="T193" s="82">
        <f>T126*T75</f>
        <v>0</v>
      </c>
      <c r="U193" s="82">
        <f t="shared" si="92"/>
        <v>0</v>
      </c>
      <c r="V193" s="82">
        <f t="shared" si="92"/>
        <v>0</v>
      </c>
      <c r="W193" s="82">
        <f t="shared" si="92"/>
        <v>0</v>
      </c>
      <c r="X193" s="82">
        <f t="shared" si="92"/>
        <v>0</v>
      </c>
      <c r="Y193" s="82">
        <f t="shared" si="92"/>
        <v>0</v>
      </c>
    </row>
    <row r="194" spans="1:25" s="762" customFormat="1" ht="15.75" hidden="1" customHeight="1" outlineLevel="1">
      <c r="A194" s="848"/>
      <c r="B194" s="849"/>
      <c r="C194" s="850" t="s">
        <v>1265</v>
      </c>
      <c r="D194" s="760"/>
      <c r="E194" s="983"/>
      <c r="F194" s="983"/>
      <c r="G194" s="523"/>
      <c r="H194" s="759"/>
      <c r="I194" s="650"/>
      <c r="J194" s="650"/>
      <c r="K194" s="650"/>
      <c r="L194" s="650"/>
      <c r="M194" s="650"/>
      <c r="N194" s="650"/>
      <c r="O194" s="650"/>
      <c r="P194" s="650">
        <f>SUM(P195:P198)</f>
        <v>54611.852410000007</v>
      </c>
      <c r="Q194" s="650">
        <f t="shared" ref="Q194:Y194" si="93">SUM(Q195:Q198)</f>
        <v>309996</v>
      </c>
      <c r="R194" s="650"/>
      <c r="S194" s="650"/>
      <c r="T194" s="650">
        <f>SUM(T195:T198)</f>
        <v>309996</v>
      </c>
      <c r="U194" s="650">
        <f t="shared" si="93"/>
        <v>420654.67858587857</v>
      </c>
      <c r="V194" s="650">
        <f t="shared" si="93"/>
        <v>420654.67858587857</v>
      </c>
      <c r="W194" s="650">
        <f t="shared" si="93"/>
        <v>420654.67858587857</v>
      </c>
      <c r="X194" s="650">
        <f t="shared" si="93"/>
        <v>420654.67858587857</v>
      </c>
      <c r="Y194" s="650">
        <f t="shared" si="93"/>
        <v>343323.39041417587</v>
      </c>
    </row>
    <row r="195" spans="1:25" ht="15.75" hidden="1" customHeight="1" outlineLevel="1">
      <c r="B195" s="159"/>
      <c r="C195" s="164" t="s">
        <v>1310</v>
      </c>
      <c r="D195" s="110"/>
      <c r="E195" s="114"/>
      <c r="F195" s="114"/>
      <c r="G195" s="95"/>
      <c r="H195" s="88"/>
      <c r="I195" s="82"/>
      <c r="J195" s="82"/>
      <c r="K195" s="82"/>
      <c r="L195" s="82"/>
      <c r="M195" s="82"/>
      <c r="N195" s="82"/>
      <c r="O195" s="82"/>
      <c r="P195" s="82">
        <f>P129*P15</f>
        <v>50061.858</v>
      </c>
      <c r="Q195" s="82">
        <f t="shared" ref="Q195:Y195" si="94">Q129*Q15</f>
        <v>301202</v>
      </c>
      <c r="R195" s="82"/>
      <c r="S195" s="82"/>
      <c r="T195" s="82">
        <f>T129*T15</f>
        <v>301202</v>
      </c>
      <c r="U195" s="82">
        <f t="shared" si="94"/>
        <v>408721.50124331861</v>
      </c>
      <c r="V195" s="82">
        <f t="shared" si="94"/>
        <v>408721.50124331861</v>
      </c>
      <c r="W195" s="82">
        <f t="shared" si="94"/>
        <v>408721.50124331861</v>
      </c>
      <c r="X195" s="82">
        <f t="shared" si="94"/>
        <v>408721.50124331861</v>
      </c>
      <c r="Y195" s="82">
        <f t="shared" si="94"/>
        <v>333583.955404362</v>
      </c>
    </row>
    <row r="196" spans="1:25" ht="15.75" hidden="1" customHeight="1" outlineLevel="1">
      <c r="B196" s="159"/>
      <c r="C196" s="164" t="s">
        <v>1311</v>
      </c>
      <c r="D196" s="110"/>
      <c r="E196" s="114"/>
      <c r="F196" s="114"/>
      <c r="G196" s="95"/>
      <c r="H196" s="88"/>
      <c r="I196" s="82"/>
      <c r="J196" s="82"/>
      <c r="K196" s="82"/>
      <c r="L196" s="82"/>
      <c r="M196" s="82"/>
      <c r="N196" s="82"/>
      <c r="O196" s="82"/>
      <c r="P196" s="82">
        <f>P130*P15</f>
        <v>3683.1224099999999</v>
      </c>
      <c r="Q196" s="82">
        <f t="shared" ref="Q196:Y196" si="95">Q130*Q15</f>
        <v>8794</v>
      </c>
      <c r="R196" s="82"/>
      <c r="S196" s="82"/>
      <c r="T196" s="82">
        <f>T130*T15</f>
        <v>8794</v>
      </c>
      <c r="U196" s="82">
        <f t="shared" si="95"/>
        <v>11933.177342559957</v>
      </c>
      <c r="V196" s="82">
        <f t="shared" si="95"/>
        <v>11933.177342559957</v>
      </c>
      <c r="W196" s="82">
        <f t="shared" si="95"/>
        <v>11933.177342559957</v>
      </c>
      <c r="X196" s="82">
        <f t="shared" si="95"/>
        <v>11933.177342559957</v>
      </c>
      <c r="Y196" s="82">
        <f t="shared" si="95"/>
        <v>9739.4350098138784</v>
      </c>
    </row>
    <row r="197" spans="1:25" ht="15.75" hidden="1" customHeight="1" outlineLevel="1">
      <c r="B197" s="159"/>
      <c r="C197" s="164" t="s">
        <v>1312</v>
      </c>
      <c r="D197" s="110"/>
      <c r="E197" s="114"/>
      <c r="F197" s="114"/>
      <c r="G197" s="95"/>
      <c r="H197" s="88"/>
      <c r="I197" s="82"/>
      <c r="J197" s="82"/>
      <c r="K197" s="82"/>
      <c r="L197" s="82"/>
      <c r="M197" s="82"/>
      <c r="N197" s="82"/>
      <c r="O197" s="82"/>
      <c r="P197" s="82">
        <f>P131*P15</f>
        <v>866.87199999999996</v>
      </c>
      <c r="Q197" s="82">
        <f t="shared" ref="Q197:Y197" si="96">Q131*Q15</f>
        <v>0</v>
      </c>
      <c r="R197" s="82"/>
      <c r="S197" s="82"/>
      <c r="T197" s="82">
        <f>T131*T15</f>
        <v>0</v>
      </c>
      <c r="U197" s="82">
        <f t="shared" si="96"/>
        <v>0</v>
      </c>
      <c r="V197" s="82">
        <f t="shared" si="96"/>
        <v>0</v>
      </c>
      <c r="W197" s="82">
        <f t="shared" si="96"/>
        <v>0</v>
      </c>
      <c r="X197" s="82">
        <f t="shared" si="96"/>
        <v>0</v>
      </c>
      <c r="Y197" s="82">
        <f t="shared" si="96"/>
        <v>0</v>
      </c>
    </row>
    <row r="198" spans="1:25" ht="15.75" hidden="1" customHeight="1" outlineLevel="1">
      <c r="B198" s="159"/>
      <c r="C198" s="164" t="s">
        <v>1313</v>
      </c>
      <c r="D198" s="110"/>
      <c r="E198" s="114"/>
      <c r="F198" s="114"/>
      <c r="G198" s="95"/>
      <c r="H198" s="88"/>
      <c r="I198" s="82"/>
      <c r="J198" s="82"/>
      <c r="K198" s="82"/>
      <c r="L198" s="82"/>
      <c r="M198" s="82"/>
      <c r="N198" s="82"/>
      <c r="O198" s="82"/>
      <c r="P198" s="82">
        <f>P132*P15</f>
        <v>0</v>
      </c>
      <c r="Q198" s="82">
        <f t="shared" ref="Q198:Y198" si="97">Q132*Q15</f>
        <v>0</v>
      </c>
      <c r="R198" s="82"/>
      <c r="S198" s="82"/>
      <c r="T198" s="82">
        <f>T132*T15</f>
        <v>0</v>
      </c>
      <c r="U198" s="82">
        <f t="shared" si="97"/>
        <v>0</v>
      </c>
      <c r="V198" s="82">
        <f t="shared" si="97"/>
        <v>0</v>
      </c>
      <c r="W198" s="82">
        <f t="shared" si="97"/>
        <v>0</v>
      </c>
      <c r="X198" s="82">
        <f t="shared" si="97"/>
        <v>0</v>
      </c>
      <c r="Y198" s="82">
        <f t="shared" si="97"/>
        <v>0</v>
      </c>
    </row>
    <row r="199" spans="1:25" ht="15.75" hidden="1" customHeight="1" outlineLevel="1">
      <c r="B199" s="159"/>
      <c r="C199" s="164"/>
      <c r="D199" s="110"/>
      <c r="E199" s="114"/>
      <c r="F199" s="114"/>
      <c r="G199" s="95"/>
      <c r="H199" s="88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</row>
    <row r="200" spans="1:25" ht="15.75" hidden="1" customHeight="1" outlineLevel="1">
      <c r="B200" s="159"/>
      <c r="C200" s="162" t="s">
        <v>1297</v>
      </c>
      <c r="D200" s="110"/>
      <c r="E200" s="114"/>
      <c r="F200" s="114"/>
      <c r="G200" s="95"/>
      <c r="H200" s="88"/>
      <c r="I200" s="82"/>
      <c r="J200" s="82"/>
      <c r="K200" s="82"/>
      <c r="L200" s="82"/>
      <c r="M200" s="82"/>
      <c r="N200" s="82"/>
      <c r="O200" s="82"/>
      <c r="P200" s="141">
        <f t="shared" ref="P200:Y200" si="98">SUM(P201:P210)-P204</f>
        <v>1019006.059121568</v>
      </c>
      <c r="Q200" s="141">
        <f t="shared" si="98"/>
        <v>1525972.979940465</v>
      </c>
      <c r="R200" s="141"/>
      <c r="S200" s="141"/>
      <c r="T200" s="141">
        <f>SUM(T201:T210)-T204</f>
        <v>1416405.0599563411</v>
      </c>
      <c r="U200" s="141">
        <f t="shared" si="98"/>
        <v>1514790.7406143679</v>
      </c>
      <c r="V200" s="141">
        <f t="shared" si="98"/>
        <v>1514790.7406143679</v>
      </c>
      <c r="W200" s="141">
        <f t="shared" si="98"/>
        <v>1514790.7406143679</v>
      </c>
      <c r="X200" s="141">
        <f t="shared" si="98"/>
        <v>1514790.7406143679</v>
      </c>
      <c r="Y200" s="141">
        <f t="shared" si="98"/>
        <v>1421078.7260671679</v>
      </c>
    </row>
    <row r="201" spans="1:25" ht="15.75" hidden="1" customHeight="1" outlineLevel="1">
      <c r="B201" s="159"/>
      <c r="C201" s="164" t="s">
        <v>1314</v>
      </c>
      <c r="D201" s="110"/>
      <c r="E201" s="114"/>
      <c r="F201" s="114"/>
      <c r="G201" s="95"/>
      <c r="H201" s="88"/>
      <c r="I201" s="82"/>
      <c r="J201" s="82"/>
      <c r="K201" s="82"/>
      <c r="L201" s="82"/>
      <c r="M201" s="82"/>
      <c r="N201" s="82"/>
      <c r="O201" s="82"/>
      <c r="P201" s="82">
        <f>P61*P65*P16*3.2%</f>
        <v>191473.96702156798</v>
      </c>
      <c r="Q201" s="82">
        <f>Q61*Q65*Q16*2.5%</f>
        <v>410879.69994046504</v>
      </c>
      <c r="R201" s="82"/>
      <c r="S201" s="82"/>
      <c r="T201" s="82">
        <f>T61*T65*T16*2.5%</f>
        <v>301311.77995634102</v>
      </c>
      <c r="U201" s="82">
        <f>U61*U65*U16*1.6%</f>
        <v>401759.99871436798</v>
      </c>
      <c r="V201" s="82">
        <f>V61*V65*V16*1.6%</f>
        <v>401759.99871436798</v>
      </c>
      <c r="W201" s="82">
        <f>W61*W65*W16*1.6%</f>
        <v>401759.99871436798</v>
      </c>
      <c r="X201" s="82">
        <f>X61*X65*X16*1.6%</f>
        <v>401759.99871436798</v>
      </c>
      <c r="Y201" s="82">
        <f>Y61*Y65*Y16*1.6%</f>
        <v>308047.98416716798</v>
      </c>
    </row>
    <row r="202" spans="1:25" ht="15.75" hidden="1" customHeight="1" outlineLevel="1">
      <c r="B202" s="159"/>
      <c r="C202" s="164" t="s">
        <v>1299</v>
      </c>
      <c r="D202" s="110"/>
      <c r="E202" s="114"/>
      <c r="F202" s="114"/>
      <c r="G202" s="95"/>
      <c r="H202" s="88"/>
      <c r="I202" s="82"/>
      <c r="J202" s="82"/>
      <c r="K202" s="82"/>
      <c r="L202" s="82"/>
      <c r="M202" s="82"/>
      <c r="N202" s="82"/>
      <c r="O202" s="82"/>
      <c r="P202" s="87">
        <f>46831*'Control list'!L17</f>
        <v>49172.55</v>
      </c>
      <c r="Q202" s="87">
        <f>46836*'Control list'!M17</f>
        <v>49177.8</v>
      </c>
      <c r="R202" s="87"/>
      <c r="S202" s="87"/>
      <c r="T202" s="87">
        <f>46836*'Control list'!P17</f>
        <v>49177.8</v>
      </c>
      <c r="U202" s="82">
        <f>Q202*(1+U86)</f>
        <v>49177.8</v>
      </c>
      <c r="V202" s="82">
        <f>U202*(1+V86)</f>
        <v>49177.8</v>
      </c>
      <c r="W202" s="82">
        <f>V202*(1+W86)</f>
        <v>49177.8</v>
      </c>
      <c r="X202" s="82">
        <f>W202*(1+X86)</f>
        <v>49177.8</v>
      </c>
      <c r="Y202" s="82">
        <f>X202*(1+Y86)</f>
        <v>49177.8</v>
      </c>
    </row>
    <row r="203" spans="1:25" ht="15.75" hidden="1" customHeight="1" outlineLevel="1">
      <c r="B203" s="159"/>
      <c r="C203" s="164" t="s">
        <v>1315</v>
      </c>
      <c r="D203" s="110"/>
      <c r="E203" s="114"/>
      <c r="F203" s="114"/>
      <c r="G203" s="95"/>
      <c r="H203" s="88"/>
      <c r="I203" s="82"/>
      <c r="J203" s="82"/>
      <c r="K203" s="82"/>
      <c r="L203" s="82"/>
      <c r="M203" s="82"/>
      <c r="N203" s="82"/>
      <c r="O203" s="82"/>
      <c r="P203" s="87">
        <f>(304054+1126)*'Control list'!L17</f>
        <v>320439</v>
      </c>
      <c r="Q203" s="87">
        <f>(322020)*'Control list'!M17</f>
        <v>338121</v>
      </c>
      <c r="R203" s="87"/>
      <c r="S203" s="87"/>
      <c r="T203" s="87">
        <f>(322020)*'Control list'!P17</f>
        <v>338121</v>
      </c>
      <c r="U203" s="82">
        <f>Q203*(1+U86)</f>
        <v>338121</v>
      </c>
      <c r="V203" s="82">
        <f>U203*(1+V86)</f>
        <v>338121</v>
      </c>
      <c r="W203" s="82">
        <f>V203*(1+W86)</f>
        <v>338121</v>
      </c>
      <c r="X203" s="82">
        <f>W203*(1+X86)</f>
        <v>338121</v>
      </c>
      <c r="Y203" s="82">
        <f>X203*(1+Y86)</f>
        <v>338121</v>
      </c>
    </row>
    <row r="204" spans="1:25" ht="15.75" hidden="1" customHeight="1" outlineLevel="1">
      <c r="B204" s="159"/>
      <c r="C204" s="164" t="s">
        <v>1288</v>
      </c>
      <c r="D204" s="110"/>
      <c r="E204" s="114"/>
      <c r="F204" s="114"/>
      <c r="G204" s="95"/>
      <c r="H204" s="88"/>
      <c r="I204" s="82"/>
      <c r="J204" s="82"/>
      <c r="K204" s="82"/>
      <c r="L204" s="82"/>
      <c r="M204" s="82"/>
      <c r="N204" s="82"/>
      <c r="O204" s="82"/>
      <c r="P204" s="486">
        <v>0</v>
      </c>
      <c r="Q204" s="486">
        <f t="shared" ref="Q204:Y204" si="99">(Q203-P203)/P203</f>
        <v>5.518054918408808E-2</v>
      </c>
      <c r="R204" s="486"/>
      <c r="S204" s="486"/>
      <c r="T204" s="486"/>
      <c r="U204" s="486">
        <f>(U203-Q203)/Q203</f>
        <v>0</v>
      </c>
      <c r="V204" s="486">
        <f t="shared" si="99"/>
        <v>0</v>
      </c>
      <c r="W204" s="486">
        <f t="shared" si="99"/>
        <v>0</v>
      </c>
      <c r="X204" s="486">
        <f t="shared" si="99"/>
        <v>0</v>
      </c>
      <c r="Y204" s="486">
        <f t="shared" si="99"/>
        <v>0</v>
      </c>
    </row>
    <row r="205" spans="1:25" ht="15.75" hidden="1" customHeight="1" outlineLevel="1">
      <c r="B205" s="159"/>
      <c r="C205" s="164" t="s">
        <v>1289</v>
      </c>
      <c r="D205" s="110"/>
      <c r="E205" s="114"/>
      <c r="F205" s="114"/>
      <c r="G205" s="95"/>
      <c r="H205" s="88"/>
      <c r="I205" s="82"/>
      <c r="J205" s="82"/>
      <c r="K205" s="82"/>
      <c r="L205" s="82"/>
      <c r="M205" s="82"/>
      <c r="N205" s="82"/>
      <c r="O205" s="82"/>
      <c r="P205" s="82">
        <f>P203*0.4739</f>
        <v>151856.04209999999</v>
      </c>
      <c r="Q205" s="82">
        <f>Q203*0.48</f>
        <v>162298.07999999999</v>
      </c>
      <c r="R205" s="82"/>
      <c r="S205" s="82"/>
      <c r="T205" s="82">
        <f>T203*0.48</f>
        <v>162298.07999999999</v>
      </c>
      <c r="U205" s="82">
        <f>U203*0.4739</f>
        <v>160235.54189999998</v>
      </c>
      <c r="V205" s="82">
        <f>V203*0.4739</f>
        <v>160235.54189999998</v>
      </c>
      <c r="W205" s="82">
        <f>W203*0.4739</f>
        <v>160235.54189999998</v>
      </c>
      <c r="X205" s="82">
        <f>X203*0.4739</f>
        <v>160235.54189999998</v>
      </c>
      <c r="Y205" s="82">
        <f>Y203*0.4739</f>
        <v>160235.54189999998</v>
      </c>
    </row>
    <row r="206" spans="1:25" ht="15.75" hidden="1" customHeight="1" outlineLevel="1">
      <c r="B206" s="159"/>
      <c r="C206" s="164" t="s">
        <v>1300</v>
      </c>
      <c r="D206" s="110"/>
      <c r="E206" s="114"/>
      <c r="F206" s="114"/>
      <c r="G206" s="95"/>
      <c r="H206" s="88"/>
      <c r="I206" s="82"/>
      <c r="J206" s="82"/>
      <c r="K206" s="82"/>
      <c r="L206" s="82"/>
      <c r="M206" s="82"/>
      <c r="N206" s="82"/>
      <c r="O206" s="82"/>
      <c r="P206" s="82">
        <f>37581*'Control list'!L17</f>
        <v>39460.050000000003</v>
      </c>
      <c r="Q206" s="82">
        <f>40720*'Control list'!M17</f>
        <v>42756</v>
      </c>
      <c r="R206" s="82"/>
      <c r="S206" s="82"/>
      <c r="T206" s="82">
        <f>40720*'Control list'!P17</f>
        <v>42756</v>
      </c>
      <c r="U206" s="82">
        <f>Q206*(1+U86)</f>
        <v>42756</v>
      </c>
      <c r="V206" s="82">
        <f>U206*(1+V86)</f>
        <v>42756</v>
      </c>
      <c r="W206" s="82">
        <f>V206*(1+W86)</f>
        <v>42756</v>
      </c>
      <c r="X206" s="82">
        <f>W206*(1+X86)</f>
        <v>42756</v>
      </c>
      <c r="Y206" s="82">
        <f>X206*(1+Y86)</f>
        <v>42756</v>
      </c>
    </row>
    <row r="207" spans="1:25" ht="15.75" hidden="1" customHeight="1" outlineLevel="1">
      <c r="B207" s="159"/>
      <c r="C207" s="164" t="s">
        <v>1316</v>
      </c>
      <c r="D207" s="110"/>
      <c r="E207" s="114"/>
      <c r="F207" s="114"/>
      <c r="G207" s="95"/>
      <c r="H207" s="88"/>
      <c r="I207" s="82"/>
      <c r="J207" s="82"/>
      <c r="K207" s="82"/>
      <c r="L207" s="82"/>
      <c r="M207" s="82"/>
      <c r="N207" s="82"/>
      <c r="O207" s="82"/>
      <c r="P207" s="82">
        <f>(394767-140858)*'Control list'!L17-P209-P210-P208</f>
        <v>161854.35</v>
      </c>
      <c r="Q207" s="82">
        <f>(473848+24000)*'Control list'!M17-Q209-Q210-Q208</f>
        <v>279455.40000000002</v>
      </c>
      <c r="R207" s="82"/>
      <c r="S207" s="82"/>
      <c r="T207" s="82">
        <f>(473848+24000)*'Control list'!P17-T209-T210-T208</f>
        <v>279455.40000000002</v>
      </c>
      <c r="U207" s="82">
        <f>Q207*(1+U86)</f>
        <v>279455.40000000002</v>
      </c>
      <c r="V207" s="82">
        <f>U207*(1+V86)</f>
        <v>279455.40000000002</v>
      </c>
      <c r="W207" s="82">
        <f>V207*(1+W86)</f>
        <v>279455.40000000002</v>
      </c>
      <c r="X207" s="82">
        <f>W207*(1+X86)</f>
        <v>279455.40000000002</v>
      </c>
      <c r="Y207" s="82">
        <f>X207*(1+Y86)</f>
        <v>279455.40000000002</v>
      </c>
    </row>
    <row r="208" spans="1:25" ht="15.75" hidden="1" customHeight="1" outlineLevel="1">
      <c r="B208" s="159"/>
      <c r="C208" s="164" t="s">
        <v>1302</v>
      </c>
      <c r="D208" s="110"/>
      <c r="E208" s="114"/>
      <c r="F208" s="114"/>
      <c r="G208" s="95"/>
      <c r="H208" s="88"/>
      <c r="I208" s="82"/>
      <c r="J208" s="82"/>
      <c r="K208" s="82"/>
      <c r="L208" s="82"/>
      <c r="M208" s="82"/>
      <c r="N208" s="82"/>
      <c r="O208" s="82"/>
      <c r="P208" s="82">
        <f>90000*'Control list'!L17</f>
        <v>94500</v>
      </c>
      <c r="Q208" s="82">
        <f>195700*'Control list'!M17</f>
        <v>205485</v>
      </c>
      <c r="R208" s="82"/>
      <c r="S208" s="82"/>
      <c r="T208" s="82">
        <f>195700*'Control list'!P17</f>
        <v>205485</v>
      </c>
      <c r="U208" s="82">
        <f>Q208*(1+U86)</f>
        <v>205485</v>
      </c>
      <c r="V208" s="82">
        <f>U208*(1+V86)</f>
        <v>205485</v>
      </c>
      <c r="W208" s="82">
        <f>V208*(1+W86)</f>
        <v>205485</v>
      </c>
      <c r="X208" s="82">
        <f>W208*(1+X86)</f>
        <v>205485</v>
      </c>
      <c r="Y208" s="82">
        <f>X208*(1+Y86)</f>
        <v>205485</v>
      </c>
    </row>
    <row r="209" spans="1:25" ht="15.75" hidden="1" customHeight="1" outlineLevel="1">
      <c r="B209" s="159"/>
      <c r="C209" s="164" t="s">
        <v>1303</v>
      </c>
      <c r="D209" s="110"/>
      <c r="E209" s="114"/>
      <c r="F209" s="114"/>
      <c r="G209" s="95"/>
      <c r="H209" s="88"/>
      <c r="I209" s="82"/>
      <c r="J209" s="82"/>
      <c r="K209" s="82"/>
      <c r="L209" s="82"/>
      <c r="M209" s="82"/>
      <c r="N209" s="82"/>
      <c r="O209" s="82"/>
      <c r="P209" s="82">
        <f>9762*'Control list'!L17</f>
        <v>10250.1</v>
      </c>
      <c r="Q209" s="82">
        <f>12000*'Control list'!M17</f>
        <v>12600</v>
      </c>
      <c r="R209" s="82"/>
      <c r="S209" s="82"/>
      <c r="T209" s="82">
        <f>12000*'Control list'!P17</f>
        <v>12600</v>
      </c>
      <c r="U209" s="82">
        <f>Q209*(1+U86)</f>
        <v>12600</v>
      </c>
      <c r="V209" s="82">
        <f>U209*(1+V86)</f>
        <v>12600</v>
      </c>
      <c r="W209" s="82">
        <f>V209*(1+W86)</f>
        <v>12600</v>
      </c>
      <c r="X209" s="82">
        <f>W209*(1+X86)</f>
        <v>12600</v>
      </c>
      <c r="Y209" s="82">
        <f>X209*(1+Y86)</f>
        <v>12600</v>
      </c>
    </row>
    <row r="210" spans="1:25" ht="15.75" hidden="1" customHeight="1" outlineLevel="1">
      <c r="B210" s="159"/>
      <c r="C210" s="164" t="s">
        <v>1304</v>
      </c>
      <c r="D210" s="110"/>
      <c r="E210" s="114"/>
      <c r="F210" s="114"/>
      <c r="G210" s="95"/>
      <c r="H210" s="88"/>
      <c r="I210" s="82"/>
      <c r="J210" s="82"/>
      <c r="K210" s="82"/>
      <c r="L210" s="82"/>
      <c r="M210" s="82"/>
      <c r="N210" s="82"/>
      <c r="O210" s="82"/>
      <c r="P210" s="82">
        <f>0*'Control list'!L17</f>
        <v>0</v>
      </c>
      <c r="Q210" s="82">
        <f>24000*'Control list'!M17</f>
        <v>25200</v>
      </c>
      <c r="R210" s="82"/>
      <c r="S210" s="82"/>
      <c r="T210" s="82">
        <f>24000*'Control list'!P17</f>
        <v>25200</v>
      </c>
      <c r="U210" s="82">
        <f>Q210*(1+U86)</f>
        <v>25200</v>
      </c>
      <c r="V210" s="82">
        <f>U210*(1+V86)</f>
        <v>25200</v>
      </c>
      <c r="W210" s="82">
        <f>V210*(1+W86)</f>
        <v>25200</v>
      </c>
      <c r="X210" s="82">
        <f>W210*(1+X86)</f>
        <v>25200</v>
      </c>
      <c r="Y210" s="82">
        <f>X210*(1+Y86)</f>
        <v>25200</v>
      </c>
    </row>
    <row r="211" spans="1:25" ht="15.75" hidden="1" customHeight="1" outlineLevel="1">
      <c r="B211" s="159"/>
      <c r="C211" s="162"/>
      <c r="D211" s="110"/>
      <c r="E211" s="114"/>
      <c r="F211" s="114"/>
      <c r="G211" s="95"/>
      <c r="H211" s="88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</row>
    <row r="212" spans="1:25" ht="15.75" hidden="1" customHeight="1" outlineLevel="1">
      <c r="B212" s="159"/>
      <c r="C212" s="164" t="s">
        <v>1843</v>
      </c>
      <c r="D212" s="110"/>
      <c r="E212" s="114"/>
      <c r="F212" s="114"/>
      <c r="G212" s="95"/>
      <c r="H212" s="88"/>
      <c r="I212" s="82"/>
      <c r="J212" s="82"/>
      <c r="K212" s="82"/>
      <c r="L212" s="82"/>
      <c r="M212" s="82"/>
      <c r="N212" s="82"/>
      <c r="O212" s="82"/>
      <c r="P212" s="82">
        <f>P200+P186</f>
        <v>3696121.5701215677</v>
      </c>
      <c r="Q212" s="82">
        <f t="shared" ref="Q212:Y212" si="100">Q200+Q186</f>
        <v>6288829.679940464</v>
      </c>
      <c r="R212" s="82"/>
      <c r="S212" s="82"/>
      <c r="T212" s="82">
        <f>T200+T186</f>
        <v>6179261.7599563403</v>
      </c>
      <c r="U212" s="82">
        <f t="shared" si="100"/>
        <v>8837526.3928541243</v>
      </c>
      <c r="V212" s="82">
        <f t="shared" si="100"/>
        <v>8962751.6121169664</v>
      </c>
      <c r="W212" s="82">
        <f t="shared" si="100"/>
        <v>8892370.3801236097</v>
      </c>
      <c r="X212" s="82">
        <f t="shared" si="100"/>
        <v>8514423.7131164707</v>
      </c>
      <c r="Y212" s="82">
        <f t="shared" si="100"/>
        <v>7212301.5363222295</v>
      </c>
    </row>
    <row r="213" spans="1:25" ht="15.75" hidden="1" customHeight="1" outlineLevel="1">
      <c r="B213" s="159"/>
      <c r="C213" s="164" t="s">
        <v>1844</v>
      </c>
      <c r="D213" s="110"/>
      <c r="E213" s="114"/>
      <c r="F213" s="114"/>
      <c r="G213" s="95"/>
      <c r="H213" s="88"/>
      <c r="I213" s="82"/>
      <c r="J213" s="82"/>
      <c r="K213" s="82"/>
      <c r="L213" s="82"/>
      <c r="M213" s="82"/>
      <c r="N213" s="82"/>
      <c r="O213" s="82"/>
      <c r="P213" s="82">
        <f t="shared" ref="P213:Y213" si="101">P212/P75</f>
        <v>3131.3984441932053</v>
      </c>
      <c r="Q213" s="82">
        <f t="shared" si="101"/>
        <v>3013.3266918777431</v>
      </c>
      <c r="R213" s="82"/>
      <c r="S213" s="82"/>
      <c r="T213" s="82">
        <f>T212/T75</f>
        <v>2960.8266315064452</v>
      </c>
      <c r="U213" s="82">
        <f t="shared" si="101"/>
        <v>3120.5954855729751</v>
      </c>
      <c r="V213" s="82">
        <f t="shared" si="101"/>
        <v>3164.8134303394527</v>
      </c>
      <c r="W213" s="82">
        <f t="shared" si="101"/>
        <v>3139.961300335618</v>
      </c>
      <c r="X213" s="82">
        <f t="shared" si="101"/>
        <v>3006.5055559993421</v>
      </c>
      <c r="Y213" s="82">
        <f t="shared" si="101"/>
        <v>3120.3474741903306</v>
      </c>
    </row>
    <row r="214" spans="1:25" ht="15.75" hidden="1" customHeight="1" outlineLevel="1">
      <c r="B214" s="159"/>
      <c r="C214" s="164"/>
      <c r="D214" s="110"/>
      <c r="E214" s="114"/>
      <c r="F214" s="114"/>
      <c r="G214" s="95"/>
      <c r="H214" s="88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</row>
    <row r="215" spans="1:25" ht="27" customHeight="1" collapsed="1">
      <c r="B215" s="159"/>
      <c r="C215" s="462" t="s">
        <v>124</v>
      </c>
      <c r="H215" s="487"/>
      <c r="I215" s="430"/>
      <c r="J215" s="97"/>
      <c r="K215" s="97"/>
      <c r="L215" s="74"/>
      <c r="M215" s="87"/>
      <c r="N215" s="87"/>
      <c r="O215" s="434"/>
      <c r="P215" s="434"/>
      <c r="Q215" s="434"/>
      <c r="R215" s="434"/>
      <c r="S215" s="434"/>
      <c r="T215" s="434"/>
      <c r="U215" s="434"/>
      <c r="V215" s="434"/>
      <c r="W215" s="434"/>
      <c r="X215" s="434"/>
      <c r="Y215" s="434"/>
    </row>
    <row r="216" spans="1:25" ht="3" customHeight="1">
      <c r="B216" s="159"/>
      <c r="C216" s="464"/>
      <c r="D216" s="89"/>
      <c r="E216" s="89"/>
      <c r="F216" s="89"/>
      <c r="G216" s="89"/>
      <c r="H216" s="48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</row>
    <row r="217" spans="1:25" ht="15.75" customHeight="1">
      <c r="B217" s="159"/>
      <c r="C217" s="467"/>
      <c r="D217" s="468"/>
      <c r="E217" s="468"/>
      <c r="F217" s="468"/>
      <c r="G217" s="468"/>
      <c r="H217" s="466"/>
      <c r="I217" s="91"/>
      <c r="J217" s="91"/>
      <c r="K217" s="91"/>
      <c r="L217" s="135"/>
      <c r="M217" s="90"/>
      <c r="N217" s="421"/>
      <c r="O217" s="421"/>
      <c r="P217" s="421"/>
      <c r="Q217" s="421"/>
      <c r="R217" s="421"/>
      <c r="S217" s="421"/>
      <c r="T217" s="421"/>
      <c r="U217" s="421"/>
      <c r="V217" s="421"/>
      <c r="W217" s="421"/>
      <c r="X217" s="421"/>
      <c r="Y217" s="421"/>
    </row>
    <row r="218" spans="1:25" ht="15">
      <c r="B218" s="159"/>
      <c r="C218" s="546"/>
      <c r="D218" s="106"/>
      <c r="E218" s="106"/>
      <c r="F218" s="106"/>
      <c r="G218" s="546"/>
      <c r="H218" s="547"/>
      <c r="I218" s="92">
        <v>0</v>
      </c>
      <c r="J218" s="92">
        <v>1</v>
      </c>
      <c r="K218" s="92">
        <v>2</v>
      </c>
      <c r="L218" s="136">
        <v>3</v>
      </c>
      <c r="M218" s="136">
        <v>4</v>
      </c>
      <c r="N218" s="136">
        <v>5</v>
      </c>
      <c r="O218" s="136">
        <f t="shared" ref="O218:Q218" si="102">O7</f>
        <v>6</v>
      </c>
      <c r="P218" s="136">
        <f t="shared" si="102"/>
        <v>7</v>
      </c>
      <c r="Q218" s="136">
        <f t="shared" si="102"/>
        <v>8</v>
      </c>
      <c r="R218" s="136"/>
      <c r="S218" s="136"/>
      <c r="T218" s="136" t="str">
        <f>T7</f>
        <v>Revised</v>
      </c>
      <c r="U218" s="136">
        <f t="shared" ref="U218:W218" si="103">U7</f>
        <v>9</v>
      </c>
      <c r="V218" s="136">
        <f t="shared" si="103"/>
        <v>10</v>
      </c>
      <c r="W218" s="136">
        <f t="shared" si="103"/>
        <v>11</v>
      </c>
      <c r="X218" s="136">
        <f>X7</f>
        <v>12</v>
      </c>
      <c r="Y218" s="136">
        <f>Y7</f>
        <v>13</v>
      </c>
    </row>
    <row r="219" spans="1:25" ht="15">
      <c r="B219" s="159"/>
      <c r="C219" s="548"/>
      <c r="D219" s="469"/>
      <c r="E219" s="469"/>
      <c r="F219" s="469"/>
      <c r="G219" s="548"/>
      <c r="H219" s="470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</row>
    <row r="220" spans="1:25" ht="15">
      <c r="B220" s="159"/>
      <c r="C220" s="471"/>
      <c r="D220" s="472"/>
      <c r="E220" s="506"/>
      <c r="F220" s="506"/>
      <c r="G220" s="471"/>
      <c r="H220" s="473"/>
      <c r="I220" s="99" t="s">
        <v>499</v>
      </c>
      <c r="J220" s="99" t="s">
        <v>499</v>
      </c>
      <c r="K220" s="99" t="s">
        <v>499</v>
      </c>
      <c r="L220" s="99" t="s">
        <v>499</v>
      </c>
      <c r="M220" s="99" t="s">
        <v>499</v>
      </c>
      <c r="N220" s="99" t="s">
        <v>499</v>
      </c>
      <c r="O220" s="99" t="s">
        <v>499</v>
      </c>
      <c r="P220" s="99" t="s">
        <v>499</v>
      </c>
      <c r="Q220" s="99" t="s">
        <v>499</v>
      </c>
      <c r="R220" s="99"/>
      <c r="S220" s="99"/>
      <c r="T220" s="99" t="s">
        <v>499</v>
      </c>
      <c r="U220" s="99" t="s">
        <v>499</v>
      </c>
      <c r="V220" s="99" t="s">
        <v>499</v>
      </c>
      <c r="W220" s="99" t="s">
        <v>499</v>
      </c>
      <c r="X220" s="99" t="s">
        <v>499</v>
      </c>
      <c r="Y220" s="99" t="s">
        <v>499</v>
      </c>
    </row>
    <row r="221" spans="1:25" ht="7.5" customHeight="1">
      <c r="B221" s="76"/>
      <c r="C221" s="163"/>
      <c r="D221" s="163"/>
      <c r="E221" s="114"/>
      <c r="F221" s="114"/>
      <c r="G221" s="114"/>
      <c r="H221" s="132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</row>
    <row r="222" spans="1:25" ht="15.75" customHeight="1">
      <c r="A222" s="460">
        <v>1</v>
      </c>
      <c r="B222" s="88" t="s">
        <v>522</v>
      </c>
      <c r="C222" s="110" t="s">
        <v>183</v>
      </c>
      <c r="D222" s="110"/>
      <c r="E222" s="114"/>
      <c r="F222" s="114"/>
      <c r="G222" s="114"/>
      <c r="H222" s="88"/>
      <c r="I222" s="82">
        <f>I34</f>
        <v>0</v>
      </c>
      <c r="J222" s="82">
        <f t="shared" ref="J222:Y222" si="104">J11</f>
        <v>43445089</v>
      </c>
      <c r="K222" s="82">
        <f t="shared" si="104"/>
        <v>48275099.56533955</v>
      </c>
      <c r="L222" s="82">
        <f t="shared" si="104"/>
        <v>54247971.495015129</v>
      </c>
      <c r="M222" s="82">
        <f t="shared" si="104"/>
        <v>47704832.224652044</v>
      </c>
      <c r="N222" s="82">
        <f t="shared" si="104"/>
        <v>69573863.987720326</v>
      </c>
      <c r="O222" s="82">
        <f t="shared" si="104"/>
        <v>66704839.6924017</v>
      </c>
      <c r="P222" s="82">
        <f t="shared" si="104"/>
        <v>78876219.976671964</v>
      </c>
      <c r="Q222" s="82">
        <f t="shared" si="104"/>
        <v>106322102.99785639</v>
      </c>
      <c r="R222" s="82">
        <f>R11</f>
        <v>46897493.236936457</v>
      </c>
      <c r="S222" s="82">
        <f>S11</f>
        <v>39254971.430084273</v>
      </c>
      <c r="T222" s="82">
        <f>T11</f>
        <v>86152464.667020738</v>
      </c>
      <c r="U222" s="82">
        <f t="shared" si="104"/>
        <v>117079521.87381488</v>
      </c>
      <c r="V222" s="82">
        <f t="shared" si="104"/>
        <v>117079521.87381488</v>
      </c>
      <c r="W222" s="82">
        <f t="shared" si="104"/>
        <v>117079521.87381488</v>
      </c>
      <c r="X222" s="82">
        <f t="shared" si="104"/>
        <v>117079521.87381488</v>
      </c>
      <c r="Y222" s="82">
        <f t="shared" si="104"/>
        <v>112393921.14645489</v>
      </c>
    </row>
    <row r="223" spans="1:25" ht="15.75" customHeight="1">
      <c r="A223" s="460">
        <v>55</v>
      </c>
      <c r="B223" s="88" t="s">
        <v>523</v>
      </c>
      <c r="C223" s="110" t="s">
        <v>671</v>
      </c>
      <c r="D223" s="110"/>
      <c r="E223" s="114"/>
      <c r="F223" s="114"/>
      <c r="G223" s="114"/>
      <c r="H223" s="88"/>
      <c r="I223" s="82"/>
      <c r="J223" s="82">
        <f>-J222*0.5%+J31</f>
        <v>-868901.78</v>
      </c>
      <c r="K223" s="82">
        <f>-K222*0.5%+K31</f>
        <v>-965501.99130679097</v>
      </c>
      <c r="L223" s="82">
        <f>-L222*0.5%+L31</f>
        <v>-650975.65794018144</v>
      </c>
      <c r="M223" s="82">
        <f>-M222*0.5%+M31</f>
        <v>-572457.98669582442</v>
      </c>
      <c r="N223" s="82">
        <f>-N222*0.5%+N31</f>
        <v>-834886.36785264383</v>
      </c>
      <c r="O223" s="82">
        <f t="shared" ref="O223:W223" si="105">O31</f>
        <v>-667048.396924017</v>
      </c>
      <c r="P223" s="82">
        <f t="shared" si="105"/>
        <v>-788762.19976671971</v>
      </c>
      <c r="Q223" s="82">
        <f t="shared" si="105"/>
        <v>-1063221.029978564</v>
      </c>
      <c r="R223" s="82">
        <f>R31</f>
        <v>-1031744.8512126021</v>
      </c>
      <c r="S223" s="82">
        <f t="shared" ref="S223:S255" si="106">R223</f>
        <v>-1031744.8512126021</v>
      </c>
      <c r="T223" s="82">
        <f>T31</f>
        <v>-861524.64667020738</v>
      </c>
      <c r="U223" s="82">
        <f t="shared" si="105"/>
        <v>-1170795.2187381489</v>
      </c>
      <c r="V223" s="82">
        <f t="shared" si="105"/>
        <v>-1170795.2187381489</v>
      </c>
      <c r="W223" s="82">
        <f t="shared" si="105"/>
        <v>-1170795.2187381489</v>
      </c>
      <c r="X223" s="82">
        <f>X31</f>
        <v>-1170795.2187381489</v>
      </c>
      <c r="Y223" s="82">
        <f>Y31</f>
        <v>-1123939.2114645489</v>
      </c>
    </row>
    <row r="224" spans="1:25" ht="15.75" hidden="1" customHeight="1" outlineLevel="1">
      <c r="B224" s="88"/>
      <c r="C224" s="110"/>
      <c r="D224" s="110"/>
      <c r="E224" s="114"/>
      <c r="F224" s="114"/>
      <c r="G224" s="114"/>
      <c r="H224" s="88"/>
      <c r="I224" s="82"/>
      <c r="J224" s="82"/>
      <c r="K224" s="82"/>
      <c r="L224" s="82"/>
      <c r="M224" s="82"/>
      <c r="N224" s="82"/>
      <c r="O224" s="82"/>
      <c r="P224" s="82"/>
      <c r="Q224" s="82"/>
      <c r="R224" s="82">
        <f t="shared" ref="R224:R255" si="107">T224/2</f>
        <v>0</v>
      </c>
      <c r="S224" s="82">
        <f t="shared" si="106"/>
        <v>0</v>
      </c>
      <c r="T224" s="82"/>
      <c r="U224" s="82"/>
      <c r="V224" s="82"/>
      <c r="W224" s="82"/>
      <c r="X224" s="82"/>
      <c r="Y224" s="82"/>
    </row>
    <row r="225" spans="1:25" ht="15.75" customHeight="1" collapsed="1">
      <c r="B225" s="88" t="s">
        <v>524</v>
      </c>
      <c r="C225" s="110" t="s">
        <v>125</v>
      </c>
      <c r="D225" s="110"/>
      <c r="E225" s="114"/>
      <c r="F225" s="114"/>
      <c r="G225" s="114"/>
      <c r="H225" s="88"/>
      <c r="I225" s="82"/>
      <c r="J225" s="82">
        <f t="shared" ref="J225:U225" si="108">J222+J223+J224</f>
        <v>42576187.219999999</v>
      </c>
      <c r="K225" s="82">
        <f t="shared" si="108"/>
        <v>47309597.574032761</v>
      </c>
      <c r="L225" s="82">
        <f>L222+L223+L224</f>
        <v>53596995.83707495</v>
      </c>
      <c r="M225" s="82">
        <f t="shared" si="108"/>
        <v>47132374.237956218</v>
      </c>
      <c r="N225" s="82">
        <f t="shared" si="108"/>
        <v>68738977.619867682</v>
      </c>
      <c r="O225" s="82">
        <f t="shared" si="108"/>
        <v>66037791.295477681</v>
      </c>
      <c r="P225" s="82">
        <f t="shared" si="108"/>
        <v>78087457.776905239</v>
      </c>
      <c r="Q225" s="82">
        <f t="shared" si="108"/>
        <v>105258881.96787784</v>
      </c>
      <c r="R225" s="82">
        <f>R222+R223+R224</f>
        <v>45865748.385723859</v>
      </c>
      <c r="S225" s="82">
        <f t="shared" si="106"/>
        <v>45865748.385723859</v>
      </c>
      <c r="T225" s="82">
        <f>T222+T223+T224</f>
        <v>85290940.020350531</v>
      </c>
      <c r="U225" s="82">
        <f t="shared" si="108"/>
        <v>115908726.65507673</v>
      </c>
      <c r="V225" s="82">
        <f>V222+V223+V224</f>
        <v>115908726.65507673</v>
      </c>
      <c r="W225" s="82">
        <f>W222+W223+W224</f>
        <v>115908726.65507673</v>
      </c>
      <c r="X225" s="82">
        <f>X222+X223+X224</f>
        <v>115908726.65507673</v>
      </c>
      <c r="Y225" s="82">
        <f>Y222+Y223+Y224</f>
        <v>111269981.93499033</v>
      </c>
    </row>
    <row r="226" spans="1:25" ht="6.75" customHeight="1">
      <c r="B226" s="88"/>
      <c r="C226" s="110"/>
      <c r="D226" s="110"/>
      <c r="E226" s="114"/>
      <c r="F226" s="114"/>
      <c r="G226" s="114"/>
      <c r="H226" s="88"/>
      <c r="I226" s="82"/>
      <c r="J226" s="82"/>
      <c r="K226" s="82"/>
      <c r="L226" s="82"/>
      <c r="M226" s="100"/>
      <c r="N226" s="100"/>
      <c r="O226" s="100"/>
      <c r="P226" s="100"/>
      <c r="Q226" s="100"/>
      <c r="R226" s="100">
        <f t="shared" si="107"/>
        <v>0</v>
      </c>
      <c r="S226" s="100">
        <f t="shared" si="106"/>
        <v>0</v>
      </c>
      <c r="T226" s="100"/>
      <c r="U226" s="100"/>
      <c r="V226" s="100"/>
      <c r="W226" s="100"/>
      <c r="X226" s="100"/>
      <c r="Y226" s="100"/>
    </row>
    <row r="227" spans="1:25" ht="15.75" customHeight="1">
      <c r="A227" s="460">
        <v>3</v>
      </c>
      <c r="B227" s="88" t="s">
        <v>523</v>
      </c>
      <c r="C227" s="110" t="s">
        <v>191</v>
      </c>
      <c r="D227" s="110"/>
      <c r="E227" s="114"/>
      <c r="F227" s="114"/>
      <c r="G227" s="114"/>
      <c r="H227" s="88"/>
      <c r="I227" s="82"/>
      <c r="J227" s="82">
        <f t="shared" ref="J227:O227" si="109">SUM(J228:J232)</f>
        <v>-19743263.647696301</v>
      </c>
      <c r="K227" s="82">
        <f t="shared" si="109"/>
        <v>-25542488.993929993</v>
      </c>
      <c r="L227" s="82">
        <f>SUM(L228:L232)</f>
        <v>-26173723.814547941</v>
      </c>
      <c r="M227" s="82">
        <f>SUM(M228:M232)</f>
        <v>-19279698.325321876</v>
      </c>
      <c r="N227" s="82">
        <f>SUM(N228:N232)</f>
        <v>-28869384.748600002</v>
      </c>
      <c r="O227" s="82">
        <f t="shared" si="109"/>
        <v>-32573500.099800002</v>
      </c>
      <c r="P227" s="82">
        <f>SUM(P228:P232)+6877243</f>
        <v>-25194900.822008606</v>
      </c>
      <c r="Q227" s="82">
        <f t="shared" ref="Q227:Y227" si="110">SUM(Q228:Q232)</f>
        <v>-37603567.6065</v>
      </c>
      <c r="R227" s="82">
        <f>SUM(R228:R232)</f>
        <v>0</v>
      </c>
      <c r="S227" s="82">
        <f t="shared" si="106"/>
        <v>0</v>
      </c>
      <c r="T227" s="82">
        <f>SUM(T228:T232)</f>
        <v>-37603567.6065</v>
      </c>
      <c r="U227" s="82">
        <f t="shared" si="110"/>
        <v>-41739563.518497132</v>
      </c>
      <c r="V227" s="82">
        <f t="shared" si="110"/>
        <v>-41568524.747603625</v>
      </c>
      <c r="W227" s="82">
        <f t="shared" si="110"/>
        <v>-50978774.971886255</v>
      </c>
      <c r="X227" s="82">
        <f t="shared" si="110"/>
        <v>-53129367.234700821</v>
      </c>
      <c r="Y227" s="82">
        <f t="shared" si="110"/>
        <v>-47558159.552635089</v>
      </c>
    </row>
    <row r="228" spans="1:25" ht="15.75" customHeight="1">
      <c r="B228" s="88"/>
      <c r="C228" s="482" t="s">
        <v>258</v>
      </c>
      <c r="D228" s="100"/>
      <c r="E228" s="100"/>
      <c r="F228" s="100"/>
      <c r="G228" s="100"/>
      <c r="H228" s="88"/>
      <c r="I228" s="79"/>
      <c r="J228" s="79">
        <f t="shared" ref="J228:O228" si="111">-J142</f>
        <v>-6652831.4244805528</v>
      </c>
      <c r="K228" s="79">
        <f t="shared" si="111"/>
        <v>-7178475.5048554409</v>
      </c>
      <c r="L228" s="79">
        <f t="shared" si="111"/>
        <v>-7376277.214651268</v>
      </c>
      <c r="M228" s="79">
        <f t="shared" si="111"/>
        <v>-5544227.5717993807</v>
      </c>
      <c r="N228" s="79">
        <f t="shared" si="111"/>
        <v>-11867058.638600003</v>
      </c>
      <c r="O228" s="79">
        <f t="shared" si="111"/>
        <v>-13924386.7774</v>
      </c>
      <c r="P228" s="79">
        <f>-P142*P14/P50+(-P186+P190+P191)*P15/P75</f>
        <v>-13186266.681844044</v>
      </c>
      <c r="Q228" s="79">
        <f>-Q142-Q186+Q190+Q191</f>
        <v>-15441803.251699999</v>
      </c>
      <c r="R228" s="79">
        <f>-R142-R186+R190+R191</f>
        <v>0</v>
      </c>
      <c r="S228" s="79">
        <f t="shared" si="106"/>
        <v>0</v>
      </c>
      <c r="T228" s="79">
        <f t="shared" ref="T228:Y228" si="112">-T142-T186+T190+T191</f>
        <v>-15441803.251699999</v>
      </c>
      <c r="U228" s="79">
        <f t="shared" si="112"/>
        <v>-19191325.031442951</v>
      </c>
      <c r="V228" s="79">
        <f t="shared" si="112"/>
        <v>-18901843.579432216</v>
      </c>
      <c r="W228" s="79">
        <f t="shared" si="112"/>
        <v>-28193651.122597616</v>
      </c>
      <c r="X228" s="79">
        <f t="shared" si="112"/>
        <v>-30225800.704294957</v>
      </c>
      <c r="Y228" s="79">
        <f t="shared" si="112"/>
        <v>-24737647.967988893</v>
      </c>
    </row>
    <row r="229" spans="1:25" ht="15.75" customHeight="1">
      <c r="B229" s="88"/>
      <c r="C229" s="482" t="s">
        <v>259</v>
      </c>
      <c r="D229" s="100"/>
      <c r="E229" s="100"/>
      <c r="F229" s="100"/>
      <c r="G229" s="100"/>
      <c r="H229" s="88"/>
      <c r="I229" s="79"/>
      <c r="J229" s="79">
        <f t="shared" ref="J229:O229" si="113">-J154</f>
        <v>-8075080.8687128285</v>
      </c>
      <c r="K229" s="79">
        <f t="shared" si="113"/>
        <v>-13196801.75907455</v>
      </c>
      <c r="L229" s="79">
        <f t="shared" si="113"/>
        <v>-14635652.699896673</v>
      </c>
      <c r="M229" s="79">
        <f t="shared" si="113"/>
        <v>-11213325.853522493</v>
      </c>
      <c r="N229" s="79">
        <f>-N154</f>
        <v>-12269817.010000002</v>
      </c>
      <c r="O229" s="79">
        <f t="shared" si="113"/>
        <v>-12518960.7224</v>
      </c>
      <c r="P229" s="79">
        <f>-P154*P14/P50+(-P190-P191)*P15/P75</f>
        <v>-13056735.223431401</v>
      </c>
      <c r="Q229" s="79">
        <f t="shared" ref="Q229:Y229" si="114">-Q154-Q190-Q191</f>
        <v>-15601157.504799997</v>
      </c>
      <c r="R229" s="79">
        <f>-R154-R190-R191</f>
        <v>0</v>
      </c>
      <c r="S229" s="79">
        <f t="shared" si="106"/>
        <v>0</v>
      </c>
      <c r="T229" s="79">
        <f>-T154-T190-T191</f>
        <v>-15601157.504799997</v>
      </c>
      <c r="U229" s="79">
        <f t="shared" si="114"/>
        <v>-15987631.637054183</v>
      </c>
      <c r="V229" s="79">
        <f t="shared" si="114"/>
        <v>-16106074.318171408</v>
      </c>
      <c r="W229" s="79">
        <f t="shared" si="114"/>
        <v>-16224516.999288637</v>
      </c>
      <c r="X229" s="79">
        <f t="shared" si="114"/>
        <v>-16342959.680405863</v>
      </c>
      <c r="Y229" s="79">
        <f t="shared" si="114"/>
        <v>-16259904.734646194</v>
      </c>
    </row>
    <row r="230" spans="1:25" ht="15.75" customHeight="1">
      <c r="B230" s="88"/>
      <c r="C230" s="482" t="s">
        <v>126</v>
      </c>
      <c r="D230" s="100"/>
      <c r="E230" s="100"/>
      <c r="F230" s="100"/>
      <c r="G230" s="100"/>
      <c r="H230" s="88"/>
      <c r="I230" s="79"/>
      <c r="J230" s="79">
        <f t="shared" ref="J230:O230" si="115">-J175</f>
        <v>-360000</v>
      </c>
      <c r="K230" s="79">
        <f t="shared" si="115"/>
        <v>-367803</v>
      </c>
      <c r="L230" s="79">
        <f t="shared" si="115"/>
        <v>-302153.5</v>
      </c>
      <c r="M230" s="79">
        <f t="shared" si="115"/>
        <v>-277026.2</v>
      </c>
      <c r="N230" s="79">
        <f>-N175</f>
        <v>-327626.2</v>
      </c>
      <c r="O230" s="79">
        <f t="shared" si="115"/>
        <v>-348799</v>
      </c>
      <c r="P230" s="79">
        <f>-P175*P14/P50-P206*P15/P75</f>
        <v>-349708.70828672149</v>
      </c>
      <c r="Q230" s="79">
        <f t="shared" ref="Q230:Y230" si="116">-Q175-Q206</f>
        <v>-391121.85000000003</v>
      </c>
      <c r="R230" s="79">
        <f>-R175-R206</f>
        <v>0</v>
      </c>
      <c r="S230" s="79">
        <f t="shared" si="106"/>
        <v>0</v>
      </c>
      <c r="T230" s="79">
        <f>-T175-T206</f>
        <v>-391121.85000000003</v>
      </c>
      <c r="U230" s="79">
        <f t="shared" si="116"/>
        <v>-391121.85000000003</v>
      </c>
      <c r="V230" s="79">
        <f t="shared" si="116"/>
        <v>-391121.85000000003</v>
      </c>
      <c r="W230" s="79">
        <f t="shared" si="116"/>
        <v>-391121.85000000003</v>
      </c>
      <c r="X230" s="79">
        <f t="shared" si="116"/>
        <v>-391121.85000000003</v>
      </c>
      <c r="Y230" s="79">
        <f t="shared" si="116"/>
        <v>-391121.85000000003</v>
      </c>
    </row>
    <row r="231" spans="1:25" ht="15.75" customHeight="1">
      <c r="B231" s="88"/>
      <c r="C231" s="482" t="s">
        <v>127</v>
      </c>
      <c r="D231" s="100"/>
      <c r="E231" s="100"/>
      <c r="F231" s="100"/>
      <c r="G231" s="100"/>
      <c r="H231" s="88"/>
      <c r="I231" s="79"/>
      <c r="J231" s="79">
        <f t="shared" ref="J231:O231" si="117">-J178</f>
        <v>-400000</v>
      </c>
      <c r="K231" s="79">
        <f t="shared" si="117"/>
        <v>-323204</v>
      </c>
      <c r="L231" s="79">
        <f>-L178</f>
        <v>-241081.50000000003</v>
      </c>
      <c r="M231" s="79">
        <f t="shared" si="117"/>
        <v>-191593.60000000001</v>
      </c>
      <c r="N231" s="79">
        <f>-N178</f>
        <v>-245562.90000000002</v>
      </c>
      <c r="O231" s="79">
        <f t="shared" si="117"/>
        <v>-221953.6</v>
      </c>
      <c r="P231" s="79">
        <f>-P178*P14/P50-P209*P15/P75</f>
        <v>-233033.18273386348</v>
      </c>
      <c r="Q231" s="79">
        <f t="shared" ref="Q231:Y231" si="118">-Q178-Q209</f>
        <v>-252000</v>
      </c>
      <c r="R231" s="79">
        <f>-R178-R209</f>
        <v>0</v>
      </c>
      <c r="S231" s="79">
        <f t="shared" si="106"/>
        <v>0</v>
      </c>
      <c r="T231" s="79">
        <f>-T178-T209</f>
        <v>-252000</v>
      </c>
      <c r="U231" s="79">
        <f t="shared" si="118"/>
        <v>-252000</v>
      </c>
      <c r="V231" s="79">
        <f t="shared" si="118"/>
        <v>-252000</v>
      </c>
      <c r="W231" s="79">
        <f t="shared" si="118"/>
        <v>-252000</v>
      </c>
      <c r="X231" s="79">
        <f t="shared" si="118"/>
        <v>-252000</v>
      </c>
      <c r="Y231" s="79">
        <f t="shared" si="118"/>
        <v>-252000</v>
      </c>
    </row>
    <row r="232" spans="1:25" ht="15.75" customHeight="1">
      <c r="B232" s="88"/>
      <c r="C232" s="482" t="s">
        <v>128</v>
      </c>
      <c r="D232" s="100"/>
      <c r="E232" s="100"/>
      <c r="F232" s="100"/>
      <c r="G232" s="100"/>
      <c r="H232" s="88"/>
      <c r="I232" s="79"/>
      <c r="J232" s="79">
        <f t="shared" ref="J232:O232" si="119">-J177</f>
        <v>-4255351.3545029182</v>
      </c>
      <c r="K232" s="79">
        <f t="shared" si="119"/>
        <v>-4476204.7300000004</v>
      </c>
      <c r="L232" s="79">
        <f>-L177</f>
        <v>-3618558.9000000004</v>
      </c>
      <c r="M232" s="79">
        <f t="shared" si="119"/>
        <v>-2053525.1</v>
      </c>
      <c r="N232" s="79">
        <f>-N177</f>
        <v>-4159320.0000000005</v>
      </c>
      <c r="O232" s="79">
        <f t="shared" si="119"/>
        <v>-5559400</v>
      </c>
      <c r="P232" s="79">
        <f>-P177*P14/P50-P208*P15/P75</f>
        <v>-5246400.0257125767</v>
      </c>
      <c r="Q232" s="79">
        <f t="shared" ref="Q232:Y232" si="120">-Q177-Q208</f>
        <v>-5917485</v>
      </c>
      <c r="R232" s="79">
        <f>-R177-R208</f>
        <v>0</v>
      </c>
      <c r="S232" s="79">
        <f t="shared" si="106"/>
        <v>0</v>
      </c>
      <c r="T232" s="79">
        <f>-T177-T208</f>
        <v>-5917485</v>
      </c>
      <c r="U232" s="79">
        <f t="shared" si="120"/>
        <v>-5917485</v>
      </c>
      <c r="V232" s="79">
        <f t="shared" si="120"/>
        <v>-5917485</v>
      </c>
      <c r="W232" s="79">
        <f t="shared" si="120"/>
        <v>-5917485</v>
      </c>
      <c r="X232" s="79">
        <f t="shared" si="120"/>
        <v>-5917485</v>
      </c>
      <c r="Y232" s="79">
        <f t="shared" si="120"/>
        <v>-5917485</v>
      </c>
    </row>
    <row r="233" spans="1:25" ht="15" customHeight="1">
      <c r="B233" s="88"/>
      <c r="C233" s="482"/>
      <c r="D233" s="100"/>
      <c r="E233" s="100"/>
      <c r="F233" s="100"/>
      <c r="G233" s="100"/>
      <c r="H233" s="88"/>
      <c r="I233" s="79"/>
      <c r="J233" s="108"/>
      <c r="K233" s="79"/>
      <c r="L233" s="79"/>
      <c r="M233" s="100"/>
      <c r="N233" s="100"/>
      <c r="O233" s="100"/>
      <c r="P233" s="100"/>
      <c r="Q233" s="100"/>
      <c r="R233" s="100">
        <f t="shared" si="107"/>
        <v>0</v>
      </c>
      <c r="S233" s="100">
        <f t="shared" si="106"/>
        <v>0</v>
      </c>
      <c r="T233" s="100"/>
      <c r="U233" s="100"/>
      <c r="V233" s="100"/>
      <c r="W233" s="100"/>
      <c r="X233" s="100"/>
      <c r="Y233" s="100"/>
    </row>
    <row r="234" spans="1:25" ht="15.75" customHeight="1">
      <c r="B234" s="88" t="s">
        <v>524</v>
      </c>
      <c r="C234" s="110" t="s">
        <v>185</v>
      </c>
      <c r="D234" s="100"/>
      <c r="E234" s="100"/>
      <c r="F234" s="100"/>
      <c r="G234" s="100"/>
      <c r="H234" s="88"/>
      <c r="I234" s="79"/>
      <c r="J234" s="79">
        <f t="shared" ref="J234:O234" si="121">J225+J227</f>
        <v>22832923.572303697</v>
      </c>
      <c r="K234" s="79">
        <f t="shared" si="121"/>
        <v>21767108.580102768</v>
      </c>
      <c r="L234" s="79">
        <f>L225+L227</f>
        <v>27423272.022527009</v>
      </c>
      <c r="M234" s="79">
        <f t="shared" si="121"/>
        <v>27852675.912634343</v>
      </c>
      <c r="N234" s="79">
        <f>N225+N227</f>
        <v>39869592.871267676</v>
      </c>
      <c r="O234" s="79">
        <f t="shared" si="121"/>
        <v>33464291.195677679</v>
      </c>
      <c r="P234" s="79">
        <f t="shared" ref="P234:Y234" si="122">P225+P227</f>
        <v>52892556.954896629</v>
      </c>
      <c r="Q234" s="79">
        <f t="shared" si="122"/>
        <v>67655314.361377835</v>
      </c>
      <c r="R234" s="79">
        <f t="shared" si="107"/>
        <v>23843686.206925265</v>
      </c>
      <c r="S234" s="79">
        <f t="shared" si="106"/>
        <v>23843686.206925265</v>
      </c>
      <c r="T234" s="79">
        <f>T225+T227</f>
        <v>47687372.413850531</v>
      </c>
      <c r="U234" s="79">
        <f t="shared" si="122"/>
        <v>74169163.136579603</v>
      </c>
      <c r="V234" s="79">
        <f t="shared" si="122"/>
        <v>74340201.907473102</v>
      </c>
      <c r="W234" s="79">
        <f t="shared" si="122"/>
        <v>64929951.683190472</v>
      </c>
      <c r="X234" s="79">
        <f t="shared" si="122"/>
        <v>62779359.420375906</v>
      </c>
      <c r="Y234" s="79">
        <f t="shared" si="122"/>
        <v>63711822.382355243</v>
      </c>
    </row>
    <row r="235" spans="1:25" ht="6.75" customHeight="1">
      <c r="B235" s="88"/>
      <c r="C235" s="110"/>
      <c r="D235" s="110"/>
      <c r="E235" s="114"/>
      <c r="F235" s="114"/>
      <c r="G235" s="114"/>
      <c r="H235" s="88"/>
      <c r="I235" s="148"/>
      <c r="J235" s="148"/>
      <c r="K235" s="148"/>
      <c r="L235" s="148"/>
      <c r="M235" s="100"/>
      <c r="N235" s="100"/>
      <c r="O235" s="100"/>
      <c r="P235" s="100"/>
      <c r="Q235" s="100"/>
      <c r="R235" s="100">
        <f t="shared" si="107"/>
        <v>0</v>
      </c>
      <c r="S235" s="100">
        <f t="shared" si="106"/>
        <v>0</v>
      </c>
      <c r="T235" s="100"/>
      <c r="U235" s="100"/>
      <c r="V235" s="100"/>
      <c r="W235" s="100"/>
      <c r="X235" s="100"/>
      <c r="Y235" s="100"/>
    </row>
    <row r="236" spans="1:25" ht="15.75" customHeight="1">
      <c r="B236" s="88" t="s">
        <v>523</v>
      </c>
      <c r="C236" s="110" t="s">
        <v>263</v>
      </c>
      <c r="D236" s="100"/>
      <c r="E236" s="100"/>
      <c r="F236" s="100"/>
      <c r="G236" s="100"/>
      <c r="H236" s="88"/>
      <c r="I236" s="79"/>
      <c r="J236" s="79">
        <f>SUM(J237:J240)</f>
        <v>-3321712.80292778</v>
      </c>
      <c r="K236" s="79">
        <f t="shared" ref="K236:P236" si="123">SUM(K237:K240)</f>
        <v>-2057675</v>
      </c>
      <c r="L236" s="79">
        <f t="shared" si="123"/>
        <v>-2261646.4910010351</v>
      </c>
      <c r="M236" s="79">
        <f t="shared" si="123"/>
        <v>-2865741.3576440611</v>
      </c>
      <c r="N236" s="79">
        <f t="shared" si="123"/>
        <v>-3474020.7601088001</v>
      </c>
      <c r="O236" s="79">
        <f t="shared" si="123"/>
        <v>-3602141.642</v>
      </c>
      <c r="P236" s="79">
        <f t="shared" si="123"/>
        <v>-5008290.1479434371</v>
      </c>
      <c r="Q236" s="79">
        <f t="shared" ref="Q236:Y236" si="124">SUM(Q237:Q240)</f>
        <v>-5916180.7739404654</v>
      </c>
      <c r="R236" s="79">
        <f t="shared" si="107"/>
        <v>-2586236.2469781707</v>
      </c>
      <c r="S236" s="79">
        <f t="shared" si="106"/>
        <v>-2586236.2469781707</v>
      </c>
      <c r="T236" s="79">
        <f>SUM(T237:T240)</f>
        <v>-5172472.4939563414</v>
      </c>
      <c r="U236" s="79">
        <f t="shared" si="124"/>
        <v>-5904998.5346143674</v>
      </c>
      <c r="V236" s="79">
        <f t="shared" si="124"/>
        <v>-5904998.5346143674</v>
      </c>
      <c r="W236" s="79">
        <f t="shared" si="124"/>
        <v>-5904998.5346143674</v>
      </c>
      <c r="X236" s="79">
        <f t="shared" si="124"/>
        <v>-5904998.5346143674</v>
      </c>
      <c r="Y236" s="79">
        <f t="shared" si="124"/>
        <v>-5811286.5200671684</v>
      </c>
    </row>
    <row r="237" spans="1:25" ht="15.75" customHeight="1">
      <c r="A237" s="460">
        <v>3</v>
      </c>
      <c r="B237" s="88"/>
      <c r="C237" s="482" t="s">
        <v>129</v>
      </c>
      <c r="D237" s="100"/>
      <c r="E237" s="100"/>
      <c r="F237" s="100"/>
      <c r="G237" s="100"/>
      <c r="H237" s="88"/>
      <c r="I237" s="79"/>
      <c r="J237" s="79">
        <f t="shared" ref="J237:O237" si="125">-J170</f>
        <v>-170000</v>
      </c>
      <c r="K237" s="79">
        <f t="shared" si="125"/>
        <v>-188600</v>
      </c>
      <c r="L237" s="79">
        <f t="shared" si="125"/>
        <v>-290113.92464928009</v>
      </c>
      <c r="M237" s="79">
        <f t="shared" si="125"/>
        <v>-258378.7248</v>
      </c>
      <c r="N237" s="79">
        <f t="shared" si="125"/>
        <v>-1369092.2201088001</v>
      </c>
      <c r="O237" s="79">
        <f t="shared" si="125"/>
        <v>-1363506.1</v>
      </c>
      <c r="P237" s="79">
        <f>-P170-P201</f>
        <v>-2074125.2058434377</v>
      </c>
      <c r="Q237" s="79">
        <f t="shared" ref="Q237:Y237" si="126">-Q170-Q201</f>
        <v>-2788906.049940465</v>
      </c>
      <c r="R237" s="79">
        <f t="shared" si="107"/>
        <v>-1022598.8849781705</v>
      </c>
      <c r="S237" s="79">
        <f t="shared" si="106"/>
        <v>-1022598.8849781705</v>
      </c>
      <c r="T237" s="79">
        <f>-T170-T201</f>
        <v>-2045197.769956341</v>
      </c>
      <c r="U237" s="79">
        <f t="shared" si="126"/>
        <v>-2779786.348714368</v>
      </c>
      <c r="V237" s="79">
        <f t="shared" si="126"/>
        <v>-2779786.348714368</v>
      </c>
      <c r="W237" s="79">
        <f t="shared" si="126"/>
        <v>-2779786.348714368</v>
      </c>
      <c r="X237" s="79">
        <f t="shared" si="126"/>
        <v>-2779786.348714368</v>
      </c>
      <c r="Y237" s="79">
        <f t="shared" si="126"/>
        <v>-2686074.334167168</v>
      </c>
    </row>
    <row r="238" spans="1:25" ht="15.75" customHeight="1">
      <c r="A238" s="460">
        <v>3</v>
      </c>
      <c r="B238" s="88"/>
      <c r="C238" s="482" t="s">
        <v>130</v>
      </c>
      <c r="D238" s="100"/>
      <c r="E238" s="100"/>
      <c r="F238" s="100"/>
      <c r="G238" s="100"/>
      <c r="H238" s="88"/>
      <c r="I238" s="79"/>
      <c r="J238" s="79">
        <f>-J178</f>
        <v>-400000</v>
      </c>
      <c r="K238" s="79">
        <f>-K178</f>
        <v>-323204</v>
      </c>
      <c r="L238" s="79">
        <f>-L171</f>
        <v>-190363.80000000002</v>
      </c>
      <c r="M238" s="79">
        <f>-M171</f>
        <v>-178354</v>
      </c>
      <c r="N238" s="79">
        <f>-N171</f>
        <v>-199933.80000000002</v>
      </c>
      <c r="O238" s="79">
        <f>-O171</f>
        <v>-218438.00000000003</v>
      </c>
      <c r="P238" s="79">
        <f>-P171-P202</f>
        <v>-239405.25</v>
      </c>
      <c r="Q238" s="79">
        <f t="shared" ref="Q238:Y238" si="127">-Q171-Q202</f>
        <v>-239412.60000000003</v>
      </c>
      <c r="R238" s="79">
        <f t="shared" si="107"/>
        <v>-119706.30000000002</v>
      </c>
      <c r="S238" s="79">
        <f t="shared" si="106"/>
        <v>-119706.30000000002</v>
      </c>
      <c r="T238" s="79">
        <f>-T171-T202</f>
        <v>-239412.60000000003</v>
      </c>
      <c r="U238" s="79">
        <f t="shared" si="127"/>
        <v>-239412.60000000003</v>
      </c>
      <c r="V238" s="79">
        <f t="shared" si="127"/>
        <v>-239412.60000000003</v>
      </c>
      <c r="W238" s="79">
        <f t="shared" si="127"/>
        <v>-239412.60000000003</v>
      </c>
      <c r="X238" s="79">
        <f t="shared" si="127"/>
        <v>-239412.60000000003</v>
      </c>
      <c r="Y238" s="79">
        <f t="shared" si="127"/>
        <v>-239412.60000000003</v>
      </c>
    </row>
    <row r="239" spans="1:25" ht="15.75" customHeight="1">
      <c r="A239" s="460">
        <v>3</v>
      </c>
      <c r="B239" s="88"/>
      <c r="C239" s="482" t="s">
        <v>265</v>
      </c>
      <c r="D239" s="100"/>
      <c r="E239" s="100"/>
      <c r="F239" s="100"/>
      <c r="G239" s="100"/>
      <c r="H239" s="88"/>
      <c r="I239" s="79"/>
      <c r="J239" s="79">
        <f t="shared" ref="J239:O239" si="128">-J176-J179</f>
        <v>-2033336.12292778</v>
      </c>
      <c r="K239" s="79">
        <f t="shared" si="128"/>
        <v>-773903</v>
      </c>
      <c r="L239" s="79">
        <f t="shared" si="128"/>
        <v>-993889.60000000009</v>
      </c>
      <c r="M239" s="79">
        <f t="shared" si="128"/>
        <v>-1205828.7999999998</v>
      </c>
      <c r="N239" s="79">
        <f t="shared" si="128"/>
        <v>-1043873.6000000001</v>
      </c>
      <c r="O239" s="79">
        <f t="shared" si="128"/>
        <v>-1110708.5</v>
      </c>
      <c r="P239" s="79">
        <f>-P176-P179-P210-P207</f>
        <v>-1321980.4500000002</v>
      </c>
      <c r="Q239" s="79">
        <f t="shared" ref="Q239:Y239" si="129">-Q176-Q179-Q210-Q207</f>
        <v>-1427450.85</v>
      </c>
      <c r="R239" s="79">
        <f t="shared" si="107"/>
        <v>-713725.42500000005</v>
      </c>
      <c r="S239" s="79">
        <f t="shared" si="106"/>
        <v>-713725.42500000005</v>
      </c>
      <c r="T239" s="79">
        <f>-T176-T179-T210-T207</f>
        <v>-1427450.85</v>
      </c>
      <c r="U239" s="79">
        <f t="shared" si="129"/>
        <v>-1427450.85</v>
      </c>
      <c r="V239" s="79">
        <f t="shared" si="129"/>
        <v>-1427450.85</v>
      </c>
      <c r="W239" s="79">
        <f t="shared" si="129"/>
        <v>-1427450.85</v>
      </c>
      <c r="X239" s="79">
        <f t="shared" si="129"/>
        <v>-1427450.85</v>
      </c>
      <c r="Y239" s="79">
        <f t="shared" si="129"/>
        <v>-1427450.85</v>
      </c>
    </row>
    <row r="240" spans="1:25" ht="15.75" customHeight="1">
      <c r="A240" s="460">
        <v>5</v>
      </c>
      <c r="B240" s="88"/>
      <c r="C240" s="482" t="s">
        <v>264</v>
      </c>
      <c r="D240" s="100"/>
      <c r="E240" s="100"/>
      <c r="F240" s="100"/>
      <c r="G240" s="100"/>
      <c r="H240" s="88"/>
      <c r="I240" s="79"/>
      <c r="J240" s="79">
        <f t="shared" ref="J240:O240" si="130">-J172-J174</f>
        <v>-718376.67999999993</v>
      </c>
      <c r="K240" s="79">
        <f t="shared" si="130"/>
        <v>-771968</v>
      </c>
      <c r="L240" s="79">
        <f t="shared" si="130"/>
        <v>-787279.16635175515</v>
      </c>
      <c r="M240" s="79">
        <f t="shared" si="130"/>
        <v>-1223179.8328440613</v>
      </c>
      <c r="N240" s="79">
        <f t="shared" si="130"/>
        <v>-861121.14</v>
      </c>
      <c r="O240" s="79">
        <f t="shared" si="130"/>
        <v>-909489.04200000013</v>
      </c>
      <c r="P240" s="79">
        <f>-P172-P174-P205-P203</f>
        <v>-1372779.2420999999</v>
      </c>
      <c r="Q240" s="79">
        <f t="shared" ref="Q240:Y240" si="131">-Q172-Q174-Q205-Q203</f>
        <v>-1460411.2740000002</v>
      </c>
      <c r="R240" s="79">
        <f t="shared" si="107"/>
        <v>-730205.6370000001</v>
      </c>
      <c r="S240" s="79">
        <f t="shared" si="106"/>
        <v>-730205.6370000001</v>
      </c>
      <c r="T240" s="79">
        <f>-T172-T174-T205-T203</f>
        <v>-1460411.2740000002</v>
      </c>
      <c r="U240" s="79">
        <f t="shared" si="131"/>
        <v>-1458348.7359000002</v>
      </c>
      <c r="V240" s="79">
        <f t="shared" si="131"/>
        <v>-1458348.7359000002</v>
      </c>
      <c r="W240" s="79">
        <f t="shared" si="131"/>
        <v>-1458348.7359000002</v>
      </c>
      <c r="X240" s="79">
        <f t="shared" si="131"/>
        <v>-1458348.7359000002</v>
      </c>
      <c r="Y240" s="79">
        <f t="shared" si="131"/>
        <v>-1458348.7359000002</v>
      </c>
    </row>
    <row r="241" spans="1:25">
      <c r="A241" s="460">
        <v>55</v>
      </c>
      <c r="B241" s="88" t="s">
        <v>523</v>
      </c>
      <c r="C241" s="110" t="s">
        <v>2015</v>
      </c>
      <c r="D241" s="110"/>
      <c r="E241" s="114"/>
      <c r="F241" s="114"/>
      <c r="G241" s="114"/>
      <c r="H241" s="88"/>
      <c r="I241" s="148"/>
      <c r="J241" s="87">
        <f t="shared" ref="J241:O241" si="132">J32</f>
        <v>-1024058.16</v>
      </c>
      <c r="K241" s="87">
        <f t="shared" si="132"/>
        <v>-1323310.352</v>
      </c>
      <c r="L241" s="87">
        <f t="shared" si="132"/>
        <v>-1458215.5418617134</v>
      </c>
      <c r="M241" s="87">
        <f t="shared" si="132"/>
        <v>-998296.06315773632</v>
      </c>
      <c r="N241" s="87">
        <f>N32</f>
        <v>-1172246.062251233</v>
      </c>
      <c r="O241" s="87">
        <f t="shared" si="132"/>
        <v>-1076809.622084866</v>
      </c>
      <c r="P241" s="87">
        <f>P32</f>
        <v>-1161811.8524100001</v>
      </c>
      <c r="Q241" s="87">
        <f t="shared" ref="Q241:Y241" si="133">Q32</f>
        <v>-1822630.9999999998</v>
      </c>
      <c r="R241" s="87">
        <f t="shared" si="107"/>
        <v>-911315.49999999988</v>
      </c>
      <c r="S241" s="87">
        <f t="shared" si="106"/>
        <v>-911315.49999999988</v>
      </c>
      <c r="T241" s="87">
        <f>T32</f>
        <v>-1822630.9999999998</v>
      </c>
      <c r="U241" s="87">
        <f t="shared" si="133"/>
        <v>-2066538.9552587485</v>
      </c>
      <c r="V241" s="87">
        <f t="shared" si="133"/>
        <v>-2132413.9193423479</v>
      </c>
      <c r="W241" s="87">
        <f t="shared" si="133"/>
        <v>-2201050.5127995955</v>
      </c>
      <c r="X241" s="87">
        <f t="shared" si="133"/>
        <v>-2272564.5094590383</v>
      </c>
      <c r="Y241" s="87">
        <f t="shared" si="133"/>
        <v>-2269745.2484815815</v>
      </c>
    </row>
    <row r="242" spans="1:25" ht="26.25" customHeight="1">
      <c r="B242" s="88" t="s">
        <v>524</v>
      </c>
      <c r="C242" s="110" t="s">
        <v>347</v>
      </c>
      <c r="D242" s="100"/>
      <c r="E242" s="100"/>
      <c r="F242" s="100"/>
      <c r="G242" s="100"/>
      <c r="H242" s="88"/>
      <c r="I242" s="79"/>
      <c r="J242" s="79">
        <f>J234+J236+J241</f>
        <v>18487152.609375916</v>
      </c>
      <c r="K242" s="79">
        <f t="shared" ref="K242:W242" si="134">K234+K236+K241</f>
        <v>18386123.228102766</v>
      </c>
      <c r="L242" s="79">
        <f t="shared" si="134"/>
        <v>23703409.98966426</v>
      </c>
      <c r="M242" s="79">
        <f t="shared" si="134"/>
        <v>23988638.491832543</v>
      </c>
      <c r="N242" s="79">
        <f t="shared" si="134"/>
        <v>35223326.048907645</v>
      </c>
      <c r="O242" s="79">
        <f t="shared" si="134"/>
        <v>28785339.931592811</v>
      </c>
      <c r="P242" s="79">
        <f t="shared" si="134"/>
        <v>46722454.954543188</v>
      </c>
      <c r="Q242" s="79">
        <f t="shared" si="134"/>
        <v>59916502.587437369</v>
      </c>
      <c r="R242" s="79">
        <f t="shared" si="107"/>
        <v>20346134.459947094</v>
      </c>
      <c r="S242" s="79">
        <f t="shared" si="106"/>
        <v>20346134.459947094</v>
      </c>
      <c r="T242" s="79">
        <f>T234+T236+T241</f>
        <v>40692268.919894189</v>
      </c>
      <c r="U242" s="79">
        <f t="shared" si="134"/>
        <v>66197625.646706484</v>
      </c>
      <c r="V242" s="79">
        <f t="shared" si="134"/>
        <v>66302789.453516386</v>
      </c>
      <c r="W242" s="79">
        <f t="shared" si="134"/>
        <v>56823902.635776505</v>
      </c>
      <c r="X242" s="79">
        <f>X234+X236+X241</f>
        <v>54601796.376302496</v>
      </c>
      <c r="Y242" s="79">
        <f>Y234+Y236+Y241</f>
        <v>55630790.613806494</v>
      </c>
    </row>
    <row r="243" spans="1:25" ht="4.5" customHeight="1">
      <c r="B243" s="88"/>
      <c r="C243" s="110"/>
      <c r="D243" s="110"/>
      <c r="E243" s="114"/>
      <c r="F243" s="114"/>
      <c r="G243" s="114"/>
      <c r="H243" s="88"/>
      <c r="I243" s="148"/>
      <c r="J243" s="148"/>
      <c r="K243" s="148"/>
      <c r="L243" s="148"/>
      <c r="M243" s="100"/>
      <c r="N243" s="100"/>
      <c r="O243" s="100"/>
      <c r="P243" s="100"/>
      <c r="Q243" s="100"/>
      <c r="R243" s="100">
        <f t="shared" si="107"/>
        <v>0</v>
      </c>
      <c r="S243" s="100">
        <f t="shared" si="106"/>
        <v>0</v>
      </c>
      <c r="T243" s="100"/>
      <c r="U243" s="100"/>
      <c r="V243" s="100"/>
      <c r="W243" s="100"/>
      <c r="X243" s="100"/>
      <c r="Y243" s="100"/>
    </row>
    <row r="244" spans="1:25" ht="15.75" customHeight="1">
      <c r="A244" s="460">
        <v>7</v>
      </c>
      <c r="B244" s="88" t="s">
        <v>523</v>
      </c>
      <c r="C244" s="110" t="s">
        <v>193</v>
      </c>
      <c r="D244" s="110"/>
      <c r="E244" s="114"/>
      <c r="F244" s="114"/>
      <c r="G244" s="114"/>
      <c r="H244" s="88"/>
      <c r="I244" s="79"/>
      <c r="J244" s="79">
        <f t="shared" ref="J244:Y244" si="135">-J485-J486</f>
        <v>-6040868.8050897401</v>
      </c>
      <c r="K244" s="79">
        <f t="shared" ca="1" si="135"/>
        <v>-3465292.4086858924</v>
      </c>
      <c r="L244" s="79">
        <f ca="1">-L485-L486</f>
        <v>-3693010.1015430354</v>
      </c>
      <c r="M244" s="79">
        <f t="shared" ca="1" si="135"/>
        <v>-3914590.1729716067</v>
      </c>
      <c r="N244" s="79">
        <f t="shared" ca="1" si="135"/>
        <v>-4091552.9348763688</v>
      </c>
      <c r="O244" s="79">
        <f t="shared" ca="1" si="135"/>
        <v>-4356861.143426368</v>
      </c>
      <c r="P244" s="79">
        <f t="shared" ca="1" si="135"/>
        <v>-3313876.8792601479</v>
      </c>
      <c r="Q244" s="79">
        <f t="shared" ca="1" si="135"/>
        <v>-3880248.604260148</v>
      </c>
      <c r="R244" s="79">
        <f t="shared" ca="1" si="107"/>
        <v>-1940124.302130074</v>
      </c>
      <c r="S244" s="79">
        <f t="shared" ca="1" si="106"/>
        <v>-1940124.302130074</v>
      </c>
      <c r="T244" s="79">
        <f ca="1">-T485-T486</f>
        <v>-3880248.604260148</v>
      </c>
      <c r="U244" s="79">
        <f t="shared" ca="1" si="135"/>
        <v>-4295824.3061954128</v>
      </c>
      <c r="V244" s="79">
        <f t="shared" ca="1" si="135"/>
        <v>-4377696.3939180765</v>
      </c>
      <c r="W244" s="79">
        <f t="shared" ca="1" si="135"/>
        <v>-4844049.8336491156</v>
      </c>
      <c r="X244" s="79">
        <f t="shared" si="135"/>
        <v>-5710033.0829039663</v>
      </c>
      <c r="Y244" s="79">
        <f t="shared" si="135"/>
        <v>-6401639.6355135795</v>
      </c>
    </row>
    <row r="245" spans="1:25" ht="7.5" customHeight="1">
      <c r="B245" s="88"/>
      <c r="C245" s="110"/>
      <c r="D245" s="110"/>
      <c r="E245" s="114"/>
      <c r="F245" s="114"/>
      <c r="G245" s="114"/>
      <c r="H245" s="88"/>
      <c r="I245" s="79"/>
      <c r="J245" s="79"/>
      <c r="K245" s="79"/>
      <c r="L245" s="79"/>
      <c r="M245" s="100"/>
      <c r="N245" s="100"/>
      <c r="O245" s="100"/>
      <c r="P245" s="100"/>
      <c r="Q245" s="100"/>
      <c r="R245" s="100">
        <f t="shared" si="107"/>
        <v>0</v>
      </c>
      <c r="S245" s="100">
        <f t="shared" si="106"/>
        <v>0</v>
      </c>
      <c r="T245" s="100"/>
      <c r="U245" s="100"/>
      <c r="V245" s="100"/>
      <c r="W245" s="100"/>
      <c r="X245" s="100"/>
      <c r="Y245" s="100"/>
    </row>
    <row r="246" spans="1:25" ht="15.75" customHeight="1">
      <c r="B246" s="88" t="s">
        <v>524</v>
      </c>
      <c r="C246" s="110" t="s">
        <v>363</v>
      </c>
      <c r="D246" s="110"/>
      <c r="E246" s="114"/>
      <c r="F246" s="114"/>
      <c r="G246" s="114"/>
      <c r="H246" s="88"/>
      <c r="I246" s="79">
        <f t="shared" ref="I246:N246" si="136">I242+I244</f>
        <v>0</v>
      </c>
      <c r="J246" s="79">
        <f t="shared" si="136"/>
        <v>12446283.804286176</v>
      </c>
      <c r="K246" s="79">
        <f t="shared" ca="1" si="136"/>
        <v>14920830.819416873</v>
      </c>
      <c r="L246" s="79">
        <f t="shared" ca="1" si="136"/>
        <v>20010399.888121225</v>
      </c>
      <c r="M246" s="79">
        <f ca="1">M242+M244</f>
        <v>20074048.318860937</v>
      </c>
      <c r="N246" s="79">
        <f t="shared" ca="1" si="136"/>
        <v>31131773.114031278</v>
      </c>
      <c r="O246" s="79">
        <f t="shared" ref="O246:W246" ca="1" si="137">O242+O244</f>
        <v>24428478.788166441</v>
      </c>
      <c r="P246" s="79">
        <f t="shared" ca="1" si="137"/>
        <v>43408578.075283043</v>
      </c>
      <c r="Q246" s="79">
        <f t="shared" ca="1" si="137"/>
        <v>56036253.983177222</v>
      </c>
      <c r="R246" s="79">
        <f t="shared" ca="1" si="107"/>
        <v>18406010.157817021</v>
      </c>
      <c r="S246" s="79">
        <f t="shared" ca="1" si="106"/>
        <v>18406010.157817021</v>
      </c>
      <c r="T246" s="79">
        <f ca="1">T242+T244</f>
        <v>36812020.315634042</v>
      </c>
      <c r="U246" s="79">
        <f t="shared" ca="1" si="137"/>
        <v>61901801.340511069</v>
      </c>
      <c r="V246" s="79">
        <f t="shared" ca="1" si="137"/>
        <v>61925093.059598312</v>
      </c>
      <c r="W246" s="79">
        <f t="shared" ca="1" si="137"/>
        <v>51979852.802127391</v>
      </c>
      <c r="X246" s="79">
        <f>X242+X244</f>
        <v>48891763.293398529</v>
      </c>
      <c r="Y246" s="79">
        <f>Y242+Y244</f>
        <v>49229150.978292912</v>
      </c>
    </row>
    <row r="247" spans="1:25" ht="6.75" customHeight="1">
      <c r="B247" s="88"/>
      <c r="C247" s="110"/>
      <c r="D247" s="163"/>
      <c r="E247" s="114"/>
      <c r="F247" s="114"/>
      <c r="G247" s="114"/>
      <c r="H247" s="88"/>
      <c r="I247" s="144"/>
      <c r="J247" s="144"/>
      <c r="K247" s="149"/>
      <c r="L247" s="144"/>
      <c r="M247" s="100"/>
      <c r="N247" s="100"/>
      <c r="O247" s="100"/>
      <c r="P247" s="100"/>
      <c r="Q247" s="100"/>
      <c r="R247" s="100">
        <f t="shared" si="107"/>
        <v>0</v>
      </c>
      <c r="S247" s="100">
        <f t="shared" si="106"/>
        <v>0</v>
      </c>
      <c r="T247" s="100"/>
      <c r="U247" s="100"/>
      <c r="V247" s="100"/>
      <c r="W247" s="100"/>
      <c r="X247" s="100"/>
      <c r="Y247" s="100"/>
    </row>
    <row r="248" spans="1:25" ht="15.75" customHeight="1">
      <c r="A248" s="460">
        <v>8</v>
      </c>
      <c r="B248" s="88" t="s">
        <v>523</v>
      </c>
      <c r="C248" s="482" t="s">
        <v>194</v>
      </c>
      <c r="D248" s="163"/>
      <c r="E248" s="114"/>
      <c r="F248" s="114"/>
      <c r="G248" s="114"/>
      <c r="H248" s="88"/>
      <c r="I248" s="79">
        <f t="shared" ref="I248:N248" si="138">-I587</f>
        <v>0</v>
      </c>
      <c r="J248" s="79">
        <f t="shared" si="138"/>
        <v>-497714.84783193597</v>
      </c>
      <c r="K248" s="79">
        <f t="shared" si="138"/>
        <v>-773888.09709331719</v>
      </c>
      <c r="L248" s="79">
        <f t="shared" si="138"/>
        <v>-655524.08355451713</v>
      </c>
      <c r="M248" s="79">
        <f>-M587</f>
        <v>-128625.25160451712</v>
      </c>
      <c r="N248" s="79">
        <f t="shared" si="138"/>
        <v>-234847.32085451714</v>
      </c>
      <c r="O248" s="79">
        <f t="shared" ref="O248:W248" ca="1" si="139">-O587</f>
        <v>-318647.53507369268</v>
      </c>
      <c r="P248" s="79">
        <f t="shared" ca="1" si="139"/>
        <v>-357524.36794720683</v>
      </c>
      <c r="Q248" s="79">
        <f t="shared" ca="1" si="139"/>
        <v>-1016600.0213669065</v>
      </c>
      <c r="R248" s="79">
        <f t="shared" si="107"/>
        <v>-508300.01068345323</v>
      </c>
      <c r="S248" s="79">
        <f t="shared" si="106"/>
        <v>-508300.01068345323</v>
      </c>
      <c r="T248" s="79">
        <f>-T587</f>
        <v>-1016600.0213669065</v>
      </c>
      <c r="U248" s="79">
        <f t="shared" ca="1" si="139"/>
        <v>-793171.44993833522</v>
      </c>
      <c r="V248" s="79">
        <f t="shared" ca="1" si="139"/>
        <v>-480371.44993833528</v>
      </c>
      <c r="W248" s="79">
        <f t="shared" ca="1" si="139"/>
        <v>-173157.16422404957</v>
      </c>
      <c r="X248" s="79">
        <f ca="1">-X587</f>
        <v>-2.1366906724870204E-2</v>
      </c>
      <c r="Y248" s="79">
        <f ca="1">-Y587</f>
        <v>-2.1366906724870204E-2</v>
      </c>
    </row>
    <row r="249" spans="1:25" ht="15.75" customHeight="1">
      <c r="A249" s="460">
        <v>9</v>
      </c>
      <c r="B249" s="88" t="s">
        <v>525</v>
      </c>
      <c r="C249" s="482" t="s">
        <v>187</v>
      </c>
      <c r="D249" s="163"/>
      <c r="E249" s="114"/>
      <c r="F249" s="114"/>
      <c r="G249" s="114"/>
      <c r="H249" s="88"/>
      <c r="I249" s="79">
        <f t="shared" ref="I249:N249" si="140">I591</f>
        <v>0</v>
      </c>
      <c r="J249" s="79">
        <f t="shared" si="140"/>
        <v>1915.1106174639301</v>
      </c>
      <c r="K249" s="79">
        <f t="shared" si="140"/>
        <v>0</v>
      </c>
      <c r="L249" s="79">
        <f t="shared" ca="1" si="140"/>
        <v>0</v>
      </c>
      <c r="M249" s="79">
        <f t="shared" ca="1" si="140"/>
        <v>0</v>
      </c>
      <c r="N249" s="79">
        <f t="shared" ca="1" si="140"/>
        <v>0</v>
      </c>
      <c r="O249" s="79">
        <f t="shared" ref="O249:W249" ca="1" si="141">O591</f>
        <v>0</v>
      </c>
      <c r="P249" s="79">
        <f t="shared" ca="1" si="141"/>
        <v>0</v>
      </c>
      <c r="Q249" s="79">
        <f t="shared" ca="1" si="141"/>
        <v>0</v>
      </c>
      <c r="R249" s="79">
        <f t="shared" ca="1" si="107"/>
        <v>0</v>
      </c>
      <c r="S249" s="79">
        <f t="shared" ca="1" si="106"/>
        <v>0</v>
      </c>
      <c r="T249" s="79">
        <f ca="1">T591</f>
        <v>0</v>
      </c>
      <c r="U249" s="79">
        <f t="shared" ca="1" si="141"/>
        <v>0</v>
      </c>
      <c r="V249" s="79">
        <f t="shared" ca="1" si="141"/>
        <v>0</v>
      </c>
      <c r="W249" s="79">
        <f t="shared" ca="1" si="141"/>
        <v>0</v>
      </c>
      <c r="X249" s="79">
        <f ca="1">X591</f>
        <v>0</v>
      </c>
      <c r="Y249" s="79">
        <f ca="1">Y591</f>
        <v>0</v>
      </c>
    </row>
    <row r="250" spans="1:25" ht="11.25" customHeight="1">
      <c r="A250" s="460">
        <v>4</v>
      </c>
      <c r="B250" s="88"/>
      <c r="C250" s="356" t="s">
        <v>195</v>
      </c>
      <c r="D250" s="163"/>
      <c r="E250" s="114"/>
      <c r="F250" s="114"/>
      <c r="G250" s="114"/>
      <c r="H250" s="88"/>
      <c r="I250" s="144"/>
      <c r="J250" s="82">
        <f>112443.146254082</f>
        <v>112443.14625408201</v>
      </c>
      <c r="K250" s="149"/>
      <c r="L250" s="82">
        <f>-4370880-($L$223-$L$32)</f>
        <v>-5178119.883921532</v>
      </c>
      <c r="M250" s="79">
        <f>-1270942</f>
        <v>-1270942</v>
      </c>
      <c r="N250" s="79">
        <f>-610000*'Control list'!J17</f>
        <v>-671000</v>
      </c>
      <c r="O250" s="79">
        <v>-878009</v>
      </c>
      <c r="P250" s="79"/>
      <c r="Q250" s="100"/>
      <c r="R250" s="100">
        <f t="shared" si="107"/>
        <v>0</v>
      </c>
      <c r="S250" s="100">
        <f t="shared" si="106"/>
        <v>0</v>
      </c>
      <c r="T250" s="100"/>
      <c r="U250" s="100"/>
      <c r="V250" s="100"/>
      <c r="W250" s="100"/>
      <c r="X250" s="100"/>
      <c r="Y250" s="100"/>
    </row>
    <row r="251" spans="1:25" ht="15.75" customHeight="1">
      <c r="B251" s="88" t="s">
        <v>524</v>
      </c>
      <c r="C251" s="110" t="s">
        <v>188</v>
      </c>
      <c r="D251" s="163"/>
      <c r="E251" s="114"/>
      <c r="F251" s="114"/>
      <c r="G251" s="114"/>
      <c r="H251" s="88"/>
      <c r="I251" s="79">
        <f>I246+I248+I249</f>
        <v>0</v>
      </c>
      <c r="J251" s="79">
        <f>J246+J248+J249+J250</f>
        <v>12062927.213325785</v>
      </c>
      <c r="K251" s="79">
        <f ca="1">K246+K248+K249+K250</f>
        <v>14146942.722323555</v>
      </c>
      <c r="L251" s="79">
        <f ca="1">L246+L248+L249+L250</f>
        <v>14176755.920645176</v>
      </c>
      <c r="M251" s="79">
        <f t="shared" ref="M251:V251" ca="1" si="142">M246+M248+M249+M250</f>
        <v>18674481.067256421</v>
      </c>
      <c r="N251" s="79">
        <f t="shared" ca="1" si="142"/>
        <v>30225925.793176759</v>
      </c>
      <c r="O251" s="79">
        <f t="shared" ca="1" si="142"/>
        <v>23231822.253092747</v>
      </c>
      <c r="P251" s="79">
        <f t="shared" ca="1" si="142"/>
        <v>43051053.707335837</v>
      </c>
      <c r="Q251" s="79">
        <f t="shared" ca="1" si="142"/>
        <v>55019653.961810313</v>
      </c>
      <c r="R251" s="79">
        <f t="shared" ca="1" si="107"/>
        <v>17897710.147133566</v>
      </c>
      <c r="S251" s="79">
        <f t="shared" ca="1" si="106"/>
        <v>17897710.147133566</v>
      </c>
      <c r="T251" s="79">
        <f ca="1">T246+T248+T249+T250</f>
        <v>35795420.294267133</v>
      </c>
      <c r="U251" s="79">
        <f t="shared" ca="1" si="142"/>
        <v>61108629.890572734</v>
      </c>
      <c r="V251" s="79">
        <f t="shared" ca="1" si="142"/>
        <v>61444721.609659977</v>
      </c>
      <c r="W251" s="79">
        <f ca="1">W246+W248+W249+W250</f>
        <v>51806695.63790334</v>
      </c>
      <c r="X251" s="79">
        <f ca="1">X246+X248+X249+X250</f>
        <v>48891763.27203162</v>
      </c>
      <c r="Y251" s="79">
        <f ca="1">Y246+Y248+Y249+Y250</f>
        <v>49229150.956926003</v>
      </c>
    </row>
    <row r="252" spans="1:25" ht="6" customHeight="1">
      <c r="B252" s="88"/>
      <c r="C252" s="110"/>
      <c r="D252" s="163"/>
      <c r="E252" s="114"/>
      <c r="F252" s="114"/>
      <c r="G252" s="114"/>
      <c r="H252" s="88"/>
      <c r="I252" s="144"/>
      <c r="J252" s="144"/>
      <c r="K252" s="149"/>
      <c r="L252" s="144"/>
      <c r="M252" s="100"/>
      <c r="N252" s="100"/>
      <c r="O252" s="100"/>
      <c r="P252" s="100"/>
      <c r="Q252" s="100"/>
      <c r="R252" s="100">
        <f t="shared" si="107"/>
        <v>0</v>
      </c>
      <c r="S252" s="100">
        <f t="shared" si="106"/>
        <v>0</v>
      </c>
      <c r="T252" s="100"/>
      <c r="U252" s="100"/>
      <c r="V252" s="100"/>
      <c r="W252" s="100"/>
      <c r="X252" s="100"/>
      <c r="Y252" s="100"/>
    </row>
    <row r="253" spans="1:25" ht="15.75" customHeight="1">
      <c r="A253" s="460">
        <v>10</v>
      </c>
      <c r="B253" s="88" t="s">
        <v>523</v>
      </c>
      <c r="C253" s="110" t="s">
        <v>189</v>
      </c>
      <c r="D253" s="100"/>
      <c r="E253" s="100"/>
      <c r="F253" s="100"/>
      <c r="G253" s="100"/>
      <c r="H253" s="88"/>
      <c r="I253" s="79">
        <f>IF(I251&gt;0,-I251*I284,0)</f>
        <v>0</v>
      </c>
      <c r="J253" s="79">
        <f>IF(J251&gt;0,-J251*J284,0)</f>
        <v>-241258.5442665157</v>
      </c>
      <c r="K253" s="79">
        <f ca="1">IF(K251&gt;0,-K251*K284,0)</f>
        <v>-282938.85444647114</v>
      </c>
      <c r="L253" s="79">
        <f ca="1">IF(L251&gt;0,-L251*L284,0)</f>
        <v>-283535.11841290351</v>
      </c>
      <c r="M253" s="79">
        <f>-18976</f>
        <v>-18976</v>
      </c>
      <c r="N253" s="79">
        <f>-11872*'Control list'!J17</f>
        <v>-13059.2</v>
      </c>
      <c r="O253" s="79">
        <f>-614473</f>
        <v>-614473</v>
      </c>
      <c r="P253" s="79">
        <f>-718309</f>
        <v>-718309</v>
      </c>
      <c r="Q253" s="79">
        <f ca="1">-Q251*P284</f>
        <v>-918005.69821870967</v>
      </c>
      <c r="R253" s="79">
        <f t="shared" ca="1" si="107"/>
        <v>-298624.19548366842</v>
      </c>
      <c r="S253" s="79">
        <f t="shared" ca="1" si="106"/>
        <v>-298624.19548366842</v>
      </c>
      <c r="T253" s="79">
        <f ca="1">-T251*P284</f>
        <v>-597248.39096733683</v>
      </c>
      <c r="U253" s="79">
        <f ca="1">IF(U251&gt;0,-U251*U284,0)</f>
        <v>-1019600.5683500329</v>
      </c>
      <c r="V253" s="79">
        <f ca="1">IF(V251&gt;0,-V251*V284,0)</f>
        <v>-1025208.2756151562</v>
      </c>
      <c r="W253" s="79">
        <f ca="1">IF(W251&gt;0,-W251*W284,0)</f>
        <v>-864397.32671689824</v>
      </c>
      <c r="X253" s="79">
        <f ca="1">IF(X251&gt;0,-X251*X284,0)</f>
        <v>-815761.53333932138</v>
      </c>
      <c r="Y253" s="79">
        <f ca="1">IF(Y251&gt;0,-Y251*Y284,0)</f>
        <v>-821390.86385922704</v>
      </c>
    </row>
    <row r="254" spans="1:25" ht="4.5" customHeight="1">
      <c r="B254" s="88"/>
      <c r="C254" s="110"/>
      <c r="D254" s="100"/>
      <c r="E254" s="100"/>
      <c r="F254" s="100"/>
      <c r="G254" s="100"/>
      <c r="H254" s="492"/>
      <c r="I254" s="79"/>
      <c r="J254" s="79"/>
      <c r="K254" s="79"/>
      <c r="L254" s="79"/>
      <c r="M254" s="100"/>
      <c r="N254" s="100"/>
      <c r="O254" s="100"/>
      <c r="P254" s="100"/>
      <c r="Q254" s="100"/>
      <c r="R254" s="100">
        <f t="shared" si="107"/>
        <v>0</v>
      </c>
      <c r="S254" s="100">
        <f t="shared" si="106"/>
        <v>0</v>
      </c>
      <c r="T254" s="100"/>
      <c r="U254" s="100"/>
      <c r="V254" s="100"/>
      <c r="W254" s="100"/>
      <c r="X254" s="100"/>
      <c r="Y254" s="100"/>
    </row>
    <row r="255" spans="1:25" ht="15.75" customHeight="1">
      <c r="B255" s="88" t="s">
        <v>524</v>
      </c>
      <c r="C255" s="472" t="s">
        <v>190</v>
      </c>
      <c r="D255" s="497"/>
      <c r="E255" s="497"/>
      <c r="F255" s="497"/>
      <c r="G255" s="497"/>
      <c r="H255" s="498"/>
      <c r="I255" s="150">
        <f t="shared" ref="I255:N255" si="143">I251+I253</f>
        <v>0</v>
      </c>
      <c r="J255" s="150">
        <f t="shared" si="143"/>
        <v>11821668.669059269</v>
      </c>
      <c r="K255" s="150">
        <f t="shared" ca="1" si="143"/>
        <v>13864003.867877085</v>
      </c>
      <c r="L255" s="150">
        <f ca="1">L251+L253</f>
        <v>13893220.802232273</v>
      </c>
      <c r="M255" s="150">
        <f ca="1">M251+M253</f>
        <v>18655505.067256421</v>
      </c>
      <c r="N255" s="150">
        <f t="shared" ca="1" si="143"/>
        <v>30212866.59317676</v>
      </c>
      <c r="O255" s="150">
        <f t="shared" ref="O255:W255" ca="1" si="144">O251+O253</f>
        <v>22617349.253092747</v>
      </c>
      <c r="P255" s="150">
        <f t="shared" ca="1" si="144"/>
        <v>42332744.707335837</v>
      </c>
      <c r="Q255" s="150">
        <f t="shared" ca="1" si="144"/>
        <v>54101648.263591602</v>
      </c>
      <c r="R255" s="150">
        <f t="shared" ca="1" si="107"/>
        <v>17599085.951649897</v>
      </c>
      <c r="S255" s="150">
        <f t="shared" ca="1" si="106"/>
        <v>17599085.951649897</v>
      </c>
      <c r="T255" s="150">
        <f ca="1">T251+T253</f>
        <v>35198171.903299794</v>
      </c>
      <c r="U255" s="150">
        <f t="shared" ca="1" si="144"/>
        <v>60089029.322222702</v>
      </c>
      <c r="V255" s="150">
        <f t="shared" ca="1" si="144"/>
        <v>60419513.334044822</v>
      </c>
      <c r="W255" s="150">
        <f t="shared" ca="1" si="144"/>
        <v>50942298.31118644</v>
      </c>
      <c r="X255" s="150">
        <f ca="1">X251+X253</f>
        <v>48076001.738692299</v>
      </c>
      <c r="Y255" s="150">
        <f ca="1">Y251+Y253</f>
        <v>48407760.093066774</v>
      </c>
    </row>
    <row r="256" spans="1:25" ht="15.75" customHeight="1">
      <c r="B256" s="88"/>
      <c r="C256" s="110"/>
      <c r="D256" s="100"/>
      <c r="E256" s="100"/>
      <c r="F256" s="100"/>
      <c r="G256" s="100"/>
      <c r="H256" s="88"/>
      <c r="I256" s="79"/>
      <c r="J256" s="79"/>
      <c r="K256" s="79"/>
      <c r="L256" s="79"/>
      <c r="M256" s="9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</row>
    <row r="257" spans="2:25" ht="15.75" hidden="1" customHeight="1" outlineLevel="1">
      <c r="B257" s="111"/>
      <c r="C257" s="111"/>
      <c r="D257" s="111"/>
      <c r="E257" s="111"/>
      <c r="F257" s="111"/>
      <c r="G257" s="111"/>
      <c r="I257" s="110"/>
      <c r="J257" s="126"/>
      <c r="K257" s="111"/>
      <c r="L257" s="111"/>
      <c r="M257" s="79"/>
      <c r="N257" s="110"/>
      <c r="O257" s="110"/>
      <c r="P257" s="110"/>
      <c r="Q257" s="110"/>
      <c r="R257" s="110"/>
      <c r="S257" s="110"/>
      <c r="T257" s="110"/>
      <c r="U257" s="110"/>
      <c r="V257" s="110"/>
      <c r="W257" s="110"/>
      <c r="X257" s="110"/>
      <c r="Y257" s="110"/>
    </row>
    <row r="258" spans="2:25" ht="15.75" hidden="1" customHeight="1" outlineLevel="1">
      <c r="B258" s="111"/>
      <c r="C258" s="111"/>
      <c r="D258" s="111"/>
      <c r="E258" s="111"/>
      <c r="F258" s="111"/>
      <c r="G258" s="111"/>
      <c r="I258" s="110"/>
      <c r="J258" s="111"/>
      <c r="K258" s="111"/>
      <c r="L258" s="111"/>
      <c r="M258" s="108"/>
      <c r="N258" s="110"/>
      <c r="O258" s="110"/>
      <c r="P258" s="110"/>
      <c r="Q258" s="110"/>
      <c r="R258" s="110"/>
      <c r="S258" s="110"/>
      <c r="T258" s="110"/>
      <c r="U258" s="110"/>
      <c r="V258" s="110"/>
      <c r="W258" s="110"/>
      <c r="X258" s="110"/>
      <c r="Y258" s="110"/>
    </row>
    <row r="259" spans="2:25" ht="15.75" customHeight="1" collapsed="1">
      <c r="B259" s="111"/>
      <c r="C259" s="111"/>
      <c r="D259" s="111"/>
      <c r="E259" s="111"/>
      <c r="F259" s="111"/>
      <c r="G259" s="111"/>
      <c r="I259" s="110"/>
      <c r="J259" s="111"/>
      <c r="K259" s="111"/>
      <c r="L259" s="111"/>
      <c r="M259" s="108"/>
      <c r="N259" s="110"/>
      <c r="O259" s="110"/>
      <c r="P259" s="110"/>
      <c r="Q259" s="110"/>
      <c r="R259" s="110"/>
      <c r="S259" s="110"/>
      <c r="T259" s="110"/>
      <c r="U259" s="110"/>
      <c r="V259" s="110"/>
      <c r="W259" s="110"/>
      <c r="X259" s="110"/>
      <c r="Y259" s="110"/>
    </row>
    <row r="260" spans="2:25" ht="27" hidden="1" outlineLevel="1">
      <c r="B260" s="76"/>
      <c r="C260" s="499" t="s">
        <v>500</v>
      </c>
      <c r="I260" s="117"/>
      <c r="J260" s="102"/>
      <c r="K260" s="103"/>
      <c r="L260" s="137"/>
      <c r="M260" s="435"/>
      <c r="N260" s="435"/>
      <c r="O260" s="435"/>
      <c r="P260" s="435"/>
      <c r="Q260" s="435"/>
      <c r="R260" s="435"/>
      <c r="S260" s="435"/>
      <c r="T260" s="435"/>
      <c r="U260" s="435"/>
      <c r="V260" s="435"/>
      <c r="W260" s="435"/>
      <c r="X260" s="435"/>
      <c r="Y260" s="435"/>
    </row>
    <row r="261" spans="2:25" ht="3" hidden="1" customHeight="1" outlineLevel="1">
      <c r="B261" s="76"/>
      <c r="C261" s="104"/>
      <c r="D261" s="104"/>
      <c r="E261" s="104"/>
      <c r="F261" s="104"/>
      <c r="G261" s="104"/>
      <c r="H261" s="465"/>
      <c r="I261" s="104"/>
      <c r="J261" s="104"/>
      <c r="K261" s="104"/>
      <c r="L261" s="104"/>
      <c r="M261" s="104"/>
      <c r="N261" s="420"/>
      <c r="O261" s="420"/>
      <c r="P261" s="420"/>
      <c r="Q261" s="420"/>
      <c r="R261" s="420"/>
      <c r="S261" s="420"/>
      <c r="T261" s="420"/>
      <c r="U261" s="420"/>
      <c r="V261" s="420"/>
      <c r="W261" s="420"/>
      <c r="X261" s="420"/>
      <c r="Y261" s="420"/>
    </row>
    <row r="262" spans="2:25" ht="15.75" hidden="1" customHeight="1" outlineLevel="1">
      <c r="B262" s="76"/>
      <c r="C262" s="75" t="s">
        <v>1317</v>
      </c>
      <c r="I262" s="117"/>
      <c r="J262" s="102"/>
      <c r="K262" s="103"/>
      <c r="L262" s="137"/>
      <c r="M262" s="435"/>
      <c r="N262" s="435"/>
      <c r="O262" s="435"/>
      <c r="P262" s="435"/>
      <c r="Q262" s="435"/>
      <c r="R262" s="435"/>
      <c r="S262" s="435"/>
      <c r="T262" s="435"/>
      <c r="U262" s="435"/>
      <c r="V262" s="435"/>
      <c r="W262" s="435"/>
      <c r="X262" s="435"/>
      <c r="Y262" s="435"/>
    </row>
    <row r="263" spans="2:25" ht="15.75" hidden="1" customHeight="1" outlineLevel="1">
      <c r="B263" s="76"/>
      <c r="C263" s="480" t="s">
        <v>433</v>
      </c>
      <c r="I263" s="117"/>
      <c r="J263" s="500"/>
      <c r="K263" s="105"/>
      <c r="L263" s="138"/>
      <c r="M263" s="138"/>
      <c r="N263" s="138"/>
      <c r="O263" s="138"/>
      <c r="P263" s="138"/>
      <c r="Q263" s="138"/>
      <c r="R263" s="138"/>
      <c r="S263" s="138"/>
      <c r="T263" s="138"/>
      <c r="U263" s="138"/>
      <c r="V263" s="138"/>
      <c r="W263" s="138"/>
      <c r="X263" s="138"/>
      <c r="Y263" s="138"/>
    </row>
    <row r="264" spans="2:25" ht="15.75" hidden="1" customHeight="1" outlineLevel="1">
      <c r="B264" s="76"/>
      <c r="C264" s="501"/>
      <c r="D264" s="106"/>
      <c r="E264" s="106"/>
      <c r="F264" s="106"/>
      <c r="G264" s="106"/>
      <c r="H264" s="502"/>
      <c r="I264" s="92">
        <v>0</v>
      </c>
      <c r="J264" s="92">
        <v>1</v>
      </c>
      <c r="K264" s="92">
        <v>2</v>
      </c>
      <c r="L264" s="92">
        <v>3</v>
      </c>
      <c r="M264" s="92">
        <v>4</v>
      </c>
      <c r="N264" s="92">
        <v>5</v>
      </c>
      <c r="O264" s="92">
        <f t="shared" ref="O264:Q264" si="145">O7</f>
        <v>6</v>
      </c>
      <c r="P264" s="92">
        <f t="shared" si="145"/>
        <v>7</v>
      </c>
      <c r="Q264" s="92">
        <f t="shared" si="145"/>
        <v>8</v>
      </c>
      <c r="R264" s="92"/>
      <c r="S264" s="92"/>
      <c r="T264" s="92" t="str">
        <f>T7</f>
        <v>Revised</v>
      </c>
      <c r="U264" s="92">
        <f t="shared" ref="U264:W264" si="146">U7</f>
        <v>9</v>
      </c>
      <c r="V264" s="92">
        <f t="shared" si="146"/>
        <v>10</v>
      </c>
      <c r="W264" s="92">
        <f t="shared" si="146"/>
        <v>11</v>
      </c>
      <c r="X264" s="92">
        <f>X7</f>
        <v>12</v>
      </c>
      <c r="Y264" s="92">
        <f>Y7</f>
        <v>13</v>
      </c>
    </row>
    <row r="265" spans="2:25" ht="15.75" hidden="1" customHeight="1" outlineLevel="1">
      <c r="B265" s="503"/>
      <c r="C265" s="504"/>
      <c r="D265" s="469"/>
      <c r="E265" s="469"/>
      <c r="F265" s="469"/>
      <c r="G265" s="469"/>
      <c r="H265" s="470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</row>
    <row r="266" spans="2:25" ht="15.75" hidden="1" customHeight="1" outlineLevel="1">
      <c r="B266" s="463"/>
      <c r="C266" s="505"/>
      <c r="D266" s="472"/>
      <c r="E266" s="506"/>
      <c r="F266" s="506"/>
      <c r="G266" s="506"/>
      <c r="H266" s="473"/>
      <c r="I266" s="94" t="s">
        <v>499</v>
      </c>
      <c r="J266" s="94" t="s">
        <v>499</v>
      </c>
      <c r="K266" s="112" t="s">
        <v>499</v>
      </c>
      <c r="L266" s="112" t="s">
        <v>499</v>
      </c>
      <c r="M266" s="112" t="s">
        <v>499</v>
      </c>
      <c r="N266" s="112" t="s">
        <v>499</v>
      </c>
      <c r="O266" s="112" t="s">
        <v>499</v>
      </c>
      <c r="P266" s="112" t="s">
        <v>499</v>
      </c>
      <c r="Q266" s="112" t="s">
        <v>499</v>
      </c>
      <c r="R266" s="112" t="s">
        <v>499</v>
      </c>
      <c r="S266" s="112"/>
      <c r="T266" s="112" t="s">
        <v>499</v>
      </c>
      <c r="U266" s="112" t="s">
        <v>499</v>
      </c>
      <c r="V266" s="112" t="s">
        <v>499</v>
      </c>
      <c r="W266" s="112" t="s">
        <v>499</v>
      </c>
      <c r="X266" s="112" t="s">
        <v>499</v>
      </c>
      <c r="Y266" s="112" t="s">
        <v>499</v>
      </c>
    </row>
    <row r="267" spans="2:25" ht="15.75" hidden="1" customHeight="1" outlineLevel="1">
      <c r="B267" s="463"/>
      <c r="C267" s="110"/>
      <c r="D267" s="110"/>
      <c r="E267" s="114"/>
      <c r="F267" s="110"/>
      <c r="G267" s="110"/>
      <c r="H267" s="88"/>
      <c r="I267" s="110"/>
      <c r="J267" s="131"/>
      <c r="K267" s="131"/>
      <c r="L267" s="131"/>
      <c r="M267" s="131"/>
      <c r="N267" s="131"/>
      <c r="O267" s="131"/>
      <c r="P267" s="131"/>
      <c r="Q267" s="131"/>
      <c r="R267" s="131"/>
      <c r="S267" s="131"/>
      <c r="T267" s="131"/>
      <c r="U267" s="131"/>
      <c r="V267" s="131"/>
      <c r="W267" s="131"/>
      <c r="X267" s="131"/>
      <c r="Y267" s="131"/>
    </row>
    <row r="268" spans="2:25" ht="15.75" hidden="1" customHeight="1" outlineLevel="1">
      <c r="B268" s="463"/>
      <c r="C268" s="110" t="s">
        <v>1318</v>
      </c>
      <c r="D268" s="100"/>
      <c r="E268" s="507"/>
      <c r="F268" s="508"/>
      <c r="G268" s="508"/>
      <c r="H268" s="509"/>
      <c r="I268" s="510"/>
      <c r="J268" s="108"/>
      <c r="K268" s="108"/>
      <c r="L268" s="108"/>
      <c r="M268" s="108"/>
      <c r="N268" s="108"/>
      <c r="O268" s="108"/>
      <c r="P268" s="108"/>
      <c r="Q268" s="108"/>
      <c r="R268" s="108"/>
      <c r="S268" s="108"/>
      <c r="T268" s="108"/>
      <c r="U268" s="108"/>
      <c r="V268" s="108"/>
      <c r="W268" s="108"/>
      <c r="X268" s="108"/>
      <c r="Y268" s="108"/>
    </row>
    <row r="269" spans="2:25" ht="15.75" hidden="1" customHeight="1" outlineLevel="1">
      <c r="B269" s="111"/>
      <c r="C269" s="482" t="s">
        <v>1319</v>
      </c>
      <c r="D269" s="110"/>
      <c r="E269" s="114"/>
      <c r="F269" s="511"/>
      <c r="G269" s="511"/>
      <c r="H269" s="512"/>
      <c r="I269" s="125"/>
      <c r="J269" s="125">
        <f t="shared" ref="J269:U269" si="147">-J227/J222</f>
        <v>0.45444178161762544</v>
      </c>
      <c r="K269" s="125">
        <f t="shared" si="147"/>
        <v>0.52910277190332167</v>
      </c>
      <c r="L269" s="125">
        <f t="shared" si="147"/>
        <v>0.48248299601309619</v>
      </c>
      <c r="M269" s="125">
        <f t="shared" si="147"/>
        <v>0.40414560593211479</v>
      </c>
      <c r="N269" s="125">
        <f t="shared" si="147"/>
        <v>0.41494583014241387</v>
      </c>
      <c r="O269" s="125">
        <f t="shared" si="147"/>
        <v>0.48832289006325919</v>
      </c>
      <c r="P269" s="125">
        <f t="shared" si="147"/>
        <v>0.31942327902452888</v>
      </c>
      <c r="Q269" s="125">
        <f t="shared" si="147"/>
        <v>0.35367592011661153</v>
      </c>
      <c r="R269" s="125"/>
      <c r="S269" s="125"/>
      <c r="T269" s="125">
        <f>-T227/T222</f>
        <v>0.43647698010541874</v>
      </c>
      <c r="U269" s="125">
        <f t="shared" si="147"/>
        <v>0.35650609816704665</v>
      </c>
      <c r="V269" s="125">
        <f>-V227/V222</f>
        <v>0.35504522125060478</v>
      </c>
      <c r="W269" s="125">
        <f>-W227/W222</f>
        <v>0.43542008163331747</v>
      </c>
      <c r="X269" s="125">
        <f>-X227/X222</f>
        <v>0.45378872739130421</v>
      </c>
      <c r="Y269" s="125">
        <f>-Y227/Y222</f>
        <v>0.42313818280852072</v>
      </c>
    </row>
    <row r="270" spans="2:25" ht="15.75" hidden="1" customHeight="1" outlineLevel="1">
      <c r="B270" s="111"/>
      <c r="C270" s="482" t="s">
        <v>1320</v>
      </c>
      <c r="D270" s="110"/>
      <c r="E270" s="114"/>
      <c r="F270" s="511"/>
      <c r="G270" s="511"/>
      <c r="H270" s="512"/>
      <c r="I270" s="125"/>
      <c r="J270" s="125">
        <f t="shared" ref="J270:U270" si="148">J234/J222</f>
        <v>0.52555821838237449</v>
      </c>
      <c r="K270" s="125">
        <f t="shared" si="148"/>
        <v>0.45089722809667843</v>
      </c>
      <c r="L270" s="125">
        <f t="shared" si="148"/>
        <v>0.5055170039869038</v>
      </c>
      <c r="M270" s="125">
        <f t="shared" si="148"/>
        <v>0.5838543940678852</v>
      </c>
      <c r="N270" s="125">
        <f t="shared" si="148"/>
        <v>0.57305416985758606</v>
      </c>
      <c r="O270" s="125">
        <f t="shared" si="148"/>
        <v>0.50167710993674075</v>
      </c>
      <c r="P270" s="125">
        <f t="shared" si="148"/>
        <v>0.67057672097547105</v>
      </c>
      <c r="Q270" s="125">
        <f t="shared" si="148"/>
        <v>0.63632407988338857</v>
      </c>
      <c r="R270" s="125"/>
      <c r="S270" s="125"/>
      <c r="T270" s="125">
        <f>T234/T222</f>
        <v>0.5535230198945813</v>
      </c>
      <c r="U270" s="125">
        <f t="shared" si="148"/>
        <v>0.6334939018329534</v>
      </c>
      <c r="V270" s="125">
        <f>V234/V222</f>
        <v>0.63495477874939521</v>
      </c>
      <c r="W270" s="125">
        <f>W234/W222</f>
        <v>0.55457991836668252</v>
      </c>
      <c r="X270" s="125">
        <f>X234/X222</f>
        <v>0.53621127260869572</v>
      </c>
      <c r="Y270" s="125">
        <f>Y234/Y222</f>
        <v>0.56686181719147921</v>
      </c>
    </row>
    <row r="271" spans="2:25" ht="15.75" hidden="1" customHeight="1" outlineLevel="1">
      <c r="B271" s="463"/>
      <c r="C271" s="482"/>
      <c r="D271" s="100"/>
      <c r="E271" s="507"/>
      <c r="F271" s="508"/>
      <c r="G271" s="508"/>
      <c r="H271" s="509"/>
      <c r="I271" s="110"/>
      <c r="J271" s="108"/>
      <c r="K271" s="108"/>
      <c r="L271" s="108"/>
      <c r="M271" s="108"/>
      <c r="N271" s="108"/>
      <c r="O271" s="108"/>
      <c r="P271" s="108"/>
      <c r="Q271" s="108"/>
      <c r="R271" s="108"/>
      <c r="S271" s="108"/>
      <c r="T271" s="108"/>
      <c r="U271" s="108"/>
      <c r="V271" s="108"/>
      <c r="W271" s="108"/>
      <c r="X271" s="108"/>
      <c r="Y271" s="108"/>
    </row>
    <row r="272" spans="2:25" ht="15.75" hidden="1" customHeight="1" outlineLevel="1">
      <c r="B272" s="463"/>
      <c r="C272" s="482" t="s">
        <v>1321</v>
      </c>
      <c r="D272" s="110"/>
      <c r="E272" s="513"/>
      <c r="F272" s="80"/>
      <c r="G272" s="80"/>
      <c r="H272" s="512"/>
      <c r="I272" s="125"/>
      <c r="J272" s="125">
        <f t="shared" ref="J272:U272" si="149">-J236/J222</f>
        <v>7.6457728120381568E-2</v>
      </c>
      <c r="K272" s="125">
        <f t="shared" si="149"/>
        <v>4.2623941090270998E-2</v>
      </c>
      <c r="L272" s="125">
        <f t="shared" si="149"/>
        <v>4.1690895137136301E-2</v>
      </c>
      <c r="M272" s="125">
        <f t="shared" si="149"/>
        <v>6.0072349571395303E-2</v>
      </c>
      <c r="N272" s="125">
        <f t="shared" si="149"/>
        <v>4.9932842032777702E-2</v>
      </c>
      <c r="O272" s="125">
        <f t="shared" si="149"/>
        <v>5.4001203789870098E-2</v>
      </c>
      <c r="P272" s="125">
        <f t="shared" si="149"/>
        <v>6.349556494244607E-2</v>
      </c>
      <c r="Q272" s="125">
        <f t="shared" si="149"/>
        <v>5.5643940508397806E-2</v>
      </c>
      <c r="R272" s="125"/>
      <c r="S272" s="125"/>
      <c r="T272" s="125">
        <f>-T236/T222</f>
        <v>6.0038589887682806E-2</v>
      </c>
      <c r="U272" s="125">
        <f t="shared" si="149"/>
        <v>5.0435793041404921E-2</v>
      </c>
      <c r="V272" s="125">
        <f>-V236/V222</f>
        <v>5.0435793041404921E-2</v>
      </c>
      <c r="W272" s="125">
        <f>-W236/W222</f>
        <v>5.0435793041404921E-2</v>
      </c>
      <c r="X272" s="125">
        <f>-X236/X222</f>
        <v>5.0435793041404921E-2</v>
      </c>
      <c r="Y272" s="125">
        <f>-Y236/Y222</f>
        <v>5.1704633674046943E-2</v>
      </c>
    </row>
    <row r="273" spans="2:25" ht="15.75" hidden="1" customHeight="1" outlineLevel="1">
      <c r="B273" s="111"/>
      <c r="C273" s="482"/>
      <c r="D273" s="110"/>
      <c r="E273" s="114"/>
      <c r="F273" s="511"/>
      <c r="G273" s="511"/>
      <c r="H273" s="512"/>
      <c r="I273" s="108"/>
      <c r="J273" s="125"/>
      <c r="K273" s="108"/>
      <c r="L273" s="108"/>
      <c r="M273" s="108"/>
      <c r="N273" s="108"/>
      <c r="O273" s="108"/>
      <c r="P273" s="108"/>
      <c r="Q273" s="108"/>
      <c r="R273" s="108"/>
      <c r="S273" s="108"/>
      <c r="T273" s="108"/>
      <c r="U273" s="108"/>
      <c r="V273" s="108"/>
      <c r="W273" s="108"/>
      <c r="X273" s="108"/>
      <c r="Y273" s="108"/>
    </row>
    <row r="274" spans="2:25" ht="15.75" hidden="1" customHeight="1" outlineLevel="1">
      <c r="B274" s="111"/>
      <c r="C274" s="482" t="s">
        <v>1322</v>
      </c>
      <c r="D274" s="110"/>
      <c r="E274" s="114"/>
      <c r="F274" s="110"/>
      <c r="G274" s="110"/>
      <c r="H274" s="512"/>
      <c r="I274" s="125"/>
      <c r="J274" s="125">
        <f t="shared" ref="J274:Q274" si="150">J242/J222</f>
        <v>0.42552916877154784</v>
      </c>
      <c r="K274" s="125">
        <f t="shared" si="150"/>
        <v>0.38086142532378314</v>
      </c>
      <c r="L274" s="125">
        <f t="shared" si="150"/>
        <v>0.43694555457879891</v>
      </c>
      <c r="M274" s="125">
        <f t="shared" si="150"/>
        <v>0.50285552580637993</v>
      </c>
      <c r="N274" s="125">
        <f t="shared" si="150"/>
        <v>0.50627238491633153</v>
      </c>
      <c r="O274" s="125">
        <f t="shared" si="150"/>
        <v>0.43153300516621629</v>
      </c>
      <c r="P274" s="125">
        <f t="shared" si="150"/>
        <v>0.59235159809080085</v>
      </c>
      <c r="Q274" s="125">
        <f t="shared" si="150"/>
        <v>0.56353759846760532</v>
      </c>
      <c r="R274" s="125"/>
      <c r="S274" s="125"/>
      <c r="T274" s="125">
        <f t="shared" ref="T274:Y274" si="151">T242/T222</f>
        <v>0.47232855237711191</v>
      </c>
      <c r="U274" s="125">
        <f t="shared" si="151"/>
        <v>0.5654073794224449</v>
      </c>
      <c r="V274" s="125">
        <f t="shared" si="151"/>
        <v>0.56630560487747572</v>
      </c>
      <c r="W274" s="125">
        <f t="shared" si="151"/>
        <v>0.4853445053953992</v>
      </c>
      <c r="X274" s="125">
        <f t="shared" si="151"/>
        <v>0.46636504405228801</v>
      </c>
      <c r="Y274" s="125">
        <f t="shared" si="151"/>
        <v>0.49496262828411153</v>
      </c>
    </row>
    <row r="275" spans="2:25" ht="15.75" hidden="1" customHeight="1" outlineLevel="1">
      <c r="B275" s="463"/>
      <c r="C275" s="482" t="s">
        <v>1323</v>
      </c>
      <c r="D275" s="100"/>
      <c r="E275" s="507"/>
      <c r="F275" s="508"/>
      <c r="G275" s="508"/>
      <c r="H275" s="512"/>
      <c r="I275" s="125"/>
      <c r="J275" s="125">
        <f t="shared" ref="J275:U275" si="152">J246/J222</f>
        <v>0.28648310063966437</v>
      </c>
      <c r="K275" s="125">
        <f t="shared" ca="1" si="152"/>
        <v>0.30907923450725927</v>
      </c>
      <c r="L275" s="125">
        <f t="shared" ca="1" si="152"/>
        <v>0.3688690901550114</v>
      </c>
      <c r="M275" s="125">
        <f t="shared" ca="1" si="152"/>
        <v>0.42079695877197598</v>
      </c>
      <c r="N275" s="125">
        <f t="shared" ca="1" si="152"/>
        <v>0.44746362110240112</v>
      </c>
      <c r="O275" s="125">
        <f t="shared" ca="1" si="152"/>
        <v>0.36621748737894161</v>
      </c>
      <c r="P275" s="125">
        <f t="shared" ca="1" si="152"/>
        <v>0.55033796102451848</v>
      </c>
      <c r="Q275" s="125">
        <f t="shared" ca="1" si="152"/>
        <v>0.52704237786104546</v>
      </c>
      <c r="R275" s="125"/>
      <c r="S275" s="125"/>
      <c r="T275" s="125">
        <f ca="1">T246/T222</f>
        <v>0.4272892302955289</v>
      </c>
      <c r="U275" s="125">
        <f t="shared" ca="1" si="152"/>
        <v>0.52871587063045189</v>
      </c>
      <c r="V275" s="125">
        <f ca="1">V246/V222</f>
        <v>0.5289148099386628</v>
      </c>
      <c r="W275" s="125">
        <f ca="1">W246/W222</f>
        <v>0.44397049091257701</v>
      </c>
      <c r="X275" s="125">
        <f>X246/X222</f>
        <v>0.41759449057276421</v>
      </c>
      <c r="Y275" s="125">
        <f>Y246/Y222</f>
        <v>0.43800545862391321</v>
      </c>
    </row>
    <row r="276" spans="2:25" ht="15.75" hidden="1" customHeight="1" outlineLevel="1">
      <c r="B276" s="463"/>
      <c r="C276" s="482" t="s">
        <v>1324</v>
      </c>
      <c r="D276" s="110"/>
      <c r="E276" s="507"/>
      <c r="F276" s="511"/>
      <c r="G276" s="511"/>
      <c r="H276" s="512"/>
      <c r="I276" s="125"/>
      <c r="J276" s="125">
        <f t="shared" ref="J276:O276" si="153">J255/J222</f>
        <v>0.27210598346476561</v>
      </c>
      <c r="K276" s="125">
        <f t="shared" ca="1" si="153"/>
        <v>0.28718747330831257</v>
      </c>
      <c r="L276" s="125">
        <f t="shared" ca="1" si="153"/>
        <v>0.25610581224237899</v>
      </c>
      <c r="M276" s="125">
        <f t="shared" ca="1" si="153"/>
        <v>0.39106111891147088</v>
      </c>
      <c r="N276" s="125">
        <f ca="1">N255/N222</f>
        <v>0.43425598150634959</v>
      </c>
      <c r="O276" s="125">
        <f t="shared" ca="1" si="153"/>
        <v>0.33906609111705988</v>
      </c>
      <c r="P276" s="125">
        <f t="shared" ref="P276:Y276" ca="1" si="154">P255/P222</f>
        <v>0.53669844624724605</v>
      </c>
      <c r="Q276" s="125">
        <f t="shared" ca="1" si="154"/>
        <v>0.50884667193501965</v>
      </c>
      <c r="R276" s="125"/>
      <c r="S276" s="125"/>
      <c r="T276" s="125">
        <f ca="1">T255/T222</f>
        <v>0.4085567608464914</v>
      </c>
      <c r="U276" s="125">
        <f t="shared" ca="1" si="154"/>
        <v>0.5132326162638845</v>
      </c>
      <c r="V276" s="125">
        <f t="shared" ca="1" si="154"/>
        <v>0.51605534740023384</v>
      </c>
      <c r="W276" s="125">
        <f t="shared" ca="1" si="154"/>
        <v>0.4351085270581363</v>
      </c>
      <c r="X276" s="125">
        <f t="shared" ca="1" si="154"/>
        <v>0.41062690527987722</v>
      </c>
      <c r="Y276" s="125">
        <f t="shared" ca="1" si="154"/>
        <v>0.43069731529331601</v>
      </c>
    </row>
    <row r="277" spans="2:25" ht="15.75" hidden="1" customHeight="1" outlineLevel="1">
      <c r="B277" s="463"/>
      <c r="C277" s="110"/>
      <c r="D277" s="110"/>
      <c r="E277" s="114"/>
      <c r="F277" s="511"/>
      <c r="G277" s="511"/>
      <c r="H277" s="512"/>
      <c r="I277" s="108"/>
      <c r="J277" s="108"/>
      <c r="K277" s="108"/>
      <c r="L277" s="108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</row>
    <row r="278" spans="2:25" ht="15.75" hidden="1" customHeight="1" outlineLevel="1">
      <c r="B278" s="463"/>
      <c r="C278" s="110" t="s">
        <v>1325</v>
      </c>
      <c r="D278" s="100"/>
      <c r="E278" s="507"/>
      <c r="F278" s="508"/>
      <c r="G278" s="508"/>
      <c r="H278" s="509"/>
      <c r="I278" s="84"/>
      <c r="J278" s="563"/>
      <c r="K278" s="563"/>
      <c r="L278" s="563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</row>
    <row r="279" spans="2:25" ht="15.75" hidden="1" customHeight="1" outlineLevel="1">
      <c r="B279" s="463"/>
      <c r="C279" s="482" t="s">
        <v>1326</v>
      </c>
      <c r="D279" s="110"/>
      <c r="E279" s="513"/>
      <c r="F279" s="80"/>
      <c r="G279" s="80"/>
      <c r="H279" s="512"/>
      <c r="I279" s="125"/>
      <c r="J279" s="125"/>
      <c r="K279" s="125">
        <f t="shared" ref="K279:W279" si="155">K222/J222-1</f>
        <v>0.11117506435168201</v>
      </c>
      <c r="L279" s="125">
        <f t="shared" si="155"/>
        <v>0.12372572989914588</v>
      </c>
      <c r="M279" s="436">
        <f t="shared" si="155"/>
        <v>-0.12061537215201379</v>
      </c>
      <c r="N279" s="436">
        <f t="shared" si="155"/>
        <v>0.45842382717294616</v>
      </c>
      <c r="O279" s="436">
        <f t="shared" si="155"/>
        <v>-4.1237098687303075E-2</v>
      </c>
      <c r="P279" s="436">
        <f t="shared" si="155"/>
        <v>0.18246622494554465</v>
      </c>
      <c r="Q279" s="436">
        <f t="shared" si="155"/>
        <v>0.34796143919297462</v>
      </c>
      <c r="R279" s="436"/>
      <c r="S279" s="436"/>
      <c r="T279" s="436">
        <f>T222/P222-1</f>
        <v>9.2248902045518388E-2</v>
      </c>
      <c r="U279" s="436">
        <f>U222/Q222-1</f>
        <v>0.10117763449595585</v>
      </c>
      <c r="V279" s="436">
        <f t="shared" si="155"/>
        <v>0</v>
      </c>
      <c r="W279" s="436">
        <f t="shared" si="155"/>
        <v>0</v>
      </c>
      <c r="X279" s="436">
        <f>X222/W222-1</f>
        <v>0</v>
      </c>
      <c r="Y279" s="436">
        <f>Y222/X222-1</f>
        <v>-4.0020668451396735E-2</v>
      </c>
    </row>
    <row r="280" spans="2:25" ht="15.75" hidden="1" customHeight="1" outlineLevel="1">
      <c r="B280" s="76"/>
      <c r="C280" s="482" t="s">
        <v>1327</v>
      </c>
      <c r="D280" s="110"/>
      <c r="E280" s="114"/>
      <c r="F280" s="80"/>
      <c r="G280" s="80"/>
      <c r="H280" s="512"/>
      <c r="I280" s="125"/>
      <c r="J280" s="125"/>
      <c r="K280" s="125">
        <f t="shared" ref="K280:W280" si="156">K242/J242-1</f>
        <v>-5.4648427157956148E-3</v>
      </c>
      <c r="L280" s="125">
        <f t="shared" si="156"/>
        <v>0.28920108364302388</v>
      </c>
      <c r="M280" s="436">
        <f t="shared" si="156"/>
        <v>1.2033226539668984E-2</v>
      </c>
      <c r="N280" s="436">
        <f>N242/M242-1</f>
        <v>0.46833368892111982</v>
      </c>
      <c r="O280" s="436">
        <f t="shared" si="156"/>
        <v>-0.18277621222867146</v>
      </c>
      <c r="P280" s="436">
        <f t="shared" si="156"/>
        <v>0.62313368768884447</v>
      </c>
      <c r="Q280" s="436">
        <f t="shared" si="156"/>
        <v>0.2823920028545337</v>
      </c>
      <c r="R280" s="436"/>
      <c r="S280" s="436"/>
      <c r="T280" s="436">
        <f>T223/P223-1</f>
        <v>9.2248902045518388E-2</v>
      </c>
      <c r="U280" s="436">
        <f>U242/Q242-1</f>
        <v>0.10483126998447445</v>
      </c>
      <c r="V280" s="436">
        <f t="shared" si="156"/>
        <v>1.5886341206730048E-3</v>
      </c>
      <c r="W280" s="436">
        <f t="shared" si="156"/>
        <v>-0.14296362032226939</v>
      </c>
      <c r="X280" s="436">
        <f>X242/W242-1</f>
        <v>-3.9105132812102261E-2</v>
      </c>
      <c r="Y280" s="436">
        <f>Y242/X242-1</f>
        <v>1.8845428278813747E-2</v>
      </c>
    </row>
    <row r="281" spans="2:25" ht="15.75" hidden="1" customHeight="1" outlineLevel="1">
      <c r="B281" s="463"/>
      <c r="C281" s="482" t="s">
        <v>1328</v>
      </c>
      <c r="D281" s="110"/>
      <c r="E281" s="513"/>
      <c r="F281" s="80"/>
      <c r="G281" s="80"/>
      <c r="H281" s="512"/>
      <c r="I281" s="125"/>
      <c r="J281" s="125"/>
      <c r="K281" s="125">
        <f t="shared" ref="K281:W281" ca="1" si="157">K246/J246-1</f>
        <v>0.1988181415466781</v>
      </c>
      <c r="L281" s="125">
        <f t="shared" ca="1" si="157"/>
        <v>0.34110493780823248</v>
      </c>
      <c r="M281" s="436">
        <f t="shared" ca="1" si="157"/>
        <v>3.1807675556496662E-3</v>
      </c>
      <c r="N281" s="436">
        <f t="shared" ca="1" si="157"/>
        <v>0.55084677587334752</v>
      </c>
      <c r="O281" s="436">
        <f t="shared" ca="1" si="157"/>
        <v>-0.21532003016055712</v>
      </c>
      <c r="P281" s="436">
        <f t="shared" ca="1" si="157"/>
        <v>0.77696607519870931</v>
      </c>
      <c r="Q281" s="436">
        <f t="shared" ca="1" si="157"/>
        <v>0.29090277700398603</v>
      </c>
      <c r="R281" s="436"/>
      <c r="S281" s="436"/>
      <c r="T281" s="436" t="e">
        <f>T224/P224-1</f>
        <v>#DIV/0!</v>
      </c>
      <c r="U281" s="436">
        <f ca="1">U246/Q246-1</f>
        <v>0.10467415182847084</v>
      </c>
      <c r="V281" s="436">
        <f t="shared" ca="1" si="157"/>
        <v>3.7626884166286345E-4</v>
      </c>
      <c r="W281" s="436">
        <f t="shared" ca="1" si="157"/>
        <v>-0.1606011354379292</v>
      </c>
      <c r="X281" s="436">
        <f ca="1">X246/W246-1</f>
        <v>-5.9409354629847533E-2</v>
      </c>
      <c r="Y281" s="436">
        <f>Y246/X246-1</f>
        <v>6.900706011966129E-3</v>
      </c>
    </row>
    <row r="282" spans="2:25" ht="15.75" hidden="1" customHeight="1" outlineLevel="1">
      <c r="B282" s="111"/>
      <c r="C282" s="482" t="s">
        <v>1329</v>
      </c>
      <c r="D282" s="110"/>
      <c r="E282" s="513"/>
      <c r="F282" s="80"/>
      <c r="G282" s="80"/>
      <c r="H282" s="512"/>
      <c r="I282" s="125"/>
      <c r="J282" s="125"/>
      <c r="K282" s="125">
        <f t="shared" ref="K282:W282" ca="1" si="158">K255/J255-1</f>
        <v>0.17276200644695772</v>
      </c>
      <c r="L282" s="125">
        <f t="shared" ca="1" si="158"/>
        <v>2.1073951387797774E-3</v>
      </c>
      <c r="M282" s="436">
        <f t="shared" ca="1" si="158"/>
        <v>0.34277755552974254</v>
      </c>
      <c r="N282" s="436">
        <f t="shared" ca="1" si="158"/>
        <v>0.61951480189113028</v>
      </c>
      <c r="O282" s="436">
        <f t="shared" ca="1" si="158"/>
        <v>-0.25140008865624741</v>
      </c>
      <c r="P282" s="436">
        <f t="shared" ca="1" si="158"/>
        <v>0.87169346122853741</v>
      </c>
      <c r="Q282" s="436">
        <f t="shared" ca="1" si="158"/>
        <v>0.27800946141383398</v>
      </c>
      <c r="R282" s="436"/>
      <c r="S282" s="436"/>
      <c r="T282" s="436">
        <f>T225/P225-1</f>
        <v>9.2248902045518388E-2</v>
      </c>
      <c r="U282" s="436">
        <f ca="1">U255/Q255-1</f>
        <v>0.11066910622500181</v>
      </c>
      <c r="V282" s="436">
        <f t="shared" ca="1" si="158"/>
        <v>5.4999059820042273E-3</v>
      </c>
      <c r="W282" s="436">
        <f t="shared" ca="1" si="158"/>
        <v>-0.15685685798992055</v>
      </c>
      <c r="X282" s="436">
        <f ca="1">X255/W255-1</f>
        <v>-5.6265552743322789E-2</v>
      </c>
      <c r="Y282" s="436">
        <f ca="1">Y255/X255-1</f>
        <v>6.9007060149819388E-3</v>
      </c>
    </row>
    <row r="283" spans="2:25" ht="15.75" hidden="1" customHeight="1" outlineLevel="1">
      <c r="B283" s="463"/>
      <c r="C283" s="483"/>
      <c r="D283" s="110"/>
      <c r="E283" s="513"/>
      <c r="F283" s="80"/>
      <c r="G283" s="80"/>
      <c r="H283" s="514"/>
      <c r="I283" s="108"/>
      <c r="J283" s="80"/>
      <c r="K283" s="80"/>
      <c r="L283" s="8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</row>
    <row r="284" spans="2:25" ht="15.75" hidden="1" customHeight="1" outlineLevel="1">
      <c r="B284" s="463"/>
      <c r="C284" s="483" t="s">
        <v>1330</v>
      </c>
      <c r="D284" s="110"/>
      <c r="E284" s="114"/>
      <c r="F284" s="110"/>
      <c r="G284" s="110"/>
      <c r="H284" s="512"/>
      <c r="I284" s="83">
        <v>0.02</v>
      </c>
      <c r="J284" s="83">
        <f t="shared" ref="J284:L285" si="159">I284</f>
        <v>0.02</v>
      </c>
      <c r="K284" s="83">
        <f t="shared" si="159"/>
        <v>0.02</v>
      </c>
      <c r="L284" s="83">
        <f>K284</f>
        <v>0.02</v>
      </c>
      <c r="M284" s="83">
        <v>0.01</v>
      </c>
      <c r="N284" s="83">
        <f ca="1">-N253/N251</f>
        <v>4.320529365869085E-4</v>
      </c>
      <c r="O284" s="83">
        <f ca="1">-O253/O251</f>
        <v>2.6449625574171135E-2</v>
      </c>
      <c r="P284" s="83">
        <f ca="1">-P253/P251</f>
        <v>1.668505037955903E-2</v>
      </c>
      <c r="Q284" s="83">
        <f ca="1">-Q253/Q251</f>
        <v>1.668505037955903E-2</v>
      </c>
      <c r="R284" s="83"/>
      <c r="S284" s="83"/>
      <c r="T284" s="83">
        <f ca="1">-T253/T251</f>
        <v>1.668505037955903E-2</v>
      </c>
      <c r="U284" s="83">
        <f ca="1">Q284</f>
        <v>1.668505037955903E-2</v>
      </c>
      <c r="V284" s="83">
        <f t="shared" ref="V284:Y285" ca="1" si="160">U284</f>
        <v>1.668505037955903E-2</v>
      </c>
      <c r="W284" s="83">
        <f t="shared" ca="1" si="160"/>
        <v>1.668505037955903E-2</v>
      </c>
      <c r="X284" s="83">
        <f t="shared" ca="1" si="160"/>
        <v>1.668505037955903E-2</v>
      </c>
      <c r="Y284" s="83">
        <f t="shared" ca="1" si="160"/>
        <v>1.668505037955903E-2</v>
      </c>
    </row>
    <row r="285" spans="2:25" ht="15.75" hidden="1" customHeight="1" outlineLevel="1">
      <c r="B285" s="463"/>
      <c r="C285" s="483" t="s">
        <v>1331</v>
      </c>
      <c r="D285" s="110"/>
      <c r="E285" s="513"/>
      <c r="F285" s="80"/>
      <c r="G285" s="80"/>
      <c r="H285" s="512"/>
      <c r="I285" s="83">
        <v>0.04</v>
      </c>
      <c r="J285" s="83">
        <f>I285</f>
        <v>0.04</v>
      </c>
      <c r="K285" s="83">
        <f t="shared" si="159"/>
        <v>0.04</v>
      </c>
      <c r="L285" s="83">
        <f t="shared" si="159"/>
        <v>0.04</v>
      </c>
      <c r="M285" s="83">
        <f>L285</f>
        <v>0.04</v>
      </c>
      <c r="N285" s="83">
        <f>M285</f>
        <v>0.04</v>
      </c>
      <c r="O285" s="83">
        <f>N285</f>
        <v>0.04</v>
      </c>
      <c r="P285" s="83">
        <f>O285</f>
        <v>0.04</v>
      </c>
      <c r="Q285" s="83">
        <f>P285</f>
        <v>0.04</v>
      </c>
      <c r="R285" s="83"/>
      <c r="S285" s="83"/>
      <c r="T285" s="83">
        <f>S285</f>
        <v>0</v>
      </c>
      <c r="U285" s="83">
        <f>Q285</f>
        <v>0.04</v>
      </c>
      <c r="V285" s="83">
        <f t="shared" si="160"/>
        <v>0.04</v>
      </c>
      <c r="W285" s="83">
        <f t="shared" si="160"/>
        <v>0.04</v>
      </c>
      <c r="X285" s="83">
        <f t="shared" si="160"/>
        <v>0.04</v>
      </c>
      <c r="Y285" s="83">
        <f t="shared" si="160"/>
        <v>0.04</v>
      </c>
    </row>
    <row r="286" spans="2:25" ht="15.75" hidden="1" customHeight="1" outlineLevel="1">
      <c r="B286" s="88"/>
      <c r="C286" s="110"/>
      <c r="D286" s="110"/>
      <c r="E286" s="114"/>
      <c r="F286" s="80"/>
      <c r="G286" s="80"/>
      <c r="H286" s="514"/>
      <c r="I286" s="108"/>
      <c r="J286" s="108"/>
      <c r="K286" s="108"/>
      <c r="L286" s="108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</row>
    <row r="287" spans="2:25" ht="15.75" hidden="1" customHeight="1" outlineLevel="2">
      <c r="B287" s="88"/>
      <c r="C287" s="110"/>
      <c r="D287" s="110"/>
      <c r="E287" s="114"/>
      <c r="F287" s="110"/>
      <c r="G287" s="110"/>
      <c r="H287" s="88"/>
      <c r="I287" s="108"/>
      <c r="J287" s="108"/>
      <c r="K287" s="108"/>
      <c r="L287" s="108"/>
      <c r="M287" s="108"/>
      <c r="N287" s="108"/>
      <c r="O287" s="108"/>
      <c r="P287" s="108"/>
      <c r="Q287" s="108"/>
      <c r="R287" s="108"/>
      <c r="S287" s="108"/>
      <c r="T287" s="108"/>
      <c r="U287" s="108"/>
      <c r="V287" s="108"/>
      <c r="W287" s="108"/>
      <c r="X287" s="108"/>
      <c r="Y287" s="108"/>
    </row>
    <row r="288" spans="2:25" ht="15.75" hidden="1" customHeight="1" outlineLevel="2">
      <c r="B288" s="88"/>
      <c r="C288" s="110"/>
      <c r="D288" s="110"/>
      <c r="E288" s="114"/>
      <c r="F288" s="110"/>
      <c r="G288" s="110"/>
      <c r="H288" s="88"/>
      <c r="I288" s="108"/>
      <c r="J288" s="108"/>
      <c r="K288" s="108"/>
      <c r="L288" s="108"/>
      <c r="M288" s="108"/>
      <c r="N288" s="108"/>
      <c r="O288" s="108"/>
      <c r="P288" s="108"/>
      <c r="Q288" s="108"/>
      <c r="R288" s="108"/>
      <c r="S288" s="108"/>
      <c r="T288" s="108"/>
      <c r="U288" s="108"/>
      <c r="V288" s="108"/>
      <c r="W288" s="108"/>
      <c r="X288" s="108"/>
      <c r="Y288" s="108"/>
    </row>
    <row r="289" spans="2:25" ht="15.75" hidden="1" customHeight="1" outlineLevel="2">
      <c r="B289" s="88"/>
      <c r="C289" s="110"/>
      <c r="D289" s="110"/>
      <c r="E289" s="114"/>
      <c r="F289" s="110"/>
      <c r="G289" s="110"/>
      <c r="H289" s="88"/>
      <c r="I289" s="108"/>
      <c r="J289" s="108"/>
      <c r="K289" s="86"/>
      <c r="L289" s="108"/>
      <c r="M289" s="108"/>
      <c r="N289" s="108"/>
      <c r="O289" s="108"/>
      <c r="P289" s="108"/>
      <c r="Q289" s="108"/>
      <c r="R289" s="108"/>
      <c r="S289" s="108"/>
      <c r="T289" s="108"/>
      <c r="U289" s="108"/>
      <c r="V289" s="108"/>
      <c r="W289" s="108"/>
      <c r="X289" s="108"/>
      <c r="Y289" s="108"/>
    </row>
    <row r="290" spans="2:25" ht="27" hidden="1" customHeight="1" outlineLevel="1">
      <c r="B290" s="111"/>
      <c r="C290" s="499" t="s">
        <v>370</v>
      </c>
      <c r="I290" s="117"/>
      <c r="J290" s="102"/>
      <c r="K290" s="103"/>
      <c r="L290" s="137"/>
      <c r="M290" s="435"/>
      <c r="N290" s="435"/>
      <c r="O290" s="435"/>
      <c r="P290" s="435"/>
      <c r="Q290" s="435"/>
      <c r="R290" s="435"/>
      <c r="S290" s="435"/>
      <c r="T290" s="435"/>
      <c r="U290" s="435"/>
      <c r="V290" s="435"/>
      <c r="W290" s="435"/>
      <c r="X290" s="435"/>
      <c r="Y290" s="435"/>
    </row>
    <row r="291" spans="2:25" ht="3" hidden="1" customHeight="1" outlineLevel="1">
      <c r="B291" s="111"/>
      <c r="C291" s="104"/>
      <c r="D291" s="104"/>
      <c r="E291" s="104"/>
      <c r="F291" s="104"/>
      <c r="G291" s="104"/>
      <c r="H291" s="465"/>
      <c r="I291" s="104"/>
      <c r="J291" s="104"/>
      <c r="K291" s="104"/>
      <c r="L291" s="104"/>
      <c r="M291" s="104"/>
      <c r="N291" s="420"/>
      <c r="O291" s="420"/>
      <c r="P291" s="420"/>
      <c r="Q291" s="420"/>
      <c r="R291" s="420"/>
      <c r="S291" s="420"/>
      <c r="T291" s="420"/>
      <c r="U291" s="420"/>
      <c r="V291" s="420"/>
      <c r="W291" s="420"/>
      <c r="X291" s="420"/>
      <c r="Y291" s="420"/>
    </row>
    <row r="292" spans="2:25" ht="15.75" hidden="1" customHeight="1" outlineLevel="1">
      <c r="B292" s="111"/>
      <c r="C292" s="75" t="s">
        <v>1332</v>
      </c>
      <c r="I292" s="117"/>
      <c r="J292" s="102"/>
      <c r="K292" s="103"/>
      <c r="L292" s="137"/>
      <c r="M292" s="435"/>
      <c r="N292" s="435"/>
      <c r="O292" s="435"/>
      <c r="P292" s="435"/>
      <c r="Q292" s="435"/>
      <c r="R292" s="435"/>
      <c r="S292" s="435"/>
      <c r="T292" s="435"/>
      <c r="U292" s="435"/>
      <c r="V292" s="435"/>
      <c r="W292" s="435"/>
      <c r="X292" s="435"/>
      <c r="Y292" s="435"/>
    </row>
    <row r="293" spans="2:25" ht="15.75" hidden="1" customHeight="1" outlineLevel="1">
      <c r="B293" s="76"/>
      <c r="C293" s="480" t="s">
        <v>418</v>
      </c>
      <c r="I293" s="117"/>
      <c r="J293" s="500"/>
      <c r="K293" s="105"/>
      <c r="L293" s="138"/>
      <c r="M293" s="138"/>
      <c r="N293" s="138"/>
      <c r="O293" s="138"/>
      <c r="P293" s="138"/>
      <c r="Q293" s="138"/>
      <c r="R293" s="138"/>
      <c r="S293" s="138"/>
      <c r="T293" s="138"/>
      <c r="U293" s="138"/>
      <c r="V293" s="138"/>
      <c r="W293" s="138"/>
      <c r="X293" s="138"/>
      <c r="Y293" s="138"/>
    </row>
    <row r="294" spans="2:25" ht="15.75" hidden="1" customHeight="1" outlineLevel="1">
      <c r="B294" s="76"/>
      <c r="C294" s="501"/>
      <c r="D294" s="106"/>
      <c r="E294" s="106"/>
      <c r="F294" s="106"/>
      <c r="G294" s="106"/>
      <c r="H294" s="502"/>
      <c r="I294" s="92">
        <v>0</v>
      </c>
      <c r="J294" s="92">
        <v>1</v>
      </c>
      <c r="K294" s="92">
        <v>2</v>
      </c>
      <c r="L294" s="92">
        <v>3</v>
      </c>
      <c r="M294" s="92">
        <v>4</v>
      </c>
      <c r="N294" s="92">
        <v>5</v>
      </c>
      <c r="O294" s="92">
        <f t="shared" ref="O294:Q294" si="161">O7</f>
        <v>6</v>
      </c>
      <c r="P294" s="92">
        <f t="shared" si="161"/>
        <v>7</v>
      </c>
      <c r="Q294" s="92">
        <f t="shared" si="161"/>
        <v>8</v>
      </c>
      <c r="R294" s="92"/>
      <c r="S294" s="92"/>
      <c r="T294" s="92" t="str">
        <f>T7</f>
        <v>Revised</v>
      </c>
      <c r="U294" s="92">
        <f t="shared" ref="U294:W294" si="162">U7</f>
        <v>9</v>
      </c>
      <c r="V294" s="92">
        <f t="shared" si="162"/>
        <v>10</v>
      </c>
      <c r="W294" s="92">
        <f t="shared" si="162"/>
        <v>11</v>
      </c>
      <c r="X294" s="92">
        <f>X7</f>
        <v>12</v>
      </c>
      <c r="Y294" s="92">
        <f>Y7</f>
        <v>13</v>
      </c>
    </row>
    <row r="295" spans="2:25" ht="15.75" hidden="1" customHeight="1" outlineLevel="1">
      <c r="B295" s="76"/>
      <c r="C295" s="504"/>
      <c r="D295" s="469"/>
      <c r="E295" s="469"/>
      <c r="F295" s="469"/>
      <c r="G295" s="469"/>
      <c r="H295" s="470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</row>
    <row r="296" spans="2:25" ht="15.75" hidden="1" customHeight="1" outlineLevel="1">
      <c r="B296" s="76"/>
      <c r="C296" s="505"/>
      <c r="D296" s="472"/>
      <c r="E296" s="506"/>
      <c r="F296" s="506"/>
      <c r="G296" s="506"/>
      <c r="H296" s="473"/>
      <c r="I296" s="94" t="s">
        <v>499</v>
      </c>
      <c r="J296" s="94" t="s">
        <v>499</v>
      </c>
      <c r="K296" s="112" t="s">
        <v>499</v>
      </c>
      <c r="L296" s="112" t="s">
        <v>499</v>
      </c>
      <c r="M296" s="112" t="s">
        <v>499</v>
      </c>
      <c r="N296" s="112" t="s">
        <v>499</v>
      </c>
      <c r="O296" s="112" t="s">
        <v>499</v>
      </c>
      <c r="P296" s="112" t="s">
        <v>499</v>
      </c>
      <c r="Q296" s="112" t="s">
        <v>499</v>
      </c>
      <c r="R296" s="112"/>
      <c r="S296" s="112"/>
      <c r="T296" s="112" t="s">
        <v>499</v>
      </c>
      <c r="U296" s="112" t="s">
        <v>499</v>
      </c>
      <c r="V296" s="112" t="s">
        <v>499</v>
      </c>
      <c r="W296" s="112" t="s">
        <v>499</v>
      </c>
      <c r="X296" s="112" t="s">
        <v>499</v>
      </c>
      <c r="Y296" s="112" t="s">
        <v>499</v>
      </c>
    </row>
    <row r="297" spans="2:25" ht="15.75" hidden="1" customHeight="1" outlineLevel="1">
      <c r="B297" s="76"/>
      <c r="C297" s="110"/>
      <c r="D297" s="110"/>
      <c r="E297" s="515"/>
      <c r="F297" s="80"/>
      <c r="G297" s="80"/>
      <c r="H297" s="514"/>
      <c r="I297" s="110"/>
      <c r="J297" s="107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</row>
    <row r="298" spans="2:25" ht="15.75" hidden="1" customHeight="1" outlineLevel="1">
      <c r="B298" s="76"/>
      <c r="C298" s="369" t="s">
        <v>1333</v>
      </c>
      <c r="D298" s="100"/>
      <c r="E298" s="508"/>
      <c r="F298" s="508"/>
      <c r="G298" s="508"/>
      <c r="H298" s="509"/>
      <c r="I298" s="110"/>
      <c r="J298" s="110"/>
      <c r="K298" s="564"/>
      <c r="L298" s="564"/>
      <c r="M298" s="564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</row>
    <row r="299" spans="2:25" ht="15.75" hidden="1" customHeight="1" outlineLevel="1">
      <c r="B299" s="76"/>
      <c r="C299" s="110" t="s">
        <v>1334</v>
      </c>
      <c r="D299" s="100"/>
      <c r="E299" s="114"/>
      <c r="F299" s="114"/>
      <c r="G299" s="114"/>
      <c r="H299" s="88"/>
      <c r="I299" s="80">
        <f>191511.061746393</f>
        <v>191511.06174639301</v>
      </c>
      <c r="J299" s="80">
        <f t="shared" ref="J299:O299" si="163">J383</f>
        <v>16632896.650574861</v>
      </c>
      <c r="K299" s="80">
        <f t="shared" ca="1" si="163"/>
        <v>38018549.266302153</v>
      </c>
      <c r="L299" s="80">
        <f t="shared" ca="1" si="163"/>
        <v>57566416.412559226</v>
      </c>
      <c r="M299" s="80">
        <f t="shared" ca="1" si="163"/>
        <v>74604547.318366811</v>
      </c>
      <c r="N299" s="80">
        <f ca="1">N383</f>
        <v>105848385.42377599</v>
      </c>
      <c r="O299" s="80">
        <f t="shared" ca="1" si="163"/>
        <v>119580819.37473221</v>
      </c>
      <c r="P299" s="80">
        <f t="shared" ref="P299:Y299" ca="1" si="164">P383</f>
        <v>165209490.19410458</v>
      </c>
      <c r="Q299" s="80">
        <f t="shared" ca="1" si="164"/>
        <v>207442938.34152621</v>
      </c>
      <c r="R299" s="80"/>
      <c r="S299" s="80"/>
      <c r="T299" s="80">
        <f ca="1">T383</f>
        <v>191494677.19827881</v>
      </c>
      <c r="U299" s="80">
        <f t="shared" ca="1" si="164"/>
        <v>262605731.95677492</v>
      </c>
      <c r="V299" s="80">
        <f t="shared" ca="1" si="164"/>
        <v>321147348.6046223</v>
      </c>
      <c r="W299" s="80">
        <f t="shared" ca="1" si="164"/>
        <v>359005124.2136727</v>
      </c>
      <c r="X299" s="80">
        <f t="shared" ca="1" si="164"/>
        <v>402790981.96730369</v>
      </c>
      <c r="Y299" s="80">
        <f t="shared" ca="1" si="164"/>
        <v>449426721.54917848</v>
      </c>
    </row>
    <row r="300" spans="2:25" ht="15.75" hidden="1" customHeight="1" outlineLevel="1">
      <c r="B300" s="76"/>
      <c r="C300" s="110" t="s">
        <v>1335</v>
      </c>
      <c r="D300" s="110"/>
      <c r="E300" s="110"/>
      <c r="F300" s="110"/>
      <c r="G300" s="110"/>
      <c r="H300" s="88"/>
      <c r="I300" s="80">
        <f t="shared" ref="I300:U300" si="165">SUM(I301:I302)</f>
        <v>2272042.5230770418</v>
      </c>
      <c r="J300" s="80">
        <f t="shared" si="165"/>
        <v>4538403.2761348747</v>
      </c>
      <c r="K300" s="80">
        <f t="shared" si="165"/>
        <v>3402788.1214434565</v>
      </c>
      <c r="L300" s="80">
        <f t="shared" si="165"/>
        <v>3853286.9112196914</v>
      </c>
      <c r="M300" s="80">
        <f t="shared" si="165"/>
        <v>6386881.9543438321</v>
      </c>
      <c r="N300" s="80">
        <f t="shared" si="165"/>
        <v>4593962.2391091734</v>
      </c>
      <c r="O300" s="80">
        <f t="shared" si="165"/>
        <v>9708889.4172290657</v>
      </c>
      <c r="P300" s="80">
        <f t="shared" si="165"/>
        <v>11480433.817604603</v>
      </c>
      <c r="Q300" s="80">
        <f t="shared" si="165"/>
        <v>15475182.091337996</v>
      </c>
      <c r="R300" s="80"/>
      <c r="S300" s="80"/>
      <c r="T300" s="80">
        <f>SUM(T301:T302)</f>
        <v>12539491.232284868</v>
      </c>
      <c r="U300" s="80">
        <f t="shared" si="165"/>
        <v>17040924.408733755</v>
      </c>
      <c r="V300" s="80">
        <f>SUM(V301:V302)</f>
        <v>17040924.408733755</v>
      </c>
      <c r="W300" s="80">
        <f>SUM(W301:W302)</f>
        <v>17040924.408733755</v>
      </c>
      <c r="X300" s="80">
        <f>SUM(X301:X302)</f>
        <v>17040924.408733755</v>
      </c>
      <c r="Y300" s="80">
        <f>SUM(Y301:Y302)</f>
        <v>16358935.222866507</v>
      </c>
    </row>
    <row r="301" spans="2:25" ht="15.75" hidden="1" customHeight="1" outlineLevel="1">
      <c r="B301" s="76"/>
      <c r="C301" s="516" t="s">
        <v>1336</v>
      </c>
      <c r="D301" s="110"/>
      <c r="E301" s="515"/>
      <c r="F301" s="80"/>
      <c r="G301" s="80"/>
      <c r="H301" s="88"/>
      <c r="I301" s="80">
        <v>2271834.5356341922</v>
      </c>
      <c r="J301" s="80">
        <f t="shared" ref="J301:N302" si="166">J412</f>
        <v>3062052.715527249</v>
      </c>
      <c r="K301" s="80">
        <f t="shared" si="166"/>
        <v>3402476.6232242333</v>
      </c>
      <c r="L301" s="80">
        <f>L412</f>
        <v>3823450.5268974332</v>
      </c>
      <c r="M301" s="80">
        <f>M412</f>
        <v>6360644.296620273</v>
      </c>
      <c r="N301" s="80">
        <f>N412</f>
        <v>4555696.6139159268</v>
      </c>
      <c r="O301" s="80">
        <f t="shared" ref="O301:Q303" si="167">O412</f>
        <v>9672201.7553982455</v>
      </c>
      <c r="P301" s="80">
        <f t="shared" si="167"/>
        <v>11437051.896617433</v>
      </c>
      <c r="Q301" s="80">
        <f t="shared" si="167"/>
        <v>15416704.934689175</v>
      </c>
      <c r="R301" s="80"/>
      <c r="S301" s="80"/>
      <c r="T301" s="80">
        <f>T412</f>
        <v>12492107.376718007</v>
      </c>
      <c r="U301" s="80">
        <f t="shared" ref="U301:V303" si="168">U412</f>
        <v>16976530.671703156</v>
      </c>
      <c r="V301" s="80">
        <f t="shared" si="168"/>
        <v>16976530.671703156</v>
      </c>
      <c r="W301" s="80">
        <f t="shared" ref="W301:Y303" si="169">W412</f>
        <v>16976530.671703156</v>
      </c>
      <c r="X301" s="80">
        <f t="shared" si="169"/>
        <v>16976530.671703156</v>
      </c>
      <c r="Y301" s="80">
        <f t="shared" si="169"/>
        <v>16297118.566235958</v>
      </c>
    </row>
    <row r="302" spans="2:25" ht="15.75" hidden="1" customHeight="1" outlineLevel="1">
      <c r="B302" s="76"/>
      <c r="C302" s="516" t="s">
        <v>1337</v>
      </c>
      <c r="D302" s="110"/>
      <c r="E302" s="515"/>
      <c r="F302" s="80"/>
      <c r="G302" s="80"/>
      <c r="H302" s="88"/>
      <c r="I302" s="80">
        <v>207.98744284973264</v>
      </c>
      <c r="J302" s="80">
        <f>J413</f>
        <v>1476350.5606076261</v>
      </c>
      <c r="K302" s="80">
        <f t="shared" si="166"/>
        <v>311.49821922345757</v>
      </c>
      <c r="L302" s="80">
        <f t="shared" si="166"/>
        <v>29836.384322258324</v>
      </c>
      <c r="M302" s="80">
        <f>M413</f>
        <v>26237.657723558626</v>
      </c>
      <c r="N302" s="80">
        <f t="shared" si="166"/>
        <v>38265.625193246182</v>
      </c>
      <c r="O302" s="80">
        <f t="shared" si="167"/>
        <v>36687.661830820936</v>
      </c>
      <c r="P302" s="80">
        <f t="shared" si="167"/>
        <v>43381.920987169586</v>
      </c>
      <c r="Q302" s="80">
        <f t="shared" si="167"/>
        <v>58477.156648821023</v>
      </c>
      <c r="R302" s="80"/>
      <c r="S302" s="80"/>
      <c r="T302" s="80">
        <f>T413</f>
        <v>47383.855566861406</v>
      </c>
      <c r="U302" s="80">
        <f t="shared" si="168"/>
        <v>64393.737030598189</v>
      </c>
      <c r="V302" s="80">
        <f t="shared" si="168"/>
        <v>64393.737030598189</v>
      </c>
      <c r="W302" s="80">
        <f t="shared" si="169"/>
        <v>64393.737030598189</v>
      </c>
      <c r="X302" s="80">
        <f t="shared" si="169"/>
        <v>64393.737030598189</v>
      </c>
      <c r="Y302" s="80">
        <f t="shared" si="169"/>
        <v>61816.656630550191</v>
      </c>
    </row>
    <row r="303" spans="2:25" ht="15.75" hidden="1" customHeight="1" outlineLevel="1">
      <c r="B303" s="76"/>
      <c r="C303" s="110" t="s">
        <v>1338</v>
      </c>
      <c r="D303" s="110"/>
      <c r="E303" s="515"/>
      <c r="F303" s="80"/>
      <c r="G303" s="80"/>
      <c r="H303" s="88"/>
      <c r="I303" s="80">
        <v>1811291.0030872233</v>
      </c>
      <c r="J303" s="80">
        <f>J414</f>
        <v>2355399.0891202511</v>
      </c>
      <c r="K303" s="80">
        <f>K414</f>
        <v>3210721.6297112675</v>
      </c>
      <c r="L303" s="80">
        <f>L414</f>
        <v>1411487.7569100002</v>
      </c>
      <c r="M303" s="80">
        <f>M414</f>
        <v>1949559.3925500002</v>
      </c>
      <c r="N303" s="80">
        <f>N414</f>
        <v>2811444.9215600002</v>
      </c>
      <c r="O303" s="80">
        <f t="shared" si="167"/>
        <v>3031669.8169560004</v>
      </c>
      <c r="P303" s="80">
        <f t="shared" si="167"/>
        <v>3135283.8876870004</v>
      </c>
      <c r="Q303" s="80">
        <f t="shared" si="167"/>
        <v>3407418.869316</v>
      </c>
      <c r="R303" s="80"/>
      <c r="S303" s="80"/>
      <c r="T303" s="80">
        <f>T414</f>
        <v>3407418.869316</v>
      </c>
      <c r="U303" s="80">
        <f t="shared" si="168"/>
        <v>3703813.6603295081</v>
      </c>
      <c r="V303" s="80">
        <f t="shared" si="168"/>
        <v>3603324.4744103886</v>
      </c>
      <c r="W303" s="80">
        <f t="shared" si="169"/>
        <v>5614349.6819386445</v>
      </c>
      <c r="X303" s="80">
        <f t="shared" si="169"/>
        <v>6123958.4765338954</v>
      </c>
      <c r="Y303" s="80">
        <f t="shared" si="169"/>
        <v>5144197.1066910801</v>
      </c>
    </row>
    <row r="304" spans="2:25" ht="15.75" hidden="1" customHeight="1" outlineLevel="1">
      <c r="B304" s="76"/>
      <c r="C304" s="110" t="s">
        <v>1339</v>
      </c>
      <c r="D304" s="110"/>
      <c r="E304" s="515"/>
      <c r="F304" s="80"/>
      <c r="G304" s="80"/>
      <c r="H304" s="88"/>
      <c r="I304" s="80">
        <v>0</v>
      </c>
      <c r="J304" s="80">
        <v>536478.08592539001</v>
      </c>
      <c r="K304" s="80">
        <f t="shared" ref="K304:N305" si="170">K426</f>
        <v>791088.43313099991</v>
      </c>
      <c r="L304" s="80">
        <f>L426</f>
        <v>849329.5938182649</v>
      </c>
      <c r="M304" s="80">
        <f t="shared" si="170"/>
        <v>628222.96084406262</v>
      </c>
      <c r="N304" s="80">
        <f>N426</f>
        <v>920129.84162000008</v>
      </c>
      <c r="O304" s="80">
        <f t="shared" ref="O304:Q305" si="171">O426</f>
        <v>1041194.5433266667</v>
      </c>
      <c r="P304" s="80">
        <f t="shared" si="171"/>
        <v>1016716.33665</v>
      </c>
      <c r="Q304" s="80">
        <f t="shared" si="171"/>
        <v>1038790.9535500001</v>
      </c>
      <c r="R304" s="80"/>
      <c r="S304" s="80"/>
      <c r="T304" s="80">
        <f>T426</f>
        <v>1038790.9535500001</v>
      </c>
      <c r="U304" s="80">
        <f t="shared" ref="U304:W305" si="172">U426</f>
        <v>1089888.0055419125</v>
      </c>
      <c r="V304" s="80">
        <f t="shared" si="172"/>
        <v>1078530.4664491098</v>
      </c>
      <c r="W304" s="80">
        <f t="shared" si="172"/>
        <v>1393026.3308834655</v>
      </c>
      <c r="X304" s="80">
        <f>X426</f>
        <v>1475741.4123684641</v>
      </c>
      <c r="Y304" s="80">
        <f>Y426</f>
        <v>1328699.6229391908</v>
      </c>
    </row>
    <row r="305" spans="2:25" ht="15.75" hidden="1" customHeight="1" outlineLevel="1">
      <c r="B305" s="76"/>
      <c r="C305" s="110" t="s">
        <v>1340</v>
      </c>
      <c r="D305" s="110"/>
      <c r="E305" s="515"/>
      <c r="F305" s="80"/>
      <c r="G305" s="80"/>
      <c r="H305" s="88"/>
      <c r="I305" s="80">
        <v>0</v>
      </c>
      <c r="J305" s="80">
        <f>J427</f>
        <v>1105485.2401312394</v>
      </c>
      <c r="K305" s="80">
        <f t="shared" si="170"/>
        <v>0</v>
      </c>
      <c r="L305" s="80">
        <f t="shared" si="170"/>
        <v>0</v>
      </c>
      <c r="M305" s="80">
        <f t="shared" si="170"/>
        <v>0</v>
      </c>
      <c r="N305" s="80">
        <f t="shared" si="170"/>
        <v>0</v>
      </c>
      <c r="O305" s="80">
        <f t="shared" si="171"/>
        <v>0</v>
      </c>
      <c r="P305" s="80">
        <f t="shared" si="171"/>
        <v>0</v>
      </c>
      <c r="Q305" s="80">
        <f t="shared" si="171"/>
        <v>0</v>
      </c>
      <c r="R305" s="80"/>
      <c r="S305" s="80"/>
      <c r="T305" s="80">
        <f>T427</f>
        <v>0</v>
      </c>
      <c r="U305" s="80">
        <f t="shared" si="172"/>
        <v>0</v>
      </c>
      <c r="V305" s="80">
        <f t="shared" si="172"/>
        <v>0</v>
      </c>
      <c r="W305" s="80">
        <f t="shared" si="172"/>
        <v>0</v>
      </c>
      <c r="X305" s="80">
        <f>X427</f>
        <v>0</v>
      </c>
      <c r="Y305" s="80">
        <f>Y427</f>
        <v>0</v>
      </c>
    </row>
    <row r="306" spans="2:25" ht="15.75" hidden="1" customHeight="1" outlineLevel="1">
      <c r="B306" s="76"/>
      <c r="C306" s="110" t="s">
        <v>1341</v>
      </c>
      <c r="D306" s="110"/>
      <c r="E306" s="515"/>
      <c r="F306" s="80"/>
      <c r="G306" s="80"/>
      <c r="H306" s="88"/>
      <c r="I306" s="80">
        <f t="shared" ref="I306:N306" si="173">SUM(I299:I300,I303:I305)</f>
        <v>4274844.5879106577</v>
      </c>
      <c r="J306" s="80">
        <f t="shared" si="173"/>
        <v>25168662.341886614</v>
      </c>
      <c r="K306" s="80">
        <f t="shared" ca="1" si="173"/>
        <v>45423147.450587884</v>
      </c>
      <c r="L306" s="80">
        <f ca="1">SUM(L299:L300,L303:L305)</f>
        <v>63680520.674507186</v>
      </c>
      <c r="M306" s="80">
        <f ca="1">SUM(M299:M300,M303:M305)</f>
        <v>83569211.626104712</v>
      </c>
      <c r="N306" s="80">
        <f t="shared" ca="1" si="173"/>
        <v>114173922.42606516</v>
      </c>
      <c r="O306" s="80">
        <f t="shared" ref="O306:W306" ca="1" si="174">SUM(O299:O300,O303:O305)</f>
        <v>133362573.15224394</v>
      </c>
      <c r="P306" s="80">
        <f t="shared" ca="1" si="174"/>
        <v>180841924.2360462</v>
      </c>
      <c r="Q306" s="80">
        <f t="shared" ca="1" si="174"/>
        <v>227364330.25573024</v>
      </c>
      <c r="R306" s="80"/>
      <c r="S306" s="80"/>
      <c r="T306" s="80">
        <f ca="1">SUM(T299:T300,T303:T305)</f>
        <v>208480378.25342971</v>
      </c>
      <c r="U306" s="80">
        <f t="shared" ca="1" si="174"/>
        <v>284440358.03138012</v>
      </c>
      <c r="V306" s="80">
        <f t="shared" ca="1" si="174"/>
        <v>342870127.95421559</v>
      </c>
      <c r="W306" s="80">
        <f t="shared" ca="1" si="174"/>
        <v>383053424.63522857</v>
      </c>
      <c r="X306" s="80">
        <f ca="1">SUM(X299:X300,X303:X305)</f>
        <v>427431606.26493984</v>
      </c>
      <c r="Y306" s="80">
        <f ca="1">SUM(Y299:Y300,Y303:Y305)</f>
        <v>472258553.50167525</v>
      </c>
    </row>
    <row r="307" spans="2:25" ht="15.75" hidden="1" customHeight="1" outlineLevel="1">
      <c r="B307" s="76"/>
      <c r="C307" s="110"/>
      <c r="D307" s="110"/>
      <c r="E307" s="515"/>
      <c r="F307" s="80"/>
      <c r="G307" s="80"/>
      <c r="H307" s="88"/>
      <c r="I307" s="80"/>
      <c r="J307" s="80"/>
      <c r="K307" s="80"/>
      <c r="L307" s="8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</row>
    <row r="308" spans="2:25" ht="15.75" hidden="1" customHeight="1" outlineLevel="1">
      <c r="B308" s="76"/>
      <c r="C308" s="110" t="s">
        <v>1342</v>
      </c>
      <c r="D308" s="110"/>
      <c r="E308" s="110"/>
      <c r="F308" s="110"/>
      <c r="G308" s="110"/>
      <c r="H308" s="88"/>
      <c r="I308" s="80">
        <v>14333690</v>
      </c>
      <c r="J308" s="80">
        <f t="shared" ref="J308:O308" si="175">J456</f>
        <v>4396990.9794402895</v>
      </c>
      <c r="K308" s="80">
        <f t="shared" ca="1" si="175"/>
        <v>3935975.6169926673</v>
      </c>
      <c r="L308" s="80">
        <f t="shared" ca="1" si="175"/>
        <v>4279036.8616879024</v>
      </c>
      <c r="M308" s="80">
        <f t="shared" ca="1" si="175"/>
        <v>3282797.0349545656</v>
      </c>
      <c r="N308" s="80">
        <f t="shared" ca="1" si="175"/>
        <v>7482874.4463164676</v>
      </c>
      <c r="O308" s="80">
        <f t="shared" ca="1" si="175"/>
        <v>14605176.16212837</v>
      </c>
      <c r="P308" s="80">
        <f t="shared" ref="P308:Y308" ca="1" si="176">P456</f>
        <v>15890110.179106493</v>
      </c>
      <c r="Q308" s="80">
        <f t="shared" ca="1" si="176"/>
        <v>21445359.921084613</v>
      </c>
      <c r="R308" s="80"/>
      <c r="S308" s="80"/>
      <c r="T308" s="80">
        <f ca="1">T456</f>
        <v>21445359.921084613</v>
      </c>
      <c r="U308" s="80">
        <f t="shared" ca="1" si="176"/>
        <v>22798583.961127471</v>
      </c>
      <c r="V308" s="80">
        <f t="shared" ca="1" si="176"/>
        <v>22815935.525043786</v>
      </c>
      <c r="W308" s="80">
        <f t="shared" ca="1" si="176"/>
        <v>31187808.649229061</v>
      </c>
      <c r="X308" s="80">
        <f t="shared" ca="1" si="176"/>
        <v>36973073.524159484</v>
      </c>
      <c r="Y308" s="80">
        <f t="shared" ca="1" si="176"/>
        <v>42066731.846480295</v>
      </c>
    </row>
    <row r="309" spans="2:25" ht="15.75" hidden="1" customHeight="1" outlineLevel="1">
      <c r="B309" s="76"/>
      <c r="C309" s="110" t="s">
        <v>1343</v>
      </c>
      <c r="D309" s="110"/>
      <c r="E309" s="515"/>
      <c r="F309" s="80"/>
      <c r="G309" s="80"/>
      <c r="H309" s="88"/>
      <c r="I309" s="80">
        <v>13265300</v>
      </c>
      <c r="J309" s="80">
        <f t="shared" ref="J309:U309" si="177">J461</f>
        <v>21511181.33412116</v>
      </c>
      <c r="K309" s="80">
        <f t="shared" si="177"/>
        <v>19585030.98788289</v>
      </c>
      <c r="L309" s="80">
        <f t="shared" si="177"/>
        <v>18219726.991644621</v>
      </c>
      <c r="M309" s="80">
        <f t="shared" si="177"/>
        <v>16293576.64540635</v>
      </c>
      <c r="N309" s="80">
        <f t="shared" si="177"/>
        <v>14367426.29916808</v>
      </c>
      <c r="O309" s="80">
        <f t="shared" si="177"/>
        <v>12441275.95292981</v>
      </c>
      <c r="P309" s="80">
        <f t="shared" si="177"/>
        <v>10515125.606691539</v>
      </c>
      <c r="Q309" s="80">
        <f t="shared" si="177"/>
        <v>8588975.2604532689</v>
      </c>
      <c r="R309" s="80"/>
      <c r="S309" s="80"/>
      <c r="T309" s="80">
        <f>T461</f>
        <v>8588975.2604532689</v>
      </c>
      <c r="U309" s="80">
        <f t="shared" si="177"/>
        <v>6662824.9142149985</v>
      </c>
      <c r="V309" s="80">
        <f>V461</f>
        <v>4736674.5679767281</v>
      </c>
      <c r="W309" s="80">
        <f>W461</f>
        <v>2810524.2217384581</v>
      </c>
      <c r="X309" s="80">
        <f>X461</f>
        <v>884373.87550018821</v>
      </c>
      <c r="Y309" s="80">
        <f>Y461</f>
        <v>-1041776.4707380817</v>
      </c>
    </row>
    <row r="310" spans="2:25" ht="15.75" hidden="1" customHeight="1" outlineLevel="1">
      <c r="B310" s="76"/>
      <c r="C310" s="110" t="s">
        <v>1344</v>
      </c>
      <c r="D310" s="110"/>
      <c r="E310" s="515"/>
      <c r="F310" s="80"/>
      <c r="G310" s="80"/>
      <c r="H310" s="88"/>
      <c r="I310" s="80">
        <v>345000</v>
      </c>
      <c r="J310" s="80">
        <f t="shared" ref="J310:U310" si="178">J428</f>
        <v>139533</v>
      </c>
      <c r="K310" s="80">
        <f t="shared" si="178"/>
        <v>268743.02</v>
      </c>
      <c r="L310" s="80">
        <f t="shared" si="178"/>
        <v>52512.434699999998</v>
      </c>
      <c r="M310" s="80">
        <f t="shared" si="178"/>
        <v>46178.627846051175</v>
      </c>
      <c r="N310" s="80">
        <f t="shared" si="178"/>
        <v>67348.011156833134</v>
      </c>
      <c r="O310" s="80">
        <f t="shared" si="178"/>
        <v>64570.774574365219</v>
      </c>
      <c r="P310" s="80">
        <f t="shared" si="178"/>
        <v>76352.760052759404</v>
      </c>
      <c r="Q310" s="80">
        <f t="shared" si="178"/>
        <v>102920.57632707342</v>
      </c>
      <c r="R310" s="80"/>
      <c r="S310" s="80"/>
      <c r="T310" s="80">
        <f>T428</f>
        <v>83396.218335771366</v>
      </c>
      <c r="U310" s="80">
        <f t="shared" si="178"/>
        <v>113333.83678080718</v>
      </c>
      <c r="V310" s="80">
        <f>V428</f>
        <v>113333.83678080718</v>
      </c>
      <c r="W310" s="80">
        <f>W428</f>
        <v>113333.83678080718</v>
      </c>
      <c r="X310" s="80">
        <f>X428</f>
        <v>113333.83678080718</v>
      </c>
      <c r="Y310" s="80">
        <f>Y428</f>
        <v>108798.14087467779</v>
      </c>
    </row>
    <row r="311" spans="2:25" ht="15.75" hidden="1" customHeight="1" outlineLevel="1">
      <c r="B311" s="76"/>
      <c r="C311" s="110" t="s">
        <v>1345</v>
      </c>
      <c r="D311" s="110"/>
      <c r="E311" s="515"/>
      <c r="F311" s="80"/>
      <c r="G311" s="80"/>
      <c r="H311" s="88"/>
      <c r="I311" s="80">
        <v>0</v>
      </c>
      <c r="J311" s="80">
        <v>0</v>
      </c>
      <c r="K311" s="80">
        <f t="shared" ref="K311:W311" si="179">J311</f>
        <v>0</v>
      </c>
      <c r="L311" s="80">
        <f t="shared" si="179"/>
        <v>0</v>
      </c>
      <c r="M311" s="80">
        <f t="shared" si="179"/>
        <v>0</v>
      </c>
      <c r="N311" s="80">
        <f t="shared" si="179"/>
        <v>0</v>
      </c>
      <c r="O311" s="80">
        <f t="shared" si="179"/>
        <v>0</v>
      </c>
      <c r="P311" s="80">
        <f t="shared" si="179"/>
        <v>0</v>
      </c>
      <c r="Q311" s="80">
        <f t="shared" si="179"/>
        <v>0</v>
      </c>
      <c r="R311" s="80"/>
      <c r="S311" s="80"/>
      <c r="T311" s="80">
        <f t="shared" si="179"/>
        <v>0</v>
      </c>
      <c r="U311" s="80">
        <f>Q311</f>
        <v>0</v>
      </c>
      <c r="V311" s="80">
        <f t="shared" si="179"/>
        <v>0</v>
      </c>
      <c r="W311" s="80">
        <f t="shared" si="179"/>
        <v>0</v>
      </c>
      <c r="X311" s="80">
        <f>W311</f>
        <v>0</v>
      </c>
      <c r="Y311" s="80">
        <f>X311</f>
        <v>0</v>
      </c>
    </row>
    <row r="312" spans="2:25" ht="15.75" hidden="1" customHeight="1" outlineLevel="1">
      <c r="B312" s="76"/>
      <c r="C312" s="110"/>
      <c r="D312" s="110"/>
      <c r="E312" s="515"/>
      <c r="F312" s="80"/>
      <c r="G312" s="80"/>
      <c r="H312" s="88"/>
      <c r="I312" s="80"/>
      <c r="J312" s="80"/>
      <c r="K312" s="80"/>
      <c r="L312" s="8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</row>
    <row r="313" spans="2:25" ht="15.75" hidden="1" customHeight="1" outlineLevel="1">
      <c r="B313" s="76"/>
      <c r="C313" s="110" t="s">
        <v>1346</v>
      </c>
      <c r="D313" s="110"/>
      <c r="E313" s="515"/>
      <c r="F313" s="80"/>
      <c r="G313" s="80"/>
      <c r="H313" s="88"/>
      <c r="I313" s="80">
        <f t="shared" ref="I313:N313" si="180">SUM(I306:I311)</f>
        <v>32218834.58791066</v>
      </c>
      <c r="J313" s="80">
        <f t="shared" si="180"/>
        <v>51216367.655448064</v>
      </c>
      <c r="K313" s="80">
        <f t="shared" ca="1" si="180"/>
        <v>69212897.075463429</v>
      </c>
      <c r="L313" s="80">
        <f ca="1">SUM(L306:L311)</f>
        <v>86231796.962539703</v>
      </c>
      <c r="M313" s="80">
        <f t="shared" ca="1" si="180"/>
        <v>103191763.93431167</v>
      </c>
      <c r="N313" s="80">
        <f t="shared" ca="1" si="180"/>
        <v>136091571.18270653</v>
      </c>
      <c r="O313" s="80">
        <f t="shared" ref="O313:W313" ca="1" si="181">SUM(O306:O311)</f>
        <v>160473596.04187647</v>
      </c>
      <c r="P313" s="80">
        <f t="shared" ca="1" si="181"/>
        <v>207323512.78189701</v>
      </c>
      <c r="Q313" s="80">
        <f t="shared" ca="1" si="181"/>
        <v>257501586.01359522</v>
      </c>
      <c r="R313" s="80"/>
      <c r="S313" s="80"/>
      <c r="T313" s="80">
        <f ca="1">SUM(T306:T311)</f>
        <v>238598109.65330335</v>
      </c>
      <c r="U313" s="80">
        <f t="shared" ca="1" si="181"/>
        <v>314015100.74350333</v>
      </c>
      <c r="V313" s="80">
        <f t="shared" ca="1" si="181"/>
        <v>370536071.88401687</v>
      </c>
      <c r="W313" s="80">
        <f t="shared" ca="1" si="181"/>
        <v>417165091.34297687</v>
      </c>
      <c r="X313" s="80">
        <f ca="1">SUM(X306:X311)</f>
        <v>465402387.50138032</v>
      </c>
      <c r="Y313" s="80">
        <f ca="1">SUM(Y306:Y311)</f>
        <v>513392307.01829219</v>
      </c>
    </row>
    <row r="314" spans="2:25" ht="15.75" hidden="1" customHeight="1" outlineLevel="1">
      <c r="B314" s="76"/>
      <c r="C314" s="372"/>
      <c r="D314" s="110"/>
      <c r="E314" s="110"/>
      <c r="F314" s="110"/>
      <c r="G314" s="110"/>
      <c r="H314" s="88"/>
      <c r="I314" s="80"/>
      <c r="J314" s="80"/>
      <c r="K314" s="80"/>
      <c r="L314" s="80"/>
      <c r="M314" s="87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</row>
    <row r="315" spans="2:25" ht="15.75" hidden="1" customHeight="1" outlineLevel="1">
      <c r="B315" s="76"/>
      <c r="C315" s="369" t="s">
        <v>1347</v>
      </c>
      <c r="D315" s="110"/>
      <c r="E315" s="110"/>
      <c r="F315" s="110"/>
      <c r="G315" s="110"/>
      <c r="H315" s="88"/>
      <c r="I315" s="80"/>
      <c r="J315" s="80"/>
      <c r="K315" s="80"/>
      <c r="L315" s="8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</row>
    <row r="316" spans="2:25" ht="15.75" hidden="1" customHeight="1" outlineLevel="1">
      <c r="B316" s="76"/>
      <c r="C316" s="110" t="s">
        <v>1348</v>
      </c>
      <c r="D316" s="110"/>
      <c r="E316" s="110"/>
      <c r="F316" s="110"/>
      <c r="G316" s="110"/>
      <c r="H316" s="88"/>
      <c r="I316" s="80">
        <f t="shared" ref="I316:N316" si="182">SUM(I317:I318)</f>
        <v>1678664.5686661305</v>
      </c>
      <c r="J316" s="80">
        <f t="shared" si="182"/>
        <v>1965630.68357962</v>
      </c>
      <c r="K316" s="80">
        <f t="shared" si="182"/>
        <v>2514099.0083271526</v>
      </c>
      <c r="L316" s="80">
        <f>SUM(L317:L318)</f>
        <v>2825157.7431711485</v>
      </c>
      <c r="M316" s="80">
        <f t="shared" si="182"/>
        <v>1963783.7476866937</v>
      </c>
      <c r="N316" s="80">
        <f t="shared" si="182"/>
        <v>1680284.4029048004</v>
      </c>
      <c r="O316" s="80">
        <f t="shared" ref="O316:W316" si="183">SUM(O317:O318)</f>
        <v>5515820.0089819999</v>
      </c>
      <c r="P316" s="80">
        <f t="shared" si="183"/>
        <v>2414316.9416666427</v>
      </c>
      <c r="Q316" s="80">
        <f t="shared" si="183"/>
        <v>2376456.1954874997</v>
      </c>
      <c r="R316" s="80"/>
      <c r="S316" s="80"/>
      <c r="T316" s="80">
        <f>SUM(T317:T318)</f>
        <v>2376456.1954874997</v>
      </c>
      <c r="U316" s="80">
        <f t="shared" si="183"/>
        <v>2686655.8888872848</v>
      </c>
      <c r="V316" s="80">
        <f t="shared" si="183"/>
        <v>2673827.9810702717</v>
      </c>
      <c r="W316" s="80">
        <f t="shared" si="183"/>
        <v>3379596.7478914689</v>
      </c>
      <c r="X316" s="80">
        <f>SUM(X317:X318)</f>
        <v>3540891.1676025614</v>
      </c>
      <c r="Y316" s="80">
        <f>SUM(Y317:Y318)</f>
        <v>3123050.5914476314</v>
      </c>
    </row>
    <row r="317" spans="2:25" ht="15.75" hidden="1" customHeight="1" outlineLevel="1">
      <c r="B317" s="76"/>
      <c r="C317" s="516" t="s">
        <v>1349</v>
      </c>
      <c r="D317" s="110"/>
      <c r="E317" s="515"/>
      <c r="F317" s="80"/>
      <c r="G317" s="80"/>
      <c r="H317" s="88"/>
      <c r="I317" s="80">
        <v>1678664.5686661305</v>
      </c>
      <c r="J317" s="80">
        <f t="shared" ref="J317:Q317" si="184">J416</f>
        <v>1965630.68357962</v>
      </c>
      <c r="K317" s="80">
        <f t="shared" si="184"/>
        <v>2514099.0083271526</v>
      </c>
      <c r="L317" s="80">
        <f t="shared" si="184"/>
        <v>2825157.7431711485</v>
      </c>
      <c r="M317" s="80">
        <f t="shared" si="184"/>
        <v>1963783.7476866937</v>
      </c>
      <c r="N317" s="80">
        <f t="shared" si="184"/>
        <v>1680284.4029048004</v>
      </c>
      <c r="O317" s="80">
        <f t="shared" si="184"/>
        <v>5515820.0089819999</v>
      </c>
      <c r="P317" s="80">
        <f t="shared" si="184"/>
        <v>2414316.9416666427</v>
      </c>
      <c r="Q317" s="80">
        <f t="shared" si="184"/>
        <v>2376456.1954874997</v>
      </c>
      <c r="R317" s="80"/>
      <c r="S317" s="80"/>
      <c r="T317" s="80">
        <f t="shared" ref="T317:Y317" si="185">T416</f>
        <v>2376456.1954874997</v>
      </c>
      <c r="U317" s="80">
        <f t="shared" si="185"/>
        <v>2686655.8888872848</v>
      </c>
      <c r="V317" s="80">
        <f t="shared" si="185"/>
        <v>2673827.9810702717</v>
      </c>
      <c r="W317" s="80">
        <f t="shared" si="185"/>
        <v>3379596.7478914689</v>
      </c>
      <c r="X317" s="80">
        <f t="shared" si="185"/>
        <v>3540891.1676025614</v>
      </c>
      <c r="Y317" s="80">
        <f t="shared" si="185"/>
        <v>3123050.5914476314</v>
      </c>
    </row>
    <row r="318" spans="2:25" ht="15.75" hidden="1" customHeight="1" outlineLevel="1">
      <c r="B318" s="76"/>
      <c r="C318" s="516" t="s">
        <v>1350</v>
      </c>
      <c r="D318" s="110"/>
      <c r="E318" s="515"/>
      <c r="F318" s="80"/>
      <c r="G318" s="80"/>
      <c r="H318" s="88"/>
      <c r="I318" s="80">
        <v>0</v>
      </c>
      <c r="J318" s="80">
        <f t="shared" ref="J318:U318" si="186">J432</f>
        <v>0</v>
      </c>
      <c r="K318" s="80">
        <f t="shared" si="186"/>
        <v>0</v>
      </c>
      <c r="L318" s="80">
        <f t="shared" si="186"/>
        <v>0</v>
      </c>
      <c r="M318" s="80">
        <f t="shared" si="186"/>
        <v>0</v>
      </c>
      <c r="N318" s="80">
        <f t="shared" si="186"/>
        <v>0</v>
      </c>
      <c r="O318" s="80">
        <f t="shared" si="186"/>
        <v>0</v>
      </c>
      <c r="P318" s="80">
        <f t="shared" si="186"/>
        <v>0</v>
      </c>
      <c r="Q318" s="80">
        <f t="shared" si="186"/>
        <v>0</v>
      </c>
      <c r="R318" s="80"/>
      <c r="S318" s="80"/>
      <c r="T318" s="80">
        <f>T432</f>
        <v>0</v>
      </c>
      <c r="U318" s="80">
        <f t="shared" si="186"/>
        <v>0</v>
      </c>
      <c r="V318" s="80">
        <f>V432</f>
        <v>0</v>
      </c>
      <c r="W318" s="80">
        <f>W432</f>
        <v>0</v>
      </c>
      <c r="X318" s="80">
        <f>X432</f>
        <v>0</v>
      </c>
      <c r="Y318" s="80">
        <f>Y432</f>
        <v>0</v>
      </c>
    </row>
    <row r="319" spans="2:25" ht="15.75" hidden="1" customHeight="1" outlineLevel="1">
      <c r="B319" s="76"/>
      <c r="C319" s="110" t="s">
        <v>1351</v>
      </c>
      <c r="D319" s="110"/>
      <c r="E319" s="515"/>
      <c r="F319" s="80"/>
      <c r="G319" s="80"/>
      <c r="H319" s="88"/>
      <c r="I319" s="80">
        <v>-276620.85003731283</v>
      </c>
      <c r="J319" s="80">
        <f t="shared" ref="J319:U319" si="187">J431</f>
        <v>191354.123609245</v>
      </c>
      <c r="K319" s="80">
        <f t="shared" si="187"/>
        <v>0</v>
      </c>
      <c r="L319" s="80">
        <f t="shared" si="187"/>
        <v>0</v>
      </c>
      <c r="M319" s="80">
        <f t="shared" si="187"/>
        <v>0</v>
      </c>
      <c r="N319" s="80">
        <f t="shared" si="187"/>
        <v>0</v>
      </c>
      <c r="O319" s="80">
        <f t="shared" si="187"/>
        <v>0</v>
      </c>
      <c r="P319" s="80">
        <f t="shared" si="187"/>
        <v>0</v>
      </c>
      <c r="Q319" s="80">
        <f t="shared" si="187"/>
        <v>0</v>
      </c>
      <c r="R319" s="80"/>
      <c r="S319" s="80"/>
      <c r="T319" s="80">
        <f>T431</f>
        <v>0</v>
      </c>
      <c r="U319" s="80">
        <f t="shared" si="187"/>
        <v>0</v>
      </c>
      <c r="V319" s="80">
        <f>V431</f>
        <v>0</v>
      </c>
      <c r="W319" s="80">
        <f>W431</f>
        <v>0</v>
      </c>
      <c r="X319" s="80">
        <f>X431</f>
        <v>0</v>
      </c>
      <c r="Y319" s="80">
        <f>Y431</f>
        <v>0</v>
      </c>
    </row>
    <row r="320" spans="2:25" ht="15.75" hidden="1" customHeight="1" outlineLevel="1">
      <c r="B320" s="76"/>
      <c r="C320" s="110" t="s">
        <v>1352</v>
      </c>
      <c r="D320" s="110"/>
      <c r="E320" s="515"/>
      <c r="F320" s="80"/>
      <c r="G320" s="80"/>
      <c r="H320" s="88"/>
      <c r="I320" s="80">
        <f t="shared" ref="I320:N320" si="188">SUM(I319,I316)</f>
        <v>1402043.7186288177</v>
      </c>
      <c r="J320" s="80">
        <f t="shared" si="188"/>
        <v>2156984.8071888648</v>
      </c>
      <c r="K320" s="80">
        <f t="shared" si="188"/>
        <v>2514099.0083271526</v>
      </c>
      <c r="L320" s="80">
        <f>SUM(L319,L316)</f>
        <v>2825157.7431711485</v>
      </c>
      <c r="M320" s="80">
        <f>SUM(M319,M316)</f>
        <v>1963783.7476866937</v>
      </c>
      <c r="N320" s="80">
        <f t="shared" si="188"/>
        <v>1680284.4029048004</v>
      </c>
      <c r="O320" s="80">
        <f t="shared" ref="O320:W320" si="189">SUM(O319,O316)</f>
        <v>5515820.0089819999</v>
      </c>
      <c r="P320" s="80">
        <f t="shared" si="189"/>
        <v>2414316.9416666427</v>
      </c>
      <c r="Q320" s="80">
        <f t="shared" si="189"/>
        <v>2376456.1954874997</v>
      </c>
      <c r="R320" s="80"/>
      <c r="S320" s="80"/>
      <c r="T320" s="80">
        <f>SUM(T319,T316)</f>
        <v>2376456.1954874997</v>
      </c>
      <c r="U320" s="80">
        <f t="shared" si="189"/>
        <v>2686655.8888872848</v>
      </c>
      <c r="V320" s="80">
        <f t="shared" si="189"/>
        <v>2673827.9810702717</v>
      </c>
      <c r="W320" s="80">
        <f t="shared" si="189"/>
        <v>3379596.7478914689</v>
      </c>
      <c r="X320" s="80">
        <f>SUM(X319,X316)</f>
        <v>3540891.1676025614</v>
      </c>
      <c r="Y320" s="80">
        <f>SUM(Y319,Y316)</f>
        <v>3123050.5914476314</v>
      </c>
    </row>
    <row r="321" spans="1:25" ht="15.75" hidden="1" customHeight="1" outlineLevel="1">
      <c r="B321" s="76"/>
      <c r="C321" s="110"/>
      <c r="D321" s="110"/>
      <c r="E321" s="110"/>
      <c r="F321" s="110"/>
      <c r="G321" s="110"/>
      <c r="H321" s="88"/>
      <c r="I321" s="80"/>
      <c r="J321" s="80"/>
      <c r="K321" s="80"/>
      <c r="L321" s="8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</row>
    <row r="322" spans="1:25" ht="15.75" hidden="1" customHeight="1" outlineLevel="1">
      <c r="B322" s="76"/>
      <c r="C322" s="110" t="s">
        <v>1353</v>
      </c>
      <c r="D322" s="110"/>
      <c r="E322" s="110"/>
      <c r="F322" s="110"/>
      <c r="G322" s="110"/>
      <c r="H322" s="88"/>
      <c r="I322" s="80"/>
      <c r="J322" s="80">
        <f t="shared" ref="J322:U322" si="190">J546</f>
        <v>0</v>
      </c>
      <c r="K322" s="80">
        <f t="shared" si="190"/>
        <v>1162500</v>
      </c>
      <c r="L322" s="80">
        <f t="shared" si="190"/>
        <v>0</v>
      </c>
      <c r="M322" s="80">
        <f t="shared" si="190"/>
        <v>0</v>
      </c>
      <c r="N322" s="80">
        <f t="shared" ca="1" si="190"/>
        <v>0</v>
      </c>
      <c r="O322" s="80">
        <f t="shared" ca="1" si="190"/>
        <v>0</v>
      </c>
      <c r="P322" s="80">
        <f t="shared" ca="1" si="190"/>
        <v>0</v>
      </c>
      <c r="Q322" s="80">
        <f t="shared" ca="1" si="190"/>
        <v>0</v>
      </c>
      <c r="R322" s="80"/>
      <c r="S322" s="80"/>
      <c r="T322" s="80">
        <f ca="1">T546</f>
        <v>0</v>
      </c>
      <c r="U322" s="80">
        <f t="shared" ca="1" si="190"/>
        <v>0</v>
      </c>
      <c r="V322" s="80">
        <f ca="1">V546</f>
        <v>0</v>
      </c>
      <c r="W322" s="80">
        <f ca="1">W546</f>
        <v>0</v>
      </c>
      <c r="X322" s="80">
        <f ca="1">X546</f>
        <v>0</v>
      </c>
      <c r="Y322" s="80">
        <f ca="1">Y546</f>
        <v>0</v>
      </c>
    </row>
    <row r="323" spans="1:25" ht="15.75" hidden="1" customHeight="1" outlineLevel="1">
      <c r="B323" s="76"/>
      <c r="C323" s="110" t="s">
        <v>1354</v>
      </c>
      <c r="D323" s="110"/>
      <c r="E323" s="515"/>
      <c r="F323" s="80"/>
      <c r="G323" s="80"/>
      <c r="H323" s="88"/>
      <c r="I323" s="80">
        <v>2962914.4348557908</v>
      </c>
      <c r="J323" s="80">
        <f t="shared" ref="J323:U323" si="191">J533</f>
        <v>2962914.4348557908</v>
      </c>
      <c r="K323" s="80">
        <f t="shared" si="191"/>
        <v>5575825.7858557906</v>
      </c>
      <c r="L323" s="80">
        <f t="shared" si="191"/>
        <v>8992099.7858557906</v>
      </c>
      <c r="M323" s="80">
        <f t="shared" si="191"/>
        <v>8157935.685855791</v>
      </c>
      <c r="N323" s="80">
        <f t="shared" si="191"/>
        <v>11128375.685855791</v>
      </c>
      <c r="O323" s="80">
        <f t="shared" si="191"/>
        <v>9057515.685855791</v>
      </c>
      <c r="P323" s="80">
        <f t="shared" si="191"/>
        <v>16676190.785855791</v>
      </c>
      <c r="Q323" s="80">
        <f t="shared" si="191"/>
        <v>12790476.500141505</v>
      </c>
      <c r="R323" s="80"/>
      <c r="S323" s="80"/>
      <c r="T323" s="80">
        <f>T533</f>
        <v>12790476.500141505</v>
      </c>
      <c r="U323" s="80">
        <f t="shared" si="191"/>
        <v>8904762.2144272197</v>
      </c>
      <c r="V323" s="80">
        <f>V533</f>
        <v>5019047.9287129343</v>
      </c>
      <c r="W323" s="80">
        <f>W533</f>
        <v>0.30966531485319138</v>
      </c>
      <c r="X323" s="80">
        <f>X533</f>
        <v>0.30966531485319138</v>
      </c>
      <c r="Y323" s="80">
        <f>Y533</f>
        <v>0.30966531485319138</v>
      </c>
    </row>
    <row r="324" spans="1:25" ht="15.75" hidden="1" customHeight="1" outlineLevel="1">
      <c r="B324" s="76"/>
      <c r="C324" s="110" t="s">
        <v>1355</v>
      </c>
      <c r="D324" s="110"/>
      <c r="E324" s="515"/>
      <c r="F324" s="80"/>
      <c r="G324" s="80"/>
      <c r="H324" s="88"/>
      <c r="I324" s="80">
        <v>0</v>
      </c>
      <c r="J324" s="80">
        <v>0</v>
      </c>
      <c r="K324" s="80">
        <f t="shared" ref="K324:W324" si="192">J324</f>
        <v>0</v>
      </c>
      <c r="L324" s="80">
        <f t="shared" si="192"/>
        <v>0</v>
      </c>
      <c r="M324" s="80">
        <f t="shared" si="192"/>
        <v>0</v>
      </c>
      <c r="N324" s="80">
        <f t="shared" si="192"/>
        <v>0</v>
      </c>
      <c r="O324" s="80">
        <f t="shared" si="192"/>
        <v>0</v>
      </c>
      <c r="P324" s="80">
        <f t="shared" si="192"/>
        <v>0</v>
      </c>
      <c r="Q324" s="80">
        <f t="shared" si="192"/>
        <v>0</v>
      </c>
      <c r="R324" s="80"/>
      <c r="S324" s="80"/>
      <c r="T324" s="80">
        <f t="shared" si="192"/>
        <v>0</v>
      </c>
      <c r="U324" s="80">
        <f>Q324</f>
        <v>0</v>
      </c>
      <c r="V324" s="80">
        <f t="shared" si="192"/>
        <v>0</v>
      </c>
      <c r="W324" s="80">
        <f t="shared" si="192"/>
        <v>0</v>
      </c>
      <c r="X324" s="80">
        <f>W324</f>
        <v>0</v>
      </c>
      <c r="Y324" s="80">
        <f>X324</f>
        <v>0</v>
      </c>
    </row>
    <row r="325" spans="1:25" ht="15.75" hidden="1" customHeight="1" outlineLevel="1">
      <c r="B325" s="76"/>
      <c r="C325" s="110"/>
      <c r="D325" s="110"/>
      <c r="E325" s="110"/>
      <c r="F325" s="110"/>
      <c r="G325" s="110"/>
      <c r="H325" s="88"/>
      <c r="I325" s="80"/>
      <c r="J325" s="80"/>
      <c r="K325" s="80"/>
      <c r="L325" s="8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</row>
    <row r="326" spans="1:25" ht="15.75" hidden="1" customHeight="1" outlineLevel="1">
      <c r="B326" s="76"/>
      <c r="C326" s="110" t="s">
        <v>1356</v>
      </c>
      <c r="D326" s="110"/>
      <c r="E326" s="110"/>
      <c r="F326" s="110"/>
      <c r="G326" s="110"/>
      <c r="H326" s="88"/>
      <c r="I326" s="80">
        <f t="shared" ref="I326:N326" si="193">SUM(I320:I324)</f>
        <v>4364958.153484609</v>
      </c>
      <c r="J326" s="80">
        <f t="shared" si="193"/>
        <v>5119899.2420446556</v>
      </c>
      <c r="K326" s="80">
        <f t="shared" si="193"/>
        <v>9252424.7941829432</v>
      </c>
      <c r="L326" s="80">
        <f t="shared" si="193"/>
        <v>11817257.529026939</v>
      </c>
      <c r="M326" s="80">
        <f t="shared" si="193"/>
        <v>10121719.433542484</v>
      </c>
      <c r="N326" s="80">
        <f t="shared" ca="1" si="193"/>
        <v>12808660.088760592</v>
      </c>
      <c r="O326" s="80">
        <f t="shared" ref="O326:W326" ca="1" si="194">SUM(O320:O324)</f>
        <v>14573335.69483779</v>
      </c>
      <c r="P326" s="80">
        <f t="shared" ca="1" si="194"/>
        <v>19090507.727522433</v>
      </c>
      <c r="Q326" s="80">
        <f t="shared" ca="1" si="194"/>
        <v>15166932.695629004</v>
      </c>
      <c r="R326" s="80"/>
      <c r="S326" s="80"/>
      <c r="T326" s="80">
        <f ca="1">SUM(T320:T324)</f>
        <v>15166932.695629004</v>
      </c>
      <c r="U326" s="80">
        <f t="shared" ca="1" si="194"/>
        <v>11591418.103314504</v>
      </c>
      <c r="V326" s="80">
        <f t="shared" ca="1" si="194"/>
        <v>7692875.9097832059</v>
      </c>
      <c r="W326" s="80">
        <f t="shared" ca="1" si="194"/>
        <v>3379597.0575567838</v>
      </c>
      <c r="X326" s="80">
        <f ca="1">SUM(X320:X324)</f>
        <v>3540891.4772678763</v>
      </c>
      <c r="Y326" s="80">
        <f ca="1">SUM(Y320:Y324)</f>
        <v>3123050.9011129462</v>
      </c>
    </row>
    <row r="327" spans="1:25" ht="15.75" hidden="1" customHeight="1" outlineLevel="1">
      <c r="B327" s="76"/>
      <c r="C327" s="372"/>
      <c r="D327" s="110"/>
      <c r="E327" s="515"/>
      <c r="F327" s="80"/>
      <c r="G327" s="80"/>
      <c r="H327" s="88"/>
      <c r="I327" s="80"/>
      <c r="J327" s="80"/>
      <c r="K327" s="80"/>
      <c r="L327" s="8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</row>
    <row r="328" spans="1:25" ht="15.75" hidden="1" customHeight="1" outlineLevel="1">
      <c r="B328" s="76"/>
      <c r="C328" s="110" t="s">
        <v>1357</v>
      </c>
      <c r="D328" s="110"/>
      <c r="E328" s="110"/>
      <c r="F328" s="110"/>
      <c r="G328" s="110"/>
      <c r="H328" s="88"/>
      <c r="I328" s="80">
        <f>27853876.434426+830843</f>
        <v>28684719.434425998</v>
      </c>
      <c r="J328" s="80">
        <f t="shared" ref="J328:U328" si="195">J506</f>
        <v>46096468.258348517</v>
      </c>
      <c r="K328" s="80">
        <f t="shared" ca="1" si="195"/>
        <v>59960472.126225606</v>
      </c>
      <c r="L328" s="80">
        <f ca="1">L506</f>
        <v>74414539.27845788</v>
      </c>
      <c r="M328" s="80">
        <f t="shared" ca="1" si="195"/>
        <v>93070044.345714301</v>
      </c>
      <c r="N328" s="80">
        <f t="shared" ca="1" si="195"/>
        <v>123282910.93889105</v>
      </c>
      <c r="O328" s="80">
        <f t="shared" ca="1" si="195"/>
        <v>145900260.19198379</v>
      </c>
      <c r="P328" s="80">
        <f t="shared" ca="1" si="195"/>
        <v>188233004.89931962</v>
      </c>
      <c r="Q328" s="80">
        <f t="shared" ca="1" si="195"/>
        <v>242334653.16291124</v>
      </c>
      <c r="R328" s="80"/>
      <c r="S328" s="80"/>
      <c r="T328" s="80">
        <f ca="1">T506</f>
        <v>223431176.8026194</v>
      </c>
      <c r="U328" s="80">
        <f t="shared" ca="1" si="195"/>
        <v>302423682.48513395</v>
      </c>
      <c r="V328" s="80">
        <f ca="1">V506</f>
        <v>362843195.81917876</v>
      </c>
      <c r="W328" s="80">
        <f ca="1">W506</f>
        <v>413785494.13036519</v>
      </c>
      <c r="X328" s="80">
        <f ca="1">X506</f>
        <v>461861495.86905748</v>
      </c>
      <c r="Y328" s="80">
        <f ca="1">Y506</f>
        <v>510269255.96212423</v>
      </c>
    </row>
    <row r="329" spans="1:25" ht="15.75" hidden="1" customHeight="1" outlineLevel="1">
      <c r="B329" s="76"/>
      <c r="C329" s="110"/>
      <c r="D329" s="110"/>
      <c r="E329" s="515"/>
      <c r="F329" s="80"/>
      <c r="G329" s="80"/>
      <c r="H329" s="514"/>
      <c r="I329" s="80"/>
      <c r="J329" s="80"/>
      <c r="K329" s="80"/>
      <c r="L329" s="8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</row>
    <row r="330" spans="1:25" ht="15.75" hidden="1" customHeight="1" outlineLevel="1">
      <c r="B330" s="76"/>
      <c r="C330" s="472" t="s">
        <v>1358</v>
      </c>
      <c r="D330" s="472"/>
      <c r="E330" s="517"/>
      <c r="F330" s="115"/>
      <c r="G330" s="115"/>
      <c r="H330" s="498"/>
      <c r="I330" s="115">
        <f t="shared" ref="I330:N330" si="196">SUM(I326:I328)</f>
        <v>33049677.587910607</v>
      </c>
      <c r="J330" s="115">
        <f t="shared" si="196"/>
        <v>51216367.500393175</v>
      </c>
      <c r="K330" s="115">
        <f t="shared" ca="1" si="196"/>
        <v>69212896.920408547</v>
      </c>
      <c r="L330" s="115">
        <f t="shared" ca="1" si="196"/>
        <v>86231796.80748482</v>
      </c>
      <c r="M330" s="115">
        <f ca="1">SUM(M326:M328)</f>
        <v>103191763.77925679</v>
      </c>
      <c r="N330" s="115">
        <f t="shared" ca="1" si="196"/>
        <v>136091571.02765164</v>
      </c>
      <c r="O330" s="115">
        <f t="shared" ref="O330:W330" ca="1" si="197">SUM(O326:O328)</f>
        <v>160473595.88682157</v>
      </c>
      <c r="P330" s="115">
        <f t="shared" ca="1" si="197"/>
        <v>207323512.62684205</v>
      </c>
      <c r="Q330" s="115">
        <f t="shared" ca="1" si="197"/>
        <v>257501585.85854024</v>
      </c>
      <c r="R330" s="115"/>
      <c r="S330" s="115"/>
      <c r="T330" s="115">
        <f ca="1">SUM(T326:T328)</f>
        <v>238598109.4982484</v>
      </c>
      <c r="U330" s="115">
        <f t="shared" ca="1" si="197"/>
        <v>314015100.58844846</v>
      </c>
      <c r="V330" s="115">
        <f t="shared" ca="1" si="197"/>
        <v>370536071.72896194</v>
      </c>
      <c r="W330" s="115">
        <f t="shared" ca="1" si="197"/>
        <v>417165091.187922</v>
      </c>
      <c r="X330" s="115">
        <f ca="1">SUM(X326:X328)</f>
        <v>465402387.34632534</v>
      </c>
      <c r="Y330" s="115">
        <f ca="1">SUM(Y326:Y328)</f>
        <v>513392306.8632372</v>
      </c>
    </row>
    <row r="331" spans="1:25" ht="15.75" hidden="1" customHeight="1" outlineLevel="1">
      <c r="B331" s="76"/>
      <c r="C331" s="374"/>
      <c r="D331" s="110"/>
      <c r="E331" s="515"/>
      <c r="F331" s="80"/>
      <c r="G331" s="80"/>
      <c r="H331" s="514"/>
      <c r="I331" s="110"/>
      <c r="J331" s="110"/>
      <c r="K331" s="110"/>
      <c r="L331" s="110"/>
      <c r="M331" s="87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</row>
    <row r="332" spans="1:25" s="158" customFormat="1" ht="15.75" hidden="1" customHeight="1" outlineLevel="1">
      <c r="A332" s="565"/>
      <c r="B332" s="518"/>
      <c r="C332" s="566" t="s">
        <v>365</v>
      </c>
      <c r="D332" s="519"/>
      <c r="E332" s="519"/>
      <c r="F332" s="519"/>
      <c r="G332" s="519"/>
      <c r="H332" s="520"/>
      <c r="I332" s="567">
        <f t="shared" ref="I332:U332" si="198">I330-I313</f>
        <v>830842.99999994785</v>
      </c>
      <c r="J332" s="567">
        <f t="shared" si="198"/>
        <v>-0.15505488961935043</v>
      </c>
      <c r="K332" s="567">
        <f t="shared" ca="1" si="198"/>
        <v>-0.15505488216876984</v>
      </c>
      <c r="L332" s="567">
        <f t="shared" ca="1" si="198"/>
        <v>-0.15505488216876984</v>
      </c>
      <c r="M332" s="567">
        <f t="shared" ca="1" si="198"/>
        <v>-0.15505488216876984</v>
      </c>
      <c r="N332" s="567">
        <f t="shared" ca="1" si="198"/>
        <v>-0.15505489706993103</v>
      </c>
      <c r="O332" s="567">
        <f t="shared" ca="1" si="198"/>
        <v>-0.15505489706993103</v>
      </c>
      <c r="P332" s="567">
        <f t="shared" ca="1" si="198"/>
        <v>-0.15505495667457581</v>
      </c>
      <c r="Q332" s="567">
        <f t="shared" ca="1" si="198"/>
        <v>-0.15505498647689819</v>
      </c>
      <c r="R332" s="567"/>
      <c r="S332" s="567"/>
      <c r="T332" s="567">
        <f ca="1">T330-T313</f>
        <v>-0.15505495667457581</v>
      </c>
      <c r="U332" s="567">
        <f t="shared" ca="1" si="198"/>
        <v>-0.15505486726760864</v>
      </c>
      <c r="V332" s="567">
        <f ca="1">V330-V313</f>
        <v>-0.15505492687225342</v>
      </c>
      <c r="W332" s="567">
        <f ca="1">W330-W313</f>
        <v>-0.15505486726760864</v>
      </c>
      <c r="X332" s="567">
        <f ca="1">X330-X313</f>
        <v>-0.15505498647689819</v>
      </c>
      <c r="Y332" s="567">
        <f ca="1">Y330-Y313</f>
        <v>-0.15505498647689819</v>
      </c>
    </row>
    <row r="333" spans="1:25" ht="15.75" hidden="1" customHeight="1" outlineLevel="1">
      <c r="B333" s="76"/>
      <c r="C333" s="102"/>
      <c r="D333" s="102"/>
      <c r="E333" s="102"/>
      <c r="F333" s="102"/>
      <c r="G333" s="102"/>
      <c r="I333" s="151"/>
      <c r="J333" s="151"/>
      <c r="K333" s="151"/>
      <c r="L333" s="151"/>
      <c r="M333" s="437"/>
      <c r="N333" s="437"/>
      <c r="O333" s="437"/>
      <c r="P333" s="437"/>
      <c r="Q333" s="437"/>
      <c r="R333" s="437"/>
      <c r="S333" s="437"/>
      <c r="T333" s="437"/>
      <c r="U333" s="437"/>
      <c r="V333" s="437"/>
      <c r="W333" s="437"/>
      <c r="X333" s="437"/>
      <c r="Y333" s="437"/>
    </row>
    <row r="334" spans="1:25" ht="15.75" hidden="1" customHeight="1" outlineLevel="1">
      <c r="B334" s="76"/>
      <c r="C334" s="75"/>
      <c r="D334" s="111" t="s">
        <v>447</v>
      </c>
      <c r="E334" s="111"/>
      <c r="F334" s="111"/>
      <c r="G334" s="111"/>
      <c r="H334" s="111"/>
      <c r="I334" s="116"/>
      <c r="J334" s="116">
        <f t="shared" ref="J334:U334" si="199">J328/(J328+J322+J323)</f>
        <v>0.93960555000488799</v>
      </c>
      <c r="K334" s="116">
        <f t="shared" ca="1" si="199"/>
        <v>0.898973804674293</v>
      </c>
      <c r="L334" s="116">
        <f t="shared" ca="1" si="199"/>
        <v>0.89218963997671574</v>
      </c>
      <c r="M334" s="438">
        <f t="shared" ca="1" si="199"/>
        <v>0.91941026894627786</v>
      </c>
      <c r="N334" s="438">
        <f t="shared" ca="1" si="199"/>
        <v>0.91720653848865896</v>
      </c>
      <c r="O334" s="438">
        <f t="shared" ca="1" si="199"/>
        <v>0.94154849193888634</v>
      </c>
      <c r="P334" s="438">
        <f t="shared" ca="1" si="199"/>
        <v>0.91861667930473323</v>
      </c>
      <c r="Q334" s="438">
        <f t="shared" ca="1" si="199"/>
        <v>0.94986586967330866</v>
      </c>
      <c r="R334" s="438"/>
      <c r="S334" s="438"/>
      <c r="T334" s="438">
        <f ca="1">T328/(T328+T322+T323)</f>
        <v>0.94585392015799585</v>
      </c>
      <c r="U334" s="438">
        <f t="shared" ca="1" si="199"/>
        <v>0.9713975309161984</v>
      </c>
      <c r="V334" s="438">
        <f ca="1">V328/(V328+V322+V323)</f>
        <v>0.98635617540528941</v>
      </c>
      <c r="W334" s="438">
        <f ca="1">W328/(W328+W322+W323)</f>
        <v>0.99999999925162841</v>
      </c>
      <c r="X334" s="438">
        <f ca="1">X328/(X328+X322+X323)</f>
        <v>0.99999999932952777</v>
      </c>
      <c r="Y334" s="438">
        <f ca="1">Y328/(Y328+Y322+Y323)</f>
        <v>0.99999999939313344</v>
      </c>
    </row>
    <row r="335" spans="1:25" ht="15.75" hidden="1" customHeight="1" outlineLevel="1">
      <c r="B335" s="76"/>
      <c r="C335" s="75"/>
      <c r="D335" s="110" t="s">
        <v>448</v>
      </c>
      <c r="E335" s="110"/>
      <c r="F335" s="110"/>
      <c r="G335" s="110"/>
      <c r="H335" s="110"/>
      <c r="I335" s="116"/>
      <c r="J335" s="116">
        <f t="shared" ref="J335:U335" si="200">1-J334</f>
        <v>6.039444999511201E-2</v>
      </c>
      <c r="K335" s="116">
        <f t="shared" ca="1" si="200"/>
        <v>0.101026195325707</v>
      </c>
      <c r="L335" s="116">
        <f t="shared" ca="1" si="200"/>
        <v>0.10781036002328426</v>
      </c>
      <c r="M335" s="438">
        <f t="shared" ca="1" si="200"/>
        <v>8.0589731053722136E-2</v>
      </c>
      <c r="N335" s="438">
        <f t="shared" ca="1" si="200"/>
        <v>8.2793461511341038E-2</v>
      </c>
      <c r="O335" s="438">
        <f t="shared" ca="1" si="200"/>
        <v>5.8451508061113655E-2</v>
      </c>
      <c r="P335" s="438">
        <f t="shared" ca="1" si="200"/>
        <v>8.138332069526677E-2</v>
      </c>
      <c r="Q335" s="438">
        <f t="shared" ca="1" si="200"/>
        <v>5.013413032669134E-2</v>
      </c>
      <c r="R335" s="438"/>
      <c r="S335" s="438"/>
      <c r="T335" s="438">
        <f ca="1">1-T334</f>
        <v>5.4146079842004147E-2</v>
      </c>
      <c r="U335" s="438">
        <f t="shared" ca="1" si="200"/>
        <v>2.8602469083801596E-2</v>
      </c>
      <c r="V335" s="438">
        <f ca="1">1-V334</f>
        <v>1.3643824594710585E-2</v>
      </c>
      <c r="W335" s="438">
        <f ca="1">1-W334</f>
        <v>7.4837158692275807E-10</v>
      </c>
      <c r="X335" s="438">
        <f ca="1">1-X334</f>
        <v>6.7047223328842165E-10</v>
      </c>
      <c r="Y335" s="438">
        <f ca="1">1-Y334</f>
        <v>6.0686655700692427E-10</v>
      </c>
    </row>
    <row r="336" spans="1:25" ht="15.75" hidden="1" customHeight="1" outlineLevel="1">
      <c r="B336" s="76"/>
      <c r="C336" s="75"/>
      <c r="D336" s="110"/>
      <c r="E336" s="110"/>
      <c r="F336" s="110"/>
      <c r="G336" s="110"/>
      <c r="H336" s="110"/>
      <c r="I336" s="116"/>
      <c r="J336" s="116"/>
      <c r="K336" s="116"/>
      <c r="L336" s="116"/>
      <c r="M336" s="438"/>
      <c r="N336" s="438"/>
      <c r="O336" s="438"/>
      <c r="P336" s="438"/>
      <c r="Q336" s="438"/>
      <c r="R336" s="438"/>
      <c r="S336" s="438"/>
      <c r="T336" s="438"/>
      <c r="U336" s="438"/>
      <c r="V336" s="438"/>
      <c r="W336" s="438"/>
      <c r="X336" s="438"/>
      <c r="Y336" s="438"/>
    </row>
    <row r="337" spans="1:25" ht="15.75" hidden="1" customHeight="1" outlineLevel="1">
      <c r="B337" s="111"/>
      <c r="C337" s="117"/>
      <c r="D337" s="117"/>
      <c r="E337" s="117"/>
      <c r="F337" s="117"/>
      <c r="G337" s="117"/>
      <c r="H337" s="88"/>
      <c r="I337" s="117"/>
      <c r="J337" s="117"/>
      <c r="K337" s="118"/>
      <c r="L337" s="118"/>
      <c r="M337" s="118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</row>
    <row r="338" spans="1:25" s="152" customFormat="1" ht="15.75" hidden="1" customHeight="1" outlineLevel="1">
      <c r="A338" s="568"/>
      <c r="C338" s="521"/>
      <c r="D338" s="439"/>
      <c r="E338" s="439"/>
      <c r="F338" s="439"/>
      <c r="G338" s="439"/>
      <c r="H338" s="522"/>
      <c r="I338" s="439"/>
      <c r="J338" s="439"/>
      <c r="L338" s="139"/>
      <c r="M338" s="439"/>
      <c r="N338" s="439"/>
      <c r="O338" s="439"/>
      <c r="P338" s="439"/>
      <c r="Q338" s="439"/>
      <c r="R338" s="439"/>
      <c r="S338" s="439"/>
      <c r="T338" s="439"/>
      <c r="U338" s="439"/>
      <c r="V338" s="439"/>
      <c r="W338" s="439"/>
      <c r="X338" s="439"/>
      <c r="Y338" s="439"/>
    </row>
    <row r="339" spans="1:25" ht="15.75" hidden="1" customHeight="1" outlineLevel="1">
      <c r="B339" s="111"/>
      <c r="C339" s="117"/>
      <c r="D339" s="117"/>
      <c r="E339" s="117"/>
      <c r="F339" s="117"/>
      <c r="G339" s="117"/>
      <c r="H339" s="88"/>
      <c r="I339" s="117"/>
      <c r="J339" s="117"/>
      <c r="K339" s="118"/>
      <c r="L339" s="118"/>
      <c r="M339" s="118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</row>
    <row r="340" spans="1:25" ht="27" collapsed="1">
      <c r="B340" s="111"/>
      <c r="C340" s="499" t="s">
        <v>131</v>
      </c>
      <c r="I340" s="117"/>
      <c r="J340" s="102"/>
      <c r="K340" s="103"/>
      <c r="L340" s="137"/>
      <c r="M340" s="435"/>
      <c r="N340" s="435"/>
      <c r="O340" s="435"/>
      <c r="P340" s="435"/>
      <c r="Q340" s="435"/>
      <c r="R340" s="435"/>
      <c r="S340" s="435"/>
      <c r="T340" s="435"/>
      <c r="U340" s="435"/>
      <c r="V340" s="435"/>
      <c r="W340" s="435"/>
      <c r="X340" s="435"/>
      <c r="Y340" s="435"/>
    </row>
    <row r="341" spans="1:25" ht="3" customHeight="1">
      <c r="B341" s="111"/>
      <c r="C341" s="104"/>
      <c r="D341" s="104"/>
      <c r="E341" s="104"/>
      <c r="F341" s="104"/>
      <c r="G341" s="104"/>
      <c r="H341" s="465"/>
      <c r="I341" s="104"/>
      <c r="J341" s="104"/>
      <c r="K341" s="104"/>
      <c r="L341" s="104"/>
      <c r="M341" s="104"/>
      <c r="N341" s="420"/>
      <c r="O341" s="420"/>
      <c r="P341" s="420"/>
      <c r="Q341" s="420"/>
      <c r="R341" s="420"/>
      <c r="S341" s="420"/>
      <c r="T341" s="420"/>
      <c r="U341" s="420"/>
      <c r="V341" s="420"/>
      <c r="W341" s="420"/>
      <c r="X341" s="420"/>
      <c r="Y341" s="420"/>
    </row>
    <row r="342" spans="1:25" ht="15.75" customHeight="1">
      <c r="B342" s="111"/>
      <c r="C342" s="75"/>
      <c r="I342" s="117"/>
      <c r="J342" s="102"/>
      <c r="K342" s="103"/>
      <c r="L342" s="137"/>
      <c r="M342" s="435"/>
      <c r="N342" s="435"/>
      <c r="O342" s="435"/>
      <c r="P342" s="435"/>
      <c r="Q342" s="435"/>
      <c r="R342" s="435"/>
      <c r="S342" s="435"/>
      <c r="T342" s="435"/>
      <c r="U342" s="435"/>
      <c r="V342" s="435"/>
      <c r="W342" s="435"/>
      <c r="X342" s="435"/>
      <c r="Y342" s="435"/>
    </row>
    <row r="343" spans="1:25" ht="9.75" customHeight="1">
      <c r="B343" s="76"/>
      <c r="C343" s="480"/>
      <c r="I343" s="117"/>
      <c r="J343" s="500"/>
      <c r="K343" s="105"/>
      <c r="L343" s="138"/>
      <c r="M343" s="138"/>
      <c r="N343" s="138"/>
      <c r="O343" s="138"/>
      <c r="P343" s="138"/>
      <c r="Q343" s="138"/>
      <c r="R343" s="138"/>
      <c r="S343" s="138"/>
      <c r="T343" s="138"/>
      <c r="U343" s="138"/>
      <c r="V343" s="138"/>
      <c r="W343" s="138"/>
      <c r="X343" s="138"/>
      <c r="Y343" s="138"/>
    </row>
    <row r="344" spans="1:25">
      <c r="B344" s="76"/>
      <c r="C344" s="501"/>
      <c r="D344" s="106"/>
      <c r="E344" s="106"/>
      <c r="F344" s="106"/>
      <c r="G344" s="106"/>
      <c r="H344" s="502"/>
      <c r="I344" s="92">
        <v>0</v>
      </c>
      <c r="J344" s="92">
        <v>1</v>
      </c>
      <c r="K344" s="92">
        <v>2</v>
      </c>
      <c r="L344" s="136">
        <v>3</v>
      </c>
      <c r="M344" s="136">
        <v>4</v>
      </c>
      <c r="N344" s="136">
        <v>5</v>
      </c>
      <c r="O344" s="136">
        <f t="shared" ref="O344:Q344" si="201">O7</f>
        <v>6</v>
      </c>
      <c r="P344" s="136">
        <f t="shared" si="201"/>
        <v>7</v>
      </c>
      <c r="Q344" s="136">
        <f t="shared" si="201"/>
        <v>8</v>
      </c>
      <c r="R344" s="136"/>
      <c r="S344" s="136"/>
      <c r="T344" s="136" t="str">
        <f>T7</f>
        <v>Revised</v>
      </c>
      <c r="U344" s="136">
        <f t="shared" ref="U344:W344" si="202">U7</f>
        <v>9</v>
      </c>
      <c r="V344" s="136">
        <f t="shared" si="202"/>
        <v>10</v>
      </c>
      <c r="W344" s="136">
        <f t="shared" si="202"/>
        <v>11</v>
      </c>
      <c r="X344" s="136">
        <f>X7</f>
        <v>12</v>
      </c>
      <c r="Y344" s="136">
        <f>Y7</f>
        <v>13</v>
      </c>
    </row>
    <row r="345" spans="1:25">
      <c r="B345" s="76"/>
      <c r="C345" s="504"/>
      <c r="D345" s="469"/>
      <c r="E345" s="469"/>
      <c r="F345" s="469"/>
      <c r="G345" s="469"/>
      <c r="H345" s="470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</row>
    <row r="346" spans="1:25">
      <c r="B346" s="76"/>
      <c r="C346" s="505"/>
      <c r="D346" s="472"/>
      <c r="E346" s="506"/>
      <c r="F346" s="506"/>
      <c r="G346" s="506"/>
      <c r="H346" s="473"/>
      <c r="I346" s="94" t="s">
        <v>499</v>
      </c>
      <c r="J346" s="94" t="s">
        <v>499</v>
      </c>
      <c r="K346" s="112" t="s">
        <v>499</v>
      </c>
      <c r="L346" s="112" t="s">
        <v>499</v>
      </c>
      <c r="M346" s="112" t="s">
        <v>499</v>
      </c>
      <c r="N346" s="112" t="s">
        <v>499</v>
      </c>
      <c r="O346" s="112" t="s">
        <v>499</v>
      </c>
      <c r="P346" s="112" t="s">
        <v>499</v>
      </c>
      <c r="Q346" s="112" t="s">
        <v>499</v>
      </c>
      <c r="R346" s="112"/>
      <c r="S346" s="112"/>
      <c r="T346" s="112" t="s">
        <v>499</v>
      </c>
      <c r="U346" s="112" t="s">
        <v>499</v>
      </c>
      <c r="V346" s="112" t="s">
        <v>499</v>
      </c>
      <c r="W346" s="112" t="s">
        <v>499</v>
      </c>
      <c r="X346" s="112" t="s">
        <v>499</v>
      </c>
      <c r="Y346" s="112" t="s">
        <v>499</v>
      </c>
    </row>
    <row r="347" spans="1:25" ht="6" customHeight="1">
      <c r="B347" s="111"/>
      <c r="C347" s="110"/>
      <c r="D347" s="110"/>
      <c r="E347" s="110"/>
      <c r="F347" s="110"/>
      <c r="G347" s="110"/>
      <c r="H347" s="88"/>
      <c r="I347" s="110"/>
      <c r="J347" s="107"/>
      <c r="K347" s="119"/>
      <c r="L347" s="119"/>
      <c r="M347" s="119"/>
      <c r="N347" s="440"/>
      <c r="O347" s="440"/>
      <c r="P347" s="440"/>
      <c r="Q347" s="440"/>
      <c r="R347" s="440"/>
      <c r="S347" s="440"/>
      <c r="T347" s="440"/>
      <c r="U347" s="440"/>
      <c r="V347" s="440"/>
      <c r="W347" s="440"/>
      <c r="X347" s="440"/>
      <c r="Y347" s="440"/>
    </row>
    <row r="348" spans="1:25" ht="15.75" customHeight="1">
      <c r="B348" s="76"/>
      <c r="C348" s="523" t="s">
        <v>198</v>
      </c>
      <c r="D348" s="110"/>
      <c r="E348" s="110"/>
      <c r="F348" s="110"/>
      <c r="G348" s="110"/>
      <c r="H348" s="88"/>
      <c r="I348" s="110"/>
      <c r="J348" s="110"/>
      <c r="K348" s="110"/>
      <c r="L348" s="110"/>
      <c r="M348" s="110"/>
      <c r="N348" s="110"/>
      <c r="O348" s="110"/>
      <c r="P348" s="110"/>
      <c r="Q348" s="110"/>
      <c r="R348" s="110"/>
      <c r="S348" s="110"/>
      <c r="T348" s="110"/>
      <c r="U348" s="110"/>
      <c r="V348" s="110"/>
      <c r="W348" s="110"/>
      <c r="X348" s="110"/>
      <c r="Y348" s="110"/>
    </row>
    <row r="349" spans="1:25" ht="15.75" customHeight="1">
      <c r="B349" s="76"/>
      <c r="C349" s="516" t="s">
        <v>363</v>
      </c>
      <c r="D349" s="110"/>
      <c r="E349" s="515"/>
      <c r="F349" s="80"/>
      <c r="G349" s="80"/>
      <c r="H349" s="88"/>
      <c r="I349" s="108"/>
      <c r="J349" s="108">
        <f t="shared" ref="J349:O349" si="203">J246</f>
        <v>12446283.804286176</v>
      </c>
      <c r="K349" s="108">
        <f t="shared" ca="1" si="203"/>
        <v>14920830.819416873</v>
      </c>
      <c r="L349" s="108">
        <f t="shared" ca="1" si="203"/>
        <v>20010399.888121225</v>
      </c>
      <c r="M349" s="108">
        <f t="shared" ca="1" si="203"/>
        <v>20074048.318860937</v>
      </c>
      <c r="N349" s="108">
        <f t="shared" ca="1" si="203"/>
        <v>31131773.114031278</v>
      </c>
      <c r="O349" s="108">
        <f t="shared" ca="1" si="203"/>
        <v>24428478.788166441</v>
      </c>
      <c r="P349" s="108">
        <f t="shared" ref="P349:Y349" ca="1" si="204">P246</f>
        <v>43408578.075283043</v>
      </c>
      <c r="Q349" s="108">
        <f t="shared" ca="1" si="204"/>
        <v>56036253.983177222</v>
      </c>
      <c r="R349" s="108"/>
      <c r="S349" s="108"/>
      <c r="T349" s="108">
        <f ca="1">T246</f>
        <v>36812020.315634042</v>
      </c>
      <c r="U349" s="108">
        <f t="shared" ca="1" si="204"/>
        <v>61901801.340511069</v>
      </c>
      <c r="V349" s="108">
        <f t="shared" ca="1" si="204"/>
        <v>61925093.059598312</v>
      </c>
      <c r="W349" s="108">
        <f t="shared" ca="1" si="204"/>
        <v>51979852.802127391</v>
      </c>
      <c r="X349" s="108">
        <f t="shared" si="204"/>
        <v>48891763.293398529</v>
      </c>
      <c r="Y349" s="108">
        <f t="shared" si="204"/>
        <v>49229150.978292912</v>
      </c>
    </row>
    <row r="350" spans="1:25" ht="15.75" customHeight="1">
      <c r="B350" s="76"/>
      <c r="C350" s="516" t="s">
        <v>199</v>
      </c>
      <c r="D350" s="110"/>
      <c r="E350" s="515"/>
      <c r="F350" s="80"/>
      <c r="G350" s="80"/>
      <c r="H350" s="88"/>
      <c r="I350" s="108"/>
      <c r="J350" s="108">
        <f t="shared" ref="J350:P350" si="205">J485+J486</f>
        <v>6040868.8050897401</v>
      </c>
      <c r="K350" s="108">
        <f t="shared" ca="1" si="205"/>
        <v>3465292.4086858924</v>
      </c>
      <c r="L350" s="108">
        <f t="shared" ca="1" si="205"/>
        <v>3693010.1015430354</v>
      </c>
      <c r="M350" s="108">
        <f ca="1">M485+M486</f>
        <v>3914590.1729716067</v>
      </c>
      <c r="N350" s="108">
        <f t="shared" ca="1" si="205"/>
        <v>4091552.9348763688</v>
      </c>
      <c r="O350" s="108">
        <f t="shared" ca="1" si="205"/>
        <v>4356861.143426368</v>
      </c>
      <c r="P350" s="108">
        <f t="shared" ca="1" si="205"/>
        <v>3313876.8792601479</v>
      </c>
      <c r="Q350" s="108">
        <f t="shared" ref="Q350:Y350" ca="1" si="206">Q485+Q486</f>
        <v>3880248.604260148</v>
      </c>
      <c r="R350" s="108"/>
      <c r="S350" s="108"/>
      <c r="T350" s="108">
        <f ca="1">T485+T486</f>
        <v>3880248.604260148</v>
      </c>
      <c r="U350" s="108">
        <f t="shared" ca="1" si="206"/>
        <v>4295824.3061954128</v>
      </c>
      <c r="V350" s="108">
        <f t="shared" ca="1" si="206"/>
        <v>4377696.3939180765</v>
      </c>
      <c r="W350" s="108">
        <f t="shared" ca="1" si="206"/>
        <v>4844049.8336491156</v>
      </c>
      <c r="X350" s="108">
        <f t="shared" si="206"/>
        <v>5710033.0829039663</v>
      </c>
      <c r="Y350" s="108">
        <f t="shared" si="206"/>
        <v>6401639.6355135795</v>
      </c>
    </row>
    <row r="351" spans="1:25" ht="15.75" customHeight="1">
      <c r="A351" s="460">
        <v>11</v>
      </c>
      <c r="B351" s="76"/>
      <c r="C351" s="516" t="s">
        <v>200</v>
      </c>
      <c r="D351" s="110"/>
      <c r="E351" s="515"/>
      <c r="F351" s="80"/>
      <c r="G351" s="80"/>
      <c r="H351" s="88"/>
      <c r="I351" s="108"/>
      <c r="J351" s="108">
        <f t="shared" ref="J351:U351" si="207">-J420</f>
        <v>-2523502.7241773708</v>
      </c>
      <c r="K351" s="108">
        <f t="shared" si="207"/>
        <v>828760.9388479339</v>
      </c>
      <c r="L351" s="108">
        <f t="shared" si="207"/>
        <v>1659793.8178690285</v>
      </c>
      <c r="M351" s="108">
        <f t="shared" si="207"/>
        <v>-3933040.6742485953</v>
      </c>
      <c r="N351" s="108">
        <f t="shared" si="207"/>
        <v>647534.84144276474</v>
      </c>
      <c r="O351" s="108">
        <f t="shared" si="207"/>
        <v>-1499616.4674386922</v>
      </c>
      <c r="P351" s="108">
        <f t="shared" si="207"/>
        <v>-4976661.5384218944</v>
      </c>
      <c r="Q351" s="108">
        <f t="shared" si="207"/>
        <v>-4304744.0015415344</v>
      </c>
      <c r="R351" s="108"/>
      <c r="S351" s="108"/>
      <c r="T351" s="108">
        <f>-T420</f>
        <v>-1369053.1424884088</v>
      </c>
      <c r="U351" s="108">
        <f t="shared" si="207"/>
        <v>-1551937.4150094837</v>
      </c>
      <c r="V351" s="108">
        <f>-V420</f>
        <v>87661.278102107346</v>
      </c>
      <c r="W351" s="108">
        <f>-W420</f>
        <v>-1305256.4407070614</v>
      </c>
      <c r="X351" s="108">
        <f>-X420</f>
        <v>-348314.37488415837</v>
      </c>
      <c r="Y351" s="108">
        <f>-Y420</f>
        <v>1243909.9795551375</v>
      </c>
    </row>
    <row r="352" spans="1:25" ht="15.75" customHeight="1">
      <c r="A352" s="460">
        <v>12</v>
      </c>
      <c r="B352" s="76"/>
      <c r="C352" s="516" t="s">
        <v>201</v>
      </c>
      <c r="D352" s="110"/>
      <c r="E352" s="110"/>
      <c r="F352" s="110"/>
      <c r="G352" s="110"/>
      <c r="H352" s="88"/>
      <c r="I352" s="108"/>
      <c r="J352" s="108">
        <f t="shared" ref="J352:Q352" si="208">-J435</f>
        <v>-968521.35241007153</v>
      </c>
      <c r="K352" s="108">
        <f t="shared" si="208"/>
        <v>530310.74931638432</v>
      </c>
      <c r="L352" s="108">
        <f t="shared" si="208"/>
        <v>157989.42461273517</v>
      </c>
      <c r="M352" s="108">
        <f t="shared" si="208"/>
        <v>227440.43982815114</v>
      </c>
      <c r="N352" s="108">
        <f t="shared" si="208"/>
        <v>-313076.26408671949</v>
      </c>
      <c r="O352" s="108">
        <f t="shared" si="208"/>
        <v>-118287.46512419858</v>
      </c>
      <c r="P352" s="108">
        <f t="shared" si="208"/>
        <v>12696.221198272426</v>
      </c>
      <c r="Q352" s="108">
        <f t="shared" si="208"/>
        <v>-48642.43317431421</v>
      </c>
      <c r="R352" s="108"/>
      <c r="S352" s="108"/>
      <c r="T352" s="108">
        <f t="shared" ref="T352:Y352" si="209">-T435</f>
        <v>-29118.075183012057</v>
      </c>
      <c r="U352" s="108">
        <f t="shared" si="209"/>
        <v>-61510.312445646152</v>
      </c>
      <c r="V352" s="108">
        <f t="shared" si="209"/>
        <v>11357.539092802675</v>
      </c>
      <c r="W352" s="108">
        <f t="shared" si="209"/>
        <v>-314495.86443435564</v>
      </c>
      <c r="X352" s="108">
        <f t="shared" si="209"/>
        <v>-82715.081484998576</v>
      </c>
      <c r="Y352" s="108">
        <f t="shared" si="209"/>
        <v>151577.48533540266</v>
      </c>
    </row>
    <row r="353" spans="1:25" ht="15.75" customHeight="1">
      <c r="B353" s="76"/>
      <c r="C353" s="483" t="s">
        <v>202</v>
      </c>
      <c r="D353" s="110"/>
      <c r="E353" s="515"/>
      <c r="F353" s="80"/>
      <c r="G353" s="80"/>
      <c r="H353" s="88"/>
      <c r="I353" s="80"/>
      <c r="J353" s="80">
        <f t="shared" ref="J353:Q353" si="210">SUM(J349:J352)</f>
        <v>14995128.532788474</v>
      </c>
      <c r="K353" s="80">
        <f t="shared" ca="1" si="210"/>
        <v>19745194.916267082</v>
      </c>
      <c r="L353" s="80">
        <f t="shared" ca="1" si="210"/>
        <v>25521193.232146025</v>
      </c>
      <c r="M353" s="80">
        <f t="shared" ca="1" si="210"/>
        <v>20283038.257412098</v>
      </c>
      <c r="N353" s="80">
        <f t="shared" ca="1" si="210"/>
        <v>35557784.626263693</v>
      </c>
      <c r="O353" s="80">
        <f t="shared" ca="1" si="210"/>
        <v>27167435.99902992</v>
      </c>
      <c r="P353" s="80">
        <f t="shared" ca="1" si="210"/>
        <v>41758489.637319572</v>
      </c>
      <c r="Q353" s="80">
        <f t="shared" ca="1" si="210"/>
        <v>55563116.152721524</v>
      </c>
      <c r="R353" s="80"/>
      <c r="S353" s="80"/>
      <c r="T353" s="80">
        <f t="shared" ref="T353:Y353" ca="1" si="211">SUM(T349:T352)</f>
        <v>39294097.702222772</v>
      </c>
      <c r="U353" s="80">
        <f t="shared" ca="1" si="211"/>
        <v>64584177.919251353</v>
      </c>
      <c r="V353" s="80">
        <f t="shared" ca="1" si="211"/>
        <v>66401808.270711295</v>
      </c>
      <c r="W353" s="80">
        <f t="shared" ca="1" si="211"/>
        <v>55204150.330635093</v>
      </c>
      <c r="X353" s="80">
        <f t="shared" si="211"/>
        <v>54170766.919933341</v>
      </c>
      <c r="Y353" s="80">
        <f t="shared" si="211"/>
        <v>57026278.078697033</v>
      </c>
    </row>
    <row r="354" spans="1:25" ht="15.75" customHeight="1">
      <c r="A354" s="460">
        <v>13</v>
      </c>
      <c r="B354" s="76"/>
      <c r="C354" s="516" t="s">
        <v>203</v>
      </c>
      <c r="D354" s="110"/>
      <c r="E354" s="110"/>
      <c r="F354" s="110"/>
      <c r="G354" s="110"/>
      <c r="H354" s="88"/>
      <c r="I354" s="108"/>
      <c r="J354" s="108">
        <f t="shared" ref="J354:L355" si="212">J248</f>
        <v>-497714.84783193597</v>
      </c>
      <c r="K354" s="108">
        <f t="shared" si="212"/>
        <v>-773888.09709331719</v>
      </c>
      <c r="L354" s="108">
        <f t="shared" si="212"/>
        <v>-655524.08355451713</v>
      </c>
      <c r="M354" s="108">
        <f>M248</f>
        <v>-128625.25160451712</v>
      </c>
      <c r="N354" s="108">
        <f>N248</f>
        <v>-234847.32085451714</v>
      </c>
      <c r="O354" s="108">
        <f t="shared" ref="O354:Q355" ca="1" si="213">O248</f>
        <v>-318647.53507369268</v>
      </c>
      <c r="P354" s="108">
        <f t="shared" ca="1" si="213"/>
        <v>-357524.36794720683</v>
      </c>
      <c r="Q354" s="108">
        <f t="shared" ca="1" si="213"/>
        <v>-1016600.0213669065</v>
      </c>
      <c r="R354" s="108"/>
      <c r="S354" s="108"/>
      <c r="T354" s="108">
        <f>T248</f>
        <v>-1016600.0213669065</v>
      </c>
      <c r="U354" s="108">
        <f t="shared" ref="U354:W355" ca="1" si="214">U248</f>
        <v>-793171.44993833522</v>
      </c>
      <c r="V354" s="108">
        <f t="shared" ca="1" si="214"/>
        <v>-480371.44993833528</v>
      </c>
      <c r="W354" s="108">
        <f t="shared" ca="1" si="214"/>
        <v>-173157.16422404957</v>
      </c>
      <c r="X354" s="108">
        <f ca="1">X248</f>
        <v>-2.1366906724870204E-2</v>
      </c>
      <c r="Y354" s="108">
        <f ca="1">Y248</f>
        <v>-2.1366906724870204E-2</v>
      </c>
    </row>
    <row r="355" spans="1:25" ht="15.75" customHeight="1">
      <c r="A355" s="460">
        <v>14</v>
      </c>
      <c r="B355" s="76"/>
      <c r="C355" s="516" t="s">
        <v>187</v>
      </c>
      <c r="D355" s="110"/>
      <c r="E355" s="110"/>
      <c r="F355" s="110"/>
      <c r="G355" s="110"/>
      <c r="H355" s="88"/>
      <c r="I355" s="108"/>
      <c r="J355" s="108">
        <f t="shared" si="212"/>
        <v>1915.1106174639301</v>
      </c>
      <c r="K355" s="108">
        <f t="shared" si="212"/>
        <v>0</v>
      </c>
      <c r="L355" s="108">
        <f t="shared" ca="1" si="212"/>
        <v>0</v>
      </c>
      <c r="M355" s="108">
        <f ca="1">M249</f>
        <v>0</v>
      </c>
      <c r="N355" s="108">
        <f ca="1">N249</f>
        <v>0</v>
      </c>
      <c r="O355" s="108">
        <f t="shared" ca="1" si="213"/>
        <v>0</v>
      </c>
      <c r="P355" s="108">
        <f t="shared" ca="1" si="213"/>
        <v>0</v>
      </c>
      <c r="Q355" s="108">
        <f t="shared" ca="1" si="213"/>
        <v>0</v>
      </c>
      <c r="R355" s="108"/>
      <c r="S355" s="108"/>
      <c r="T355" s="108">
        <f ca="1">T249</f>
        <v>0</v>
      </c>
      <c r="U355" s="108">
        <f t="shared" ca="1" si="214"/>
        <v>0</v>
      </c>
      <c r="V355" s="108">
        <f t="shared" ca="1" si="214"/>
        <v>0</v>
      </c>
      <c r="W355" s="108">
        <f t="shared" ca="1" si="214"/>
        <v>0</v>
      </c>
      <c r="X355" s="108">
        <f ca="1">X249</f>
        <v>0</v>
      </c>
      <c r="Y355" s="108">
        <f ca="1">Y249</f>
        <v>0</v>
      </c>
    </row>
    <row r="356" spans="1:25" ht="15.75" customHeight="1">
      <c r="A356" s="460">
        <v>15</v>
      </c>
      <c r="B356" s="76"/>
      <c r="C356" s="516" t="s">
        <v>204</v>
      </c>
      <c r="D356" s="163"/>
      <c r="E356" s="524"/>
      <c r="F356" s="525"/>
      <c r="G356" s="525"/>
      <c r="H356" s="88"/>
      <c r="I356" s="108"/>
      <c r="J356" s="108">
        <f t="shared" ref="J356:U356" si="215">J253</f>
        <v>-241258.5442665157</v>
      </c>
      <c r="K356" s="108">
        <f t="shared" ca="1" si="215"/>
        <v>-282938.85444647114</v>
      </c>
      <c r="L356" s="108">
        <f t="shared" ca="1" si="215"/>
        <v>-283535.11841290351</v>
      </c>
      <c r="M356" s="108">
        <f t="shared" si="215"/>
        <v>-18976</v>
      </c>
      <c r="N356" s="108">
        <f t="shared" si="215"/>
        <v>-13059.2</v>
      </c>
      <c r="O356" s="108">
        <f t="shared" si="215"/>
        <v>-614473</v>
      </c>
      <c r="P356" s="108">
        <f t="shared" si="215"/>
        <v>-718309</v>
      </c>
      <c r="Q356" s="108">
        <f t="shared" ca="1" si="215"/>
        <v>-918005.69821870967</v>
      </c>
      <c r="R356" s="108"/>
      <c r="S356" s="108"/>
      <c r="T356" s="108">
        <f ca="1">T253</f>
        <v>-597248.39096733683</v>
      </c>
      <c r="U356" s="108">
        <f t="shared" ca="1" si="215"/>
        <v>-1019600.5683500329</v>
      </c>
      <c r="V356" s="108">
        <f ca="1">V253</f>
        <v>-1025208.2756151562</v>
      </c>
      <c r="W356" s="108">
        <f ca="1">W253</f>
        <v>-864397.32671689824</v>
      </c>
      <c r="X356" s="108">
        <f ca="1">X253</f>
        <v>-815761.53333932138</v>
      </c>
      <c r="Y356" s="108">
        <f ca="1">Y253</f>
        <v>-821390.86385922704</v>
      </c>
    </row>
    <row r="357" spans="1:25" ht="15.75" customHeight="1">
      <c r="A357" s="460">
        <v>23</v>
      </c>
      <c r="B357" s="76"/>
      <c r="C357" s="356" t="s">
        <v>195</v>
      </c>
      <c r="D357" s="163"/>
      <c r="E357" s="524"/>
      <c r="F357" s="525"/>
      <c r="G357" s="525"/>
      <c r="H357" s="88"/>
      <c r="I357" s="108"/>
      <c r="J357" s="108">
        <f>J250</f>
        <v>112443.14625408201</v>
      </c>
      <c r="K357" s="108">
        <f>K250</f>
        <v>0</v>
      </c>
      <c r="L357" s="108">
        <f>L250</f>
        <v>-5178119.883921532</v>
      </c>
      <c r="M357" s="108">
        <f>M250</f>
        <v>-1270942</v>
      </c>
      <c r="N357" s="108">
        <f t="shared" ref="N357:V357" si="216">N250</f>
        <v>-671000</v>
      </c>
      <c r="O357" s="108">
        <f t="shared" si="216"/>
        <v>-878009</v>
      </c>
      <c r="P357" s="108">
        <f t="shared" si="216"/>
        <v>0</v>
      </c>
      <c r="Q357" s="108">
        <f t="shared" si="216"/>
        <v>0</v>
      </c>
      <c r="R357" s="108"/>
      <c r="S357" s="108"/>
      <c r="T357" s="108">
        <f>T250</f>
        <v>0</v>
      </c>
      <c r="U357" s="108">
        <f t="shared" si="216"/>
        <v>0</v>
      </c>
      <c r="V357" s="108">
        <f t="shared" si="216"/>
        <v>0</v>
      </c>
      <c r="W357" s="108">
        <f>W250</f>
        <v>0</v>
      </c>
      <c r="X357" s="108">
        <f>X250</f>
        <v>0</v>
      </c>
      <c r="Y357" s="108">
        <f>Y250</f>
        <v>0</v>
      </c>
    </row>
    <row r="358" spans="1:25" s="157" customFormat="1" ht="15.75" customHeight="1">
      <c r="A358" s="460"/>
      <c r="B358" s="155"/>
      <c r="C358" s="95" t="s">
        <v>205</v>
      </c>
      <c r="D358" s="163"/>
      <c r="E358" s="163"/>
      <c r="F358" s="163"/>
      <c r="G358" s="163"/>
      <c r="H358" s="1324"/>
      <c r="I358" s="153"/>
      <c r="J358" s="153">
        <f>SUM(J353:J357)</f>
        <v>14370513.397561567</v>
      </c>
      <c r="K358" s="153">
        <f ca="1">SUM(K353:K357)</f>
        <v>18688367.964727294</v>
      </c>
      <c r="L358" s="153">
        <f ca="1">SUM(L353:L357)</f>
        <v>19404014.146257073</v>
      </c>
      <c r="M358" s="153">
        <f ca="1">SUM(M353:M357)</f>
        <v>18864495.005807582</v>
      </c>
      <c r="N358" s="153">
        <f t="shared" ref="N358:V358" ca="1" si="217">SUM(N353:N357)</f>
        <v>34638878.105409175</v>
      </c>
      <c r="O358" s="153">
        <f t="shared" ca="1" si="217"/>
        <v>25356306.463956226</v>
      </c>
      <c r="P358" s="153">
        <f t="shared" ca="1" si="217"/>
        <v>40682656.269372366</v>
      </c>
      <c r="Q358" s="153">
        <f t="shared" ca="1" si="217"/>
        <v>53628510.433135904</v>
      </c>
      <c r="R358" s="153"/>
      <c r="S358" s="153"/>
      <c r="T358" s="153">
        <f ca="1">SUM(T353:T357)</f>
        <v>37680249.289888524</v>
      </c>
      <c r="U358" s="153">
        <f t="shared" ca="1" si="217"/>
        <v>62771405.900962986</v>
      </c>
      <c r="V358" s="153">
        <f t="shared" ca="1" si="217"/>
        <v>64896228.545157805</v>
      </c>
      <c r="W358" s="153">
        <f ca="1">SUM(W353:W357)</f>
        <v>54166595.839694142</v>
      </c>
      <c r="X358" s="153">
        <f ca="1">SUM(X353:X357)</f>
        <v>53355005.365227111</v>
      </c>
      <c r="Y358" s="153">
        <f ca="1">SUM(Y353:Y357)</f>
        <v>56204887.193470895</v>
      </c>
    </row>
    <row r="359" spans="1:25" ht="9" customHeight="1">
      <c r="B359" s="76"/>
      <c r="C359" s="110"/>
      <c r="D359" s="110"/>
      <c r="E359" s="110"/>
      <c r="F359" s="110"/>
      <c r="G359" s="110"/>
      <c r="H359" s="88"/>
      <c r="I359" s="110"/>
      <c r="J359" s="110"/>
      <c r="K359" s="110"/>
      <c r="L359" s="11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</row>
    <row r="360" spans="1:25" ht="15.75" customHeight="1">
      <c r="B360" s="76"/>
      <c r="C360" s="523" t="s">
        <v>206</v>
      </c>
      <c r="D360" s="100"/>
      <c r="E360" s="100"/>
      <c r="F360" s="100"/>
      <c r="G360" s="100"/>
      <c r="H360" s="88"/>
      <c r="I360" s="108"/>
      <c r="J360" s="108"/>
      <c r="K360" s="108"/>
      <c r="L360" s="108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</row>
    <row r="361" spans="1:25" ht="15.75" customHeight="1">
      <c r="A361" s="460">
        <v>16</v>
      </c>
      <c r="B361" s="76"/>
      <c r="C361" s="516" t="s">
        <v>132</v>
      </c>
      <c r="D361" s="100"/>
      <c r="E361" s="100"/>
      <c r="F361" s="100"/>
      <c r="G361" s="100"/>
      <c r="H361" s="88"/>
      <c r="I361" s="108"/>
      <c r="J361" s="108">
        <f t="shared" ref="J361:U361" si="218">-J448</f>
        <v>-483192.83645314601</v>
      </c>
      <c r="K361" s="108">
        <f t="shared" si="218"/>
        <v>-1078126.7</v>
      </c>
      <c r="L361" s="108">
        <f t="shared" si="218"/>
        <v>-2109921</v>
      </c>
      <c r="M361" s="108">
        <f t="shared" si="218"/>
        <v>-992200.00000000012</v>
      </c>
      <c r="N361" s="108">
        <f t="shared" si="218"/>
        <v>-6365480</v>
      </c>
      <c r="O361" s="108">
        <f t="shared" si="218"/>
        <v>-9553012.5130000003</v>
      </c>
      <c r="P361" s="108">
        <f t="shared" si="218"/>
        <v>-2672660.5500000003</v>
      </c>
      <c r="Q361" s="108">
        <f t="shared" si="218"/>
        <v>-7509348</v>
      </c>
      <c r="R361" s="108">
        <f>T361/2</f>
        <v>-3754674</v>
      </c>
      <c r="S361" s="108">
        <f>T361/2</f>
        <v>-3754674</v>
      </c>
      <c r="T361" s="108">
        <f>-T448</f>
        <v>-7509348</v>
      </c>
      <c r="U361" s="108">
        <f t="shared" si="218"/>
        <v>-3722898</v>
      </c>
      <c r="V361" s="108">
        <f>-V448</f>
        <v>-2468897.611596121</v>
      </c>
      <c r="W361" s="108">
        <f>-W448</f>
        <v>-11289772.611596121</v>
      </c>
      <c r="X361" s="108">
        <f>-X448</f>
        <v>-9569147.6115961205</v>
      </c>
      <c r="Y361" s="108">
        <f>-Y448</f>
        <v>-9569147.6115961205</v>
      </c>
    </row>
    <row r="362" spans="1:25" ht="15.75" hidden="1" customHeight="1" outlineLevel="1">
      <c r="B362" s="76"/>
      <c r="C362" s="516" t="s">
        <v>208</v>
      </c>
      <c r="D362" s="100"/>
      <c r="E362" s="100"/>
      <c r="F362" s="100"/>
      <c r="G362" s="100"/>
      <c r="H362" s="88"/>
      <c r="I362" s="108"/>
      <c r="J362" s="108">
        <f t="shared" ref="J362:U362" si="219">-J455</f>
        <v>1723222.08946644</v>
      </c>
      <c r="K362" s="108">
        <f t="shared" si="219"/>
        <v>0</v>
      </c>
      <c r="L362" s="108">
        <f t="shared" si="219"/>
        <v>0</v>
      </c>
      <c r="M362" s="108">
        <f t="shared" si="219"/>
        <v>0</v>
      </c>
      <c r="N362" s="108">
        <f t="shared" si="219"/>
        <v>0</v>
      </c>
      <c r="O362" s="108">
        <f t="shared" si="219"/>
        <v>0</v>
      </c>
      <c r="P362" s="108">
        <f t="shared" si="219"/>
        <v>0</v>
      </c>
      <c r="Q362" s="108">
        <f t="shared" si="219"/>
        <v>0</v>
      </c>
      <c r="R362" s="108"/>
      <c r="S362" s="108"/>
      <c r="T362" s="108">
        <f>-T455</f>
        <v>0</v>
      </c>
      <c r="U362" s="108">
        <f t="shared" si="219"/>
        <v>0</v>
      </c>
      <c r="V362" s="108">
        <f>-V455</f>
        <v>0</v>
      </c>
      <c r="W362" s="108">
        <f>-W455</f>
        <v>0</v>
      </c>
      <c r="X362" s="108">
        <f>-X455</f>
        <v>0</v>
      </c>
      <c r="Y362" s="108">
        <f>-Y455</f>
        <v>0</v>
      </c>
    </row>
    <row r="363" spans="1:25" ht="15.75" hidden="1" customHeight="1" outlineLevel="1">
      <c r="B363" s="76"/>
      <c r="C363" s="516" t="s">
        <v>209</v>
      </c>
      <c r="D363" s="110"/>
      <c r="E363" s="110"/>
      <c r="F363" s="110"/>
      <c r="G363" s="110"/>
      <c r="H363" s="88"/>
      <c r="I363" s="79"/>
      <c r="J363" s="79">
        <f t="shared" ref="J363:L364" si="220">I363</f>
        <v>0</v>
      </c>
      <c r="K363" s="79">
        <f t="shared" si="220"/>
        <v>0</v>
      </c>
      <c r="L363" s="79">
        <f t="shared" si="220"/>
        <v>0</v>
      </c>
      <c r="M363" s="79">
        <f>L363</f>
        <v>0</v>
      </c>
      <c r="N363" s="79">
        <f>M363</f>
        <v>0</v>
      </c>
      <c r="O363" s="79">
        <f t="shared" ref="O363:W364" si="221">N363</f>
        <v>0</v>
      </c>
      <c r="P363" s="79">
        <f t="shared" si="221"/>
        <v>0</v>
      </c>
      <c r="Q363" s="79">
        <f t="shared" si="221"/>
        <v>0</v>
      </c>
      <c r="R363" s="79"/>
      <c r="S363" s="79"/>
      <c r="T363" s="79">
        <f t="shared" si="221"/>
        <v>0</v>
      </c>
      <c r="U363" s="79">
        <f>Q363</f>
        <v>0</v>
      </c>
      <c r="V363" s="79">
        <f t="shared" si="221"/>
        <v>0</v>
      </c>
      <c r="W363" s="79">
        <f t="shared" si="221"/>
        <v>0</v>
      </c>
      <c r="X363" s="79">
        <f>W363</f>
        <v>0</v>
      </c>
      <c r="Y363" s="79">
        <f>X363</f>
        <v>0</v>
      </c>
    </row>
    <row r="364" spans="1:25" ht="15.75" hidden="1" customHeight="1" outlineLevel="1">
      <c r="B364" s="76"/>
      <c r="C364" s="516" t="s">
        <v>210</v>
      </c>
      <c r="D364" s="110"/>
      <c r="E364" s="110"/>
      <c r="F364" s="110"/>
      <c r="G364" s="110"/>
      <c r="H364" s="88"/>
      <c r="I364" s="79"/>
      <c r="J364" s="79">
        <f t="shared" si="220"/>
        <v>0</v>
      </c>
      <c r="K364" s="79">
        <f t="shared" si="220"/>
        <v>0</v>
      </c>
      <c r="L364" s="79">
        <f t="shared" si="220"/>
        <v>0</v>
      </c>
      <c r="M364" s="79">
        <f>L364</f>
        <v>0</v>
      </c>
      <c r="N364" s="79">
        <f>M364</f>
        <v>0</v>
      </c>
      <c r="O364" s="79">
        <f t="shared" si="221"/>
        <v>0</v>
      </c>
      <c r="P364" s="79">
        <f t="shared" si="221"/>
        <v>0</v>
      </c>
      <c r="Q364" s="79">
        <f t="shared" si="221"/>
        <v>0</v>
      </c>
      <c r="R364" s="79"/>
      <c r="S364" s="79"/>
      <c r="T364" s="79">
        <f t="shared" si="221"/>
        <v>0</v>
      </c>
      <c r="U364" s="79">
        <f>Q364</f>
        <v>0</v>
      </c>
      <c r="V364" s="79">
        <f t="shared" si="221"/>
        <v>0</v>
      </c>
      <c r="W364" s="79">
        <f t="shared" si="221"/>
        <v>0</v>
      </c>
      <c r="X364" s="79">
        <f>W364</f>
        <v>0</v>
      </c>
      <c r="Y364" s="79">
        <f>X364</f>
        <v>0</v>
      </c>
    </row>
    <row r="365" spans="1:25" s="157" customFormat="1" ht="15.75" customHeight="1" collapsed="1">
      <c r="A365" s="460"/>
      <c r="B365" s="155"/>
      <c r="C365" s="95" t="s">
        <v>211</v>
      </c>
      <c r="D365" s="163"/>
      <c r="E365" s="163"/>
      <c r="F365" s="163"/>
      <c r="G365" s="163"/>
      <c r="H365" s="1324"/>
      <c r="I365" s="153"/>
      <c r="J365" s="153">
        <f t="shared" ref="J365:U365" si="222">SUM(J361:J364)</f>
        <v>1240029.253013294</v>
      </c>
      <c r="K365" s="153">
        <f t="shared" si="222"/>
        <v>-1078126.7</v>
      </c>
      <c r="L365" s="153">
        <f t="shared" si="222"/>
        <v>-2109921</v>
      </c>
      <c r="M365" s="153">
        <f t="shared" si="222"/>
        <v>-992200.00000000012</v>
      </c>
      <c r="N365" s="153">
        <f t="shared" si="222"/>
        <v>-6365480</v>
      </c>
      <c r="O365" s="153">
        <f t="shared" si="222"/>
        <v>-9553012.5130000003</v>
      </c>
      <c r="P365" s="153">
        <f t="shared" si="222"/>
        <v>-2672660.5500000003</v>
      </c>
      <c r="Q365" s="153">
        <f t="shared" si="222"/>
        <v>-7509348</v>
      </c>
      <c r="R365" s="153"/>
      <c r="S365" s="153"/>
      <c r="T365" s="153">
        <f>SUM(T361:T364)</f>
        <v>-7509348</v>
      </c>
      <c r="U365" s="153">
        <f t="shared" si="222"/>
        <v>-3722898</v>
      </c>
      <c r="V365" s="153">
        <f>SUM(V361:V364)</f>
        <v>-2468897.611596121</v>
      </c>
      <c r="W365" s="153">
        <f>SUM(W361:W364)</f>
        <v>-11289772.611596121</v>
      </c>
      <c r="X365" s="153">
        <f>SUM(X361:X364)</f>
        <v>-9569147.6115961205</v>
      </c>
      <c r="Y365" s="153">
        <f>SUM(Y361:Y364)</f>
        <v>-9569147.6115961205</v>
      </c>
    </row>
    <row r="366" spans="1:25" ht="9.75" customHeight="1">
      <c r="B366" s="76"/>
      <c r="C366" s="110"/>
      <c r="D366" s="110"/>
      <c r="E366" s="110"/>
      <c r="F366" s="110"/>
      <c r="G366" s="110"/>
      <c r="H366" s="88"/>
      <c r="I366" s="108"/>
      <c r="J366" s="108"/>
      <c r="K366" s="108"/>
      <c r="L366" s="108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</row>
    <row r="367" spans="1:25" s="157" customFormat="1" ht="15.75" customHeight="1">
      <c r="A367" s="460"/>
      <c r="B367" s="155"/>
      <c r="C367" s="95" t="s">
        <v>212</v>
      </c>
      <c r="D367" s="163"/>
      <c r="E367" s="163"/>
      <c r="F367" s="163"/>
      <c r="G367" s="163"/>
      <c r="H367" s="1324"/>
      <c r="I367" s="153"/>
      <c r="J367" s="153">
        <f t="shared" ref="J367:U367" si="223">SUM(J365,J358)</f>
        <v>15610542.650574861</v>
      </c>
      <c r="K367" s="153">
        <f t="shared" ca="1" si="223"/>
        <v>17610241.264727294</v>
      </c>
      <c r="L367" s="153">
        <f t="shared" ca="1" si="223"/>
        <v>17294093.146257073</v>
      </c>
      <c r="M367" s="153">
        <f t="shared" ca="1" si="223"/>
        <v>17872295.005807582</v>
      </c>
      <c r="N367" s="153">
        <f t="shared" ca="1" si="223"/>
        <v>28273398.105409175</v>
      </c>
      <c r="O367" s="153">
        <f t="shared" ca="1" si="223"/>
        <v>15803293.950956225</v>
      </c>
      <c r="P367" s="153">
        <f t="shared" ca="1" si="223"/>
        <v>38009995.719372369</v>
      </c>
      <c r="Q367" s="153">
        <f t="shared" ca="1" si="223"/>
        <v>46119162.433135904</v>
      </c>
      <c r="R367" s="153"/>
      <c r="S367" s="153"/>
      <c r="T367" s="153">
        <f ca="1">SUM(T365,T358)</f>
        <v>30170901.289888524</v>
      </c>
      <c r="U367" s="153">
        <f t="shared" ca="1" si="223"/>
        <v>59048507.900962986</v>
      </c>
      <c r="V367" s="153">
        <f ca="1">SUM(V365,V358)</f>
        <v>62427330.933561683</v>
      </c>
      <c r="W367" s="153">
        <f ca="1">SUM(W365,W358)</f>
        <v>42876823.22809802</v>
      </c>
      <c r="X367" s="153">
        <f ca="1">SUM(X365,X358)</f>
        <v>43785857.753630988</v>
      </c>
      <c r="Y367" s="153">
        <f ca="1">SUM(Y365,Y358)</f>
        <v>46635739.581874773</v>
      </c>
    </row>
    <row r="368" spans="1:25" ht="4.5" customHeight="1">
      <c r="B368" s="76"/>
      <c r="C368" s="95"/>
      <c r="D368" s="508"/>
      <c r="E368" s="508"/>
      <c r="F368" s="508"/>
      <c r="G368" s="508"/>
      <c r="H368" s="509"/>
      <c r="I368" s="108"/>
      <c r="J368" s="108"/>
      <c r="K368" s="108"/>
      <c r="L368" s="108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</row>
    <row r="369" spans="1:25" ht="15.75" hidden="1" customHeight="1" outlineLevel="1">
      <c r="B369" s="76"/>
      <c r="C369" s="110" t="s">
        <v>1359</v>
      </c>
      <c r="D369" s="110"/>
      <c r="E369" s="110"/>
      <c r="F369" s="110"/>
      <c r="G369" s="110"/>
      <c r="H369" s="88"/>
      <c r="I369" s="108"/>
      <c r="J369" s="108">
        <f t="shared" ref="J369:U369" si="224">IF(J367&lt;0,J367,0)</f>
        <v>0</v>
      </c>
      <c r="K369" s="108">
        <f t="shared" ca="1" si="224"/>
        <v>0</v>
      </c>
      <c r="L369" s="108">
        <f t="shared" ca="1" si="224"/>
        <v>0</v>
      </c>
      <c r="M369" s="108">
        <f t="shared" ca="1" si="224"/>
        <v>0</v>
      </c>
      <c r="N369" s="108">
        <f t="shared" ca="1" si="224"/>
        <v>0</v>
      </c>
      <c r="O369" s="108">
        <f t="shared" ca="1" si="224"/>
        <v>0</v>
      </c>
      <c r="P369" s="108">
        <f t="shared" ca="1" si="224"/>
        <v>0</v>
      </c>
      <c r="Q369" s="108">
        <f t="shared" ca="1" si="224"/>
        <v>0</v>
      </c>
      <c r="R369" s="108"/>
      <c r="S369" s="108"/>
      <c r="T369" s="108">
        <f ca="1">IF(T367&lt;0,T367,0)</f>
        <v>0</v>
      </c>
      <c r="U369" s="108">
        <f t="shared" ca="1" si="224"/>
        <v>0</v>
      </c>
      <c r="V369" s="108">
        <f ca="1">IF(V367&lt;0,V367,0)</f>
        <v>0</v>
      </c>
      <c r="W369" s="108">
        <f ca="1">IF(W367&lt;0,W367,0)</f>
        <v>0</v>
      </c>
      <c r="X369" s="108">
        <f ca="1">IF(X367&lt;0,X367,0)</f>
        <v>0</v>
      </c>
      <c r="Y369" s="108">
        <f ca="1">IF(Y367&lt;0,Y367,0)</f>
        <v>0</v>
      </c>
    </row>
    <row r="370" spans="1:25" ht="15.75" hidden="1" customHeight="1" outlineLevel="1">
      <c r="B370" s="76"/>
      <c r="C370" s="110"/>
      <c r="D370" s="110"/>
      <c r="E370" s="110"/>
      <c r="F370" s="110"/>
      <c r="G370" s="110"/>
      <c r="H370" s="88"/>
      <c r="I370" s="110"/>
      <c r="J370" s="110"/>
      <c r="K370" s="110"/>
      <c r="L370" s="11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</row>
    <row r="371" spans="1:25" ht="15.75" customHeight="1" collapsed="1">
      <c r="B371" s="76"/>
      <c r="C371" s="523" t="s">
        <v>135</v>
      </c>
      <c r="D371" s="100"/>
      <c r="E371" s="114"/>
      <c r="F371" s="114"/>
      <c r="G371" s="114"/>
      <c r="H371" s="88"/>
      <c r="I371" s="108"/>
      <c r="J371" s="108"/>
      <c r="K371" s="108"/>
      <c r="L371" s="108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</row>
    <row r="372" spans="1:25" ht="15.75" customHeight="1">
      <c r="A372" s="460">
        <v>17</v>
      </c>
      <c r="B372" s="76"/>
      <c r="C372" s="482" t="s">
        <v>214</v>
      </c>
      <c r="D372" s="110"/>
      <c r="E372" s="110"/>
      <c r="F372" s="110"/>
      <c r="G372" s="110"/>
      <c r="H372" s="88"/>
      <c r="I372" s="108"/>
      <c r="J372" s="108">
        <f t="shared" ref="J372:Q372" si="225">J539</f>
        <v>830843</v>
      </c>
      <c r="K372" s="108">
        <f t="shared" si="225"/>
        <v>2612911.3509999998</v>
      </c>
      <c r="L372" s="108">
        <f t="shared" si="225"/>
        <v>3416274</v>
      </c>
      <c r="M372" s="108">
        <f t="shared" si="225"/>
        <v>-834164.10000000009</v>
      </c>
      <c r="N372" s="108">
        <f t="shared" si="225"/>
        <v>2970440</v>
      </c>
      <c r="O372" s="108">
        <f t="shared" si="225"/>
        <v>-2070860</v>
      </c>
      <c r="P372" s="108">
        <f t="shared" si="225"/>
        <v>7618675.0999999996</v>
      </c>
      <c r="Q372" s="108">
        <f t="shared" si="225"/>
        <v>-3885714.2857142859</v>
      </c>
      <c r="R372" s="108"/>
      <c r="S372" s="108"/>
      <c r="T372" s="108">
        <f t="shared" ref="T372:Y372" si="226">T539</f>
        <v>-3885714.2857142859</v>
      </c>
      <c r="U372" s="108">
        <f t="shared" si="226"/>
        <v>-3885714.2857142859</v>
      </c>
      <c r="V372" s="108">
        <f t="shared" si="226"/>
        <v>-3885714.2857142859</v>
      </c>
      <c r="W372" s="108">
        <f t="shared" si="226"/>
        <v>-5019047.6190476194</v>
      </c>
      <c r="X372" s="108">
        <f t="shared" si="226"/>
        <v>0</v>
      </c>
      <c r="Y372" s="108">
        <f t="shared" si="226"/>
        <v>0</v>
      </c>
    </row>
    <row r="373" spans="1:25" ht="15.75" customHeight="1">
      <c r="A373" s="460">
        <v>18</v>
      </c>
      <c r="B373" s="76"/>
      <c r="C373" s="482" t="s">
        <v>215</v>
      </c>
      <c r="D373" s="110"/>
      <c r="E373" s="110"/>
      <c r="F373" s="110"/>
      <c r="G373" s="110"/>
      <c r="H373" s="88"/>
      <c r="I373" s="108"/>
      <c r="J373" s="108">
        <f t="shared" ref="J373:Q373" si="227">J545</f>
        <v>0</v>
      </c>
      <c r="K373" s="108">
        <f t="shared" si="227"/>
        <v>1162500</v>
      </c>
      <c r="L373" s="108">
        <f t="shared" si="227"/>
        <v>-1162500</v>
      </c>
      <c r="M373" s="108">
        <f t="shared" si="227"/>
        <v>0</v>
      </c>
      <c r="N373" s="108">
        <f t="shared" ca="1" si="227"/>
        <v>0</v>
      </c>
      <c r="O373" s="108">
        <f t="shared" ca="1" si="227"/>
        <v>0</v>
      </c>
      <c r="P373" s="108">
        <f t="shared" ca="1" si="227"/>
        <v>0</v>
      </c>
      <c r="Q373" s="108">
        <f t="shared" ca="1" si="227"/>
        <v>0</v>
      </c>
      <c r="R373" s="108"/>
      <c r="S373" s="108"/>
      <c r="T373" s="108">
        <f t="shared" ref="T373:Y373" ca="1" si="228">T545</f>
        <v>0</v>
      </c>
      <c r="U373" s="108">
        <f t="shared" ca="1" si="228"/>
        <v>0</v>
      </c>
      <c r="V373" s="108">
        <f t="shared" ca="1" si="228"/>
        <v>0</v>
      </c>
      <c r="W373" s="108">
        <f t="shared" ca="1" si="228"/>
        <v>0</v>
      </c>
      <c r="X373" s="108">
        <f t="shared" ca="1" si="228"/>
        <v>0</v>
      </c>
      <c r="Y373" s="108">
        <f t="shared" ca="1" si="228"/>
        <v>0</v>
      </c>
    </row>
    <row r="374" spans="1:25" ht="15.75" hidden="1" customHeight="1" outlineLevel="1">
      <c r="B374" s="76"/>
      <c r="C374" s="482" t="s">
        <v>1360</v>
      </c>
      <c r="D374" s="110"/>
      <c r="E374" s="110"/>
      <c r="F374" s="110"/>
      <c r="G374" s="110"/>
      <c r="H374" s="88"/>
      <c r="I374" s="108"/>
      <c r="J374" s="108">
        <f t="shared" ref="J374:L375" si="229">J500</f>
        <v>0</v>
      </c>
      <c r="K374" s="108">
        <f t="shared" si="229"/>
        <v>0</v>
      </c>
      <c r="L374" s="108">
        <f t="shared" si="229"/>
        <v>0</v>
      </c>
      <c r="M374" s="108">
        <f>M500</f>
        <v>0</v>
      </c>
      <c r="N374" s="108">
        <f>N500</f>
        <v>0</v>
      </c>
      <c r="O374" s="108">
        <f t="shared" ref="O374:Q375" si="230">O500</f>
        <v>0</v>
      </c>
      <c r="P374" s="108">
        <f t="shared" si="230"/>
        <v>0</v>
      </c>
      <c r="Q374" s="108">
        <f t="shared" si="230"/>
        <v>0</v>
      </c>
      <c r="R374" s="108"/>
      <c r="S374" s="108"/>
      <c r="T374" s="108">
        <f>T500</f>
        <v>0</v>
      </c>
      <c r="U374" s="108">
        <f t="shared" ref="U374:W375" si="231">U500</f>
        <v>0</v>
      </c>
      <c r="V374" s="108">
        <f t="shared" si="231"/>
        <v>0</v>
      </c>
      <c r="W374" s="108">
        <f t="shared" si="231"/>
        <v>0</v>
      </c>
      <c r="X374" s="108">
        <f>X500</f>
        <v>0</v>
      </c>
      <c r="Y374" s="108">
        <f>Y500</f>
        <v>0</v>
      </c>
    </row>
    <row r="375" spans="1:25" ht="15.75" hidden="1" customHeight="1" outlineLevel="1">
      <c r="B375" s="76"/>
      <c r="C375" s="482" t="s">
        <v>1361</v>
      </c>
      <c r="D375" s="110"/>
      <c r="E375" s="110"/>
      <c r="F375" s="110"/>
      <c r="G375" s="110"/>
      <c r="H375" s="88"/>
      <c r="I375" s="108"/>
      <c r="J375" s="108">
        <v>0</v>
      </c>
      <c r="K375" s="108">
        <f t="shared" si="229"/>
        <v>0</v>
      </c>
      <c r="L375" s="108">
        <f t="shared" si="229"/>
        <v>0</v>
      </c>
      <c r="M375" s="108">
        <f>M501</f>
        <v>0</v>
      </c>
      <c r="N375" s="108">
        <f>N501</f>
        <v>0</v>
      </c>
      <c r="O375" s="108">
        <f t="shared" si="230"/>
        <v>0</v>
      </c>
      <c r="P375" s="108">
        <f t="shared" si="230"/>
        <v>0</v>
      </c>
      <c r="Q375" s="108">
        <f t="shared" si="230"/>
        <v>0</v>
      </c>
      <c r="R375" s="108"/>
      <c r="S375" s="108"/>
      <c r="T375" s="108">
        <f>T501</f>
        <v>0</v>
      </c>
      <c r="U375" s="108">
        <f t="shared" si="231"/>
        <v>0</v>
      </c>
      <c r="V375" s="108">
        <f t="shared" si="231"/>
        <v>0</v>
      </c>
      <c r="W375" s="108">
        <f t="shared" si="231"/>
        <v>0</v>
      </c>
      <c r="X375" s="108">
        <f>X501</f>
        <v>0</v>
      </c>
      <c r="Y375" s="108">
        <f>Y501</f>
        <v>0</v>
      </c>
    </row>
    <row r="376" spans="1:25" ht="15.75" hidden="1" customHeight="1" outlineLevel="1">
      <c r="B376" s="76"/>
      <c r="C376" s="482" t="s">
        <v>1362</v>
      </c>
      <c r="D376" s="110"/>
      <c r="E376" s="110"/>
      <c r="F376" s="110"/>
      <c r="G376" s="110"/>
      <c r="H376" s="88"/>
      <c r="I376" s="108"/>
      <c r="J376" s="108">
        <v>0</v>
      </c>
      <c r="K376" s="108">
        <v>0</v>
      </c>
      <c r="L376" s="108">
        <v>0</v>
      </c>
      <c r="M376" s="108">
        <v>0</v>
      </c>
      <c r="N376" s="108">
        <v>0</v>
      </c>
      <c r="O376" s="108">
        <v>0</v>
      </c>
      <c r="P376" s="108">
        <v>0</v>
      </c>
      <c r="Q376" s="108">
        <v>0</v>
      </c>
      <c r="R376" s="108"/>
      <c r="S376" s="108"/>
      <c r="T376" s="108">
        <v>0</v>
      </c>
      <c r="U376" s="108">
        <v>0</v>
      </c>
      <c r="V376" s="108">
        <v>0</v>
      </c>
      <c r="W376" s="108">
        <v>0</v>
      </c>
      <c r="X376" s="108">
        <v>0</v>
      </c>
      <c r="Y376" s="108">
        <v>0</v>
      </c>
    </row>
    <row r="377" spans="1:25" ht="15.75" hidden="1" customHeight="1" outlineLevel="1">
      <c r="B377" s="76"/>
      <c r="C377" s="482" t="s">
        <v>1363</v>
      </c>
      <c r="D377" s="110"/>
      <c r="E377" s="110"/>
      <c r="F377" s="110"/>
      <c r="G377" s="110"/>
      <c r="H377" s="88"/>
      <c r="I377" s="108"/>
      <c r="J377" s="108">
        <v>0</v>
      </c>
      <c r="K377" s="108">
        <v>0</v>
      </c>
      <c r="L377" s="108">
        <v>0</v>
      </c>
      <c r="M377" s="108">
        <v>0</v>
      </c>
      <c r="N377" s="108">
        <v>0</v>
      </c>
      <c r="O377" s="108">
        <v>0</v>
      </c>
      <c r="P377" s="108">
        <v>0</v>
      </c>
      <c r="Q377" s="108">
        <v>0</v>
      </c>
      <c r="R377" s="108"/>
      <c r="S377" s="108"/>
      <c r="T377" s="108">
        <v>0</v>
      </c>
      <c r="U377" s="108">
        <v>0</v>
      </c>
      <c r="V377" s="108">
        <v>0</v>
      </c>
      <c r="W377" s="108">
        <v>0</v>
      </c>
      <c r="X377" s="108">
        <v>0</v>
      </c>
      <c r="Y377" s="108">
        <v>0</v>
      </c>
    </row>
    <row r="378" spans="1:25" s="157" customFormat="1" ht="15.75" customHeight="1" collapsed="1">
      <c r="A378" s="460"/>
      <c r="B378" s="155"/>
      <c r="C378" s="95" t="s">
        <v>217</v>
      </c>
      <c r="D378" s="163"/>
      <c r="E378" s="526"/>
      <c r="F378" s="526"/>
      <c r="G378" s="526"/>
      <c r="H378" s="1324"/>
      <c r="I378" s="153"/>
      <c r="J378" s="153">
        <f t="shared" ref="J378:U378" si="232">SUM(J372:J377)</f>
        <v>830843</v>
      </c>
      <c r="K378" s="153">
        <f t="shared" si="232"/>
        <v>3775411.3509999998</v>
      </c>
      <c r="L378" s="153">
        <f t="shared" si="232"/>
        <v>2253774</v>
      </c>
      <c r="M378" s="153">
        <f t="shared" si="232"/>
        <v>-834164.10000000009</v>
      </c>
      <c r="N378" s="153">
        <f t="shared" ca="1" si="232"/>
        <v>2970440</v>
      </c>
      <c r="O378" s="153">
        <f t="shared" ca="1" si="232"/>
        <v>-2070860</v>
      </c>
      <c r="P378" s="153">
        <f t="shared" ca="1" si="232"/>
        <v>7618675.0999999996</v>
      </c>
      <c r="Q378" s="153">
        <f t="shared" ca="1" si="232"/>
        <v>-3885714.2857142859</v>
      </c>
      <c r="R378" s="153"/>
      <c r="S378" s="153"/>
      <c r="T378" s="153">
        <f ca="1">SUM(T372:T377)</f>
        <v>-3885714.2857142859</v>
      </c>
      <c r="U378" s="153">
        <f t="shared" ca="1" si="232"/>
        <v>-3885714.2857142859</v>
      </c>
      <c r="V378" s="153">
        <f ca="1">SUM(V372:V377)</f>
        <v>-3885714.2857142859</v>
      </c>
      <c r="W378" s="153">
        <f ca="1">SUM(W372:W377)</f>
        <v>-5019047.6190476194</v>
      </c>
      <c r="X378" s="153">
        <f ca="1">SUM(X372:X377)</f>
        <v>0</v>
      </c>
      <c r="Y378" s="153">
        <f ca="1">SUM(Y372:Y377)</f>
        <v>0</v>
      </c>
    </row>
    <row r="379" spans="1:25" ht="15.75" customHeight="1">
      <c r="B379" s="76"/>
      <c r="C379" s="110"/>
      <c r="D379" s="110"/>
      <c r="E379" s="83"/>
      <c r="F379" s="83"/>
      <c r="G379" s="83"/>
      <c r="H379" s="527"/>
      <c r="I379" s="108"/>
      <c r="J379" s="108"/>
      <c r="K379" s="108"/>
      <c r="L379" s="108"/>
      <c r="M379" s="108"/>
      <c r="N379" s="108"/>
      <c r="O379" s="108"/>
      <c r="P379" s="108"/>
      <c r="Q379" s="108"/>
      <c r="R379" s="108"/>
      <c r="S379" s="108"/>
      <c r="T379" s="108"/>
      <c r="U379" s="108"/>
      <c r="V379" s="108"/>
      <c r="W379" s="108"/>
      <c r="X379" s="108"/>
      <c r="Y379" s="108"/>
    </row>
    <row r="380" spans="1:25" s="157" customFormat="1" ht="15.75" customHeight="1" collapsed="1">
      <c r="A380" s="460"/>
      <c r="B380" s="155"/>
      <c r="C380" s="95" t="s">
        <v>219</v>
      </c>
      <c r="D380" s="163"/>
      <c r="E380" s="526"/>
      <c r="F380" s="526"/>
      <c r="G380" s="526"/>
      <c r="H380" s="1324"/>
      <c r="I380" s="153"/>
      <c r="J380" s="153">
        <f t="shared" ref="J380:U380" si="233">J358+J365+J378</f>
        <v>16441385.650574861</v>
      </c>
      <c r="K380" s="153">
        <f t="shared" ca="1" si="233"/>
        <v>21385652.615727294</v>
      </c>
      <c r="L380" s="153">
        <f t="shared" ca="1" si="233"/>
        <v>19547867.146257073</v>
      </c>
      <c r="M380" s="153">
        <f t="shared" ca="1" si="233"/>
        <v>17038130.905807581</v>
      </c>
      <c r="N380" s="153">
        <f t="shared" ca="1" si="233"/>
        <v>31243838.105409175</v>
      </c>
      <c r="O380" s="153">
        <f t="shared" ca="1" si="233"/>
        <v>13732433.950956225</v>
      </c>
      <c r="P380" s="153">
        <f t="shared" ca="1" si="233"/>
        <v>45628670.819372371</v>
      </c>
      <c r="Q380" s="153">
        <f t="shared" ca="1" si="233"/>
        <v>42233448.147421621</v>
      </c>
      <c r="R380" s="153"/>
      <c r="S380" s="153"/>
      <c r="T380" s="153">
        <f ca="1">T358+T365+T378</f>
        <v>26285187.004174236</v>
      </c>
      <c r="U380" s="153">
        <f t="shared" ca="1" si="233"/>
        <v>55162793.615248702</v>
      </c>
      <c r="V380" s="153">
        <f ca="1">V358+V365+V378</f>
        <v>58541616.647847399</v>
      </c>
      <c r="W380" s="153">
        <f ca="1">W358+W365+W378</f>
        <v>37857775.609050401</v>
      </c>
      <c r="X380" s="153">
        <f ca="1">X358+X365+X378</f>
        <v>43785857.753630988</v>
      </c>
      <c r="Y380" s="153">
        <f ca="1">Y358+Y365+Y378</f>
        <v>46635739.581874773</v>
      </c>
    </row>
    <row r="381" spans="1:25" ht="15.75" hidden="1" customHeight="1" outlineLevel="1">
      <c r="B381" s="111"/>
      <c r="C381" s="242" t="s">
        <v>1818</v>
      </c>
      <c r="D381" s="100"/>
      <c r="E381" s="528"/>
      <c r="F381" s="83"/>
      <c r="G381" s="83"/>
      <c r="H381" s="527"/>
      <c r="I381" s="108"/>
      <c r="J381" s="108"/>
      <c r="K381" s="108"/>
      <c r="L381" s="108"/>
      <c r="M381" s="108"/>
      <c r="N381" s="108"/>
      <c r="O381" s="108"/>
      <c r="P381" s="108"/>
      <c r="Q381" s="108"/>
      <c r="R381" s="108"/>
      <c r="S381" s="108"/>
      <c r="T381" s="108"/>
      <c r="U381" s="108"/>
      <c r="V381" s="108"/>
      <c r="W381" s="108"/>
      <c r="X381" s="108"/>
      <c r="Y381" s="108"/>
    </row>
    <row r="382" spans="1:25" ht="15.75" hidden="1" customHeight="1" outlineLevel="1">
      <c r="B382" s="111"/>
      <c r="C382" s="483" t="s">
        <v>1364</v>
      </c>
      <c r="D382" s="110"/>
      <c r="E382" s="110"/>
      <c r="F382" s="110"/>
      <c r="G382" s="110"/>
      <c r="H382" s="88"/>
      <c r="I382" s="108">
        <v>0</v>
      </c>
      <c r="J382" s="108">
        <v>191511</v>
      </c>
      <c r="K382" s="108">
        <f t="shared" ref="K382:Y382" si="234">J383</f>
        <v>16632896.650574861</v>
      </c>
      <c r="L382" s="108">
        <f t="shared" ca="1" si="234"/>
        <v>38018549.266302153</v>
      </c>
      <c r="M382" s="108">
        <f t="shared" ca="1" si="234"/>
        <v>57566416.412559226</v>
      </c>
      <c r="N382" s="108">
        <f t="shared" ca="1" si="234"/>
        <v>74604547.318366811</v>
      </c>
      <c r="O382" s="108">
        <f t="shared" ca="1" si="234"/>
        <v>105848385.42377599</v>
      </c>
      <c r="P382" s="108">
        <f t="shared" ca="1" si="234"/>
        <v>119580819.37473221</v>
      </c>
      <c r="Q382" s="108">
        <f t="shared" ca="1" si="234"/>
        <v>165209490.19410458</v>
      </c>
      <c r="R382" s="108"/>
      <c r="S382" s="108"/>
      <c r="T382" s="108">
        <f ca="1">P383</f>
        <v>165209490.19410458</v>
      </c>
      <c r="U382" s="108">
        <f ca="1">Q383</f>
        <v>207442938.34152621</v>
      </c>
      <c r="V382" s="108">
        <f t="shared" ca="1" si="234"/>
        <v>262605731.95677492</v>
      </c>
      <c r="W382" s="108">
        <f t="shared" ca="1" si="234"/>
        <v>321147348.6046223</v>
      </c>
      <c r="X382" s="108">
        <f t="shared" ca="1" si="234"/>
        <v>359005124.2136727</v>
      </c>
      <c r="Y382" s="108">
        <f t="shared" ca="1" si="234"/>
        <v>402790981.96730369</v>
      </c>
    </row>
    <row r="383" spans="1:25" ht="15.75" hidden="1" customHeight="1" outlineLevel="1">
      <c r="B383" s="111"/>
      <c r="C383" s="529" t="s">
        <v>1365</v>
      </c>
      <c r="D383" s="472"/>
      <c r="E383" s="472"/>
      <c r="F383" s="472"/>
      <c r="G383" s="472"/>
      <c r="H383" s="498"/>
      <c r="I383" s="120">
        <f>I382+I380</f>
        <v>0</v>
      </c>
      <c r="J383" s="120">
        <f t="shared" ref="J383:Y383" si="235">J382+J380</f>
        <v>16632896.650574861</v>
      </c>
      <c r="K383" s="120">
        <f t="shared" ca="1" si="235"/>
        <v>38018549.266302153</v>
      </c>
      <c r="L383" s="120">
        <f t="shared" ca="1" si="235"/>
        <v>57566416.412559226</v>
      </c>
      <c r="M383" s="120">
        <f t="shared" ca="1" si="235"/>
        <v>74604547.318366811</v>
      </c>
      <c r="N383" s="120">
        <f t="shared" ca="1" si="235"/>
        <v>105848385.42377599</v>
      </c>
      <c r="O383" s="120">
        <f t="shared" ca="1" si="235"/>
        <v>119580819.37473221</v>
      </c>
      <c r="P383" s="120">
        <f t="shared" ca="1" si="235"/>
        <v>165209490.19410458</v>
      </c>
      <c r="Q383" s="120">
        <f t="shared" ca="1" si="235"/>
        <v>207442938.34152621</v>
      </c>
      <c r="R383" s="120"/>
      <c r="S383" s="120"/>
      <c r="T383" s="120">
        <f ca="1">T382+T380</f>
        <v>191494677.19827881</v>
      </c>
      <c r="U383" s="120">
        <f t="shared" ca="1" si="235"/>
        <v>262605731.95677492</v>
      </c>
      <c r="V383" s="120">
        <f t="shared" ca="1" si="235"/>
        <v>321147348.6046223</v>
      </c>
      <c r="W383" s="120">
        <f t="shared" ca="1" si="235"/>
        <v>359005124.2136727</v>
      </c>
      <c r="X383" s="120">
        <f t="shared" ca="1" si="235"/>
        <v>402790981.96730369</v>
      </c>
      <c r="Y383" s="120">
        <f t="shared" ca="1" si="235"/>
        <v>449426721.54917848</v>
      </c>
    </row>
    <row r="384" spans="1:25" ht="15.75" hidden="1" customHeight="1" outlineLevel="1">
      <c r="B384" s="111"/>
      <c r="C384" s="483"/>
      <c r="D384" s="110"/>
      <c r="E384" s="110"/>
      <c r="F384" s="110"/>
      <c r="G384" s="110"/>
      <c r="H384" s="88"/>
      <c r="I384" s="108"/>
      <c r="J384" s="108"/>
      <c r="K384" s="108"/>
      <c r="L384" s="108"/>
      <c r="M384" s="108"/>
      <c r="N384" s="108"/>
      <c r="O384" s="108"/>
      <c r="P384" s="108"/>
      <c r="Q384" s="108"/>
      <c r="R384" s="108"/>
      <c r="S384" s="108"/>
      <c r="T384" s="108"/>
      <c r="U384" s="108"/>
      <c r="V384" s="108"/>
      <c r="W384" s="108"/>
      <c r="X384" s="108"/>
      <c r="Y384" s="108"/>
    </row>
    <row r="385" spans="1:25" ht="15.75" hidden="1" customHeight="1" outlineLevel="1">
      <c r="B385" s="111"/>
      <c r="C385" s="102"/>
      <c r="D385" s="102"/>
      <c r="E385" s="102"/>
      <c r="F385" s="102"/>
      <c r="G385" s="102"/>
      <c r="I385" s="117"/>
      <c r="J385" s="102"/>
      <c r="K385" s="121"/>
      <c r="L385" s="121"/>
      <c r="M385" s="643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</row>
    <row r="386" spans="1:25" ht="15.75" hidden="1" customHeight="1" outlineLevel="1">
      <c r="B386" s="111"/>
      <c r="C386" s="102"/>
      <c r="D386" s="102"/>
      <c r="E386" s="102"/>
      <c r="F386" s="102"/>
      <c r="G386" s="102"/>
      <c r="I386" s="117"/>
      <c r="J386" s="102"/>
      <c r="K386" s="121"/>
      <c r="L386" s="121"/>
      <c r="M386" s="643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</row>
    <row r="387" spans="1:25" ht="15.75" hidden="1" customHeight="1" outlineLevel="1">
      <c r="B387" s="111"/>
      <c r="C387" s="102"/>
      <c r="D387" s="102"/>
      <c r="E387" s="102"/>
      <c r="F387" s="102"/>
      <c r="G387" s="102"/>
      <c r="I387" s="117"/>
      <c r="J387" s="102"/>
      <c r="K387" s="121"/>
      <c r="L387" s="121"/>
      <c r="M387" s="644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</row>
    <row r="388" spans="1:25" s="152" customFormat="1" ht="15.75" customHeight="1" collapsed="1">
      <c r="A388" s="568"/>
      <c r="C388" s="521"/>
      <c r="D388" s="439"/>
      <c r="E388" s="439"/>
      <c r="F388" s="439"/>
      <c r="G388" s="439"/>
      <c r="H388" s="522"/>
      <c r="I388" s="439"/>
      <c r="J388" s="439"/>
      <c r="L388" s="139"/>
      <c r="M388" s="439"/>
      <c r="N388" s="439"/>
      <c r="O388" s="439"/>
      <c r="P388" s="439"/>
      <c r="Q388" s="439"/>
      <c r="R388" s="439"/>
      <c r="S388" s="439"/>
      <c r="T388" s="439"/>
      <c r="U388" s="439"/>
      <c r="V388" s="439"/>
      <c r="W388" s="439"/>
      <c r="X388" s="439"/>
      <c r="Y388" s="439"/>
    </row>
    <row r="389" spans="1:25" ht="15.75" customHeight="1">
      <c r="B389" s="111"/>
      <c r="C389" s="102"/>
      <c r="D389" s="102"/>
      <c r="E389" s="102"/>
      <c r="F389" s="102"/>
      <c r="G389" s="102"/>
      <c r="I389" s="117"/>
      <c r="J389" s="102"/>
      <c r="K389" s="121"/>
      <c r="L389" s="121"/>
      <c r="M389" s="118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</row>
    <row r="390" spans="1:25" ht="27" hidden="1" outlineLevel="1">
      <c r="B390" s="111"/>
      <c r="C390" s="499" t="s">
        <v>445</v>
      </c>
      <c r="I390" s="117"/>
      <c r="J390" s="102"/>
      <c r="K390" s="103"/>
      <c r="L390" s="137"/>
      <c r="M390" s="435"/>
      <c r="N390" s="435"/>
      <c r="O390" s="435"/>
      <c r="P390" s="435"/>
      <c r="Q390" s="435"/>
      <c r="R390" s="435"/>
      <c r="S390" s="435"/>
      <c r="T390" s="435"/>
      <c r="U390" s="435"/>
      <c r="V390" s="435"/>
      <c r="W390" s="435"/>
      <c r="X390" s="435"/>
      <c r="Y390" s="435"/>
    </row>
    <row r="391" spans="1:25" ht="3" hidden="1" customHeight="1" outlineLevel="1">
      <c r="B391" s="111"/>
      <c r="C391" s="104"/>
      <c r="D391" s="104"/>
      <c r="E391" s="104"/>
      <c r="F391" s="104"/>
      <c r="G391" s="104"/>
      <c r="H391" s="465"/>
      <c r="I391" s="104"/>
      <c r="J391" s="104"/>
      <c r="K391" s="104"/>
      <c r="L391" s="104"/>
      <c r="M391" s="104"/>
      <c r="N391" s="420"/>
      <c r="O391" s="420"/>
      <c r="P391" s="420"/>
      <c r="Q391" s="420"/>
      <c r="R391" s="420"/>
      <c r="S391" s="420"/>
      <c r="T391" s="420"/>
      <c r="U391" s="420"/>
      <c r="V391" s="420"/>
      <c r="W391" s="420"/>
      <c r="X391" s="420"/>
      <c r="Y391" s="420"/>
    </row>
    <row r="392" spans="1:25" ht="15.75" hidden="1" customHeight="1" outlineLevel="1">
      <c r="B392" s="111"/>
      <c r="C392" s="1004" t="s">
        <v>1366</v>
      </c>
      <c r="I392" s="117"/>
      <c r="J392" s="102"/>
      <c r="K392" s="103"/>
      <c r="L392" s="137"/>
      <c r="M392" s="435"/>
      <c r="N392" s="435"/>
      <c r="O392" s="435"/>
      <c r="P392" s="435"/>
      <c r="Q392" s="435"/>
      <c r="R392" s="435"/>
      <c r="S392" s="435"/>
      <c r="T392" s="435"/>
      <c r="U392" s="435"/>
      <c r="V392" s="435"/>
      <c r="W392" s="435"/>
      <c r="X392" s="435"/>
      <c r="Y392" s="435"/>
    </row>
    <row r="393" spans="1:25" ht="15.75" hidden="1" customHeight="1" outlineLevel="1">
      <c r="B393" s="76"/>
      <c r="C393" s="480" t="s">
        <v>417</v>
      </c>
      <c r="I393" s="117"/>
      <c r="J393" s="500"/>
      <c r="K393" s="105"/>
      <c r="L393" s="138"/>
      <c r="M393" s="138"/>
      <c r="N393" s="138"/>
      <c r="O393" s="138"/>
      <c r="P393" s="138"/>
      <c r="Q393" s="138"/>
      <c r="R393" s="138"/>
      <c r="S393" s="138"/>
      <c r="T393" s="138"/>
      <c r="U393" s="138"/>
      <c r="V393" s="138"/>
      <c r="W393" s="138"/>
      <c r="X393" s="138"/>
      <c r="Y393" s="138"/>
    </row>
    <row r="394" spans="1:25" ht="15.75" hidden="1" customHeight="1" outlineLevel="1">
      <c r="B394" s="76"/>
      <c r="C394" s="1004" t="s">
        <v>1367</v>
      </c>
      <c r="D394" s="106"/>
      <c r="E394" s="106"/>
      <c r="F394" s="106"/>
      <c r="G394" s="106"/>
      <c r="H394" s="502"/>
      <c r="I394" s="92">
        <v>0</v>
      </c>
      <c r="J394" s="92">
        <v>1</v>
      </c>
      <c r="K394" s="92">
        <v>2</v>
      </c>
      <c r="L394" s="92">
        <v>3</v>
      </c>
      <c r="M394" s="92">
        <v>4</v>
      </c>
      <c r="N394" s="92">
        <v>5</v>
      </c>
      <c r="O394" s="92">
        <f t="shared" ref="O394:Q394" si="236">O7</f>
        <v>6</v>
      </c>
      <c r="P394" s="92">
        <f t="shared" si="236"/>
        <v>7</v>
      </c>
      <c r="Q394" s="92">
        <f t="shared" si="236"/>
        <v>8</v>
      </c>
      <c r="R394" s="92"/>
      <c r="S394" s="92"/>
      <c r="T394" s="92" t="str">
        <f>T7</f>
        <v>Revised</v>
      </c>
      <c r="U394" s="92">
        <f t="shared" ref="U394:W394" si="237">U7</f>
        <v>9</v>
      </c>
      <c r="V394" s="92">
        <f t="shared" si="237"/>
        <v>10</v>
      </c>
      <c r="W394" s="92">
        <f t="shared" si="237"/>
        <v>11</v>
      </c>
      <c r="X394" s="92">
        <f>X7</f>
        <v>12</v>
      </c>
      <c r="Y394" s="92">
        <f>Y7</f>
        <v>13</v>
      </c>
    </row>
    <row r="395" spans="1:25" ht="15.75" hidden="1" customHeight="1" outlineLevel="1">
      <c r="B395" s="76"/>
      <c r="C395" s="504"/>
      <c r="D395" s="469"/>
      <c r="E395" s="469"/>
      <c r="F395" s="469"/>
      <c r="G395" s="469"/>
      <c r="H395" s="470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</row>
    <row r="396" spans="1:25" ht="15.75" hidden="1" customHeight="1" outlineLevel="1">
      <c r="B396" s="110"/>
      <c r="C396" s="505"/>
      <c r="D396" s="472"/>
      <c r="E396" s="506"/>
      <c r="F396" s="506"/>
      <c r="G396" s="506"/>
      <c r="H396" s="473"/>
      <c r="I396" s="94" t="s">
        <v>499</v>
      </c>
      <c r="J396" s="94" t="s">
        <v>499</v>
      </c>
      <c r="K396" s="112" t="s">
        <v>499</v>
      </c>
      <c r="L396" s="112" t="s">
        <v>499</v>
      </c>
      <c r="M396" s="112" t="s">
        <v>499</v>
      </c>
      <c r="N396" s="112" t="s">
        <v>499</v>
      </c>
      <c r="O396" s="112" t="s">
        <v>499</v>
      </c>
      <c r="P396" s="112" t="s">
        <v>499</v>
      </c>
      <c r="Q396" s="112" t="s">
        <v>499</v>
      </c>
      <c r="R396" s="112"/>
      <c r="S396" s="112"/>
      <c r="T396" s="112" t="s">
        <v>499</v>
      </c>
      <c r="U396" s="112" t="s">
        <v>499</v>
      </c>
      <c r="V396" s="112" t="s">
        <v>499</v>
      </c>
      <c r="W396" s="112" t="s">
        <v>499</v>
      </c>
      <c r="X396" s="112" t="s">
        <v>499</v>
      </c>
      <c r="Y396" s="112" t="s">
        <v>499</v>
      </c>
    </row>
    <row r="397" spans="1:25" ht="15.75" hidden="1" customHeight="1" outlineLevel="1">
      <c r="B397" s="76"/>
      <c r="C397" s="110"/>
      <c r="D397" s="110"/>
      <c r="E397" s="110"/>
      <c r="F397" s="110"/>
      <c r="G397" s="110"/>
      <c r="H397" s="88"/>
      <c r="I397" s="107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</row>
    <row r="398" spans="1:25" ht="15.75" hidden="1" customHeight="1" outlineLevel="1">
      <c r="B398" s="76"/>
      <c r="C398" s="110" t="s">
        <v>1368</v>
      </c>
      <c r="D398" s="100"/>
      <c r="E398" s="528"/>
      <c r="F398" s="83"/>
      <c r="G398" s="83"/>
      <c r="H398" s="88"/>
      <c r="I398" s="80">
        <f t="shared" ref="I398:U398" si="238">I222</f>
        <v>0</v>
      </c>
      <c r="J398" s="80">
        <f t="shared" si="238"/>
        <v>43445089</v>
      </c>
      <c r="K398" s="80">
        <f t="shared" si="238"/>
        <v>48275099.56533955</v>
      </c>
      <c r="L398" s="80">
        <f t="shared" si="238"/>
        <v>54247971.495015129</v>
      </c>
      <c r="M398" s="80">
        <f t="shared" si="238"/>
        <v>47704832.224652044</v>
      </c>
      <c r="N398" s="80">
        <f t="shared" si="238"/>
        <v>69573863.987720326</v>
      </c>
      <c r="O398" s="80">
        <f t="shared" si="238"/>
        <v>66704839.6924017</v>
      </c>
      <c r="P398" s="80">
        <f t="shared" si="238"/>
        <v>78876219.976671964</v>
      </c>
      <c r="Q398" s="80">
        <f t="shared" si="238"/>
        <v>106322102.99785639</v>
      </c>
      <c r="R398" s="80"/>
      <c r="S398" s="80"/>
      <c r="T398" s="80">
        <f>T222</f>
        <v>86152464.667020738</v>
      </c>
      <c r="U398" s="80">
        <f t="shared" si="238"/>
        <v>117079521.87381488</v>
      </c>
      <c r="V398" s="80">
        <f>V222</f>
        <v>117079521.87381488</v>
      </c>
      <c r="W398" s="80">
        <f>W222</f>
        <v>117079521.87381488</v>
      </c>
      <c r="X398" s="80">
        <f>X222</f>
        <v>117079521.87381488</v>
      </c>
      <c r="Y398" s="80">
        <f>Y222</f>
        <v>112393921.14645489</v>
      </c>
    </row>
    <row r="399" spans="1:25" ht="15.75" hidden="1" customHeight="1" outlineLevel="1">
      <c r="B399" s="76"/>
      <c r="C399" s="110" t="s">
        <v>1369</v>
      </c>
      <c r="D399" s="100"/>
      <c r="E399" s="100"/>
      <c r="F399" s="100"/>
      <c r="G399" s="100"/>
      <c r="H399" s="88"/>
      <c r="I399" s="80">
        <f t="shared" ref="I399:N399" si="239">-I227</f>
        <v>0</v>
      </c>
      <c r="J399" s="80">
        <f t="shared" si="239"/>
        <v>19743263.647696301</v>
      </c>
      <c r="K399" s="80">
        <f t="shared" si="239"/>
        <v>25542488.993929993</v>
      </c>
      <c r="L399" s="80">
        <f t="shared" si="239"/>
        <v>26173723.814547941</v>
      </c>
      <c r="M399" s="80">
        <f>-M227</f>
        <v>19279698.325321876</v>
      </c>
      <c r="N399" s="80">
        <f t="shared" si="239"/>
        <v>28869384.748600002</v>
      </c>
      <c r="O399" s="80">
        <f t="shared" ref="O399:W399" si="240">-O227</f>
        <v>32573500.099800002</v>
      </c>
      <c r="P399" s="80">
        <f t="shared" si="240"/>
        <v>25194900.822008606</v>
      </c>
      <c r="Q399" s="80">
        <f t="shared" si="240"/>
        <v>37603567.6065</v>
      </c>
      <c r="R399" s="80"/>
      <c r="S399" s="80"/>
      <c r="T399" s="80">
        <f>-T227</f>
        <v>37603567.6065</v>
      </c>
      <c r="U399" s="80">
        <f t="shared" si="240"/>
        <v>41739563.518497132</v>
      </c>
      <c r="V399" s="80">
        <f t="shared" si="240"/>
        <v>41568524.747603625</v>
      </c>
      <c r="W399" s="80">
        <f t="shared" si="240"/>
        <v>50978774.971886255</v>
      </c>
      <c r="X399" s="80">
        <f>-X227</f>
        <v>53129367.234700821</v>
      </c>
      <c r="Y399" s="80">
        <f>-Y227</f>
        <v>47558159.552635089</v>
      </c>
    </row>
    <row r="400" spans="1:25" ht="15.75" hidden="1" customHeight="1" outlineLevel="1">
      <c r="B400" s="76"/>
      <c r="C400" s="387"/>
      <c r="D400" s="100"/>
      <c r="E400" s="100"/>
      <c r="F400" s="100"/>
      <c r="G400" s="100"/>
      <c r="H400" s="88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</row>
    <row r="401" spans="2:25" ht="15.75" hidden="1" customHeight="1" outlineLevel="1">
      <c r="B401" s="76"/>
      <c r="C401" s="163" t="s">
        <v>1370</v>
      </c>
      <c r="D401" s="530"/>
      <c r="E401" s="530"/>
      <c r="F401" s="530"/>
      <c r="G401" s="530"/>
      <c r="H401" s="1324"/>
      <c r="I401" s="530"/>
      <c r="J401" s="530"/>
      <c r="K401" s="122"/>
      <c r="L401" s="122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</row>
    <row r="402" spans="2:25" ht="15.75" hidden="1" customHeight="1" outlineLevel="1">
      <c r="B402" s="76"/>
      <c r="C402" s="482" t="s">
        <v>1371</v>
      </c>
      <c r="D402" s="530"/>
      <c r="E402" s="531"/>
      <c r="F402" s="532"/>
      <c r="G402" s="532"/>
      <c r="H402" s="88"/>
      <c r="I402" s="123"/>
      <c r="J402" s="123">
        <v>0.05</v>
      </c>
      <c r="K402" s="123">
        <f>J402</f>
        <v>0.05</v>
      </c>
      <c r="L402" s="123">
        <f>K402</f>
        <v>0.05</v>
      </c>
      <c r="M402" s="123">
        <v>0.13400000000000001</v>
      </c>
      <c r="N402" s="123">
        <v>6.5479999999999997E-2</v>
      </c>
      <c r="O402" s="123">
        <v>0.14499999999999999</v>
      </c>
      <c r="P402" s="123">
        <v>0.14499999999999999</v>
      </c>
      <c r="Q402" s="123">
        <f>P402</f>
        <v>0.14499999999999999</v>
      </c>
      <c r="R402" s="123"/>
      <c r="S402" s="123"/>
      <c r="T402" s="123">
        <f>Q402</f>
        <v>0.14499999999999999</v>
      </c>
      <c r="U402" s="123">
        <f>Q402</f>
        <v>0.14499999999999999</v>
      </c>
      <c r="V402" s="123">
        <f t="shared" ref="V402:W404" si="241">U402</f>
        <v>0.14499999999999999</v>
      </c>
      <c r="W402" s="123">
        <f t="shared" si="241"/>
        <v>0.14499999999999999</v>
      </c>
      <c r="X402" s="123">
        <f t="shared" ref="X402:Y404" si="242">W402</f>
        <v>0.14499999999999999</v>
      </c>
      <c r="Y402" s="123">
        <f t="shared" si="242"/>
        <v>0.14499999999999999</v>
      </c>
    </row>
    <row r="403" spans="2:25" ht="15.75" hidden="1" customHeight="1" outlineLevel="1">
      <c r="B403" s="76"/>
      <c r="C403" s="482" t="s">
        <v>1372</v>
      </c>
      <c r="D403" s="100"/>
      <c r="E403" s="528"/>
      <c r="F403" s="83"/>
      <c r="G403" s="83"/>
      <c r="H403" s="88"/>
      <c r="I403" s="569"/>
      <c r="J403" s="83">
        <v>6.4525650289306991E-6</v>
      </c>
      <c r="K403" s="83">
        <f>J403</f>
        <v>6.4525650289306991E-6</v>
      </c>
      <c r="L403" s="83">
        <v>5.5000000000000003E-4</v>
      </c>
      <c r="M403" s="83">
        <f t="shared" ref="M403:M408" si="243">L403</f>
        <v>5.5000000000000003E-4</v>
      </c>
      <c r="N403" s="83">
        <f>M403</f>
        <v>5.5000000000000003E-4</v>
      </c>
      <c r="O403" s="83">
        <f>N403</f>
        <v>5.5000000000000003E-4</v>
      </c>
      <c r="P403" s="83">
        <f>O403</f>
        <v>5.5000000000000003E-4</v>
      </c>
      <c r="Q403" s="83">
        <f>P403</f>
        <v>5.5000000000000003E-4</v>
      </c>
      <c r="R403" s="83"/>
      <c r="S403" s="83"/>
      <c r="T403" s="83">
        <f t="shared" ref="T403:T409" si="244">Q403</f>
        <v>5.5000000000000003E-4</v>
      </c>
      <c r="U403" s="83">
        <f>Q403</f>
        <v>5.5000000000000003E-4</v>
      </c>
      <c r="V403" s="83">
        <f t="shared" si="241"/>
        <v>5.5000000000000003E-4</v>
      </c>
      <c r="W403" s="83">
        <f t="shared" si="241"/>
        <v>5.5000000000000003E-4</v>
      </c>
      <c r="X403" s="83">
        <f t="shared" si="242"/>
        <v>5.5000000000000003E-4</v>
      </c>
      <c r="Y403" s="83">
        <f t="shared" si="242"/>
        <v>5.5000000000000003E-4</v>
      </c>
    </row>
    <row r="404" spans="2:25" ht="15.75" hidden="1" customHeight="1" outlineLevel="1">
      <c r="B404" s="76"/>
      <c r="C404" s="482" t="s">
        <v>1373</v>
      </c>
      <c r="D404" s="110"/>
      <c r="E404" s="110"/>
      <c r="F404" s="110"/>
      <c r="G404" s="110"/>
      <c r="H404" s="88"/>
      <c r="I404" s="569"/>
      <c r="J404" s="83">
        <f>J414/(J143+J145+J146+J147+J148+J149+J155+J156+J158)</f>
        <v>0.29472500168050469</v>
      </c>
      <c r="K404" s="83">
        <f>J404</f>
        <v>0.29472500168050469</v>
      </c>
      <c r="L404" s="83">
        <v>0.13500000000000001</v>
      </c>
      <c r="M404" s="441">
        <v>0.23</v>
      </c>
      <c r="N404" s="441">
        <f>M404</f>
        <v>0.23</v>
      </c>
      <c r="O404" s="441">
        <f>N404</f>
        <v>0.23</v>
      </c>
      <c r="P404" s="441">
        <v>0.23</v>
      </c>
      <c r="Q404" s="441">
        <f>P404</f>
        <v>0.23</v>
      </c>
      <c r="R404" s="441"/>
      <c r="S404" s="441"/>
      <c r="T404" s="441">
        <f t="shared" si="244"/>
        <v>0.23</v>
      </c>
      <c r="U404" s="441">
        <f>Q404</f>
        <v>0.23</v>
      </c>
      <c r="V404" s="441">
        <f t="shared" si="241"/>
        <v>0.23</v>
      </c>
      <c r="W404" s="441">
        <f t="shared" si="241"/>
        <v>0.23</v>
      </c>
      <c r="X404" s="441">
        <f t="shared" si="242"/>
        <v>0.23</v>
      </c>
      <c r="Y404" s="441">
        <f t="shared" si="242"/>
        <v>0.23</v>
      </c>
    </row>
    <row r="405" spans="2:25" ht="15.75" hidden="1" customHeight="1" outlineLevel="1">
      <c r="B405" s="76"/>
      <c r="C405" s="482" t="s">
        <v>1374</v>
      </c>
      <c r="D405" s="110"/>
      <c r="E405" s="110"/>
      <c r="F405" s="110"/>
      <c r="G405" s="110"/>
      <c r="H405" s="88"/>
      <c r="I405" s="84"/>
      <c r="J405" s="84">
        <f>J416/J398</f>
        <v>4.5244024786774403E-2</v>
      </c>
      <c r="K405" s="84">
        <f>K416/K398</f>
        <v>5.2078587739096446E-2</v>
      </c>
      <c r="L405" s="84">
        <v>6.8000000000000005E-2</v>
      </c>
      <c r="M405" s="84">
        <v>0.114</v>
      </c>
      <c r="N405" s="84">
        <v>6.8000000000000005E-2</v>
      </c>
      <c r="O405" s="84">
        <v>0.09</v>
      </c>
      <c r="P405" s="84">
        <v>0.09</v>
      </c>
      <c r="Q405" s="84">
        <v>7.4999999999999997E-2</v>
      </c>
      <c r="R405" s="84"/>
      <c r="S405" s="84"/>
      <c r="T405" s="84">
        <f t="shared" si="244"/>
        <v>7.4999999999999997E-2</v>
      </c>
      <c r="U405" s="84">
        <v>7.4999999999999997E-2</v>
      </c>
      <c r="V405" s="84">
        <v>7.4999999999999997E-2</v>
      </c>
      <c r="W405" s="84">
        <v>7.4999999999999997E-2</v>
      </c>
      <c r="X405" s="84">
        <v>7.4999999999999997E-2</v>
      </c>
      <c r="Y405" s="84">
        <v>7.4999999999999997E-2</v>
      </c>
    </row>
    <row r="406" spans="2:25" ht="15.75" hidden="1" customHeight="1" outlineLevel="1">
      <c r="B406" s="76"/>
      <c r="C406" s="482" t="s">
        <v>1375</v>
      </c>
      <c r="D406" s="110"/>
      <c r="E406" s="110"/>
      <c r="F406" s="110"/>
      <c r="G406" s="110"/>
      <c r="H406" s="88"/>
      <c r="I406" s="453"/>
      <c r="J406" s="78">
        <v>360</v>
      </c>
      <c r="K406" s="78">
        <f t="shared" ref="K406:L408" si="245">J406</f>
        <v>360</v>
      </c>
      <c r="L406" s="78">
        <f t="shared" si="245"/>
        <v>360</v>
      </c>
      <c r="M406" s="78">
        <f t="shared" si="243"/>
        <v>360</v>
      </c>
      <c r="N406" s="78">
        <f>M406</f>
        <v>360</v>
      </c>
      <c r="O406" s="78">
        <f t="shared" ref="O406:W408" si="246">N406</f>
        <v>360</v>
      </c>
      <c r="P406" s="78">
        <f t="shared" si="246"/>
        <v>360</v>
      </c>
      <c r="Q406" s="78">
        <f t="shared" si="246"/>
        <v>360</v>
      </c>
      <c r="R406" s="78"/>
      <c r="S406" s="78"/>
      <c r="T406" s="78">
        <f t="shared" si="244"/>
        <v>360</v>
      </c>
      <c r="U406" s="78">
        <f>Q406</f>
        <v>360</v>
      </c>
      <c r="V406" s="78">
        <f t="shared" si="246"/>
        <v>360</v>
      </c>
      <c r="W406" s="78">
        <f t="shared" si="246"/>
        <v>360</v>
      </c>
      <c r="X406" s="78">
        <f t="shared" ref="X406:Y408" si="247">W406</f>
        <v>360</v>
      </c>
      <c r="Y406" s="78">
        <f t="shared" si="247"/>
        <v>360</v>
      </c>
    </row>
    <row r="407" spans="2:25" ht="15.75" hidden="1" customHeight="1" outlineLevel="1">
      <c r="B407" s="76"/>
      <c r="C407" s="482" t="s">
        <v>1376</v>
      </c>
      <c r="D407" s="100"/>
      <c r="E407" s="528"/>
      <c r="F407" s="83"/>
      <c r="G407" s="83"/>
      <c r="H407" s="88"/>
      <c r="I407" s="570"/>
      <c r="J407" s="78">
        <v>25.373155009299431</v>
      </c>
      <c r="K407" s="78">
        <f t="shared" si="245"/>
        <v>25.373155009299431</v>
      </c>
      <c r="L407" s="78">
        <f>K407</f>
        <v>25.373155009299431</v>
      </c>
      <c r="M407" s="78">
        <v>48</v>
      </c>
      <c r="N407" s="78">
        <f>M407</f>
        <v>48</v>
      </c>
      <c r="O407" s="78">
        <f>N407</f>
        <v>48</v>
      </c>
      <c r="P407" s="78">
        <f t="shared" si="246"/>
        <v>48</v>
      </c>
      <c r="Q407" s="78">
        <f t="shared" si="246"/>
        <v>48</v>
      </c>
      <c r="R407" s="78"/>
      <c r="S407" s="78"/>
      <c r="T407" s="78">
        <f t="shared" si="244"/>
        <v>48</v>
      </c>
      <c r="U407" s="78">
        <f>Q407</f>
        <v>48</v>
      </c>
      <c r="V407" s="78">
        <f t="shared" si="246"/>
        <v>48</v>
      </c>
      <c r="W407" s="78">
        <f t="shared" si="246"/>
        <v>48</v>
      </c>
      <c r="X407" s="78">
        <f t="shared" si="247"/>
        <v>48</v>
      </c>
      <c r="Y407" s="78">
        <f t="shared" si="247"/>
        <v>48</v>
      </c>
    </row>
    <row r="408" spans="2:25" ht="15.75" hidden="1" customHeight="1" outlineLevel="1">
      <c r="B408" s="100"/>
      <c r="C408" s="482" t="s">
        <v>1377</v>
      </c>
      <c r="D408" s="110"/>
      <c r="E408" s="110"/>
      <c r="F408" s="110"/>
      <c r="G408" s="110"/>
      <c r="H408" s="88"/>
      <c r="I408" s="570"/>
      <c r="J408" s="78">
        <v>18.748291586074721</v>
      </c>
      <c r="K408" s="78">
        <f t="shared" si="245"/>
        <v>18.748291586074721</v>
      </c>
      <c r="L408" s="78">
        <f t="shared" si="245"/>
        <v>18.748291586074721</v>
      </c>
      <c r="M408" s="78">
        <f t="shared" si="243"/>
        <v>18.748291586074721</v>
      </c>
      <c r="N408" s="78">
        <f>M408</f>
        <v>18.748291586074721</v>
      </c>
      <c r="O408" s="78">
        <f t="shared" si="246"/>
        <v>18.748291586074721</v>
      </c>
      <c r="P408" s="78">
        <f t="shared" si="246"/>
        <v>18.748291586074721</v>
      </c>
      <c r="Q408" s="78">
        <f t="shared" si="246"/>
        <v>18.748291586074721</v>
      </c>
      <c r="R408" s="78"/>
      <c r="S408" s="78"/>
      <c r="T408" s="78">
        <f t="shared" si="244"/>
        <v>18.748291586074721</v>
      </c>
      <c r="U408" s="78">
        <f>Q408</f>
        <v>18.748291586074721</v>
      </c>
      <c r="V408" s="78">
        <f t="shared" si="246"/>
        <v>18.748291586074721</v>
      </c>
      <c r="W408" s="78">
        <f t="shared" si="246"/>
        <v>18.748291586074721</v>
      </c>
      <c r="X408" s="78">
        <f t="shared" si="247"/>
        <v>18.748291586074721</v>
      </c>
      <c r="Y408" s="78">
        <f t="shared" si="247"/>
        <v>18.748291586074721</v>
      </c>
    </row>
    <row r="409" spans="2:25" ht="15.75" hidden="1" customHeight="1" outlineLevel="1">
      <c r="B409" s="100"/>
      <c r="C409" s="482" t="s">
        <v>1378</v>
      </c>
      <c r="D409" s="110"/>
      <c r="E409" s="110"/>
      <c r="F409" s="110"/>
      <c r="G409" s="110"/>
      <c r="H409" s="88"/>
      <c r="I409" s="154"/>
      <c r="J409" s="154">
        <f t="shared" ref="J409:U409" si="248">J404*J406</f>
        <v>106.10100060498169</v>
      </c>
      <c r="K409" s="154">
        <f t="shared" si="248"/>
        <v>106.10100060498169</v>
      </c>
      <c r="L409" s="154">
        <f t="shared" si="248"/>
        <v>48.6</v>
      </c>
      <c r="M409" s="154">
        <f t="shared" si="248"/>
        <v>82.8</v>
      </c>
      <c r="N409" s="154">
        <f t="shared" si="248"/>
        <v>82.8</v>
      </c>
      <c r="O409" s="154">
        <f t="shared" si="248"/>
        <v>82.8</v>
      </c>
      <c r="P409" s="154">
        <f t="shared" si="248"/>
        <v>82.8</v>
      </c>
      <c r="Q409" s="154">
        <f t="shared" si="248"/>
        <v>82.8</v>
      </c>
      <c r="R409" s="154"/>
      <c r="S409" s="154"/>
      <c r="T409" s="154">
        <f t="shared" si="244"/>
        <v>82.8</v>
      </c>
      <c r="U409" s="154">
        <f t="shared" si="248"/>
        <v>82.8</v>
      </c>
      <c r="V409" s="154">
        <f>V404*V406</f>
        <v>82.8</v>
      </c>
      <c r="W409" s="154">
        <f>W404*W406</f>
        <v>82.8</v>
      </c>
      <c r="X409" s="154">
        <f>X404*X406</f>
        <v>82.8</v>
      </c>
      <c r="Y409" s="154">
        <f>Y404*Y406</f>
        <v>82.8</v>
      </c>
    </row>
    <row r="410" spans="2:25" ht="15.75" hidden="1" customHeight="1" outlineLevel="1">
      <c r="B410" s="100"/>
      <c r="C410" s="164"/>
      <c r="D410" s="111"/>
      <c r="E410" s="111"/>
      <c r="F410" s="111"/>
      <c r="G410" s="111"/>
      <c r="I410" s="110"/>
      <c r="J410" s="110"/>
      <c r="K410" s="110"/>
      <c r="L410" s="11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</row>
    <row r="411" spans="2:25" ht="15.75" hidden="1" customHeight="1" outlineLevel="1">
      <c r="B411" s="100"/>
      <c r="C411" s="163" t="s">
        <v>1379</v>
      </c>
      <c r="D411" s="100"/>
      <c r="E411" s="528"/>
      <c r="F411" s="83"/>
      <c r="G411" s="83"/>
      <c r="H411" s="527"/>
      <c r="I411" s="110"/>
      <c r="J411" s="110"/>
      <c r="K411" s="78"/>
      <c r="L411" s="78"/>
      <c r="M411" s="87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</row>
    <row r="412" spans="2:25" ht="15.75" hidden="1" customHeight="1" outlineLevel="1">
      <c r="B412" s="100"/>
      <c r="C412" s="478" t="s">
        <v>1380</v>
      </c>
      <c r="D412" s="110"/>
      <c r="E412" s="83"/>
      <c r="F412" s="83"/>
      <c r="G412" s="83"/>
      <c r="H412" s="88"/>
      <c r="I412" s="78">
        <f>I301</f>
        <v>2271834.5356341922</v>
      </c>
      <c r="J412" s="78">
        <f>J398/(J406/J407)</f>
        <v>3062052.715527249</v>
      </c>
      <c r="K412" s="78">
        <f>K398/(K406/K407)</f>
        <v>3402476.6232242333</v>
      </c>
      <c r="L412" s="78">
        <f>L398/(L406/L407)</f>
        <v>3823450.5268974332</v>
      </c>
      <c r="M412" s="78">
        <f>M398/(M406/M407)</f>
        <v>6360644.296620273</v>
      </c>
      <c r="N412" s="78">
        <f t="shared" ref="N412:V412" si="249">N402*N398</f>
        <v>4555696.6139159268</v>
      </c>
      <c r="O412" s="78">
        <f>O402*O398</f>
        <v>9672201.7553982455</v>
      </c>
      <c r="P412" s="78">
        <f>P402*P398</f>
        <v>11437051.896617433</v>
      </c>
      <c r="Q412" s="78">
        <f t="shared" si="249"/>
        <v>15416704.934689175</v>
      </c>
      <c r="R412" s="78"/>
      <c r="S412" s="78"/>
      <c r="T412" s="78">
        <f>T402*T398</f>
        <v>12492107.376718007</v>
      </c>
      <c r="U412" s="78">
        <f t="shared" si="249"/>
        <v>16976530.671703156</v>
      </c>
      <c r="V412" s="78">
        <f t="shared" si="249"/>
        <v>16976530.671703156</v>
      </c>
      <c r="W412" s="78">
        <f>W402*W398</f>
        <v>16976530.671703156</v>
      </c>
      <c r="X412" s="78">
        <f>X402*X398</f>
        <v>16976530.671703156</v>
      </c>
      <c r="Y412" s="78">
        <f>Y402*Y398</f>
        <v>16297118.566235958</v>
      </c>
    </row>
    <row r="413" spans="2:25" ht="15.75" hidden="1" customHeight="1" outlineLevel="1">
      <c r="B413" s="100"/>
      <c r="C413" s="478" t="s">
        <v>1337</v>
      </c>
      <c r="D413" s="100"/>
      <c r="E413" s="100"/>
      <c r="F413" s="100"/>
      <c r="G413" s="100"/>
      <c r="H413" s="88"/>
      <c r="I413" s="80">
        <f>I302</f>
        <v>207.98744284973264</v>
      </c>
      <c r="J413" s="80">
        <f>485164.307119975+991186.253487651</f>
        <v>1476350.5606076261</v>
      </c>
      <c r="K413" s="80">
        <f t="shared" ref="K413:U413" si="250">K403*K398</f>
        <v>311.49821922345757</v>
      </c>
      <c r="L413" s="80">
        <f t="shared" si="250"/>
        <v>29836.384322258324</v>
      </c>
      <c r="M413" s="80">
        <f t="shared" si="250"/>
        <v>26237.657723558626</v>
      </c>
      <c r="N413" s="80">
        <f t="shared" si="250"/>
        <v>38265.625193246182</v>
      </c>
      <c r="O413" s="80">
        <f t="shared" si="250"/>
        <v>36687.661830820936</v>
      </c>
      <c r="P413" s="80">
        <f t="shared" si="250"/>
        <v>43381.920987169586</v>
      </c>
      <c r="Q413" s="80">
        <f t="shared" si="250"/>
        <v>58477.156648821023</v>
      </c>
      <c r="R413" s="80"/>
      <c r="S413" s="80"/>
      <c r="T413" s="80">
        <f>T403*T398</f>
        <v>47383.855566861406</v>
      </c>
      <c r="U413" s="80">
        <f t="shared" si="250"/>
        <v>64393.737030598189</v>
      </c>
      <c r="V413" s="80">
        <f>V403*V398</f>
        <v>64393.737030598189</v>
      </c>
      <c r="W413" s="80">
        <f>W403*W398</f>
        <v>64393.737030598189</v>
      </c>
      <c r="X413" s="80">
        <f>X403*X398</f>
        <v>64393.737030598189</v>
      </c>
      <c r="Y413" s="80">
        <f>Y403*Y398</f>
        <v>61816.656630550191</v>
      </c>
    </row>
    <row r="414" spans="2:25" ht="15.75" hidden="1" customHeight="1" outlineLevel="1">
      <c r="B414" s="76"/>
      <c r="C414" s="478" t="s">
        <v>1338</v>
      </c>
      <c r="D414" s="100"/>
      <c r="E414" s="508"/>
      <c r="F414" s="508"/>
      <c r="G414" s="508"/>
      <c r="H414" s="88"/>
      <c r="I414" s="80">
        <f>I303</f>
        <v>1811291.0030872233</v>
      </c>
      <c r="J414" s="80">
        <v>2355399.0891202511</v>
      </c>
      <c r="K414" s="80">
        <f t="shared" ref="K414:Y414" si="251">K404*(K143+K145+K146+K147+K148+K149+K155+K156+K158)</f>
        <v>3210721.6297112675</v>
      </c>
      <c r="L414" s="80">
        <f t="shared" si="251"/>
        <v>1411487.7569100002</v>
      </c>
      <c r="M414" s="80">
        <f t="shared" si="251"/>
        <v>1949559.3925500002</v>
      </c>
      <c r="N414" s="80">
        <f t="shared" si="251"/>
        <v>2811444.9215600002</v>
      </c>
      <c r="O414" s="80">
        <f t="shared" si="251"/>
        <v>3031669.8169560004</v>
      </c>
      <c r="P414" s="80">
        <f>P404*(P143+P145+P146+P147+P148+P149+P155+P156+P158)</f>
        <v>3135283.8876870004</v>
      </c>
      <c r="Q414" s="80">
        <f t="shared" si="251"/>
        <v>3407418.869316</v>
      </c>
      <c r="R414" s="80"/>
      <c r="S414" s="80"/>
      <c r="T414" s="80">
        <f>T404*(T143+T145+T146+T147+T148+T149+T155+T156+T158)</f>
        <v>3407418.869316</v>
      </c>
      <c r="U414" s="80">
        <f t="shared" si="251"/>
        <v>3703813.6603295081</v>
      </c>
      <c r="V414" s="80">
        <f t="shared" si="251"/>
        <v>3603324.4744103886</v>
      </c>
      <c r="W414" s="80">
        <f t="shared" si="251"/>
        <v>5614349.6819386445</v>
      </c>
      <c r="X414" s="80">
        <f t="shared" si="251"/>
        <v>6123958.4765338954</v>
      </c>
      <c r="Y414" s="80">
        <f t="shared" si="251"/>
        <v>5144197.1066910801</v>
      </c>
    </row>
    <row r="415" spans="2:25" ht="15.75" hidden="1" customHeight="1" outlineLevel="1">
      <c r="B415" s="110"/>
      <c r="C415" s="482" t="s">
        <v>1381</v>
      </c>
      <c r="D415" s="100"/>
      <c r="E415" s="100"/>
      <c r="F415" s="100"/>
      <c r="G415" s="100"/>
      <c r="H415" s="88"/>
      <c r="I415" s="78">
        <f t="shared" ref="I415:U415" si="252">SUM(I412:I414)</f>
        <v>4083333.5261642653</v>
      </c>
      <c r="J415" s="78">
        <f t="shared" si="252"/>
        <v>6893802.3652551258</v>
      </c>
      <c r="K415" s="78">
        <f t="shared" si="252"/>
        <v>6613509.7511547245</v>
      </c>
      <c r="L415" s="78">
        <f t="shared" si="252"/>
        <v>5264774.6681296919</v>
      </c>
      <c r="M415" s="78">
        <f t="shared" si="252"/>
        <v>8336441.3468938321</v>
      </c>
      <c r="N415" s="78">
        <f t="shared" si="252"/>
        <v>7405407.160669174</v>
      </c>
      <c r="O415" s="78">
        <f t="shared" si="252"/>
        <v>12740559.234185066</v>
      </c>
      <c r="P415" s="78">
        <f t="shared" si="252"/>
        <v>14615717.705291603</v>
      </c>
      <c r="Q415" s="78">
        <f t="shared" si="252"/>
        <v>18882600.960653994</v>
      </c>
      <c r="R415" s="78"/>
      <c r="S415" s="78"/>
      <c r="T415" s="78">
        <f>SUM(T412:T414)</f>
        <v>15946910.101600869</v>
      </c>
      <c r="U415" s="78">
        <f t="shared" si="252"/>
        <v>20744738.069063265</v>
      </c>
      <c r="V415" s="78">
        <f>SUM(V412:V414)</f>
        <v>20644248.883144144</v>
      </c>
      <c r="W415" s="78">
        <f>SUM(W412:W414)</f>
        <v>22655274.0906724</v>
      </c>
      <c r="X415" s="78">
        <f>SUM(X412:X414)</f>
        <v>23164882.885267653</v>
      </c>
      <c r="Y415" s="78">
        <f>SUM(Y412:Y414)</f>
        <v>21503132.329557586</v>
      </c>
    </row>
    <row r="416" spans="2:25" ht="15.75" hidden="1" customHeight="1" outlineLevel="1">
      <c r="B416" s="110"/>
      <c r="C416" s="478" t="s">
        <v>1382</v>
      </c>
      <c r="D416" s="110"/>
      <c r="E416" s="110"/>
      <c r="F416" s="110"/>
      <c r="G416" s="110"/>
      <c r="H416" s="88"/>
      <c r="I416" s="78">
        <f>I317</f>
        <v>1678664.5686661305</v>
      </c>
      <c r="J416" s="78">
        <v>1965630.68357962</v>
      </c>
      <c r="K416" s="78">
        <f>IF(K408=0,0,K398/(K406/K408))</f>
        <v>2514099.0083271526</v>
      </c>
      <c r="L416" s="78">
        <f>IF(L408=0,0,L398/(L406/L408))</f>
        <v>2825157.7431711485</v>
      </c>
      <c r="M416" s="78">
        <f t="shared" ref="M416:U416" si="253">M405*(-M228-M229-M230-M231)</f>
        <v>1963783.7476866937</v>
      </c>
      <c r="N416" s="78">
        <f t="shared" si="253"/>
        <v>1680284.4029048004</v>
      </c>
      <c r="O416" s="78">
        <f>3084551+O405*(-O228-O229-O230-O231)</f>
        <v>5515820.0089819999</v>
      </c>
      <c r="P416" s="78">
        <f t="shared" si="253"/>
        <v>2414316.9416666427</v>
      </c>
      <c r="Q416" s="78">
        <f t="shared" si="253"/>
        <v>2376456.1954874997</v>
      </c>
      <c r="R416" s="78"/>
      <c r="S416" s="78"/>
      <c r="T416" s="78">
        <f>T405*(-T228-T229-T230-T231)</f>
        <v>2376456.1954874997</v>
      </c>
      <c r="U416" s="78">
        <f t="shared" si="253"/>
        <v>2686655.8888872848</v>
      </c>
      <c r="V416" s="78">
        <f>V405*(-V228-V229-V230-V231)</f>
        <v>2673827.9810702717</v>
      </c>
      <c r="W416" s="78">
        <f>W405*(-W228-W229-W230-W231)</f>
        <v>3379596.7478914689</v>
      </c>
      <c r="X416" s="78">
        <f>X405*(-X228-X229-X230-X231)</f>
        <v>3540891.1676025614</v>
      </c>
      <c r="Y416" s="78">
        <f>Y405*(-Y228-Y229-Y230-Y231)</f>
        <v>3123050.5914476314</v>
      </c>
    </row>
    <row r="417" spans="2:25" ht="15.75" hidden="1" customHeight="1" outlineLevel="1">
      <c r="B417" s="110"/>
      <c r="C417" s="482" t="s">
        <v>1383</v>
      </c>
      <c r="D417" s="110"/>
      <c r="E417" s="110"/>
      <c r="F417" s="110"/>
      <c r="G417" s="110"/>
      <c r="H417" s="88"/>
      <c r="I417" s="80">
        <f t="shared" ref="I417:U417" si="254">SUM(I416)</f>
        <v>1678664.5686661305</v>
      </c>
      <c r="J417" s="80">
        <f t="shared" si="254"/>
        <v>1965630.68357962</v>
      </c>
      <c r="K417" s="80">
        <f t="shared" si="254"/>
        <v>2514099.0083271526</v>
      </c>
      <c r="L417" s="80">
        <f t="shared" si="254"/>
        <v>2825157.7431711485</v>
      </c>
      <c r="M417" s="80">
        <f t="shared" si="254"/>
        <v>1963783.7476866937</v>
      </c>
      <c r="N417" s="80">
        <f t="shared" si="254"/>
        <v>1680284.4029048004</v>
      </c>
      <c r="O417" s="80">
        <f>SUM(O416)</f>
        <v>5515820.0089819999</v>
      </c>
      <c r="P417" s="80">
        <f t="shared" si="254"/>
        <v>2414316.9416666427</v>
      </c>
      <c r="Q417" s="80">
        <f t="shared" si="254"/>
        <v>2376456.1954874997</v>
      </c>
      <c r="R417" s="80"/>
      <c r="S417" s="80"/>
      <c r="T417" s="80">
        <f>SUM(T416)</f>
        <v>2376456.1954874997</v>
      </c>
      <c r="U417" s="80">
        <f t="shared" si="254"/>
        <v>2686655.8888872848</v>
      </c>
      <c r="V417" s="80">
        <f>SUM(V416)</f>
        <v>2673827.9810702717</v>
      </c>
      <c r="W417" s="80">
        <f>SUM(W416)</f>
        <v>3379596.7478914689</v>
      </c>
      <c r="X417" s="80">
        <f>SUM(X416)</f>
        <v>3540891.1676025614</v>
      </c>
      <c r="Y417" s="80">
        <f>SUM(Y416)</f>
        <v>3123050.5914476314</v>
      </c>
    </row>
    <row r="418" spans="2:25" ht="15.75" hidden="1" customHeight="1" outlineLevel="1">
      <c r="B418" s="76"/>
      <c r="C418" s="164"/>
      <c r="D418" s="111"/>
      <c r="E418" s="111"/>
      <c r="F418" s="111"/>
      <c r="G418" s="111"/>
      <c r="I418" s="110"/>
      <c r="J418" s="110"/>
      <c r="K418" s="85"/>
      <c r="L418" s="85"/>
      <c r="M418" s="100"/>
      <c r="N418" s="100"/>
      <c r="O418" s="87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</row>
    <row r="419" spans="2:25" ht="15.75" hidden="1" customHeight="1" outlineLevel="1">
      <c r="B419" s="110"/>
      <c r="C419" s="163" t="s">
        <v>1384</v>
      </c>
      <c r="D419" s="110"/>
      <c r="E419" s="110"/>
      <c r="F419" s="110"/>
      <c r="G419" s="110"/>
      <c r="H419" s="88"/>
      <c r="I419" s="78">
        <f t="shared" ref="I419:U419" si="255">I415-I417</f>
        <v>2404668.957498135</v>
      </c>
      <c r="J419" s="78">
        <f t="shared" si="255"/>
        <v>4928171.6816755058</v>
      </c>
      <c r="K419" s="78">
        <f t="shared" si="255"/>
        <v>4099410.7428275719</v>
      </c>
      <c r="L419" s="78">
        <f t="shared" si="255"/>
        <v>2439616.9249585434</v>
      </c>
      <c r="M419" s="78">
        <f t="shared" si="255"/>
        <v>6372657.5992071386</v>
      </c>
      <c r="N419" s="78">
        <f t="shared" si="255"/>
        <v>5725122.7577643739</v>
      </c>
      <c r="O419" s="78">
        <f>O415-O417</f>
        <v>7224739.2252030661</v>
      </c>
      <c r="P419" s="78">
        <f t="shared" si="255"/>
        <v>12201400.763624961</v>
      </c>
      <c r="Q419" s="78">
        <f t="shared" si="255"/>
        <v>16506144.765166495</v>
      </c>
      <c r="R419" s="78"/>
      <c r="S419" s="78"/>
      <c r="T419" s="78">
        <f>T415-T417</f>
        <v>13570453.906113369</v>
      </c>
      <c r="U419" s="78">
        <f t="shared" si="255"/>
        <v>18058082.180175979</v>
      </c>
      <c r="V419" s="78">
        <f>V415-V417</f>
        <v>17970420.902073871</v>
      </c>
      <c r="W419" s="78">
        <f>W415-W417</f>
        <v>19275677.342780933</v>
      </c>
      <c r="X419" s="78">
        <f>X415-X417</f>
        <v>19623991.717665091</v>
      </c>
      <c r="Y419" s="78">
        <f>Y415-Y417</f>
        <v>18380081.738109954</v>
      </c>
    </row>
    <row r="420" spans="2:25" ht="15.75" hidden="1" customHeight="1" outlineLevel="1">
      <c r="B420" s="110"/>
      <c r="C420" s="163" t="s">
        <v>1385</v>
      </c>
      <c r="D420" s="110"/>
      <c r="E420" s="110"/>
      <c r="F420" s="110"/>
      <c r="G420" s="110"/>
      <c r="H420" s="88"/>
      <c r="I420" s="78">
        <f t="shared" ref="I420:W420" si="256">I419-H419</f>
        <v>2404668.957498135</v>
      </c>
      <c r="J420" s="78">
        <f t="shared" si="256"/>
        <v>2523502.7241773708</v>
      </c>
      <c r="K420" s="78">
        <f t="shared" si="256"/>
        <v>-828760.9388479339</v>
      </c>
      <c r="L420" s="78">
        <f t="shared" si="256"/>
        <v>-1659793.8178690285</v>
      </c>
      <c r="M420" s="78">
        <f t="shared" si="256"/>
        <v>3933040.6742485953</v>
      </c>
      <c r="N420" s="78">
        <f t="shared" si="256"/>
        <v>-647534.84144276474</v>
      </c>
      <c r="O420" s="78">
        <f t="shared" si="256"/>
        <v>1499616.4674386922</v>
      </c>
      <c r="P420" s="78">
        <f t="shared" si="256"/>
        <v>4976661.5384218944</v>
      </c>
      <c r="Q420" s="78">
        <f t="shared" si="256"/>
        <v>4304744.0015415344</v>
      </c>
      <c r="R420" s="78"/>
      <c r="S420" s="78"/>
      <c r="T420" s="78">
        <f>T419-P419</f>
        <v>1369053.1424884088</v>
      </c>
      <c r="U420" s="78">
        <f>U419-Q419</f>
        <v>1551937.4150094837</v>
      </c>
      <c r="V420" s="78">
        <f t="shared" si="256"/>
        <v>-87661.278102107346</v>
      </c>
      <c r="W420" s="78">
        <f t="shared" si="256"/>
        <v>1305256.4407070614</v>
      </c>
      <c r="X420" s="78">
        <f>X419-W419</f>
        <v>348314.37488415837</v>
      </c>
      <c r="Y420" s="78">
        <f>Y419-X419</f>
        <v>-1243909.9795551375</v>
      </c>
    </row>
    <row r="421" spans="2:25" ht="15.75" hidden="1" customHeight="1" outlineLevel="1">
      <c r="B421" s="110"/>
      <c r="C421" s="482" t="s">
        <v>1386</v>
      </c>
      <c r="D421" s="100"/>
      <c r="E421" s="133"/>
      <c r="F421" s="83"/>
      <c r="G421" s="83"/>
      <c r="H421" s="88"/>
      <c r="I421" s="83"/>
      <c r="J421" s="83">
        <v>0</v>
      </c>
      <c r="K421" s="83">
        <f t="shared" ref="K421:L424" si="257">J421</f>
        <v>0</v>
      </c>
      <c r="L421" s="83">
        <f t="shared" si="257"/>
        <v>0</v>
      </c>
      <c r="M421" s="83">
        <f t="shared" ref="M421:N424" si="258">L421</f>
        <v>0</v>
      </c>
      <c r="N421" s="83">
        <f t="shared" si="258"/>
        <v>0</v>
      </c>
      <c r="O421" s="83">
        <f t="shared" ref="O421:W424" si="259">N421</f>
        <v>0</v>
      </c>
      <c r="P421" s="83">
        <f t="shared" si="259"/>
        <v>0</v>
      </c>
      <c r="Q421" s="83">
        <f t="shared" si="259"/>
        <v>0</v>
      </c>
      <c r="R421" s="83"/>
      <c r="S421" s="83"/>
      <c r="T421" s="83">
        <f>Q421</f>
        <v>0</v>
      </c>
      <c r="U421" s="83">
        <f>Q421</f>
        <v>0</v>
      </c>
      <c r="V421" s="83">
        <f t="shared" si="259"/>
        <v>0</v>
      </c>
      <c r="W421" s="83">
        <f t="shared" si="259"/>
        <v>0</v>
      </c>
      <c r="X421" s="83">
        <f t="shared" ref="X421:Y424" si="260">W421</f>
        <v>0</v>
      </c>
      <c r="Y421" s="83">
        <f t="shared" si="260"/>
        <v>0</v>
      </c>
    </row>
    <row r="422" spans="2:25" ht="15.75" hidden="1" customHeight="1" outlineLevel="1">
      <c r="B422" s="110"/>
      <c r="C422" s="482" t="s">
        <v>1387</v>
      </c>
      <c r="D422" s="100"/>
      <c r="E422" s="100"/>
      <c r="F422" s="83"/>
      <c r="G422" s="83"/>
      <c r="H422" s="88"/>
      <c r="I422" s="83"/>
      <c r="J422" s="83">
        <v>0</v>
      </c>
      <c r="K422" s="83">
        <f t="shared" si="257"/>
        <v>0</v>
      </c>
      <c r="L422" s="83">
        <f>L428/L398</f>
        <v>9.6800734207776575E-4</v>
      </c>
      <c r="M422" s="83">
        <f t="shared" si="258"/>
        <v>9.6800734207776575E-4</v>
      </c>
      <c r="N422" s="83">
        <f t="shared" si="258"/>
        <v>9.6800734207776575E-4</v>
      </c>
      <c r="O422" s="83">
        <f t="shared" si="259"/>
        <v>9.6800734207776575E-4</v>
      </c>
      <c r="P422" s="83">
        <f t="shared" si="259"/>
        <v>9.6800734207776575E-4</v>
      </c>
      <c r="Q422" s="83">
        <f t="shared" si="259"/>
        <v>9.6800734207776575E-4</v>
      </c>
      <c r="R422" s="83"/>
      <c r="S422" s="83"/>
      <c r="T422" s="83">
        <f>Q422</f>
        <v>9.6800734207776575E-4</v>
      </c>
      <c r="U422" s="83">
        <f>Q422</f>
        <v>9.6800734207776575E-4</v>
      </c>
      <c r="V422" s="83">
        <f t="shared" si="259"/>
        <v>9.6800734207776575E-4</v>
      </c>
      <c r="W422" s="83">
        <f t="shared" si="259"/>
        <v>9.6800734207776575E-4</v>
      </c>
      <c r="X422" s="83">
        <f t="shared" si="260"/>
        <v>9.6800734207776575E-4</v>
      </c>
      <c r="Y422" s="83">
        <f t="shared" si="260"/>
        <v>9.6800734207776575E-4</v>
      </c>
    </row>
    <row r="423" spans="2:25" ht="15.75" hidden="1" customHeight="1" outlineLevel="1">
      <c r="B423" s="110"/>
      <c r="C423" s="482" t="s">
        <v>1388</v>
      </c>
      <c r="D423" s="110"/>
      <c r="E423" s="110"/>
      <c r="F423" s="110"/>
      <c r="G423" s="110"/>
      <c r="H423" s="88"/>
      <c r="I423" s="83"/>
      <c r="J423" s="83">
        <v>0</v>
      </c>
      <c r="K423" s="83">
        <f t="shared" si="257"/>
        <v>0</v>
      </c>
      <c r="L423" s="83">
        <f t="shared" si="257"/>
        <v>0</v>
      </c>
      <c r="M423" s="83">
        <f t="shared" si="258"/>
        <v>0</v>
      </c>
      <c r="N423" s="83">
        <f t="shared" si="258"/>
        <v>0</v>
      </c>
      <c r="O423" s="83">
        <f t="shared" si="259"/>
        <v>0</v>
      </c>
      <c r="P423" s="83">
        <f t="shared" si="259"/>
        <v>0</v>
      </c>
      <c r="Q423" s="83">
        <f t="shared" si="259"/>
        <v>0</v>
      </c>
      <c r="R423" s="83"/>
      <c r="S423" s="83"/>
      <c r="T423" s="83">
        <f>Q423</f>
        <v>0</v>
      </c>
      <c r="U423" s="83">
        <f>Q423</f>
        <v>0</v>
      </c>
      <c r="V423" s="83">
        <f t="shared" si="259"/>
        <v>0</v>
      </c>
      <c r="W423" s="83">
        <f t="shared" si="259"/>
        <v>0</v>
      </c>
      <c r="X423" s="83">
        <f t="shared" si="260"/>
        <v>0</v>
      </c>
      <c r="Y423" s="83">
        <f t="shared" si="260"/>
        <v>0</v>
      </c>
    </row>
    <row r="424" spans="2:25" ht="15.75" hidden="1" customHeight="1" outlineLevel="1">
      <c r="B424" s="110"/>
      <c r="C424" s="482" t="s">
        <v>1389</v>
      </c>
      <c r="D424" s="100"/>
      <c r="E424" s="100"/>
      <c r="F424" s="83"/>
      <c r="G424" s="83"/>
      <c r="H424" s="88"/>
      <c r="I424" s="83"/>
      <c r="J424" s="83">
        <v>0</v>
      </c>
      <c r="K424" s="83">
        <f t="shared" si="257"/>
        <v>0</v>
      </c>
      <c r="L424" s="83">
        <f t="shared" si="257"/>
        <v>0</v>
      </c>
      <c r="M424" s="83">
        <f t="shared" si="258"/>
        <v>0</v>
      </c>
      <c r="N424" s="83">
        <f t="shared" si="258"/>
        <v>0</v>
      </c>
      <c r="O424" s="83">
        <f t="shared" si="259"/>
        <v>0</v>
      </c>
      <c r="P424" s="83">
        <f t="shared" si="259"/>
        <v>0</v>
      </c>
      <c r="Q424" s="83">
        <f t="shared" si="259"/>
        <v>0</v>
      </c>
      <c r="R424" s="83"/>
      <c r="S424" s="83"/>
      <c r="T424" s="83">
        <f>Q424</f>
        <v>0</v>
      </c>
      <c r="U424" s="83">
        <f>Q424</f>
        <v>0</v>
      </c>
      <c r="V424" s="83">
        <f t="shared" si="259"/>
        <v>0</v>
      </c>
      <c r="W424" s="83">
        <f t="shared" si="259"/>
        <v>0</v>
      </c>
      <c r="X424" s="83">
        <f t="shared" si="260"/>
        <v>0</v>
      </c>
      <c r="Y424" s="83">
        <f t="shared" si="260"/>
        <v>0</v>
      </c>
    </row>
    <row r="425" spans="2:25" ht="15.75" hidden="1" customHeight="1" outlineLevel="1">
      <c r="B425" s="110"/>
      <c r="C425" s="110"/>
      <c r="D425" s="100"/>
      <c r="E425" s="100"/>
      <c r="F425" s="100"/>
      <c r="G425" s="100"/>
      <c r="H425" s="88"/>
      <c r="I425" s="110"/>
      <c r="J425" s="110"/>
      <c r="K425" s="87"/>
      <c r="L425" s="82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</row>
    <row r="426" spans="2:25" ht="15.75" hidden="1" customHeight="1" outlineLevel="1">
      <c r="B426" s="110"/>
      <c r="C426" s="482" t="s">
        <v>1390</v>
      </c>
      <c r="D426" s="100"/>
      <c r="E426" s="100"/>
      <c r="F426" s="100"/>
      <c r="G426" s="100"/>
      <c r="H426" s="88"/>
      <c r="I426" s="78">
        <f>I304</f>
        <v>0</v>
      </c>
      <c r="J426" s="78">
        <f>J304</f>
        <v>536478.08592539001</v>
      </c>
      <c r="K426" s="78">
        <f t="shared" ref="K426:U426" si="261">(K142-K150+K154-K159+K171+K175+K176+K177+K178+K179)*0.2/12*2</f>
        <v>791088.43313099991</v>
      </c>
      <c r="L426" s="78">
        <f t="shared" si="261"/>
        <v>849329.5938182649</v>
      </c>
      <c r="M426" s="78">
        <f t="shared" si="261"/>
        <v>628222.96084406262</v>
      </c>
      <c r="N426" s="78">
        <f t="shared" si="261"/>
        <v>920129.84162000008</v>
      </c>
      <c r="O426" s="78">
        <f t="shared" si="261"/>
        <v>1041194.5433266667</v>
      </c>
      <c r="P426" s="78">
        <f t="shared" si="261"/>
        <v>1016716.33665</v>
      </c>
      <c r="Q426" s="78">
        <f t="shared" si="261"/>
        <v>1038790.9535500001</v>
      </c>
      <c r="R426" s="78"/>
      <c r="S426" s="78"/>
      <c r="T426" s="78">
        <f>(T142-T150+T154-T159+T171+T175+T176+T177+T178+T179)*0.2/12*2</f>
        <v>1038790.9535500001</v>
      </c>
      <c r="U426" s="78">
        <f t="shared" si="261"/>
        <v>1089888.0055419125</v>
      </c>
      <c r="V426" s="78">
        <f>(V142-V150+V154-V159+V171+V175+V176+V177+V178+V179)*0.2/12*2</f>
        <v>1078530.4664491098</v>
      </c>
      <c r="W426" s="78">
        <f>(W142-W150+W154-W159+W171+W175+W176+W177+W178+W179)*0.2/12*2</f>
        <v>1393026.3308834655</v>
      </c>
      <c r="X426" s="78">
        <f>(X142-X150+X154-X159+X171+X175+X176+X177+X178+X179)*0.2/12*2</f>
        <v>1475741.4123684641</v>
      </c>
      <c r="Y426" s="78">
        <f>(Y142-Y150+Y154-Y159+Y171+Y175+Y176+Y177+Y178+Y179)*0.2/12*2</f>
        <v>1328699.6229391908</v>
      </c>
    </row>
    <row r="427" spans="2:25" ht="15.75" hidden="1" customHeight="1" outlineLevel="1">
      <c r="B427" s="76"/>
      <c r="C427" s="482" t="s">
        <v>1340</v>
      </c>
      <c r="D427" s="100"/>
      <c r="E427" s="100"/>
      <c r="F427" s="100"/>
      <c r="G427" s="100"/>
      <c r="H427" s="88"/>
      <c r="I427" s="78">
        <f>I305</f>
        <v>0</v>
      </c>
      <c r="J427" s="78">
        <f>185554.988632841+291618.679170542+26420.7226757604+601890.849652096</f>
        <v>1105485.2401312394</v>
      </c>
      <c r="K427" s="78">
        <f t="shared" ref="K427:U427" si="262">K421*K398</f>
        <v>0</v>
      </c>
      <c r="L427" s="78">
        <f t="shared" si="262"/>
        <v>0</v>
      </c>
      <c r="M427" s="78">
        <f t="shared" si="262"/>
        <v>0</v>
      </c>
      <c r="N427" s="78">
        <f t="shared" si="262"/>
        <v>0</v>
      </c>
      <c r="O427" s="78">
        <f t="shared" si="262"/>
        <v>0</v>
      </c>
      <c r="P427" s="78">
        <f t="shared" si="262"/>
        <v>0</v>
      </c>
      <c r="Q427" s="78">
        <f t="shared" si="262"/>
        <v>0</v>
      </c>
      <c r="R427" s="78"/>
      <c r="S427" s="78"/>
      <c r="T427" s="78">
        <f>T421*T398</f>
        <v>0</v>
      </c>
      <c r="U427" s="78">
        <f t="shared" si="262"/>
        <v>0</v>
      </c>
      <c r="V427" s="78">
        <f>V421*V398</f>
        <v>0</v>
      </c>
      <c r="W427" s="78">
        <f>W421*W398</f>
        <v>0</v>
      </c>
      <c r="X427" s="78">
        <f>X421*X398</f>
        <v>0</v>
      </c>
      <c r="Y427" s="78">
        <f>Y421*Y398</f>
        <v>0</v>
      </c>
    </row>
    <row r="428" spans="2:25" ht="15.75" hidden="1" customHeight="1" outlineLevel="1">
      <c r="B428" s="76"/>
      <c r="C428" s="482" t="s">
        <v>1344</v>
      </c>
      <c r="D428" s="100"/>
      <c r="E428" s="100"/>
      <c r="F428" s="100"/>
      <c r="G428" s="100"/>
      <c r="H428" s="88"/>
      <c r="I428" s="78">
        <f>I310</f>
        <v>345000</v>
      </c>
      <c r="J428" s="78">
        <v>139533</v>
      </c>
      <c r="K428" s="78">
        <v>268743.02</v>
      </c>
      <c r="L428" s="78">
        <f>37778.73*1.39</f>
        <v>52512.434699999998</v>
      </c>
      <c r="M428" s="78">
        <f t="shared" ref="M428:U428" si="263">M422*M398</f>
        <v>46178.627846051175</v>
      </c>
      <c r="N428" s="78">
        <f t="shared" si="263"/>
        <v>67348.011156833134</v>
      </c>
      <c r="O428" s="78">
        <f t="shared" si="263"/>
        <v>64570.774574365219</v>
      </c>
      <c r="P428" s="78">
        <f t="shared" si="263"/>
        <v>76352.760052759404</v>
      </c>
      <c r="Q428" s="78">
        <f t="shared" si="263"/>
        <v>102920.57632707342</v>
      </c>
      <c r="R428" s="78"/>
      <c r="S428" s="78"/>
      <c r="T428" s="78">
        <f>T422*T398</f>
        <v>83396.218335771366</v>
      </c>
      <c r="U428" s="78">
        <f t="shared" si="263"/>
        <v>113333.83678080718</v>
      </c>
      <c r="V428" s="78">
        <f>V422*V398</f>
        <v>113333.83678080718</v>
      </c>
      <c r="W428" s="78">
        <f>W422*W398</f>
        <v>113333.83678080718</v>
      </c>
      <c r="X428" s="78">
        <f>X422*X398</f>
        <v>113333.83678080718</v>
      </c>
      <c r="Y428" s="78">
        <f>Y422*Y398</f>
        <v>108798.14087467779</v>
      </c>
    </row>
    <row r="429" spans="2:25" ht="15.75" hidden="1" customHeight="1" outlineLevel="1">
      <c r="B429" s="76"/>
      <c r="C429" s="110" t="s">
        <v>1391</v>
      </c>
      <c r="D429" s="110"/>
      <c r="E429" s="110"/>
      <c r="F429" s="110"/>
      <c r="G429" s="110"/>
      <c r="H429" s="88"/>
      <c r="I429" s="78">
        <f t="shared" ref="I429:U429" si="264">SUM(I426:I428)</f>
        <v>345000</v>
      </c>
      <c r="J429" s="78">
        <f t="shared" si="264"/>
        <v>1781496.3260566294</v>
      </c>
      <c r="K429" s="78">
        <f t="shared" si="264"/>
        <v>1059831.453131</v>
      </c>
      <c r="L429" s="78">
        <f t="shared" si="264"/>
        <v>901842.02851826488</v>
      </c>
      <c r="M429" s="78">
        <f t="shared" si="264"/>
        <v>674401.58869011374</v>
      </c>
      <c r="N429" s="78">
        <f t="shared" si="264"/>
        <v>987477.85277683323</v>
      </c>
      <c r="O429" s="78">
        <f t="shared" si="264"/>
        <v>1105765.3179010318</v>
      </c>
      <c r="P429" s="78">
        <f t="shared" si="264"/>
        <v>1093069.0967027594</v>
      </c>
      <c r="Q429" s="78">
        <f t="shared" si="264"/>
        <v>1141711.5298770736</v>
      </c>
      <c r="R429" s="78"/>
      <c r="S429" s="78"/>
      <c r="T429" s="78">
        <f>SUM(T426:T428)</f>
        <v>1122187.1718857714</v>
      </c>
      <c r="U429" s="78">
        <f t="shared" si="264"/>
        <v>1203221.8423227197</v>
      </c>
      <c r="V429" s="78">
        <f>SUM(V426:V428)</f>
        <v>1191864.3032299171</v>
      </c>
      <c r="W429" s="78">
        <f>SUM(W426:W428)</f>
        <v>1506360.1676642727</v>
      </c>
      <c r="X429" s="78">
        <f>SUM(X426:X428)</f>
        <v>1589075.2491492713</v>
      </c>
      <c r="Y429" s="78">
        <f>SUM(Y426:Y428)</f>
        <v>1437497.7638138686</v>
      </c>
    </row>
    <row r="430" spans="2:25" ht="15.75" hidden="1" customHeight="1" outlineLevel="1">
      <c r="B430" s="76"/>
      <c r="C430" s="533" t="s">
        <v>1392</v>
      </c>
      <c r="D430" s="100"/>
      <c r="E430" s="100"/>
      <c r="F430" s="100"/>
      <c r="G430" s="100"/>
      <c r="H430" s="88"/>
      <c r="I430" s="78"/>
      <c r="J430" s="78">
        <f t="shared" ref="J430:W430" si="265">J429-I429</f>
        <v>1436496.3260566294</v>
      </c>
      <c r="K430" s="78">
        <f t="shared" si="265"/>
        <v>-721664.87292562937</v>
      </c>
      <c r="L430" s="78">
        <f t="shared" si="265"/>
        <v>-157989.42461273517</v>
      </c>
      <c r="M430" s="78">
        <f t="shared" si="265"/>
        <v>-227440.43982815114</v>
      </c>
      <c r="N430" s="78">
        <f t="shared" si="265"/>
        <v>313076.26408671949</v>
      </c>
      <c r="O430" s="78">
        <f t="shared" si="265"/>
        <v>118287.46512419858</v>
      </c>
      <c r="P430" s="78">
        <f t="shared" si="265"/>
        <v>-12696.221198272426</v>
      </c>
      <c r="Q430" s="78">
        <f t="shared" si="265"/>
        <v>48642.43317431421</v>
      </c>
      <c r="R430" s="78"/>
      <c r="S430" s="78"/>
      <c r="T430" s="78">
        <f>T429-P429</f>
        <v>29118.075183012057</v>
      </c>
      <c r="U430" s="78">
        <f>U429-Q429</f>
        <v>61510.312445646152</v>
      </c>
      <c r="V430" s="78">
        <f t="shared" si="265"/>
        <v>-11357.539092802675</v>
      </c>
      <c r="W430" s="78">
        <f t="shared" si="265"/>
        <v>314495.86443435564</v>
      </c>
      <c r="X430" s="78">
        <f>X429-W429</f>
        <v>82715.081484998576</v>
      </c>
      <c r="Y430" s="78">
        <f>Y429-X429</f>
        <v>-151577.48533540266</v>
      </c>
    </row>
    <row r="431" spans="2:25" ht="15.75" hidden="1" customHeight="1" outlineLevel="1">
      <c r="B431" s="76"/>
      <c r="C431" s="482" t="s">
        <v>1393</v>
      </c>
      <c r="D431" s="100"/>
      <c r="E431" s="508"/>
      <c r="F431" s="508"/>
      <c r="G431" s="508"/>
      <c r="H431" s="88"/>
      <c r="I431" s="78">
        <f>I319</f>
        <v>-276620.85003731283</v>
      </c>
      <c r="J431" s="78">
        <v>191354.123609245</v>
      </c>
      <c r="K431" s="78">
        <f t="shared" ref="K431:U431" si="266">K423*K398</f>
        <v>0</v>
      </c>
      <c r="L431" s="78">
        <f t="shared" si="266"/>
        <v>0</v>
      </c>
      <c r="M431" s="78">
        <f t="shared" si="266"/>
        <v>0</v>
      </c>
      <c r="N431" s="78">
        <f t="shared" si="266"/>
        <v>0</v>
      </c>
      <c r="O431" s="78">
        <f t="shared" si="266"/>
        <v>0</v>
      </c>
      <c r="P431" s="78">
        <f t="shared" si="266"/>
        <v>0</v>
      </c>
      <c r="Q431" s="78">
        <f t="shared" si="266"/>
        <v>0</v>
      </c>
      <c r="R431" s="78"/>
      <c r="S431" s="78"/>
      <c r="T431" s="78">
        <f>T423*T398</f>
        <v>0</v>
      </c>
      <c r="U431" s="78">
        <f t="shared" si="266"/>
        <v>0</v>
      </c>
      <c r="V431" s="78">
        <f>V423*V398</f>
        <v>0</v>
      </c>
      <c r="W431" s="78">
        <f>W423*W398</f>
        <v>0</v>
      </c>
      <c r="X431" s="78">
        <f>X423*X398</f>
        <v>0</v>
      </c>
      <c r="Y431" s="78">
        <f>Y423*Y398</f>
        <v>0</v>
      </c>
    </row>
    <row r="432" spans="2:25" ht="15.75" hidden="1" customHeight="1" outlineLevel="1">
      <c r="B432" s="76"/>
      <c r="C432" s="482" t="s">
        <v>1394</v>
      </c>
      <c r="D432" s="100"/>
      <c r="E432" s="114"/>
      <c r="F432" s="507"/>
      <c r="G432" s="507"/>
      <c r="H432" s="88"/>
      <c r="I432" s="78">
        <f>I318</f>
        <v>0</v>
      </c>
      <c r="J432" s="78">
        <f t="shared" ref="J432:U432" si="267">J424*J398</f>
        <v>0</v>
      </c>
      <c r="K432" s="78">
        <f t="shared" si="267"/>
        <v>0</v>
      </c>
      <c r="L432" s="78">
        <f t="shared" si="267"/>
        <v>0</v>
      </c>
      <c r="M432" s="78">
        <f t="shared" si="267"/>
        <v>0</v>
      </c>
      <c r="N432" s="78">
        <f t="shared" si="267"/>
        <v>0</v>
      </c>
      <c r="O432" s="78">
        <f t="shared" si="267"/>
        <v>0</v>
      </c>
      <c r="P432" s="78">
        <f t="shared" si="267"/>
        <v>0</v>
      </c>
      <c r="Q432" s="78">
        <f t="shared" si="267"/>
        <v>0</v>
      </c>
      <c r="R432" s="78"/>
      <c r="S432" s="78"/>
      <c r="T432" s="78">
        <f>T424*T398</f>
        <v>0</v>
      </c>
      <c r="U432" s="78">
        <f t="shared" si="267"/>
        <v>0</v>
      </c>
      <c r="V432" s="78">
        <f>V424*V398</f>
        <v>0</v>
      </c>
      <c r="W432" s="78">
        <f>W424*W398</f>
        <v>0</v>
      </c>
      <c r="X432" s="78">
        <f>X424*X398</f>
        <v>0</v>
      </c>
      <c r="Y432" s="78">
        <f>Y424*Y398</f>
        <v>0</v>
      </c>
    </row>
    <row r="433" spans="1:25" ht="15.75" hidden="1" customHeight="1" outlineLevel="1">
      <c r="B433" s="111"/>
      <c r="C433" s="110" t="s">
        <v>1395</v>
      </c>
      <c r="D433" s="483"/>
      <c r="E433" s="534"/>
      <c r="F433" s="528"/>
      <c r="G433" s="528"/>
      <c r="H433" s="535"/>
      <c r="I433" s="78">
        <f t="shared" ref="I433:N433" si="268">SUM(I431:I432)</f>
        <v>-276620.85003731283</v>
      </c>
      <c r="J433" s="78">
        <f t="shared" si="268"/>
        <v>191354.123609245</v>
      </c>
      <c r="K433" s="78">
        <f t="shared" si="268"/>
        <v>0</v>
      </c>
      <c r="L433" s="78">
        <f t="shared" si="268"/>
        <v>0</v>
      </c>
      <c r="M433" s="78">
        <f t="shared" si="268"/>
        <v>0</v>
      </c>
      <c r="N433" s="78">
        <f t="shared" si="268"/>
        <v>0</v>
      </c>
      <c r="O433" s="78">
        <f t="shared" ref="O433:W433" si="269">SUM(O431:O432)</f>
        <v>0</v>
      </c>
      <c r="P433" s="78">
        <f t="shared" si="269"/>
        <v>0</v>
      </c>
      <c r="Q433" s="78">
        <f t="shared" si="269"/>
        <v>0</v>
      </c>
      <c r="R433" s="78"/>
      <c r="S433" s="78"/>
      <c r="T433" s="78">
        <f>SUM(T431:T432)</f>
        <v>0</v>
      </c>
      <c r="U433" s="78">
        <f t="shared" si="269"/>
        <v>0</v>
      </c>
      <c r="V433" s="78">
        <f t="shared" si="269"/>
        <v>0</v>
      </c>
      <c r="W433" s="78">
        <f t="shared" si="269"/>
        <v>0</v>
      </c>
      <c r="X433" s="78">
        <f>SUM(X431:X432)</f>
        <v>0</v>
      </c>
      <c r="Y433" s="78">
        <f>SUM(Y431:Y432)</f>
        <v>0</v>
      </c>
    </row>
    <row r="434" spans="1:25" ht="15.75" hidden="1" customHeight="1" outlineLevel="1">
      <c r="B434" s="111"/>
      <c r="C434" s="533" t="s">
        <v>1396</v>
      </c>
      <c r="D434" s="483"/>
      <c r="E434" s="534"/>
      <c r="F434" s="82"/>
      <c r="G434" s="82"/>
      <c r="H434" s="88"/>
      <c r="I434" s="78">
        <f t="shared" ref="I434:W434" si="270">I433-H433</f>
        <v>-276620.85003731283</v>
      </c>
      <c r="J434" s="78">
        <f t="shared" si="270"/>
        <v>467974.97364655783</v>
      </c>
      <c r="K434" s="78">
        <f t="shared" si="270"/>
        <v>-191354.123609245</v>
      </c>
      <c r="L434" s="78">
        <f t="shared" si="270"/>
        <v>0</v>
      </c>
      <c r="M434" s="78">
        <f t="shared" si="270"/>
        <v>0</v>
      </c>
      <c r="N434" s="78">
        <f t="shared" si="270"/>
        <v>0</v>
      </c>
      <c r="O434" s="78">
        <f t="shared" si="270"/>
        <v>0</v>
      </c>
      <c r="P434" s="78">
        <f t="shared" si="270"/>
        <v>0</v>
      </c>
      <c r="Q434" s="78">
        <f t="shared" si="270"/>
        <v>0</v>
      </c>
      <c r="R434" s="78"/>
      <c r="S434" s="78"/>
      <c r="T434" s="78">
        <f t="shared" si="270"/>
        <v>0</v>
      </c>
      <c r="U434" s="78">
        <f>U433-Q433</f>
        <v>0</v>
      </c>
      <c r="V434" s="78">
        <f t="shared" si="270"/>
        <v>0</v>
      </c>
      <c r="W434" s="78">
        <f t="shared" si="270"/>
        <v>0</v>
      </c>
      <c r="X434" s="78">
        <f>X433-W433</f>
        <v>0</v>
      </c>
      <c r="Y434" s="78">
        <f>Y433-X433</f>
        <v>0</v>
      </c>
    </row>
    <row r="435" spans="1:25" ht="15.75" hidden="1" customHeight="1" outlineLevel="1">
      <c r="B435" s="111"/>
      <c r="C435" s="482" t="s">
        <v>1397</v>
      </c>
      <c r="D435" s="483"/>
      <c r="E435" s="534"/>
      <c r="F435" s="82"/>
      <c r="G435" s="82"/>
      <c r="H435" s="88"/>
      <c r="I435" s="78">
        <f t="shared" ref="I435:U435" si="271">I430-I434</f>
        <v>276620.85003731283</v>
      </c>
      <c r="J435" s="78">
        <f t="shared" si="271"/>
        <v>968521.35241007153</v>
      </c>
      <c r="K435" s="78">
        <f t="shared" si="271"/>
        <v>-530310.74931638432</v>
      </c>
      <c r="L435" s="78">
        <f t="shared" si="271"/>
        <v>-157989.42461273517</v>
      </c>
      <c r="M435" s="78">
        <f t="shared" si="271"/>
        <v>-227440.43982815114</v>
      </c>
      <c r="N435" s="78">
        <f t="shared" si="271"/>
        <v>313076.26408671949</v>
      </c>
      <c r="O435" s="78">
        <f t="shared" si="271"/>
        <v>118287.46512419858</v>
      </c>
      <c r="P435" s="78">
        <f t="shared" si="271"/>
        <v>-12696.221198272426</v>
      </c>
      <c r="Q435" s="78">
        <f t="shared" si="271"/>
        <v>48642.43317431421</v>
      </c>
      <c r="R435" s="78"/>
      <c r="S435" s="78"/>
      <c r="T435" s="78">
        <f>T430-T434</f>
        <v>29118.075183012057</v>
      </c>
      <c r="U435" s="78">
        <f t="shared" si="271"/>
        <v>61510.312445646152</v>
      </c>
      <c r="V435" s="78">
        <f>V430-V434</f>
        <v>-11357.539092802675</v>
      </c>
      <c r="W435" s="78">
        <f>W430-W434</f>
        <v>314495.86443435564</v>
      </c>
      <c r="X435" s="78">
        <f>X430-X434</f>
        <v>82715.081484998576</v>
      </c>
      <c r="Y435" s="78">
        <f>Y430-Y434</f>
        <v>-151577.48533540266</v>
      </c>
    </row>
    <row r="436" spans="1:25" ht="15.75" hidden="1" customHeight="1" outlineLevel="1">
      <c r="B436" s="110"/>
      <c r="C436" s="482"/>
      <c r="D436" s="110"/>
      <c r="E436" s="110"/>
      <c r="F436" s="110"/>
      <c r="G436" s="110"/>
      <c r="H436" s="88"/>
      <c r="I436" s="110"/>
      <c r="J436" s="110"/>
      <c r="K436" s="571"/>
      <c r="L436" s="571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</row>
    <row r="437" spans="1:25" s="152" customFormat="1" ht="15.75" hidden="1" customHeight="1" outlineLevel="1">
      <c r="A437" s="568"/>
      <c r="C437" s="521"/>
      <c r="D437" s="439"/>
      <c r="E437" s="439"/>
      <c r="F437" s="439"/>
      <c r="G437" s="439"/>
      <c r="H437" s="522"/>
      <c r="I437" s="439"/>
      <c r="J437" s="439"/>
      <c r="L437" s="139"/>
      <c r="M437" s="439"/>
      <c r="N437" s="572"/>
      <c r="O437" s="572"/>
      <c r="P437" s="572"/>
      <c r="Q437" s="572"/>
      <c r="R437" s="572"/>
      <c r="S437" s="572"/>
      <c r="T437" s="572"/>
      <c r="U437" s="572"/>
      <c r="V437" s="572"/>
      <c r="W437" s="572"/>
      <c r="X437" s="572"/>
      <c r="Y437" s="572"/>
    </row>
    <row r="438" spans="1:25" ht="15.75" hidden="1" customHeight="1" outlineLevel="1">
      <c r="B438" s="111"/>
      <c r="C438" s="102"/>
      <c r="D438" s="102"/>
      <c r="E438" s="102"/>
      <c r="F438" s="102"/>
      <c r="G438" s="102"/>
      <c r="I438" s="117"/>
      <c r="J438" s="102"/>
      <c r="K438" s="121"/>
      <c r="L438" s="121"/>
      <c r="M438" s="118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</row>
    <row r="439" spans="1:25" ht="27" hidden="1" outlineLevel="1" collapsed="1">
      <c r="B439" s="111"/>
      <c r="C439" s="499" t="s">
        <v>133</v>
      </c>
      <c r="I439" s="117"/>
      <c r="J439" s="102"/>
      <c r="K439" s="103"/>
      <c r="L439" s="137"/>
      <c r="M439" s="435"/>
      <c r="N439" s="435"/>
      <c r="O439" s="435"/>
      <c r="P439" s="435"/>
      <c r="Q439" s="435"/>
      <c r="R439" s="435"/>
      <c r="S439" s="435"/>
      <c r="T439" s="435"/>
      <c r="U439" s="435"/>
      <c r="V439" s="435"/>
      <c r="W439" s="435"/>
      <c r="X439" s="435"/>
      <c r="Y439" s="435"/>
    </row>
    <row r="440" spans="1:25" ht="3" hidden="1" customHeight="1" outlineLevel="1">
      <c r="B440" s="111"/>
      <c r="C440" s="104"/>
      <c r="D440" s="104"/>
      <c r="E440" s="104"/>
      <c r="F440" s="104"/>
      <c r="G440" s="104"/>
      <c r="H440" s="465"/>
      <c r="I440" s="104"/>
      <c r="J440" s="104"/>
      <c r="K440" s="104"/>
      <c r="L440" s="104"/>
      <c r="M440" s="104"/>
      <c r="N440" s="420"/>
      <c r="O440" s="420"/>
      <c r="P440" s="420"/>
      <c r="Q440" s="420"/>
      <c r="R440" s="420"/>
      <c r="S440" s="420"/>
      <c r="T440" s="420"/>
      <c r="U440" s="420"/>
      <c r="V440" s="420"/>
      <c r="W440" s="420"/>
      <c r="X440" s="420"/>
      <c r="Y440" s="420"/>
    </row>
    <row r="441" spans="1:25" ht="15.75" hidden="1" customHeight="1" outlineLevel="1">
      <c r="B441" s="111"/>
      <c r="C441" s="75"/>
      <c r="I441" s="117"/>
      <c r="J441" s="102"/>
      <c r="K441" s="103"/>
      <c r="L441" s="137"/>
      <c r="M441" s="435"/>
      <c r="N441" s="435"/>
      <c r="O441" s="435"/>
      <c r="P441" s="435"/>
      <c r="Q441" s="435"/>
      <c r="R441" s="435"/>
      <c r="S441" s="435"/>
      <c r="T441" s="435"/>
      <c r="U441" s="435"/>
      <c r="V441" s="435"/>
      <c r="W441" s="435"/>
      <c r="X441" s="435"/>
      <c r="Y441" s="435"/>
    </row>
    <row r="442" spans="1:25" ht="17.25" hidden="1" customHeight="1" outlineLevel="1">
      <c r="B442" s="111"/>
      <c r="C442" s="480"/>
      <c r="I442" s="117"/>
      <c r="J442" s="500"/>
      <c r="K442" s="105"/>
      <c r="L442" s="138"/>
      <c r="M442" s="138"/>
      <c r="N442" s="138"/>
      <c r="O442" s="138"/>
      <c r="P442" s="138"/>
      <c r="Q442" s="138"/>
      <c r="R442" s="138"/>
      <c r="S442" s="138"/>
      <c r="T442" s="138"/>
      <c r="U442" s="138"/>
      <c r="V442" s="138"/>
      <c r="W442" s="138"/>
      <c r="X442" s="138"/>
      <c r="Y442" s="138"/>
    </row>
    <row r="443" spans="1:25" hidden="1" outlineLevel="1">
      <c r="B443" s="111"/>
      <c r="C443" s="501"/>
      <c r="D443" s="106"/>
      <c r="E443" s="106"/>
      <c r="F443" s="106"/>
      <c r="G443" s="106"/>
      <c r="H443" s="502"/>
      <c r="I443" s="92">
        <v>0</v>
      </c>
      <c r="J443" s="92">
        <v>1</v>
      </c>
      <c r="K443" s="92">
        <v>2</v>
      </c>
      <c r="L443" s="136">
        <v>3</v>
      </c>
      <c r="M443" s="136">
        <v>4</v>
      </c>
      <c r="N443" s="136">
        <v>5</v>
      </c>
      <c r="O443" s="136">
        <f t="shared" ref="O443:Q443" si="272">O7</f>
        <v>6</v>
      </c>
      <c r="P443" s="136">
        <f t="shared" si="272"/>
        <v>7</v>
      </c>
      <c r="Q443" s="136">
        <f t="shared" si="272"/>
        <v>8</v>
      </c>
      <c r="R443" s="136"/>
      <c r="S443" s="136"/>
      <c r="T443" s="136" t="str">
        <f>T7</f>
        <v>Revised</v>
      </c>
      <c r="U443" s="136">
        <f t="shared" ref="U443:W443" si="273">U7</f>
        <v>9</v>
      </c>
      <c r="V443" s="136">
        <f t="shared" si="273"/>
        <v>10</v>
      </c>
      <c r="W443" s="136">
        <f t="shared" si="273"/>
        <v>11</v>
      </c>
      <c r="X443" s="136">
        <f>X7</f>
        <v>12</v>
      </c>
      <c r="Y443" s="136">
        <f>Y7</f>
        <v>13</v>
      </c>
    </row>
    <row r="444" spans="1:25" hidden="1" outlineLevel="1">
      <c r="B444" s="111"/>
      <c r="C444" s="504"/>
      <c r="D444" s="469"/>
      <c r="E444" s="469"/>
      <c r="F444" s="469"/>
      <c r="G444" s="469"/>
      <c r="H444" s="470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</row>
    <row r="445" spans="1:25" hidden="1" outlineLevel="1">
      <c r="B445" s="111"/>
      <c r="C445" s="505"/>
      <c r="D445" s="472"/>
      <c r="E445" s="506"/>
      <c r="F445" s="506"/>
      <c r="G445" s="506"/>
      <c r="H445" s="473"/>
      <c r="I445" s="94" t="s">
        <v>499</v>
      </c>
      <c r="J445" s="94" t="s">
        <v>499</v>
      </c>
      <c r="K445" s="112" t="s">
        <v>499</v>
      </c>
      <c r="L445" s="112" t="s">
        <v>499</v>
      </c>
      <c r="M445" s="112" t="s">
        <v>499</v>
      </c>
      <c r="N445" s="112" t="s">
        <v>499</v>
      </c>
      <c r="O445" s="112" t="s">
        <v>499</v>
      </c>
      <c r="P445" s="112" t="s">
        <v>499</v>
      </c>
      <c r="Q445" s="112" t="s">
        <v>499</v>
      </c>
      <c r="R445" s="112"/>
      <c r="S445" s="112"/>
      <c r="T445" s="112" t="s">
        <v>499</v>
      </c>
      <c r="U445" s="112" t="s">
        <v>499</v>
      </c>
      <c r="V445" s="112" t="s">
        <v>499</v>
      </c>
      <c r="W445" s="112" t="s">
        <v>499</v>
      </c>
      <c r="X445" s="112" t="s">
        <v>499</v>
      </c>
      <c r="Y445" s="112" t="s">
        <v>499</v>
      </c>
    </row>
    <row r="446" spans="1:25" ht="15.75" hidden="1" customHeight="1" outlineLevel="1">
      <c r="B446" s="111"/>
      <c r="C446" s="107"/>
      <c r="D446" s="107"/>
      <c r="E446" s="107"/>
      <c r="F446" s="107"/>
      <c r="G446" s="107"/>
      <c r="H446" s="1324"/>
      <c r="I446" s="536"/>
      <c r="J446" s="124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4"/>
      <c r="Y446" s="124"/>
    </row>
    <row r="447" spans="1:25" ht="15.75" hidden="1" customHeight="1" outlineLevel="1">
      <c r="B447" s="76"/>
      <c r="C447" s="110" t="s">
        <v>270</v>
      </c>
      <c r="D447" s="110"/>
      <c r="E447" s="110"/>
      <c r="F447" s="110"/>
      <c r="G447" s="110"/>
      <c r="H447" s="88"/>
      <c r="I447" s="78"/>
      <c r="J447" s="78">
        <f t="shared" ref="J447:O447" si="274">J11</f>
        <v>43445089</v>
      </c>
      <c r="K447" s="78">
        <f>K11</f>
        <v>48275099.56533955</v>
      </c>
      <c r="L447" s="78">
        <f t="shared" si="274"/>
        <v>54247971.495015129</v>
      </c>
      <c r="M447" s="78">
        <f t="shared" si="274"/>
        <v>47704832.224652044</v>
      </c>
      <c r="N447" s="78">
        <f t="shared" si="274"/>
        <v>69573863.987720326</v>
      </c>
      <c r="O447" s="78">
        <f t="shared" si="274"/>
        <v>66704839.6924017</v>
      </c>
      <c r="P447" s="78">
        <f t="shared" ref="P447:Y447" si="275">P11</f>
        <v>78876219.976671964</v>
      </c>
      <c r="Q447" s="78">
        <f t="shared" si="275"/>
        <v>106322102.99785639</v>
      </c>
      <c r="R447" s="78"/>
      <c r="S447" s="78"/>
      <c r="T447" s="78">
        <f>T11</f>
        <v>86152464.667020738</v>
      </c>
      <c r="U447" s="78">
        <f t="shared" si="275"/>
        <v>117079521.87381488</v>
      </c>
      <c r="V447" s="78">
        <f t="shared" si="275"/>
        <v>117079521.87381488</v>
      </c>
      <c r="W447" s="78">
        <f t="shared" si="275"/>
        <v>117079521.87381488</v>
      </c>
      <c r="X447" s="78">
        <f t="shared" si="275"/>
        <v>117079521.87381488</v>
      </c>
      <c r="Y447" s="78">
        <f t="shared" si="275"/>
        <v>112393921.14645489</v>
      </c>
    </row>
    <row r="448" spans="1:25" ht="15.75" hidden="1" customHeight="1" outlineLevel="1">
      <c r="B448" s="76"/>
      <c r="C448" s="110" t="s">
        <v>132</v>
      </c>
      <c r="D448" s="110"/>
      <c r="E448" s="110"/>
      <c r="F448" s="110"/>
      <c r="G448" s="110"/>
      <c r="H448" s="88"/>
      <c r="I448" s="79"/>
      <c r="J448" s="79">
        <v>483192.83645314601</v>
      </c>
      <c r="K448" s="79">
        <v>1078126.7</v>
      </c>
      <c r="L448" s="79">
        <f>1918110*'Control list'!H17</f>
        <v>2109921</v>
      </c>
      <c r="M448" s="78">
        <f>(3097000-1128000-1067000)*'Control list'!I17</f>
        <v>992200.00000000012</v>
      </c>
      <c r="N448" s="1002">
        <f>9568000*'Control list'!J17-N177</f>
        <v>6365480</v>
      </c>
      <c r="O448" s="1002">
        <f>8684556.83*'Control list'!K17</f>
        <v>9553012.5130000003</v>
      </c>
      <c r="P448" s="1002">
        <f>2545391*'Control list'!L17</f>
        <v>2672660.5500000003</v>
      </c>
      <c r="Q448" s="1002">
        <f>7151760*'Control list'!M17</f>
        <v>7509348</v>
      </c>
      <c r="R448" s="1002"/>
      <c r="S448" s="1002"/>
      <c r="T448" s="1002">
        <f>7151760*'Control list'!P17</f>
        <v>7509348</v>
      </c>
      <c r="U448" s="78">
        <v>3722898</v>
      </c>
      <c r="V448" s="78">
        <v>2468897.611596121</v>
      </c>
      <c r="W448" s="78">
        <v>11289772.611596121</v>
      </c>
      <c r="X448" s="78">
        <v>9569147.6115961205</v>
      </c>
      <c r="Y448" s="78">
        <v>9569147.6115961205</v>
      </c>
    </row>
    <row r="449" spans="2:25" ht="15.75" hidden="1" customHeight="1" outlineLevel="1">
      <c r="B449" s="76"/>
      <c r="C449" s="110" t="s">
        <v>272</v>
      </c>
      <c r="D449" s="110"/>
      <c r="E449" s="110"/>
      <c r="F449" s="110"/>
      <c r="G449" s="110"/>
      <c r="H449" s="88"/>
      <c r="I449" s="125"/>
      <c r="J449" s="125">
        <f t="shared" ref="J449:O449" si="276">J448/J447</f>
        <v>1.1121920741217633E-2</v>
      </c>
      <c r="K449" s="125">
        <f t="shared" si="276"/>
        <v>2.2332977243076906E-2</v>
      </c>
      <c r="L449" s="83">
        <f t="shared" si="276"/>
        <v>3.8894007312215935E-2</v>
      </c>
      <c r="M449" s="83">
        <f t="shared" si="276"/>
        <v>2.0798731569320328E-2</v>
      </c>
      <c r="N449" s="83">
        <f t="shared" si="276"/>
        <v>9.1492402967923367E-2</v>
      </c>
      <c r="O449" s="83">
        <f t="shared" si="276"/>
        <v>0.1432131844863451</v>
      </c>
      <c r="P449" s="83">
        <f t="shared" ref="P449:Y449" si="277">P448/P447</f>
        <v>3.3884237236399675E-2</v>
      </c>
      <c r="Q449" s="83">
        <f t="shared" si="277"/>
        <v>7.0628286953197297E-2</v>
      </c>
      <c r="R449" s="83"/>
      <c r="S449" s="83"/>
      <c r="T449" s="83">
        <f>T448/T447</f>
        <v>8.7163472676302742E-2</v>
      </c>
      <c r="U449" s="83">
        <f t="shared" si="277"/>
        <v>3.1798028727965236E-2</v>
      </c>
      <c r="V449" s="83">
        <f t="shared" si="277"/>
        <v>2.108735645723794E-2</v>
      </c>
      <c r="W449" s="83">
        <f t="shared" si="277"/>
        <v>9.6428243222276985E-2</v>
      </c>
      <c r="X449" s="83">
        <f t="shared" si="277"/>
        <v>8.1732035273508266E-2</v>
      </c>
      <c r="Y449" s="83">
        <f t="shared" si="277"/>
        <v>8.5139369762952249E-2</v>
      </c>
    </row>
    <row r="450" spans="2:25" ht="15.75" hidden="1" customHeight="1" outlineLevel="1">
      <c r="B450" s="111"/>
      <c r="C450" s="110"/>
      <c r="D450" s="110"/>
      <c r="E450" s="110"/>
      <c r="F450" s="110"/>
      <c r="G450" s="110"/>
      <c r="H450" s="88"/>
      <c r="I450" s="86"/>
      <c r="J450" s="80"/>
      <c r="K450" s="80"/>
      <c r="L450" s="8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</row>
    <row r="451" spans="2:25" ht="15.75" hidden="1" customHeight="1" outlineLevel="1">
      <c r="B451" s="111"/>
      <c r="C451" s="111" t="s">
        <v>273</v>
      </c>
      <c r="D451" s="111"/>
      <c r="E451" s="110"/>
      <c r="F451" s="110"/>
      <c r="G451" s="110"/>
      <c r="H451" s="88"/>
      <c r="I451" s="80"/>
      <c r="J451" s="126">
        <f t="shared" ref="J451:W451" si="278">I456</f>
        <v>9751738.2506802101</v>
      </c>
      <c r="K451" s="126">
        <f t="shared" si="278"/>
        <v>4396990.9794402895</v>
      </c>
      <c r="L451" s="126">
        <f t="shared" ca="1" si="278"/>
        <v>3935975.6169926673</v>
      </c>
      <c r="M451" s="80">
        <f t="shared" ca="1" si="278"/>
        <v>4279036.8616879024</v>
      </c>
      <c r="N451" s="80">
        <f t="shared" ca="1" si="278"/>
        <v>3282797.0349545656</v>
      </c>
      <c r="O451" s="80">
        <f t="shared" ca="1" si="278"/>
        <v>7482874.4463164676</v>
      </c>
      <c r="P451" s="80">
        <f t="shared" ca="1" si="278"/>
        <v>14605176.16212837</v>
      </c>
      <c r="Q451" s="80">
        <f t="shared" ca="1" si="278"/>
        <v>15890110.179106493</v>
      </c>
      <c r="R451" s="80"/>
      <c r="S451" s="80"/>
      <c r="T451" s="80">
        <f ca="1">P456</f>
        <v>15890110.179106493</v>
      </c>
      <c r="U451" s="80">
        <f ca="1">Q456</f>
        <v>21445359.921084613</v>
      </c>
      <c r="V451" s="80">
        <f t="shared" ca="1" si="278"/>
        <v>22798583.961127471</v>
      </c>
      <c r="W451" s="80">
        <f t="shared" ca="1" si="278"/>
        <v>22815935.525043786</v>
      </c>
      <c r="X451" s="80">
        <f ca="1">W456</f>
        <v>31187808.649229061</v>
      </c>
      <c r="Y451" s="80">
        <f ca="1">X456</f>
        <v>36973073.524159484</v>
      </c>
    </row>
    <row r="452" spans="2:25" ht="15.75" hidden="1" customHeight="1" outlineLevel="1">
      <c r="B452" s="111"/>
      <c r="C452" s="164" t="s">
        <v>132</v>
      </c>
      <c r="D452" s="111"/>
      <c r="E452" s="110"/>
      <c r="F452" s="110"/>
      <c r="G452" s="110"/>
      <c r="H452" s="88"/>
      <c r="I452" s="78"/>
      <c r="J452" s="78">
        <f t="shared" ref="J452:O452" si="279">J448</f>
        <v>483192.83645314601</v>
      </c>
      <c r="K452" s="78">
        <f t="shared" si="279"/>
        <v>1078126.7</v>
      </c>
      <c r="L452" s="78">
        <f>L448</f>
        <v>2109921</v>
      </c>
      <c r="M452" s="78">
        <f t="shared" si="279"/>
        <v>992200.00000000012</v>
      </c>
      <c r="N452" s="78">
        <f>N448</f>
        <v>6365480</v>
      </c>
      <c r="O452" s="78">
        <f t="shared" si="279"/>
        <v>9553012.5130000003</v>
      </c>
      <c r="P452" s="78">
        <f t="shared" ref="P452:Y452" si="280">P448</f>
        <v>2672660.5500000003</v>
      </c>
      <c r="Q452" s="78">
        <f t="shared" si="280"/>
        <v>7509348</v>
      </c>
      <c r="R452" s="78"/>
      <c r="S452" s="78"/>
      <c r="T452" s="78">
        <f>T448</f>
        <v>7509348</v>
      </c>
      <c r="U452" s="78">
        <f t="shared" si="280"/>
        <v>3722898</v>
      </c>
      <c r="V452" s="78">
        <f t="shared" si="280"/>
        <v>2468897.611596121</v>
      </c>
      <c r="W452" s="78">
        <f t="shared" si="280"/>
        <v>11289772.611596121</v>
      </c>
      <c r="X452" s="78">
        <f t="shared" si="280"/>
        <v>9569147.6115961205</v>
      </c>
      <c r="Y452" s="78">
        <f t="shared" si="280"/>
        <v>9569147.6115961205</v>
      </c>
    </row>
    <row r="453" spans="2:25" ht="15.75" hidden="1" customHeight="1" outlineLevel="2">
      <c r="B453" s="111"/>
      <c r="C453" s="164" t="s">
        <v>1398</v>
      </c>
      <c r="D453" s="111"/>
      <c r="E453" s="110"/>
      <c r="F453" s="110"/>
      <c r="G453" s="110"/>
      <c r="H453" s="88"/>
      <c r="I453" s="78"/>
      <c r="J453" s="79"/>
      <c r="K453" s="78"/>
      <c r="L453" s="78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</row>
    <row r="454" spans="2:25" ht="15.75" hidden="1" customHeight="1" outlineLevel="1">
      <c r="B454" s="111"/>
      <c r="C454" s="164" t="s">
        <v>268</v>
      </c>
      <c r="D454" s="111"/>
      <c r="E454" s="110"/>
      <c r="F454" s="110"/>
      <c r="G454" s="110"/>
      <c r="H454" s="88"/>
      <c r="I454" s="80"/>
      <c r="J454" s="79">
        <f>-6040868.80508974-J460</f>
        <v>-4114718.4588514701</v>
      </c>
      <c r="K454" s="80">
        <f t="shared" ref="K454:U454" ca="1" si="281">-K485</f>
        <v>-1539142.0624476224</v>
      </c>
      <c r="L454" s="80">
        <f t="shared" ca="1" si="281"/>
        <v>-1766859.7553047654</v>
      </c>
      <c r="M454" s="80">
        <f t="shared" ca="1" si="281"/>
        <v>-1988439.8267333368</v>
      </c>
      <c r="N454" s="80">
        <f ca="1">-N485</f>
        <v>-2165402.5886380989</v>
      </c>
      <c r="O454" s="80">
        <f ca="1">-O485</f>
        <v>-2430710.7971880985</v>
      </c>
      <c r="P454" s="80">
        <f t="shared" ca="1" si="281"/>
        <v>-1387726.533021878</v>
      </c>
      <c r="Q454" s="80">
        <f t="shared" ca="1" si="281"/>
        <v>-1954098.2580218781</v>
      </c>
      <c r="R454" s="80"/>
      <c r="S454" s="80"/>
      <c r="T454" s="80">
        <f ca="1">-T485</f>
        <v>-1954098.2580218781</v>
      </c>
      <c r="U454" s="80">
        <f t="shared" ca="1" si="281"/>
        <v>-2369673.9599571428</v>
      </c>
      <c r="V454" s="80">
        <f ca="1">-V485</f>
        <v>-2451546.0476798061</v>
      </c>
      <c r="W454" s="80">
        <f ca="1">-W485</f>
        <v>-2917899.4874108462</v>
      </c>
      <c r="X454" s="80">
        <f>-X485</f>
        <v>-3783882.7366656968</v>
      </c>
      <c r="Y454" s="80">
        <f>-Y485</f>
        <v>-4475489.2892753091</v>
      </c>
    </row>
    <row r="455" spans="2:25" ht="15.75" hidden="1" customHeight="1" outlineLevel="1">
      <c r="B455" s="111"/>
      <c r="C455" s="164" t="s">
        <v>274</v>
      </c>
      <c r="D455" s="111"/>
      <c r="E455" s="110"/>
      <c r="F455" s="110"/>
      <c r="G455" s="110"/>
      <c r="H455" s="88"/>
      <c r="I455" s="79"/>
      <c r="J455" s="79">
        <f>-1395490.08946644-327732</f>
        <v>-1723222.08946644</v>
      </c>
      <c r="K455" s="79"/>
      <c r="L455" s="79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</row>
    <row r="456" spans="2:25" ht="15.75" hidden="1" customHeight="1" outlineLevel="1">
      <c r="B456" s="111"/>
      <c r="C456" s="111" t="s">
        <v>275</v>
      </c>
      <c r="D456" s="111"/>
      <c r="E456" s="110"/>
      <c r="F456" s="110"/>
      <c r="G456" s="110"/>
      <c r="H456" s="88"/>
      <c r="I456" s="79">
        <f>9742850.25068021+8888</f>
        <v>9751738.2506802101</v>
      </c>
      <c r="J456" s="80">
        <f>4388102.97944029+8888</f>
        <v>4396990.9794402895</v>
      </c>
      <c r="K456" s="80">
        <f t="shared" ref="K456:U456" ca="1" si="282">SUM(K451:K455)</f>
        <v>3935975.6169926673</v>
      </c>
      <c r="L456" s="80">
        <f t="shared" ca="1" si="282"/>
        <v>4279036.8616879024</v>
      </c>
      <c r="M456" s="80">
        <f t="shared" ca="1" si="282"/>
        <v>3282797.0349545656</v>
      </c>
      <c r="N456" s="80">
        <f t="shared" ca="1" si="282"/>
        <v>7482874.4463164676</v>
      </c>
      <c r="O456" s="80">
        <f t="shared" ca="1" si="282"/>
        <v>14605176.16212837</v>
      </c>
      <c r="P456" s="80">
        <f t="shared" ca="1" si="282"/>
        <v>15890110.179106493</v>
      </c>
      <c r="Q456" s="80">
        <f t="shared" ca="1" si="282"/>
        <v>21445359.921084613</v>
      </c>
      <c r="R456" s="80"/>
      <c r="S456" s="80"/>
      <c r="T456" s="80">
        <f ca="1">SUM(T451:T455)</f>
        <v>21445359.921084613</v>
      </c>
      <c r="U456" s="80">
        <f t="shared" ca="1" si="282"/>
        <v>22798583.961127471</v>
      </c>
      <c r="V456" s="80">
        <f ca="1">SUM(V451:V455)</f>
        <v>22815935.525043786</v>
      </c>
      <c r="W456" s="80">
        <f ca="1">SUM(W451:W455)</f>
        <v>31187808.649229061</v>
      </c>
      <c r="X456" s="80">
        <f ca="1">SUM(X451:X455)</f>
        <v>36973073.524159484</v>
      </c>
      <c r="Y456" s="80">
        <f ca="1">SUM(Y451:Y455)</f>
        <v>42066731.846480295</v>
      </c>
    </row>
    <row r="457" spans="2:25" ht="15.75" hidden="1" customHeight="1" outlineLevel="1">
      <c r="B457" s="111"/>
      <c r="C457" s="111"/>
      <c r="D457" s="111"/>
      <c r="E457" s="110"/>
      <c r="F457" s="131"/>
      <c r="G457" s="131"/>
      <c r="H457" s="88"/>
      <c r="I457" s="80"/>
      <c r="J457" s="80"/>
      <c r="K457" s="80"/>
      <c r="L457" s="8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</row>
    <row r="458" spans="2:25" ht="15.75" hidden="1" customHeight="1" outlineLevel="1">
      <c r="B458" s="111"/>
      <c r="C458" s="111" t="s">
        <v>276</v>
      </c>
      <c r="D458" s="111"/>
      <c r="E458" s="110"/>
      <c r="F458" s="131"/>
      <c r="G458" s="131"/>
      <c r="H458" s="88"/>
      <c r="I458" s="80"/>
      <c r="J458" s="79">
        <v>18201140</v>
      </c>
      <c r="K458" s="80">
        <f t="shared" ref="K458:W458" si="283">J461</f>
        <v>21511181.33412116</v>
      </c>
      <c r="L458" s="80">
        <f t="shared" si="283"/>
        <v>19585030.98788289</v>
      </c>
      <c r="M458" s="80">
        <f t="shared" si="283"/>
        <v>18219726.991644621</v>
      </c>
      <c r="N458" s="80">
        <f t="shared" si="283"/>
        <v>16293576.64540635</v>
      </c>
      <c r="O458" s="80">
        <f t="shared" si="283"/>
        <v>14367426.29916808</v>
      </c>
      <c r="P458" s="80">
        <f t="shared" si="283"/>
        <v>12441275.95292981</v>
      </c>
      <c r="Q458" s="80">
        <f t="shared" si="283"/>
        <v>10515125.606691539</v>
      </c>
      <c r="R458" s="80"/>
      <c r="S458" s="80"/>
      <c r="T458" s="80">
        <f>P461</f>
        <v>10515125.606691539</v>
      </c>
      <c r="U458" s="80">
        <f>Q461</f>
        <v>8588975.2604532689</v>
      </c>
      <c r="V458" s="80">
        <f t="shared" si="283"/>
        <v>6662824.9142149985</v>
      </c>
      <c r="W458" s="80">
        <f t="shared" si="283"/>
        <v>4736674.5679767281</v>
      </c>
      <c r="X458" s="80">
        <f>W461</f>
        <v>2810524.2217384581</v>
      </c>
      <c r="Y458" s="80">
        <f>X461</f>
        <v>884373.87550018821</v>
      </c>
    </row>
    <row r="459" spans="2:25" ht="15.75" hidden="1" customHeight="1" outlineLevel="1">
      <c r="B459" s="111"/>
      <c r="C459" s="164" t="s">
        <v>277</v>
      </c>
      <c r="D459" s="111"/>
      <c r="E459" s="110"/>
      <c r="F459" s="131"/>
      <c r="G459" s="131"/>
      <c r="H459" s="88"/>
      <c r="I459" s="80"/>
      <c r="J459" s="79">
        <f>2119618.39503462+3116573</f>
        <v>5236191.3950346205</v>
      </c>
      <c r="K459" s="80"/>
      <c r="L459" s="80">
        <v>560846.35</v>
      </c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</row>
    <row r="460" spans="2:25" ht="15.75" hidden="1" customHeight="1" outlineLevel="1">
      <c r="B460" s="111"/>
      <c r="C460" s="164" t="s">
        <v>278</v>
      </c>
      <c r="D460" s="111"/>
      <c r="E460" s="110"/>
      <c r="F460" s="131"/>
      <c r="G460" s="131"/>
      <c r="H460" s="88"/>
      <c r="I460" s="80"/>
      <c r="J460" s="79">
        <v>-1926150.3462382699</v>
      </c>
      <c r="K460" s="80">
        <f t="shared" ref="K460:W460" si="284">J460</f>
        <v>-1926150.3462382699</v>
      </c>
      <c r="L460" s="80">
        <f t="shared" si="284"/>
        <v>-1926150.3462382699</v>
      </c>
      <c r="M460" s="80">
        <f t="shared" si="284"/>
        <v>-1926150.3462382699</v>
      </c>
      <c r="N460" s="80">
        <f t="shared" si="284"/>
        <v>-1926150.3462382699</v>
      </c>
      <c r="O460" s="80">
        <f t="shared" si="284"/>
        <v>-1926150.3462382699</v>
      </c>
      <c r="P460" s="80">
        <f t="shared" si="284"/>
        <v>-1926150.3462382699</v>
      </c>
      <c r="Q460" s="80">
        <f t="shared" si="284"/>
        <v>-1926150.3462382699</v>
      </c>
      <c r="R460" s="80"/>
      <c r="S460" s="80"/>
      <c r="T460" s="80">
        <f>Q460</f>
        <v>-1926150.3462382699</v>
      </c>
      <c r="U460" s="80">
        <f>Q460</f>
        <v>-1926150.3462382699</v>
      </c>
      <c r="V460" s="80">
        <f t="shared" si="284"/>
        <v>-1926150.3462382699</v>
      </c>
      <c r="W460" s="80">
        <f t="shared" si="284"/>
        <v>-1926150.3462382699</v>
      </c>
      <c r="X460" s="80">
        <f>W460</f>
        <v>-1926150.3462382699</v>
      </c>
      <c r="Y460" s="80">
        <f>X460</f>
        <v>-1926150.3462382699</v>
      </c>
    </row>
    <row r="461" spans="2:25" ht="15.75" hidden="1" customHeight="1" outlineLevel="1">
      <c r="B461" s="111"/>
      <c r="C461" s="111" t="s">
        <v>279</v>
      </c>
      <c r="D461" s="111"/>
      <c r="E461" s="110"/>
      <c r="F461" s="131"/>
      <c r="G461" s="131"/>
      <c r="H461" s="88"/>
      <c r="I461" s="80"/>
      <c r="J461" s="80">
        <f>22954774.4351032-1443593.10098204</f>
        <v>21511181.33412116</v>
      </c>
      <c r="K461" s="80">
        <f t="shared" ref="K461:U461" si="285">SUM(K458:K460)</f>
        <v>19585030.98788289</v>
      </c>
      <c r="L461" s="80">
        <f t="shared" si="285"/>
        <v>18219726.991644621</v>
      </c>
      <c r="M461" s="80">
        <f t="shared" si="285"/>
        <v>16293576.64540635</v>
      </c>
      <c r="N461" s="80">
        <f t="shared" si="285"/>
        <v>14367426.29916808</v>
      </c>
      <c r="O461" s="80">
        <f t="shared" si="285"/>
        <v>12441275.95292981</v>
      </c>
      <c r="P461" s="80">
        <f t="shared" si="285"/>
        <v>10515125.606691539</v>
      </c>
      <c r="Q461" s="80">
        <f t="shared" si="285"/>
        <v>8588975.2604532689</v>
      </c>
      <c r="R461" s="80"/>
      <c r="S461" s="80"/>
      <c r="T461" s="80">
        <f>SUM(T458:T460)</f>
        <v>8588975.2604532689</v>
      </c>
      <c r="U461" s="80">
        <f t="shared" si="285"/>
        <v>6662824.9142149985</v>
      </c>
      <c r="V461" s="80">
        <f>SUM(V458:V460)</f>
        <v>4736674.5679767281</v>
      </c>
      <c r="W461" s="80">
        <f>SUM(W458:W460)</f>
        <v>2810524.2217384581</v>
      </c>
      <c r="X461" s="80">
        <f>SUM(X458:X460)</f>
        <v>884373.87550018821</v>
      </c>
      <c r="Y461" s="80">
        <f>SUM(Y458:Y460)</f>
        <v>-1041776.4707380817</v>
      </c>
    </row>
    <row r="462" spans="2:25" ht="15.75" hidden="1" customHeight="1" outlineLevel="1">
      <c r="B462" s="111"/>
      <c r="C462" s="111"/>
      <c r="D462" s="111"/>
      <c r="E462" s="110"/>
      <c r="F462" s="131"/>
      <c r="G462" s="131"/>
      <c r="H462" s="88"/>
      <c r="I462" s="80"/>
      <c r="J462" s="80"/>
      <c r="K462" s="80"/>
      <c r="L462" s="8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</row>
    <row r="463" spans="2:25" ht="15.75" hidden="1" customHeight="1" outlineLevel="1">
      <c r="B463" s="111"/>
      <c r="C463" s="111"/>
      <c r="D463" s="111"/>
      <c r="E463" s="110"/>
      <c r="F463" s="131"/>
      <c r="G463" s="131"/>
      <c r="H463" s="88"/>
      <c r="I463" s="80"/>
      <c r="J463" s="80"/>
      <c r="K463" s="80"/>
      <c r="L463" s="8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</row>
    <row r="464" spans="2:25" ht="15.75" hidden="1" customHeight="1" outlineLevel="1">
      <c r="B464" s="111"/>
      <c r="C464" s="111"/>
      <c r="D464" s="111"/>
      <c r="E464" s="110"/>
      <c r="F464" s="131"/>
      <c r="G464" s="131"/>
      <c r="H464" s="88"/>
      <c r="I464" s="80"/>
      <c r="J464" s="80"/>
      <c r="K464" s="80"/>
      <c r="L464" s="8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</row>
    <row r="465" spans="1:25" ht="15.75" customHeight="1" collapsed="1">
      <c r="B465" s="111"/>
      <c r="C465" s="110"/>
      <c r="D465" s="110"/>
      <c r="E465" s="110"/>
      <c r="F465" s="80"/>
      <c r="G465" s="131"/>
      <c r="H465" s="88"/>
      <c r="I465" s="80"/>
      <c r="J465" s="80"/>
      <c r="K465" s="80"/>
      <c r="L465" s="8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</row>
    <row r="466" spans="1:25" ht="15.75" hidden="1" customHeight="1" outlineLevel="1">
      <c r="A466" s="75"/>
      <c r="C466" s="482"/>
      <c r="D466" s="110"/>
      <c r="E466" s="110"/>
      <c r="F466" s="80"/>
      <c r="H466" s="80" t="s">
        <v>462</v>
      </c>
      <c r="I466" s="80"/>
      <c r="J466" s="80"/>
      <c r="K466" s="80"/>
      <c r="L466" s="80"/>
      <c r="M466" s="573"/>
      <c r="N466" s="573"/>
      <c r="O466" s="573"/>
      <c r="P466" s="573"/>
      <c r="Q466" s="573"/>
      <c r="R466" s="573"/>
      <c r="S466" s="573"/>
      <c r="T466" s="573"/>
      <c r="U466" s="573"/>
      <c r="V466" s="573"/>
      <c r="W466" s="573"/>
      <c r="X466" s="573"/>
      <c r="Y466" s="573"/>
    </row>
    <row r="467" spans="1:25" ht="15.75" hidden="1" customHeight="1" outlineLevel="2">
      <c r="A467" s="75"/>
      <c r="C467" s="482"/>
      <c r="D467" s="110"/>
      <c r="E467" s="128" t="s">
        <v>528</v>
      </c>
      <c r="F467" s="126">
        <f>I456</f>
        <v>9751738.2506802101</v>
      </c>
      <c r="G467" s="80"/>
      <c r="H467" s="80">
        <v>7</v>
      </c>
      <c r="I467" s="80" t="s">
        <v>449</v>
      </c>
      <c r="J467" s="80"/>
      <c r="K467" s="80">
        <f t="shared" ref="K467:Y467" si="286">SLN($F$467,,$H$467)</f>
        <v>1393105.4643828871</v>
      </c>
      <c r="L467" s="80">
        <f t="shared" si="286"/>
        <v>1393105.4643828871</v>
      </c>
      <c r="M467" s="80">
        <f t="shared" si="286"/>
        <v>1393105.4643828871</v>
      </c>
      <c r="N467" s="80">
        <f t="shared" si="286"/>
        <v>1393105.4643828871</v>
      </c>
      <c r="O467" s="80">
        <f t="shared" si="286"/>
        <v>1393105.4643828871</v>
      </c>
      <c r="P467" s="80">
        <f t="shared" si="286"/>
        <v>1393105.4643828871</v>
      </c>
      <c r="Q467" s="80">
        <f t="shared" si="286"/>
        <v>1393105.4643828871</v>
      </c>
      <c r="R467" s="80"/>
      <c r="S467" s="80"/>
      <c r="T467" s="80">
        <f t="shared" si="286"/>
        <v>1393105.4643828871</v>
      </c>
      <c r="U467" s="80">
        <f t="shared" si="286"/>
        <v>1393105.4643828871</v>
      </c>
      <c r="V467" s="80">
        <f t="shared" si="286"/>
        <v>1393105.4643828871</v>
      </c>
      <c r="W467" s="80">
        <f t="shared" si="286"/>
        <v>1393105.4643828871</v>
      </c>
      <c r="X467" s="80">
        <f t="shared" si="286"/>
        <v>1393105.4643828871</v>
      </c>
      <c r="Y467" s="80">
        <f t="shared" si="286"/>
        <v>1393105.4643828871</v>
      </c>
    </row>
    <row r="468" spans="1:25" ht="15.75" hidden="1" customHeight="1" outlineLevel="2">
      <c r="A468" s="75"/>
      <c r="C468" s="81"/>
      <c r="D468" s="81"/>
      <c r="E468" s="81"/>
      <c r="F468" s="131"/>
      <c r="G468" s="574"/>
      <c r="H468" s="575"/>
      <c r="I468" s="75"/>
      <c r="L468" s="75"/>
      <c r="M468" s="573"/>
      <c r="N468" s="573"/>
      <c r="O468" s="573"/>
      <c r="P468" s="573"/>
      <c r="Q468" s="573"/>
      <c r="R468" s="573"/>
      <c r="S468" s="573"/>
      <c r="T468" s="573"/>
      <c r="U468" s="573"/>
      <c r="V468" s="573"/>
      <c r="W468" s="573"/>
      <c r="X468" s="573"/>
      <c r="Y468" s="573"/>
    </row>
    <row r="469" spans="1:25" ht="15.75" hidden="1" customHeight="1" outlineLevel="2">
      <c r="B469" s="111"/>
      <c r="C469" s="111"/>
      <c r="D469" s="111"/>
      <c r="E469" s="111"/>
      <c r="I469" s="80"/>
      <c r="J469" s="102"/>
      <c r="K469" s="102"/>
      <c r="L469" s="121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</row>
    <row r="470" spans="1:25" ht="15.75" hidden="1" customHeight="1" outlineLevel="2">
      <c r="B470" s="111"/>
      <c r="C470" s="164"/>
      <c r="D470" s="111"/>
      <c r="E470" s="537"/>
      <c r="F470" s="538" t="str">
        <f>C448</f>
        <v>Capex</v>
      </c>
      <c r="G470" s="126"/>
      <c r="H470" s="80" t="str">
        <f>H466</f>
        <v>Срок полезного использования</v>
      </c>
      <c r="I470" s="117"/>
      <c r="J470" s="80"/>
      <c r="K470" s="117"/>
      <c r="L470" s="118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</row>
    <row r="471" spans="1:25" ht="15.75" hidden="1" customHeight="1" outlineLevel="2">
      <c r="B471" s="111"/>
      <c r="C471" s="164"/>
      <c r="D471" s="111"/>
      <c r="E471" s="539">
        <f>J443</f>
        <v>1</v>
      </c>
      <c r="F471" s="126">
        <f ca="1">OFFSET($I$448,0,E471)</f>
        <v>483192.83645314601</v>
      </c>
      <c r="G471" s="126"/>
      <c r="H471" s="82">
        <v>7</v>
      </c>
      <c r="I471" s="117"/>
      <c r="J471" s="80"/>
      <c r="K471" s="80">
        <f t="shared" ref="K471:Q471" ca="1" si="287">$F$471/$H$471</f>
        <v>69027.548064735151</v>
      </c>
      <c r="L471" s="80">
        <f t="shared" ca="1" si="287"/>
        <v>69027.548064735151</v>
      </c>
      <c r="M471" s="80">
        <f t="shared" ca="1" si="287"/>
        <v>69027.548064735151</v>
      </c>
      <c r="N471" s="80">
        <f t="shared" ca="1" si="287"/>
        <v>69027.548064735151</v>
      </c>
      <c r="O471" s="80">
        <f t="shared" ca="1" si="287"/>
        <v>69027.548064735151</v>
      </c>
      <c r="P471" s="80">
        <f t="shared" ca="1" si="287"/>
        <v>69027.548064735151</v>
      </c>
      <c r="Q471" s="80">
        <f t="shared" ca="1" si="287"/>
        <v>69027.548064735151</v>
      </c>
      <c r="R471" s="80"/>
      <c r="S471" s="80"/>
      <c r="T471" s="80">
        <f ca="1">$F$471/$H$471</f>
        <v>69027.548064735151</v>
      </c>
      <c r="U471" s="80"/>
      <c r="V471" s="80"/>
      <c r="W471" s="80"/>
      <c r="X471" s="80"/>
      <c r="Y471" s="80"/>
    </row>
    <row r="472" spans="1:25" ht="15.75" hidden="1" customHeight="1" outlineLevel="2">
      <c r="B472" s="111"/>
      <c r="C472" s="111"/>
      <c r="D472" s="111"/>
      <c r="E472" s="539">
        <f>K443</f>
        <v>2</v>
      </c>
      <c r="F472" s="126">
        <f ca="1">OFFSET($I$448,0,E472)</f>
        <v>1078126.7</v>
      </c>
      <c r="G472" s="126"/>
      <c r="H472" s="82">
        <f t="shared" ref="H472:H477" si="288">$H$467</f>
        <v>7</v>
      </c>
      <c r="I472" s="117"/>
      <c r="J472" s="80"/>
      <c r="K472" s="80">
        <f ca="1">$F$472/$H$472/2</f>
        <v>77009.05</v>
      </c>
      <c r="L472" s="80">
        <f t="shared" ref="L472:Q472" ca="1" si="289">$F$472/$H$472</f>
        <v>154018.1</v>
      </c>
      <c r="M472" s="80">
        <f t="shared" ca="1" si="289"/>
        <v>154018.1</v>
      </c>
      <c r="N472" s="80">
        <f t="shared" ca="1" si="289"/>
        <v>154018.1</v>
      </c>
      <c r="O472" s="80">
        <f t="shared" ca="1" si="289"/>
        <v>154018.1</v>
      </c>
      <c r="P472" s="80">
        <f t="shared" ca="1" si="289"/>
        <v>154018.1</v>
      </c>
      <c r="Q472" s="80">
        <f t="shared" ca="1" si="289"/>
        <v>154018.1</v>
      </c>
      <c r="R472" s="80"/>
      <c r="S472" s="80"/>
      <c r="T472" s="80">
        <f ca="1">$F$472/$H$472</f>
        <v>154018.1</v>
      </c>
      <c r="U472" s="80">
        <f ca="1">$F$472/$H$472/2</f>
        <v>77009.05</v>
      </c>
      <c r="V472" s="80"/>
      <c r="W472" s="80"/>
      <c r="X472" s="80"/>
      <c r="Y472" s="80"/>
    </row>
    <row r="473" spans="1:25" ht="15.75" hidden="1" customHeight="1" outlineLevel="2">
      <c r="B473" s="111"/>
      <c r="C473" s="111"/>
      <c r="D473" s="540"/>
      <c r="E473" s="539">
        <f t="shared" ref="E473:E479" si="290">E472+1</f>
        <v>3</v>
      </c>
      <c r="F473" s="126">
        <f ca="1">OFFSET($I$448,0,E473)</f>
        <v>2109921</v>
      </c>
      <c r="G473" s="126"/>
      <c r="H473" s="82">
        <f t="shared" si="288"/>
        <v>7</v>
      </c>
      <c r="I473" s="117"/>
      <c r="J473" s="80"/>
      <c r="K473" s="80"/>
      <c r="L473" s="80">
        <f ca="1">$F$473/$H$473/2</f>
        <v>150708.64285714287</v>
      </c>
      <c r="M473" s="80">
        <f t="shared" ref="M473:U473" ca="1" si="291">$F$473/$H$473</f>
        <v>301417.28571428574</v>
      </c>
      <c r="N473" s="80">
        <f t="shared" ca="1" si="291"/>
        <v>301417.28571428574</v>
      </c>
      <c r="O473" s="80">
        <f t="shared" ca="1" si="291"/>
        <v>301417.28571428574</v>
      </c>
      <c r="P473" s="80">
        <f t="shared" ca="1" si="291"/>
        <v>301417.28571428574</v>
      </c>
      <c r="Q473" s="80">
        <f t="shared" ca="1" si="291"/>
        <v>301417.28571428574</v>
      </c>
      <c r="R473" s="80"/>
      <c r="S473" s="80"/>
      <c r="T473" s="80">
        <f t="shared" ca="1" si="291"/>
        <v>301417.28571428574</v>
      </c>
      <c r="U473" s="80">
        <f t="shared" ca="1" si="291"/>
        <v>301417.28571428574</v>
      </c>
      <c r="V473" s="80">
        <f ca="1">$F$473/$H$473/2</f>
        <v>150708.64285714287</v>
      </c>
      <c r="W473" s="80"/>
      <c r="X473" s="80"/>
      <c r="Y473" s="80"/>
    </row>
    <row r="474" spans="1:25" ht="15.75" hidden="1" customHeight="1" outlineLevel="2">
      <c r="B474" s="111"/>
      <c r="C474" s="111"/>
      <c r="D474" s="541"/>
      <c r="E474" s="539">
        <f t="shared" si="290"/>
        <v>4</v>
      </c>
      <c r="F474" s="126">
        <f ca="1">OFFSET($I$448,0,E474)</f>
        <v>992200.00000000012</v>
      </c>
      <c r="G474" s="126"/>
      <c r="H474" s="82">
        <f t="shared" si="288"/>
        <v>7</v>
      </c>
      <c r="I474" s="117"/>
      <c r="J474" s="80"/>
      <c r="K474" s="80"/>
      <c r="L474" s="80"/>
      <c r="M474" s="80">
        <f ca="1">$F$474/$H$474/2</f>
        <v>70871.42857142858</v>
      </c>
      <c r="N474" s="80">
        <f t="shared" ref="N474:V474" ca="1" si="292">$F$474/$H$474</f>
        <v>141742.85714285716</v>
      </c>
      <c r="O474" s="80">
        <f t="shared" ca="1" si="292"/>
        <v>141742.85714285716</v>
      </c>
      <c r="P474" s="80">
        <f t="shared" ca="1" si="292"/>
        <v>141742.85714285716</v>
      </c>
      <c r="Q474" s="80">
        <f t="shared" ca="1" si="292"/>
        <v>141742.85714285716</v>
      </c>
      <c r="R474" s="80"/>
      <c r="S474" s="80"/>
      <c r="T474" s="80">
        <f t="shared" ca="1" si="292"/>
        <v>141742.85714285716</v>
      </c>
      <c r="U474" s="80">
        <f t="shared" ca="1" si="292"/>
        <v>141742.85714285716</v>
      </c>
      <c r="V474" s="80">
        <f t="shared" ca="1" si="292"/>
        <v>141742.85714285716</v>
      </c>
      <c r="W474" s="80">
        <f ca="1">$F$474/$H$474/2</f>
        <v>70871.42857142858</v>
      </c>
      <c r="X474" s="80"/>
      <c r="Y474" s="80"/>
    </row>
    <row r="475" spans="1:25" ht="15.75" hidden="1" customHeight="1" outlineLevel="2">
      <c r="B475" s="111"/>
      <c r="C475" s="111"/>
      <c r="D475" s="111"/>
      <c r="E475" s="539">
        <f t="shared" si="290"/>
        <v>5</v>
      </c>
      <c r="F475" s="126">
        <f>N448</f>
        <v>6365480</v>
      </c>
      <c r="G475" s="126"/>
      <c r="H475" s="82">
        <v>30</v>
      </c>
      <c r="I475" s="117"/>
      <c r="J475" s="80"/>
      <c r="K475" s="80"/>
      <c r="L475" s="80"/>
      <c r="M475" s="80"/>
      <c r="N475" s="80">
        <f>$F$475/$H$475/2</f>
        <v>106091.33333333333</v>
      </c>
      <c r="O475" s="80">
        <f>F475/H475</f>
        <v>212182.66666666666</v>
      </c>
      <c r="P475" s="80">
        <f>$F$475/$H$475</f>
        <v>212182.66666666666</v>
      </c>
      <c r="Q475" s="80">
        <f>$F$475/$H$475</f>
        <v>212182.66666666666</v>
      </c>
      <c r="R475" s="80"/>
      <c r="S475" s="80"/>
      <c r="T475" s="80">
        <f>$F$475/$H$475</f>
        <v>212182.66666666666</v>
      </c>
      <c r="U475" s="80">
        <f>$F$475/$H$475</f>
        <v>212182.66666666666</v>
      </c>
      <c r="V475" s="80">
        <f>$F$475/$H$475</f>
        <v>212182.66666666666</v>
      </c>
      <c r="W475" s="80">
        <f>$F$475/$H$475</f>
        <v>212182.66666666666</v>
      </c>
      <c r="X475" s="80">
        <f>$F$475/$H$475/2</f>
        <v>106091.33333333333</v>
      </c>
      <c r="Y475" s="80"/>
    </row>
    <row r="476" spans="1:25" ht="15.75" hidden="1" customHeight="1" outlineLevel="2">
      <c r="B476" s="111"/>
      <c r="C476" s="111"/>
      <c r="D476" s="111"/>
      <c r="E476" s="539">
        <f t="shared" si="290"/>
        <v>6</v>
      </c>
      <c r="F476" s="126">
        <f>O448</f>
        <v>9553012.5130000003</v>
      </c>
      <c r="G476" s="126"/>
      <c r="H476" s="82">
        <v>30</v>
      </c>
      <c r="I476" s="117"/>
      <c r="J476" s="80"/>
      <c r="K476" s="80"/>
      <c r="L476" s="80"/>
      <c r="M476" s="80"/>
      <c r="N476" s="80"/>
      <c r="O476" s="80">
        <f>$F$476/$H$476/2</f>
        <v>159216.87521666667</v>
      </c>
      <c r="P476" s="80">
        <f>F476/H476</f>
        <v>318433.75043333333</v>
      </c>
      <c r="Q476" s="80">
        <f>$F$476/$H$476</f>
        <v>318433.75043333333</v>
      </c>
      <c r="R476" s="80"/>
      <c r="S476" s="80"/>
      <c r="T476" s="80">
        <f>$F$476/$H$476</f>
        <v>318433.75043333333</v>
      </c>
      <c r="U476" s="80">
        <f>$F$476/$H$476</f>
        <v>318433.75043333333</v>
      </c>
      <c r="V476" s="80">
        <f>$F$476/$H$476</f>
        <v>318433.75043333333</v>
      </c>
      <c r="W476" s="80">
        <f>$F$476/$H$476</f>
        <v>318433.75043333333</v>
      </c>
      <c r="X476" s="80">
        <f>$F$476/$H$476</f>
        <v>318433.75043333333</v>
      </c>
      <c r="Y476" s="80">
        <f>$F$476/$H$476/2</f>
        <v>159216.87521666667</v>
      </c>
    </row>
    <row r="477" spans="1:25" ht="15.75" hidden="1" customHeight="1" outlineLevel="2">
      <c r="B477" s="111"/>
      <c r="C477" s="102"/>
      <c r="D477" s="102"/>
      <c r="E477" s="539">
        <f t="shared" si="290"/>
        <v>7</v>
      </c>
      <c r="F477" s="126">
        <f>P448</f>
        <v>2672660.5500000003</v>
      </c>
      <c r="H477" s="82">
        <f t="shared" si="288"/>
        <v>7</v>
      </c>
      <c r="I477" s="75"/>
      <c r="L477" s="75"/>
      <c r="M477" s="100"/>
      <c r="N477" s="100"/>
      <c r="O477" s="100"/>
      <c r="P477" s="80">
        <f>$F$477/$H$477/2</f>
        <v>190904.32500000001</v>
      </c>
      <c r="Q477" s="80">
        <f t="shared" ref="Q477:Y477" si="293">$F$477/$H$477</f>
        <v>381808.65</v>
      </c>
      <c r="R477" s="80"/>
      <c r="S477" s="80"/>
      <c r="T477" s="80">
        <f t="shared" si="293"/>
        <v>381808.65</v>
      </c>
      <c r="U477" s="80">
        <f t="shared" si="293"/>
        <v>381808.65</v>
      </c>
      <c r="V477" s="80">
        <f t="shared" si="293"/>
        <v>381808.65</v>
      </c>
      <c r="W477" s="80">
        <f t="shared" si="293"/>
        <v>381808.65</v>
      </c>
      <c r="X477" s="80">
        <f t="shared" si="293"/>
        <v>381808.65</v>
      </c>
      <c r="Y477" s="80">
        <f t="shared" si="293"/>
        <v>381808.65</v>
      </c>
    </row>
    <row r="478" spans="1:25" ht="15.75" hidden="1" customHeight="1" outlineLevel="2">
      <c r="B478" s="111"/>
      <c r="C478" s="102"/>
      <c r="D478" s="102"/>
      <c r="E478" s="539">
        <f t="shared" si="290"/>
        <v>8</v>
      </c>
      <c r="F478" s="97">
        <f>Q448</f>
        <v>7509348</v>
      </c>
      <c r="H478" s="82">
        <v>10</v>
      </c>
      <c r="I478" s="75"/>
      <c r="L478" s="75"/>
      <c r="M478" s="100"/>
      <c r="N478" s="100"/>
      <c r="O478" s="100"/>
      <c r="P478" s="100"/>
      <c r="Q478" s="80">
        <f>$F$478/$H$478/2</f>
        <v>375467.4</v>
      </c>
      <c r="R478" s="80"/>
      <c r="S478" s="80"/>
      <c r="T478" s="80">
        <f>$F$478/$H$478/2</f>
        <v>375467.4</v>
      </c>
      <c r="U478" s="80">
        <f>$F$478/$H$478</f>
        <v>750934.8</v>
      </c>
      <c r="V478" s="80">
        <f>$F$478/$H$478</f>
        <v>750934.8</v>
      </c>
      <c r="W478" s="80">
        <f>$F$478/$H$478</f>
        <v>750934.8</v>
      </c>
      <c r="X478" s="80">
        <f>$F$478/$H$478</f>
        <v>750934.8</v>
      </c>
      <c r="Y478" s="80">
        <f>$F$478/$H$478</f>
        <v>750934.8</v>
      </c>
    </row>
    <row r="479" spans="1:25" ht="15.75" hidden="1" customHeight="1" outlineLevel="2">
      <c r="B479" s="111"/>
      <c r="C479" s="102"/>
      <c r="D479" s="102"/>
      <c r="E479" s="539">
        <f t="shared" si="290"/>
        <v>9</v>
      </c>
      <c r="F479" s="126">
        <f>U448</f>
        <v>3722898</v>
      </c>
      <c r="G479" s="126"/>
      <c r="H479" s="82">
        <v>10</v>
      </c>
      <c r="I479" s="80"/>
      <c r="J479" s="80"/>
      <c r="K479" s="80"/>
      <c r="L479" s="80"/>
      <c r="M479" s="100"/>
      <c r="N479" s="100"/>
      <c r="O479" s="100"/>
      <c r="P479" s="100"/>
      <c r="Q479" s="100"/>
      <c r="R479" s="100"/>
      <c r="S479" s="100"/>
      <c r="T479" s="100"/>
      <c r="U479" s="80">
        <f>F479/H479/2</f>
        <v>186144.9</v>
      </c>
      <c r="V479" s="80">
        <f>$F$479/$H$479</f>
        <v>372289.8</v>
      </c>
      <c r="W479" s="80">
        <f>$F$479/$H$479</f>
        <v>372289.8</v>
      </c>
      <c r="X479" s="80">
        <f>$F$479/$H$479</f>
        <v>372289.8</v>
      </c>
      <c r="Y479" s="80">
        <f>$F$479/$H$479</f>
        <v>372289.8</v>
      </c>
    </row>
    <row r="480" spans="1:25" ht="15.75" hidden="1" customHeight="1" outlineLevel="2">
      <c r="B480" s="111"/>
      <c r="C480" s="102"/>
      <c r="D480" s="102"/>
      <c r="E480" s="539"/>
      <c r="F480" s="126">
        <f>V448</f>
        <v>2468897.611596121</v>
      </c>
      <c r="G480" s="126"/>
      <c r="H480" s="82">
        <v>10</v>
      </c>
      <c r="I480" s="80"/>
      <c r="J480" s="80"/>
      <c r="K480" s="80"/>
      <c r="L480" s="80"/>
      <c r="M480" s="100"/>
      <c r="N480" s="100"/>
      <c r="O480" s="100"/>
      <c r="P480" s="100"/>
      <c r="Q480" s="100"/>
      <c r="R480" s="100"/>
      <c r="S480" s="100"/>
      <c r="T480" s="100"/>
      <c r="U480" s="100"/>
      <c r="V480" s="80">
        <f>$F$480/$H$480/2</f>
        <v>123444.88057980605</v>
      </c>
      <c r="W480" s="80">
        <f>$F$480/$H$480</f>
        <v>246889.7611596121</v>
      </c>
      <c r="X480" s="80">
        <f>$F$480/$H$480</f>
        <v>246889.7611596121</v>
      </c>
      <c r="Y480" s="80">
        <f>$F$480/$H$480</f>
        <v>246889.7611596121</v>
      </c>
    </row>
    <row r="481" spans="2:25" ht="15.75" hidden="1" customHeight="1" outlineLevel="1">
      <c r="B481" s="111"/>
      <c r="C481" s="102"/>
      <c r="D481" s="102"/>
      <c r="E481" s="539"/>
      <c r="F481" s="126">
        <f>W448</f>
        <v>11289772.611596121</v>
      </c>
      <c r="G481" s="126"/>
      <c r="H481" s="82">
        <v>10</v>
      </c>
      <c r="I481" s="80"/>
      <c r="J481" s="80"/>
      <c r="K481" s="80"/>
      <c r="L481" s="8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80">
        <f>$F$481/$H$481/2</f>
        <v>564488.63057980605</v>
      </c>
      <c r="X481" s="80">
        <f>$F$481/$H$481</f>
        <v>1128977.2611596121</v>
      </c>
      <c r="Y481" s="80">
        <f>$F$481/$H$481</f>
        <v>1128977.2611596121</v>
      </c>
    </row>
    <row r="482" spans="2:25" ht="15.75" hidden="1" customHeight="1" outlineLevel="1">
      <c r="B482" s="111"/>
      <c r="C482" s="102"/>
      <c r="D482" s="102"/>
      <c r="E482" s="539"/>
      <c r="F482" s="126">
        <f>X448</f>
        <v>9569147.6115961205</v>
      </c>
      <c r="G482" s="126"/>
      <c r="H482" s="82">
        <v>10</v>
      </c>
      <c r="I482" s="80"/>
      <c r="J482" s="80"/>
      <c r="K482" s="80"/>
      <c r="L482" s="8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80"/>
      <c r="X482" s="80">
        <f>$F$482/$H$482/2</f>
        <v>478457.38057980605</v>
      </c>
      <c r="Y482" s="80">
        <f>$F$482/$H$482</f>
        <v>956914.7611596121</v>
      </c>
    </row>
    <row r="483" spans="2:25" ht="15.75" hidden="1" customHeight="1" outlineLevel="1">
      <c r="B483" s="111"/>
      <c r="C483" s="102"/>
      <c r="D483" s="102"/>
      <c r="E483" s="539"/>
      <c r="F483" s="126">
        <f>Y448</f>
        <v>9569147.6115961205</v>
      </c>
      <c r="G483" s="126"/>
      <c r="H483" s="82">
        <v>10</v>
      </c>
      <c r="I483" s="80"/>
      <c r="J483" s="80"/>
      <c r="K483" s="80"/>
      <c r="L483" s="8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80"/>
      <c r="X483" s="80"/>
      <c r="Y483" s="80">
        <f>$F$483/$H$483/2</f>
        <v>478457.38057980605</v>
      </c>
    </row>
    <row r="484" spans="2:25" ht="15.75" hidden="1" customHeight="1" outlineLevel="1">
      <c r="B484" s="111"/>
      <c r="C484" s="102"/>
      <c r="D484" s="102"/>
      <c r="E484" s="539"/>
      <c r="F484" s="126"/>
      <c r="G484" s="126"/>
      <c r="H484" s="82"/>
      <c r="I484" s="80"/>
      <c r="J484" s="80"/>
      <c r="K484" s="80"/>
      <c r="L484" s="8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80"/>
      <c r="X484" s="80"/>
      <c r="Y484" s="80"/>
    </row>
    <row r="485" spans="2:25" ht="15.75" hidden="1" customHeight="1" outlineLevel="1">
      <c r="B485" s="111"/>
      <c r="C485" s="111" t="s">
        <v>1399</v>
      </c>
      <c r="D485" s="111"/>
      <c r="E485" s="111"/>
      <c r="F485" s="111"/>
      <c r="G485" s="111"/>
      <c r="H485" s="88"/>
      <c r="I485" s="79">
        <f>-I244</f>
        <v>0</v>
      </c>
      <c r="J485" s="79">
        <f>-J454</f>
        <v>4114718.4588514701</v>
      </c>
      <c r="K485" s="79">
        <f ca="1">SUM(K467:K477)</f>
        <v>1539142.0624476224</v>
      </c>
      <c r="L485" s="79">
        <f ca="1">SUM(L467:L477)</f>
        <v>1766859.7553047654</v>
      </c>
      <c r="M485" s="79">
        <f ca="1">SUM(M467:M477)</f>
        <v>1988439.8267333368</v>
      </c>
      <c r="N485" s="79">
        <f ca="1">SUM(N467:N477)</f>
        <v>2165402.5886380989</v>
      </c>
      <c r="O485" s="79">
        <f ca="1">SUM(O467:O477)</f>
        <v>2430710.7971880985</v>
      </c>
      <c r="P485" s="79">
        <f t="shared" ref="P485:X485" ca="1" si="294">SUM(P471:P484)</f>
        <v>1387726.533021878</v>
      </c>
      <c r="Q485" s="79">
        <f t="shared" ca="1" si="294"/>
        <v>1954098.2580218781</v>
      </c>
      <c r="R485" s="79"/>
      <c r="S485" s="79"/>
      <c r="T485" s="79">
        <f ca="1">SUM(T471:T484)</f>
        <v>1954098.2580218781</v>
      </c>
      <c r="U485" s="79">
        <f t="shared" ca="1" si="294"/>
        <v>2369673.9599571428</v>
      </c>
      <c r="V485" s="79">
        <f t="shared" ca="1" si="294"/>
        <v>2451546.0476798061</v>
      </c>
      <c r="W485" s="79">
        <f t="shared" ca="1" si="294"/>
        <v>2917899.4874108462</v>
      </c>
      <c r="X485" s="79">
        <f t="shared" si="294"/>
        <v>3783882.7366656968</v>
      </c>
      <c r="Y485" s="79">
        <f>SUM(Y471:Y484)</f>
        <v>4475489.2892753091</v>
      </c>
    </row>
    <row r="486" spans="2:25" ht="15.75" hidden="1" customHeight="1" outlineLevel="1">
      <c r="B486" s="111"/>
      <c r="C486" s="75" t="s">
        <v>1738</v>
      </c>
      <c r="H486" s="75"/>
      <c r="I486" s="75"/>
      <c r="J486" s="79">
        <f t="shared" ref="J486:U486" si="295">J460*-1</f>
        <v>1926150.3462382699</v>
      </c>
      <c r="K486" s="79">
        <f t="shared" si="295"/>
        <v>1926150.3462382699</v>
      </c>
      <c r="L486" s="79">
        <f t="shared" si="295"/>
        <v>1926150.3462382699</v>
      </c>
      <c r="M486" s="79">
        <f t="shared" si="295"/>
        <v>1926150.3462382699</v>
      </c>
      <c r="N486" s="79">
        <f t="shared" si="295"/>
        <v>1926150.3462382699</v>
      </c>
      <c r="O486" s="79">
        <f t="shared" si="295"/>
        <v>1926150.3462382699</v>
      </c>
      <c r="P486" s="79">
        <f t="shared" si="295"/>
        <v>1926150.3462382699</v>
      </c>
      <c r="Q486" s="79">
        <f t="shared" si="295"/>
        <v>1926150.3462382699</v>
      </c>
      <c r="R486" s="79"/>
      <c r="S486" s="79"/>
      <c r="T486" s="79">
        <f>T460*-1</f>
        <v>1926150.3462382699</v>
      </c>
      <c r="U486" s="79">
        <f t="shared" si="295"/>
        <v>1926150.3462382699</v>
      </c>
      <c r="V486" s="79">
        <f>V460*-1</f>
        <v>1926150.3462382699</v>
      </c>
      <c r="W486" s="79">
        <f>W460*-1</f>
        <v>1926150.3462382699</v>
      </c>
      <c r="X486" s="79">
        <f>X460*-1</f>
        <v>1926150.3462382699</v>
      </c>
      <c r="Y486" s="79">
        <f>Y460*-1</f>
        <v>1926150.3462382699</v>
      </c>
    </row>
    <row r="487" spans="2:25" ht="15.75" hidden="1" customHeight="1" outlineLevel="1">
      <c r="B487" s="111"/>
      <c r="C487" s="75"/>
      <c r="H487" s="75"/>
      <c r="I487" s="75"/>
      <c r="L487" s="75"/>
    </row>
    <row r="488" spans="2:25" ht="15.75" hidden="1" customHeight="1" outlineLevel="1">
      <c r="B488" s="111"/>
      <c r="C488" s="75"/>
      <c r="H488" s="75"/>
      <c r="I488" s="75"/>
      <c r="L488" s="75"/>
    </row>
    <row r="489" spans="2:25" ht="15.75" hidden="1" customHeight="1" outlineLevel="1">
      <c r="B489" s="111"/>
      <c r="C489" s="164"/>
      <c r="D489" s="164"/>
      <c r="E489" s="111"/>
      <c r="F489" s="111"/>
      <c r="G489" s="111"/>
      <c r="I489" s="110"/>
      <c r="J489" s="111"/>
      <c r="K489" s="128"/>
      <c r="L489" s="128"/>
      <c r="M489" s="114"/>
      <c r="N489" s="110"/>
      <c r="O489" s="110"/>
      <c r="P489" s="110"/>
      <c r="Q489" s="110"/>
      <c r="R489" s="110"/>
      <c r="S489" s="110"/>
      <c r="T489" s="110"/>
      <c r="U489" s="110"/>
      <c r="V489" s="110"/>
      <c r="W489" s="110"/>
      <c r="X489" s="110"/>
      <c r="Y489" s="110"/>
    </row>
    <row r="490" spans="2:25" ht="27" hidden="1" outlineLevel="1">
      <c r="B490" s="111"/>
      <c r="C490" s="499" t="s">
        <v>431</v>
      </c>
      <c r="I490" s="117"/>
      <c r="J490" s="102"/>
      <c r="K490" s="103"/>
      <c r="L490" s="137"/>
      <c r="M490" s="435"/>
      <c r="N490" s="435"/>
      <c r="O490" s="435"/>
      <c r="P490" s="435"/>
      <c r="Q490" s="435"/>
      <c r="R490" s="435"/>
      <c r="S490" s="435"/>
      <c r="T490" s="435"/>
      <c r="U490" s="435"/>
      <c r="V490" s="435"/>
      <c r="W490" s="435"/>
      <c r="X490" s="435"/>
      <c r="Y490" s="435"/>
    </row>
    <row r="491" spans="2:25" ht="3" hidden="1" customHeight="1" outlineLevel="1">
      <c r="B491" s="111"/>
      <c r="C491" s="104"/>
      <c r="D491" s="104"/>
      <c r="E491" s="104"/>
      <c r="F491" s="104"/>
      <c r="G491" s="104"/>
      <c r="H491" s="465"/>
      <c r="I491" s="104"/>
      <c r="J491" s="104"/>
      <c r="K491" s="104"/>
      <c r="L491" s="104"/>
      <c r="M491" s="104"/>
      <c r="N491" s="420"/>
      <c r="O491" s="420"/>
      <c r="P491" s="420"/>
      <c r="Q491" s="420"/>
      <c r="R491" s="420"/>
      <c r="S491" s="420"/>
      <c r="T491" s="420"/>
      <c r="U491" s="420"/>
      <c r="V491" s="420"/>
      <c r="W491" s="420"/>
      <c r="X491" s="420"/>
      <c r="Y491" s="420"/>
    </row>
    <row r="492" spans="2:25" ht="15.75" hidden="1" customHeight="1" outlineLevel="1">
      <c r="B492" s="111"/>
      <c r="C492" s="75" t="s">
        <v>1400</v>
      </c>
      <c r="I492" s="117"/>
      <c r="J492" s="102"/>
      <c r="K492" s="103"/>
      <c r="L492" s="137"/>
      <c r="M492" s="435"/>
      <c r="N492" s="435"/>
      <c r="O492" s="435"/>
      <c r="P492" s="435"/>
      <c r="Q492" s="435"/>
      <c r="R492" s="435"/>
      <c r="S492" s="435"/>
      <c r="T492" s="435"/>
      <c r="U492" s="435"/>
      <c r="V492" s="435"/>
      <c r="W492" s="435"/>
      <c r="X492" s="435"/>
      <c r="Y492" s="435"/>
    </row>
    <row r="493" spans="2:25" ht="15.75" hidden="1" customHeight="1" outlineLevel="1">
      <c r="B493" s="111"/>
      <c r="C493" s="480" t="s">
        <v>416</v>
      </c>
      <c r="I493" s="117"/>
      <c r="J493" s="500"/>
      <c r="K493" s="105"/>
      <c r="L493" s="138"/>
      <c r="M493" s="138"/>
      <c r="N493" s="138"/>
      <c r="O493" s="138"/>
      <c r="P493" s="138"/>
      <c r="Q493" s="138"/>
      <c r="R493" s="138"/>
      <c r="S493" s="138"/>
      <c r="T493" s="138"/>
      <c r="U493" s="138"/>
      <c r="V493" s="138"/>
      <c r="W493" s="138"/>
      <c r="X493" s="138"/>
      <c r="Y493" s="138"/>
    </row>
    <row r="494" spans="2:25" ht="15.75" hidden="1" customHeight="1" outlineLevel="1">
      <c r="B494" s="111"/>
      <c r="C494" s="501" t="s">
        <v>1400</v>
      </c>
      <c r="D494" s="106"/>
      <c r="E494" s="106"/>
      <c r="F494" s="106"/>
      <c r="G494" s="106"/>
      <c r="H494" s="502"/>
      <c r="I494" s="92">
        <v>0</v>
      </c>
      <c r="J494" s="92">
        <v>1</v>
      </c>
      <c r="K494" s="92">
        <v>2</v>
      </c>
      <c r="L494" s="92">
        <v>3</v>
      </c>
      <c r="M494" s="92">
        <v>4</v>
      </c>
      <c r="N494" s="92">
        <v>5</v>
      </c>
      <c r="O494" s="92">
        <f t="shared" ref="O494:Q494" si="296">O7</f>
        <v>6</v>
      </c>
      <c r="P494" s="92">
        <f t="shared" si="296"/>
        <v>7</v>
      </c>
      <c r="Q494" s="92">
        <f t="shared" si="296"/>
        <v>8</v>
      </c>
      <c r="R494" s="92"/>
      <c r="S494" s="92"/>
      <c r="T494" s="92" t="str">
        <f>T7</f>
        <v>Revised</v>
      </c>
      <c r="U494" s="92">
        <f t="shared" ref="U494:W494" si="297">U7</f>
        <v>9</v>
      </c>
      <c r="V494" s="92">
        <f t="shared" si="297"/>
        <v>10</v>
      </c>
      <c r="W494" s="92">
        <f t="shared" si="297"/>
        <v>11</v>
      </c>
      <c r="X494" s="92">
        <f>X7</f>
        <v>12</v>
      </c>
      <c r="Y494" s="92">
        <f>Y7</f>
        <v>13</v>
      </c>
    </row>
    <row r="495" spans="2:25" ht="15.75" hidden="1" customHeight="1" outlineLevel="1">
      <c r="B495" s="111"/>
      <c r="C495" s="504"/>
      <c r="D495" s="469"/>
      <c r="E495" s="469"/>
      <c r="F495" s="469"/>
      <c r="G495" s="469"/>
      <c r="H495" s="470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</row>
    <row r="496" spans="2:25" ht="15.75" hidden="1" customHeight="1" outlineLevel="1">
      <c r="B496" s="111"/>
      <c r="C496" s="505"/>
      <c r="D496" s="472"/>
      <c r="E496" s="506"/>
      <c r="F496" s="506"/>
      <c r="G496" s="506"/>
      <c r="H496" s="473"/>
      <c r="I496" s="94" t="s">
        <v>499</v>
      </c>
      <c r="J496" s="94" t="s">
        <v>499</v>
      </c>
      <c r="K496" s="99" t="s">
        <v>499</v>
      </c>
      <c r="L496" s="99" t="s">
        <v>499</v>
      </c>
      <c r="M496" s="99" t="s">
        <v>499</v>
      </c>
      <c r="N496" s="99" t="s">
        <v>499</v>
      </c>
      <c r="O496" s="99" t="s">
        <v>499</v>
      </c>
      <c r="P496" s="99" t="s">
        <v>499</v>
      </c>
      <c r="Q496" s="99" t="s">
        <v>499</v>
      </c>
      <c r="R496" s="99"/>
      <c r="S496" s="99"/>
      <c r="T496" s="99" t="s">
        <v>499</v>
      </c>
      <c r="U496" s="99" t="s">
        <v>499</v>
      </c>
      <c r="V496" s="99" t="s">
        <v>499</v>
      </c>
      <c r="W496" s="99" t="s">
        <v>499</v>
      </c>
      <c r="X496" s="99" t="s">
        <v>499</v>
      </c>
      <c r="Y496" s="99" t="s">
        <v>499</v>
      </c>
    </row>
    <row r="497" spans="1:25" ht="15.75" hidden="1" customHeight="1" outlineLevel="1">
      <c r="B497" s="111"/>
      <c r="C497" s="102"/>
      <c r="D497" s="102"/>
      <c r="E497" s="102"/>
      <c r="F497" s="102"/>
      <c r="G497" s="102"/>
      <c r="I497" s="117"/>
      <c r="J497" s="102"/>
      <c r="K497" s="102"/>
      <c r="L497" s="121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</row>
    <row r="498" spans="1:25" ht="15.75" hidden="1" customHeight="1" outlineLevel="1">
      <c r="B498" s="111"/>
      <c r="C498" s="110" t="s">
        <v>1401</v>
      </c>
      <c r="D498" s="110"/>
      <c r="E498" s="110"/>
      <c r="F498" s="110"/>
      <c r="G498" s="110"/>
      <c r="H498" s="88"/>
      <c r="I498" s="80"/>
      <c r="J498" s="126">
        <f>I328</f>
        <v>28684719.434425998</v>
      </c>
      <c r="K498" s="126">
        <f t="shared" ref="K498:W498" si="298">J506</f>
        <v>46096468.258348517</v>
      </c>
      <c r="L498" s="126">
        <f t="shared" ca="1" si="298"/>
        <v>59960472.126225606</v>
      </c>
      <c r="M498" s="80">
        <f t="shared" ca="1" si="298"/>
        <v>74414539.27845788</v>
      </c>
      <c r="N498" s="80">
        <f t="shared" ca="1" si="298"/>
        <v>93070044.345714301</v>
      </c>
      <c r="O498" s="80">
        <f t="shared" ca="1" si="298"/>
        <v>123282910.93889105</v>
      </c>
      <c r="P498" s="80">
        <f t="shared" ca="1" si="298"/>
        <v>145900260.19198379</v>
      </c>
      <c r="Q498" s="80">
        <f t="shared" ca="1" si="298"/>
        <v>188233004.89931962</v>
      </c>
      <c r="R498" s="80"/>
      <c r="S498" s="80"/>
      <c r="T498" s="80">
        <f ca="1">P506</f>
        <v>188233004.89931962</v>
      </c>
      <c r="U498" s="80">
        <f ca="1">Q506</f>
        <v>242334653.16291124</v>
      </c>
      <c r="V498" s="80">
        <f t="shared" ca="1" si="298"/>
        <v>302423682.48513395</v>
      </c>
      <c r="W498" s="80">
        <f t="shared" ca="1" si="298"/>
        <v>362843195.81917876</v>
      </c>
      <c r="X498" s="80">
        <f ca="1">W506</f>
        <v>413785494.13036519</v>
      </c>
      <c r="Y498" s="80">
        <f ca="1">X506</f>
        <v>461861495.86905748</v>
      </c>
    </row>
    <row r="499" spans="1:25" ht="15.75" hidden="1" customHeight="1" outlineLevel="1">
      <c r="B499" s="111"/>
      <c r="C499" s="482" t="s">
        <v>1402</v>
      </c>
      <c r="D499" s="102"/>
      <c r="E499" s="110"/>
      <c r="F499" s="110"/>
      <c r="G499" s="110"/>
      <c r="H499" s="88"/>
      <c r="I499" s="80"/>
      <c r="J499" s="80">
        <f t="shared" ref="J499:O499" si="299">J255</f>
        <v>11821668.669059269</v>
      </c>
      <c r="K499" s="80">
        <f t="shared" ca="1" si="299"/>
        <v>13864003.867877085</v>
      </c>
      <c r="L499" s="80">
        <f t="shared" ca="1" si="299"/>
        <v>13893220.802232273</v>
      </c>
      <c r="M499" s="80">
        <f ca="1">M255</f>
        <v>18655505.067256421</v>
      </c>
      <c r="N499" s="80">
        <f ca="1">N255</f>
        <v>30212866.59317676</v>
      </c>
      <c r="O499" s="80">
        <f t="shared" ca="1" si="299"/>
        <v>22617349.253092747</v>
      </c>
      <c r="P499" s="80">
        <f t="shared" ref="P499:Y499" ca="1" si="300">P255</f>
        <v>42332744.707335837</v>
      </c>
      <c r="Q499" s="80">
        <f t="shared" ca="1" si="300"/>
        <v>54101648.263591602</v>
      </c>
      <c r="R499" s="80"/>
      <c r="S499" s="80"/>
      <c r="T499" s="80">
        <f ca="1">T255</f>
        <v>35198171.903299794</v>
      </c>
      <c r="U499" s="80">
        <f t="shared" ca="1" si="300"/>
        <v>60089029.322222702</v>
      </c>
      <c r="V499" s="80">
        <f t="shared" ca="1" si="300"/>
        <v>60419513.334044822</v>
      </c>
      <c r="W499" s="80">
        <f t="shared" ca="1" si="300"/>
        <v>50942298.31118644</v>
      </c>
      <c r="X499" s="80">
        <f t="shared" ca="1" si="300"/>
        <v>48076001.738692299</v>
      </c>
      <c r="Y499" s="80">
        <f t="shared" ca="1" si="300"/>
        <v>48407760.093066774</v>
      </c>
    </row>
    <row r="500" spans="1:25" ht="15.75" hidden="1" customHeight="1" outlineLevel="1">
      <c r="B500" s="111"/>
      <c r="C500" s="482" t="s">
        <v>1403</v>
      </c>
      <c r="D500" s="102"/>
      <c r="E500" s="110"/>
      <c r="F500" s="110"/>
      <c r="G500" s="110"/>
      <c r="H500" s="88"/>
      <c r="I500" s="79"/>
      <c r="J500" s="79">
        <v>0</v>
      </c>
      <c r="K500" s="79">
        <v>0</v>
      </c>
      <c r="L500" s="79">
        <v>0</v>
      </c>
      <c r="M500" s="79">
        <v>0</v>
      </c>
      <c r="N500" s="79">
        <v>0</v>
      </c>
      <c r="O500" s="79">
        <v>0</v>
      </c>
      <c r="P500" s="79">
        <v>0</v>
      </c>
      <c r="Q500" s="79">
        <v>0</v>
      </c>
      <c r="R500" s="79"/>
      <c r="S500" s="79"/>
      <c r="T500" s="79">
        <v>0</v>
      </c>
      <c r="U500" s="79">
        <v>0</v>
      </c>
      <c r="V500" s="79">
        <v>0</v>
      </c>
      <c r="W500" s="79">
        <v>0</v>
      </c>
      <c r="X500" s="79">
        <v>0</v>
      </c>
      <c r="Y500" s="79">
        <v>0</v>
      </c>
    </row>
    <row r="501" spans="1:25" ht="15.75" hidden="1" customHeight="1" outlineLevel="1">
      <c r="B501" s="111"/>
      <c r="C501" s="482" t="s">
        <v>1404</v>
      </c>
      <c r="D501" s="102"/>
      <c r="E501" s="110"/>
      <c r="F501" s="110"/>
      <c r="G501" s="110"/>
      <c r="H501" s="88"/>
      <c r="I501" s="82"/>
      <c r="J501" s="82">
        <v>0</v>
      </c>
      <c r="K501" s="82">
        <v>0</v>
      </c>
      <c r="L501" s="82">
        <v>0</v>
      </c>
      <c r="M501" s="82">
        <v>0</v>
      </c>
      <c r="N501" s="82">
        <v>0</v>
      </c>
      <c r="O501" s="82">
        <v>0</v>
      </c>
      <c r="P501" s="82">
        <v>0</v>
      </c>
      <c r="Q501" s="82">
        <v>0</v>
      </c>
      <c r="R501" s="82"/>
      <c r="S501" s="82"/>
      <c r="T501" s="82">
        <v>0</v>
      </c>
      <c r="U501" s="82">
        <v>0</v>
      </c>
      <c r="V501" s="82">
        <v>0</v>
      </c>
      <c r="W501" s="82">
        <v>0</v>
      </c>
      <c r="X501" s="82">
        <v>0</v>
      </c>
      <c r="Y501" s="82">
        <v>0</v>
      </c>
    </row>
    <row r="502" spans="1:25" ht="15.75" hidden="1" customHeight="1" outlineLevel="1">
      <c r="B502" s="111"/>
      <c r="C502" s="482" t="s">
        <v>1405</v>
      </c>
      <c r="D502" s="102"/>
      <c r="E502" s="110"/>
      <c r="F502" s="110"/>
      <c r="G502" s="110"/>
      <c r="H502" s="88"/>
      <c r="I502" s="80"/>
      <c r="J502" s="126">
        <v>0</v>
      </c>
      <c r="K502" s="126">
        <v>0</v>
      </c>
      <c r="L502" s="126">
        <v>0</v>
      </c>
      <c r="M502" s="80">
        <v>0</v>
      </c>
      <c r="N502" s="80">
        <v>0</v>
      </c>
      <c r="O502" s="80">
        <v>0</v>
      </c>
      <c r="P502" s="80">
        <v>0</v>
      </c>
      <c r="Q502" s="80">
        <v>0</v>
      </c>
      <c r="R502" s="80"/>
      <c r="S502" s="80"/>
      <c r="T502" s="80">
        <v>0</v>
      </c>
      <c r="U502" s="80">
        <v>0</v>
      </c>
      <c r="V502" s="80">
        <v>0</v>
      </c>
      <c r="W502" s="80">
        <v>0</v>
      </c>
      <c r="X502" s="80">
        <v>0</v>
      </c>
      <c r="Y502" s="80">
        <v>0</v>
      </c>
    </row>
    <row r="503" spans="1:25" ht="15.75" hidden="1" customHeight="1" outlineLevel="1">
      <c r="B503" s="111"/>
      <c r="C503" s="482" t="s">
        <v>1406</v>
      </c>
      <c r="D503" s="102"/>
      <c r="E503" s="110"/>
      <c r="F503" s="110"/>
      <c r="G503" s="110"/>
      <c r="H503" s="88"/>
      <c r="I503" s="79"/>
      <c r="J503" s="79">
        <f t="shared" ref="J503:U503" si="301">J453+J459</f>
        <v>5236191.3950346205</v>
      </c>
      <c r="K503" s="79">
        <f t="shared" si="301"/>
        <v>0</v>
      </c>
      <c r="L503" s="79">
        <f t="shared" si="301"/>
        <v>560846.35</v>
      </c>
      <c r="M503" s="79">
        <f t="shared" si="301"/>
        <v>0</v>
      </c>
      <c r="N503" s="79">
        <f t="shared" si="301"/>
        <v>0</v>
      </c>
      <c r="O503" s="79">
        <f t="shared" si="301"/>
        <v>0</v>
      </c>
      <c r="P503" s="79">
        <f t="shared" si="301"/>
        <v>0</v>
      </c>
      <c r="Q503" s="79">
        <f t="shared" si="301"/>
        <v>0</v>
      </c>
      <c r="R503" s="79"/>
      <c r="S503" s="79"/>
      <c r="T503" s="79">
        <f>T453+T459</f>
        <v>0</v>
      </c>
      <c r="U503" s="79">
        <f t="shared" si="301"/>
        <v>0</v>
      </c>
      <c r="V503" s="79">
        <f>V453+V459</f>
        <v>0</v>
      </c>
      <c r="W503" s="79">
        <f>W453+W459</f>
        <v>0</v>
      </c>
      <c r="X503" s="79">
        <f>X453+X459</f>
        <v>0</v>
      </c>
      <c r="Y503" s="79">
        <f>Y453+Y459</f>
        <v>0</v>
      </c>
    </row>
    <row r="504" spans="1:25" ht="15.75" hidden="1" customHeight="1" outlineLevel="1">
      <c r="B504" s="111"/>
      <c r="C504" s="482" t="s">
        <v>1407</v>
      </c>
      <c r="D504" s="102"/>
      <c r="E504" s="110"/>
      <c r="F504" s="110"/>
      <c r="G504" s="110"/>
      <c r="H504" s="88"/>
      <c r="I504" s="80"/>
      <c r="J504" s="126">
        <v>0</v>
      </c>
      <c r="K504" s="126">
        <v>0</v>
      </c>
      <c r="L504" s="126">
        <v>0</v>
      </c>
      <c r="M504" s="80">
        <v>0</v>
      </c>
      <c r="N504" s="80">
        <v>0</v>
      </c>
      <c r="O504" s="80">
        <v>0</v>
      </c>
      <c r="P504" s="80">
        <v>0</v>
      </c>
      <c r="Q504" s="80">
        <v>0</v>
      </c>
      <c r="R504" s="80"/>
      <c r="S504" s="80"/>
      <c r="T504" s="80">
        <v>0</v>
      </c>
      <c r="U504" s="80">
        <v>0</v>
      </c>
      <c r="V504" s="80">
        <v>0</v>
      </c>
      <c r="W504" s="80">
        <v>0</v>
      </c>
      <c r="X504" s="80">
        <v>0</v>
      </c>
      <c r="Y504" s="80">
        <v>0</v>
      </c>
    </row>
    <row r="505" spans="1:25" ht="15.75" hidden="1" customHeight="1" outlineLevel="1">
      <c r="B505" s="111"/>
      <c r="C505" s="482" t="s">
        <v>1408</v>
      </c>
      <c r="D505" s="102"/>
      <c r="E505" s="110"/>
      <c r="F505" s="110"/>
      <c r="G505" s="110"/>
      <c r="H505" s="88"/>
      <c r="I505" s="79"/>
      <c r="J505" s="79">
        <f>2932233.75982863-2578345</f>
        <v>353888.7598286299</v>
      </c>
      <c r="K505" s="79">
        <v>0</v>
      </c>
      <c r="L505" s="79">
        <v>0</v>
      </c>
      <c r="M505" s="79">
        <v>0</v>
      </c>
      <c r="N505" s="79">
        <v>0</v>
      </c>
      <c r="O505" s="79">
        <v>0</v>
      </c>
      <c r="P505" s="79">
        <v>0</v>
      </c>
      <c r="Q505" s="79">
        <v>0</v>
      </c>
      <c r="R505" s="79"/>
      <c r="S505" s="79"/>
      <c r="T505" s="79">
        <v>0</v>
      </c>
      <c r="U505" s="79">
        <v>0</v>
      </c>
      <c r="V505" s="79">
        <v>0</v>
      </c>
      <c r="W505" s="79">
        <v>0</v>
      </c>
      <c r="X505" s="79">
        <v>0</v>
      </c>
      <c r="Y505" s="79">
        <v>0</v>
      </c>
    </row>
    <row r="506" spans="1:25" ht="15.75" hidden="1" customHeight="1" outlineLevel="1">
      <c r="B506" s="111"/>
      <c r="C506" s="110" t="s">
        <v>1409</v>
      </c>
      <c r="D506" s="110"/>
      <c r="E506" s="110"/>
      <c r="F506" s="110"/>
      <c r="G506" s="110"/>
      <c r="H506" s="88"/>
      <c r="I506" s="80"/>
      <c r="J506" s="80">
        <f t="shared" ref="J506:U506" si="302">SUM(J498:J505)</f>
        <v>46096468.258348517</v>
      </c>
      <c r="K506" s="80">
        <f t="shared" ca="1" si="302"/>
        <v>59960472.126225606</v>
      </c>
      <c r="L506" s="80">
        <f t="shared" ca="1" si="302"/>
        <v>74414539.27845788</v>
      </c>
      <c r="M506" s="80">
        <f t="shared" ca="1" si="302"/>
        <v>93070044.345714301</v>
      </c>
      <c r="N506" s="80">
        <f t="shared" ca="1" si="302"/>
        <v>123282910.93889105</v>
      </c>
      <c r="O506" s="80">
        <f t="shared" ca="1" si="302"/>
        <v>145900260.19198379</v>
      </c>
      <c r="P506" s="80">
        <f t="shared" ca="1" si="302"/>
        <v>188233004.89931962</v>
      </c>
      <c r="Q506" s="80">
        <f t="shared" ca="1" si="302"/>
        <v>242334653.16291124</v>
      </c>
      <c r="R506" s="80"/>
      <c r="S506" s="80"/>
      <c r="T506" s="80">
        <f ca="1">SUM(T498:T505)</f>
        <v>223431176.8026194</v>
      </c>
      <c r="U506" s="80">
        <f t="shared" ca="1" si="302"/>
        <v>302423682.48513395</v>
      </c>
      <c r="V506" s="80">
        <f ca="1">SUM(V498:V505)</f>
        <v>362843195.81917876</v>
      </c>
      <c r="W506" s="80">
        <f ca="1">SUM(W498:W505)</f>
        <v>413785494.13036519</v>
      </c>
      <c r="X506" s="80">
        <f ca="1">SUM(X498:X505)</f>
        <v>461861495.86905748</v>
      </c>
      <c r="Y506" s="80">
        <f ca="1">SUM(Y498:Y505)</f>
        <v>510269255.96212423</v>
      </c>
    </row>
    <row r="507" spans="1:25" ht="15.75" hidden="1" customHeight="1" outlineLevel="1">
      <c r="B507" s="111"/>
      <c r="C507" s="102"/>
      <c r="D507" s="102"/>
      <c r="E507" s="102"/>
      <c r="F507" s="102"/>
      <c r="G507" s="102"/>
      <c r="I507" s="117"/>
      <c r="J507" s="102"/>
      <c r="K507" s="102"/>
      <c r="L507" s="121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</row>
    <row r="508" spans="1:25" ht="15.75" hidden="1" customHeight="1" outlineLevel="1">
      <c r="B508" s="111"/>
      <c r="C508" s="110"/>
      <c r="D508" s="111"/>
      <c r="E508" s="111"/>
      <c r="F508" s="111"/>
      <c r="G508" s="111"/>
      <c r="H508" s="88"/>
      <c r="I508" s="83"/>
      <c r="J508" s="127"/>
      <c r="K508" s="127"/>
      <c r="L508" s="127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</row>
    <row r="509" spans="1:25" ht="15.75" hidden="1" customHeight="1" outlineLevel="1">
      <c r="B509" s="111"/>
      <c r="C509" s="111"/>
      <c r="D509" s="111"/>
      <c r="E509" s="111"/>
      <c r="F509" s="111"/>
      <c r="G509" s="111"/>
      <c r="I509" s="110"/>
      <c r="J509" s="111"/>
      <c r="K509" s="128"/>
      <c r="L509" s="128"/>
      <c r="M509" s="114"/>
      <c r="N509" s="110"/>
      <c r="O509" s="110"/>
      <c r="P509" s="110"/>
      <c r="Q509" s="110"/>
      <c r="R509" s="110"/>
      <c r="S509" s="110"/>
      <c r="T509" s="110"/>
      <c r="U509" s="110"/>
      <c r="V509" s="110"/>
      <c r="W509" s="110"/>
      <c r="X509" s="110"/>
      <c r="Y509" s="110"/>
    </row>
    <row r="510" spans="1:25" ht="15.75" hidden="1" customHeight="1" outlineLevel="1">
      <c r="B510" s="111"/>
      <c r="C510" s="111"/>
      <c r="D510" s="111"/>
      <c r="E510" s="111"/>
      <c r="F510" s="111"/>
      <c r="G510" s="111"/>
      <c r="I510" s="110"/>
      <c r="J510" s="111"/>
      <c r="K510" s="128"/>
      <c r="L510" s="128"/>
      <c r="M510" s="114"/>
      <c r="N510" s="110"/>
      <c r="O510" s="110"/>
      <c r="P510" s="110"/>
      <c r="Q510" s="110"/>
      <c r="R510" s="110"/>
      <c r="S510" s="110"/>
      <c r="T510" s="110"/>
      <c r="U510" s="110"/>
      <c r="V510" s="110"/>
      <c r="W510" s="110"/>
      <c r="X510" s="110"/>
      <c r="Y510" s="110"/>
    </row>
    <row r="511" spans="1:25" s="152" customFormat="1" ht="15.75" hidden="1" customHeight="1" outlineLevel="1">
      <c r="A511" s="568"/>
      <c r="C511" s="521"/>
      <c r="D511" s="439"/>
      <c r="E511" s="439"/>
      <c r="F511" s="439"/>
      <c r="G511" s="439"/>
      <c r="H511" s="522"/>
      <c r="I511" s="439"/>
      <c r="J511" s="439"/>
      <c r="L511" s="139"/>
      <c r="M511" s="439"/>
      <c r="N511" s="439"/>
      <c r="O511" s="439"/>
      <c r="P511" s="439"/>
      <c r="Q511" s="439"/>
      <c r="R511" s="439"/>
      <c r="S511" s="439"/>
      <c r="T511" s="439"/>
      <c r="U511" s="439"/>
      <c r="V511" s="439"/>
      <c r="W511" s="439"/>
      <c r="X511" s="439"/>
      <c r="Y511" s="439"/>
    </row>
    <row r="512" spans="1:25" ht="15.75" hidden="1" customHeight="1" outlineLevel="1">
      <c r="B512" s="111"/>
      <c r="C512" s="102"/>
      <c r="D512" s="102"/>
      <c r="E512" s="102"/>
      <c r="F512" s="102"/>
      <c r="G512" s="102"/>
      <c r="I512" s="117"/>
      <c r="J512" s="102"/>
      <c r="K512" s="121"/>
      <c r="L512" s="121"/>
      <c r="M512" s="118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</row>
    <row r="513" spans="2:25" ht="27" collapsed="1">
      <c r="B513" s="111"/>
      <c r="C513" s="499" t="s">
        <v>134</v>
      </c>
      <c r="I513" s="117"/>
      <c r="J513" s="102"/>
      <c r="K513" s="103"/>
      <c r="L513" s="137"/>
      <c r="M513" s="435"/>
      <c r="N513" s="435"/>
      <c r="O513" s="435"/>
      <c r="P513" s="435"/>
      <c r="Q513" s="435"/>
      <c r="R513" s="435"/>
      <c r="S513" s="435"/>
      <c r="T513" s="435"/>
      <c r="U513" s="435"/>
      <c r="V513" s="435"/>
      <c r="W513" s="435"/>
      <c r="X513" s="435"/>
      <c r="Y513" s="435"/>
    </row>
    <row r="514" spans="2:25" ht="3" customHeight="1">
      <c r="B514" s="111"/>
      <c r="C514" s="104"/>
      <c r="D514" s="104"/>
      <c r="E514" s="104"/>
      <c r="F514" s="104"/>
      <c r="G514" s="104"/>
      <c r="H514" s="465"/>
      <c r="I514" s="104"/>
      <c r="J514" s="104"/>
      <c r="K514" s="104"/>
      <c r="L514" s="104"/>
      <c r="M514" s="104"/>
      <c r="N514" s="420"/>
      <c r="O514" s="420"/>
      <c r="P514" s="420"/>
      <c r="Q514" s="420"/>
      <c r="R514" s="420"/>
      <c r="S514" s="420"/>
      <c r="T514" s="420"/>
      <c r="U514" s="420"/>
      <c r="V514" s="420"/>
      <c r="W514" s="420"/>
      <c r="X514" s="420"/>
      <c r="Y514" s="420"/>
    </row>
    <row r="515" spans="2:25" ht="7.5" customHeight="1">
      <c r="B515" s="111"/>
      <c r="C515" s="75"/>
      <c r="I515" s="117"/>
      <c r="J515" s="102"/>
      <c r="K515" s="103"/>
      <c r="L515" s="137"/>
      <c r="M515" s="435"/>
      <c r="N515" s="435"/>
      <c r="O515" s="435"/>
      <c r="P515" s="435"/>
      <c r="Q515" s="435"/>
      <c r="R515" s="435"/>
      <c r="S515" s="435"/>
      <c r="T515" s="435"/>
      <c r="U515" s="435"/>
      <c r="V515" s="435"/>
      <c r="W515" s="435"/>
      <c r="X515" s="435"/>
      <c r="Y515" s="435"/>
    </row>
    <row r="516" spans="2:25" ht="15.75" customHeight="1">
      <c r="B516" s="111"/>
      <c r="C516" s="480" t="s">
        <v>283</v>
      </c>
      <c r="I516" s="117"/>
      <c r="J516" s="500"/>
      <c r="K516" s="105"/>
      <c r="L516" s="138"/>
      <c r="M516" s="138"/>
      <c r="N516" s="138"/>
      <c r="O516" s="138"/>
      <c r="P516" s="138"/>
      <c r="Q516" s="138"/>
      <c r="R516" s="138"/>
      <c r="S516" s="138"/>
      <c r="T516" s="138"/>
      <c r="U516" s="138"/>
      <c r="V516" s="138"/>
      <c r="W516" s="138"/>
      <c r="X516" s="138"/>
      <c r="Y516" s="138"/>
    </row>
    <row r="517" spans="2:25">
      <c r="B517" s="111"/>
      <c r="C517" s="501"/>
      <c r="D517" s="106"/>
      <c r="E517" s="106"/>
      <c r="F517" s="106"/>
      <c r="G517" s="106"/>
      <c r="H517" s="502"/>
      <c r="I517" s="92">
        <v>0</v>
      </c>
      <c r="J517" s="92">
        <v>1</v>
      </c>
      <c r="K517" s="92">
        <v>2</v>
      </c>
      <c r="L517" s="136">
        <v>3</v>
      </c>
      <c r="M517" s="136">
        <v>4</v>
      </c>
      <c r="N517" s="136">
        <v>5</v>
      </c>
      <c r="O517" s="136">
        <f t="shared" ref="O517:Q517" si="303">O7</f>
        <v>6</v>
      </c>
      <c r="P517" s="136">
        <f t="shared" si="303"/>
        <v>7</v>
      </c>
      <c r="Q517" s="136">
        <f t="shared" si="303"/>
        <v>8</v>
      </c>
      <c r="R517" s="136"/>
      <c r="S517" s="136"/>
      <c r="T517" s="136" t="str">
        <f>T7</f>
        <v>Revised</v>
      </c>
      <c r="U517" s="136">
        <f t="shared" ref="U517:W517" si="304">U7</f>
        <v>9</v>
      </c>
      <c r="V517" s="136">
        <f t="shared" si="304"/>
        <v>10</v>
      </c>
      <c r="W517" s="136">
        <f t="shared" si="304"/>
        <v>11</v>
      </c>
      <c r="X517" s="136">
        <f>X7</f>
        <v>12</v>
      </c>
      <c r="Y517" s="136">
        <f>Y7</f>
        <v>13</v>
      </c>
    </row>
    <row r="518" spans="2:25">
      <c r="B518" s="111"/>
      <c r="C518" s="504"/>
      <c r="D518" s="469"/>
      <c r="E518" s="469"/>
      <c r="F518" s="469"/>
      <c r="G518" s="469"/>
      <c r="H518" s="470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</row>
    <row r="519" spans="2:25">
      <c r="B519" s="111"/>
      <c r="C519" s="505"/>
      <c r="D519" s="472"/>
      <c r="E519" s="506"/>
      <c r="F519" s="506"/>
      <c r="G519" s="506"/>
      <c r="H519" s="473"/>
      <c r="I519" s="94" t="s">
        <v>499</v>
      </c>
      <c r="J519" s="94" t="s">
        <v>499</v>
      </c>
      <c r="K519" s="99" t="s">
        <v>499</v>
      </c>
      <c r="L519" s="99" t="s">
        <v>499</v>
      </c>
      <c r="M519" s="99" t="s">
        <v>499</v>
      </c>
      <c r="N519" s="99" t="s">
        <v>499</v>
      </c>
      <c r="O519" s="99" t="s">
        <v>499</v>
      </c>
      <c r="P519" s="99" t="s">
        <v>499</v>
      </c>
      <c r="Q519" s="99" t="s">
        <v>499</v>
      </c>
      <c r="R519" s="99"/>
      <c r="S519" s="99"/>
      <c r="T519" s="99" t="s">
        <v>499</v>
      </c>
      <c r="U519" s="99" t="s">
        <v>499</v>
      </c>
      <c r="V519" s="99" t="s">
        <v>499</v>
      </c>
      <c r="W519" s="99" t="s">
        <v>499</v>
      </c>
      <c r="X519" s="99" t="s">
        <v>499</v>
      </c>
      <c r="Y519" s="99" t="s">
        <v>499</v>
      </c>
    </row>
    <row r="520" spans="2:25" ht="15.75" customHeight="1">
      <c r="B520" s="111"/>
      <c r="C520" s="102"/>
      <c r="D520" s="102"/>
      <c r="E520" s="102"/>
      <c r="F520" s="102"/>
      <c r="G520" s="102"/>
      <c r="I520" s="117"/>
      <c r="J520" s="102"/>
      <c r="K520" s="102"/>
      <c r="L520" s="121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</row>
    <row r="521" spans="2:25" ht="15.75" customHeight="1">
      <c r="B521" s="111"/>
      <c r="C521" s="80" t="s">
        <v>212</v>
      </c>
      <c r="D521" s="80"/>
      <c r="E521" s="80"/>
      <c r="F521" s="80"/>
      <c r="G521" s="80"/>
      <c r="H521" s="88"/>
      <c r="I521" s="80"/>
      <c r="J521" s="80">
        <f t="shared" ref="J521:O521" si="305">J367</f>
        <v>15610542.650574861</v>
      </c>
      <c r="K521" s="80">
        <f t="shared" ca="1" si="305"/>
        <v>17610241.264727294</v>
      </c>
      <c r="L521" s="80">
        <f t="shared" ca="1" si="305"/>
        <v>17294093.146257073</v>
      </c>
      <c r="M521" s="80">
        <f t="shared" ca="1" si="305"/>
        <v>17872295.005807582</v>
      </c>
      <c r="N521" s="80">
        <f ca="1">N367</f>
        <v>28273398.105409175</v>
      </c>
      <c r="O521" s="80">
        <f t="shared" ca="1" si="305"/>
        <v>15803293.950956225</v>
      </c>
      <c r="P521" s="80">
        <f t="shared" ref="P521:Y521" ca="1" si="306">P367</f>
        <v>38009995.719372369</v>
      </c>
      <c r="Q521" s="80">
        <f t="shared" ca="1" si="306"/>
        <v>46119162.433135904</v>
      </c>
      <c r="R521" s="80"/>
      <c r="S521" s="80"/>
      <c r="T521" s="80">
        <f ca="1">T367</f>
        <v>30170901.289888524</v>
      </c>
      <c r="U521" s="80">
        <f t="shared" ca="1" si="306"/>
        <v>59048507.900962986</v>
      </c>
      <c r="V521" s="80">
        <f t="shared" ca="1" si="306"/>
        <v>62427330.933561683</v>
      </c>
      <c r="W521" s="80">
        <f t="shared" ca="1" si="306"/>
        <v>42876823.22809802</v>
      </c>
      <c r="X521" s="80">
        <f t="shared" ca="1" si="306"/>
        <v>43785857.753630988</v>
      </c>
      <c r="Y521" s="80">
        <f t="shared" ca="1" si="306"/>
        <v>46635739.581874773</v>
      </c>
    </row>
    <row r="522" spans="2:25" ht="15.75" hidden="1" customHeight="1" outlineLevel="1">
      <c r="B522" s="111"/>
      <c r="C522" s="80" t="s">
        <v>1410</v>
      </c>
      <c r="D522" s="80"/>
      <c r="E522" s="80"/>
      <c r="F522" s="80"/>
      <c r="G522" s="80"/>
      <c r="H522" s="88"/>
      <c r="I522" s="80"/>
      <c r="J522" s="80">
        <f t="shared" ref="J522:U522" si="307">J500</f>
        <v>0</v>
      </c>
      <c r="K522" s="80">
        <f t="shared" si="307"/>
        <v>0</v>
      </c>
      <c r="L522" s="80">
        <f t="shared" si="307"/>
        <v>0</v>
      </c>
      <c r="M522" s="80">
        <f t="shared" si="307"/>
        <v>0</v>
      </c>
      <c r="N522" s="80">
        <f t="shared" si="307"/>
        <v>0</v>
      </c>
      <c r="O522" s="80">
        <f t="shared" si="307"/>
        <v>0</v>
      </c>
      <c r="P522" s="80">
        <f t="shared" si="307"/>
        <v>0</v>
      </c>
      <c r="Q522" s="80">
        <f t="shared" si="307"/>
        <v>0</v>
      </c>
      <c r="R522" s="80"/>
      <c r="S522" s="80"/>
      <c r="T522" s="80">
        <f>T500</f>
        <v>0</v>
      </c>
      <c r="U522" s="80">
        <f t="shared" si="307"/>
        <v>0</v>
      </c>
      <c r="V522" s="80">
        <f>V500</f>
        <v>0</v>
      </c>
      <c r="W522" s="80">
        <f>W500</f>
        <v>0</v>
      </c>
      <c r="X522" s="80">
        <f>X500</f>
        <v>0</v>
      </c>
      <c r="Y522" s="80">
        <f>Y500</f>
        <v>0</v>
      </c>
    </row>
    <row r="523" spans="2:25" ht="15.75" hidden="1" customHeight="1" outlineLevel="1">
      <c r="B523" s="111"/>
      <c r="C523" s="80" t="s">
        <v>1411</v>
      </c>
      <c r="D523" s="80"/>
      <c r="E523" s="80"/>
      <c r="F523" s="80"/>
      <c r="G523" s="80"/>
      <c r="H523" s="88"/>
      <c r="I523" s="80"/>
      <c r="J523" s="80">
        <f t="shared" ref="J523:U523" si="308">-J501</f>
        <v>0</v>
      </c>
      <c r="K523" s="80">
        <f t="shared" si="308"/>
        <v>0</v>
      </c>
      <c r="L523" s="80">
        <f t="shared" si="308"/>
        <v>0</v>
      </c>
      <c r="M523" s="80">
        <f t="shared" si="308"/>
        <v>0</v>
      </c>
      <c r="N523" s="80">
        <f t="shared" si="308"/>
        <v>0</v>
      </c>
      <c r="O523" s="80">
        <f t="shared" si="308"/>
        <v>0</v>
      </c>
      <c r="P523" s="80">
        <f t="shared" si="308"/>
        <v>0</v>
      </c>
      <c r="Q523" s="80">
        <f t="shared" si="308"/>
        <v>0</v>
      </c>
      <c r="R523" s="80"/>
      <c r="S523" s="80"/>
      <c r="T523" s="80">
        <f>-T501</f>
        <v>0</v>
      </c>
      <c r="U523" s="80">
        <f t="shared" si="308"/>
        <v>0</v>
      </c>
      <c r="V523" s="80">
        <f>-V501</f>
        <v>0</v>
      </c>
      <c r="W523" s="80">
        <f>-W501</f>
        <v>0</v>
      </c>
      <c r="X523" s="80">
        <f>-X501</f>
        <v>0</v>
      </c>
      <c r="Y523" s="80">
        <f>-Y501</f>
        <v>0</v>
      </c>
    </row>
    <row r="524" spans="2:25" ht="15.75" hidden="1" customHeight="1" outlineLevel="1">
      <c r="B524" s="111"/>
      <c r="C524" s="80" t="s">
        <v>1412</v>
      </c>
      <c r="D524" s="80"/>
      <c r="E524" s="80"/>
      <c r="F524" s="80"/>
      <c r="G524" s="80"/>
      <c r="H524" s="88"/>
      <c r="I524" s="80"/>
      <c r="J524" s="80">
        <f t="shared" ref="J524:U524" si="309">J505</f>
        <v>353888.7598286299</v>
      </c>
      <c r="K524" s="80">
        <f t="shared" si="309"/>
        <v>0</v>
      </c>
      <c r="L524" s="80">
        <f t="shared" si="309"/>
        <v>0</v>
      </c>
      <c r="M524" s="80">
        <f t="shared" si="309"/>
        <v>0</v>
      </c>
      <c r="N524" s="80">
        <f t="shared" si="309"/>
        <v>0</v>
      </c>
      <c r="O524" s="80">
        <f t="shared" si="309"/>
        <v>0</v>
      </c>
      <c r="P524" s="80">
        <f t="shared" si="309"/>
        <v>0</v>
      </c>
      <c r="Q524" s="80">
        <f t="shared" si="309"/>
        <v>0</v>
      </c>
      <c r="R524" s="80"/>
      <c r="S524" s="80"/>
      <c r="T524" s="80">
        <f>T505</f>
        <v>0</v>
      </c>
      <c r="U524" s="80">
        <f t="shared" si="309"/>
        <v>0</v>
      </c>
      <c r="V524" s="80">
        <f>V505</f>
        <v>0</v>
      </c>
      <c r="W524" s="80">
        <f>W505</f>
        <v>0</v>
      </c>
      <c r="X524" s="80">
        <f>X505</f>
        <v>0</v>
      </c>
      <c r="Y524" s="80">
        <f>Y505</f>
        <v>0</v>
      </c>
    </row>
    <row r="525" spans="2:25" ht="15.75" customHeight="1" collapsed="1">
      <c r="B525" s="111"/>
      <c r="C525" s="80" t="s">
        <v>285</v>
      </c>
      <c r="D525" s="80"/>
      <c r="E525" s="80"/>
      <c r="F525" s="80"/>
      <c r="G525" s="80"/>
      <c r="H525" s="88"/>
      <c r="I525" s="80"/>
      <c r="J525" s="80">
        <f t="shared" ref="J525:O525" si="310">J382</f>
        <v>191511</v>
      </c>
      <c r="K525" s="80">
        <f t="shared" si="310"/>
        <v>16632896.650574861</v>
      </c>
      <c r="L525" s="80">
        <f t="shared" ca="1" si="310"/>
        <v>38018549.266302153</v>
      </c>
      <c r="M525" s="80">
        <f t="shared" ca="1" si="310"/>
        <v>57566416.412559226</v>
      </c>
      <c r="N525" s="80">
        <f ca="1">N382</f>
        <v>74604547.318366811</v>
      </c>
      <c r="O525" s="80">
        <f t="shared" ca="1" si="310"/>
        <v>105848385.42377599</v>
      </c>
      <c r="P525" s="80">
        <f t="shared" ref="P525:Y525" ca="1" si="311">P382</f>
        <v>119580819.37473221</v>
      </c>
      <c r="Q525" s="80">
        <f t="shared" ca="1" si="311"/>
        <v>165209490.19410458</v>
      </c>
      <c r="R525" s="80"/>
      <c r="S525" s="80"/>
      <c r="T525" s="80">
        <f ca="1">T382</f>
        <v>165209490.19410458</v>
      </c>
      <c r="U525" s="80">
        <f t="shared" ca="1" si="311"/>
        <v>207442938.34152621</v>
      </c>
      <c r="V525" s="80">
        <f t="shared" ca="1" si="311"/>
        <v>262605731.95677492</v>
      </c>
      <c r="W525" s="80">
        <f t="shared" ca="1" si="311"/>
        <v>321147348.6046223</v>
      </c>
      <c r="X525" s="80">
        <f t="shared" ca="1" si="311"/>
        <v>359005124.2136727</v>
      </c>
      <c r="Y525" s="80">
        <f t="shared" ca="1" si="311"/>
        <v>402790981.96730369</v>
      </c>
    </row>
    <row r="526" spans="2:25" ht="15.75" customHeight="1">
      <c r="B526" s="111"/>
      <c r="C526" s="80" t="s">
        <v>286</v>
      </c>
      <c r="D526" s="80"/>
      <c r="E526" s="80"/>
      <c r="F526" s="80"/>
      <c r="G526" s="80"/>
      <c r="H526" s="88"/>
      <c r="I526" s="79"/>
      <c r="J526" s="79">
        <f t="shared" ref="J526:O526" si="312">-J222*J285</f>
        <v>-1737803.56</v>
      </c>
      <c r="K526" s="79">
        <f t="shared" si="312"/>
        <v>-1931003.9826135822</v>
      </c>
      <c r="L526" s="79">
        <f t="shared" si="312"/>
        <v>-2169918.8598006051</v>
      </c>
      <c r="M526" s="79">
        <f t="shared" si="312"/>
        <v>-1908193.2889860817</v>
      </c>
      <c r="N526" s="79">
        <f>-N222*N285</f>
        <v>-2782954.5595088131</v>
      </c>
      <c r="O526" s="79">
        <f t="shared" si="312"/>
        <v>-2668193.587696068</v>
      </c>
      <c r="P526" s="79">
        <f t="shared" ref="P526:Y526" si="313">-P222*P285</f>
        <v>-3155048.7990668789</v>
      </c>
      <c r="Q526" s="79">
        <f t="shared" si="313"/>
        <v>-4252884.119914256</v>
      </c>
      <c r="R526" s="79"/>
      <c r="S526" s="79"/>
      <c r="T526" s="79">
        <f>-T222*T285</f>
        <v>0</v>
      </c>
      <c r="U526" s="79">
        <f t="shared" si="313"/>
        <v>-4683180.8749525957</v>
      </c>
      <c r="V526" s="79">
        <f t="shared" si="313"/>
        <v>-4683180.8749525957</v>
      </c>
      <c r="W526" s="79">
        <f t="shared" si="313"/>
        <v>-4683180.8749525957</v>
      </c>
      <c r="X526" s="79">
        <f t="shared" si="313"/>
        <v>-4683180.8749525957</v>
      </c>
      <c r="Y526" s="79">
        <f t="shared" si="313"/>
        <v>-4495756.8458581958</v>
      </c>
    </row>
    <row r="527" spans="2:25" ht="15.75" customHeight="1">
      <c r="B527" s="111"/>
      <c r="C527" s="525" t="s">
        <v>287</v>
      </c>
      <c r="D527" s="80"/>
      <c r="E527" s="80"/>
      <c r="F527" s="80"/>
      <c r="G527" s="80"/>
      <c r="H527" s="88"/>
      <c r="I527" s="129"/>
      <c r="J527" s="129">
        <f t="shared" ref="J527:O527" si="314">SUM(J521:J526)</f>
        <v>14418138.85040349</v>
      </c>
      <c r="K527" s="129">
        <f t="shared" ca="1" si="314"/>
        <v>32312133.932688575</v>
      </c>
      <c r="L527" s="129">
        <f t="shared" ca="1" si="314"/>
        <v>53142723.552758619</v>
      </c>
      <c r="M527" s="129">
        <f t="shared" ca="1" si="314"/>
        <v>73530518.129380718</v>
      </c>
      <c r="N527" s="129">
        <f ca="1">SUM(N521:N526)</f>
        <v>100094990.86426717</v>
      </c>
      <c r="O527" s="129">
        <f t="shared" ca="1" si="314"/>
        <v>118983485.78703615</v>
      </c>
      <c r="P527" s="129">
        <f t="shared" ref="P527:Y527" ca="1" si="315">SUM(P521:P526)</f>
        <v>154435766.29503772</v>
      </c>
      <c r="Q527" s="129">
        <f t="shared" ca="1" si="315"/>
        <v>207075768.50732622</v>
      </c>
      <c r="R527" s="129"/>
      <c r="S527" s="129"/>
      <c r="T527" s="129">
        <f ca="1">SUM(T521:T526)</f>
        <v>195380391.48399311</v>
      </c>
      <c r="U527" s="129">
        <f t="shared" ca="1" si="315"/>
        <v>261808265.3675366</v>
      </c>
      <c r="V527" s="129">
        <f t="shared" ca="1" si="315"/>
        <v>320349882.01538402</v>
      </c>
      <c r="W527" s="129">
        <f t="shared" ca="1" si="315"/>
        <v>359340990.95776772</v>
      </c>
      <c r="X527" s="129">
        <f t="shared" ca="1" si="315"/>
        <v>398107801.09235108</v>
      </c>
      <c r="Y527" s="129">
        <f t="shared" ca="1" si="315"/>
        <v>444930964.70332026</v>
      </c>
    </row>
    <row r="528" spans="2:25" ht="7.5" customHeight="1">
      <c r="B528" s="111"/>
      <c r="C528" s="80"/>
      <c r="D528" s="80"/>
      <c r="E528" s="80"/>
      <c r="F528" s="80"/>
      <c r="G528" s="80"/>
      <c r="H528" s="514"/>
      <c r="I528" s="80"/>
      <c r="J528" s="80"/>
      <c r="K528" s="80"/>
      <c r="L528" s="82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</row>
    <row r="529" spans="2:25" ht="15.75" customHeight="1">
      <c r="B529" s="111"/>
      <c r="C529" s="76" t="s">
        <v>288</v>
      </c>
      <c r="D529" s="80"/>
      <c r="E529" s="80"/>
      <c r="F529" s="80"/>
      <c r="G529" s="80"/>
      <c r="H529" s="514"/>
      <c r="I529" s="80"/>
      <c r="J529" s="80"/>
      <c r="K529" s="80"/>
      <c r="L529" s="82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</row>
    <row r="530" spans="2:25" ht="15.75" customHeight="1">
      <c r="B530" s="111"/>
      <c r="C530" s="164" t="s">
        <v>2116</v>
      </c>
      <c r="D530" s="80"/>
      <c r="E530" s="80"/>
      <c r="F530" s="80"/>
      <c r="G530" s="80"/>
      <c r="H530" s="88"/>
      <c r="I530" s="80">
        <f>I323</f>
        <v>2962914.4348557908</v>
      </c>
      <c r="J530" s="80">
        <f>I323</f>
        <v>2962914.4348557908</v>
      </c>
      <c r="K530" s="80">
        <f t="shared" ref="K530:Q530" si="316">J530+K536</f>
        <v>5575825.7858557906</v>
      </c>
      <c r="L530" s="80">
        <f t="shared" si="316"/>
        <v>-0.21414420939981937</v>
      </c>
      <c r="M530" s="80">
        <f t="shared" si="316"/>
        <v>-0.21414420939981937</v>
      </c>
      <c r="N530" s="80">
        <f t="shared" si="316"/>
        <v>-0.21414420939981937</v>
      </c>
      <c r="O530" s="80">
        <f t="shared" si="316"/>
        <v>-0.21414420939981937</v>
      </c>
      <c r="P530" s="80">
        <f t="shared" si="316"/>
        <v>16676190.785855791</v>
      </c>
      <c r="Q530" s="80">
        <f t="shared" si="316"/>
        <v>12790476.500141505</v>
      </c>
      <c r="R530" s="80"/>
      <c r="S530" s="80"/>
      <c r="T530" s="80">
        <f>P530+T536</f>
        <v>12790476.500141505</v>
      </c>
      <c r="U530" s="80">
        <f>Q530+U536</f>
        <v>8904762.2144272197</v>
      </c>
      <c r="V530" s="80">
        <f t="shared" ref="V530:Y531" si="317">U530+V536</f>
        <v>5019047.9287129343</v>
      </c>
      <c r="W530" s="80">
        <f t="shared" si="317"/>
        <v>0.30966531485319138</v>
      </c>
      <c r="X530" s="80">
        <f t="shared" si="317"/>
        <v>0.30966531485319138</v>
      </c>
      <c r="Y530" s="80">
        <f t="shared" si="317"/>
        <v>0.30966531485319138</v>
      </c>
    </row>
    <row r="531" spans="2:25" ht="15.75" customHeight="1">
      <c r="B531" s="111"/>
      <c r="C531" s="164" t="s">
        <v>2117</v>
      </c>
      <c r="D531" s="80"/>
      <c r="E531" s="80"/>
      <c r="F531" s="80"/>
      <c r="G531" s="80"/>
      <c r="H531" s="88"/>
      <c r="I531" s="80"/>
      <c r="J531" s="80">
        <f t="shared" ref="J531:L532" si="318">I531+J537</f>
        <v>0</v>
      </c>
      <c r="K531" s="80">
        <f t="shared" si="318"/>
        <v>0</v>
      </c>
      <c r="L531" s="82">
        <f t="shared" ref="L531:Q531" si="319">K531+L537</f>
        <v>8992100</v>
      </c>
      <c r="M531" s="82">
        <f t="shared" si="319"/>
        <v>8157935.9000000004</v>
      </c>
      <c r="N531" s="82">
        <f t="shared" si="319"/>
        <v>6728375.9000000004</v>
      </c>
      <c r="O531" s="82">
        <f t="shared" si="319"/>
        <v>5298815.9000000004</v>
      </c>
      <c r="P531" s="82">
        <f t="shared" si="319"/>
        <v>0</v>
      </c>
      <c r="Q531" s="82">
        <f t="shared" si="319"/>
        <v>0</v>
      </c>
      <c r="R531" s="82"/>
      <c r="S531" s="82"/>
      <c r="T531" s="82">
        <f>S531+T537</f>
        <v>0</v>
      </c>
      <c r="U531" s="82">
        <f>Q531+U537</f>
        <v>0</v>
      </c>
      <c r="V531" s="82">
        <f t="shared" si="317"/>
        <v>0</v>
      </c>
      <c r="W531" s="82">
        <f t="shared" si="317"/>
        <v>0</v>
      </c>
      <c r="X531" s="82">
        <f t="shared" si="317"/>
        <v>0</v>
      </c>
      <c r="Y531" s="82">
        <f t="shared" si="317"/>
        <v>0</v>
      </c>
    </row>
    <row r="532" spans="2:25" ht="15.75" customHeight="1">
      <c r="B532" s="111"/>
      <c r="C532" s="164" t="s">
        <v>2118</v>
      </c>
      <c r="D532" s="80"/>
      <c r="E532" s="80"/>
      <c r="F532" s="80"/>
      <c r="G532" s="80"/>
      <c r="H532" s="88"/>
      <c r="I532" s="80"/>
      <c r="J532" s="80">
        <f t="shared" si="318"/>
        <v>0</v>
      </c>
      <c r="K532" s="80">
        <f t="shared" si="318"/>
        <v>0</v>
      </c>
      <c r="L532" s="80">
        <f t="shared" si="318"/>
        <v>0</v>
      </c>
      <c r="M532" s="80">
        <f>L532+M538</f>
        <v>0</v>
      </c>
      <c r="N532" s="80">
        <f>M532+N538</f>
        <v>4400000</v>
      </c>
      <c r="O532" s="80">
        <f>N532+O538</f>
        <v>3758700</v>
      </c>
      <c r="P532" s="80">
        <f>O532+P538</f>
        <v>0</v>
      </c>
      <c r="Q532" s="80">
        <f>P532+Q538</f>
        <v>0</v>
      </c>
      <c r="R532" s="80"/>
      <c r="S532" s="80"/>
      <c r="T532" s="80">
        <f>S532+T538</f>
        <v>0</v>
      </c>
      <c r="U532" s="80">
        <f>Q532+U538</f>
        <v>0</v>
      </c>
      <c r="V532" s="80">
        <f>U532+V538</f>
        <v>0</v>
      </c>
      <c r="W532" s="80">
        <f>V532+W538</f>
        <v>0</v>
      </c>
      <c r="X532" s="80">
        <f>W532+X538</f>
        <v>0</v>
      </c>
      <c r="Y532" s="80">
        <f>X532+Y538</f>
        <v>0</v>
      </c>
    </row>
    <row r="533" spans="2:25" ht="15.75" customHeight="1">
      <c r="B533" s="111"/>
      <c r="C533" s="76" t="s">
        <v>289</v>
      </c>
      <c r="D533" s="80"/>
      <c r="E533" s="80"/>
      <c r="F533" s="80"/>
      <c r="G533" s="80"/>
      <c r="H533" s="88"/>
      <c r="I533" s="80"/>
      <c r="J533" s="80">
        <f t="shared" ref="J533:O533" si="320">SUM(J530:J532)</f>
        <v>2962914.4348557908</v>
      </c>
      <c r="K533" s="80">
        <f t="shared" si="320"/>
        <v>5575825.7858557906</v>
      </c>
      <c r="L533" s="82">
        <f t="shared" si="320"/>
        <v>8992099.7858557906</v>
      </c>
      <c r="M533" s="82">
        <f t="shared" si="320"/>
        <v>8157935.685855791</v>
      </c>
      <c r="N533" s="82">
        <f t="shared" si="320"/>
        <v>11128375.685855791</v>
      </c>
      <c r="O533" s="82">
        <f t="shared" si="320"/>
        <v>9057515.685855791</v>
      </c>
      <c r="P533" s="82">
        <f t="shared" ref="P533:Y533" si="321">SUM(P530:P532)</f>
        <v>16676190.785855791</v>
      </c>
      <c r="Q533" s="82">
        <f t="shared" si="321"/>
        <v>12790476.500141505</v>
      </c>
      <c r="R533" s="82"/>
      <c r="S533" s="82"/>
      <c r="T533" s="82">
        <f>SUM(T530:T532)</f>
        <v>12790476.500141505</v>
      </c>
      <c r="U533" s="82">
        <f t="shared" si="321"/>
        <v>8904762.2144272197</v>
      </c>
      <c r="V533" s="82">
        <f t="shared" si="321"/>
        <v>5019047.9287129343</v>
      </c>
      <c r="W533" s="82">
        <f t="shared" si="321"/>
        <v>0.30966531485319138</v>
      </c>
      <c r="X533" s="82">
        <f t="shared" si="321"/>
        <v>0.30966531485319138</v>
      </c>
      <c r="Y533" s="82">
        <f t="shared" si="321"/>
        <v>0.30966531485319138</v>
      </c>
    </row>
    <row r="534" spans="2:25" ht="7.5" customHeight="1">
      <c r="B534" s="111"/>
      <c r="C534" s="102"/>
      <c r="D534" s="102"/>
      <c r="E534" s="102"/>
      <c r="F534" s="102"/>
      <c r="G534" s="102"/>
      <c r="I534" s="117"/>
      <c r="J534" s="102"/>
      <c r="K534" s="102"/>
      <c r="L534" s="121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</row>
    <row r="535" spans="2:25" ht="15.75" customHeight="1">
      <c r="B535" s="111"/>
      <c r="C535" s="76" t="s">
        <v>290</v>
      </c>
      <c r="D535" s="80"/>
      <c r="E535" s="80"/>
      <c r="F535" s="80"/>
      <c r="G535" s="80"/>
      <c r="H535" s="88"/>
      <c r="I535" s="80"/>
      <c r="J535" s="80"/>
      <c r="K535" s="80"/>
      <c r="L535" s="82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</row>
    <row r="536" spans="2:25" ht="15.75" customHeight="1">
      <c r="B536" s="110"/>
      <c r="C536" s="164" t="str">
        <f>C530</f>
        <v>Natixis - due June/10 Y  @ 1m LIBOR +5%</v>
      </c>
      <c r="D536" s="80"/>
      <c r="E536" s="80"/>
      <c r="F536" s="80"/>
      <c r="G536" s="80"/>
      <c r="H536" s="88"/>
      <c r="I536" s="79"/>
      <c r="J536" s="79">
        <v>830843</v>
      </c>
      <c r="K536" s="79">
        <v>2612911.3509999998</v>
      </c>
      <c r="L536" s="79">
        <f>-5575826</f>
        <v>-5575826</v>
      </c>
      <c r="M536" s="79">
        <v>0</v>
      </c>
      <c r="N536" s="79">
        <v>0</v>
      </c>
      <c r="O536" s="79">
        <v>0</v>
      </c>
      <c r="P536" s="79">
        <f>17000000-323809</f>
        <v>16676191</v>
      </c>
      <c r="Q536" s="79">
        <f>-(17000000-3400000)*12/42</f>
        <v>-3885714.2857142859</v>
      </c>
      <c r="R536" s="79"/>
      <c r="S536" s="79"/>
      <c r="T536" s="79">
        <f>-(17000000-3400000)*12/42</f>
        <v>-3885714.2857142859</v>
      </c>
      <c r="U536" s="79">
        <f>-(17000000-3400000)*12/42</f>
        <v>-3885714.2857142859</v>
      </c>
      <c r="V536" s="79">
        <f>-(17000000-3400000)*12/42</f>
        <v>-3885714.2857142859</v>
      </c>
      <c r="W536" s="79">
        <f>-(17000000-3400000)*5/42-3400000</f>
        <v>-5019047.6190476194</v>
      </c>
      <c r="X536" s="79">
        <v>0</v>
      </c>
      <c r="Y536" s="79">
        <f>X536</f>
        <v>0</v>
      </c>
    </row>
    <row r="537" spans="2:25" ht="15.75" customHeight="1">
      <c r="B537" s="110"/>
      <c r="C537" s="164" t="s">
        <v>2119</v>
      </c>
      <c r="D537" s="80"/>
      <c r="E537" s="80"/>
      <c r="F537" s="80"/>
      <c r="G537" s="80"/>
      <c r="H537" s="88"/>
      <c r="I537" s="79"/>
      <c r="J537" s="79">
        <v>0</v>
      </c>
      <c r="K537" s="79">
        <v>0</v>
      </c>
      <c r="L537" s="79">
        <f>6500000*1.3834</f>
        <v>8992100</v>
      </c>
      <c r="M537" s="79">
        <f>-108333*7*'Control list'!I17</f>
        <v>-834164.10000000009</v>
      </c>
      <c r="N537" s="79">
        <f>-108300*12*'Control list'!J17</f>
        <v>-1429560</v>
      </c>
      <c r="O537" s="79">
        <f>-108300*12*'Control list'!K17</f>
        <v>-1429560</v>
      </c>
      <c r="P537" s="79">
        <f>-O531</f>
        <v>-5298815.9000000004</v>
      </c>
      <c r="Q537" s="79"/>
      <c r="R537" s="79"/>
      <c r="S537" s="79"/>
      <c r="T537" s="79"/>
      <c r="U537" s="79">
        <f>-Q531</f>
        <v>0</v>
      </c>
      <c r="V537" s="79">
        <f>-U531</f>
        <v>0</v>
      </c>
      <c r="W537" s="79">
        <f>-V531</f>
        <v>0</v>
      </c>
      <c r="X537" s="79">
        <f>-W531</f>
        <v>0</v>
      </c>
      <c r="Y537" s="79">
        <f>-X531</f>
        <v>0</v>
      </c>
    </row>
    <row r="538" spans="2:25" ht="15.75" customHeight="1">
      <c r="B538" s="110"/>
      <c r="C538" s="164" t="s">
        <v>2118</v>
      </c>
      <c r="D538" s="80"/>
      <c r="E538" s="80"/>
      <c r="F538" s="80"/>
      <c r="G538" s="80"/>
      <c r="H538" s="88"/>
      <c r="I538" s="79"/>
      <c r="J538" s="79">
        <v>0</v>
      </c>
      <c r="K538" s="79">
        <v>0</v>
      </c>
      <c r="L538" s="79">
        <v>0</v>
      </c>
      <c r="M538" s="79">
        <v>0</v>
      </c>
      <c r="N538" s="79">
        <f>4000000*'Control list'!J19</f>
        <v>4400000</v>
      </c>
      <c r="O538" s="79">
        <f>-(104000*4+167000)*'Control list'!K17</f>
        <v>-641300</v>
      </c>
      <c r="P538" s="79">
        <f>-O532</f>
        <v>-3758700</v>
      </c>
      <c r="Q538" s="79">
        <f>-P532</f>
        <v>0</v>
      </c>
      <c r="R538" s="79"/>
      <c r="S538" s="79"/>
      <c r="T538" s="79">
        <f>-S532</f>
        <v>0</v>
      </c>
      <c r="U538" s="79">
        <v>0</v>
      </c>
      <c r="V538" s="79">
        <v>0</v>
      </c>
      <c r="W538" s="79">
        <v>0</v>
      </c>
      <c r="X538" s="79">
        <v>0</v>
      </c>
      <c r="Y538" s="79">
        <v>0</v>
      </c>
    </row>
    <row r="539" spans="2:25" ht="15.75" customHeight="1">
      <c r="B539" s="110"/>
      <c r="C539" s="76" t="s">
        <v>290</v>
      </c>
      <c r="D539" s="80"/>
      <c r="E539" s="80"/>
      <c r="F539" s="80"/>
      <c r="G539" s="80"/>
      <c r="H539" s="514"/>
      <c r="I539" s="80"/>
      <c r="J539" s="80">
        <f t="shared" ref="J539:O539" si="322">SUM(J536:J538)</f>
        <v>830843</v>
      </c>
      <c r="K539" s="80">
        <f t="shared" si="322"/>
        <v>2612911.3509999998</v>
      </c>
      <c r="L539" s="82">
        <f t="shared" si="322"/>
        <v>3416274</v>
      </c>
      <c r="M539" s="82">
        <f>SUM(M536:M538)</f>
        <v>-834164.10000000009</v>
      </c>
      <c r="N539" s="82">
        <f>SUM(N536:N538)</f>
        <v>2970440</v>
      </c>
      <c r="O539" s="82">
        <f t="shared" si="322"/>
        <v>-2070860</v>
      </c>
      <c r="P539" s="82">
        <f t="shared" ref="P539:Y539" si="323">SUM(P536:P538)</f>
        <v>7618675.0999999996</v>
      </c>
      <c r="Q539" s="82">
        <f t="shared" si="323"/>
        <v>-3885714.2857142859</v>
      </c>
      <c r="R539" s="82"/>
      <c r="S539" s="82"/>
      <c r="T539" s="82">
        <f>SUM(T536:T538)</f>
        <v>-3885714.2857142859</v>
      </c>
      <c r="U539" s="82">
        <f t="shared" si="323"/>
        <v>-3885714.2857142859</v>
      </c>
      <c r="V539" s="82">
        <f t="shared" si="323"/>
        <v>-3885714.2857142859</v>
      </c>
      <c r="W539" s="82">
        <f t="shared" si="323"/>
        <v>-5019047.6190476194</v>
      </c>
      <c r="X539" s="82">
        <f t="shared" si="323"/>
        <v>0</v>
      </c>
      <c r="Y539" s="82">
        <f t="shared" si="323"/>
        <v>0</v>
      </c>
    </row>
    <row r="540" spans="2:25" ht="15.75" customHeight="1">
      <c r="B540" s="110"/>
      <c r="C540" s="102"/>
      <c r="D540" s="102"/>
      <c r="E540" s="102"/>
      <c r="F540" s="102"/>
      <c r="G540" s="102"/>
      <c r="I540" s="117"/>
      <c r="J540" s="102"/>
      <c r="K540" s="102"/>
      <c r="L540" s="121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</row>
    <row r="541" spans="2:25" ht="15.75" customHeight="1">
      <c r="B541" s="111"/>
      <c r="C541" s="76" t="s">
        <v>291</v>
      </c>
      <c r="D541" s="80"/>
      <c r="E541" s="80"/>
      <c r="F541" s="80"/>
      <c r="G541" s="80"/>
      <c r="H541" s="88"/>
      <c r="I541" s="80"/>
      <c r="J541" s="80">
        <f t="shared" ref="J541:O541" si="324">J527+J539</f>
        <v>15248981.85040349</v>
      </c>
      <c r="K541" s="80">
        <f t="shared" ca="1" si="324"/>
        <v>34925045.283688575</v>
      </c>
      <c r="L541" s="80">
        <f t="shared" ca="1" si="324"/>
        <v>56558997.552758619</v>
      </c>
      <c r="M541" s="80">
        <f t="shared" ca="1" si="324"/>
        <v>72696354.029380724</v>
      </c>
      <c r="N541" s="80">
        <f ca="1">N527+N539</f>
        <v>103065430.86426717</v>
      </c>
      <c r="O541" s="80">
        <f t="shared" ca="1" si="324"/>
        <v>116912625.78703615</v>
      </c>
      <c r="P541" s="80">
        <f t="shared" ref="P541:Y541" ca="1" si="325">P527+P539</f>
        <v>162054441.39503771</v>
      </c>
      <c r="Q541" s="80">
        <f t="shared" ca="1" si="325"/>
        <v>203190054.22161192</v>
      </c>
      <c r="R541" s="80"/>
      <c r="S541" s="80"/>
      <c r="T541" s="80">
        <f ca="1">T527+T539</f>
        <v>191494677.19827881</v>
      </c>
      <c r="U541" s="80">
        <f t="shared" ca="1" si="325"/>
        <v>257922551.08182231</v>
      </c>
      <c r="V541" s="80">
        <f t="shared" ca="1" si="325"/>
        <v>316464167.72966975</v>
      </c>
      <c r="W541" s="80">
        <f t="shared" ca="1" si="325"/>
        <v>354321943.33872008</v>
      </c>
      <c r="X541" s="80">
        <f t="shared" ca="1" si="325"/>
        <v>398107801.09235108</v>
      </c>
      <c r="Y541" s="80">
        <f t="shared" ca="1" si="325"/>
        <v>444930964.70332026</v>
      </c>
    </row>
    <row r="542" spans="2:25" ht="6.75" customHeight="1">
      <c r="B542" s="110"/>
      <c r="C542" s="102"/>
      <c r="D542" s="525"/>
      <c r="E542" s="525"/>
      <c r="F542" s="525"/>
      <c r="G542" s="525"/>
      <c r="H542" s="542"/>
      <c r="I542" s="525"/>
      <c r="J542" s="80"/>
      <c r="K542" s="80"/>
      <c r="L542" s="8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</row>
    <row r="543" spans="2:25" ht="15.75" customHeight="1">
      <c r="B543" s="111"/>
      <c r="C543" s="76" t="s">
        <v>292</v>
      </c>
      <c r="D543" s="525"/>
      <c r="E543" s="525"/>
      <c r="F543" s="525"/>
      <c r="G543" s="525"/>
      <c r="H543" s="542"/>
      <c r="I543" s="525"/>
      <c r="J543" s="80"/>
      <c r="K543" s="80"/>
      <c r="L543" s="8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</row>
    <row r="544" spans="2:25" ht="15.75" customHeight="1">
      <c r="B544" s="111"/>
      <c r="C544" s="164" t="s">
        <v>293</v>
      </c>
      <c r="D544" s="82"/>
      <c r="E544" s="87"/>
      <c r="F544" s="80"/>
      <c r="G544" s="80"/>
      <c r="H544" s="88"/>
      <c r="I544" s="131"/>
      <c r="J544" s="543">
        <f>I322</f>
        <v>0</v>
      </c>
      <c r="K544" s="131">
        <f t="shared" ref="K544:W544" si="326">J546</f>
        <v>0</v>
      </c>
      <c r="L544" s="131">
        <f t="shared" si="326"/>
        <v>1162500</v>
      </c>
      <c r="M544" s="131">
        <f t="shared" si="326"/>
        <v>0</v>
      </c>
      <c r="N544" s="131">
        <f t="shared" si="326"/>
        <v>0</v>
      </c>
      <c r="O544" s="131">
        <f t="shared" ca="1" si="326"/>
        <v>0</v>
      </c>
      <c r="P544" s="131">
        <f t="shared" ca="1" si="326"/>
        <v>0</v>
      </c>
      <c r="Q544" s="131">
        <f t="shared" ca="1" si="326"/>
        <v>0</v>
      </c>
      <c r="R544" s="131"/>
      <c r="S544" s="131"/>
      <c r="T544" s="131">
        <f t="shared" si="326"/>
        <v>0</v>
      </c>
      <c r="U544" s="131">
        <f ca="1">Q546</f>
        <v>0</v>
      </c>
      <c r="V544" s="131">
        <f t="shared" ca="1" si="326"/>
        <v>0</v>
      </c>
      <c r="W544" s="131">
        <f t="shared" ca="1" si="326"/>
        <v>0</v>
      </c>
      <c r="X544" s="131">
        <f ca="1">W546</f>
        <v>0</v>
      </c>
      <c r="Y544" s="131">
        <f ca="1">X546</f>
        <v>0</v>
      </c>
    </row>
    <row r="545" spans="2:25" ht="15.75" customHeight="1">
      <c r="B545" s="111"/>
      <c r="C545" s="164" t="s">
        <v>294</v>
      </c>
      <c r="D545" s="80"/>
      <c r="E545" s="80"/>
      <c r="F545" s="80"/>
      <c r="G545" s="80"/>
      <c r="H545" s="88"/>
      <c r="I545" s="131"/>
      <c r="J545" s="131">
        <f>J546-J544</f>
        <v>0</v>
      </c>
      <c r="K545" s="131">
        <f>K546-K544</f>
        <v>1162500</v>
      </c>
      <c r="L545" s="131">
        <f>L546-L544</f>
        <v>-1162500</v>
      </c>
      <c r="M545" s="131">
        <v>0</v>
      </c>
      <c r="N545" s="131">
        <f t="shared" ref="N545:V545" ca="1" si="327">-MIN(N541,N544)</f>
        <v>0</v>
      </c>
      <c r="O545" s="131">
        <f t="shared" ca="1" si="327"/>
        <v>0</v>
      </c>
      <c r="P545" s="131">
        <f t="shared" ca="1" si="327"/>
        <v>0</v>
      </c>
      <c r="Q545" s="131">
        <f t="shared" ca="1" si="327"/>
        <v>0</v>
      </c>
      <c r="R545" s="131"/>
      <c r="S545" s="131"/>
      <c r="T545" s="131">
        <f ca="1">-MIN(T541,T544)</f>
        <v>0</v>
      </c>
      <c r="U545" s="131">
        <f t="shared" ca="1" si="327"/>
        <v>0</v>
      </c>
      <c r="V545" s="131">
        <f t="shared" ca="1" si="327"/>
        <v>0</v>
      </c>
      <c r="W545" s="131">
        <f ca="1">-MIN(W541,W544)</f>
        <v>0</v>
      </c>
      <c r="X545" s="131">
        <f ca="1">-MIN(X541,X544)</f>
        <v>0</v>
      </c>
      <c r="Y545" s="131">
        <f ca="1">-MIN(Y541,Y544)</f>
        <v>0</v>
      </c>
    </row>
    <row r="546" spans="2:25" ht="15.75" customHeight="1">
      <c r="B546" s="111"/>
      <c r="C546" s="164" t="s">
        <v>295</v>
      </c>
      <c r="D546" s="80"/>
      <c r="E546" s="80"/>
      <c r="F546" s="80"/>
      <c r="G546" s="80"/>
      <c r="H546" s="88"/>
      <c r="I546" s="130"/>
      <c r="J546" s="130">
        <v>0</v>
      </c>
      <c r="K546" s="130">
        <v>1162500</v>
      </c>
      <c r="L546" s="130">
        <v>0</v>
      </c>
      <c r="M546" s="130">
        <f>M545+M544</f>
        <v>0</v>
      </c>
      <c r="N546" s="130">
        <f t="shared" ref="N546:V546" ca="1" si="328">N544+N545</f>
        <v>0</v>
      </c>
      <c r="O546" s="130">
        <f t="shared" ca="1" si="328"/>
        <v>0</v>
      </c>
      <c r="P546" s="130">
        <f t="shared" ca="1" si="328"/>
        <v>0</v>
      </c>
      <c r="Q546" s="130">
        <f t="shared" ca="1" si="328"/>
        <v>0</v>
      </c>
      <c r="R546" s="130"/>
      <c r="S546" s="130"/>
      <c r="T546" s="130">
        <f ca="1">T544+T545</f>
        <v>0</v>
      </c>
      <c r="U546" s="130">
        <f t="shared" ca="1" si="328"/>
        <v>0</v>
      </c>
      <c r="V546" s="130">
        <f t="shared" ca="1" si="328"/>
        <v>0</v>
      </c>
      <c r="W546" s="130">
        <f ca="1">W544+W545</f>
        <v>0</v>
      </c>
      <c r="X546" s="130">
        <f ca="1">X544+X545</f>
        <v>0</v>
      </c>
      <c r="Y546" s="130">
        <f ca="1">Y544+Y545</f>
        <v>0</v>
      </c>
    </row>
    <row r="547" spans="2:25" ht="15.75" customHeight="1">
      <c r="B547" s="111"/>
      <c r="C547" s="102"/>
      <c r="D547" s="80"/>
      <c r="E547" s="80"/>
      <c r="F547" s="80"/>
      <c r="G547" s="80"/>
      <c r="H547" s="88"/>
      <c r="I547" s="80"/>
      <c r="J547" s="80"/>
      <c r="K547" s="80"/>
      <c r="L547" s="8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</row>
    <row r="548" spans="2:25" ht="15.75" hidden="1" customHeight="1" outlineLevel="1">
      <c r="B548" s="111"/>
      <c r="C548" s="76" t="s">
        <v>296</v>
      </c>
      <c r="D548" s="80"/>
      <c r="E548" s="80"/>
      <c r="F548" s="80"/>
      <c r="G548" s="80"/>
      <c r="H548" s="88"/>
      <c r="I548" s="131"/>
      <c r="J548" s="132">
        <f t="shared" ref="J548:O548" si="329">J541+J545</f>
        <v>15248981.85040349</v>
      </c>
      <c r="K548" s="132">
        <f t="shared" ca="1" si="329"/>
        <v>36087545.283688575</v>
      </c>
      <c r="L548" s="132">
        <f t="shared" ca="1" si="329"/>
        <v>55396497.552758619</v>
      </c>
      <c r="M548" s="131">
        <f t="shared" ca="1" si="329"/>
        <v>72696354.029380724</v>
      </c>
      <c r="N548" s="131">
        <f ca="1">N541+N545</f>
        <v>103065430.86426717</v>
      </c>
      <c r="O548" s="131">
        <f t="shared" ca="1" si="329"/>
        <v>116912625.78703615</v>
      </c>
      <c r="P548" s="131">
        <f t="shared" ref="P548:Y548" ca="1" si="330">P541+P545</f>
        <v>162054441.39503771</v>
      </c>
      <c r="Q548" s="131">
        <f t="shared" ca="1" si="330"/>
        <v>203190054.22161192</v>
      </c>
      <c r="R548" s="131"/>
      <c r="S548" s="131"/>
      <c r="T548" s="131">
        <f ca="1">T541+T545</f>
        <v>191494677.19827881</v>
      </c>
      <c r="U548" s="131">
        <f t="shared" ca="1" si="330"/>
        <v>257922551.08182231</v>
      </c>
      <c r="V548" s="131">
        <f t="shared" ca="1" si="330"/>
        <v>316464167.72966975</v>
      </c>
      <c r="W548" s="131">
        <f t="shared" ca="1" si="330"/>
        <v>354321943.33872008</v>
      </c>
      <c r="X548" s="131">
        <f t="shared" ca="1" si="330"/>
        <v>398107801.09235108</v>
      </c>
      <c r="Y548" s="131">
        <f t="shared" ca="1" si="330"/>
        <v>444930964.70332026</v>
      </c>
    </row>
    <row r="549" spans="2:25" ht="15.75" hidden="1" customHeight="1" outlineLevel="1">
      <c r="B549" s="111"/>
      <c r="C549" s="76"/>
      <c r="D549" s="80"/>
      <c r="E549" s="80"/>
      <c r="F549" s="80"/>
      <c r="G549" s="80"/>
      <c r="H549" s="88"/>
      <c r="I549" s="80"/>
      <c r="J549" s="80"/>
      <c r="K549" s="80"/>
      <c r="L549" s="8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</row>
    <row r="550" spans="2:25" ht="15.75" hidden="1" customHeight="1" outlineLevel="1">
      <c r="B550" s="111"/>
      <c r="C550" s="76" t="s">
        <v>1413</v>
      </c>
      <c r="D550" s="80"/>
      <c r="E550" s="80"/>
      <c r="F550" s="80"/>
      <c r="G550" s="80"/>
      <c r="H550" s="88"/>
      <c r="I550" s="131"/>
      <c r="J550" s="132">
        <f t="shared" ref="J550:O550" si="331">-J526</f>
        <v>1737803.56</v>
      </c>
      <c r="K550" s="132">
        <f t="shared" si="331"/>
        <v>1931003.9826135822</v>
      </c>
      <c r="L550" s="132">
        <f t="shared" si="331"/>
        <v>2169918.8598006051</v>
      </c>
      <c r="M550" s="131">
        <f>-M526</f>
        <v>1908193.2889860817</v>
      </c>
      <c r="N550" s="131">
        <f t="shared" si="331"/>
        <v>2782954.5595088131</v>
      </c>
      <c r="O550" s="131">
        <f t="shared" si="331"/>
        <v>2668193.587696068</v>
      </c>
      <c r="P550" s="131">
        <f t="shared" ref="P550:Y550" si="332">-P526</f>
        <v>3155048.7990668789</v>
      </c>
      <c r="Q550" s="131">
        <f t="shared" si="332"/>
        <v>4252884.119914256</v>
      </c>
      <c r="R550" s="131"/>
      <c r="S550" s="131"/>
      <c r="T550" s="131">
        <f>-T526</f>
        <v>0</v>
      </c>
      <c r="U550" s="131">
        <f t="shared" si="332"/>
        <v>4683180.8749525957</v>
      </c>
      <c r="V550" s="131">
        <f t="shared" si="332"/>
        <v>4683180.8749525957</v>
      </c>
      <c r="W550" s="131">
        <f t="shared" si="332"/>
        <v>4683180.8749525957</v>
      </c>
      <c r="X550" s="131">
        <f t="shared" si="332"/>
        <v>4683180.8749525957</v>
      </c>
      <c r="Y550" s="131">
        <f t="shared" si="332"/>
        <v>4495756.8458581958</v>
      </c>
    </row>
    <row r="551" spans="2:25" ht="15.75" hidden="1" customHeight="1" outlineLevel="1">
      <c r="B551" s="111"/>
      <c r="C551" s="76" t="s">
        <v>1414</v>
      </c>
      <c r="D551" s="126"/>
      <c r="E551" s="126"/>
      <c r="F551" s="126"/>
      <c r="G551" s="126"/>
      <c r="H551" s="88"/>
      <c r="I551" s="543">
        <f>I299</f>
        <v>191511.06174639301</v>
      </c>
      <c r="J551" s="132">
        <f t="shared" ref="J551:O551" si="333">J383</f>
        <v>16632896.650574861</v>
      </c>
      <c r="K551" s="132">
        <f t="shared" ca="1" si="333"/>
        <v>38018549.266302153</v>
      </c>
      <c r="L551" s="132">
        <f t="shared" ca="1" si="333"/>
        <v>57566416.412559226</v>
      </c>
      <c r="M551" s="131">
        <f ca="1">M383</f>
        <v>74604547.318366811</v>
      </c>
      <c r="N551" s="131">
        <f ca="1">N383</f>
        <v>105848385.42377599</v>
      </c>
      <c r="O551" s="131">
        <f t="shared" ca="1" si="333"/>
        <v>119580819.37473221</v>
      </c>
      <c r="P551" s="131">
        <f t="shared" ref="P551:Y551" ca="1" si="334">P383</f>
        <v>165209490.19410458</v>
      </c>
      <c r="Q551" s="131">
        <f t="shared" ca="1" si="334"/>
        <v>207442938.34152621</v>
      </c>
      <c r="R551" s="131"/>
      <c r="S551" s="131"/>
      <c r="T551" s="131">
        <f ca="1">T383</f>
        <v>191494677.19827881</v>
      </c>
      <c r="U551" s="131">
        <f t="shared" ca="1" si="334"/>
        <v>262605731.95677492</v>
      </c>
      <c r="V551" s="131">
        <f t="shared" ca="1" si="334"/>
        <v>321147348.6046223</v>
      </c>
      <c r="W551" s="131">
        <f t="shared" ca="1" si="334"/>
        <v>359005124.2136727</v>
      </c>
      <c r="X551" s="131">
        <f t="shared" ca="1" si="334"/>
        <v>402790981.96730369</v>
      </c>
      <c r="Y551" s="131">
        <f t="shared" ca="1" si="334"/>
        <v>449426721.54917848</v>
      </c>
    </row>
    <row r="552" spans="2:25" ht="15.75" hidden="1" customHeight="1" outlineLevel="1">
      <c r="B552" s="111"/>
      <c r="C552" s="102"/>
      <c r="D552" s="102"/>
      <c r="E552" s="102"/>
      <c r="F552" s="102"/>
      <c r="G552" s="102"/>
      <c r="I552" s="117"/>
      <c r="J552" s="102"/>
      <c r="K552" s="102"/>
      <c r="L552" s="121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</row>
    <row r="553" spans="2:25" ht="15.75" hidden="1" customHeight="1" outlineLevel="1">
      <c r="B553" s="111"/>
      <c r="C553" s="102"/>
      <c r="D553" s="102"/>
      <c r="E553" s="102"/>
      <c r="F553" s="102"/>
      <c r="G553" s="102"/>
      <c r="I553" s="117"/>
      <c r="J553" s="102"/>
      <c r="K553" s="102"/>
      <c r="L553" s="121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</row>
    <row r="554" spans="2:25" ht="15.75" hidden="1" customHeight="1" outlineLevel="1">
      <c r="B554" s="111"/>
      <c r="C554" s="102"/>
      <c r="D554" s="102"/>
      <c r="E554" s="102"/>
      <c r="F554" s="102"/>
      <c r="G554" s="102"/>
      <c r="I554" s="117"/>
      <c r="J554" s="102"/>
      <c r="K554" s="102"/>
      <c r="L554" s="121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</row>
    <row r="555" spans="2:25" ht="15.75" customHeight="1" collapsed="1">
      <c r="B555" s="111"/>
      <c r="C555" s="102"/>
      <c r="D555" s="102"/>
      <c r="E555" s="102"/>
      <c r="F555" s="102"/>
      <c r="G555" s="102"/>
      <c r="I555" s="117"/>
      <c r="J555" s="102"/>
      <c r="K555" s="102"/>
      <c r="L555" s="121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</row>
    <row r="556" spans="2:25" ht="27" hidden="1" outlineLevel="1">
      <c r="B556" s="111"/>
      <c r="C556" s="499" t="s">
        <v>432</v>
      </c>
      <c r="I556" s="117"/>
      <c r="J556" s="102"/>
      <c r="K556" s="103"/>
      <c r="L556" s="137"/>
      <c r="M556" s="435"/>
      <c r="N556" s="435"/>
      <c r="O556" s="435"/>
      <c r="P556" s="435"/>
      <c r="Q556" s="435"/>
      <c r="R556" s="435"/>
      <c r="S556" s="435"/>
      <c r="T556" s="435"/>
      <c r="U556" s="435"/>
      <c r="V556" s="435"/>
      <c r="W556" s="435"/>
      <c r="X556" s="435"/>
      <c r="Y556" s="435"/>
    </row>
    <row r="557" spans="2:25" ht="3" hidden="1" customHeight="1" outlineLevel="1">
      <c r="B557" s="111"/>
      <c r="C557" s="104"/>
      <c r="D557" s="104"/>
      <c r="E557" s="104"/>
      <c r="F557" s="104"/>
      <c r="G557" s="104"/>
      <c r="H557" s="465"/>
      <c r="I557" s="104"/>
      <c r="J557" s="104"/>
      <c r="K557" s="104"/>
      <c r="L557" s="104"/>
      <c r="M557" s="104"/>
      <c r="N557" s="420"/>
      <c r="O557" s="420"/>
      <c r="P557" s="420"/>
      <c r="Q557" s="420"/>
      <c r="R557" s="420"/>
      <c r="S557" s="420"/>
      <c r="T557" s="420"/>
      <c r="U557" s="420"/>
      <c r="V557" s="420"/>
      <c r="W557" s="420"/>
      <c r="X557" s="420"/>
      <c r="Y557" s="420"/>
    </row>
    <row r="558" spans="2:25" ht="15.75" hidden="1" customHeight="1" outlineLevel="1">
      <c r="B558" s="111"/>
      <c r="C558" s="75" t="s">
        <v>1415</v>
      </c>
      <c r="I558" s="117"/>
      <c r="J558" s="102"/>
      <c r="K558" s="103"/>
      <c r="L558" s="137"/>
      <c r="M558" s="435"/>
      <c r="N558" s="435"/>
      <c r="O558" s="435"/>
      <c r="P558" s="435"/>
      <c r="Q558" s="435"/>
      <c r="R558" s="435"/>
      <c r="S558" s="435"/>
      <c r="T558" s="435"/>
      <c r="U558" s="435"/>
      <c r="V558" s="435"/>
      <c r="W558" s="435"/>
      <c r="X558" s="435"/>
      <c r="Y558" s="435"/>
    </row>
    <row r="559" spans="2:25" ht="15.75" hidden="1" customHeight="1" outlineLevel="1">
      <c r="B559" s="111"/>
      <c r="C559" s="480" t="s">
        <v>427</v>
      </c>
      <c r="I559" s="117"/>
      <c r="J559" s="500"/>
      <c r="K559" s="105"/>
      <c r="L559" s="138"/>
      <c r="M559" s="138"/>
      <c r="N559" s="138"/>
      <c r="O559" s="138"/>
      <c r="P559" s="138"/>
      <c r="Q559" s="138"/>
      <c r="R559" s="138"/>
      <c r="S559" s="138"/>
      <c r="T559" s="138"/>
      <c r="U559" s="138"/>
      <c r="V559" s="138"/>
      <c r="W559" s="138"/>
      <c r="X559" s="138"/>
      <c r="Y559" s="138"/>
    </row>
    <row r="560" spans="2:25" ht="15.75" hidden="1" customHeight="1" outlineLevel="1">
      <c r="B560" s="111"/>
      <c r="C560" s="501" t="s">
        <v>1415</v>
      </c>
      <c r="D560" s="106"/>
      <c r="E560" s="106"/>
      <c r="F560" s="106"/>
      <c r="G560" s="106"/>
      <c r="H560" s="502"/>
      <c r="I560" s="92">
        <v>0</v>
      </c>
      <c r="J560" s="92">
        <v>1</v>
      </c>
      <c r="K560" s="92">
        <v>2</v>
      </c>
      <c r="L560" s="92">
        <v>3</v>
      </c>
      <c r="M560" s="92">
        <v>4</v>
      </c>
      <c r="N560" s="92">
        <v>5</v>
      </c>
      <c r="O560" s="92">
        <f t="shared" ref="O560:Q560" si="335">O7</f>
        <v>6</v>
      </c>
      <c r="P560" s="92">
        <f t="shared" si="335"/>
        <v>7</v>
      </c>
      <c r="Q560" s="92">
        <f t="shared" si="335"/>
        <v>8</v>
      </c>
      <c r="R560" s="92"/>
      <c r="S560" s="92"/>
      <c r="T560" s="92" t="str">
        <f>T7</f>
        <v>Revised</v>
      </c>
      <c r="U560" s="92">
        <f t="shared" ref="U560:W560" si="336">U7</f>
        <v>9</v>
      </c>
      <c r="V560" s="92">
        <f t="shared" si="336"/>
        <v>10</v>
      </c>
      <c r="W560" s="92">
        <f t="shared" si="336"/>
        <v>11</v>
      </c>
      <c r="X560" s="92">
        <f>X7</f>
        <v>12</v>
      </c>
      <c r="Y560" s="92">
        <f>Y7</f>
        <v>13</v>
      </c>
    </row>
    <row r="561" spans="2:25" ht="15.75" hidden="1" customHeight="1" outlineLevel="1">
      <c r="B561" s="111"/>
      <c r="C561" s="504"/>
      <c r="D561" s="469"/>
      <c r="E561" s="469"/>
      <c r="F561" s="469"/>
      <c r="G561" s="469"/>
      <c r="H561" s="470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</row>
    <row r="562" spans="2:25" ht="15.75" hidden="1" customHeight="1" outlineLevel="1">
      <c r="B562" s="111"/>
      <c r="C562" s="505"/>
      <c r="D562" s="472"/>
      <c r="E562" s="506"/>
      <c r="F562" s="506"/>
      <c r="G562" s="506"/>
      <c r="H562" s="473"/>
      <c r="I562" s="94" t="s">
        <v>499</v>
      </c>
      <c r="J562" s="94" t="s">
        <v>499</v>
      </c>
      <c r="K562" s="112" t="s">
        <v>499</v>
      </c>
      <c r="L562" s="112" t="s">
        <v>499</v>
      </c>
      <c r="M562" s="112" t="s">
        <v>499</v>
      </c>
      <c r="N562" s="112" t="s">
        <v>499</v>
      </c>
      <c r="O562" s="112" t="s">
        <v>499</v>
      </c>
      <c r="P562" s="112" t="s">
        <v>499</v>
      </c>
      <c r="Q562" s="112" t="s">
        <v>499</v>
      </c>
      <c r="R562" s="112"/>
      <c r="S562" s="112"/>
      <c r="T562" s="112" t="s">
        <v>499</v>
      </c>
      <c r="U562" s="112" t="s">
        <v>499</v>
      </c>
      <c r="V562" s="112" t="s">
        <v>499</v>
      </c>
      <c r="W562" s="112" t="s">
        <v>499</v>
      </c>
      <c r="X562" s="112" t="s">
        <v>499</v>
      </c>
      <c r="Y562" s="112" t="s">
        <v>499</v>
      </c>
    </row>
    <row r="563" spans="2:25" ht="15.75" hidden="1" customHeight="1" outlineLevel="1">
      <c r="B563" s="111"/>
      <c r="C563" s="106"/>
      <c r="D563" s="106"/>
      <c r="E563" s="106"/>
      <c r="F563" s="106"/>
      <c r="G563" s="106"/>
      <c r="I563" s="106"/>
      <c r="J563" s="106"/>
      <c r="K563" s="106"/>
      <c r="L563" s="140"/>
      <c r="M563" s="100"/>
    </row>
    <row r="564" spans="2:25" ht="15.75" hidden="1" customHeight="1" outlineLevel="1">
      <c r="B564" s="111"/>
      <c r="C564" s="76" t="s">
        <v>1416</v>
      </c>
      <c r="D564" s="117"/>
      <c r="E564" s="117"/>
      <c r="F564" s="117"/>
      <c r="G564" s="117"/>
      <c r="H564" s="88"/>
      <c r="I564" s="117"/>
      <c r="J564" s="117"/>
      <c r="K564" s="117"/>
      <c r="L564" s="118"/>
      <c r="M564" s="100"/>
    </row>
    <row r="565" spans="2:25" ht="15.75" hidden="1" customHeight="1" outlineLevel="1">
      <c r="B565" s="111"/>
      <c r="C565" s="164" t="str">
        <f>C536</f>
        <v>Natixis - due June/10 Y  @ 1m LIBOR +5%</v>
      </c>
      <c r="D565" s="110"/>
      <c r="E565" s="110"/>
      <c r="F565" s="110"/>
      <c r="G565" s="110"/>
      <c r="H565" s="88"/>
      <c r="I565" s="80">
        <v>0</v>
      </c>
      <c r="J565" s="80">
        <f t="shared" ref="J565:L567" si="337">AVERAGE(I530:J530)</f>
        <v>2962914.4348557908</v>
      </c>
      <c r="K565" s="80">
        <f t="shared" si="337"/>
        <v>4269370.1103557907</v>
      </c>
      <c r="L565" s="80">
        <f>AVERAGE(K530:L530)</f>
        <v>2787912.7858557906</v>
      </c>
      <c r="M565" s="80">
        <f>AVERAGE(L530:M530)</f>
        <v>-0.21414420939981937</v>
      </c>
      <c r="N565" s="80">
        <f>AVERAGE(M530,N530)</f>
        <v>-0.21414420939981937</v>
      </c>
      <c r="O565" s="80">
        <f>AVERAGE(N530:O530)</f>
        <v>-0.21414420939981937</v>
      </c>
      <c r="P565" s="80">
        <f>P530*1/12</f>
        <v>1389682.5654879825</v>
      </c>
      <c r="Q565" s="80">
        <f>AVERAGE(P530:Q530)</f>
        <v>14733333.642998647</v>
      </c>
      <c r="R565" s="80"/>
      <c r="S565" s="80"/>
      <c r="T565" s="80">
        <f>AVERAGE(P530,T530)</f>
        <v>14733333.642998647</v>
      </c>
      <c r="U565" s="80">
        <f>AVERAGE(Q530:U530)</f>
        <v>11495238.40490341</v>
      </c>
      <c r="V565" s="80">
        <f t="shared" ref="V565:W567" si="338">AVERAGE(U530:V530)</f>
        <v>6961905.071570077</v>
      </c>
      <c r="W565" s="80">
        <f t="shared" si="338"/>
        <v>2509524.1191891246</v>
      </c>
      <c r="X565" s="80">
        <f t="shared" ref="X565:Y567" si="339">AVERAGE(W530:X530)</f>
        <v>0.30966531485319138</v>
      </c>
      <c r="Y565" s="80">
        <f t="shared" si="339"/>
        <v>0.30966531485319138</v>
      </c>
    </row>
    <row r="566" spans="2:25" ht="15.75" hidden="1" customHeight="1" outlineLevel="1">
      <c r="B566" s="111"/>
      <c r="C566" s="164" t="s">
        <v>2120</v>
      </c>
      <c r="D566" s="110"/>
      <c r="E566" s="110"/>
      <c r="F566" s="110"/>
      <c r="G566" s="110"/>
      <c r="H566" s="88"/>
      <c r="I566" s="80">
        <v>0</v>
      </c>
      <c r="J566" s="80">
        <f t="shared" si="337"/>
        <v>0</v>
      </c>
      <c r="K566" s="80">
        <f t="shared" si="337"/>
        <v>0</v>
      </c>
      <c r="L566" s="80">
        <f t="shared" si="337"/>
        <v>4496050</v>
      </c>
      <c r="M566" s="80">
        <f>AVERAGE(L531,M531)</f>
        <v>8575017.9499999993</v>
      </c>
      <c r="N566" s="80">
        <f>AVERAGE(M531,N531)</f>
        <v>7443155.9000000004</v>
      </c>
      <c r="O566" s="80">
        <f>AVERAGE(N531:O531)</f>
        <v>6013595.9000000004</v>
      </c>
      <c r="P566" s="80">
        <f>O531*11/12</f>
        <v>4857247.9083333341</v>
      </c>
      <c r="Q566" s="80">
        <f>AVERAGE(P531:Q531)</f>
        <v>0</v>
      </c>
      <c r="R566" s="80"/>
      <c r="S566" s="80"/>
      <c r="T566" s="80">
        <f>AVERAGE(S531:T531)</f>
        <v>0</v>
      </c>
      <c r="U566" s="80">
        <f>AVERAGE(Q531:U531)</f>
        <v>0</v>
      </c>
      <c r="V566" s="80">
        <f t="shared" si="338"/>
        <v>0</v>
      </c>
      <c r="W566" s="80">
        <f t="shared" si="338"/>
        <v>0</v>
      </c>
      <c r="X566" s="80">
        <f t="shared" si="339"/>
        <v>0</v>
      </c>
      <c r="Y566" s="80">
        <f t="shared" si="339"/>
        <v>0</v>
      </c>
    </row>
    <row r="567" spans="2:25" ht="15.75" hidden="1" customHeight="1" outlineLevel="1">
      <c r="B567" s="111"/>
      <c r="C567" s="164" t="s">
        <v>2118</v>
      </c>
      <c r="D567" s="110"/>
      <c r="E567" s="110"/>
      <c r="F567" s="110"/>
      <c r="G567" s="110"/>
      <c r="H567" s="88"/>
      <c r="I567" s="80">
        <v>0</v>
      </c>
      <c r="J567" s="80">
        <f t="shared" si="337"/>
        <v>0</v>
      </c>
      <c r="K567" s="80">
        <f t="shared" si="337"/>
        <v>0</v>
      </c>
      <c r="L567" s="80">
        <f t="shared" si="337"/>
        <v>0</v>
      </c>
      <c r="M567" s="80">
        <f>AVERAGE(L532:M532)</f>
        <v>0</v>
      </c>
      <c r="N567" s="80">
        <f>AVERAGE(M532,N532)</f>
        <v>2200000</v>
      </c>
      <c r="O567" s="80">
        <f>AVERAGE(N532:O532)</f>
        <v>4079350</v>
      </c>
      <c r="P567" s="80">
        <f>O532*11/12</f>
        <v>3445475</v>
      </c>
      <c r="Q567" s="80">
        <f>AVERAGE(P532:Q532)</f>
        <v>0</v>
      </c>
      <c r="R567" s="80"/>
      <c r="S567" s="80"/>
      <c r="T567" s="80">
        <f>AVERAGE(S532:T532)</f>
        <v>0</v>
      </c>
      <c r="U567" s="80">
        <f>AVERAGE(Q532:U532)</f>
        <v>0</v>
      </c>
      <c r="V567" s="80">
        <f t="shared" si="338"/>
        <v>0</v>
      </c>
      <c r="W567" s="80">
        <f t="shared" si="338"/>
        <v>0</v>
      </c>
      <c r="X567" s="80">
        <f t="shared" si="339"/>
        <v>0</v>
      </c>
      <c r="Y567" s="80">
        <f t="shared" si="339"/>
        <v>0</v>
      </c>
    </row>
    <row r="568" spans="2:25" ht="15.75" hidden="1" customHeight="1" outlineLevel="1">
      <c r="B568" s="111"/>
      <c r="C568" s="164" t="s">
        <v>1417</v>
      </c>
      <c r="D568" s="110"/>
      <c r="E568" s="110"/>
      <c r="F568" s="110"/>
      <c r="G568" s="110"/>
      <c r="H568" s="88"/>
      <c r="I568" s="80"/>
      <c r="J568" s="80">
        <f t="shared" ref="J568:W568" si="340">I546</f>
        <v>0</v>
      </c>
      <c r="K568" s="80">
        <f t="shared" si="340"/>
        <v>0</v>
      </c>
      <c r="L568" s="80">
        <f t="shared" si="340"/>
        <v>1162500</v>
      </c>
      <c r="M568" s="80">
        <f t="shared" si="340"/>
        <v>0</v>
      </c>
      <c r="N568" s="80">
        <f t="shared" si="340"/>
        <v>0</v>
      </c>
      <c r="O568" s="80">
        <f t="shared" ca="1" si="340"/>
        <v>0</v>
      </c>
      <c r="P568" s="80">
        <f t="shared" ca="1" si="340"/>
        <v>0</v>
      </c>
      <c r="Q568" s="80">
        <f t="shared" ca="1" si="340"/>
        <v>0</v>
      </c>
      <c r="R568" s="80"/>
      <c r="S568" s="80"/>
      <c r="T568" s="80">
        <f t="shared" si="340"/>
        <v>0</v>
      </c>
      <c r="U568" s="80">
        <f ca="1">Q546</f>
        <v>0</v>
      </c>
      <c r="V568" s="80">
        <f t="shared" ca="1" si="340"/>
        <v>0</v>
      </c>
      <c r="W568" s="80">
        <f t="shared" ca="1" si="340"/>
        <v>0</v>
      </c>
      <c r="X568" s="80">
        <f ca="1">W546</f>
        <v>0</v>
      </c>
      <c r="Y568" s="80">
        <f ca="1">X546</f>
        <v>0</v>
      </c>
    </row>
    <row r="569" spans="2:25" ht="15.75" hidden="1" customHeight="1" outlineLevel="1">
      <c r="B569" s="111"/>
      <c r="C569" s="164" t="s">
        <v>1418</v>
      </c>
      <c r="D569" s="110"/>
      <c r="E569" s="110"/>
      <c r="F569" s="110"/>
      <c r="G569" s="110"/>
      <c r="H569" s="88"/>
      <c r="I569" s="80"/>
      <c r="J569" s="80">
        <f t="shared" ref="J569:W569" si="341">I551</f>
        <v>191511.06174639301</v>
      </c>
      <c r="K569" s="80">
        <f t="shared" si="341"/>
        <v>16632896.650574861</v>
      </c>
      <c r="L569" s="80">
        <f t="shared" ca="1" si="341"/>
        <v>38018549.266302153</v>
      </c>
      <c r="M569" s="80">
        <f t="shared" ca="1" si="341"/>
        <v>57566416.412559226</v>
      </c>
      <c r="N569" s="80">
        <f t="shared" ca="1" si="341"/>
        <v>74604547.318366811</v>
      </c>
      <c r="O569" s="80">
        <f t="shared" ca="1" si="341"/>
        <v>105848385.42377599</v>
      </c>
      <c r="P569" s="80">
        <f t="shared" ca="1" si="341"/>
        <v>119580819.37473221</v>
      </c>
      <c r="Q569" s="80">
        <f t="shared" ca="1" si="341"/>
        <v>165209490.19410458</v>
      </c>
      <c r="R569" s="80"/>
      <c r="S569" s="80"/>
      <c r="T569" s="80">
        <f ca="1">P551</f>
        <v>165209490.19410458</v>
      </c>
      <c r="U569" s="80">
        <f ca="1">Q551</f>
        <v>207442938.34152621</v>
      </c>
      <c r="V569" s="80">
        <f t="shared" ca="1" si="341"/>
        <v>262605731.95677492</v>
      </c>
      <c r="W569" s="80">
        <f t="shared" ca="1" si="341"/>
        <v>321147348.6046223</v>
      </c>
      <c r="X569" s="80">
        <f ca="1">W551</f>
        <v>359005124.2136727</v>
      </c>
      <c r="Y569" s="80">
        <f ca="1">X551</f>
        <v>402790981.96730369</v>
      </c>
    </row>
    <row r="570" spans="2:25" ht="15.75" hidden="1" customHeight="1" outlineLevel="2">
      <c r="B570" s="111"/>
      <c r="C570" s="102"/>
      <c r="D570" s="102"/>
      <c r="E570" s="102"/>
      <c r="F570" s="102"/>
      <c r="G570" s="102"/>
      <c r="H570" s="88"/>
      <c r="I570" s="117"/>
      <c r="J570" s="102"/>
      <c r="K570" s="102"/>
      <c r="L570" s="102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</row>
    <row r="571" spans="2:25" ht="15.75" hidden="1" customHeight="1" outlineLevel="1">
      <c r="B571" s="111"/>
      <c r="C571" s="76" t="s">
        <v>1419</v>
      </c>
      <c r="D571" s="110"/>
      <c r="E571" s="110"/>
      <c r="F571" s="110"/>
      <c r="G571" s="110"/>
      <c r="H571" s="88"/>
      <c r="I571" s="110"/>
      <c r="J571" s="110"/>
      <c r="K571" s="110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</row>
    <row r="572" spans="2:25" ht="15.75" hidden="1" customHeight="1" outlineLevel="1">
      <c r="B572" s="111"/>
      <c r="C572" s="164" t="str">
        <f>C565</f>
        <v>Natixis - due June/10 Y  @ 1m LIBOR +5%</v>
      </c>
      <c r="D572" s="110"/>
      <c r="E572" s="110"/>
      <c r="F572" s="110"/>
      <c r="G572" s="110"/>
      <c r="H572" s="88"/>
      <c r="I572" s="133">
        <f>4.74%+3.5%</f>
        <v>8.2400000000000001E-2</v>
      </c>
      <c r="J572" s="133">
        <f t="shared" ref="J572:L575" si="342">I572</f>
        <v>8.2400000000000001E-2</v>
      </c>
      <c r="K572" s="133">
        <f t="shared" si="342"/>
        <v>8.2400000000000001E-2</v>
      </c>
      <c r="L572" s="133">
        <f t="shared" si="342"/>
        <v>8.2400000000000001E-2</v>
      </c>
      <c r="M572" s="133">
        <f>L572</f>
        <v>8.2400000000000001E-2</v>
      </c>
      <c r="N572" s="133">
        <f>M572</f>
        <v>8.2400000000000001E-2</v>
      </c>
      <c r="O572" s="133">
        <f>'Control list'!K15+1%</f>
        <v>1.6E-2</v>
      </c>
      <c r="P572" s="133">
        <f>'Control list'!L15+6%</f>
        <v>6.6000000000000003E-2</v>
      </c>
      <c r="Q572" s="133">
        <f>'Control list'!M15+6%</f>
        <v>6.8999999999999992E-2</v>
      </c>
      <c r="R572" s="133"/>
      <c r="S572" s="133"/>
      <c r="T572" s="133">
        <f>'Control list'!P15+6%</f>
        <v>6.8999999999999992E-2</v>
      </c>
      <c r="U572" s="133">
        <f>'Control list'!N15+6%</f>
        <v>6.8999999999999992E-2</v>
      </c>
      <c r="V572" s="133">
        <f>'Control list'!O15+6%</f>
        <v>6.8999999999999992E-2</v>
      </c>
      <c r="W572" s="133">
        <f>'Control list'!P15+6%</f>
        <v>6.8999999999999992E-2</v>
      </c>
      <c r="X572" s="133">
        <f>'Control list'!Q15+6%</f>
        <v>6.8999999999999992E-2</v>
      </c>
      <c r="Y572" s="133">
        <f>'Control list'!R15+6%</f>
        <v>6.8999999999999992E-2</v>
      </c>
    </row>
    <row r="573" spans="2:25" ht="15.75" hidden="1" customHeight="1" outlineLevel="1">
      <c r="B573" s="111"/>
      <c r="C573" s="164" t="s">
        <v>2117</v>
      </c>
      <c r="D573" s="110"/>
      <c r="E573" s="110"/>
      <c r="F573" s="110"/>
      <c r="G573" s="110"/>
      <c r="H573" s="88"/>
      <c r="I573" s="133">
        <f>4.74%+2.6%</f>
        <v>7.3400000000000007E-2</v>
      </c>
      <c r="J573" s="133">
        <f t="shared" si="342"/>
        <v>7.3400000000000007E-2</v>
      </c>
      <c r="K573" s="133">
        <f t="shared" si="342"/>
        <v>7.3400000000000007E-2</v>
      </c>
      <c r="L573" s="133">
        <f>K573</f>
        <v>7.3400000000000007E-2</v>
      </c>
      <c r="M573" s="133">
        <f>'Control list'!I16+2%</f>
        <v>1.4999999999999999E-2</v>
      </c>
      <c r="N573" s="133">
        <f>'Control list'!J16+2%</f>
        <v>1.4999999999999999E-2</v>
      </c>
      <c r="O573" s="133">
        <f>'Control list'!K16+2%</f>
        <v>1.4999999999999999E-2</v>
      </c>
      <c r="P573" s="133">
        <f>'Control list'!L16+2%</f>
        <v>1.4999999999999999E-2</v>
      </c>
      <c r="Q573" s="133">
        <v>0</v>
      </c>
      <c r="R573" s="133"/>
      <c r="S573" s="133"/>
      <c r="T573" s="133">
        <v>0</v>
      </c>
      <c r="U573" s="133">
        <f>'Control list'!N16+2%</f>
        <v>1.4999999999999999E-2</v>
      </c>
      <c r="V573" s="133">
        <f>'Control list'!O16+2%</f>
        <v>1.4999999999999999E-2</v>
      </c>
      <c r="W573" s="133">
        <f>'Control list'!P16+2%</f>
        <v>1.4999999999999999E-2</v>
      </c>
      <c r="X573" s="133">
        <f>'Control list'!Q16+2%</f>
        <v>1.4999999999999999E-2</v>
      </c>
      <c r="Y573" s="133">
        <f>'Control list'!R16+2%</f>
        <v>1.4999999999999999E-2</v>
      </c>
    </row>
    <row r="574" spans="2:25" ht="15.75" hidden="1" customHeight="1" outlineLevel="1">
      <c r="B574" s="111"/>
      <c r="C574" s="164" t="s">
        <v>2118</v>
      </c>
      <c r="D574" s="110"/>
      <c r="E574" s="110"/>
      <c r="F574" s="110"/>
      <c r="G574" s="110"/>
      <c r="H574" s="88"/>
      <c r="I574" s="133">
        <v>0.12</v>
      </c>
      <c r="J574" s="133">
        <f t="shared" si="342"/>
        <v>0.12</v>
      </c>
      <c r="K574" s="83">
        <f t="shared" si="342"/>
        <v>0.12</v>
      </c>
      <c r="L574" s="83">
        <f t="shared" si="342"/>
        <v>0.12</v>
      </c>
      <c r="M574" s="83">
        <f>L574</f>
        <v>0.12</v>
      </c>
      <c r="N574" s="83">
        <f>'Control list'!J15+5%</f>
        <v>5.6000000000000001E-2</v>
      </c>
      <c r="O574" s="83">
        <f>'Control list'!K15+5%</f>
        <v>5.6000000000000001E-2</v>
      </c>
      <c r="P574" s="83">
        <f>'Control list'!L15+5%</f>
        <v>5.6000000000000001E-2</v>
      </c>
      <c r="Q574" s="83">
        <v>0</v>
      </c>
      <c r="R574" s="83"/>
      <c r="S574" s="83"/>
      <c r="T574" s="83">
        <v>0</v>
      </c>
      <c r="U574" s="83">
        <f>'Control list'!N15+5%</f>
        <v>5.9000000000000004E-2</v>
      </c>
      <c r="V574" s="83">
        <f>'Control list'!O15+5%</f>
        <v>5.9000000000000004E-2</v>
      </c>
      <c r="W574" s="83">
        <f>'Control list'!P15+5%</f>
        <v>5.9000000000000004E-2</v>
      </c>
      <c r="X574" s="83">
        <f>'Control list'!Q15+5%</f>
        <v>5.9000000000000004E-2</v>
      </c>
      <c r="Y574" s="83">
        <f>'Control list'!R15+5%</f>
        <v>5.9000000000000004E-2</v>
      </c>
    </row>
    <row r="575" spans="2:25" ht="15.75" hidden="1" customHeight="1" outlineLevel="1">
      <c r="B575" s="111"/>
      <c r="C575" s="164" t="s">
        <v>1417</v>
      </c>
      <c r="D575" s="110"/>
      <c r="E575" s="110"/>
      <c r="F575" s="110"/>
      <c r="G575" s="110"/>
      <c r="H575" s="88"/>
      <c r="I575" s="133">
        <f>4.74%+3.5%</f>
        <v>8.2400000000000001E-2</v>
      </c>
      <c r="J575" s="83">
        <f t="shared" si="342"/>
        <v>8.2400000000000001E-2</v>
      </c>
      <c r="K575" s="83">
        <f t="shared" si="342"/>
        <v>8.2400000000000001E-2</v>
      </c>
      <c r="L575" s="133">
        <f t="shared" si="342"/>
        <v>8.2400000000000001E-2</v>
      </c>
      <c r="M575" s="133">
        <f>L575</f>
        <v>8.2400000000000001E-2</v>
      </c>
      <c r="N575" s="133">
        <f>M575</f>
        <v>8.2400000000000001E-2</v>
      </c>
      <c r="O575" s="133">
        <f>N575</f>
        <v>8.2400000000000001E-2</v>
      </c>
      <c r="P575" s="133">
        <f>O575</f>
        <v>8.2400000000000001E-2</v>
      </c>
      <c r="Q575" s="133">
        <v>0</v>
      </c>
      <c r="R575" s="133"/>
      <c r="S575" s="133"/>
      <c r="T575" s="133">
        <v>0</v>
      </c>
      <c r="U575" s="133">
        <f>Q575</f>
        <v>0</v>
      </c>
      <c r="V575" s="133">
        <f t="shared" ref="V575:Y576" si="343">U575</f>
        <v>0</v>
      </c>
      <c r="W575" s="133">
        <f t="shared" si="343"/>
        <v>0</v>
      </c>
      <c r="X575" s="133">
        <f t="shared" si="343"/>
        <v>0</v>
      </c>
      <c r="Y575" s="133">
        <f t="shared" si="343"/>
        <v>0</v>
      </c>
    </row>
    <row r="576" spans="2:25" ht="15.75" hidden="1" customHeight="1" outlineLevel="1">
      <c r="B576" s="111"/>
      <c r="C576" s="164" t="s">
        <v>896</v>
      </c>
      <c r="D576" s="110"/>
      <c r="E576" s="110"/>
      <c r="F576" s="110"/>
      <c r="G576" s="110"/>
      <c r="H576" s="88"/>
      <c r="I576" s="83">
        <v>0.01</v>
      </c>
      <c r="J576" s="83">
        <v>0.01</v>
      </c>
      <c r="K576" s="83">
        <v>0</v>
      </c>
      <c r="L576" s="83">
        <v>0</v>
      </c>
      <c r="M576" s="83">
        <v>0</v>
      </c>
      <c r="N576" s="83">
        <v>0</v>
      </c>
      <c r="O576" s="83">
        <v>0</v>
      </c>
      <c r="P576" s="83">
        <f>O576</f>
        <v>0</v>
      </c>
      <c r="Q576" s="83">
        <f>P576</f>
        <v>0</v>
      </c>
      <c r="R576" s="83"/>
      <c r="S576" s="83"/>
      <c r="T576" s="83">
        <f>S576</f>
        <v>0</v>
      </c>
      <c r="U576" s="83">
        <f>Q576</f>
        <v>0</v>
      </c>
      <c r="V576" s="83">
        <f t="shared" si="343"/>
        <v>0</v>
      </c>
      <c r="W576" s="83">
        <f t="shared" si="343"/>
        <v>0</v>
      </c>
      <c r="X576" s="83">
        <f t="shared" si="343"/>
        <v>0</v>
      </c>
      <c r="Y576" s="83">
        <f t="shared" si="343"/>
        <v>0</v>
      </c>
    </row>
    <row r="577" spans="2:25" ht="15.75" hidden="1" customHeight="1" outlineLevel="2">
      <c r="B577" s="111"/>
      <c r="C577" s="102"/>
      <c r="D577" s="102"/>
      <c r="E577" s="102"/>
      <c r="F577" s="102"/>
      <c r="G577" s="102"/>
      <c r="H577" s="88"/>
      <c r="I577" s="117"/>
      <c r="J577" s="102"/>
      <c r="K577" s="102"/>
      <c r="L577" s="102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</row>
    <row r="578" spans="2:25" ht="15.75" hidden="1" customHeight="1" outlineLevel="1">
      <c r="B578" s="111"/>
      <c r="C578" s="76" t="s">
        <v>1420</v>
      </c>
      <c r="D578" s="110"/>
      <c r="E578" s="110"/>
      <c r="F578" s="110"/>
      <c r="G578" s="110"/>
      <c r="H578" s="88"/>
      <c r="I578" s="110"/>
      <c r="J578" s="576"/>
      <c r="K578" s="134"/>
      <c r="L578" s="134"/>
      <c r="M578" s="134"/>
      <c r="N578" s="134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</row>
    <row r="579" spans="2:25" ht="15.75" hidden="1" customHeight="1" outlineLevel="1">
      <c r="B579" s="111"/>
      <c r="C579" s="164" t="str">
        <f>C572</f>
        <v>Natixis - due June/10 Y  @ 1m LIBOR +5%</v>
      </c>
      <c r="D579" s="110"/>
      <c r="E579" s="110"/>
      <c r="F579" s="110"/>
      <c r="G579" s="110"/>
      <c r="H579" s="88"/>
      <c r="I579" s="79">
        <f t="shared" ref="I579:L582" si="344">I565*I572</f>
        <v>0</v>
      </c>
      <c r="J579" s="79">
        <f t="shared" si="344"/>
        <v>244144.14943211718</v>
      </c>
      <c r="K579" s="79">
        <f t="shared" si="344"/>
        <v>351796.09709331713</v>
      </c>
      <c r="L579" s="79">
        <f t="shared" si="344"/>
        <v>229724.01355451715</v>
      </c>
      <c r="M579" s="79">
        <f>M565*M572</f>
        <v>-1.7645482854545116E-2</v>
      </c>
      <c r="N579" s="79">
        <f>N565*N572</f>
        <v>-1.7645482854545116E-2</v>
      </c>
      <c r="O579" s="79">
        <f>O565*O572</f>
        <v>-3.4263073503971102E-3</v>
      </c>
      <c r="P579" s="79">
        <f>P565*P572</f>
        <v>91719.049322206847</v>
      </c>
      <c r="Q579" s="79">
        <f t="shared" ref="P579:Q582" si="345">Q565*Q572</f>
        <v>1016600.0213669065</v>
      </c>
      <c r="R579" s="79"/>
      <c r="S579" s="79"/>
      <c r="T579" s="79">
        <f>T565*T572</f>
        <v>1016600.0213669065</v>
      </c>
      <c r="U579" s="79">
        <f t="shared" ref="U579:V582" si="346">U565*U572</f>
        <v>793171.44993833522</v>
      </c>
      <c r="V579" s="79">
        <f t="shared" si="346"/>
        <v>480371.44993833528</v>
      </c>
      <c r="W579" s="79">
        <f t="shared" ref="W579:Y582" si="347">W565*W572</f>
        <v>173157.16422404957</v>
      </c>
      <c r="X579" s="79">
        <f t="shared" si="347"/>
        <v>2.1366906724870204E-2</v>
      </c>
      <c r="Y579" s="79">
        <f t="shared" si="347"/>
        <v>2.1366906724870204E-2</v>
      </c>
    </row>
    <row r="580" spans="2:25" ht="15.75" hidden="1" customHeight="1" outlineLevel="1">
      <c r="B580" s="111"/>
      <c r="C580" s="164" t="s">
        <v>2117</v>
      </c>
      <c r="D580" s="110"/>
      <c r="E580" s="110"/>
      <c r="F580" s="110"/>
      <c r="G580" s="110"/>
      <c r="H580" s="88"/>
      <c r="I580" s="79">
        <f t="shared" si="344"/>
        <v>0</v>
      </c>
      <c r="J580" s="79">
        <f t="shared" si="344"/>
        <v>0</v>
      </c>
      <c r="K580" s="79">
        <f t="shared" si="344"/>
        <v>0</v>
      </c>
      <c r="L580" s="79">
        <f t="shared" si="344"/>
        <v>330010.07</v>
      </c>
      <c r="M580" s="79">
        <f>M566*M573</f>
        <v>128625.26924999998</v>
      </c>
      <c r="N580" s="79">
        <f>N566*N573</f>
        <v>111647.3385</v>
      </c>
      <c r="O580" s="79">
        <f t="shared" ref="N580:O582" si="348">O566*O573</f>
        <v>90203.938500000004</v>
      </c>
      <c r="P580" s="79">
        <f t="shared" si="345"/>
        <v>72858.718625000009</v>
      </c>
      <c r="Q580" s="79">
        <f t="shared" si="345"/>
        <v>0</v>
      </c>
      <c r="R580" s="79"/>
      <c r="S580" s="79"/>
      <c r="T580" s="79">
        <f>T566*T573</f>
        <v>0</v>
      </c>
      <c r="U580" s="79">
        <f t="shared" si="346"/>
        <v>0</v>
      </c>
      <c r="V580" s="79">
        <f t="shared" si="346"/>
        <v>0</v>
      </c>
      <c r="W580" s="79">
        <f t="shared" si="347"/>
        <v>0</v>
      </c>
      <c r="X580" s="79">
        <f t="shared" si="347"/>
        <v>0</v>
      </c>
      <c r="Y580" s="79">
        <f t="shared" si="347"/>
        <v>0</v>
      </c>
    </row>
    <row r="581" spans="2:25" ht="15.75" hidden="1" customHeight="1" outlineLevel="1">
      <c r="B581" s="111"/>
      <c r="C581" s="164" t="s">
        <v>2118</v>
      </c>
      <c r="D581" s="110"/>
      <c r="E581" s="110"/>
      <c r="F581" s="110"/>
      <c r="G581" s="110"/>
      <c r="H581" s="88"/>
      <c r="I581" s="79">
        <f t="shared" si="344"/>
        <v>0</v>
      </c>
      <c r="J581" s="79">
        <f t="shared" si="344"/>
        <v>0</v>
      </c>
      <c r="K581" s="79">
        <f t="shared" si="344"/>
        <v>0</v>
      </c>
      <c r="L581" s="79">
        <f t="shared" si="344"/>
        <v>0</v>
      </c>
      <c r="M581" s="79">
        <f>M567*M574</f>
        <v>0</v>
      </c>
      <c r="N581" s="79">
        <f>N567*N574</f>
        <v>123200</v>
      </c>
      <c r="O581" s="79">
        <f t="shared" si="348"/>
        <v>228443.6</v>
      </c>
      <c r="P581" s="79">
        <f t="shared" si="345"/>
        <v>192946.6</v>
      </c>
      <c r="Q581" s="79">
        <f t="shared" si="345"/>
        <v>0</v>
      </c>
      <c r="R581" s="79"/>
      <c r="S581" s="79"/>
      <c r="T581" s="79">
        <f>T567*T574</f>
        <v>0</v>
      </c>
      <c r="U581" s="79">
        <f t="shared" si="346"/>
        <v>0</v>
      </c>
      <c r="V581" s="79">
        <f t="shared" si="346"/>
        <v>0</v>
      </c>
      <c r="W581" s="79">
        <f t="shared" si="347"/>
        <v>0</v>
      </c>
      <c r="X581" s="79">
        <f t="shared" si="347"/>
        <v>0</v>
      </c>
      <c r="Y581" s="79">
        <f t="shared" si="347"/>
        <v>0</v>
      </c>
    </row>
    <row r="582" spans="2:25" ht="15.75" hidden="1" customHeight="1" outlineLevel="1">
      <c r="B582" s="111"/>
      <c r="C582" s="164" t="s">
        <v>1417</v>
      </c>
      <c r="D582" s="110"/>
      <c r="E582" s="110"/>
      <c r="F582" s="110"/>
      <c r="G582" s="110"/>
      <c r="H582" s="88"/>
      <c r="I582" s="79">
        <f t="shared" si="344"/>
        <v>0</v>
      </c>
      <c r="J582" s="79">
        <v>253570.69839981876</v>
      </c>
      <c r="K582" s="79">
        <v>422092</v>
      </c>
      <c r="L582" s="79">
        <f t="shared" si="344"/>
        <v>95790</v>
      </c>
      <c r="M582" s="79">
        <f>M568*M575</f>
        <v>0</v>
      </c>
      <c r="N582" s="79">
        <f t="shared" si="348"/>
        <v>0</v>
      </c>
      <c r="O582" s="79">
        <f ca="1">O568*O575</f>
        <v>0</v>
      </c>
      <c r="P582" s="79">
        <f t="shared" ca="1" si="345"/>
        <v>0</v>
      </c>
      <c r="Q582" s="79">
        <f t="shared" ca="1" si="345"/>
        <v>0</v>
      </c>
      <c r="R582" s="79"/>
      <c r="S582" s="79"/>
      <c r="T582" s="79">
        <f>T568*T575</f>
        <v>0</v>
      </c>
      <c r="U582" s="79">
        <f t="shared" ca="1" si="346"/>
        <v>0</v>
      </c>
      <c r="V582" s="79">
        <f t="shared" ca="1" si="346"/>
        <v>0</v>
      </c>
      <c r="W582" s="79">
        <f t="shared" ca="1" si="347"/>
        <v>0</v>
      </c>
      <c r="X582" s="79">
        <f t="shared" ca="1" si="347"/>
        <v>0</v>
      </c>
      <c r="Y582" s="79">
        <f t="shared" ca="1" si="347"/>
        <v>0</v>
      </c>
    </row>
    <row r="583" spans="2:25" ht="15.75" hidden="1" customHeight="1" outlineLevel="1">
      <c r="B583" s="111"/>
      <c r="C583" s="164" t="s">
        <v>1421</v>
      </c>
      <c r="D583" s="110"/>
      <c r="E583" s="110"/>
      <c r="F583" s="110"/>
      <c r="G583" s="110"/>
      <c r="H583" s="88"/>
      <c r="I583" s="80">
        <f t="shared" ref="I583:U583" si="349">SUM(I579:I582)</f>
        <v>0</v>
      </c>
      <c r="J583" s="80">
        <f t="shared" si="349"/>
        <v>497714.84783193597</v>
      </c>
      <c r="K583" s="80">
        <f t="shared" si="349"/>
        <v>773888.09709331719</v>
      </c>
      <c r="L583" s="80">
        <f t="shared" si="349"/>
        <v>655524.08355451713</v>
      </c>
      <c r="M583" s="80">
        <f t="shared" si="349"/>
        <v>128625.25160451712</v>
      </c>
      <c r="N583" s="80">
        <f t="shared" si="349"/>
        <v>234847.32085451714</v>
      </c>
      <c r="O583" s="80">
        <f t="shared" ca="1" si="349"/>
        <v>318647.53507369268</v>
      </c>
      <c r="P583" s="80">
        <f t="shared" ca="1" si="349"/>
        <v>357524.36794720683</v>
      </c>
      <c r="Q583" s="80">
        <f t="shared" ca="1" si="349"/>
        <v>1016600.0213669065</v>
      </c>
      <c r="R583" s="80"/>
      <c r="S583" s="80"/>
      <c r="T583" s="80">
        <f>SUM(T579:T582)</f>
        <v>1016600.0213669065</v>
      </c>
      <c r="U583" s="80">
        <f t="shared" ca="1" si="349"/>
        <v>793171.44993833522</v>
      </c>
      <c r="V583" s="80">
        <f ca="1">SUM(V579:V582)</f>
        <v>480371.44993833528</v>
      </c>
      <c r="W583" s="80">
        <f ca="1">SUM(W579:W582)</f>
        <v>173157.16422404957</v>
      </c>
      <c r="X583" s="80">
        <f ca="1">SUM(X579:X582)</f>
        <v>2.1366906724870204E-2</v>
      </c>
      <c r="Y583" s="80">
        <f ca="1">SUM(Y579:Y582)</f>
        <v>2.1366906724870204E-2</v>
      </c>
    </row>
    <row r="584" spans="2:25" ht="15.75" hidden="1" customHeight="1" outlineLevel="2">
      <c r="B584" s="111"/>
      <c r="C584" s="102"/>
      <c r="D584" s="102"/>
      <c r="E584" s="102"/>
      <c r="F584" s="102"/>
      <c r="G584" s="102"/>
      <c r="H584" s="88"/>
      <c r="I584" s="117"/>
      <c r="J584" s="102"/>
      <c r="K584" s="102"/>
      <c r="L584" s="102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</row>
    <row r="585" spans="2:25" ht="15.75" hidden="1" customHeight="1" outlineLevel="1">
      <c r="B585" s="111"/>
      <c r="C585" s="544" t="s">
        <v>1422</v>
      </c>
      <c r="D585" s="110"/>
      <c r="E585" s="110"/>
      <c r="F585" s="110"/>
      <c r="G585" s="110"/>
      <c r="H585" s="88"/>
      <c r="I585" s="79">
        <v>0</v>
      </c>
      <c r="J585" s="79">
        <f t="shared" ref="J585:W585" si="350">I585</f>
        <v>0</v>
      </c>
      <c r="K585" s="79">
        <f t="shared" si="350"/>
        <v>0</v>
      </c>
      <c r="L585" s="79">
        <f t="shared" si="350"/>
        <v>0</v>
      </c>
      <c r="M585" s="79">
        <f t="shared" si="350"/>
        <v>0</v>
      </c>
      <c r="N585" s="79">
        <f t="shared" si="350"/>
        <v>0</v>
      </c>
      <c r="O585" s="79">
        <f t="shared" si="350"/>
        <v>0</v>
      </c>
      <c r="P585" s="79">
        <f t="shared" si="350"/>
        <v>0</v>
      </c>
      <c r="Q585" s="79">
        <f t="shared" si="350"/>
        <v>0</v>
      </c>
      <c r="R585" s="79"/>
      <c r="S585" s="79"/>
      <c r="T585" s="79">
        <f t="shared" si="350"/>
        <v>0</v>
      </c>
      <c r="U585" s="79">
        <f>Q585</f>
        <v>0</v>
      </c>
      <c r="V585" s="79">
        <f t="shared" si="350"/>
        <v>0</v>
      </c>
      <c r="W585" s="79">
        <f t="shared" si="350"/>
        <v>0</v>
      </c>
      <c r="X585" s="79">
        <f>W585</f>
        <v>0</v>
      </c>
      <c r="Y585" s="79">
        <f>X585</f>
        <v>0</v>
      </c>
    </row>
    <row r="586" spans="2:25" ht="15.75" hidden="1" customHeight="1" outlineLevel="2">
      <c r="B586" s="111"/>
      <c r="C586" s="102"/>
      <c r="D586" s="102"/>
      <c r="E586" s="102"/>
      <c r="F586" s="102"/>
      <c r="G586" s="102"/>
      <c r="H586" s="88"/>
      <c r="I586" s="117"/>
      <c r="J586" s="102"/>
      <c r="K586" s="102"/>
      <c r="L586" s="102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</row>
    <row r="587" spans="2:25" ht="15.75" hidden="1" customHeight="1" outlineLevel="1">
      <c r="B587" s="111"/>
      <c r="C587" s="544" t="s">
        <v>1423</v>
      </c>
      <c r="D587" s="110"/>
      <c r="E587" s="110"/>
      <c r="F587" s="110"/>
      <c r="G587" s="110"/>
      <c r="H587" s="88"/>
      <c r="I587" s="80">
        <f t="shared" ref="I587:U587" si="351">I583+I585</f>
        <v>0</v>
      </c>
      <c r="J587" s="80">
        <f t="shared" si="351"/>
        <v>497714.84783193597</v>
      </c>
      <c r="K587" s="80">
        <f t="shared" si="351"/>
        <v>773888.09709331719</v>
      </c>
      <c r="L587" s="80">
        <f t="shared" si="351"/>
        <v>655524.08355451713</v>
      </c>
      <c r="M587" s="80">
        <f t="shared" si="351"/>
        <v>128625.25160451712</v>
      </c>
      <c r="N587" s="80">
        <f>N583+N585</f>
        <v>234847.32085451714</v>
      </c>
      <c r="O587" s="80">
        <f t="shared" ca="1" si="351"/>
        <v>318647.53507369268</v>
      </c>
      <c r="P587" s="80">
        <f t="shared" ca="1" si="351"/>
        <v>357524.36794720683</v>
      </c>
      <c r="Q587" s="80">
        <f t="shared" ca="1" si="351"/>
        <v>1016600.0213669065</v>
      </c>
      <c r="R587" s="80"/>
      <c r="S587" s="80"/>
      <c r="T587" s="80">
        <f>T583+T585</f>
        <v>1016600.0213669065</v>
      </c>
      <c r="U587" s="80">
        <f t="shared" ca="1" si="351"/>
        <v>793171.44993833522</v>
      </c>
      <c r="V587" s="80">
        <f ca="1">V583+V585</f>
        <v>480371.44993833528</v>
      </c>
      <c r="W587" s="80">
        <f ca="1">W583+W585</f>
        <v>173157.16422404957</v>
      </c>
      <c r="X587" s="80">
        <f ca="1">X583+X585</f>
        <v>2.1366906724870204E-2</v>
      </c>
      <c r="Y587" s="80">
        <f ca="1">Y583+Y585</f>
        <v>2.1366906724870204E-2</v>
      </c>
    </row>
    <row r="588" spans="2:25" ht="15.75" hidden="1" customHeight="1" outlineLevel="2">
      <c r="B588" s="111"/>
      <c r="C588" s="102"/>
      <c r="D588" s="110"/>
      <c r="E588" s="110"/>
      <c r="F588" s="110"/>
      <c r="G588" s="110"/>
      <c r="H588" s="88"/>
      <c r="I588" s="110"/>
      <c r="J588" s="110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</row>
    <row r="589" spans="2:25" ht="15.75" hidden="1" customHeight="1" outlineLevel="1">
      <c r="B589" s="111"/>
      <c r="C589" s="76" t="s">
        <v>1424</v>
      </c>
      <c r="D589" s="110"/>
      <c r="E589" s="110"/>
      <c r="F589" s="110"/>
      <c r="G589" s="110"/>
      <c r="H589" s="88"/>
      <c r="I589" s="79">
        <f t="shared" ref="I589:U589" si="352">I569*I576</f>
        <v>0</v>
      </c>
      <c r="J589" s="79">
        <f t="shared" si="352"/>
        <v>1915.1106174639301</v>
      </c>
      <c r="K589" s="79">
        <f t="shared" si="352"/>
        <v>0</v>
      </c>
      <c r="L589" s="79">
        <f t="shared" ca="1" si="352"/>
        <v>0</v>
      </c>
      <c r="M589" s="79">
        <f t="shared" ca="1" si="352"/>
        <v>0</v>
      </c>
      <c r="N589" s="79">
        <f ca="1">N569*N576</f>
        <v>0</v>
      </c>
      <c r="O589" s="79">
        <f t="shared" ca="1" si="352"/>
        <v>0</v>
      </c>
      <c r="P589" s="79">
        <f t="shared" ca="1" si="352"/>
        <v>0</v>
      </c>
      <c r="Q589" s="79">
        <f t="shared" ca="1" si="352"/>
        <v>0</v>
      </c>
      <c r="R589" s="79"/>
      <c r="S589" s="79"/>
      <c r="T589" s="79">
        <f ca="1">T569*T576</f>
        <v>0</v>
      </c>
      <c r="U589" s="79">
        <f t="shared" ca="1" si="352"/>
        <v>0</v>
      </c>
      <c r="V589" s="79">
        <f ca="1">V569*V576</f>
        <v>0</v>
      </c>
      <c r="W589" s="79">
        <f ca="1">W569*W576</f>
        <v>0</v>
      </c>
      <c r="X589" s="79">
        <f ca="1">X569*X576</f>
        <v>0</v>
      </c>
      <c r="Y589" s="79">
        <f ca="1">Y569*Y576</f>
        <v>0</v>
      </c>
    </row>
    <row r="590" spans="2:25" ht="15.75" hidden="1" customHeight="1" outlineLevel="1">
      <c r="B590" s="111"/>
      <c r="C590" s="76" t="s">
        <v>1425</v>
      </c>
      <c r="D590" s="110"/>
      <c r="E590" s="110"/>
      <c r="F590" s="110"/>
      <c r="G590" s="110"/>
      <c r="H590" s="88"/>
      <c r="I590" s="79">
        <v>0</v>
      </c>
      <c r="J590" s="79">
        <f t="shared" ref="J590:W590" si="353">I590</f>
        <v>0</v>
      </c>
      <c r="K590" s="79">
        <f t="shared" si="353"/>
        <v>0</v>
      </c>
      <c r="L590" s="79">
        <f t="shared" si="353"/>
        <v>0</v>
      </c>
      <c r="M590" s="79">
        <f t="shared" si="353"/>
        <v>0</v>
      </c>
      <c r="N590" s="79">
        <f t="shared" si="353"/>
        <v>0</v>
      </c>
      <c r="O590" s="79">
        <f t="shared" si="353"/>
        <v>0</v>
      </c>
      <c r="P590" s="79">
        <f t="shared" si="353"/>
        <v>0</v>
      </c>
      <c r="Q590" s="79">
        <f t="shared" si="353"/>
        <v>0</v>
      </c>
      <c r="R590" s="79"/>
      <c r="S590" s="79"/>
      <c r="T590" s="79">
        <f t="shared" si="353"/>
        <v>0</v>
      </c>
      <c r="U590" s="79">
        <f>Q590</f>
        <v>0</v>
      </c>
      <c r="V590" s="79">
        <f t="shared" si="353"/>
        <v>0</v>
      </c>
      <c r="W590" s="79">
        <f t="shared" si="353"/>
        <v>0</v>
      </c>
      <c r="X590" s="79">
        <f>W590</f>
        <v>0</v>
      </c>
      <c r="Y590" s="79">
        <f>X590</f>
        <v>0</v>
      </c>
    </row>
    <row r="591" spans="2:25" ht="15.75" hidden="1" customHeight="1" outlineLevel="1">
      <c r="B591" s="111"/>
      <c r="C591" s="544" t="s">
        <v>1426</v>
      </c>
      <c r="D591" s="110"/>
      <c r="E591" s="110"/>
      <c r="F591" s="110"/>
      <c r="G591" s="110"/>
      <c r="H591" s="88"/>
      <c r="I591" s="80">
        <f t="shared" ref="I591:N591" si="354">SUM(I589:I590)</f>
        <v>0</v>
      </c>
      <c r="J591" s="80">
        <f t="shared" si="354"/>
        <v>1915.1106174639301</v>
      </c>
      <c r="K591" s="80">
        <f t="shared" si="354"/>
        <v>0</v>
      </c>
      <c r="L591" s="80">
        <f t="shared" ca="1" si="354"/>
        <v>0</v>
      </c>
      <c r="M591" s="80">
        <f ca="1">SUM(M589:M590)</f>
        <v>0</v>
      </c>
      <c r="N591" s="80">
        <f t="shared" ca="1" si="354"/>
        <v>0</v>
      </c>
      <c r="O591" s="80">
        <f t="shared" ref="O591:W591" ca="1" si="355">SUM(O589:O590)</f>
        <v>0</v>
      </c>
      <c r="P591" s="80">
        <f t="shared" ca="1" si="355"/>
        <v>0</v>
      </c>
      <c r="Q591" s="80">
        <f t="shared" ca="1" si="355"/>
        <v>0</v>
      </c>
      <c r="R591" s="80"/>
      <c r="S591" s="80"/>
      <c r="T591" s="80">
        <f ca="1">SUM(T589:T590)</f>
        <v>0</v>
      </c>
      <c r="U591" s="80">
        <f t="shared" ca="1" si="355"/>
        <v>0</v>
      </c>
      <c r="V591" s="80">
        <f t="shared" ca="1" si="355"/>
        <v>0</v>
      </c>
      <c r="W591" s="80">
        <f t="shared" ca="1" si="355"/>
        <v>0</v>
      </c>
      <c r="X591" s="80">
        <f ca="1">SUM(X589:X590)</f>
        <v>0</v>
      </c>
      <c r="Y591" s="80">
        <f ca="1">SUM(Y589:Y590)</f>
        <v>0</v>
      </c>
    </row>
    <row r="592" spans="2:25" ht="15.75" hidden="1" customHeight="1" outlineLevel="1">
      <c r="B592" s="111"/>
      <c r="C592" s="102"/>
      <c r="D592" s="102"/>
      <c r="E592" s="102"/>
      <c r="F592" s="102"/>
      <c r="G592" s="102"/>
      <c r="I592" s="117"/>
      <c r="J592" s="102"/>
      <c r="K592" s="102"/>
      <c r="L592" s="102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</row>
    <row r="593" spans="2:25" ht="15.75" hidden="1" customHeight="1" outlineLevel="1">
      <c r="B593" s="111"/>
      <c r="C593" s="1278" t="s">
        <v>1845</v>
      </c>
      <c r="D593" s="102"/>
      <c r="E593" s="102"/>
      <c r="F593" s="102"/>
      <c r="G593" s="102"/>
      <c r="I593" s="117"/>
      <c r="J593" s="102"/>
      <c r="K593" s="102"/>
      <c r="L593" s="121"/>
      <c r="M593" s="118"/>
      <c r="N593" s="118"/>
      <c r="O593" s="118"/>
      <c r="P593" s="1327">
        <v>0.1</v>
      </c>
      <c r="Q593" s="118"/>
      <c r="R593" s="118"/>
      <c r="S593" s="118"/>
      <c r="T593" s="118"/>
      <c r="U593" s="118"/>
      <c r="V593" s="118"/>
      <c r="W593" s="118"/>
      <c r="X593" s="118"/>
      <c r="Y593" s="118"/>
    </row>
    <row r="594" spans="2:25" ht="15.75" hidden="1" customHeight="1" outlineLevel="1">
      <c r="B594" s="111"/>
      <c r="C594" s="1278" t="s">
        <v>1846</v>
      </c>
      <c r="D594" s="110"/>
      <c r="E594" s="110"/>
      <c r="F594" s="110"/>
      <c r="G594" s="110"/>
      <c r="H594" s="88"/>
      <c r="I594" s="110"/>
      <c r="J594" s="110"/>
      <c r="K594" s="114"/>
      <c r="L594" s="114"/>
      <c r="M594" s="114"/>
      <c r="N594" s="110"/>
      <c r="O594" s="110"/>
      <c r="P594" s="1327">
        <v>0.03</v>
      </c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2:25" ht="15.75" hidden="1" customHeight="1" outlineLevel="1">
      <c r="B595" s="111"/>
      <c r="C595" s="1278" t="s">
        <v>1847</v>
      </c>
      <c r="D595" s="110"/>
      <c r="E595" s="110"/>
      <c r="F595" s="110"/>
      <c r="G595" s="110"/>
      <c r="H595" s="88"/>
      <c r="I595" s="110"/>
      <c r="J595" s="110"/>
      <c r="K595" s="114"/>
      <c r="L595" s="114"/>
      <c r="M595" s="100"/>
      <c r="N595" s="100"/>
      <c r="O595" s="100"/>
      <c r="P595" s="1181"/>
      <c r="Q595" s="1181">
        <v>1</v>
      </c>
      <c r="R595" s="1181"/>
      <c r="S595" s="1181"/>
      <c r="T595" s="1181">
        <v>1</v>
      </c>
      <c r="U595" s="1181">
        <f>Q595+1</f>
        <v>2</v>
      </c>
      <c r="V595" s="1181">
        <f>U595+1</f>
        <v>3</v>
      </c>
      <c r="W595" s="1181">
        <f>V595+1</f>
        <v>4</v>
      </c>
      <c r="X595" s="1181">
        <f>W595+1</f>
        <v>5</v>
      </c>
      <c r="Y595" s="100"/>
    </row>
    <row r="596" spans="2:25" hidden="1" outlineLevel="1">
      <c r="C596" s="1278" t="s">
        <v>1848</v>
      </c>
      <c r="D596" s="81"/>
      <c r="E596" s="81"/>
      <c r="F596" s="81"/>
      <c r="G596" s="81"/>
      <c r="H596" s="88"/>
      <c r="J596" s="81"/>
      <c r="K596" s="81"/>
      <c r="P596" s="1176"/>
      <c r="Q596" s="1176">
        <f>(1/(1+$P$593)^Q595)</f>
        <v>0.90909090909090906</v>
      </c>
      <c r="R596" s="1176"/>
      <c r="S596" s="1176"/>
      <c r="T596" s="1176">
        <f>(1/(1+$P$593)^T595)</f>
        <v>0.90909090909090906</v>
      </c>
      <c r="U596" s="1176">
        <f>(1/(1+$P$593)^U595)</f>
        <v>0.82644628099173545</v>
      </c>
      <c r="V596" s="1176">
        <f>(1/(1+$P$593)^V595)</f>
        <v>0.75131480090157754</v>
      </c>
      <c r="W596" s="1176">
        <f>(1/(1+$P$593)^W595)</f>
        <v>0.68301345536507052</v>
      </c>
      <c r="X596" s="1176">
        <f>(1/(1+$P$593)^X595)</f>
        <v>0.62092132305915493</v>
      </c>
    </row>
    <row r="597" spans="2:25" hidden="1" outlineLevel="1">
      <c r="C597" s="1278" t="s">
        <v>1849</v>
      </c>
      <c r="D597" s="81"/>
      <c r="E597" s="81"/>
      <c r="F597" s="81"/>
      <c r="G597" s="81"/>
      <c r="H597" s="88"/>
      <c r="J597" s="81"/>
      <c r="K597" s="81"/>
      <c r="P597" s="1182"/>
      <c r="Q597" s="1182">
        <f ca="1">Q380*Q596</f>
        <v>38394043.770383291</v>
      </c>
      <c r="R597" s="1182"/>
      <c r="S597" s="1182"/>
      <c r="T597" s="1182">
        <f ca="1">T380*T596</f>
        <v>23895624.549249306</v>
      </c>
      <c r="U597" s="1182">
        <f ca="1">U380*U596</f>
        <v>45589085.632436939</v>
      </c>
      <c r="V597" s="1182">
        <f ca="1">V380*V596</f>
        <v>43983183.056233943</v>
      </c>
      <c r="W597" s="1182">
        <f ca="1">W380*W596</f>
        <v>25857370.131173</v>
      </c>
      <c r="X597" s="1182">
        <f ca="1">X380*X596</f>
        <v>27187572.727664512</v>
      </c>
    </row>
    <row r="598" spans="2:25" hidden="1" outlineLevel="1">
      <c r="C598" s="1278" t="s">
        <v>1850</v>
      </c>
      <c r="D598" s="81"/>
      <c r="E598" s="81"/>
      <c r="F598" s="81"/>
      <c r="G598" s="81"/>
      <c r="H598" s="88"/>
      <c r="J598" s="81"/>
      <c r="K598" s="81"/>
      <c r="P598" s="1183"/>
      <c r="Q598" s="1183">
        <f ca="1">SUM(Q597:X597)</f>
        <v>204906879.86714098</v>
      </c>
      <c r="R598" s="1183"/>
      <c r="S598" s="1183"/>
      <c r="T598" s="1183">
        <f ca="1">SUM(T597:AA597)</f>
        <v>166512836.09675768</v>
      </c>
      <c r="U598" s="1181"/>
      <c r="V598" s="1181"/>
      <c r="W598" s="1181"/>
    </row>
    <row r="599" spans="2:25" hidden="1" outlineLevel="1">
      <c r="C599" s="1278" t="s">
        <v>1851</v>
      </c>
      <c r="D599" s="81"/>
      <c r="E599" s="81"/>
      <c r="F599" s="81"/>
      <c r="G599" s="81"/>
      <c r="H599" s="88"/>
      <c r="J599" s="81"/>
      <c r="K599" s="81"/>
      <c r="P599" s="1183"/>
      <c r="Q599" s="1183">
        <f ca="1">X597/(P593-P594)</f>
        <v>388393896.10949296</v>
      </c>
      <c r="R599" s="1183"/>
      <c r="S599" s="1183"/>
      <c r="T599" s="1183" t="e">
        <f>AA597/(S593-S594)</f>
        <v>#DIV/0!</v>
      </c>
      <c r="U599" s="1181"/>
      <c r="V599" s="1181"/>
      <c r="W599" s="1181"/>
    </row>
    <row r="600" spans="2:25" hidden="1" outlineLevel="1">
      <c r="C600" s="1278" t="s">
        <v>1852</v>
      </c>
      <c r="D600" s="81"/>
      <c r="E600" s="81"/>
      <c r="F600" s="81"/>
      <c r="G600" s="81"/>
      <c r="H600" s="88"/>
      <c r="J600" s="81"/>
      <c r="K600" s="81"/>
      <c r="P600" s="1183"/>
      <c r="Q600" s="1183">
        <f ca="1">Q599*X596</f>
        <v>241162051.84040633</v>
      </c>
      <c r="R600" s="1183"/>
      <c r="S600" s="1183"/>
      <c r="T600" s="1183" t="e">
        <f>T599*AA596</f>
        <v>#DIV/0!</v>
      </c>
      <c r="U600" s="1181"/>
      <c r="V600" s="1181"/>
      <c r="W600" s="1181"/>
    </row>
    <row r="601" spans="2:25" hidden="1" outlineLevel="1">
      <c r="C601" s="1278"/>
      <c r="D601" s="81"/>
      <c r="E601" s="81"/>
      <c r="F601" s="81"/>
      <c r="G601" s="81"/>
      <c r="H601" s="88"/>
      <c r="J601" s="81"/>
      <c r="K601" s="81"/>
      <c r="P601" s="1181"/>
      <c r="Q601" s="1181"/>
      <c r="R601" s="1181"/>
      <c r="S601" s="1181"/>
      <c r="T601" s="1181"/>
      <c r="U601" s="1181"/>
      <c r="V601" s="1181"/>
      <c r="W601" s="1181"/>
    </row>
    <row r="602" spans="2:25" hidden="1" outlineLevel="1">
      <c r="C602" s="1278" t="s">
        <v>1853</v>
      </c>
      <c r="D602" s="81"/>
      <c r="E602" s="81"/>
      <c r="F602" s="81"/>
      <c r="G602" s="81"/>
      <c r="H602" s="88"/>
      <c r="J602" s="81"/>
      <c r="K602" s="81"/>
      <c r="P602" s="1183"/>
      <c r="Q602" s="1183">
        <f ca="1">Q600+Q597</f>
        <v>279556095.6107896</v>
      </c>
      <c r="R602" s="1183"/>
      <c r="S602" s="1183"/>
      <c r="T602" s="1183" t="e">
        <f ca="1">T600+T597</f>
        <v>#DIV/0!</v>
      </c>
      <c r="U602" s="1181"/>
      <c r="V602" s="1181"/>
      <c r="W602" s="1181"/>
    </row>
    <row r="603" spans="2:25" hidden="1" outlineLevel="1">
      <c r="C603" s="1278" t="s">
        <v>1854</v>
      </c>
      <c r="D603" s="81"/>
      <c r="E603" s="81"/>
      <c r="F603" s="81"/>
      <c r="G603" s="81"/>
      <c r="H603" s="88"/>
      <c r="J603" s="81"/>
      <c r="K603" s="81"/>
      <c r="P603" s="1184"/>
      <c r="Q603" s="1184">
        <f>P419+P429-P433</f>
        <v>13294469.860327721</v>
      </c>
      <c r="R603" s="1184"/>
      <c r="S603" s="1184"/>
      <c r="T603" s="1184">
        <f>S419+S429-S433</f>
        <v>0</v>
      </c>
      <c r="U603" s="1181"/>
      <c r="V603" s="1181"/>
      <c r="W603" s="1181"/>
    </row>
    <row r="604" spans="2:25" hidden="1" outlineLevel="1">
      <c r="C604" s="1278" t="s">
        <v>1855</v>
      </c>
      <c r="D604" s="81"/>
      <c r="E604" s="81"/>
      <c r="F604" s="81"/>
      <c r="G604" s="81"/>
      <c r="H604" s="88"/>
      <c r="J604" s="81"/>
      <c r="K604" s="81"/>
      <c r="P604" s="1181"/>
      <c r="Q604" s="1181">
        <v>0</v>
      </c>
      <c r="R604" s="1181"/>
      <c r="S604" s="1181"/>
      <c r="T604" s="1181">
        <v>0</v>
      </c>
      <c r="U604" s="1181"/>
      <c r="V604" s="1181"/>
      <c r="W604" s="1181"/>
    </row>
    <row r="605" spans="2:25" hidden="1" outlineLevel="1">
      <c r="C605" s="1278" t="s">
        <v>1856</v>
      </c>
      <c r="D605" s="81"/>
      <c r="E605" s="81"/>
      <c r="F605" s="81"/>
      <c r="G605" s="81"/>
      <c r="H605" s="88"/>
      <c r="J605" s="81"/>
      <c r="K605" s="81"/>
      <c r="P605" s="1183"/>
      <c r="Q605" s="1183">
        <f ca="1">Q602-Q603</f>
        <v>266261625.75046188</v>
      </c>
      <c r="R605" s="1183"/>
      <c r="S605" s="1183"/>
      <c r="T605" s="1183" t="e">
        <f ca="1">T602-T603</f>
        <v>#DIV/0!</v>
      </c>
      <c r="U605" s="1181"/>
      <c r="V605" s="1181"/>
      <c r="W605" s="1181"/>
    </row>
    <row r="606" spans="2:25" hidden="1" outlineLevel="1">
      <c r="C606" s="1322" t="s">
        <v>1857</v>
      </c>
      <c r="D606" s="81"/>
      <c r="E606" s="81"/>
      <c r="F606" s="81"/>
      <c r="G606" s="81"/>
      <c r="H606" s="88"/>
      <c r="J606" s="81"/>
      <c r="K606" s="81"/>
      <c r="P606" s="1319"/>
      <c r="Q606" s="1319">
        <f ca="1">ROUND(Q605,-3)</f>
        <v>266262000</v>
      </c>
      <c r="R606" s="1319"/>
      <c r="S606" s="1319"/>
      <c r="T606" s="1319" t="e">
        <f ca="1">ROUND(T605,-3)</f>
        <v>#DIV/0!</v>
      </c>
      <c r="U606" s="1181"/>
      <c r="V606" s="1181"/>
      <c r="W606" s="1181"/>
    </row>
    <row r="607" spans="2:25" collapsed="1">
      <c r="C607" s="545"/>
      <c r="D607" s="81"/>
      <c r="E607" s="81"/>
      <c r="F607" s="81"/>
      <c r="G607" s="81"/>
      <c r="H607" s="88"/>
      <c r="J607" s="81"/>
      <c r="K607" s="81"/>
    </row>
  </sheetData>
  <phoneticPr fontId="0" type="noConversion"/>
  <conditionalFormatting sqref="I278">
    <cfRule type="cellIs" dxfId="5" priority="1" stopIfTrue="1" operator="notEqual">
      <formula>1</formula>
    </cfRule>
  </conditionalFormatting>
  <printOptions horizontalCentered="1"/>
  <pageMargins left="0.35433070866141736" right="0.35433070866141736" top="0.62992125984251968" bottom="0.35433070866141736" header="0.51181102362204722" footer="0.23622047244094491"/>
  <pageSetup paperSize="9" fitToHeight="14" orientation="portrait" r:id="rId1"/>
  <headerFooter alignWithMargins="0"/>
  <rowBreaks count="4" manualBreakCount="4">
    <brk id="338" min="1" max="17" man="1"/>
    <brk id="388" min="1" max="18" man="1"/>
    <brk id="437" min="1" max="17" man="1"/>
    <brk id="511" min="1" max="17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rgb="FFFFC000"/>
    <pageSetUpPr fitToPage="1"/>
  </sheetPr>
  <dimension ref="A1:ID558"/>
  <sheetViews>
    <sheetView showGridLines="0" topLeftCell="B1" zoomScale="80" zoomScaleNormal="80" zoomScaleSheetLayoutView="85" workbookViewId="0">
      <pane xSplit="14" ySplit="9" topLeftCell="P10" activePane="bottomRight" state="frozen"/>
      <selection activeCell="B1" sqref="B1"/>
      <selection pane="topRight" activeCell="O1" sqref="O1"/>
      <selection pane="bottomLeft" activeCell="B10" sqref="B10"/>
      <selection pane="bottomRight" activeCell="D474" sqref="D474"/>
    </sheetView>
  </sheetViews>
  <sheetFormatPr defaultRowHeight="12.75" outlineLevelRow="1" outlineLevelCol="1"/>
  <cols>
    <col min="1" max="2" width="5.42578125" style="75" customWidth="1"/>
    <col min="3" max="3" width="6.140625" style="75" customWidth="1"/>
    <col min="4" max="4" width="21.42578125" style="460" customWidth="1"/>
    <col min="5" max="5" width="6.42578125" style="75" bestFit="1" customWidth="1"/>
    <col min="6" max="6" width="18.28515625" style="75" customWidth="1"/>
    <col min="7" max="7" width="17.42578125" style="75" hidden="1" customWidth="1" outlineLevel="1"/>
    <col min="8" max="8" width="4" style="75" hidden="1" customWidth="1" outlineLevel="1"/>
    <col min="9" max="9" width="15.140625" style="75" hidden="1" customWidth="1" outlineLevel="1"/>
    <col min="10" max="10" width="10.5703125" style="75" hidden="1" customWidth="1" outlineLevel="1"/>
    <col min="11" max="11" width="12.28515625" style="75" hidden="1" customWidth="1" outlineLevel="1" collapsed="1"/>
    <col min="12" max="12" width="13.5703125" style="75" hidden="1" customWidth="1" outlineLevel="1" collapsed="1"/>
    <col min="13" max="13" width="14.28515625" style="81" hidden="1" customWidth="1" outlineLevel="1" collapsed="1"/>
    <col min="14" max="14" width="13.5703125" style="81" hidden="1" customWidth="1" outlineLevel="1" collapsed="1"/>
    <col min="15" max="15" width="16.140625" style="81" hidden="1" customWidth="1" outlineLevel="1"/>
    <col min="16" max="16" width="16.140625" style="81" customWidth="1" collapsed="1"/>
    <col min="17" max="26" width="16.140625" style="81" customWidth="1"/>
    <col min="27" max="58" width="11.7109375" style="75" customWidth="1"/>
    <col min="59" max="16384" width="9.140625" style="75"/>
  </cols>
  <sheetData>
    <row r="1" spans="1:238" ht="15.75" customHeight="1">
      <c r="A1" s="460"/>
      <c r="B1" s="460"/>
      <c r="F1" s="81"/>
      <c r="G1" s="81"/>
      <c r="H1" s="81"/>
      <c r="I1" s="88"/>
      <c r="J1" s="81"/>
      <c r="K1" s="81"/>
      <c r="Q1" s="715"/>
      <c r="R1" s="1180"/>
      <c r="S1" s="1180"/>
      <c r="T1" s="1180"/>
      <c r="U1" s="1180"/>
    </row>
    <row r="2" spans="1:238" ht="15.75" customHeight="1">
      <c r="D2" s="461"/>
      <c r="E2" s="81"/>
      <c r="F2" s="81"/>
      <c r="G2" s="81"/>
      <c r="H2" s="81"/>
      <c r="I2" s="81"/>
      <c r="J2" s="81"/>
      <c r="K2" s="81"/>
    </row>
    <row r="3" spans="1:238" ht="27" customHeight="1">
      <c r="D3" s="462" t="s">
        <v>239</v>
      </c>
      <c r="M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spans="1:238" ht="3" customHeight="1">
      <c r="D4" s="464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38" ht="15.75" customHeight="1"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6" spans="1:238" ht="15.75" customHeight="1">
      <c r="D6" s="467" t="s">
        <v>168</v>
      </c>
      <c r="E6" s="468"/>
      <c r="F6" s="468"/>
      <c r="G6" s="468"/>
      <c r="H6" s="468"/>
      <c r="I6" s="91"/>
      <c r="J6" s="91"/>
      <c r="K6" s="91"/>
      <c r="L6" s="91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</row>
    <row r="7" spans="1:238" ht="15.75" customHeight="1">
      <c r="C7" s="91"/>
      <c r="D7" s="546"/>
      <c r="E7" s="106"/>
      <c r="F7" s="106"/>
      <c r="G7" s="106"/>
      <c r="H7" s="546"/>
      <c r="I7" s="546"/>
      <c r="J7" s="92">
        <v>0</v>
      </c>
      <c r="K7" s="92">
        <f t="shared" ref="K7:X7" si="0">J7+1</f>
        <v>1</v>
      </c>
      <c r="L7" s="92">
        <f t="shared" si="0"/>
        <v>2</v>
      </c>
      <c r="M7" s="136">
        <f t="shared" si="0"/>
        <v>3</v>
      </c>
      <c r="N7" s="136">
        <f t="shared" si="0"/>
        <v>4</v>
      </c>
      <c r="O7" s="136">
        <f t="shared" si="0"/>
        <v>5</v>
      </c>
      <c r="P7" s="136">
        <f t="shared" si="0"/>
        <v>6</v>
      </c>
      <c r="Q7" s="136">
        <f t="shared" si="0"/>
        <v>7</v>
      </c>
      <c r="R7" s="136">
        <f t="shared" si="0"/>
        <v>8</v>
      </c>
      <c r="S7" s="136" t="s">
        <v>2084</v>
      </c>
      <c r="T7" s="136" t="s">
        <v>2085</v>
      </c>
      <c r="U7" s="136" t="s">
        <v>2012</v>
      </c>
      <c r="V7" s="136">
        <f>R7+1</f>
        <v>9</v>
      </c>
      <c r="W7" s="136">
        <f t="shared" si="0"/>
        <v>10</v>
      </c>
      <c r="X7" s="136">
        <f t="shared" si="0"/>
        <v>11</v>
      </c>
      <c r="Y7" s="136">
        <f>X7+1</f>
        <v>12</v>
      </c>
      <c r="Z7" s="136">
        <f>Y7+1</f>
        <v>13</v>
      </c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447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447"/>
      <c r="BD7" s="447"/>
      <c r="BE7" s="447"/>
      <c r="BF7" s="447"/>
    </row>
    <row r="8" spans="1:238" ht="15.75" customHeight="1">
      <c r="C8" s="91"/>
      <c r="D8" s="548"/>
      <c r="E8" s="469"/>
      <c r="F8" s="469"/>
      <c r="G8" s="469"/>
      <c r="H8" s="548"/>
      <c r="I8" s="548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1165"/>
      <c r="V8" s="93"/>
      <c r="W8" s="93"/>
      <c r="X8" s="93"/>
      <c r="Y8" s="93"/>
      <c r="Z8" s="93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447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447"/>
      <c r="BD8" s="447"/>
      <c r="BE8" s="447"/>
      <c r="BF8" s="447"/>
    </row>
    <row r="9" spans="1:238" ht="15.75" customHeight="1">
      <c r="C9" s="91"/>
      <c r="D9" s="471"/>
      <c r="E9" s="472"/>
      <c r="F9" s="506"/>
      <c r="G9" s="506"/>
      <c r="H9" s="471"/>
      <c r="I9" s="471"/>
      <c r="J9" s="94" t="s">
        <v>499</v>
      </c>
      <c r="K9" s="94" t="str">
        <f t="shared" ref="K9:X9" si="1">J9</f>
        <v>($)</v>
      </c>
      <c r="L9" s="94" t="str">
        <f t="shared" si="1"/>
        <v>($)</v>
      </c>
      <c r="M9" s="94" t="str">
        <f t="shared" si="1"/>
        <v>($)</v>
      </c>
      <c r="N9" s="94" t="str">
        <f t="shared" si="1"/>
        <v>($)</v>
      </c>
      <c r="O9" s="94" t="str">
        <f t="shared" si="1"/>
        <v>($)</v>
      </c>
      <c r="P9" s="94" t="str">
        <f t="shared" si="1"/>
        <v>($)</v>
      </c>
      <c r="Q9" s="94" t="str">
        <f t="shared" si="1"/>
        <v>($)</v>
      </c>
      <c r="R9" s="94" t="str">
        <f t="shared" si="1"/>
        <v>($)</v>
      </c>
      <c r="S9" s="94"/>
      <c r="T9" s="94"/>
      <c r="U9" s="94" t="str">
        <f>R9</f>
        <v>($)</v>
      </c>
      <c r="V9" s="94" t="str">
        <f>R9</f>
        <v>($)</v>
      </c>
      <c r="W9" s="94" t="str">
        <f t="shared" si="1"/>
        <v>($)</v>
      </c>
      <c r="X9" s="94" t="str">
        <f t="shared" si="1"/>
        <v>($)</v>
      </c>
      <c r="Y9" s="94" t="str">
        <f>X9</f>
        <v>($)</v>
      </c>
      <c r="Z9" s="94" t="str">
        <f>Y9</f>
        <v>($)</v>
      </c>
      <c r="AA9" s="447"/>
      <c r="AB9" s="447"/>
      <c r="AC9" s="447"/>
      <c r="AD9" s="447"/>
      <c r="AE9" s="447"/>
      <c r="AF9" s="447"/>
      <c r="AG9" s="447"/>
      <c r="AH9" s="447"/>
      <c r="AI9" s="447"/>
      <c r="AJ9" s="447"/>
      <c r="AK9" s="447"/>
      <c r="AL9" s="447"/>
      <c r="AM9" s="447"/>
      <c r="AN9" s="447"/>
      <c r="AO9" s="447"/>
      <c r="AP9" s="447"/>
      <c r="AQ9" s="447"/>
      <c r="AR9" s="447"/>
      <c r="AS9" s="447"/>
      <c r="AT9" s="447"/>
      <c r="AU9" s="447"/>
      <c r="AV9" s="447"/>
      <c r="AW9" s="447"/>
      <c r="AX9" s="447"/>
      <c r="AY9" s="447"/>
      <c r="AZ9" s="447"/>
      <c r="BA9" s="447"/>
      <c r="BB9" s="447"/>
      <c r="BC9" s="447"/>
      <c r="BD9" s="447"/>
      <c r="BE9" s="447"/>
      <c r="BF9" s="447"/>
    </row>
    <row r="10" spans="1:238" ht="15.75" customHeight="1">
      <c r="C10" s="91"/>
      <c r="D10" s="135"/>
      <c r="E10" s="91"/>
      <c r="F10" s="91"/>
      <c r="G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447"/>
      <c r="AB10" s="447"/>
      <c r="AC10" s="447"/>
      <c r="AD10" s="447"/>
      <c r="AE10" s="447"/>
      <c r="AF10" s="447"/>
      <c r="AG10" s="447"/>
      <c r="AH10" s="447"/>
      <c r="AI10" s="447"/>
      <c r="AJ10" s="447"/>
      <c r="AK10" s="447"/>
      <c r="AL10" s="447"/>
      <c r="AM10" s="447"/>
      <c r="AN10" s="447"/>
      <c r="AO10" s="447"/>
      <c r="AP10" s="447"/>
      <c r="AQ10" s="447"/>
      <c r="AR10" s="447"/>
      <c r="AS10" s="447"/>
      <c r="AT10" s="447"/>
      <c r="AU10" s="447"/>
      <c r="AV10" s="447"/>
      <c r="AW10" s="447"/>
      <c r="AX10" s="447"/>
      <c r="AY10" s="447"/>
      <c r="AZ10" s="447"/>
      <c r="BA10" s="447"/>
      <c r="BB10" s="447"/>
      <c r="BC10" s="447"/>
      <c r="BD10" s="447"/>
      <c r="BE10" s="447"/>
      <c r="BF10" s="447"/>
      <c r="ID10" s="645"/>
    </row>
    <row r="11" spans="1:238" ht="15.75" customHeight="1">
      <c r="C11" s="91"/>
      <c r="D11" s="646" t="s">
        <v>244</v>
      </c>
      <c r="E11" s="447"/>
      <c r="F11" s="447"/>
      <c r="G11" s="447"/>
      <c r="H11" s="447"/>
      <c r="I11" s="447"/>
      <c r="J11" s="447"/>
      <c r="K11" s="447"/>
      <c r="L11" s="447"/>
      <c r="M11" s="573"/>
      <c r="N11" s="573"/>
      <c r="O11" s="573"/>
      <c r="P11" s="100"/>
      <c r="Q11" s="573"/>
      <c r="R11" s="573"/>
      <c r="S11" s="573"/>
      <c r="T11" s="573"/>
      <c r="U11" s="573"/>
      <c r="V11" s="573"/>
      <c r="W11" s="573"/>
      <c r="X11" s="573"/>
      <c r="Y11" s="573"/>
      <c r="Z11" s="573"/>
      <c r="AA11" s="447"/>
      <c r="AB11" s="447"/>
      <c r="AC11" s="447"/>
      <c r="AD11" s="447"/>
      <c r="AE11" s="447"/>
      <c r="AF11" s="447"/>
      <c r="AG11" s="447"/>
      <c r="AH11" s="447"/>
      <c r="AI11" s="447"/>
      <c r="AJ11" s="447"/>
      <c r="AK11" s="447"/>
      <c r="AL11" s="447"/>
      <c r="AM11" s="447"/>
      <c r="AN11" s="447"/>
      <c r="AO11" s="447"/>
      <c r="AP11" s="447"/>
      <c r="AQ11" s="447"/>
      <c r="AR11" s="447"/>
      <c r="AS11" s="447"/>
      <c r="AT11" s="447"/>
      <c r="AU11" s="447"/>
      <c r="AV11" s="447"/>
      <c r="AW11" s="447"/>
      <c r="AX11" s="447"/>
      <c r="AY11" s="447"/>
      <c r="AZ11" s="447"/>
      <c r="BA11" s="447"/>
      <c r="BB11" s="447"/>
      <c r="BC11" s="447"/>
      <c r="BD11" s="447"/>
      <c r="BE11" s="447"/>
      <c r="BF11" s="447"/>
    </row>
    <row r="12" spans="1:238" ht="15.75" customHeight="1">
      <c r="C12" s="91"/>
      <c r="D12" s="647" t="s">
        <v>240</v>
      </c>
      <c r="E12" s="648"/>
      <c r="F12" s="648"/>
      <c r="G12" s="648"/>
      <c r="H12" s="648"/>
      <c r="I12" s="648"/>
      <c r="J12" s="648"/>
      <c r="K12" s="160">
        <f>(K13*K16*K45-K17*K49-(K13-1500)*K18*K49-(K15-1.5%)/1*100*K19)/K49</f>
        <v>1149.1677867462083</v>
      </c>
      <c r="L12" s="160">
        <f>(L13*L16*L45-L17*L49-(L13-1500)*L18*L49-(L15-1.5%)/1*100*L19)/L49</f>
        <v>1167.2363671518631</v>
      </c>
      <c r="M12" s="160">
        <f>(M13*M16*M45-M17*M49-(M13-1500)*M18*M49-(M15-1.5%)/1*100*M19)/M49</f>
        <v>709.52872204674077</v>
      </c>
      <c r="N12" s="650">
        <f>(N13*N16*N45-N17*N49-IF(N13&gt;1100,(N13-1100)*N18*N49,-(N13-1100)*0.05*N49))/N49</f>
        <v>451.52148299999993</v>
      </c>
      <c r="O12" s="160">
        <f>(O13*(O45/O49-0.08)*O49-O17*O49-IF(O13&gt;1100,(O13-2000)*O18*O49,-(O13-2000)*0.05*O49))/O49</f>
        <v>706.92000000000007</v>
      </c>
      <c r="P12" s="650">
        <f>(P13*P16*(P45/P49-1.3%)*P49-P17*P49-IF(P13&gt;2100,(P13-2100)*P18*P49,-(P13-2100)*0.05*P49))/P49</f>
        <v>710.89957303776646</v>
      </c>
      <c r="Q12" s="650">
        <f>(Q13*Q16*(Q45/Q49-1.3%)*Q49-Q17*Q49-IF(Q13&gt;2100,(Q13-2100)*Q18*Q49,-(Q13-2100)*0.05*Q49))/Q49</f>
        <v>932.85499999999979</v>
      </c>
      <c r="R12" s="650">
        <f t="shared" ref="R12:Z12" si="2">(R13*(R45/R49-8%)*R49-R17*R49-IF(R13&gt;2100,(R13-2100)*R18*R49,(R13-2100)*0.05*R49))/R49</f>
        <v>1058.5</v>
      </c>
      <c r="S12" s="650"/>
      <c r="T12" s="650"/>
      <c r="U12" s="650">
        <f>(U13*(U45/U49-8%)*U49-U17*U49-IF(U13&gt;2100,(U13-2100)*U18*U49,(U13-2100)*0.05*U49))/U49</f>
        <v>553.4</v>
      </c>
      <c r="V12" s="650">
        <f t="shared" si="2"/>
        <v>1058.5</v>
      </c>
      <c r="W12" s="650">
        <f t="shared" si="2"/>
        <v>1058.5</v>
      </c>
      <c r="X12" s="650">
        <f t="shared" si="2"/>
        <v>1058.5</v>
      </c>
      <c r="Y12" s="650">
        <f t="shared" si="2"/>
        <v>1058.5</v>
      </c>
      <c r="Z12" s="650">
        <f t="shared" si="2"/>
        <v>1058.5</v>
      </c>
      <c r="AA12" s="447"/>
      <c r="AB12" s="447"/>
      <c r="AC12" s="447"/>
      <c r="AD12" s="447"/>
      <c r="AE12" s="447"/>
      <c r="AF12" s="447"/>
      <c r="AG12" s="447"/>
      <c r="AH12" s="447"/>
      <c r="AI12" s="447"/>
      <c r="AJ12" s="447"/>
      <c r="AK12" s="447"/>
      <c r="AL12" s="447"/>
      <c r="AM12" s="447"/>
      <c r="AN12" s="447"/>
      <c r="AO12" s="447"/>
      <c r="AP12" s="447"/>
      <c r="AQ12" s="447"/>
      <c r="AR12" s="447"/>
      <c r="AS12" s="447"/>
      <c r="AT12" s="447"/>
      <c r="AU12" s="447"/>
      <c r="AV12" s="447"/>
      <c r="AW12" s="447"/>
      <c r="AX12" s="447"/>
      <c r="AY12" s="447"/>
      <c r="AZ12" s="447"/>
      <c r="BA12" s="447"/>
      <c r="BB12" s="447"/>
      <c r="BC12" s="447"/>
      <c r="BD12" s="447"/>
      <c r="BE12" s="447"/>
      <c r="BF12" s="447"/>
    </row>
    <row r="13" spans="1:238" ht="15.75" customHeight="1">
      <c r="C13" s="91"/>
      <c r="D13" s="649" t="s">
        <v>241</v>
      </c>
      <c r="E13" s="648"/>
      <c r="F13" s="648"/>
      <c r="G13" s="648"/>
      <c r="H13" s="648"/>
      <c r="I13" s="160"/>
      <c r="J13" s="160"/>
      <c r="K13" s="160">
        <v>3276</v>
      </c>
      <c r="L13" s="160">
        <f>Commodities_prices!K15</f>
        <v>3383</v>
      </c>
      <c r="M13" s="160">
        <f>Commodities_prices!L15</f>
        <v>1683.4</v>
      </c>
      <c r="N13" s="650">
        <v>1740</v>
      </c>
      <c r="O13" s="160">
        <v>2200</v>
      </c>
      <c r="P13" s="141">
        <v>2161</v>
      </c>
      <c r="Q13" s="650">
        <f>Commodities_prices!P145</f>
        <v>3000</v>
      </c>
      <c r="R13" s="160">
        <f>Commodities_prices!Q129</f>
        <v>3500</v>
      </c>
      <c r="S13" s="160"/>
      <c r="T13" s="160"/>
      <c r="U13" s="160">
        <f>Total!U147</f>
        <v>1800</v>
      </c>
      <c r="V13" s="160">
        <f>Commodities_prices!R129</f>
        <v>3500</v>
      </c>
      <c r="W13" s="160">
        <f>Commodities_prices!S129</f>
        <v>3500</v>
      </c>
      <c r="X13" s="160">
        <f>Commodities_prices!T129</f>
        <v>3500</v>
      </c>
      <c r="Y13" s="160">
        <f>Commodities_prices!U129</f>
        <v>3500</v>
      </c>
      <c r="Z13" s="160">
        <f>Commodities_prices!V129</f>
        <v>3500</v>
      </c>
      <c r="AA13" s="447"/>
      <c r="AB13" s="447"/>
      <c r="AC13" s="447"/>
      <c r="AD13" s="447"/>
      <c r="AE13" s="447"/>
      <c r="AF13" s="447"/>
      <c r="AG13" s="447"/>
      <c r="AH13" s="447"/>
      <c r="AI13" s="447"/>
      <c r="AJ13" s="447"/>
      <c r="AK13" s="447"/>
      <c r="AL13" s="447"/>
      <c r="AM13" s="447"/>
      <c r="AN13" s="447"/>
      <c r="AO13" s="447"/>
      <c r="AP13" s="447"/>
      <c r="AQ13" s="447"/>
      <c r="AR13" s="447"/>
      <c r="AS13" s="447"/>
      <c r="AT13" s="447"/>
      <c r="AU13" s="447"/>
      <c r="AV13" s="447"/>
      <c r="AW13" s="447"/>
      <c r="AX13" s="447"/>
      <c r="AY13" s="447"/>
      <c r="AZ13" s="447"/>
      <c r="BA13" s="447"/>
      <c r="BB13" s="447"/>
      <c r="BC13" s="447"/>
      <c r="BD13" s="447"/>
      <c r="BE13" s="447"/>
      <c r="BF13" s="447"/>
    </row>
    <row r="14" spans="1:238" ht="15.75" hidden="1" customHeight="1" outlineLevel="1">
      <c r="C14" s="91"/>
      <c r="D14" s="651" t="s">
        <v>1427</v>
      </c>
      <c r="E14" s="447"/>
      <c r="F14" s="447"/>
      <c r="G14" s="447"/>
      <c r="H14" s="447"/>
      <c r="I14" s="448"/>
      <c r="J14" s="448"/>
      <c r="K14" s="448"/>
      <c r="L14" s="448"/>
      <c r="M14" s="448"/>
      <c r="N14" s="705">
        <f t="shared" ref="N14:V14" si="3">N12/(N45/N46)/N13-1</f>
        <v>-0.48561558768305835</v>
      </c>
      <c r="O14" s="652">
        <f t="shared" si="3"/>
        <v>-0.36193949021589999</v>
      </c>
      <c r="P14" s="77">
        <f t="shared" si="3"/>
        <v>-0.34935151748105953</v>
      </c>
      <c r="Q14" s="653">
        <f t="shared" si="3"/>
        <v>-0.38437603114894747</v>
      </c>
      <c r="R14" s="652">
        <f t="shared" si="3"/>
        <v>-0.38655462184873957</v>
      </c>
      <c r="S14" s="652"/>
      <c r="T14" s="652"/>
      <c r="U14" s="652">
        <f>U12/(U45/U46)/U13-1</f>
        <v>-0.37638043723236425</v>
      </c>
      <c r="V14" s="652">
        <f t="shared" si="3"/>
        <v>-0.38655462184873957</v>
      </c>
      <c r="W14" s="652">
        <f>W12/(W45/W46)/W13-1</f>
        <v>-0.38655462184873957</v>
      </c>
      <c r="X14" s="652">
        <f>X12/(X45/X46)/X13-1</f>
        <v>-0.38655462184873957</v>
      </c>
      <c r="Y14" s="652">
        <f>Y12/(Y45/Y46)/Y13-1</f>
        <v>-0.38655462184873957</v>
      </c>
      <c r="Z14" s="652">
        <f>Z12/(Z45/Z46)/Z13-1</f>
        <v>-0.38655462184873957</v>
      </c>
      <c r="AA14" s="447"/>
      <c r="AB14" s="447"/>
      <c r="AC14" s="447"/>
      <c r="AD14" s="447"/>
      <c r="AE14" s="447"/>
      <c r="AF14" s="447"/>
      <c r="AG14" s="447"/>
      <c r="AH14" s="447"/>
      <c r="AI14" s="447"/>
      <c r="AJ14" s="447"/>
      <c r="AK14" s="447"/>
      <c r="AL14" s="447"/>
      <c r="AM14" s="447"/>
      <c r="AN14" s="447"/>
      <c r="AO14" s="447"/>
      <c r="AP14" s="447"/>
      <c r="AQ14" s="447"/>
      <c r="AR14" s="447"/>
      <c r="AS14" s="447"/>
      <c r="AT14" s="447"/>
      <c r="AU14" s="447"/>
      <c r="AV14" s="447"/>
      <c r="AW14" s="447"/>
      <c r="AX14" s="447"/>
      <c r="AY14" s="447"/>
      <c r="AZ14" s="447"/>
      <c r="BA14" s="447"/>
      <c r="BB14" s="447"/>
      <c r="BC14" s="447"/>
      <c r="BD14" s="447"/>
      <c r="BE14" s="447"/>
      <c r="BF14" s="447"/>
    </row>
    <row r="15" spans="1:238" ht="15.75" hidden="1" customHeight="1" outlineLevel="1">
      <c r="C15" s="91"/>
      <c r="D15" s="651" t="s">
        <v>1428</v>
      </c>
      <c r="E15" s="447"/>
      <c r="F15" s="447"/>
      <c r="G15" s="447"/>
      <c r="H15" s="447"/>
      <c r="I15" s="448"/>
      <c r="J15" s="448"/>
      <c r="K15" s="654">
        <v>1.6299999999999999E-2</v>
      </c>
      <c r="L15" s="654">
        <v>2.0899999999999998E-2</v>
      </c>
      <c r="M15" s="654">
        <v>1.37E-2</v>
      </c>
      <c r="N15" s="655">
        <v>1.2800000000000001E-2</v>
      </c>
      <c r="O15" s="654">
        <v>1.2999999999999999E-2</v>
      </c>
      <c r="P15" s="556">
        <v>1.2999999999999999E-2</v>
      </c>
      <c r="Q15" s="655">
        <v>1.2999999999999999E-2</v>
      </c>
      <c r="R15" s="654">
        <v>1.2999999999999999E-2</v>
      </c>
      <c r="S15" s="654"/>
      <c r="T15" s="654"/>
      <c r="U15" s="654">
        <v>1.2999999999999999E-2</v>
      </c>
      <c r="V15" s="654">
        <v>1.2999999999999999E-2</v>
      </c>
      <c r="W15" s="654">
        <v>1.2999999999999999E-2</v>
      </c>
      <c r="X15" s="654">
        <v>1.2999999999999999E-2</v>
      </c>
      <c r="Y15" s="654">
        <v>1.2999999999999999E-2</v>
      </c>
      <c r="Z15" s="654">
        <v>1.2999999999999999E-2</v>
      </c>
      <c r="AA15" s="447"/>
      <c r="AB15" s="447"/>
      <c r="AC15" s="447"/>
      <c r="AD15" s="447"/>
      <c r="AE15" s="447"/>
      <c r="AF15" s="447"/>
      <c r="AG15" s="447"/>
      <c r="AH15" s="447"/>
      <c r="AI15" s="447"/>
      <c r="AJ15" s="447"/>
      <c r="AK15" s="447"/>
      <c r="AL15" s="447"/>
      <c r="AM15" s="447"/>
      <c r="AN15" s="447"/>
      <c r="AO15" s="447"/>
      <c r="AP15" s="447"/>
      <c r="AQ15" s="447"/>
      <c r="AR15" s="447"/>
      <c r="AS15" s="447"/>
      <c r="AT15" s="447"/>
      <c r="AU15" s="447"/>
      <c r="AV15" s="447"/>
      <c r="AW15" s="447"/>
      <c r="AX15" s="447"/>
      <c r="AY15" s="447"/>
      <c r="AZ15" s="447"/>
      <c r="BA15" s="447"/>
      <c r="BB15" s="447"/>
      <c r="BC15" s="447"/>
      <c r="BD15" s="447"/>
      <c r="BE15" s="447"/>
      <c r="BF15" s="447"/>
    </row>
    <row r="16" spans="1:238" ht="15.75" hidden="1" customHeight="1" outlineLevel="1">
      <c r="C16" s="91"/>
      <c r="D16" s="651" t="s">
        <v>1429</v>
      </c>
      <c r="E16" s="447"/>
      <c r="F16" s="447"/>
      <c r="G16" s="447"/>
      <c r="H16" s="447"/>
      <c r="I16" s="448"/>
      <c r="J16" s="448"/>
      <c r="K16" s="652">
        <v>0.85</v>
      </c>
      <c r="L16" s="652">
        <v>0.85</v>
      </c>
      <c r="M16" s="652">
        <v>0.85</v>
      </c>
      <c r="N16" s="653">
        <v>0.85</v>
      </c>
      <c r="O16" s="652">
        <v>0.85</v>
      </c>
      <c r="P16" s="77">
        <v>0.85</v>
      </c>
      <c r="Q16" s="653">
        <v>0.85</v>
      </c>
      <c r="R16" s="652">
        <v>0.85</v>
      </c>
      <c r="S16" s="652"/>
      <c r="T16" s="652"/>
      <c r="U16" s="652">
        <v>0.85</v>
      </c>
      <c r="V16" s="652">
        <v>0.85</v>
      </c>
      <c r="W16" s="652">
        <v>0.85</v>
      </c>
      <c r="X16" s="652">
        <v>0.85</v>
      </c>
      <c r="Y16" s="652">
        <v>0.85</v>
      </c>
      <c r="Z16" s="652">
        <v>0.85</v>
      </c>
      <c r="AA16" s="447"/>
      <c r="AB16" s="447"/>
      <c r="AC16" s="447"/>
      <c r="AD16" s="447"/>
      <c r="AE16" s="447"/>
      <c r="AF16" s="447"/>
      <c r="AG16" s="447"/>
      <c r="AH16" s="447"/>
      <c r="AI16" s="447"/>
      <c r="AJ16" s="447"/>
      <c r="AK16" s="447"/>
      <c r="AL16" s="447"/>
      <c r="AM16" s="447"/>
      <c r="AN16" s="447"/>
      <c r="AO16" s="447"/>
      <c r="AP16" s="447"/>
      <c r="AQ16" s="447"/>
      <c r="AR16" s="447"/>
      <c r="AS16" s="447"/>
      <c r="AT16" s="447"/>
      <c r="AU16" s="447"/>
      <c r="AV16" s="447"/>
      <c r="AW16" s="447"/>
      <c r="AX16" s="447"/>
      <c r="AY16" s="447"/>
      <c r="AZ16" s="447"/>
      <c r="BA16" s="447"/>
      <c r="BB16" s="447"/>
      <c r="BC16" s="447"/>
      <c r="BD16" s="447"/>
      <c r="BE16" s="447"/>
      <c r="BF16" s="447"/>
    </row>
    <row r="17" spans="3:58" ht="15.75" hidden="1" customHeight="1" outlineLevel="1">
      <c r="C17" s="91"/>
      <c r="D17" s="651" t="s">
        <v>1430</v>
      </c>
      <c r="E17" s="447"/>
      <c r="F17" s="447"/>
      <c r="G17" s="447"/>
      <c r="H17" s="447"/>
      <c r="I17" s="448"/>
      <c r="J17" s="448"/>
      <c r="K17" s="656">
        <v>-25</v>
      </c>
      <c r="L17" s="656">
        <v>-25</v>
      </c>
      <c r="M17" s="656">
        <v>-25</v>
      </c>
      <c r="N17" s="657">
        <v>205</v>
      </c>
      <c r="O17" s="656">
        <v>200</v>
      </c>
      <c r="P17" s="549">
        <v>205</v>
      </c>
      <c r="Q17" s="657">
        <v>205</v>
      </c>
      <c r="R17" s="656">
        <v>205</v>
      </c>
      <c r="S17" s="656"/>
      <c r="T17" s="656"/>
      <c r="U17" s="656">
        <v>205</v>
      </c>
      <c r="V17" s="656">
        <f>R17</f>
        <v>205</v>
      </c>
      <c r="W17" s="656">
        <f>V17</f>
        <v>205</v>
      </c>
      <c r="X17" s="656">
        <f>W17</f>
        <v>205</v>
      </c>
      <c r="Y17" s="656">
        <f>X17</f>
        <v>205</v>
      </c>
      <c r="Z17" s="656">
        <f>Y17</f>
        <v>205</v>
      </c>
      <c r="AA17" s="447"/>
      <c r="AB17" s="447"/>
      <c r="AC17" s="447"/>
      <c r="AD17" s="447"/>
      <c r="AE17" s="447"/>
      <c r="AF17" s="447"/>
      <c r="AG17" s="447"/>
      <c r="AH17" s="447"/>
      <c r="AI17" s="447"/>
      <c r="AJ17" s="447"/>
      <c r="AK17" s="447"/>
      <c r="AL17" s="447"/>
      <c r="AM17" s="447"/>
      <c r="AN17" s="447"/>
      <c r="AO17" s="447"/>
      <c r="AP17" s="447"/>
      <c r="AQ17" s="447"/>
      <c r="AR17" s="447"/>
      <c r="AS17" s="447"/>
      <c r="AT17" s="447"/>
      <c r="AU17" s="447"/>
      <c r="AV17" s="447"/>
      <c r="AW17" s="447"/>
      <c r="AX17" s="447"/>
      <c r="AY17" s="447"/>
      <c r="AZ17" s="447"/>
      <c r="BA17" s="447"/>
      <c r="BB17" s="447"/>
      <c r="BC17" s="447"/>
      <c r="BD17" s="447"/>
      <c r="BE17" s="447"/>
      <c r="BF17" s="447"/>
    </row>
    <row r="18" spans="3:58" ht="15.75" hidden="1" customHeight="1" outlineLevel="1">
      <c r="C18" s="91"/>
      <c r="D18" s="651" t="s">
        <v>1747</v>
      </c>
      <c r="E18" s="447"/>
      <c r="F18" s="447"/>
      <c r="G18" s="447"/>
      <c r="H18" s="447"/>
      <c r="I18" s="448"/>
      <c r="J18" s="448"/>
      <c r="K18" s="658">
        <v>0.14000000000000001</v>
      </c>
      <c r="L18" s="658">
        <v>0.14000000000000001</v>
      </c>
      <c r="M18" s="658">
        <v>0.14000000000000001</v>
      </c>
      <c r="N18" s="659">
        <f>0.14</f>
        <v>0.14000000000000001</v>
      </c>
      <c r="O18" s="658">
        <v>0.125</v>
      </c>
      <c r="P18" s="146">
        <v>0.1275</v>
      </c>
      <c r="Q18" s="659">
        <v>0.13</v>
      </c>
      <c r="R18" s="659">
        <f t="shared" ref="R18:Z18" si="4">Q18</f>
        <v>0.13</v>
      </c>
      <c r="S18" s="659"/>
      <c r="T18" s="659"/>
      <c r="U18" s="659">
        <f>R18</f>
        <v>0.13</v>
      </c>
      <c r="V18" s="659">
        <f>R18</f>
        <v>0.13</v>
      </c>
      <c r="W18" s="659">
        <f t="shared" si="4"/>
        <v>0.13</v>
      </c>
      <c r="X18" s="659">
        <f t="shared" si="4"/>
        <v>0.13</v>
      </c>
      <c r="Y18" s="659">
        <f t="shared" si="4"/>
        <v>0.13</v>
      </c>
      <c r="Z18" s="659">
        <f t="shared" si="4"/>
        <v>0.13</v>
      </c>
      <c r="AA18" s="447"/>
      <c r="AB18" s="447"/>
      <c r="AC18" s="447"/>
      <c r="AD18" s="447"/>
      <c r="AE18" s="447"/>
      <c r="AF18" s="447"/>
      <c r="AG18" s="447"/>
      <c r="AH18" s="447"/>
      <c r="AI18" s="447"/>
      <c r="AJ18" s="447"/>
      <c r="AK18" s="447"/>
      <c r="AL18" s="447"/>
      <c r="AM18" s="447"/>
      <c r="AN18" s="447"/>
      <c r="AO18" s="447"/>
      <c r="AP18" s="447"/>
      <c r="AQ18" s="447"/>
      <c r="AR18" s="447"/>
      <c r="AS18" s="447"/>
      <c r="AT18" s="447"/>
      <c r="AU18" s="447"/>
      <c r="AV18" s="447"/>
      <c r="AW18" s="447"/>
      <c r="AX18" s="447"/>
      <c r="AY18" s="447"/>
      <c r="AZ18" s="447"/>
      <c r="BA18" s="447"/>
      <c r="BB18" s="447"/>
      <c r="BC18" s="447"/>
      <c r="BD18" s="447"/>
      <c r="BE18" s="447"/>
      <c r="BF18" s="447"/>
    </row>
    <row r="19" spans="3:58" ht="15.75" hidden="1" customHeight="1" outlineLevel="1">
      <c r="C19" s="91"/>
      <c r="D19" s="651" t="s">
        <v>1431</v>
      </c>
      <c r="E19" s="447"/>
      <c r="F19" s="447"/>
      <c r="G19" s="447"/>
      <c r="H19" s="447"/>
      <c r="I19" s="448"/>
      <c r="J19" s="448"/>
      <c r="K19" s="656">
        <v>2.5</v>
      </c>
      <c r="L19" s="656">
        <v>2.5</v>
      </c>
      <c r="M19" s="656">
        <v>2.5</v>
      </c>
      <c r="N19" s="657">
        <v>0</v>
      </c>
      <c r="O19" s="656">
        <v>0</v>
      </c>
      <c r="P19" s="549">
        <v>0</v>
      </c>
      <c r="Q19" s="657">
        <v>0</v>
      </c>
      <c r="R19" s="656">
        <v>0</v>
      </c>
      <c r="S19" s="656"/>
      <c r="T19" s="656"/>
      <c r="U19" s="656">
        <v>0</v>
      </c>
      <c r="V19" s="656">
        <v>0</v>
      </c>
      <c r="W19" s="656">
        <v>0</v>
      </c>
      <c r="X19" s="656">
        <v>0</v>
      </c>
      <c r="Y19" s="656">
        <v>0</v>
      </c>
      <c r="Z19" s="656">
        <v>0</v>
      </c>
      <c r="AA19" s="447"/>
      <c r="AB19" s="447"/>
      <c r="AC19" s="447"/>
      <c r="AD19" s="447"/>
      <c r="AE19" s="447"/>
      <c r="AF19" s="447"/>
      <c r="AG19" s="447"/>
      <c r="AH19" s="447"/>
      <c r="AI19" s="447"/>
      <c r="AJ19" s="447"/>
      <c r="AK19" s="447"/>
      <c r="AL19" s="447"/>
      <c r="AM19" s="447"/>
      <c r="AN19" s="447"/>
      <c r="AO19" s="447"/>
      <c r="AP19" s="447"/>
      <c r="AQ19" s="447"/>
      <c r="AR19" s="447"/>
      <c r="AS19" s="447"/>
      <c r="AT19" s="447"/>
      <c r="AU19" s="447"/>
      <c r="AV19" s="447"/>
      <c r="AW19" s="447"/>
      <c r="AX19" s="447"/>
      <c r="AY19" s="447"/>
      <c r="AZ19" s="447"/>
      <c r="BA19" s="447"/>
      <c r="BB19" s="447"/>
      <c r="BC19" s="447"/>
      <c r="BD19" s="447"/>
      <c r="BE19" s="447"/>
      <c r="BF19" s="447"/>
    </row>
    <row r="20" spans="3:58" ht="15.75" customHeight="1" collapsed="1">
      <c r="C20" s="91"/>
      <c r="D20" s="647" t="s">
        <v>242</v>
      </c>
      <c r="E20" s="648"/>
      <c r="F20" s="648"/>
      <c r="G20" s="648"/>
      <c r="H20" s="648"/>
      <c r="I20" s="160"/>
      <c r="J20" s="160"/>
      <c r="K20" s="160">
        <f>(K21*K43*K23+(K44*1000000-K25*K50)/31.1035*K24-K26*K50-(K21-750)*K27*K50-(K44*1000-K25*K50)/1000*K28)/K50</f>
        <v>704.61019999999996</v>
      </c>
      <c r="L20" s="160">
        <f>(L21*L43*L23+(L44*1000000-L25*L50)/31.1035*L24-L26*L50-(L21-750)*L27*L50-(L44*1000-L25*L50)/1000*L28)/L50</f>
        <v>1536.3477414364572</v>
      </c>
      <c r="M20" s="160">
        <f>(M21*M43*M23+(M44*1000000-M25*M50)/31.1035*M24-M26*M50-(M21-750)*M27*M50-(M44*1000-M25*M50)/1000*M28)/M50</f>
        <v>1299.7650966273616</v>
      </c>
      <c r="N20" s="650">
        <f>(N21*N43*N23+(N44*1000000-N25*N50)/31.1035*N24-N26*N50-(N21-1950)*N27*N50-(N44*1000-N25*N50)/1000*N28)/N50</f>
        <v>1198.9456549252891</v>
      </c>
      <c r="O20" s="160">
        <f>(O21*O43*O23+(O44*1000000-O25*O50)/31.1035*O24-O26*O50-(O21-1950)*O27*O50-(O44*1000-O25*O50)/1000*O28)/O50</f>
        <v>1547.5823432272216</v>
      </c>
      <c r="P20" s="444">
        <f>(P21*P43*P23+(P44*1000000-P25*P50)/31.1035*P24-P26*P50-IF(P21&lt;2200,(P21-2200)*P27*P50,(P21-2200)*0.025*P50)-(P44*1000-P25*P50)/1000*P28)/P50</f>
        <v>1801.7334981918996</v>
      </c>
      <c r="Q20" s="444">
        <f>(Q21*Q43*Q23+(Q44*1000000-Q25*Q50)/31.1035*Q24-Q26*Q50-IF(Q21&lt;2200,(Q21-2200)*Q27*Q50,(Q21-2200)*0.025*Q50)-(Q44*1000-Q25*Q50)/1000*Q28)/Q50</f>
        <v>1290.8382490170816</v>
      </c>
      <c r="R20" s="444">
        <f t="shared" ref="R20:Z20" si="5">(R21*(R43/R50-0.03)+(((R44*1000000)/R50)-R25)*R24/31.1035-R26-IF(R21&gt;2100,(R21-2100)*R27,(R21-2100)*0.05)-((R44*1000000)/R50-R25)*R28/1000)</f>
        <v>1515.2506345179477</v>
      </c>
      <c r="S20" s="444"/>
      <c r="T20" s="444"/>
      <c r="U20" s="444">
        <f t="shared" si="5"/>
        <v>1375.7007987981035</v>
      </c>
      <c r="V20" s="444">
        <f t="shared" si="5"/>
        <v>1395.636489615224</v>
      </c>
      <c r="W20" s="444">
        <f t="shared" si="5"/>
        <v>1395.636489615224</v>
      </c>
      <c r="X20" s="444">
        <f t="shared" si="5"/>
        <v>1395.636489615224</v>
      </c>
      <c r="Y20" s="444">
        <f t="shared" si="5"/>
        <v>1395.636489615224</v>
      </c>
      <c r="Z20" s="444">
        <f t="shared" si="5"/>
        <v>1395.636489615224</v>
      </c>
      <c r="AA20" s="447"/>
      <c r="AB20" s="447"/>
      <c r="AC20" s="447"/>
      <c r="AD20" s="447"/>
      <c r="AE20" s="447"/>
      <c r="AF20" s="447"/>
      <c r="AG20" s="447"/>
      <c r="AH20" s="447"/>
      <c r="AI20" s="447"/>
      <c r="AJ20" s="447"/>
      <c r="AK20" s="447"/>
      <c r="AL20" s="447"/>
      <c r="AM20" s="447"/>
      <c r="AN20" s="447"/>
      <c r="AO20" s="447"/>
      <c r="AP20" s="447"/>
      <c r="AQ20" s="447"/>
      <c r="AR20" s="447"/>
      <c r="AS20" s="447"/>
      <c r="AT20" s="447"/>
      <c r="AU20" s="447"/>
      <c r="AV20" s="447"/>
      <c r="AW20" s="447"/>
      <c r="AX20" s="447"/>
      <c r="AY20" s="447"/>
      <c r="AZ20" s="447"/>
      <c r="BA20" s="447"/>
      <c r="BB20" s="447"/>
      <c r="BC20" s="447"/>
      <c r="BD20" s="447"/>
      <c r="BE20" s="447"/>
      <c r="BF20" s="447"/>
    </row>
    <row r="21" spans="3:58" ht="15.75" customHeight="1">
      <c r="C21" s="91"/>
      <c r="D21" s="649" t="s">
        <v>243</v>
      </c>
      <c r="E21" s="648"/>
      <c r="F21" s="648"/>
      <c r="G21" s="648"/>
      <c r="H21" s="648"/>
      <c r="I21" s="160"/>
      <c r="J21" s="160"/>
      <c r="K21" s="160">
        <v>1282</v>
      </c>
      <c r="L21" s="660">
        <f>Commodities_prices!K17</f>
        <v>2593</v>
      </c>
      <c r="M21" s="160">
        <f>Commodities_prices!L17</f>
        <v>2071.5</v>
      </c>
      <c r="N21" s="650">
        <v>1796</v>
      </c>
      <c r="O21" s="160">
        <v>2200</v>
      </c>
      <c r="P21" s="141">
        <v>2360</v>
      </c>
      <c r="Q21" s="650">
        <f>Commodities_prices!P147</f>
        <v>1800</v>
      </c>
      <c r="R21" s="160">
        <f>Commodities_prices!Q131</f>
        <v>2000</v>
      </c>
      <c r="S21" s="160"/>
      <c r="T21" s="160"/>
      <c r="U21" s="160">
        <f>Total!U148</f>
        <v>2000</v>
      </c>
      <c r="V21" s="160">
        <f>Commodities_prices!R131</f>
        <v>2000</v>
      </c>
      <c r="W21" s="160">
        <f>Commodities_prices!S131</f>
        <v>2000</v>
      </c>
      <c r="X21" s="160">
        <f>Commodities_prices!T131</f>
        <v>2000</v>
      </c>
      <c r="Y21" s="160">
        <f>Commodities_prices!U131</f>
        <v>2000</v>
      </c>
      <c r="Z21" s="160">
        <f>Commodities_prices!V131</f>
        <v>2000</v>
      </c>
      <c r="AA21" s="447"/>
      <c r="AB21" s="447"/>
      <c r="AC21" s="447"/>
      <c r="AD21" s="447"/>
      <c r="AE21" s="447"/>
      <c r="AF21" s="447"/>
      <c r="AG21" s="447"/>
      <c r="AH21" s="447"/>
      <c r="AI21" s="447"/>
      <c r="AJ21" s="447"/>
      <c r="AK21" s="447"/>
      <c r="AL21" s="447"/>
      <c r="AM21" s="447"/>
      <c r="AN21" s="447"/>
      <c r="AO21" s="447"/>
      <c r="AP21" s="447"/>
      <c r="AQ21" s="447"/>
      <c r="AR21" s="447"/>
      <c r="AS21" s="447"/>
      <c r="AT21" s="447"/>
      <c r="AU21" s="447"/>
      <c r="AV21" s="447"/>
      <c r="AW21" s="447"/>
      <c r="AX21" s="447"/>
      <c r="AY21" s="447"/>
      <c r="AZ21" s="447"/>
      <c r="BA21" s="447"/>
      <c r="BB21" s="447"/>
      <c r="BC21" s="447"/>
      <c r="BD21" s="447"/>
      <c r="BE21" s="447"/>
      <c r="BF21" s="447"/>
    </row>
    <row r="22" spans="3:58" ht="15.75" hidden="1" customHeight="1" outlineLevel="1">
      <c r="C22" s="91"/>
      <c r="D22" s="651" t="s">
        <v>1427</v>
      </c>
      <c r="E22" s="648"/>
      <c r="F22" s="648"/>
      <c r="G22" s="648"/>
      <c r="H22" s="648"/>
      <c r="I22" s="160"/>
      <c r="J22" s="160"/>
      <c r="K22" s="160"/>
      <c r="L22" s="660"/>
      <c r="M22" s="160"/>
      <c r="N22" s="705">
        <f t="shared" ref="N22:V22" si="6">N20/(N43/N47)/N21-1</f>
        <v>-0.11814478753218727</v>
      </c>
      <c r="O22" s="652">
        <f t="shared" si="6"/>
        <v>-6.3943420294428344E-2</v>
      </c>
      <c r="P22" s="661">
        <f t="shared" si="6"/>
        <v>2.7380430007994283E-2</v>
      </c>
      <c r="Q22" s="652">
        <f t="shared" si="6"/>
        <v>-2.6164638015962471E-2</v>
      </c>
      <c r="R22" s="652">
        <f t="shared" si="6"/>
        <v>3.784290035475868E-2</v>
      </c>
      <c r="S22" s="652"/>
      <c r="T22" s="652"/>
      <c r="U22" s="652">
        <f>U20/(U43/U47)/U21-1</f>
        <v>-5.7739178905408473E-2</v>
      </c>
      <c r="V22" s="652">
        <f t="shared" si="6"/>
        <v>-4.4084596153956102E-2</v>
      </c>
      <c r="W22" s="652">
        <f>W20/(W43/W47)/W21-1</f>
        <v>-4.4084596153956102E-2</v>
      </c>
      <c r="X22" s="652">
        <f>X20/(X43/X47)/X21-1</f>
        <v>-4.4084596153956102E-2</v>
      </c>
      <c r="Y22" s="652">
        <f>Y20/(Y43/Y47)/Y21-1</f>
        <v>-4.4084596153956102E-2</v>
      </c>
      <c r="Z22" s="652">
        <f>Z20/(Z43/Z47)/Z21-1</f>
        <v>-4.4084596153956102E-2</v>
      </c>
      <c r="AA22" s="447"/>
      <c r="AB22" s="447"/>
      <c r="AC22" s="447"/>
      <c r="AD22" s="447"/>
      <c r="AE22" s="447"/>
      <c r="AF22" s="447"/>
      <c r="AG22" s="447"/>
      <c r="AH22" s="447"/>
      <c r="AI22" s="447"/>
      <c r="AJ22" s="447"/>
      <c r="AK22" s="447"/>
      <c r="AL22" s="447"/>
      <c r="AM22" s="447"/>
      <c r="AN22" s="447"/>
      <c r="AO22" s="447"/>
      <c r="AP22" s="447"/>
      <c r="AQ22" s="447"/>
      <c r="AR22" s="447"/>
      <c r="AS22" s="447"/>
      <c r="AT22" s="447"/>
      <c r="AU22" s="447"/>
      <c r="AV22" s="447"/>
      <c r="AW22" s="447"/>
      <c r="AX22" s="447"/>
      <c r="AY22" s="447"/>
      <c r="AZ22" s="447"/>
      <c r="BA22" s="447"/>
      <c r="BB22" s="447"/>
      <c r="BC22" s="447"/>
      <c r="BD22" s="447"/>
      <c r="BE22" s="447"/>
      <c r="BF22" s="447"/>
    </row>
    <row r="23" spans="3:58" ht="15.75" hidden="1" customHeight="1" outlineLevel="1">
      <c r="C23" s="91"/>
      <c r="D23" s="651" t="s">
        <v>1432</v>
      </c>
      <c r="E23" s="447"/>
      <c r="F23" s="447"/>
      <c r="G23" s="447"/>
      <c r="H23" s="447"/>
      <c r="I23" s="448"/>
      <c r="J23" s="448"/>
      <c r="K23" s="652">
        <v>0.95</v>
      </c>
      <c r="L23" s="652">
        <v>0.95</v>
      </c>
      <c r="M23" s="652">
        <v>0.95</v>
      </c>
      <c r="N23" s="653">
        <v>0.95</v>
      </c>
      <c r="O23" s="652">
        <v>0.95</v>
      </c>
      <c r="P23" s="77">
        <v>0.95</v>
      </c>
      <c r="Q23" s="653">
        <v>0.95</v>
      </c>
      <c r="R23" s="652">
        <v>0.95</v>
      </c>
      <c r="S23" s="652"/>
      <c r="T23" s="652"/>
      <c r="U23" s="652">
        <v>0.95</v>
      </c>
      <c r="V23" s="652">
        <v>0.95</v>
      </c>
      <c r="W23" s="652">
        <v>0.95</v>
      </c>
      <c r="X23" s="652">
        <v>0.95</v>
      </c>
      <c r="Y23" s="652">
        <v>0.95</v>
      </c>
      <c r="Z23" s="652">
        <v>0.95</v>
      </c>
      <c r="AA23" s="447"/>
      <c r="AB23" s="447"/>
      <c r="AC23" s="447"/>
      <c r="AD23" s="447"/>
      <c r="AE23" s="447"/>
      <c r="AF23" s="447"/>
      <c r="AG23" s="447"/>
      <c r="AH23" s="447"/>
      <c r="AI23" s="447"/>
      <c r="AJ23" s="447"/>
      <c r="AK23" s="447"/>
      <c r="AL23" s="447"/>
      <c r="AM23" s="447"/>
      <c r="AN23" s="447"/>
      <c r="AO23" s="447"/>
      <c r="AP23" s="447"/>
      <c r="AQ23" s="447"/>
      <c r="AR23" s="447"/>
      <c r="AS23" s="447"/>
      <c r="AT23" s="447"/>
      <c r="AU23" s="447"/>
      <c r="AV23" s="447"/>
      <c r="AW23" s="447"/>
      <c r="AX23" s="447"/>
      <c r="AY23" s="447"/>
      <c r="AZ23" s="447"/>
      <c r="BA23" s="447"/>
      <c r="BB23" s="447"/>
      <c r="BC23" s="447"/>
      <c r="BD23" s="447"/>
      <c r="BE23" s="447"/>
      <c r="BF23" s="447"/>
    </row>
    <row r="24" spans="3:58" ht="15.75" hidden="1" customHeight="1" outlineLevel="1">
      <c r="C24" s="91"/>
      <c r="D24" s="651" t="s">
        <v>1433</v>
      </c>
      <c r="E24" s="447"/>
      <c r="F24" s="447"/>
      <c r="G24" s="447"/>
      <c r="H24" s="447"/>
      <c r="I24" s="448"/>
      <c r="J24" s="448"/>
      <c r="K24" s="652"/>
      <c r="L24" s="448">
        <v>10</v>
      </c>
      <c r="M24" s="662">
        <v>14.97</v>
      </c>
      <c r="N24" s="452">
        <v>8</v>
      </c>
      <c r="O24" s="448">
        <v>16.600000000000001</v>
      </c>
      <c r="P24" s="82">
        <v>28.7</v>
      </c>
      <c r="Q24" s="82">
        <f>Commodities_prices!P133</f>
        <v>18</v>
      </c>
      <c r="R24" s="82">
        <v>32</v>
      </c>
      <c r="S24" s="82"/>
      <c r="T24" s="82"/>
      <c r="U24" s="82">
        <f>Total!U150</f>
        <v>18</v>
      </c>
      <c r="V24" s="82">
        <f>Commodities_prices!R133</f>
        <v>20</v>
      </c>
      <c r="W24" s="82">
        <f>Commodities_prices!S133</f>
        <v>20</v>
      </c>
      <c r="X24" s="82">
        <f>Commodities_prices!T133</f>
        <v>20</v>
      </c>
      <c r="Y24" s="82">
        <f>Commodities_prices!U133</f>
        <v>20</v>
      </c>
      <c r="Z24" s="82">
        <f>Commodities_prices!V133</f>
        <v>20</v>
      </c>
      <c r="AA24" s="447"/>
      <c r="AB24" s="447"/>
      <c r="AC24" s="447"/>
      <c r="AD24" s="447"/>
      <c r="AE24" s="447"/>
      <c r="AF24" s="447"/>
      <c r="AG24" s="447"/>
      <c r="AH24" s="447"/>
      <c r="AI24" s="447"/>
      <c r="AJ24" s="447"/>
      <c r="AK24" s="447"/>
      <c r="AL24" s="447"/>
      <c r="AM24" s="447"/>
      <c r="AN24" s="447"/>
      <c r="AO24" s="447"/>
      <c r="AP24" s="447"/>
      <c r="AQ24" s="447"/>
      <c r="AR24" s="447"/>
      <c r="AS24" s="447"/>
      <c r="AT24" s="447"/>
      <c r="AU24" s="447"/>
      <c r="AV24" s="447"/>
      <c r="AW24" s="447"/>
      <c r="AX24" s="447"/>
      <c r="AY24" s="447"/>
      <c r="AZ24" s="447"/>
      <c r="BA24" s="447"/>
      <c r="BB24" s="447"/>
      <c r="BC24" s="447"/>
      <c r="BD24" s="447"/>
      <c r="BE24" s="447"/>
      <c r="BF24" s="447"/>
    </row>
    <row r="25" spans="3:58" ht="15.75" hidden="1" customHeight="1" outlineLevel="1">
      <c r="C25" s="91"/>
      <c r="D25" s="651" t="s">
        <v>1434</v>
      </c>
      <c r="E25" s="447"/>
      <c r="F25" s="447"/>
      <c r="G25" s="447"/>
      <c r="H25" s="447"/>
      <c r="I25" s="448"/>
      <c r="J25" s="448"/>
      <c r="K25" s="448">
        <v>50</v>
      </c>
      <c r="L25" s="448">
        <v>50</v>
      </c>
      <c r="M25" s="448">
        <v>50</v>
      </c>
      <c r="N25" s="452">
        <v>50</v>
      </c>
      <c r="O25" s="448">
        <v>50</v>
      </c>
      <c r="P25" s="82">
        <v>50</v>
      </c>
      <c r="Q25" s="452">
        <v>50</v>
      </c>
      <c r="R25" s="448">
        <v>50</v>
      </c>
      <c r="S25" s="448"/>
      <c r="T25" s="448"/>
      <c r="U25" s="448">
        <v>50</v>
      </c>
      <c r="V25" s="448">
        <v>50</v>
      </c>
      <c r="W25" s="448">
        <v>50</v>
      </c>
      <c r="X25" s="448">
        <v>50</v>
      </c>
      <c r="Y25" s="448">
        <v>50</v>
      </c>
      <c r="Z25" s="448">
        <v>50</v>
      </c>
      <c r="AA25" s="447"/>
      <c r="AB25" s="447"/>
      <c r="AC25" s="447"/>
      <c r="AD25" s="447"/>
      <c r="AE25" s="447"/>
      <c r="AF25" s="447"/>
      <c r="AG25" s="447"/>
      <c r="AH25" s="447"/>
      <c r="AI25" s="447"/>
      <c r="AJ25" s="447"/>
      <c r="AK25" s="447"/>
      <c r="AL25" s="447"/>
      <c r="AM25" s="447"/>
      <c r="AN25" s="447"/>
      <c r="AO25" s="447"/>
      <c r="AP25" s="447"/>
      <c r="AQ25" s="447"/>
      <c r="AR25" s="447"/>
      <c r="AS25" s="447"/>
      <c r="AT25" s="447"/>
      <c r="AU25" s="447"/>
      <c r="AV25" s="447"/>
      <c r="AW25" s="447"/>
      <c r="AX25" s="447"/>
      <c r="AY25" s="447"/>
      <c r="AZ25" s="447"/>
      <c r="BA25" s="447"/>
      <c r="BB25" s="447"/>
      <c r="BC25" s="447"/>
      <c r="BD25" s="447"/>
      <c r="BE25" s="447"/>
      <c r="BF25" s="447"/>
    </row>
    <row r="26" spans="3:58" ht="15.75" hidden="1" customHeight="1" outlineLevel="1">
      <c r="C26" s="91"/>
      <c r="D26" s="651" t="s">
        <v>1435</v>
      </c>
      <c r="E26" s="447"/>
      <c r="F26" s="447"/>
      <c r="G26" s="447"/>
      <c r="H26" s="447"/>
      <c r="I26" s="448"/>
      <c r="J26" s="448"/>
      <c r="K26" s="448">
        <v>115</v>
      </c>
      <c r="L26" s="448">
        <v>115</v>
      </c>
      <c r="M26" s="448">
        <v>115</v>
      </c>
      <c r="N26" s="452">
        <v>195</v>
      </c>
      <c r="O26" s="448">
        <v>165</v>
      </c>
      <c r="P26" s="82">
        <v>205</v>
      </c>
      <c r="Q26" s="452">
        <v>205</v>
      </c>
      <c r="R26" s="448">
        <v>205</v>
      </c>
      <c r="S26" s="448"/>
      <c r="T26" s="448"/>
      <c r="U26" s="448">
        <v>205</v>
      </c>
      <c r="V26" s="448">
        <f>R26</f>
        <v>205</v>
      </c>
      <c r="W26" s="448">
        <f t="shared" ref="R26:Z27" si="7">V26</f>
        <v>205</v>
      </c>
      <c r="X26" s="448">
        <f t="shared" si="7"/>
        <v>205</v>
      </c>
      <c r="Y26" s="448">
        <f t="shared" si="7"/>
        <v>205</v>
      </c>
      <c r="Z26" s="448">
        <f t="shared" si="7"/>
        <v>205</v>
      </c>
      <c r="AA26" s="447"/>
      <c r="AB26" s="447"/>
      <c r="AC26" s="447"/>
      <c r="AD26" s="447"/>
      <c r="AE26" s="447"/>
      <c r="AF26" s="447"/>
      <c r="AG26" s="447"/>
      <c r="AH26" s="447"/>
      <c r="AI26" s="447"/>
      <c r="AJ26" s="447"/>
      <c r="AK26" s="447"/>
      <c r="AL26" s="447"/>
      <c r="AM26" s="447"/>
      <c r="AN26" s="447"/>
      <c r="AO26" s="447"/>
      <c r="AP26" s="447"/>
      <c r="AQ26" s="447"/>
      <c r="AR26" s="447"/>
      <c r="AS26" s="447"/>
      <c r="AT26" s="447"/>
      <c r="AU26" s="447"/>
      <c r="AV26" s="447"/>
      <c r="AW26" s="447"/>
      <c r="AX26" s="447"/>
      <c r="AY26" s="447"/>
      <c r="AZ26" s="447"/>
      <c r="BA26" s="447"/>
      <c r="BB26" s="447"/>
      <c r="BC26" s="447"/>
      <c r="BD26" s="447"/>
      <c r="BE26" s="447"/>
      <c r="BF26" s="447"/>
    </row>
    <row r="27" spans="3:58" ht="15.75" hidden="1" customHeight="1" outlineLevel="1">
      <c r="C27" s="91"/>
      <c r="D27" s="651" t="s">
        <v>1747</v>
      </c>
      <c r="E27" s="447"/>
      <c r="F27" s="447"/>
      <c r="G27" s="447"/>
      <c r="H27" s="447"/>
      <c r="I27" s="448"/>
      <c r="J27" s="448"/>
      <c r="K27" s="658">
        <v>0.15</v>
      </c>
      <c r="L27" s="658">
        <v>0.15</v>
      </c>
      <c r="M27" s="658">
        <v>0.15</v>
      </c>
      <c r="N27" s="659">
        <v>0.15</v>
      </c>
      <c r="O27" s="658">
        <v>0.15</v>
      </c>
      <c r="P27" s="146">
        <v>0.1</v>
      </c>
      <c r="Q27" s="659">
        <f>P27</f>
        <v>0.1</v>
      </c>
      <c r="R27" s="659">
        <f t="shared" si="7"/>
        <v>0.1</v>
      </c>
      <c r="S27" s="659"/>
      <c r="T27" s="659"/>
      <c r="U27" s="659">
        <f>R27</f>
        <v>0.1</v>
      </c>
      <c r="V27" s="659">
        <f>R27</f>
        <v>0.1</v>
      </c>
      <c r="W27" s="659">
        <f t="shared" si="7"/>
        <v>0.1</v>
      </c>
      <c r="X27" s="659">
        <f t="shared" si="7"/>
        <v>0.1</v>
      </c>
      <c r="Y27" s="659">
        <f t="shared" si="7"/>
        <v>0.1</v>
      </c>
      <c r="Z27" s="659">
        <f t="shared" si="7"/>
        <v>0.1</v>
      </c>
      <c r="AA27" s="447"/>
      <c r="AB27" s="447"/>
      <c r="AC27" s="447"/>
      <c r="AD27" s="447"/>
      <c r="AE27" s="447"/>
      <c r="AF27" s="447"/>
      <c r="AG27" s="447"/>
      <c r="AH27" s="447"/>
      <c r="AI27" s="447"/>
      <c r="AJ27" s="447"/>
      <c r="AK27" s="447"/>
      <c r="AL27" s="447"/>
      <c r="AM27" s="447"/>
      <c r="AN27" s="447"/>
      <c r="AO27" s="447"/>
      <c r="AP27" s="447"/>
      <c r="AQ27" s="447"/>
      <c r="AR27" s="447"/>
      <c r="AS27" s="447"/>
      <c r="AT27" s="447"/>
      <c r="AU27" s="447"/>
      <c r="AV27" s="447"/>
      <c r="AW27" s="447"/>
      <c r="AX27" s="447"/>
      <c r="AY27" s="447"/>
      <c r="AZ27" s="447"/>
      <c r="BA27" s="447"/>
      <c r="BB27" s="447"/>
      <c r="BC27" s="447"/>
      <c r="BD27" s="447"/>
      <c r="BE27" s="447"/>
      <c r="BF27" s="447"/>
    </row>
    <row r="28" spans="3:58" ht="15.75" hidden="1" customHeight="1" outlineLevel="1">
      <c r="C28" s="91"/>
      <c r="D28" s="651" t="s">
        <v>1436</v>
      </c>
      <c r="E28" s="447"/>
      <c r="F28" s="447"/>
      <c r="G28" s="447"/>
      <c r="H28" s="447"/>
      <c r="I28" s="448"/>
      <c r="J28" s="448"/>
      <c r="K28" s="658">
        <v>12</v>
      </c>
      <c r="L28" s="658">
        <v>12</v>
      </c>
      <c r="M28" s="658">
        <v>12</v>
      </c>
      <c r="N28" s="659">
        <v>12</v>
      </c>
      <c r="O28" s="658">
        <v>12</v>
      </c>
      <c r="P28" s="146">
        <v>12</v>
      </c>
      <c r="Q28" s="659">
        <v>12</v>
      </c>
      <c r="R28" s="658">
        <f>Q28</f>
        <v>12</v>
      </c>
      <c r="S28" s="658"/>
      <c r="T28" s="658"/>
      <c r="U28" s="658">
        <f>R28</f>
        <v>12</v>
      </c>
      <c r="V28" s="658">
        <v>12</v>
      </c>
      <c r="W28" s="658">
        <v>12</v>
      </c>
      <c r="X28" s="658">
        <v>12</v>
      </c>
      <c r="Y28" s="658">
        <v>12</v>
      </c>
      <c r="Z28" s="658">
        <v>12</v>
      </c>
      <c r="AA28" s="447"/>
      <c r="AB28" s="447"/>
      <c r="AC28" s="447"/>
      <c r="AD28" s="447"/>
      <c r="AE28" s="447"/>
      <c r="AF28" s="447"/>
      <c r="AG28" s="447"/>
      <c r="AH28" s="447"/>
      <c r="AI28" s="447"/>
      <c r="AJ28" s="447"/>
      <c r="AK28" s="447"/>
      <c r="AL28" s="447"/>
      <c r="AM28" s="447"/>
      <c r="AN28" s="447"/>
      <c r="AO28" s="447"/>
      <c r="AP28" s="447"/>
      <c r="AQ28" s="447"/>
      <c r="AR28" s="447"/>
      <c r="AS28" s="447"/>
      <c r="AT28" s="447"/>
      <c r="AU28" s="447"/>
      <c r="AV28" s="447"/>
      <c r="AW28" s="447"/>
      <c r="AX28" s="447"/>
      <c r="AY28" s="447"/>
      <c r="AZ28" s="447"/>
      <c r="BA28" s="447"/>
      <c r="BB28" s="447"/>
      <c r="BC28" s="447"/>
      <c r="BD28" s="447"/>
      <c r="BE28" s="447"/>
      <c r="BF28" s="447"/>
    </row>
    <row r="29" spans="3:58" ht="9.75" customHeight="1" collapsed="1">
      <c r="C29" s="91"/>
      <c r="D29" s="651"/>
      <c r="E29" s="447"/>
      <c r="F29" s="447"/>
      <c r="G29" s="447"/>
      <c r="H29" s="447"/>
      <c r="I29" s="448"/>
      <c r="J29" s="448"/>
      <c r="K29" s="448"/>
      <c r="L29" s="448"/>
      <c r="M29" s="448"/>
      <c r="N29" s="452"/>
      <c r="O29" s="448"/>
      <c r="P29" s="82"/>
      <c r="Q29" s="452"/>
      <c r="R29" s="448"/>
      <c r="S29" s="448"/>
      <c r="T29" s="448"/>
      <c r="U29" s="448"/>
      <c r="V29" s="448"/>
      <c r="W29" s="448"/>
      <c r="X29" s="448"/>
      <c r="Y29" s="448"/>
      <c r="Z29" s="448"/>
      <c r="AA29" s="447"/>
      <c r="AB29" s="447"/>
      <c r="AC29" s="447"/>
      <c r="AD29" s="447"/>
      <c r="AE29" s="447"/>
      <c r="AF29" s="447"/>
      <c r="AG29" s="447"/>
      <c r="AH29" s="447"/>
      <c r="AI29" s="447"/>
      <c r="AJ29" s="447"/>
      <c r="AK29" s="447"/>
      <c r="AL29" s="447"/>
      <c r="AM29" s="447"/>
      <c r="AN29" s="447"/>
      <c r="AO29" s="447"/>
      <c r="AP29" s="447"/>
      <c r="AQ29" s="447"/>
      <c r="AR29" s="447"/>
      <c r="AS29" s="447"/>
      <c r="AT29" s="447"/>
      <c r="AU29" s="447"/>
      <c r="AV29" s="447"/>
      <c r="AW29" s="447"/>
      <c r="AX29" s="447"/>
      <c r="AY29" s="447"/>
      <c r="AZ29" s="447"/>
      <c r="BA29" s="447"/>
      <c r="BB29" s="447"/>
      <c r="BC29" s="447"/>
      <c r="BD29" s="447"/>
      <c r="BE29" s="447"/>
      <c r="BF29" s="447"/>
    </row>
    <row r="30" spans="3:58" ht="15.75" customHeight="1">
      <c r="C30" s="91"/>
      <c r="D30" s="646" t="s">
        <v>245</v>
      </c>
      <c r="E30" s="447"/>
      <c r="F30" s="447"/>
      <c r="G30" s="447"/>
      <c r="H30" s="447"/>
      <c r="I30" s="448"/>
      <c r="J30" s="448"/>
      <c r="K30" s="448"/>
      <c r="L30" s="448"/>
      <c r="M30" s="663"/>
      <c r="N30" s="706"/>
      <c r="O30" s="663"/>
      <c r="P30" s="664"/>
      <c r="Q30" s="663"/>
      <c r="R30" s="663"/>
      <c r="S30" s="663"/>
      <c r="T30" s="663"/>
      <c r="U30" s="663"/>
      <c r="V30" s="663"/>
      <c r="W30" s="663"/>
      <c r="X30" s="663"/>
      <c r="Y30" s="663"/>
      <c r="Z30" s="663"/>
      <c r="AA30" s="447"/>
      <c r="AB30" s="447"/>
      <c r="AC30" s="447"/>
      <c r="AD30" s="447"/>
      <c r="AE30" s="447"/>
      <c r="AF30" s="447"/>
      <c r="AG30" s="447"/>
      <c r="AH30" s="447"/>
      <c r="AI30" s="447"/>
      <c r="AJ30" s="447"/>
      <c r="AK30" s="447"/>
      <c r="AL30" s="447"/>
      <c r="AM30" s="447"/>
      <c r="AN30" s="447"/>
      <c r="AO30" s="447"/>
      <c r="AP30" s="447"/>
      <c r="AQ30" s="447"/>
      <c r="AR30" s="447"/>
      <c r="AS30" s="447"/>
      <c r="AT30" s="447"/>
      <c r="AU30" s="447"/>
      <c r="AV30" s="447"/>
      <c r="AW30" s="447"/>
      <c r="AX30" s="447"/>
      <c r="AY30" s="447"/>
      <c r="AZ30" s="447"/>
      <c r="BA30" s="447"/>
      <c r="BB30" s="447"/>
      <c r="BC30" s="447"/>
      <c r="BD30" s="447"/>
      <c r="BE30" s="447"/>
      <c r="BF30" s="447"/>
    </row>
    <row r="31" spans="3:58" ht="15.75" customHeight="1">
      <c r="C31" s="91"/>
      <c r="D31" s="651" t="s">
        <v>255</v>
      </c>
      <c r="E31" s="447"/>
      <c r="F31" s="447"/>
      <c r="G31" s="447"/>
      <c r="H31" s="447"/>
      <c r="I31" s="448"/>
      <c r="J31" s="448"/>
      <c r="K31" s="448">
        <v>329160</v>
      </c>
      <c r="L31" s="448">
        <v>704106</v>
      </c>
      <c r="M31" s="448">
        <v>854318.92</v>
      </c>
      <c r="N31" s="452">
        <v>864592.17</v>
      </c>
      <c r="O31" s="448">
        <v>811383</v>
      </c>
      <c r="P31" s="538">
        <v>758251.91</v>
      </c>
      <c r="Q31" s="448">
        <v>754153</v>
      </c>
      <c r="R31" s="448">
        <v>750000</v>
      </c>
      <c r="S31" s="448"/>
      <c r="T31" s="448"/>
      <c r="U31" s="448">
        <v>750000</v>
      </c>
      <c r="V31" s="448">
        <v>750000</v>
      </c>
      <c r="W31" s="448">
        <v>750000</v>
      </c>
      <c r="X31" s="448">
        <v>750000</v>
      </c>
      <c r="Y31" s="448">
        <v>750000</v>
      </c>
      <c r="Z31" s="448">
        <v>750000</v>
      </c>
      <c r="AA31" s="447"/>
      <c r="AB31" s="447"/>
      <c r="AC31" s="447"/>
      <c r="AD31" s="447"/>
      <c r="AE31" s="447"/>
      <c r="AF31" s="447"/>
      <c r="AG31" s="447"/>
      <c r="AH31" s="447"/>
      <c r="AI31" s="447"/>
      <c r="AJ31" s="447"/>
      <c r="AK31" s="447"/>
      <c r="AL31" s="447"/>
      <c r="AM31" s="447"/>
      <c r="AN31" s="447"/>
      <c r="AO31" s="447"/>
      <c r="AP31" s="447"/>
      <c r="AQ31" s="447"/>
      <c r="AR31" s="447"/>
      <c r="AS31" s="447"/>
      <c r="AT31" s="447"/>
      <c r="AU31" s="447"/>
      <c r="AV31" s="447"/>
      <c r="AW31" s="447"/>
      <c r="AX31" s="447"/>
      <c r="AY31" s="447"/>
      <c r="AZ31" s="447"/>
      <c r="BA31" s="447"/>
      <c r="BB31" s="447"/>
      <c r="BC31" s="447"/>
      <c r="BD31" s="447"/>
      <c r="BE31" s="447"/>
      <c r="BF31" s="447"/>
    </row>
    <row r="32" spans="3:58" ht="15.75" hidden="1" customHeight="1" outlineLevel="1">
      <c r="C32" s="91"/>
      <c r="D32" s="651" t="s">
        <v>1437</v>
      </c>
      <c r="E32" s="447"/>
      <c r="F32" s="447"/>
      <c r="G32" s="447"/>
      <c r="H32" s="447"/>
      <c r="I32" s="448"/>
      <c r="J32" s="448"/>
      <c r="K32" s="449">
        <v>4.3999999999999997E-2</v>
      </c>
      <c r="L32" s="654">
        <v>4.7600000000000003E-2</v>
      </c>
      <c r="M32" s="654">
        <v>4.0800000000000003E-2</v>
      </c>
      <c r="N32" s="655">
        <v>4.1399999999999999E-2</v>
      </c>
      <c r="O32" s="654">
        <v>3.8096022600000001E-2</v>
      </c>
      <c r="P32" s="665">
        <v>3.4299999999999997E-2</v>
      </c>
      <c r="Q32" s="654">
        <v>3.3519E-2</v>
      </c>
      <c r="R32" s="654">
        <v>3.5500999999999998E-2</v>
      </c>
      <c r="S32" s="654"/>
      <c r="T32" s="654"/>
      <c r="U32" s="654">
        <v>3.5500999999999998E-2</v>
      </c>
      <c r="V32" s="654">
        <f>R32</f>
        <v>3.5500999999999998E-2</v>
      </c>
      <c r="W32" s="654">
        <f t="shared" ref="W32:X34" si="8">V32</f>
        <v>3.5500999999999998E-2</v>
      </c>
      <c r="X32" s="654">
        <f t="shared" si="8"/>
        <v>3.5500999999999998E-2</v>
      </c>
      <c r="Y32" s="654">
        <f t="shared" ref="Y32:Z34" si="9">X32</f>
        <v>3.5500999999999998E-2</v>
      </c>
      <c r="Z32" s="654">
        <f t="shared" si="9"/>
        <v>3.5500999999999998E-2</v>
      </c>
      <c r="AA32" s="447"/>
      <c r="AB32" s="447"/>
      <c r="AC32" s="447"/>
      <c r="AD32" s="447"/>
      <c r="AE32" s="447"/>
      <c r="AF32" s="447"/>
      <c r="AG32" s="447"/>
      <c r="AH32" s="447"/>
      <c r="AI32" s="447"/>
      <c r="AJ32" s="447"/>
      <c r="AK32" s="447"/>
      <c r="AL32" s="447"/>
      <c r="AM32" s="447"/>
      <c r="AN32" s="447"/>
      <c r="AO32" s="447"/>
      <c r="AP32" s="447"/>
      <c r="AQ32" s="447"/>
      <c r="AR32" s="447"/>
      <c r="AS32" s="447"/>
      <c r="AT32" s="447"/>
      <c r="AU32" s="447"/>
      <c r="AV32" s="447"/>
      <c r="AW32" s="447"/>
      <c r="AX32" s="447"/>
      <c r="AY32" s="447"/>
      <c r="AZ32" s="447"/>
      <c r="BA32" s="447"/>
      <c r="BB32" s="447"/>
      <c r="BC32" s="447"/>
      <c r="BD32" s="447"/>
      <c r="BE32" s="447"/>
      <c r="BF32" s="447"/>
    </row>
    <row r="33" spans="3:58" ht="15.75" hidden="1" customHeight="1" outlineLevel="1">
      <c r="C33" s="91"/>
      <c r="D33" s="651" t="s">
        <v>1438</v>
      </c>
      <c r="E33" s="447"/>
      <c r="F33" s="447"/>
      <c r="G33" s="447"/>
      <c r="H33" s="447"/>
      <c r="I33" s="448"/>
      <c r="J33" s="448"/>
      <c r="K33" s="449">
        <v>4.5999999999999999E-2</v>
      </c>
      <c r="L33" s="449">
        <v>5.0299999999999997E-2</v>
      </c>
      <c r="M33" s="654">
        <v>4.7E-2</v>
      </c>
      <c r="N33" s="655">
        <v>4.4299999999999999E-2</v>
      </c>
      <c r="O33" s="654">
        <v>4.0515549999999997E-2</v>
      </c>
      <c r="P33" s="665">
        <v>3.8300000000000001E-2</v>
      </c>
      <c r="Q33" s="654">
        <v>3.9329000000000003E-2</v>
      </c>
      <c r="R33" s="654">
        <v>3.9649999999999998E-2</v>
      </c>
      <c r="S33" s="654"/>
      <c r="T33" s="654"/>
      <c r="U33" s="654">
        <v>3.9649999999999998E-2</v>
      </c>
      <c r="V33" s="654">
        <f>R33</f>
        <v>3.9649999999999998E-2</v>
      </c>
      <c r="W33" s="654">
        <f t="shared" si="8"/>
        <v>3.9649999999999998E-2</v>
      </c>
      <c r="X33" s="654">
        <f t="shared" si="8"/>
        <v>3.9649999999999998E-2</v>
      </c>
      <c r="Y33" s="654">
        <f t="shared" si="9"/>
        <v>3.9649999999999998E-2</v>
      </c>
      <c r="Z33" s="654">
        <f t="shared" si="9"/>
        <v>3.9649999999999998E-2</v>
      </c>
      <c r="AA33" s="447"/>
      <c r="AB33" s="447"/>
      <c r="AC33" s="447"/>
      <c r="AD33" s="447"/>
      <c r="AE33" s="447"/>
      <c r="AF33" s="447"/>
      <c r="AG33" s="447"/>
      <c r="AH33" s="447"/>
      <c r="AI33" s="447"/>
      <c r="AJ33" s="447"/>
      <c r="AK33" s="447"/>
      <c r="AL33" s="447"/>
      <c r="AM33" s="447"/>
      <c r="AN33" s="447"/>
      <c r="AO33" s="447"/>
      <c r="AP33" s="447"/>
      <c r="AQ33" s="447"/>
      <c r="AR33" s="447"/>
      <c r="AS33" s="447"/>
      <c r="AT33" s="447"/>
      <c r="AU33" s="447"/>
      <c r="AV33" s="447"/>
      <c r="AW33" s="447"/>
      <c r="AX33" s="447"/>
      <c r="AY33" s="447"/>
      <c r="AZ33" s="447"/>
      <c r="BA33" s="447"/>
      <c r="BB33" s="447"/>
      <c r="BC33" s="447"/>
      <c r="BD33" s="447"/>
      <c r="BE33" s="447"/>
      <c r="BF33" s="447"/>
    </row>
    <row r="34" spans="3:58" ht="15.75" hidden="1" customHeight="1" outlineLevel="1">
      <c r="C34" s="91"/>
      <c r="D34" s="651" t="s">
        <v>1439</v>
      </c>
      <c r="E34" s="447"/>
      <c r="F34" s="447"/>
      <c r="G34" s="447"/>
      <c r="H34" s="447"/>
      <c r="I34" s="448"/>
      <c r="J34" s="448"/>
      <c r="K34" s="449"/>
      <c r="L34" s="448">
        <v>28</v>
      </c>
      <c r="M34" s="448">
        <f>L34</f>
        <v>28</v>
      </c>
      <c r="N34" s="452">
        <f>M34</f>
        <v>28</v>
      </c>
      <c r="O34" s="448">
        <f>N34</f>
        <v>28</v>
      </c>
      <c r="P34" s="538">
        <f>O34</f>
        <v>28</v>
      </c>
      <c r="Q34" s="448">
        <v>28</v>
      </c>
      <c r="R34" s="448">
        <v>26.26</v>
      </c>
      <c r="S34" s="448"/>
      <c r="T34" s="448"/>
      <c r="U34" s="448">
        <v>26.26</v>
      </c>
      <c r="V34" s="448">
        <f>R34</f>
        <v>26.26</v>
      </c>
      <c r="W34" s="448">
        <f t="shared" si="8"/>
        <v>26.26</v>
      </c>
      <c r="X34" s="448">
        <f t="shared" si="8"/>
        <v>26.26</v>
      </c>
      <c r="Y34" s="448">
        <f t="shared" si="9"/>
        <v>26.26</v>
      </c>
      <c r="Z34" s="448">
        <f t="shared" si="9"/>
        <v>26.26</v>
      </c>
      <c r="AA34" s="447"/>
      <c r="AB34" s="447"/>
      <c r="AC34" s="447"/>
      <c r="AD34" s="447"/>
      <c r="AE34" s="447"/>
      <c r="AF34" s="447"/>
      <c r="AG34" s="447"/>
      <c r="AH34" s="447"/>
      <c r="AI34" s="447"/>
      <c r="AJ34" s="447"/>
      <c r="AK34" s="447"/>
      <c r="AL34" s="447"/>
      <c r="AM34" s="447"/>
      <c r="AN34" s="447"/>
      <c r="AO34" s="447"/>
      <c r="AP34" s="447"/>
      <c r="AQ34" s="447"/>
      <c r="AR34" s="447"/>
      <c r="AS34" s="447"/>
      <c r="AT34" s="447"/>
      <c r="AU34" s="447"/>
      <c r="AV34" s="447"/>
      <c r="AW34" s="447"/>
      <c r="AX34" s="447"/>
      <c r="AY34" s="447"/>
      <c r="AZ34" s="447"/>
      <c r="BA34" s="447"/>
      <c r="BB34" s="447"/>
      <c r="BC34" s="447"/>
      <c r="BD34" s="447"/>
      <c r="BE34" s="447"/>
      <c r="BF34" s="447"/>
    </row>
    <row r="35" spans="3:58" ht="15.75" hidden="1" customHeight="1" outlineLevel="1">
      <c r="C35" s="91"/>
      <c r="D35" s="651" t="s">
        <v>1440</v>
      </c>
      <c r="E35" s="447"/>
      <c r="F35" s="447"/>
      <c r="G35" s="447"/>
      <c r="H35" s="447"/>
      <c r="I35" s="448"/>
      <c r="J35" s="448"/>
      <c r="K35" s="448">
        <f t="shared" ref="K35:P35" si="10">K31*K32</f>
        <v>14483.039999999999</v>
      </c>
      <c r="L35" s="448">
        <f t="shared" si="10"/>
        <v>33515.445599999999</v>
      </c>
      <c r="M35" s="448">
        <f>M31*M32</f>
        <v>34856.211936000007</v>
      </c>
      <c r="N35" s="452">
        <f t="shared" si="10"/>
        <v>35794.115837999998</v>
      </c>
      <c r="O35" s="448">
        <f>O31*O32</f>
        <v>30910.4651052558</v>
      </c>
      <c r="P35" s="538">
        <f t="shared" si="10"/>
        <v>26008.040513</v>
      </c>
      <c r="Q35" s="448">
        <f t="shared" ref="Q35:Z35" si="11">Q31*Q32</f>
        <v>25278.454407000001</v>
      </c>
      <c r="R35" s="448">
        <f t="shared" si="11"/>
        <v>26625.75</v>
      </c>
      <c r="S35" s="448"/>
      <c r="T35" s="448"/>
      <c r="U35" s="448">
        <f>U31*U32</f>
        <v>26625.75</v>
      </c>
      <c r="V35" s="448">
        <f t="shared" si="11"/>
        <v>26625.75</v>
      </c>
      <c r="W35" s="448">
        <f t="shared" si="11"/>
        <v>26625.75</v>
      </c>
      <c r="X35" s="448">
        <f t="shared" si="11"/>
        <v>26625.75</v>
      </c>
      <c r="Y35" s="448">
        <f t="shared" si="11"/>
        <v>26625.75</v>
      </c>
      <c r="Z35" s="448">
        <f t="shared" si="11"/>
        <v>26625.75</v>
      </c>
      <c r="AA35" s="447"/>
      <c r="AB35" s="447"/>
      <c r="AC35" s="447"/>
      <c r="AD35" s="447"/>
      <c r="AE35" s="447"/>
      <c r="AF35" s="447"/>
      <c r="AG35" s="447"/>
      <c r="AH35" s="447"/>
      <c r="AI35" s="447"/>
      <c r="AJ35" s="447"/>
      <c r="AK35" s="447"/>
      <c r="AL35" s="447"/>
      <c r="AM35" s="447"/>
      <c r="AN35" s="447"/>
      <c r="AO35" s="447"/>
      <c r="AP35" s="447"/>
      <c r="AQ35" s="447"/>
      <c r="AR35" s="447"/>
      <c r="AS35" s="447"/>
      <c r="AT35" s="447"/>
      <c r="AU35" s="447"/>
      <c r="AV35" s="447"/>
      <c r="AW35" s="447"/>
      <c r="AX35" s="447"/>
      <c r="AY35" s="447"/>
      <c r="AZ35" s="447"/>
      <c r="BA35" s="447"/>
      <c r="BB35" s="447"/>
      <c r="BC35" s="447"/>
      <c r="BD35" s="447"/>
      <c r="BE35" s="447"/>
      <c r="BF35" s="447"/>
    </row>
    <row r="36" spans="3:58" ht="15.75" hidden="1" customHeight="1" outlineLevel="1">
      <c r="C36" s="91"/>
      <c r="D36" s="651" t="s">
        <v>1866</v>
      </c>
      <c r="E36" s="447"/>
      <c r="F36" s="447"/>
      <c r="G36" s="447"/>
      <c r="H36" s="447"/>
      <c r="I36" s="448"/>
      <c r="J36" s="448"/>
      <c r="K36" s="448">
        <f t="shared" ref="K36:P36" si="12">K31*K33</f>
        <v>15141.36</v>
      </c>
      <c r="L36" s="448">
        <f t="shared" si="12"/>
        <v>35416.531799999997</v>
      </c>
      <c r="M36" s="448">
        <f t="shared" si="12"/>
        <v>40152.989240000003</v>
      </c>
      <c r="N36" s="452">
        <f t="shared" si="12"/>
        <v>38301.433130999998</v>
      </c>
      <c r="O36" s="448">
        <f t="shared" si="12"/>
        <v>32873.628505649998</v>
      </c>
      <c r="P36" s="538">
        <f t="shared" si="12"/>
        <v>29041.048153000003</v>
      </c>
      <c r="Q36" s="448">
        <f t="shared" ref="Q36:Z36" si="13">Q31*Q33</f>
        <v>29660.083337000004</v>
      </c>
      <c r="R36" s="448">
        <f t="shared" si="13"/>
        <v>29737.5</v>
      </c>
      <c r="S36" s="448"/>
      <c r="T36" s="448"/>
      <c r="U36" s="448">
        <f>U31*U33</f>
        <v>29737.5</v>
      </c>
      <c r="V36" s="448">
        <f t="shared" si="13"/>
        <v>29737.5</v>
      </c>
      <c r="W36" s="448">
        <f t="shared" si="13"/>
        <v>29737.5</v>
      </c>
      <c r="X36" s="448">
        <f t="shared" si="13"/>
        <v>29737.5</v>
      </c>
      <c r="Y36" s="448">
        <f t="shared" si="13"/>
        <v>29737.5</v>
      </c>
      <c r="Z36" s="448">
        <f t="shared" si="13"/>
        <v>29737.5</v>
      </c>
      <c r="AA36" s="447"/>
      <c r="AB36" s="447"/>
      <c r="AC36" s="447"/>
      <c r="AD36" s="447"/>
      <c r="AE36" s="447"/>
      <c r="AF36" s="447"/>
      <c r="AG36" s="447"/>
      <c r="AH36" s="447"/>
      <c r="AI36" s="447"/>
      <c r="AJ36" s="447"/>
      <c r="AK36" s="447"/>
      <c r="AL36" s="447"/>
      <c r="AM36" s="447"/>
      <c r="AN36" s="447"/>
      <c r="AO36" s="447"/>
      <c r="AP36" s="447"/>
      <c r="AQ36" s="447"/>
      <c r="AR36" s="447"/>
      <c r="AS36" s="447"/>
      <c r="AT36" s="447"/>
      <c r="AU36" s="447"/>
      <c r="AV36" s="447"/>
      <c r="AW36" s="447"/>
      <c r="AX36" s="447"/>
      <c r="AY36" s="447"/>
      <c r="AZ36" s="447"/>
      <c r="BA36" s="447"/>
      <c r="BB36" s="447"/>
      <c r="BC36" s="447"/>
      <c r="BD36" s="447"/>
      <c r="BE36" s="447"/>
      <c r="BF36" s="447"/>
    </row>
    <row r="37" spans="3:58" ht="15.75" hidden="1" customHeight="1" outlineLevel="1">
      <c r="C37" s="91"/>
      <c r="D37" s="651" t="s">
        <v>1441</v>
      </c>
      <c r="E37" s="447"/>
      <c r="F37" s="447"/>
      <c r="G37" s="447"/>
      <c r="H37" s="447"/>
      <c r="I37" s="448"/>
      <c r="J37" s="448"/>
      <c r="K37" s="450">
        <f t="shared" ref="K37:P37" si="14">K34*K31/1000000</f>
        <v>0</v>
      </c>
      <c r="L37" s="450">
        <f t="shared" si="14"/>
        <v>19.714967999999999</v>
      </c>
      <c r="M37" s="450">
        <f t="shared" si="14"/>
        <v>23.92092976</v>
      </c>
      <c r="N37" s="707">
        <f t="shared" si="14"/>
        <v>24.20858076</v>
      </c>
      <c r="O37" s="450">
        <f t="shared" si="14"/>
        <v>22.718724000000002</v>
      </c>
      <c r="P37" s="666">
        <f t="shared" si="14"/>
        <v>21.23105348</v>
      </c>
      <c r="Q37" s="450">
        <f t="shared" ref="Q37:Z37" si="15">Q34*Q31/1000000</f>
        <v>21.116284</v>
      </c>
      <c r="R37" s="450">
        <f t="shared" si="15"/>
        <v>19.695</v>
      </c>
      <c r="S37" s="450"/>
      <c r="T37" s="450"/>
      <c r="U37" s="450">
        <f>U34*U31/1000000</f>
        <v>19.695</v>
      </c>
      <c r="V37" s="450">
        <f t="shared" si="15"/>
        <v>19.695</v>
      </c>
      <c r="W37" s="450">
        <f t="shared" si="15"/>
        <v>19.695</v>
      </c>
      <c r="X37" s="450">
        <f t="shared" si="15"/>
        <v>19.695</v>
      </c>
      <c r="Y37" s="450">
        <f t="shared" si="15"/>
        <v>19.695</v>
      </c>
      <c r="Z37" s="450">
        <f t="shared" si="15"/>
        <v>19.695</v>
      </c>
      <c r="AA37" s="447"/>
      <c r="AB37" s="447"/>
      <c r="AC37" s="447"/>
      <c r="AD37" s="447"/>
      <c r="AE37" s="447"/>
      <c r="AF37" s="447"/>
      <c r="AG37" s="447"/>
      <c r="AH37" s="447"/>
      <c r="AI37" s="447"/>
      <c r="AJ37" s="447"/>
      <c r="AK37" s="447"/>
      <c r="AL37" s="447"/>
      <c r="AM37" s="447"/>
      <c r="AN37" s="447"/>
      <c r="AO37" s="447"/>
      <c r="AP37" s="447"/>
      <c r="AQ37" s="447"/>
      <c r="AR37" s="447"/>
      <c r="AS37" s="447"/>
      <c r="AT37" s="447"/>
      <c r="AU37" s="447"/>
      <c r="AV37" s="447"/>
      <c r="AW37" s="447"/>
      <c r="AX37" s="447"/>
      <c r="AY37" s="447"/>
      <c r="AZ37" s="447"/>
      <c r="BA37" s="447"/>
      <c r="BB37" s="447"/>
      <c r="BC37" s="447"/>
      <c r="BD37" s="447"/>
      <c r="BE37" s="447"/>
      <c r="BF37" s="447"/>
    </row>
    <row r="38" spans="3:58" ht="15.75" hidden="1" customHeight="1" outlineLevel="1">
      <c r="C38" s="91"/>
      <c r="D38" s="446" t="s">
        <v>1442</v>
      </c>
      <c r="E38" s="447"/>
      <c r="F38" s="447"/>
      <c r="G38" s="447"/>
      <c r="H38" s="447"/>
      <c r="I38" s="448"/>
      <c r="J38" s="448"/>
      <c r="K38" s="449">
        <v>0.83499999999999996</v>
      </c>
      <c r="L38" s="449">
        <v>0.04</v>
      </c>
      <c r="M38" s="449">
        <v>0.03</v>
      </c>
      <c r="N38" s="708">
        <v>2.86E-2</v>
      </c>
      <c r="O38" s="449">
        <f>N38</f>
        <v>2.86E-2</v>
      </c>
      <c r="P38" s="445">
        <f>O38</f>
        <v>2.86E-2</v>
      </c>
      <c r="Q38" s="449">
        <f>P38</f>
        <v>2.86E-2</v>
      </c>
      <c r="R38" s="449">
        <f>Q38</f>
        <v>2.86E-2</v>
      </c>
      <c r="S38" s="449"/>
      <c r="T38" s="449"/>
      <c r="U38" s="449">
        <f>R38</f>
        <v>2.86E-2</v>
      </c>
      <c r="V38" s="449">
        <f>R38</f>
        <v>2.86E-2</v>
      </c>
      <c r="W38" s="449">
        <f t="shared" ref="W38:X42" si="16">V38</f>
        <v>2.86E-2</v>
      </c>
      <c r="X38" s="449">
        <f t="shared" si="16"/>
        <v>2.86E-2</v>
      </c>
      <c r="Y38" s="449">
        <f t="shared" ref="Y38:Z42" si="17">X38</f>
        <v>2.86E-2</v>
      </c>
      <c r="Z38" s="449">
        <f t="shared" si="17"/>
        <v>2.86E-2</v>
      </c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</row>
    <row r="39" spans="3:58" ht="15.75" hidden="1" customHeight="1" outlineLevel="1">
      <c r="C39" s="91"/>
      <c r="D39" s="446" t="s">
        <v>1443</v>
      </c>
      <c r="E39" s="447"/>
      <c r="F39" s="447"/>
      <c r="G39" s="447"/>
      <c r="H39" s="447"/>
      <c r="I39" s="448"/>
      <c r="J39" s="448"/>
      <c r="K39" s="449">
        <v>0.93</v>
      </c>
      <c r="L39" s="449">
        <v>0.93</v>
      </c>
      <c r="M39" s="449">
        <v>0.91600000000000004</v>
      </c>
      <c r="N39" s="708">
        <v>0.94130000000000003</v>
      </c>
      <c r="O39" s="449">
        <v>0.94399999999999995</v>
      </c>
      <c r="P39" s="445">
        <v>0.95069999999999999</v>
      </c>
      <c r="Q39" s="449">
        <v>0.94420000000000004</v>
      </c>
      <c r="R39" s="449">
        <v>0.94</v>
      </c>
      <c r="S39" s="449"/>
      <c r="T39" s="449"/>
      <c r="U39" s="449">
        <v>0.94</v>
      </c>
      <c r="V39" s="449">
        <f>R39</f>
        <v>0.94</v>
      </c>
      <c r="W39" s="449">
        <f t="shared" si="16"/>
        <v>0.94</v>
      </c>
      <c r="X39" s="449">
        <f t="shared" si="16"/>
        <v>0.94</v>
      </c>
      <c r="Y39" s="449">
        <f t="shared" si="17"/>
        <v>0.94</v>
      </c>
      <c r="Z39" s="449">
        <f t="shared" si="17"/>
        <v>0.94</v>
      </c>
      <c r="AA39" s="447"/>
      <c r="AB39" s="447"/>
      <c r="AC39" s="447"/>
      <c r="AD39" s="447"/>
      <c r="AE39" s="447"/>
      <c r="AF39" s="447"/>
      <c r="AG39" s="447"/>
      <c r="AH39" s="447"/>
      <c r="AI39" s="447"/>
      <c r="AJ39" s="447"/>
      <c r="AK39" s="447"/>
      <c r="AL39" s="447"/>
      <c r="AM39" s="447"/>
      <c r="AN39" s="447"/>
      <c r="AO39" s="447"/>
      <c r="AP39" s="447"/>
      <c r="AQ39" s="447"/>
      <c r="AR39" s="447"/>
      <c r="AS39" s="447"/>
      <c r="AT39" s="447"/>
      <c r="AU39" s="447"/>
      <c r="AV39" s="447"/>
      <c r="AW39" s="447"/>
      <c r="AX39" s="447"/>
      <c r="AY39" s="447"/>
      <c r="AZ39" s="447"/>
      <c r="BA39" s="447"/>
      <c r="BB39" s="447"/>
      <c r="BC39" s="447"/>
      <c r="BD39" s="447"/>
      <c r="BE39" s="447"/>
      <c r="BF39" s="447"/>
    </row>
    <row r="40" spans="3:58" ht="15.75" hidden="1" customHeight="1" outlineLevel="1">
      <c r="C40" s="91"/>
      <c r="D40" s="446" t="s">
        <v>1444</v>
      </c>
      <c r="E40" s="447"/>
      <c r="F40" s="447"/>
      <c r="G40" s="447"/>
      <c r="H40" s="447"/>
      <c r="I40" s="448"/>
      <c r="J40" s="448"/>
      <c r="K40" s="449">
        <v>0.755</v>
      </c>
      <c r="L40" s="449">
        <v>0.755</v>
      </c>
      <c r="M40" s="449">
        <v>0.7</v>
      </c>
      <c r="N40" s="708">
        <v>0.7</v>
      </c>
      <c r="O40" s="449">
        <f>N40</f>
        <v>0.7</v>
      </c>
      <c r="P40" s="445">
        <f>O40</f>
        <v>0.7</v>
      </c>
      <c r="Q40" s="449">
        <f>P40</f>
        <v>0.7</v>
      </c>
      <c r="R40" s="449">
        <f>Q40</f>
        <v>0.7</v>
      </c>
      <c r="S40" s="449"/>
      <c r="T40" s="449"/>
      <c r="U40" s="449">
        <f>R40</f>
        <v>0.7</v>
      </c>
      <c r="V40" s="449">
        <f>R40</f>
        <v>0.7</v>
      </c>
      <c r="W40" s="449">
        <f t="shared" si="16"/>
        <v>0.7</v>
      </c>
      <c r="X40" s="449">
        <f t="shared" si="16"/>
        <v>0.7</v>
      </c>
      <c r="Y40" s="449">
        <f t="shared" si="17"/>
        <v>0.7</v>
      </c>
      <c r="Z40" s="449">
        <f t="shared" si="17"/>
        <v>0.7</v>
      </c>
      <c r="AA40" s="447"/>
      <c r="AB40" s="447"/>
      <c r="AC40" s="447"/>
      <c r="AD40" s="447"/>
      <c r="AE40" s="447"/>
      <c r="AF40" s="447"/>
      <c r="AG40" s="447"/>
      <c r="AH40" s="447"/>
      <c r="AI40" s="447"/>
      <c r="AJ40" s="447"/>
      <c r="AK40" s="447"/>
      <c r="AL40" s="447"/>
      <c r="AM40" s="447"/>
      <c r="AN40" s="447"/>
      <c r="AO40" s="447"/>
      <c r="AP40" s="447"/>
      <c r="AQ40" s="447"/>
      <c r="AR40" s="447"/>
      <c r="AS40" s="447"/>
      <c r="AT40" s="447"/>
      <c r="AU40" s="447"/>
      <c r="AV40" s="447"/>
      <c r="AW40" s="447"/>
      <c r="AX40" s="447"/>
      <c r="AY40" s="447"/>
      <c r="AZ40" s="447"/>
      <c r="BA40" s="447"/>
      <c r="BB40" s="447"/>
      <c r="BC40" s="447"/>
      <c r="BD40" s="447"/>
      <c r="BE40" s="447"/>
      <c r="BF40" s="447"/>
    </row>
    <row r="41" spans="3:58" ht="15.75" hidden="1" customHeight="1" outlineLevel="1">
      <c r="C41" s="91"/>
      <c r="D41" s="446" t="s">
        <v>1445</v>
      </c>
      <c r="E41" s="447"/>
      <c r="F41" s="447"/>
      <c r="G41" s="447"/>
      <c r="H41" s="447"/>
      <c r="I41" s="448"/>
      <c r="J41" s="448"/>
      <c r="K41" s="449">
        <v>0.8347</v>
      </c>
      <c r="L41" s="449">
        <v>0.8347</v>
      </c>
      <c r="M41" s="449">
        <v>0.82299999999999995</v>
      </c>
      <c r="N41" s="708">
        <v>0.85509999999999997</v>
      </c>
      <c r="O41" s="449">
        <v>0.86</v>
      </c>
      <c r="P41" s="445">
        <v>0.86599999999999999</v>
      </c>
      <c r="Q41" s="449">
        <v>0.86199999999999999</v>
      </c>
      <c r="R41" s="449">
        <v>0.85499999999999998</v>
      </c>
      <c r="S41" s="449"/>
      <c r="T41" s="449"/>
      <c r="U41" s="449">
        <v>0.85499999999999998</v>
      </c>
      <c r="V41" s="449">
        <f>R41</f>
        <v>0.85499999999999998</v>
      </c>
      <c r="W41" s="449">
        <f t="shared" si="16"/>
        <v>0.85499999999999998</v>
      </c>
      <c r="X41" s="449">
        <f t="shared" si="16"/>
        <v>0.85499999999999998</v>
      </c>
      <c r="Y41" s="449">
        <f t="shared" si="17"/>
        <v>0.85499999999999998</v>
      </c>
      <c r="Z41" s="449">
        <f t="shared" si="17"/>
        <v>0.85499999999999998</v>
      </c>
      <c r="AA41" s="447"/>
      <c r="AB41" s="447"/>
      <c r="AC41" s="447"/>
      <c r="AD41" s="447"/>
      <c r="AE41" s="447"/>
      <c r="AF41" s="447"/>
      <c r="AG41" s="447"/>
      <c r="AH41" s="447"/>
      <c r="AI41" s="447"/>
      <c r="AJ41" s="447"/>
      <c r="AK41" s="447"/>
      <c r="AL41" s="447"/>
      <c r="AM41" s="447"/>
      <c r="AN41" s="447"/>
      <c r="AO41" s="447"/>
      <c r="AP41" s="447"/>
      <c r="AQ41" s="447"/>
      <c r="AR41" s="447"/>
      <c r="AS41" s="447"/>
      <c r="AT41" s="447"/>
      <c r="AU41" s="447"/>
      <c r="AV41" s="447"/>
      <c r="AW41" s="447"/>
      <c r="AX41" s="447"/>
      <c r="AY41" s="447"/>
      <c r="AZ41" s="447"/>
      <c r="BA41" s="447"/>
      <c r="BB41" s="447"/>
      <c r="BC41" s="447"/>
      <c r="BD41" s="447"/>
      <c r="BE41" s="447"/>
      <c r="BF41" s="447"/>
    </row>
    <row r="42" spans="3:58" ht="15.75" hidden="1" customHeight="1" outlineLevel="1">
      <c r="C42" s="91"/>
      <c r="D42" s="446" t="s">
        <v>1446</v>
      </c>
      <c r="E42" s="447"/>
      <c r="F42" s="447"/>
      <c r="G42" s="447"/>
      <c r="H42" s="447"/>
      <c r="I42" s="448"/>
      <c r="J42" s="448"/>
      <c r="K42" s="449">
        <v>1.9400000000000001E-2</v>
      </c>
      <c r="L42" s="449">
        <v>1.9400000000000001E-2</v>
      </c>
      <c r="M42" s="449">
        <v>1.2E-2</v>
      </c>
      <c r="N42" s="708">
        <v>1.2800000000000001E-2</v>
      </c>
      <c r="O42" s="449">
        <f>N42</f>
        <v>1.2800000000000001E-2</v>
      </c>
      <c r="P42" s="445">
        <f>O42</f>
        <v>1.2800000000000001E-2</v>
      </c>
      <c r="Q42" s="449">
        <f>P42</f>
        <v>1.2800000000000001E-2</v>
      </c>
      <c r="R42" s="449">
        <f>Q42</f>
        <v>1.2800000000000001E-2</v>
      </c>
      <c r="S42" s="449"/>
      <c r="T42" s="449"/>
      <c r="U42" s="449">
        <f>R42</f>
        <v>1.2800000000000001E-2</v>
      </c>
      <c r="V42" s="449">
        <f>R42</f>
        <v>1.2800000000000001E-2</v>
      </c>
      <c r="W42" s="449">
        <f t="shared" si="16"/>
        <v>1.2800000000000001E-2</v>
      </c>
      <c r="X42" s="449">
        <f t="shared" si="16"/>
        <v>1.2800000000000001E-2</v>
      </c>
      <c r="Y42" s="449">
        <f t="shared" si="17"/>
        <v>1.2800000000000001E-2</v>
      </c>
      <c r="Z42" s="449">
        <f t="shared" si="17"/>
        <v>1.2800000000000001E-2</v>
      </c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</row>
    <row r="43" spans="3:58" ht="15.75" customHeight="1" collapsed="1">
      <c r="C43" s="91"/>
      <c r="D43" s="651" t="s">
        <v>246</v>
      </c>
      <c r="E43" s="447"/>
      <c r="F43" s="447"/>
      <c r="G43" s="447"/>
      <c r="H43" s="447"/>
      <c r="I43" s="448"/>
      <c r="J43" s="448"/>
      <c r="K43" s="448">
        <f>K31*K33*K39</f>
        <v>14081.464800000002</v>
      </c>
      <c r="L43" s="448">
        <v>30338</v>
      </c>
      <c r="M43" s="448">
        <f t="shared" ref="M43:R43" si="18">M31*M33*M39</f>
        <v>36780.138143840006</v>
      </c>
      <c r="N43" s="452">
        <f t="shared" si="18"/>
        <v>36053.139006210302</v>
      </c>
      <c r="O43" s="448">
        <f t="shared" si="18"/>
        <v>31032.705309333596</v>
      </c>
      <c r="P43" s="538">
        <f t="shared" si="18"/>
        <v>27609.324479057104</v>
      </c>
      <c r="Q43" s="448">
        <f t="shared" si="18"/>
        <v>28005.050686795406</v>
      </c>
      <c r="R43" s="448">
        <f t="shared" si="18"/>
        <v>27953.25</v>
      </c>
      <c r="S43" s="448"/>
      <c r="T43" s="448"/>
      <c r="U43" s="448">
        <f t="shared" ref="U43:Z43" si="19">U31*U33*U39</f>
        <v>27953.25</v>
      </c>
      <c r="V43" s="448">
        <f t="shared" si="19"/>
        <v>27953.25</v>
      </c>
      <c r="W43" s="448">
        <f t="shared" si="19"/>
        <v>27953.25</v>
      </c>
      <c r="X43" s="448">
        <f t="shared" si="19"/>
        <v>27953.25</v>
      </c>
      <c r="Y43" s="448">
        <f t="shared" si="19"/>
        <v>27953.25</v>
      </c>
      <c r="Z43" s="448">
        <f t="shared" si="19"/>
        <v>27953.25</v>
      </c>
      <c r="AA43" s="447"/>
      <c r="AB43" s="447"/>
      <c r="AC43" s="447"/>
      <c r="AD43" s="447"/>
      <c r="AE43" s="447"/>
      <c r="AF43" s="447"/>
      <c r="AG43" s="447"/>
      <c r="AH43" s="447"/>
      <c r="AI43" s="447"/>
      <c r="AJ43" s="447"/>
      <c r="AK43" s="447"/>
      <c r="AL43" s="447"/>
      <c r="AM43" s="447"/>
      <c r="AN43" s="447"/>
      <c r="AO43" s="447"/>
      <c r="AP43" s="447"/>
      <c r="AQ43" s="447"/>
      <c r="AR43" s="447"/>
      <c r="AS43" s="447"/>
      <c r="AT43" s="447"/>
      <c r="AU43" s="447"/>
      <c r="AV43" s="447"/>
      <c r="AW43" s="447"/>
      <c r="AX43" s="447"/>
      <c r="AY43" s="447"/>
      <c r="AZ43" s="447"/>
      <c r="BA43" s="447"/>
      <c r="BB43" s="447"/>
      <c r="BC43" s="447"/>
      <c r="BD43" s="447"/>
      <c r="BE43" s="447"/>
      <c r="BF43" s="447"/>
    </row>
    <row r="44" spans="3:58" ht="15.75" customHeight="1">
      <c r="C44" s="91"/>
      <c r="D44" s="651" t="s">
        <v>247</v>
      </c>
      <c r="E44" s="447"/>
      <c r="F44" s="447"/>
      <c r="G44" s="447"/>
      <c r="H44" s="447"/>
      <c r="I44" s="448"/>
      <c r="J44" s="448"/>
      <c r="K44" s="450">
        <f t="shared" ref="K44:P44" si="20">K31*K34/1000000*K40</f>
        <v>0</v>
      </c>
      <c r="L44" s="450">
        <f t="shared" si="20"/>
        <v>14.884800839999999</v>
      </c>
      <c r="M44" s="450">
        <f t="shared" si="20"/>
        <v>16.744650831999998</v>
      </c>
      <c r="N44" s="707">
        <f>N31*N34/1000000*N40</f>
        <v>16.946006531999998</v>
      </c>
      <c r="O44" s="450">
        <f>O31*O34/1000000*O40</f>
        <v>15.9031068</v>
      </c>
      <c r="P44" s="666">
        <f t="shared" si="20"/>
        <v>14.861737435999999</v>
      </c>
      <c r="Q44" s="450">
        <f t="shared" ref="Q44:Z44" si="21">Q31*Q34/1000000*Q40</f>
        <v>14.7813988</v>
      </c>
      <c r="R44" s="450">
        <f>R31*R34/1000000*R40</f>
        <v>13.7865</v>
      </c>
      <c r="S44" s="450"/>
      <c r="T44" s="450"/>
      <c r="U44" s="450">
        <f>U31*U34/1000000*U40</f>
        <v>13.7865</v>
      </c>
      <c r="V44" s="450">
        <f t="shared" si="21"/>
        <v>13.7865</v>
      </c>
      <c r="W44" s="450">
        <f t="shared" si="21"/>
        <v>13.7865</v>
      </c>
      <c r="X44" s="450">
        <f t="shared" si="21"/>
        <v>13.7865</v>
      </c>
      <c r="Y44" s="450">
        <f t="shared" si="21"/>
        <v>13.7865</v>
      </c>
      <c r="Z44" s="450">
        <f t="shared" si="21"/>
        <v>13.7865</v>
      </c>
      <c r="AA44" s="447"/>
      <c r="AB44" s="447"/>
      <c r="AC44" s="447"/>
      <c r="AD44" s="447"/>
      <c r="AE44" s="447"/>
      <c r="AF44" s="447"/>
      <c r="AG44" s="447"/>
      <c r="AH44" s="447"/>
      <c r="AI44" s="447"/>
      <c r="AJ44" s="447"/>
      <c r="AK44" s="447"/>
      <c r="AL44" s="447"/>
      <c r="AM44" s="447"/>
      <c r="AN44" s="447"/>
      <c r="AO44" s="447"/>
      <c r="AP44" s="447"/>
      <c r="AQ44" s="447"/>
      <c r="AR44" s="447"/>
      <c r="AS44" s="447"/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/>
      <c r="BF44" s="447"/>
    </row>
    <row r="45" spans="3:58" ht="15.75" customHeight="1">
      <c r="C45" s="91"/>
      <c r="D45" s="651" t="s">
        <v>248</v>
      </c>
      <c r="E45" s="447"/>
      <c r="F45" s="447"/>
      <c r="G45" s="447"/>
      <c r="H45" s="447"/>
      <c r="I45" s="448"/>
      <c r="J45" s="448"/>
      <c r="K45" s="448">
        <f>K31*K32*K41</f>
        <v>12088.993488</v>
      </c>
      <c r="L45" s="448">
        <v>25895</v>
      </c>
      <c r="M45" s="448">
        <f t="shared" ref="M45:R45" si="22">M31*M32*M41</f>
        <v>28686.662423328005</v>
      </c>
      <c r="N45" s="452">
        <f t="shared" si="22"/>
        <v>30607.548453073796</v>
      </c>
      <c r="O45" s="448">
        <f t="shared" si="22"/>
        <v>26582.999990519987</v>
      </c>
      <c r="P45" s="538">
        <f t="shared" si="22"/>
        <v>22522.963084258001</v>
      </c>
      <c r="Q45" s="448">
        <f t="shared" si="22"/>
        <v>21790.027698834001</v>
      </c>
      <c r="R45" s="448">
        <f t="shared" si="22"/>
        <v>22765.016250000001</v>
      </c>
      <c r="S45" s="448"/>
      <c r="T45" s="448"/>
      <c r="U45" s="448">
        <f t="shared" ref="U45:Z45" si="23">U31*U32*U41</f>
        <v>22765.016250000001</v>
      </c>
      <c r="V45" s="448">
        <f t="shared" si="23"/>
        <v>22765.016250000001</v>
      </c>
      <c r="W45" s="448">
        <f t="shared" si="23"/>
        <v>22765.016250000001</v>
      </c>
      <c r="X45" s="448">
        <f t="shared" si="23"/>
        <v>22765.016250000001</v>
      </c>
      <c r="Y45" s="448">
        <f t="shared" si="23"/>
        <v>22765.016250000001</v>
      </c>
      <c r="Z45" s="448">
        <f t="shared" si="23"/>
        <v>22765.016250000001</v>
      </c>
      <c r="AA45" s="447"/>
      <c r="AB45" s="447"/>
      <c r="AC45" s="447"/>
      <c r="AD45" s="447"/>
      <c r="AE45" s="447"/>
      <c r="AF45" s="447"/>
      <c r="AG45" s="447"/>
      <c r="AH45" s="447"/>
      <c r="AI45" s="447"/>
      <c r="AJ45" s="447"/>
      <c r="AK45" s="447"/>
      <c r="AL45" s="447"/>
      <c r="AM45" s="447"/>
      <c r="AN45" s="447"/>
      <c r="AO45" s="447"/>
      <c r="AP45" s="447"/>
      <c r="AQ45" s="447"/>
      <c r="AR45" s="447"/>
      <c r="AS45" s="447"/>
      <c r="AT45" s="447"/>
      <c r="AU45" s="447"/>
      <c r="AV45" s="447"/>
      <c r="AW45" s="447"/>
      <c r="AX45" s="447"/>
      <c r="AY45" s="447"/>
      <c r="AZ45" s="447"/>
      <c r="BA45" s="447"/>
      <c r="BB45" s="447"/>
      <c r="BC45" s="447"/>
      <c r="BD45" s="447"/>
      <c r="BE45" s="447"/>
      <c r="BF45" s="447"/>
    </row>
    <row r="46" spans="3:58" ht="15.75" hidden="1" customHeight="1" outlineLevel="1">
      <c r="C46" s="91"/>
      <c r="D46" s="651" t="s">
        <v>667</v>
      </c>
      <c r="E46" s="447"/>
      <c r="F46" s="447"/>
      <c r="G46" s="447"/>
      <c r="H46" s="447"/>
      <c r="I46" s="448"/>
      <c r="J46" s="448"/>
      <c r="K46" s="448">
        <f t="shared" ref="K46:M47" si="24">K49</f>
        <v>24521.284965517243</v>
      </c>
      <c r="L46" s="448">
        <f t="shared" si="24"/>
        <v>52965.841685416242</v>
      </c>
      <c r="M46" s="448">
        <f t="shared" si="24"/>
        <v>57796.656999999999</v>
      </c>
      <c r="N46" s="452">
        <f>N45/50.4477%</f>
        <v>60671.841239687434</v>
      </c>
      <c r="O46" s="448">
        <f>O45/50.36%</f>
        <v>52785.941204368515</v>
      </c>
      <c r="P46" s="538">
        <f>P45/50.56%</f>
        <v>44546.9997710799</v>
      </c>
      <c r="Q46" s="448">
        <f>Q45/50.51%</f>
        <v>43140.027121033461</v>
      </c>
      <c r="R46" s="448">
        <f t="shared" ref="R46:Z46" si="25">R45/49.3%</f>
        <v>46176.503549695743</v>
      </c>
      <c r="S46" s="448"/>
      <c r="T46" s="448"/>
      <c r="U46" s="448">
        <f>U45/49.3%</f>
        <v>46176.503549695743</v>
      </c>
      <c r="V46" s="448">
        <f t="shared" si="25"/>
        <v>46176.503549695743</v>
      </c>
      <c r="W46" s="448">
        <f t="shared" si="25"/>
        <v>46176.503549695743</v>
      </c>
      <c r="X46" s="448">
        <f t="shared" si="25"/>
        <v>46176.503549695743</v>
      </c>
      <c r="Y46" s="448">
        <f t="shared" si="25"/>
        <v>46176.503549695743</v>
      </c>
      <c r="Z46" s="448">
        <f t="shared" si="25"/>
        <v>46176.503549695743</v>
      </c>
      <c r="AA46" s="447"/>
      <c r="AB46" s="447"/>
      <c r="AC46" s="447"/>
      <c r="AD46" s="447"/>
      <c r="AE46" s="447"/>
      <c r="AF46" s="447"/>
      <c r="AG46" s="447"/>
      <c r="AH46" s="447"/>
      <c r="AI46" s="447"/>
      <c r="AJ46" s="447"/>
      <c r="AK46" s="447"/>
      <c r="AL46" s="447"/>
      <c r="AM46" s="447"/>
      <c r="AN46" s="447"/>
      <c r="AO46" s="447"/>
      <c r="AP46" s="447"/>
      <c r="AQ46" s="447"/>
      <c r="AR46" s="447"/>
      <c r="AS46" s="447"/>
      <c r="AT46" s="447"/>
      <c r="AU46" s="447"/>
      <c r="AV46" s="447"/>
      <c r="AW46" s="447"/>
      <c r="AX46" s="447"/>
      <c r="AY46" s="447"/>
      <c r="AZ46" s="447"/>
      <c r="BA46" s="447"/>
      <c r="BB46" s="447"/>
      <c r="BC46" s="447"/>
      <c r="BD46" s="447"/>
      <c r="BE46" s="447"/>
      <c r="BF46" s="447"/>
    </row>
    <row r="47" spans="3:58" ht="15.75" hidden="1" customHeight="1" outlineLevel="1">
      <c r="C47" s="91"/>
      <c r="D47" s="651" t="s">
        <v>668</v>
      </c>
      <c r="E47" s="447"/>
      <c r="F47" s="447"/>
      <c r="G47" s="447"/>
      <c r="H47" s="447"/>
      <c r="I47" s="448"/>
      <c r="J47" s="448"/>
      <c r="K47" s="448">
        <f t="shared" si="24"/>
        <v>19080.575609756099</v>
      </c>
      <c r="L47" s="448">
        <f t="shared" si="24"/>
        <v>40919.88130563798</v>
      </c>
      <c r="M47" s="448">
        <f t="shared" si="24"/>
        <v>49154.724999999999</v>
      </c>
      <c r="N47" s="452">
        <f>N43/(75.7%)</f>
        <v>47626.339506222328</v>
      </c>
      <c r="O47" s="448">
        <f>O43/75.15%</f>
        <v>41294.351709026741</v>
      </c>
      <c r="P47" s="538">
        <f>P43/74.31%</f>
        <v>37154.251754887773</v>
      </c>
      <c r="Q47" s="448">
        <f>Q43/73.64%</f>
        <v>38029.672306892186</v>
      </c>
      <c r="R47" s="448">
        <f t="shared" ref="R47:Z47" si="26">R43/73%</f>
        <v>38292.123287671231</v>
      </c>
      <c r="S47" s="448"/>
      <c r="T47" s="448"/>
      <c r="U47" s="448">
        <f>U43/73%</f>
        <v>38292.123287671231</v>
      </c>
      <c r="V47" s="448">
        <f t="shared" si="26"/>
        <v>38292.123287671231</v>
      </c>
      <c r="W47" s="448">
        <f t="shared" si="26"/>
        <v>38292.123287671231</v>
      </c>
      <c r="X47" s="448">
        <f t="shared" si="26"/>
        <v>38292.123287671231</v>
      </c>
      <c r="Y47" s="448">
        <f t="shared" si="26"/>
        <v>38292.123287671231</v>
      </c>
      <c r="Z47" s="448">
        <f t="shared" si="26"/>
        <v>38292.123287671231</v>
      </c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447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447"/>
      <c r="BD47" s="447"/>
      <c r="BE47" s="447"/>
      <c r="BF47" s="447"/>
    </row>
    <row r="48" spans="3:58" ht="15.75" customHeight="1" collapsed="1">
      <c r="C48" s="91"/>
      <c r="D48" s="646" t="s">
        <v>249</v>
      </c>
      <c r="E48" s="447"/>
      <c r="F48" s="447"/>
      <c r="G48" s="447"/>
      <c r="H48" s="447"/>
      <c r="I48" s="448"/>
      <c r="J48" s="448"/>
      <c r="K48" s="448">
        <f t="shared" ref="K48:P48" si="27">K49+K50</f>
        <v>43601.860575273342</v>
      </c>
      <c r="L48" s="448">
        <f t="shared" si="27"/>
        <v>93885.722991054223</v>
      </c>
      <c r="M48" s="448">
        <f t="shared" si="27"/>
        <v>106951.382</v>
      </c>
      <c r="N48" s="452">
        <f t="shared" si="27"/>
        <v>108298.18074590976</v>
      </c>
      <c r="O48" s="448">
        <f t="shared" si="27"/>
        <v>94080.292913395257</v>
      </c>
      <c r="P48" s="538">
        <f t="shared" si="27"/>
        <v>80433.100000000006</v>
      </c>
      <c r="Q48" s="448">
        <f t="shared" ref="Q48:Z48" si="28">Q49+Q50</f>
        <v>81169.699427925647</v>
      </c>
      <c r="R48" s="448">
        <f t="shared" si="28"/>
        <v>84468.626837366974</v>
      </c>
      <c r="S48" s="448"/>
      <c r="T48" s="448"/>
      <c r="U48" s="448">
        <f>U49+U50</f>
        <v>84468.626837366974</v>
      </c>
      <c r="V48" s="448">
        <f t="shared" si="28"/>
        <v>84468.626837366974</v>
      </c>
      <c r="W48" s="448">
        <f t="shared" si="28"/>
        <v>84468.626837366974</v>
      </c>
      <c r="X48" s="448">
        <f t="shared" si="28"/>
        <v>84468.626837366974</v>
      </c>
      <c r="Y48" s="448">
        <f t="shared" si="28"/>
        <v>84468.626837366974</v>
      </c>
      <c r="Z48" s="448">
        <f t="shared" si="28"/>
        <v>84468.626837366974</v>
      </c>
      <c r="AA48" s="447"/>
      <c r="AB48" s="447"/>
      <c r="AC48" s="447"/>
      <c r="AD48" s="447"/>
      <c r="AE48" s="447"/>
      <c r="AF48" s="447"/>
      <c r="AG48" s="447"/>
      <c r="AH48" s="447"/>
      <c r="AI48" s="447"/>
      <c r="AJ48" s="447"/>
      <c r="AK48" s="447"/>
      <c r="AL48" s="447"/>
      <c r="AM48" s="447"/>
      <c r="AN48" s="447"/>
      <c r="AO48" s="447"/>
      <c r="AP48" s="447"/>
      <c r="AQ48" s="447"/>
      <c r="AR48" s="447"/>
      <c r="AS48" s="447"/>
      <c r="AT48" s="447"/>
      <c r="AU48" s="447"/>
      <c r="AV48" s="447"/>
      <c r="AW48" s="447"/>
      <c r="AX48" s="447"/>
      <c r="AY48" s="447"/>
      <c r="AZ48" s="447"/>
      <c r="BA48" s="447"/>
      <c r="BB48" s="447"/>
      <c r="BC48" s="447"/>
      <c r="BD48" s="447"/>
      <c r="BE48" s="447"/>
      <c r="BF48" s="447"/>
    </row>
    <row r="49" spans="1:58" ht="15.75" customHeight="1">
      <c r="C49" s="91"/>
      <c r="D49" s="651" t="s">
        <v>250</v>
      </c>
      <c r="E49" s="447"/>
      <c r="F49" s="447"/>
      <c r="G49" s="447"/>
      <c r="H49" s="447"/>
      <c r="I49" s="448"/>
      <c r="J49" s="448"/>
      <c r="K49" s="448">
        <f>K45/49.3%</f>
        <v>24521.284965517243</v>
      </c>
      <c r="L49" s="448">
        <f>L45/48.89%</f>
        <v>52965.841685416242</v>
      </c>
      <c r="M49" s="448">
        <v>57796.656999999999</v>
      </c>
      <c r="N49" s="452">
        <f t="shared" ref="N49:W50" si="29">N46</f>
        <v>60671.841239687434</v>
      </c>
      <c r="O49" s="448">
        <f t="shared" si="29"/>
        <v>52785.941204368515</v>
      </c>
      <c r="P49" s="538">
        <v>43661.06</v>
      </c>
      <c r="Q49" s="448">
        <f t="shared" si="29"/>
        <v>43140.027121033461</v>
      </c>
      <c r="R49" s="448">
        <f t="shared" si="29"/>
        <v>46176.503549695743</v>
      </c>
      <c r="S49" s="448"/>
      <c r="T49" s="448"/>
      <c r="U49" s="448">
        <f>U46</f>
        <v>46176.503549695743</v>
      </c>
      <c r="V49" s="448">
        <f t="shared" si="29"/>
        <v>46176.503549695743</v>
      </c>
      <c r="W49" s="448">
        <f t="shared" si="29"/>
        <v>46176.503549695743</v>
      </c>
      <c r="X49" s="448">
        <f t="shared" ref="X49:Z50" si="30">X46</f>
        <v>46176.503549695743</v>
      </c>
      <c r="Y49" s="448">
        <f t="shared" si="30"/>
        <v>46176.503549695743</v>
      </c>
      <c r="Z49" s="448">
        <f t="shared" si="30"/>
        <v>46176.503549695743</v>
      </c>
      <c r="AA49" s="447"/>
      <c r="AB49" s="447"/>
      <c r="AC49" s="447"/>
      <c r="AD49" s="447"/>
      <c r="AE49" s="447"/>
      <c r="AF49" s="447"/>
      <c r="AG49" s="447"/>
      <c r="AH49" s="447"/>
      <c r="AI49" s="447"/>
      <c r="AJ49" s="447"/>
      <c r="AK49" s="447"/>
      <c r="AL49" s="447"/>
      <c r="AM49" s="447"/>
      <c r="AN49" s="447"/>
      <c r="AO49" s="447"/>
      <c r="AP49" s="447"/>
      <c r="AQ49" s="447"/>
      <c r="AR49" s="447"/>
      <c r="AS49" s="447"/>
      <c r="AT49" s="447"/>
      <c r="AU49" s="447"/>
      <c r="AV49" s="447"/>
      <c r="AW49" s="447"/>
      <c r="AX49" s="447"/>
      <c r="AY49" s="447"/>
      <c r="AZ49" s="447"/>
      <c r="BA49" s="447"/>
      <c r="BB49" s="447"/>
      <c r="BC49" s="447"/>
      <c r="BD49" s="447"/>
      <c r="BE49" s="447"/>
      <c r="BF49" s="447"/>
    </row>
    <row r="50" spans="1:58" ht="15.75" customHeight="1">
      <c r="C50" s="91"/>
      <c r="D50" s="651" t="s">
        <v>251</v>
      </c>
      <c r="E50" s="447"/>
      <c r="F50" s="447"/>
      <c r="G50" s="447"/>
      <c r="H50" s="447"/>
      <c r="I50" s="448"/>
      <c r="J50" s="448"/>
      <c r="K50" s="448">
        <f>K43/73.8%</f>
        <v>19080.575609756099</v>
      </c>
      <c r="L50" s="448">
        <f>L43/74.14%</f>
        <v>40919.88130563798</v>
      </c>
      <c r="M50" s="448">
        <v>49154.724999999999</v>
      </c>
      <c r="N50" s="452">
        <f t="shared" si="29"/>
        <v>47626.339506222328</v>
      </c>
      <c r="O50" s="448">
        <f t="shared" si="29"/>
        <v>41294.351709026741</v>
      </c>
      <c r="P50" s="538">
        <v>36772.04</v>
      </c>
      <c r="Q50" s="448">
        <f t="shared" si="29"/>
        <v>38029.672306892186</v>
      </c>
      <c r="R50" s="448">
        <f t="shared" si="29"/>
        <v>38292.123287671231</v>
      </c>
      <c r="S50" s="448"/>
      <c r="T50" s="448"/>
      <c r="U50" s="448">
        <f>U47</f>
        <v>38292.123287671231</v>
      </c>
      <c r="V50" s="448">
        <f t="shared" si="29"/>
        <v>38292.123287671231</v>
      </c>
      <c r="W50" s="448">
        <f t="shared" si="29"/>
        <v>38292.123287671231</v>
      </c>
      <c r="X50" s="448">
        <f t="shared" si="30"/>
        <v>38292.123287671231</v>
      </c>
      <c r="Y50" s="448">
        <f t="shared" si="30"/>
        <v>38292.123287671231</v>
      </c>
      <c r="Z50" s="448">
        <f t="shared" si="30"/>
        <v>38292.123287671231</v>
      </c>
      <c r="AA50" s="447"/>
      <c r="AB50" s="447"/>
      <c r="AC50" s="447"/>
      <c r="AD50" s="447"/>
      <c r="AE50" s="447"/>
      <c r="AF50" s="447"/>
      <c r="AG50" s="447"/>
      <c r="AH50" s="447"/>
      <c r="AI50" s="447"/>
      <c r="AJ50" s="447"/>
      <c r="AK50" s="447"/>
      <c r="AL50" s="447"/>
      <c r="AM50" s="447"/>
      <c r="AN50" s="447"/>
      <c r="AO50" s="447"/>
      <c r="AP50" s="447"/>
      <c r="AQ50" s="447"/>
      <c r="AR50" s="447"/>
      <c r="AS50" s="447"/>
      <c r="AT50" s="447"/>
      <c r="AU50" s="447"/>
      <c r="AV50" s="447"/>
      <c r="AW50" s="447"/>
      <c r="AX50" s="447"/>
      <c r="AY50" s="447"/>
      <c r="AZ50" s="447"/>
      <c r="BA50" s="447"/>
      <c r="BB50" s="447"/>
      <c r="BC50" s="447"/>
      <c r="BD50" s="447"/>
      <c r="BE50" s="447"/>
      <c r="BF50" s="447"/>
    </row>
    <row r="51" spans="1:58" ht="15.75" customHeight="1">
      <c r="C51" s="91"/>
      <c r="D51" s="667" t="s">
        <v>252</v>
      </c>
      <c r="E51" s="667"/>
      <c r="F51" s="667"/>
      <c r="G51" s="667"/>
      <c r="H51" s="648"/>
      <c r="I51" s="648"/>
      <c r="J51" s="160"/>
      <c r="K51" s="160">
        <v>39728983.280000001</v>
      </c>
      <c r="L51" s="160">
        <f>SUM(L52:L53)</f>
        <v>124690823.85579079</v>
      </c>
      <c r="M51" s="160">
        <f t="shared" ref="M51:V51" si="31">SUM(M52:M53)</f>
        <v>104897984.0691002</v>
      </c>
      <c r="N51" s="650">
        <f t="shared" si="31"/>
        <v>84496032.543866128</v>
      </c>
      <c r="O51" s="160">
        <f t="shared" si="31"/>
        <v>101221847.13609684</v>
      </c>
      <c r="P51" s="444">
        <f t="shared" si="31"/>
        <v>97292045.177228764</v>
      </c>
      <c r="Q51" s="160">
        <f t="shared" si="31"/>
        <v>89333545.61131376</v>
      </c>
      <c r="R51" s="160">
        <f t="shared" si="31"/>
        <v>106899993.11603625</v>
      </c>
      <c r="S51" s="160">
        <f>U51/2</f>
        <v>39116290.829463199</v>
      </c>
      <c r="T51" s="160">
        <f>S51</f>
        <v>39116290.829463199</v>
      </c>
      <c r="U51" s="160">
        <f>SUM(U52:U53)</f>
        <v>78232581.658926398</v>
      </c>
      <c r="V51" s="160">
        <f t="shared" si="31"/>
        <v>102319713.53247179</v>
      </c>
      <c r="W51" s="160">
        <f>SUM(W52:W53)</f>
        <v>102319713.53247179</v>
      </c>
      <c r="X51" s="160">
        <f>SUM(X52:X53)</f>
        <v>102319713.53247179</v>
      </c>
      <c r="Y51" s="160">
        <f>SUM(Y52:Y53)</f>
        <v>102319713.53247179</v>
      </c>
      <c r="Z51" s="160">
        <f>SUM(Z52:Z53)</f>
        <v>102319713.53247179</v>
      </c>
      <c r="AA51" s="447"/>
      <c r="AB51" s="447"/>
      <c r="AC51" s="447"/>
      <c r="AD51" s="447"/>
      <c r="AE51" s="447"/>
      <c r="AF51" s="447"/>
      <c r="AG51" s="447"/>
      <c r="AH51" s="447"/>
      <c r="AI51" s="447"/>
      <c r="AJ51" s="447"/>
      <c r="AK51" s="447"/>
      <c r="AL51" s="447"/>
      <c r="AM51" s="447"/>
      <c r="AN51" s="447"/>
      <c r="AO51" s="447"/>
      <c r="AP51" s="447"/>
      <c r="AQ51" s="447"/>
      <c r="AR51" s="447"/>
      <c r="AS51" s="447"/>
      <c r="AT51" s="447"/>
      <c r="AU51" s="447"/>
      <c r="AV51" s="447"/>
      <c r="AW51" s="447"/>
      <c r="AX51" s="447"/>
      <c r="AY51" s="447"/>
      <c r="AZ51" s="447"/>
      <c r="BA51" s="447"/>
      <c r="BB51" s="447"/>
      <c r="BC51" s="447"/>
      <c r="BD51" s="447"/>
      <c r="BE51" s="447"/>
      <c r="BF51" s="447"/>
    </row>
    <row r="52" spans="1:58" ht="15.75" customHeight="1">
      <c r="C52" s="91"/>
      <c r="D52" s="649" t="s">
        <v>253</v>
      </c>
      <c r="E52" s="667"/>
      <c r="F52" s="667"/>
      <c r="G52" s="667"/>
      <c r="H52" s="648"/>
      <c r="I52" s="648"/>
      <c r="J52" s="160"/>
      <c r="K52" s="160"/>
      <c r="L52" s="160">
        <f t="shared" ref="L52:V52" si="32">L49*L12</f>
        <v>61823656.632025965</v>
      </c>
      <c r="M52" s="160">
        <f t="shared" si="32"/>
        <v>41008388.179783814</v>
      </c>
      <c r="N52" s="650">
        <f t="shared" si="32"/>
        <v>27394639.732884225</v>
      </c>
      <c r="O52" s="160">
        <f t="shared" si="32"/>
        <v>37315437.556192197</v>
      </c>
      <c r="P52" s="444">
        <f t="shared" si="32"/>
        <v>31038628.912376303</v>
      </c>
      <c r="Q52" s="160">
        <f>Q49*Q12</f>
        <v>40243389.999991663</v>
      </c>
      <c r="R52" s="160">
        <f t="shared" si="32"/>
        <v>48877829.007352941</v>
      </c>
      <c r="S52" s="160">
        <f>U52/2</f>
        <v>12777038.532200811</v>
      </c>
      <c r="T52" s="160">
        <f>S52</f>
        <v>12777038.532200811</v>
      </c>
      <c r="U52" s="160">
        <f>U49*U12</f>
        <v>25554077.064401623</v>
      </c>
      <c r="V52" s="160">
        <f t="shared" si="32"/>
        <v>48877829.007352941</v>
      </c>
      <c r="W52" s="160">
        <f>W49*W12</f>
        <v>48877829.007352941</v>
      </c>
      <c r="X52" s="160">
        <f>X49*X12</f>
        <v>48877829.007352941</v>
      </c>
      <c r="Y52" s="160">
        <f>Y49*Y12</f>
        <v>48877829.007352941</v>
      </c>
      <c r="Z52" s="160">
        <f>Z49*Z12</f>
        <v>48877829.007352941</v>
      </c>
      <c r="AA52" s="447"/>
      <c r="AB52" s="447"/>
      <c r="AC52" s="447"/>
      <c r="AD52" s="447"/>
      <c r="AE52" s="447"/>
      <c r="AF52" s="447"/>
      <c r="AG52" s="447"/>
      <c r="AH52" s="447"/>
      <c r="AI52" s="447"/>
      <c r="AJ52" s="447"/>
      <c r="AK52" s="447"/>
      <c r="AL52" s="447"/>
      <c r="AM52" s="447"/>
      <c r="AN52" s="447"/>
      <c r="AO52" s="447"/>
      <c r="AP52" s="447"/>
      <c r="AQ52" s="447"/>
      <c r="AR52" s="447"/>
      <c r="AS52" s="447"/>
      <c r="AT52" s="447"/>
      <c r="AU52" s="447"/>
      <c r="AV52" s="447"/>
      <c r="AW52" s="447"/>
      <c r="AX52" s="447"/>
      <c r="AY52" s="447"/>
      <c r="AZ52" s="447"/>
      <c r="BA52" s="447"/>
      <c r="BB52" s="447"/>
      <c r="BC52" s="447"/>
      <c r="BD52" s="447"/>
      <c r="BE52" s="447"/>
      <c r="BF52" s="447"/>
    </row>
    <row r="53" spans="1:58" ht="15.75" customHeight="1">
      <c r="C53" s="91"/>
      <c r="D53" s="649" t="s">
        <v>254</v>
      </c>
      <c r="E53" s="667"/>
      <c r="F53" s="667"/>
      <c r="G53" s="667"/>
      <c r="H53" s="648"/>
      <c r="I53" s="648"/>
      <c r="J53" s="160"/>
      <c r="K53" s="160"/>
      <c r="L53" s="160">
        <f t="shared" ref="L53:V53" si="33">L50*L20</f>
        <v>62867167.223764822</v>
      </c>
      <c r="M53" s="160">
        <f t="shared" si="33"/>
        <v>63889595.88931638</v>
      </c>
      <c r="N53" s="650">
        <f t="shared" si="33"/>
        <v>57101392.810981899</v>
      </c>
      <c r="O53" s="160">
        <f t="shared" si="33"/>
        <v>63906409.579904631</v>
      </c>
      <c r="P53" s="444">
        <f t="shared" si="33"/>
        <v>66253416.264852457</v>
      </c>
      <c r="Q53" s="160">
        <f t="shared" si="33"/>
        <v>49090155.611322105</v>
      </c>
      <c r="R53" s="160">
        <f t="shared" si="33"/>
        <v>58022164.10868331</v>
      </c>
      <c r="S53" s="160">
        <f>U53/2</f>
        <v>26339252.297262385</v>
      </c>
      <c r="T53" s="160">
        <f>S53</f>
        <v>26339252.297262385</v>
      </c>
      <c r="U53" s="160">
        <f>U50*U20</f>
        <v>52678504.594524771</v>
      </c>
      <c r="V53" s="160">
        <f t="shared" si="33"/>
        <v>53441884.52511885</v>
      </c>
      <c r="W53" s="160">
        <f>W50*W20</f>
        <v>53441884.52511885</v>
      </c>
      <c r="X53" s="160">
        <f>X50*X20</f>
        <v>53441884.52511885</v>
      </c>
      <c r="Y53" s="160">
        <f>Y50*Y20</f>
        <v>53441884.52511885</v>
      </c>
      <c r="Z53" s="160">
        <f>Z50*Z20</f>
        <v>53441884.52511885</v>
      </c>
      <c r="AA53" s="447"/>
      <c r="AB53" s="447"/>
      <c r="AC53" s="447"/>
      <c r="AD53" s="447"/>
      <c r="AE53" s="447"/>
      <c r="AF53" s="447"/>
      <c r="AG53" s="447"/>
      <c r="AH53" s="447"/>
      <c r="AI53" s="447"/>
      <c r="AJ53" s="447"/>
      <c r="AK53" s="447"/>
      <c r="AL53" s="447"/>
      <c r="AM53" s="447"/>
      <c r="AN53" s="447"/>
      <c r="AO53" s="447"/>
      <c r="AP53" s="447"/>
      <c r="AQ53" s="447"/>
      <c r="AR53" s="447"/>
      <c r="AS53" s="447"/>
      <c r="AT53" s="447"/>
      <c r="AU53" s="447"/>
      <c r="AV53" s="447"/>
      <c r="AW53" s="447"/>
      <c r="AX53" s="447"/>
      <c r="AY53" s="447"/>
      <c r="AZ53" s="447"/>
      <c r="BA53" s="447"/>
      <c r="BB53" s="447"/>
      <c r="BC53" s="447"/>
      <c r="BD53" s="447"/>
      <c r="BE53" s="447"/>
      <c r="BF53" s="447"/>
    </row>
    <row r="54" spans="1:58" ht="15.75" hidden="1" customHeight="1" outlineLevel="1">
      <c r="C54" s="91"/>
      <c r="D54" s="651"/>
      <c r="E54" s="646"/>
      <c r="F54" s="646"/>
      <c r="G54" s="646"/>
      <c r="H54" s="447"/>
      <c r="I54" s="447"/>
      <c r="J54" s="448"/>
      <c r="K54" s="448"/>
      <c r="L54" s="448"/>
      <c r="M54" s="658"/>
      <c r="N54" s="452"/>
      <c r="O54" s="448"/>
      <c r="P54" s="538"/>
      <c r="Q54" s="448"/>
      <c r="R54" s="448"/>
      <c r="S54" s="448"/>
      <c r="T54" s="448"/>
      <c r="U54" s="448"/>
      <c r="V54" s="448"/>
      <c r="W54" s="448"/>
      <c r="X54" s="448"/>
      <c r="Y54" s="448"/>
      <c r="Z54" s="448"/>
      <c r="AA54" s="447"/>
      <c r="AB54" s="447"/>
      <c r="AC54" s="447"/>
      <c r="AD54" s="447"/>
      <c r="AE54" s="447"/>
      <c r="AF54" s="447"/>
      <c r="AG54" s="447"/>
      <c r="AH54" s="447"/>
      <c r="AI54" s="447"/>
      <c r="AJ54" s="447"/>
      <c r="AK54" s="447"/>
      <c r="AL54" s="447"/>
      <c r="AM54" s="447"/>
      <c r="AN54" s="447"/>
      <c r="AO54" s="447"/>
      <c r="AP54" s="447"/>
      <c r="AQ54" s="447"/>
      <c r="AR54" s="447"/>
      <c r="AS54" s="447"/>
      <c r="AT54" s="447"/>
      <c r="AU54" s="447"/>
      <c r="AV54" s="447"/>
      <c r="AW54" s="447"/>
      <c r="AX54" s="447"/>
      <c r="AY54" s="447"/>
      <c r="AZ54" s="447"/>
      <c r="BA54" s="447"/>
      <c r="BB54" s="447"/>
      <c r="BC54" s="447"/>
      <c r="BD54" s="447"/>
      <c r="BE54" s="447"/>
      <c r="BF54" s="447"/>
    </row>
    <row r="55" spans="1:58" ht="15.75" hidden="1" customHeight="1" outlineLevel="1">
      <c r="C55" s="91"/>
      <c r="D55" s="651"/>
      <c r="E55" s="447"/>
      <c r="F55" s="447"/>
      <c r="G55" s="447"/>
      <c r="H55" s="447"/>
      <c r="I55" s="448"/>
      <c r="J55" s="448"/>
      <c r="K55" s="448"/>
      <c r="L55" s="448"/>
      <c r="M55" s="668"/>
      <c r="N55" s="708"/>
      <c r="O55" s="449"/>
      <c r="P55" s="445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7"/>
      <c r="AB55" s="447"/>
      <c r="AC55" s="447"/>
      <c r="AD55" s="447"/>
      <c r="AE55" s="447"/>
      <c r="AF55" s="447"/>
      <c r="AG55" s="447"/>
      <c r="AH55" s="447"/>
      <c r="AI55" s="447"/>
      <c r="AJ55" s="447"/>
      <c r="AK55" s="447"/>
      <c r="AL55" s="447"/>
      <c r="AM55" s="447"/>
      <c r="AN55" s="447"/>
      <c r="AO55" s="447"/>
      <c r="AP55" s="447"/>
      <c r="AQ55" s="447"/>
      <c r="AR55" s="447"/>
      <c r="AS55" s="447"/>
      <c r="AT55" s="447"/>
      <c r="AU55" s="447"/>
      <c r="AV55" s="447"/>
      <c r="AW55" s="447"/>
      <c r="AX55" s="447"/>
      <c r="AY55" s="447"/>
      <c r="AZ55" s="447"/>
      <c r="BA55" s="447"/>
      <c r="BB55" s="447"/>
      <c r="BC55" s="447"/>
      <c r="BD55" s="447"/>
      <c r="BE55" s="447"/>
      <c r="BF55" s="447"/>
    </row>
    <row r="56" spans="1:58" s="81" customFormat="1" ht="15.75" hidden="1" customHeight="1" outlineLevel="1">
      <c r="A56" s="75"/>
      <c r="B56" s="75"/>
      <c r="D56" s="516"/>
      <c r="I56" s="90"/>
      <c r="J56" s="90"/>
      <c r="K56" s="90"/>
      <c r="L56" s="90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spans="1:58" ht="15.75" hidden="1" customHeight="1" outlineLevel="1">
      <c r="C57" s="159"/>
      <c r="D57" s="516"/>
      <c r="E57" s="81"/>
      <c r="F57" s="81"/>
      <c r="G57" s="81"/>
      <c r="H57" s="81"/>
      <c r="I57" s="81"/>
      <c r="J57" s="81"/>
      <c r="K57" s="81"/>
      <c r="M57" s="97"/>
      <c r="N57" s="430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</row>
    <row r="58" spans="1:58" ht="15.75" hidden="1" customHeight="1" outlineLevel="1">
      <c r="D58" s="461"/>
      <c r="E58" s="81"/>
      <c r="F58" s="81"/>
      <c r="G58" s="81"/>
      <c r="H58" s="81"/>
      <c r="I58" s="81"/>
      <c r="J58" s="81"/>
      <c r="K58" s="81"/>
    </row>
    <row r="59" spans="1:58" ht="27" hidden="1" customHeight="1" outlineLevel="1">
      <c r="D59" s="462" t="s">
        <v>502</v>
      </c>
      <c r="M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spans="1:58" ht="3" hidden="1" customHeight="1" outlineLevel="1">
      <c r="D60" s="464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</row>
    <row r="61" spans="1:58" ht="15.75" hidden="1" customHeight="1" outlineLevel="1">
      <c r="D61" s="460" t="s">
        <v>1447</v>
      </c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</row>
    <row r="62" spans="1:58" ht="15.75" hidden="1" customHeight="1" outlineLevel="1">
      <c r="D62" s="467" t="s">
        <v>503</v>
      </c>
      <c r="E62" s="468"/>
      <c r="F62" s="468"/>
      <c r="G62" s="468"/>
      <c r="H62" s="468"/>
      <c r="I62" s="91"/>
      <c r="J62" s="91"/>
      <c r="K62" s="91"/>
      <c r="L62" s="91"/>
      <c r="M62" s="135"/>
      <c r="N62" s="135"/>
      <c r="O62" s="135"/>
      <c r="P62" s="135"/>
      <c r="Q62" s="135"/>
      <c r="R62" s="135"/>
      <c r="S62" s="135"/>
      <c r="T62" s="135"/>
      <c r="U62" s="135"/>
      <c r="V62" s="135"/>
      <c r="W62" s="135"/>
      <c r="X62" s="135"/>
      <c r="Y62" s="135"/>
      <c r="Z62" s="135"/>
    </row>
    <row r="63" spans="1:58" ht="15.75" hidden="1" customHeight="1" outlineLevel="1">
      <c r="C63" s="91"/>
      <c r="D63" s="546" t="s">
        <v>1447</v>
      </c>
      <c r="E63" s="106"/>
      <c r="F63" s="106"/>
      <c r="G63" s="106"/>
      <c r="H63" s="546"/>
      <c r="I63" s="546"/>
      <c r="J63" s="92">
        <f t="shared" ref="J63:M65" si="34">J7</f>
        <v>0</v>
      </c>
      <c r="K63" s="92">
        <f t="shared" si="34"/>
        <v>1</v>
      </c>
      <c r="L63" s="92">
        <f t="shared" si="34"/>
        <v>2</v>
      </c>
      <c r="M63" s="92">
        <f t="shared" si="34"/>
        <v>3</v>
      </c>
      <c r="N63" s="92">
        <f t="shared" ref="N63:P65" si="35">N7</f>
        <v>4</v>
      </c>
      <c r="O63" s="92">
        <f t="shared" si="35"/>
        <v>5</v>
      </c>
      <c r="P63" s="92">
        <f t="shared" si="35"/>
        <v>6</v>
      </c>
      <c r="Q63" s="92">
        <f t="shared" ref="Q63:R65" si="36">Q7</f>
        <v>7</v>
      </c>
      <c r="R63" s="92">
        <f t="shared" si="36"/>
        <v>8</v>
      </c>
      <c r="S63" s="92"/>
      <c r="T63" s="92"/>
      <c r="U63" s="92" t="str">
        <f>U7</f>
        <v>Revised</v>
      </c>
      <c r="V63" s="92">
        <f t="shared" ref="V63:W65" si="37">V7</f>
        <v>9</v>
      </c>
      <c r="W63" s="92">
        <f t="shared" si="37"/>
        <v>10</v>
      </c>
      <c r="X63" s="92">
        <f t="shared" ref="X63:Z65" si="38">X7</f>
        <v>11</v>
      </c>
      <c r="Y63" s="92">
        <f t="shared" si="38"/>
        <v>12</v>
      </c>
      <c r="Z63" s="92">
        <f t="shared" si="38"/>
        <v>13</v>
      </c>
      <c r="AA63" s="447"/>
      <c r="AB63" s="447"/>
      <c r="AC63" s="447"/>
      <c r="AD63" s="447"/>
      <c r="AE63" s="447"/>
      <c r="AF63" s="447"/>
      <c r="AG63" s="447"/>
      <c r="AH63" s="447"/>
      <c r="AI63" s="447"/>
      <c r="AJ63" s="447"/>
      <c r="AK63" s="447"/>
      <c r="AL63" s="447"/>
      <c r="AM63" s="447"/>
      <c r="AN63" s="447"/>
      <c r="AO63" s="447"/>
      <c r="AP63" s="447"/>
      <c r="AQ63" s="447"/>
      <c r="AR63" s="447"/>
      <c r="AS63" s="447"/>
      <c r="AT63" s="447"/>
      <c r="AU63" s="447"/>
      <c r="AV63" s="447"/>
      <c r="AW63" s="447"/>
      <c r="AX63" s="447"/>
      <c r="AY63" s="447"/>
      <c r="AZ63" s="447"/>
      <c r="BA63" s="447"/>
      <c r="BB63" s="447"/>
      <c r="BC63" s="447"/>
      <c r="BD63" s="447"/>
      <c r="BE63" s="447"/>
      <c r="BF63" s="447"/>
    </row>
    <row r="64" spans="1:58" ht="15.75" hidden="1" customHeight="1" outlineLevel="1">
      <c r="C64" s="91"/>
      <c r="D64" s="548"/>
      <c r="E64" s="469"/>
      <c r="F64" s="469"/>
      <c r="G64" s="469"/>
      <c r="H64" s="548"/>
      <c r="I64" s="548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447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447"/>
      <c r="BD64" s="447"/>
      <c r="BE64" s="447"/>
      <c r="BF64" s="447"/>
    </row>
    <row r="65" spans="3:58" ht="15.75" hidden="1" customHeight="1" outlineLevel="1">
      <c r="C65" s="91"/>
      <c r="D65" s="471"/>
      <c r="E65" s="472"/>
      <c r="F65" s="506"/>
      <c r="G65" s="506"/>
      <c r="H65" s="471"/>
      <c r="I65" s="471"/>
      <c r="J65" s="94" t="str">
        <f t="shared" si="34"/>
        <v>($)</v>
      </c>
      <c r="K65" s="94" t="str">
        <f t="shared" si="34"/>
        <v>($)</v>
      </c>
      <c r="L65" s="94" t="str">
        <f t="shared" si="34"/>
        <v>($)</v>
      </c>
      <c r="M65" s="94" t="str">
        <f t="shared" si="34"/>
        <v>($)</v>
      </c>
      <c r="N65" s="94" t="str">
        <f t="shared" si="35"/>
        <v>($)</v>
      </c>
      <c r="O65" s="94" t="str">
        <f t="shared" si="35"/>
        <v>($)</v>
      </c>
      <c r="P65" s="94" t="str">
        <f t="shared" si="35"/>
        <v>($)</v>
      </c>
      <c r="Q65" s="94" t="str">
        <f t="shared" si="36"/>
        <v>($)</v>
      </c>
      <c r="R65" s="94" t="str">
        <f t="shared" si="36"/>
        <v>($)</v>
      </c>
      <c r="S65" s="94"/>
      <c r="T65" s="94"/>
      <c r="U65" s="94" t="str">
        <f>U9</f>
        <v>($)</v>
      </c>
      <c r="V65" s="94" t="str">
        <f t="shared" si="37"/>
        <v>($)</v>
      </c>
      <c r="W65" s="94" t="str">
        <f t="shared" si="37"/>
        <v>($)</v>
      </c>
      <c r="X65" s="94" t="str">
        <f t="shared" si="38"/>
        <v>($)</v>
      </c>
      <c r="Y65" s="94" t="str">
        <f t="shared" si="38"/>
        <v>($)</v>
      </c>
      <c r="Z65" s="94" t="str">
        <f t="shared" si="38"/>
        <v>($)</v>
      </c>
      <c r="AA65" s="447"/>
      <c r="AB65" s="447"/>
      <c r="AC65" s="447"/>
      <c r="AD65" s="447"/>
      <c r="AE65" s="447"/>
      <c r="AF65" s="447"/>
      <c r="AG65" s="447"/>
      <c r="AH65" s="447"/>
      <c r="AI65" s="447"/>
      <c r="AJ65" s="447"/>
      <c r="AK65" s="447"/>
      <c r="AL65" s="447"/>
      <c r="AM65" s="447"/>
      <c r="AN65" s="447"/>
      <c r="AO65" s="447"/>
      <c r="AP65" s="447"/>
      <c r="AQ65" s="447"/>
      <c r="AR65" s="447"/>
      <c r="AS65" s="447"/>
      <c r="AT65" s="447"/>
      <c r="AU65" s="447"/>
      <c r="AV65" s="447"/>
      <c r="AW65" s="447"/>
      <c r="AX65" s="447"/>
      <c r="AY65" s="447"/>
      <c r="AZ65" s="447"/>
      <c r="BA65" s="447"/>
      <c r="BB65" s="447"/>
      <c r="BC65" s="447"/>
      <c r="BD65" s="447"/>
      <c r="BE65" s="447"/>
      <c r="BF65" s="447"/>
    </row>
    <row r="66" spans="3:58" ht="15.75" hidden="1" customHeight="1" outlineLevel="1">
      <c r="C66" s="159"/>
      <c r="D66" s="447" t="s">
        <v>1448</v>
      </c>
      <c r="E66" s="447"/>
      <c r="F66" s="447"/>
      <c r="G66" s="447"/>
      <c r="H66" s="447"/>
      <c r="L66" s="447"/>
      <c r="M66" s="447"/>
      <c r="N66" s="573"/>
      <c r="O66" s="669">
        <f>'Cu segment'!N95</f>
        <v>0.18055555555555558</v>
      </c>
      <c r="P66" s="147">
        <f>'Cu segment'!O95</f>
        <v>0.17050691244239635</v>
      </c>
      <c r="Q66" s="669">
        <f>'Cu segment'!P95</f>
        <v>2.9526858769121325E-2</v>
      </c>
      <c r="R66" s="669">
        <f>'Cu segment'!Q95</f>
        <v>4.1922290388547875E-2</v>
      </c>
      <c r="S66" s="669"/>
      <c r="T66" s="669"/>
      <c r="U66" s="669">
        <f>R66</f>
        <v>4.1922290388547875E-2</v>
      </c>
      <c r="V66" s="669">
        <f>'Cu segment'!U95</f>
        <v>4.1922290388547875E-2</v>
      </c>
      <c r="W66" s="669">
        <f>'Cu segment'!V95</f>
        <v>4.1922290388547875E-2</v>
      </c>
      <c r="X66" s="669">
        <f>'Cu segment'!W95</f>
        <v>4.1922290388547875E-2</v>
      </c>
      <c r="Y66" s="669">
        <f>'Cu segment'!X95</f>
        <v>4.1922290388547875E-2</v>
      </c>
      <c r="Z66" s="669">
        <f>'Cu segment'!Y95</f>
        <v>4.1922290388547875E-2</v>
      </c>
      <c r="AA66" s="447"/>
      <c r="AB66" s="447"/>
      <c r="AC66" s="447"/>
      <c r="AD66" s="447"/>
      <c r="AE66" s="447"/>
      <c r="AF66" s="447"/>
      <c r="AG66" s="447"/>
      <c r="AH66" s="447"/>
      <c r="AI66" s="447"/>
      <c r="AJ66" s="447"/>
      <c r="AK66" s="447"/>
      <c r="AL66" s="447"/>
      <c r="AM66" s="447"/>
      <c r="AN66" s="447"/>
      <c r="AO66" s="447"/>
      <c r="AP66" s="447"/>
      <c r="AQ66" s="447"/>
      <c r="AR66" s="447"/>
      <c r="AS66" s="447"/>
      <c r="AT66" s="447"/>
      <c r="AU66" s="447"/>
      <c r="AV66" s="447"/>
      <c r="AW66" s="447"/>
      <c r="AX66" s="447"/>
      <c r="AY66" s="447"/>
      <c r="AZ66" s="447"/>
      <c r="BA66" s="447"/>
      <c r="BB66" s="447"/>
      <c r="BC66" s="447"/>
      <c r="BD66" s="447"/>
      <c r="BE66" s="447"/>
      <c r="BF66" s="447"/>
    </row>
    <row r="67" spans="3:58" ht="15.75" hidden="1" customHeight="1" outlineLevel="1">
      <c r="C67" s="159"/>
      <c r="D67" s="447" t="s">
        <v>1449</v>
      </c>
      <c r="E67" s="447"/>
      <c r="F67" s="447"/>
      <c r="G67" s="447"/>
      <c r="H67" s="447"/>
      <c r="L67" s="447"/>
      <c r="M67" s="447"/>
      <c r="N67" s="709">
        <f>'Cu segment'!M86</f>
        <v>0</v>
      </c>
      <c r="O67" s="669">
        <f>'Cu segment'!N86</f>
        <v>0</v>
      </c>
      <c r="P67" s="147">
        <f>'Cu segment'!O86</f>
        <v>0</v>
      </c>
      <c r="Q67" s="669">
        <f>'Cu segment'!P86</f>
        <v>0</v>
      </c>
      <c r="R67" s="669">
        <f>'Cu segment'!Q86</f>
        <v>0</v>
      </c>
      <c r="S67" s="669"/>
      <c r="T67" s="669"/>
      <c r="U67" s="669">
        <f>R67</f>
        <v>0</v>
      </c>
      <c r="V67" s="669">
        <f>R67</f>
        <v>0</v>
      </c>
      <c r="W67" s="669">
        <f t="shared" ref="W67:Z68" si="39">V67</f>
        <v>0</v>
      </c>
      <c r="X67" s="669">
        <f t="shared" si="39"/>
        <v>0</v>
      </c>
      <c r="Y67" s="669">
        <f t="shared" si="39"/>
        <v>0</v>
      </c>
      <c r="Z67" s="669">
        <f t="shared" si="39"/>
        <v>0</v>
      </c>
      <c r="AA67" s="447"/>
      <c r="AB67" s="447"/>
      <c r="AC67" s="447"/>
      <c r="AD67" s="447"/>
      <c r="AE67" s="447"/>
      <c r="AF67" s="447"/>
      <c r="AG67" s="447"/>
      <c r="AH67" s="447"/>
      <c r="AI67" s="447"/>
      <c r="AJ67" s="447"/>
      <c r="AK67" s="447"/>
      <c r="AL67" s="447"/>
      <c r="AM67" s="447"/>
      <c r="AN67" s="447"/>
      <c r="AO67" s="447"/>
      <c r="AP67" s="447"/>
      <c r="AQ67" s="447"/>
      <c r="AR67" s="447"/>
      <c r="AS67" s="447"/>
      <c r="AT67" s="447"/>
      <c r="AU67" s="447"/>
      <c r="AV67" s="447"/>
      <c r="AW67" s="447"/>
      <c r="AX67" s="447"/>
      <c r="AY67" s="447"/>
      <c r="AZ67" s="447"/>
      <c r="BA67" s="447"/>
      <c r="BB67" s="447"/>
      <c r="BC67" s="447"/>
      <c r="BD67" s="447"/>
      <c r="BE67" s="447"/>
      <c r="BF67" s="447"/>
    </row>
    <row r="68" spans="3:58" ht="15.75" hidden="1" customHeight="1" outlineLevel="1">
      <c r="C68" s="159"/>
      <c r="D68" s="447" t="s">
        <v>1450</v>
      </c>
      <c r="E68" s="447"/>
      <c r="F68" s="447"/>
      <c r="G68" s="447"/>
      <c r="H68" s="447"/>
      <c r="L68" s="447"/>
      <c r="M68" s="447"/>
      <c r="N68" s="709">
        <f>N70/M70-1</f>
        <v>0.23228591523505671</v>
      </c>
      <c r="O68" s="669">
        <f>'Cu segment'!N101</f>
        <v>-3.5714285714285719E-2</v>
      </c>
      <c r="P68" s="147">
        <f>'Cu segment'!O101</f>
        <v>0</v>
      </c>
      <c r="Q68" s="669">
        <f>'Cu segment'!P101</f>
        <v>0.11111111111111099</v>
      </c>
      <c r="R68" s="669">
        <f>'Cu segment'!Q101</f>
        <v>0</v>
      </c>
      <c r="S68" s="669"/>
      <c r="T68" s="669"/>
      <c r="U68" s="669">
        <f>R68</f>
        <v>0</v>
      </c>
      <c r="V68" s="669">
        <f>R68</f>
        <v>0</v>
      </c>
      <c r="W68" s="669">
        <f t="shared" si="39"/>
        <v>0</v>
      </c>
      <c r="X68" s="669">
        <f t="shared" si="39"/>
        <v>0</v>
      </c>
      <c r="Y68" s="669">
        <f t="shared" si="39"/>
        <v>0</v>
      </c>
      <c r="Z68" s="669">
        <f t="shared" si="39"/>
        <v>0</v>
      </c>
      <c r="AA68" s="447"/>
      <c r="AB68" s="447"/>
      <c r="AC68" s="447"/>
      <c r="AD68" s="447"/>
      <c r="AE68" s="447"/>
      <c r="AF68" s="447"/>
      <c r="AG68" s="447"/>
      <c r="AH68" s="447"/>
      <c r="AI68" s="447"/>
      <c r="AJ68" s="447"/>
      <c r="AK68" s="447"/>
      <c r="AL68" s="447"/>
      <c r="AM68" s="447"/>
      <c r="AN68" s="447"/>
      <c r="AO68" s="447"/>
      <c r="AP68" s="447"/>
      <c r="AQ68" s="447"/>
      <c r="AR68" s="447"/>
      <c r="AS68" s="447"/>
      <c r="AT68" s="447"/>
      <c r="AU68" s="447"/>
      <c r="AV68" s="447"/>
      <c r="AW68" s="447"/>
      <c r="AX68" s="447"/>
      <c r="AY68" s="447"/>
      <c r="AZ68" s="447"/>
      <c r="BA68" s="447"/>
      <c r="BB68" s="447"/>
      <c r="BC68" s="447"/>
      <c r="BD68" s="447"/>
      <c r="BE68" s="447"/>
      <c r="BF68" s="447"/>
    </row>
    <row r="69" spans="3:58" ht="15.75" hidden="1" customHeight="1" outlineLevel="1">
      <c r="C69" s="159"/>
      <c r="D69" s="447" t="s">
        <v>1451</v>
      </c>
      <c r="E69" s="447"/>
      <c r="F69" s="447"/>
      <c r="G69" s="447"/>
      <c r="H69" s="447"/>
      <c r="I69" s="447"/>
      <c r="J69" s="447"/>
      <c r="K69" s="670"/>
      <c r="L69" s="670"/>
      <c r="M69" s="670"/>
      <c r="N69" s="710"/>
      <c r="O69" s="670"/>
      <c r="P69" s="671"/>
      <c r="Q69" s="670"/>
      <c r="R69" s="670"/>
      <c r="S69" s="670"/>
      <c r="T69" s="670"/>
      <c r="U69" s="670"/>
      <c r="V69" s="670"/>
      <c r="W69" s="670"/>
      <c r="X69" s="670"/>
      <c r="Y69" s="670"/>
      <c r="Z69" s="670"/>
      <c r="AA69" s="447"/>
      <c r="AB69" s="447"/>
      <c r="AC69" s="447"/>
      <c r="AD69" s="447"/>
      <c r="AE69" s="447"/>
      <c r="AF69" s="447"/>
      <c r="AG69" s="447"/>
      <c r="AH69" s="447"/>
      <c r="AI69" s="447"/>
      <c r="AJ69" s="447"/>
      <c r="AK69" s="447"/>
      <c r="AL69" s="447"/>
      <c r="AM69" s="447"/>
      <c r="AN69" s="447"/>
      <c r="AO69" s="447"/>
      <c r="AP69" s="447"/>
      <c r="AQ69" s="447"/>
      <c r="AR69" s="447"/>
      <c r="AS69" s="447"/>
      <c r="AT69" s="447"/>
      <c r="AU69" s="447"/>
      <c r="AV69" s="447"/>
      <c r="AW69" s="447"/>
      <c r="AX69" s="447"/>
      <c r="AY69" s="447"/>
      <c r="AZ69" s="447"/>
      <c r="BA69" s="447"/>
      <c r="BB69" s="447"/>
      <c r="BC69" s="447"/>
      <c r="BD69" s="447"/>
      <c r="BE69" s="447"/>
      <c r="BF69" s="447"/>
    </row>
    <row r="70" spans="3:58" ht="15.75" hidden="1" customHeight="1" outlineLevel="1">
      <c r="C70" s="159"/>
      <c r="D70" s="651" t="s">
        <v>1452</v>
      </c>
      <c r="E70" s="646"/>
      <c r="F70" s="646"/>
      <c r="G70" s="646"/>
      <c r="H70" s="646"/>
      <c r="I70" s="447"/>
      <c r="J70" s="672"/>
      <c r="K70" s="662">
        <v>-0.87</v>
      </c>
      <c r="L70" s="658">
        <f t="shared" ref="L70:L75" si="40">L117/$L$31</f>
        <v>-0.47549658716159215</v>
      </c>
      <c r="M70" s="673">
        <f>-259000/$M$31*'Control list'!$H$19</f>
        <v>-0.33348202097642876</v>
      </c>
      <c r="N70" s="711">
        <f>323000/-$N$31*'Control list'!$I$17</f>
        <v>-0.41094519743337488</v>
      </c>
      <c r="O70" s="673">
        <f>-363000*'Control list'!J17/'Zn Pb segment'!O31</f>
        <v>-0.49212270900425575</v>
      </c>
      <c r="P70" s="101">
        <f>-348000*'Control list'!K17/'Zn Pb segment'!P31</f>
        <v>-0.50484541476459988</v>
      </c>
      <c r="Q70" s="101">
        <f>-407000*'Control list'!L17/'Zn Pb segment'!Q31</f>
        <v>-0.5666622024973712</v>
      </c>
      <c r="R70" s="101">
        <f>-463000*'Control list'!M17/'Zn Pb segment'!R31</f>
        <v>-0.6482</v>
      </c>
      <c r="S70" s="101"/>
      <c r="T70" s="101"/>
      <c r="U70" s="101">
        <f>-463000*'Control list'!P17/'Zn Pb segment'!U31</f>
        <v>-0.6482</v>
      </c>
      <c r="V70" s="673">
        <f>R70*(1+V68)</f>
        <v>-0.6482</v>
      </c>
      <c r="W70" s="673">
        <f>V70*(1+W68)</f>
        <v>-0.6482</v>
      </c>
      <c r="X70" s="673">
        <f>W70*(1+X68)</f>
        <v>-0.6482</v>
      </c>
      <c r="Y70" s="673">
        <f>X70*(1+Y68)</f>
        <v>-0.6482</v>
      </c>
      <c r="Z70" s="673">
        <f>Y70*(1+Z68)</f>
        <v>-0.6482</v>
      </c>
      <c r="AA70" s="447"/>
      <c r="AB70" s="447"/>
      <c r="AC70" s="447"/>
      <c r="AD70" s="447"/>
      <c r="AE70" s="447"/>
      <c r="AF70" s="447"/>
      <c r="AG70" s="447"/>
      <c r="AH70" s="447"/>
      <c r="AI70" s="447"/>
      <c r="AJ70" s="447"/>
      <c r="AK70" s="447"/>
      <c r="AL70" s="447"/>
      <c r="AM70" s="447"/>
      <c r="AN70" s="447"/>
      <c r="AO70" s="447"/>
      <c r="AP70" s="447"/>
      <c r="AQ70" s="447"/>
      <c r="AR70" s="447"/>
      <c r="AS70" s="447"/>
      <c r="AT70" s="447"/>
      <c r="AU70" s="447"/>
      <c r="AV70" s="447"/>
      <c r="AW70" s="447"/>
      <c r="AX70" s="447"/>
      <c r="AY70" s="447"/>
      <c r="AZ70" s="447"/>
      <c r="BA70" s="447"/>
      <c r="BB70" s="447"/>
      <c r="BC70" s="447"/>
      <c r="BD70" s="447"/>
      <c r="BE70" s="447"/>
      <c r="BF70" s="447"/>
    </row>
    <row r="71" spans="3:58" ht="15.75" hidden="1" customHeight="1" outlineLevel="1">
      <c r="C71" s="159"/>
      <c r="D71" s="651" t="s">
        <v>1453</v>
      </c>
      <c r="E71" s="646"/>
      <c r="F71" s="646"/>
      <c r="G71" s="646"/>
      <c r="H71" s="646"/>
      <c r="I71" s="447"/>
      <c r="J71" s="672"/>
      <c r="K71" s="670">
        <v>-0.65</v>
      </c>
      <c r="L71" s="658">
        <f t="shared" si="40"/>
        <v>-1.2577651660403406</v>
      </c>
      <c r="M71" s="673">
        <f>-892000/$M$31*'Control list'!$H$19</f>
        <v>-1.148517230544303</v>
      </c>
      <c r="N71" s="711">
        <f>697000/-$N$31*'Control list'!$I$17</f>
        <v>-0.88677647867201947</v>
      </c>
      <c r="O71" s="673">
        <f>N71*(1+O66)</f>
        <v>-1.0468888984322453</v>
      </c>
      <c r="P71" s="101">
        <f>-1036000*'Control list'!K17/'Zn Pb segment'!P31</f>
        <v>-1.5029306025750728</v>
      </c>
      <c r="Q71" s="101">
        <f>-1255000*'Control list'!L17/'Zn Pb segment'!Q31</f>
        <v>-1.7473244819022136</v>
      </c>
      <c r="R71" s="673">
        <f>Q71*(1+R66)</f>
        <v>-1.8205763262355372</v>
      </c>
      <c r="S71" s="673"/>
      <c r="T71" s="673"/>
      <c r="U71" s="673">
        <f>Q71*(1+U66)</f>
        <v>-1.8205763262355372</v>
      </c>
      <c r="V71" s="673">
        <f>R71*(1+V66)</f>
        <v>-1.896899055658499</v>
      </c>
      <c r="W71" s="673">
        <f>V71*(1+W66)</f>
        <v>-1.9764214087075769</v>
      </c>
      <c r="X71" s="673">
        <f>W71*(1+X66)</f>
        <v>-2.0592775209335588</v>
      </c>
      <c r="Y71" s="673">
        <f>X71*(1+Y66)</f>
        <v>-2.1456071511567445</v>
      </c>
      <c r="Z71" s="673">
        <f>Y71*(1+Z66)</f>
        <v>-2.2355559172072823</v>
      </c>
      <c r="AA71" s="447"/>
      <c r="AB71" s="447"/>
      <c r="AC71" s="447"/>
      <c r="AD71" s="447"/>
      <c r="AE71" s="447"/>
      <c r="AF71" s="447"/>
      <c r="AG71" s="447"/>
      <c r="AH71" s="447"/>
      <c r="AI71" s="447"/>
      <c r="AJ71" s="447"/>
      <c r="AK71" s="447"/>
      <c r="AL71" s="447"/>
      <c r="AM71" s="447"/>
      <c r="AN71" s="447"/>
      <c r="AO71" s="447"/>
      <c r="AP71" s="447"/>
      <c r="AQ71" s="447"/>
      <c r="AR71" s="447"/>
      <c r="AS71" s="447"/>
      <c r="AT71" s="447"/>
      <c r="AU71" s="447"/>
      <c r="AV71" s="447"/>
      <c r="AW71" s="447"/>
      <c r="AX71" s="447"/>
      <c r="AY71" s="447"/>
      <c r="AZ71" s="447"/>
      <c r="BA71" s="447"/>
      <c r="BB71" s="447"/>
      <c r="BC71" s="447"/>
      <c r="BD71" s="447"/>
      <c r="BE71" s="447"/>
      <c r="BF71" s="447"/>
    </row>
    <row r="72" spans="3:58" ht="15.75" hidden="1" customHeight="1" outlineLevel="1">
      <c r="C72" s="159"/>
      <c r="D72" s="651" t="s">
        <v>1454</v>
      </c>
      <c r="E72" s="646"/>
      <c r="F72" s="646"/>
      <c r="G72" s="646"/>
      <c r="H72" s="646"/>
      <c r="I72" s="447"/>
      <c r="J72" s="672"/>
      <c r="K72" s="670"/>
      <c r="L72" s="658">
        <f t="shared" si="40"/>
        <v>-2.3353017869468515</v>
      </c>
      <c r="M72" s="673">
        <f>-1130000/$M$31*'Control list'!$H$19</f>
        <v>-1.4549601687388594</v>
      </c>
      <c r="N72" s="711">
        <f>(1245000)/-$N$31*'Control list'!$I$17</f>
        <v>-1.5839838105404076</v>
      </c>
      <c r="O72" s="673">
        <f>-1349000*'Control list'!J17/'Zn Pb segment'!O31</f>
        <v>-1.8288527119744933</v>
      </c>
      <c r="P72" s="101">
        <f>-1251000*'Control list'!K17/'Zn Pb segment'!P31</f>
        <v>-1.8148322237658459</v>
      </c>
      <c r="Q72" s="101">
        <f>-1277000*'Control list'!L17/'Zn Pb segment'!Q31</f>
        <v>-1.7779548712263957</v>
      </c>
      <c r="R72" s="101">
        <f>-1293000*'Control list'!M17/'Zn Pb segment'!R31</f>
        <v>-1.8102</v>
      </c>
      <c r="S72" s="101"/>
      <c r="T72" s="101"/>
      <c r="U72" s="101">
        <f>-1293000*'Control list'!P17/'Zn Pb segment'!U31</f>
        <v>-1.8102</v>
      </c>
      <c r="V72" s="673">
        <f>R72*(1+V$67)</f>
        <v>-1.8102</v>
      </c>
      <c r="W72" s="673">
        <f t="shared" ref="W72:X75" si="41">V72*(1+W$67)</f>
        <v>-1.8102</v>
      </c>
      <c r="X72" s="673">
        <f t="shared" si="41"/>
        <v>-1.8102</v>
      </c>
      <c r="Y72" s="673">
        <f t="shared" ref="Y72:Z75" si="42">X72*(1+Y$67)</f>
        <v>-1.8102</v>
      </c>
      <c r="Z72" s="673">
        <f t="shared" si="42"/>
        <v>-1.8102</v>
      </c>
      <c r="AA72" s="447"/>
      <c r="AB72" s="447"/>
      <c r="AC72" s="447"/>
      <c r="AD72" s="447"/>
      <c r="AE72" s="447"/>
      <c r="AF72" s="447"/>
      <c r="AG72" s="447"/>
      <c r="AH72" s="447"/>
      <c r="AI72" s="447"/>
      <c r="AJ72" s="447"/>
      <c r="AK72" s="447"/>
      <c r="AL72" s="447"/>
      <c r="AM72" s="447"/>
      <c r="AN72" s="447"/>
      <c r="AO72" s="447"/>
      <c r="AP72" s="447"/>
      <c r="AQ72" s="447"/>
      <c r="AR72" s="447"/>
      <c r="AS72" s="447"/>
      <c r="AT72" s="447"/>
      <c r="AU72" s="447"/>
      <c r="AV72" s="447"/>
      <c r="AW72" s="447"/>
      <c r="AX72" s="447"/>
      <c r="AY72" s="447"/>
      <c r="AZ72" s="447"/>
      <c r="BA72" s="447"/>
      <c r="BB72" s="447"/>
      <c r="BC72" s="447"/>
      <c r="BD72" s="447"/>
      <c r="BE72" s="447"/>
      <c r="BF72" s="447"/>
    </row>
    <row r="73" spans="3:58" ht="15.75" hidden="1" customHeight="1" outlineLevel="1">
      <c r="C73" s="159"/>
      <c r="D73" s="651" t="s">
        <v>1455</v>
      </c>
      <c r="E73" s="646"/>
      <c r="F73" s="646"/>
      <c r="G73" s="646"/>
      <c r="H73" s="646"/>
      <c r="I73" s="447"/>
      <c r="J73" s="672"/>
      <c r="K73" s="670"/>
      <c r="L73" s="658">
        <f t="shared" si="40"/>
        <v>-1.8655571746299562</v>
      </c>
      <c r="M73" s="673">
        <f>-978000/$M$31*'Control list'!$H$19</f>
        <v>-1.2592487124129244</v>
      </c>
      <c r="N73" s="711">
        <f>(791000+95000)/-$N$31*'Control list'!$I$17</f>
        <v>-1.1272366715974309</v>
      </c>
      <c r="O73" s="673">
        <f>-1762000*'Control list'!J17/'Zn Pb segment'!O31-O71</f>
        <v>-1.341872019654528</v>
      </c>
      <c r="P73" s="101">
        <f>-(1171000+111000)*'Control list'!K17/'Zn Pb segment'!P31</f>
        <v>-1.8598040854259106</v>
      </c>
      <c r="Q73" s="101">
        <f>-2391000*'Control list'!L17/'Zn Pb segment'!Q31-Q71</f>
        <v>-1.581641921466864</v>
      </c>
      <c r="R73" s="101">
        <f>-2530000*'Control list'!M17/'Zn Pb segment'!R31-R71</f>
        <v>-1.7214236737644626</v>
      </c>
      <c r="S73" s="101"/>
      <c r="T73" s="101"/>
      <c r="U73" s="101">
        <f>-2530000*'Control list'!P17/'Zn Pb segment'!U31-U71</f>
        <v>-1.7214236737644626</v>
      </c>
      <c r="V73" s="673">
        <f>R73*(1+V$67)</f>
        <v>-1.7214236737644626</v>
      </c>
      <c r="W73" s="673">
        <f t="shared" si="41"/>
        <v>-1.7214236737644626</v>
      </c>
      <c r="X73" s="673">
        <f t="shared" si="41"/>
        <v>-1.7214236737644626</v>
      </c>
      <c r="Y73" s="673">
        <f t="shared" si="42"/>
        <v>-1.7214236737644626</v>
      </c>
      <c r="Z73" s="673">
        <f t="shared" si="42"/>
        <v>-1.7214236737644626</v>
      </c>
      <c r="AA73" s="447"/>
      <c r="AB73" s="447"/>
      <c r="AC73" s="447"/>
      <c r="AD73" s="447"/>
      <c r="AE73" s="447"/>
      <c r="AF73" s="447"/>
      <c r="AG73" s="447"/>
      <c r="AH73" s="447"/>
      <c r="AI73" s="447"/>
      <c r="AJ73" s="447"/>
      <c r="AK73" s="447"/>
      <c r="AL73" s="447"/>
      <c r="AM73" s="447"/>
      <c r="AN73" s="447"/>
      <c r="AO73" s="447"/>
      <c r="AP73" s="447"/>
      <c r="AQ73" s="447"/>
      <c r="AR73" s="447"/>
      <c r="AS73" s="447"/>
      <c r="AT73" s="447"/>
      <c r="AU73" s="447"/>
      <c r="AV73" s="447"/>
      <c r="AW73" s="447"/>
      <c r="AX73" s="447"/>
      <c r="AY73" s="447"/>
      <c r="AZ73" s="447"/>
      <c r="BA73" s="447"/>
      <c r="BB73" s="447"/>
      <c r="BC73" s="447"/>
      <c r="BD73" s="447"/>
      <c r="BE73" s="447"/>
      <c r="BF73" s="447"/>
    </row>
    <row r="74" spans="3:58" ht="15.75" hidden="1" customHeight="1" outlineLevel="1">
      <c r="C74" s="159"/>
      <c r="D74" s="674" t="s">
        <v>1456</v>
      </c>
      <c r="E74" s="674"/>
      <c r="F74" s="674"/>
      <c r="G74" s="674"/>
      <c r="H74" s="674"/>
      <c r="I74" s="674"/>
      <c r="J74" s="674"/>
      <c r="K74" s="662">
        <v>-0.73</v>
      </c>
      <c r="L74" s="658">
        <f t="shared" si="40"/>
        <v>-3.1655034895314058</v>
      </c>
      <c r="M74" s="673">
        <f>-(961000+688000)/$M$31*'Control list'!$H$19</f>
        <v>-2.1232117860622823</v>
      </c>
      <c r="N74" s="711">
        <f>(1320000+760000)/-$N$31*'Control list'!$I$17</f>
        <v>-2.6463343983325687</v>
      </c>
      <c r="O74" s="673">
        <f>-(1746000+420000)*'Control list'!J17/'Zn Pb segment'!O31</f>
        <v>-2.9364677347196082</v>
      </c>
      <c r="P74" s="101">
        <f>-(1675000+1045000)*'Control list'!K17/'Zn Pb segment'!P31</f>
        <v>-3.9459181843669873</v>
      </c>
      <c r="Q74" s="101">
        <f>-(1840000+1600000)*'Control list'!L17/'Zn Pb segment'!Q31</f>
        <v>-4.7894790579630397</v>
      </c>
      <c r="R74" s="101">
        <f>-(2115000+1632000)*'Control list'!M17/'Zn Pb segment'!R31</f>
        <v>-5.2458</v>
      </c>
      <c r="S74" s="101"/>
      <c r="T74" s="101"/>
      <c r="U74" s="101">
        <f>-(2115000+1632000)*'Control list'!P17/'Zn Pb segment'!U31</f>
        <v>-5.2458</v>
      </c>
      <c r="V74" s="673">
        <f>R74*(1+V$67)</f>
        <v>-5.2458</v>
      </c>
      <c r="W74" s="673">
        <f t="shared" si="41"/>
        <v>-5.2458</v>
      </c>
      <c r="X74" s="673">
        <f t="shared" si="41"/>
        <v>-5.2458</v>
      </c>
      <c r="Y74" s="673">
        <f t="shared" si="42"/>
        <v>-5.2458</v>
      </c>
      <c r="Z74" s="673">
        <f t="shared" si="42"/>
        <v>-5.2458</v>
      </c>
      <c r="AA74" s="447"/>
      <c r="AB74" s="447"/>
      <c r="AC74" s="447"/>
      <c r="AD74" s="447"/>
      <c r="AE74" s="447"/>
      <c r="AF74" s="447"/>
      <c r="AG74" s="447"/>
      <c r="AH74" s="447"/>
      <c r="AI74" s="447"/>
      <c r="AJ74" s="447"/>
      <c r="AK74" s="447"/>
      <c r="AL74" s="447"/>
      <c r="AM74" s="447"/>
      <c r="AN74" s="447"/>
      <c r="AO74" s="447"/>
      <c r="AP74" s="447"/>
      <c r="AQ74" s="447"/>
      <c r="AR74" s="447"/>
      <c r="AS74" s="447"/>
      <c r="AT74" s="447"/>
      <c r="AU74" s="447"/>
      <c r="AV74" s="447"/>
      <c r="AW74" s="447"/>
      <c r="AX74" s="447"/>
      <c r="AY74" s="447"/>
      <c r="AZ74" s="447"/>
      <c r="BA74" s="447"/>
      <c r="BB74" s="447"/>
      <c r="BC74" s="447"/>
      <c r="BD74" s="447"/>
      <c r="BE74" s="447"/>
      <c r="BF74" s="447"/>
    </row>
    <row r="75" spans="3:58" ht="15.75" hidden="1" customHeight="1" outlineLevel="1">
      <c r="C75" s="159"/>
      <c r="D75" s="674" t="s">
        <v>1457</v>
      </c>
      <c r="E75" s="674"/>
      <c r="F75" s="674"/>
      <c r="G75" s="674"/>
      <c r="H75" s="674"/>
      <c r="I75" s="674"/>
      <c r="J75" s="674"/>
      <c r="K75" s="662"/>
      <c r="L75" s="658">
        <f t="shared" si="40"/>
        <v>-0.76501265434465837</v>
      </c>
      <c r="M75" s="673">
        <f>-(133000+302000)/$M$31*'Control list'!$H$19</f>
        <v>-0.56009528619593263</v>
      </c>
      <c r="N75" s="711">
        <f>(129000+279000)/-$N$31*'Control list'!$I$17</f>
        <v>-0.51908867044215778</v>
      </c>
      <c r="O75" s="673">
        <f>-(313000+112000+123000)*'Control list'!J17/'Zn Pb segment'!O31</f>
        <v>-0.74292904830394524</v>
      </c>
      <c r="P75" s="101">
        <f>-(152000+279000)*'Control list'!K17/'Zn Pb segment'!P31</f>
        <v>-0.62525394759638664</v>
      </c>
      <c r="Q75" s="101">
        <f>-(137000+262000)*'Control list'!L17/'Zn Pb segment'!Q31</f>
        <v>-0.55552387910675949</v>
      </c>
      <c r="R75" s="101">
        <f>-(145000+281000)*'Control list'!M17/'Zn Pb segment'!R31</f>
        <v>-0.59640000000000004</v>
      </c>
      <c r="S75" s="101"/>
      <c r="T75" s="101"/>
      <c r="U75" s="101">
        <f>-(145000+281000)*'Control list'!P17/'Zn Pb segment'!U31</f>
        <v>-0.59640000000000004</v>
      </c>
      <c r="V75" s="673">
        <f>R75*(1+V$67)</f>
        <v>-0.59640000000000004</v>
      </c>
      <c r="W75" s="673">
        <f t="shared" si="41"/>
        <v>-0.59640000000000004</v>
      </c>
      <c r="X75" s="673">
        <f t="shared" si="41"/>
        <v>-0.59640000000000004</v>
      </c>
      <c r="Y75" s="673">
        <f t="shared" si="42"/>
        <v>-0.59640000000000004</v>
      </c>
      <c r="Z75" s="673">
        <f t="shared" si="42"/>
        <v>-0.59640000000000004</v>
      </c>
      <c r="AA75" s="447"/>
      <c r="AB75" s="447"/>
      <c r="AC75" s="447"/>
      <c r="AD75" s="447"/>
      <c r="AE75" s="447"/>
      <c r="AF75" s="447"/>
      <c r="AG75" s="447"/>
      <c r="AH75" s="447"/>
      <c r="AI75" s="447"/>
      <c r="AJ75" s="447"/>
      <c r="AK75" s="447"/>
      <c r="AL75" s="447"/>
      <c r="AM75" s="447"/>
      <c r="AN75" s="447"/>
      <c r="AO75" s="447"/>
      <c r="AP75" s="447"/>
      <c r="AQ75" s="447"/>
      <c r="AR75" s="447"/>
      <c r="AS75" s="447"/>
      <c r="AT75" s="447"/>
      <c r="AU75" s="447"/>
      <c r="AV75" s="447"/>
      <c r="AW75" s="447"/>
      <c r="AX75" s="447"/>
      <c r="AY75" s="447"/>
      <c r="AZ75" s="447"/>
      <c r="BA75" s="447"/>
      <c r="BB75" s="447"/>
      <c r="BC75" s="447"/>
      <c r="BD75" s="447"/>
      <c r="BE75" s="447"/>
      <c r="BF75" s="447"/>
    </row>
    <row r="76" spans="3:58" ht="15.75" hidden="1" customHeight="1" outlineLevel="1">
      <c r="C76" s="159"/>
      <c r="D76" s="674"/>
      <c r="E76" s="674"/>
      <c r="F76" s="674"/>
      <c r="G76" s="674"/>
      <c r="H76" s="674"/>
      <c r="I76" s="674"/>
      <c r="J76" s="674"/>
      <c r="K76" s="662"/>
      <c r="L76" s="662"/>
      <c r="M76" s="662"/>
      <c r="N76" s="711"/>
      <c r="O76" s="662"/>
      <c r="P76" s="675"/>
      <c r="Q76" s="662"/>
      <c r="R76" s="662"/>
      <c r="S76" s="662"/>
      <c r="T76" s="662"/>
      <c r="U76" s="662"/>
      <c r="V76" s="662"/>
      <c r="W76" s="662"/>
      <c r="X76" s="662"/>
      <c r="Y76" s="662"/>
      <c r="Z76" s="662"/>
      <c r="AA76" s="447"/>
      <c r="AB76" s="447"/>
      <c r="AC76" s="447"/>
      <c r="AD76" s="447"/>
      <c r="AE76" s="447"/>
      <c r="AF76" s="447"/>
      <c r="AG76" s="447"/>
      <c r="AH76" s="447"/>
      <c r="AI76" s="447"/>
      <c r="AJ76" s="447"/>
      <c r="AK76" s="447"/>
      <c r="AL76" s="447"/>
      <c r="AM76" s="447"/>
      <c r="AN76" s="447"/>
      <c r="AO76" s="447"/>
      <c r="AP76" s="447"/>
      <c r="AQ76" s="447"/>
      <c r="AR76" s="447"/>
      <c r="AS76" s="447"/>
      <c r="AT76" s="447"/>
      <c r="AU76" s="447"/>
      <c r="AV76" s="447"/>
      <c r="AW76" s="447"/>
      <c r="AX76" s="447"/>
      <c r="AY76" s="447"/>
      <c r="AZ76" s="447"/>
      <c r="BA76" s="447"/>
      <c r="BB76" s="447"/>
      <c r="BC76" s="447"/>
      <c r="BD76" s="447"/>
      <c r="BE76" s="447"/>
      <c r="BF76" s="447"/>
    </row>
    <row r="77" spans="3:58" ht="15.75" hidden="1" customHeight="1" outlineLevel="1">
      <c r="C77" s="159"/>
      <c r="D77" s="676" t="s">
        <v>1458</v>
      </c>
      <c r="E77" s="646"/>
      <c r="F77" s="646"/>
      <c r="G77" s="646"/>
      <c r="H77" s="646"/>
      <c r="I77" s="447"/>
      <c r="J77" s="672"/>
      <c r="K77" s="662"/>
      <c r="L77" s="662"/>
      <c r="M77" s="662"/>
      <c r="N77" s="711"/>
      <c r="O77" s="662"/>
      <c r="P77" s="675"/>
      <c r="Q77" s="662"/>
      <c r="R77" s="662"/>
      <c r="S77" s="662"/>
      <c r="T77" s="662"/>
      <c r="U77" s="662"/>
      <c r="V77" s="662"/>
      <c r="W77" s="662"/>
      <c r="X77" s="662"/>
      <c r="Y77" s="662"/>
      <c r="Z77" s="662"/>
      <c r="AA77" s="447"/>
      <c r="AB77" s="447"/>
      <c r="AC77" s="447"/>
      <c r="AD77" s="447"/>
      <c r="AE77" s="447"/>
      <c r="AF77" s="447"/>
      <c r="AG77" s="447"/>
      <c r="AH77" s="447"/>
      <c r="AI77" s="447"/>
      <c r="AJ77" s="447"/>
      <c r="AK77" s="447"/>
      <c r="AL77" s="447"/>
      <c r="AM77" s="447"/>
      <c r="AN77" s="447"/>
      <c r="AO77" s="447"/>
      <c r="AP77" s="447"/>
      <c r="AQ77" s="447"/>
      <c r="AR77" s="447"/>
      <c r="AS77" s="447"/>
      <c r="AT77" s="447"/>
      <c r="AU77" s="447"/>
      <c r="AV77" s="447"/>
      <c r="AW77" s="447"/>
      <c r="AX77" s="447"/>
      <c r="AY77" s="447"/>
      <c r="AZ77" s="447"/>
      <c r="BA77" s="447"/>
      <c r="BB77" s="447"/>
      <c r="BC77" s="447"/>
      <c r="BD77" s="447"/>
      <c r="BE77" s="447"/>
      <c r="BF77" s="447"/>
    </row>
    <row r="78" spans="3:58" ht="15.75" hidden="1" customHeight="1" outlineLevel="1">
      <c r="C78" s="159"/>
      <c r="D78" s="651" t="s">
        <v>1459</v>
      </c>
      <c r="E78" s="646"/>
      <c r="F78" s="646"/>
      <c r="G78" s="646"/>
      <c r="H78" s="646"/>
      <c r="I78" s="447"/>
      <c r="J78" s="672"/>
      <c r="K78" s="670">
        <v>-20.420000000000002</v>
      </c>
      <c r="L78" s="658">
        <f>L125/$L$31</f>
        <v>-2.132065342434236</v>
      </c>
      <c r="M78" s="673">
        <f>-1347000/$M$31*'Control list'!$H$19</f>
        <v>-1.734364024151543</v>
      </c>
      <c r="N78" s="711">
        <f>1426000/-$N$31*'Control list'!$I$17</f>
        <v>-1.8142657942414631</v>
      </c>
      <c r="O78" s="673">
        <f>-1432000*'Control list'!J17/'Zn Pb segment'!O31</f>
        <v>-1.9413766371738135</v>
      </c>
      <c r="P78" s="101">
        <f>-1519000*'Control list'!K17/'Zn Pb segment'!P31</f>
        <v>-2.2036212213431816</v>
      </c>
      <c r="Q78" s="101">
        <f>-1714000*'Control list'!L17/'Zn Pb segment'!Q31</f>
        <v>-2.3863857864385607</v>
      </c>
      <c r="R78" s="101">
        <f>-1867000*'Control list'!M17/'Zn Pb segment'!R31</f>
        <v>-2.6137999999999999</v>
      </c>
      <c r="S78" s="101"/>
      <c r="T78" s="101"/>
      <c r="U78" s="101">
        <f>-1867000*'Control list'!P17/'Zn Pb segment'!U31</f>
        <v>-2.6137999999999999</v>
      </c>
      <c r="V78" s="673">
        <f>R78*(1+V68)</f>
        <v>-2.6137999999999999</v>
      </c>
      <c r="W78" s="673">
        <f>V78*(1+W68)</f>
        <v>-2.6137999999999999</v>
      </c>
      <c r="X78" s="673">
        <f>W78*(1+X68)</f>
        <v>-2.6137999999999999</v>
      </c>
      <c r="Y78" s="673">
        <f>X78*(1+Y68)</f>
        <v>-2.6137999999999999</v>
      </c>
      <c r="Z78" s="673">
        <f>Y78*(1+Z68)</f>
        <v>-2.6137999999999999</v>
      </c>
      <c r="AA78" s="447"/>
      <c r="AB78" s="447"/>
      <c r="AC78" s="447"/>
      <c r="AD78" s="447"/>
      <c r="AE78" s="447"/>
      <c r="AF78" s="447"/>
      <c r="AG78" s="447"/>
      <c r="AH78" s="447"/>
      <c r="AI78" s="447"/>
      <c r="AJ78" s="447"/>
      <c r="AK78" s="447"/>
      <c r="AL78" s="447"/>
      <c r="AM78" s="447"/>
      <c r="AN78" s="447"/>
      <c r="AO78" s="447"/>
      <c r="AP78" s="447"/>
      <c r="AQ78" s="447"/>
      <c r="AR78" s="447"/>
      <c r="AS78" s="447"/>
      <c r="AT78" s="447"/>
      <c r="AU78" s="447"/>
      <c r="AV78" s="447"/>
      <c r="AW78" s="447"/>
      <c r="AX78" s="447"/>
      <c r="AY78" s="447"/>
      <c r="AZ78" s="447"/>
      <c r="BA78" s="447"/>
      <c r="BB78" s="447"/>
      <c r="BC78" s="447"/>
      <c r="BD78" s="447"/>
      <c r="BE78" s="447"/>
      <c r="BF78" s="447"/>
    </row>
    <row r="79" spans="3:58" ht="15.75" hidden="1" customHeight="1" outlineLevel="1">
      <c r="C79" s="159"/>
      <c r="D79" s="651" t="s">
        <v>1460</v>
      </c>
      <c r="E79" s="646"/>
      <c r="F79" s="646"/>
      <c r="G79" s="646"/>
      <c r="H79" s="646"/>
      <c r="I79" s="447"/>
      <c r="J79" s="672"/>
      <c r="K79" s="670"/>
      <c r="L79" s="658">
        <f>L126/$L$31</f>
        <v>-3.9017562696525809</v>
      </c>
      <c r="M79" s="673">
        <f>-2145000/$M$31*'Control list'!$H$19</f>
        <v>-2.7618491698627019</v>
      </c>
      <c r="N79" s="711">
        <f>1809000/-$N$31*'Control list'!$I$17</f>
        <v>-2.3015475608575078</v>
      </c>
      <c r="O79" s="673">
        <f>-1856000*'Control list'!J17/'Zn Pb segment'!O31</f>
        <v>-2.5161976526498586</v>
      </c>
      <c r="P79" s="101">
        <f>-1496000*'Control list'!K17/'Zn Pb segment'!P31</f>
        <v>-2.1702550014018431</v>
      </c>
      <c r="Q79" s="101">
        <f>-1450000*'Control list'!L17/'Zn Pb segment'!Q31</f>
        <v>-2.0188211145483743</v>
      </c>
      <c r="R79" s="101">
        <f>-1562000*'Control list'!M17/'Zn Pb segment'!R31</f>
        <v>-2.1867999999999999</v>
      </c>
      <c r="S79" s="101"/>
      <c r="T79" s="101"/>
      <c r="U79" s="101">
        <f>-1562000*'Control list'!P17/'Zn Pb segment'!U31</f>
        <v>-2.1867999999999999</v>
      </c>
      <c r="V79" s="673">
        <f>R79*(1+V$67)</f>
        <v>-2.1867999999999999</v>
      </c>
      <c r="W79" s="673">
        <f t="shared" ref="W79:X82" si="43">V79*(1+W$67)</f>
        <v>-2.1867999999999999</v>
      </c>
      <c r="X79" s="673">
        <f t="shared" si="43"/>
        <v>-2.1867999999999999</v>
      </c>
      <c r="Y79" s="673">
        <f t="shared" ref="Y79:Z82" si="44">X79*(1+Y$67)</f>
        <v>-2.1867999999999999</v>
      </c>
      <c r="Z79" s="673">
        <f t="shared" si="44"/>
        <v>-2.1867999999999999</v>
      </c>
      <c r="AA79" s="447"/>
      <c r="AB79" s="447"/>
      <c r="AC79" s="447"/>
      <c r="AD79" s="447"/>
      <c r="AE79" s="447"/>
      <c r="AF79" s="447"/>
      <c r="AG79" s="447"/>
      <c r="AH79" s="447"/>
      <c r="AI79" s="447"/>
      <c r="AJ79" s="447"/>
      <c r="AK79" s="447"/>
      <c r="AL79" s="447"/>
      <c r="AM79" s="447"/>
      <c r="AN79" s="447"/>
      <c r="AO79" s="447"/>
      <c r="AP79" s="447"/>
      <c r="AQ79" s="447"/>
      <c r="AR79" s="447"/>
      <c r="AS79" s="447"/>
      <c r="AT79" s="447"/>
      <c r="AU79" s="447"/>
      <c r="AV79" s="447"/>
      <c r="AW79" s="447"/>
      <c r="AX79" s="447"/>
      <c r="AY79" s="447"/>
      <c r="AZ79" s="447"/>
      <c r="BA79" s="447"/>
      <c r="BB79" s="447"/>
      <c r="BC79" s="447"/>
      <c r="BD79" s="447"/>
      <c r="BE79" s="447"/>
      <c r="BF79" s="447"/>
    </row>
    <row r="80" spans="3:58" ht="15.75" hidden="1" customHeight="1" outlineLevel="1">
      <c r="C80" s="159"/>
      <c r="D80" s="651" t="s">
        <v>1461</v>
      </c>
      <c r="E80" s="646"/>
      <c r="F80" s="646"/>
      <c r="G80" s="646"/>
      <c r="H80" s="646"/>
      <c r="I80" s="447"/>
      <c r="J80" s="672"/>
      <c r="K80" s="670"/>
      <c r="L80" s="658">
        <f>L127/$L$31</f>
        <v>-0.11887414679039804</v>
      </c>
      <c r="M80" s="673">
        <f>-(363000+20000+31000)/$M$31*'Control list'!$H$19</f>
        <v>-0.53305620341406001</v>
      </c>
      <c r="N80" s="711">
        <f>(350000+18000+27000)/-$N$31*'Control list'!$I$17</f>
        <v>-0.50254908045257918</v>
      </c>
      <c r="O80" s="673">
        <f>-151000*'Control list'!J17/'Zn Pb segment'!O31</f>
        <v>-0.20471220126623307</v>
      </c>
      <c r="P80" s="101">
        <f>-(360000+22000)*'Control list'!K17/'Zn Pb segment'!P31</f>
        <v>-0.55416939206918714</v>
      </c>
      <c r="Q80" s="101">
        <f>-405000*'Control list'!L17/'Zn Pb segment'!Q31</f>
        <v>-0.56387762164971833</v>
      </c>
      <c r="R80" s="101">
        <f>-488000*'Control list'!M17/'Zn Pb segment'!R31</f>
        <v>-0.68320000000000003</v>
      </c>
      <c r="S80" s="101"/>
      <c r="T80" s="101"/>
      <c r="U80" s="101">
        <f>-488000*'Control list'!P17/'Zn Pb segment'!U31</f>
        <v>-0.68320000000000003</v>
      </c>
      <c r="V80" s="673">
        <f>R80*(1+V$67)</f>
        <v>-0.68320000000000003</v>
      </c>
      <c r="W80" s="673">
        <f t="shared" si="43"/>
        <v>-0.68320000000000003</v>
      </c>
      <c r="X80" s="673">
        <f t="shared" si="43"/>
        <v>-0.68320000000000003</v>
      </c>
      <c r="Y80" s="673">
        <f t="shared" si="44"/>
        <v>-0.68320000000000003</v>
      </c>
      <c r="Z80" s="673">
        <f t="shared" si="44"/>
        <v>-0.68320000000000003</v>
      </c>
      <c r="AA80" s="447"/>
      <c r="AB80" s="447"/>
      <c r="AC80" s="447"/>
      <c r="AD80" s="447"/>
      <c r="AE80" s="447"/>
      <c r="AF80" s="447"/>
      <c r="AG80" s="447"/>
      <c r="AH80" s="447"/>
      <c r="AI80" s="447"/>
      <c r="AJ80" s="447"/>
      <c r="AK80" s="447"/>
      <c r="AL80" s="447"/>
      <c r="AM80" s="447"/>
      <c r="AN80" s="447"/>
      <c r="AO80" s="447"/>
      <c r="AP80" s="447"/>
      <c r="AQ80" s="447"/>
      <c r="AR80" s="447"/>
      <c r="AS80" s="447"/>
      <c r="AT80" s="447"/>
      <c r="AU80" s="447"/>
      <c r="AV80" s="447"/>
      <c r="AW80" s="447"/>
      <c r="AX80" s="447"/>
      <c r="AY80" s="447"/>
      <c r="AZ80" s="447"/>
      <c r="BA80" s="447"/>
      <c r="BB80" s="447"/>
      <c r="BC80" s="447"/>
      <c r="BD80" s="447"/>
      <c r="BE80" s="447"/>
      <c r="BF80" s="447"/>
    </row>
    <row r="81" spans="3:58" ht="15.75" hidden="1" customHeight="1" outlineLevel="1">
      <c r="C81" s="159"/>
      <c r="D81" s="651" t="s">
        <v>1462</v>
      </c>
      <c r="E81" s="646"/>
      <c r="F81" s="646"/>
      <c r="G81" s="646"/>
      <c r="H81" s="646"/>
      <c r="I81" s="447"/>
      <c r="J81" s="672"/>
      <c r="K81" s="670"/>
      <c r="L81" s="658">
        <f>L128/$L$31</f>
        <v>-1.7351790781501648</v>
      </c>
      <c r="M81" s="673">
        <f>-(945000+201000)/$M$31*'Control list'!$H$19</f>
        <v>-1.475561374667905</v>
      </c>
      <c r="N81" s="711">
        <f>(118000+1193000)/-$N$31*'Control list'!$I$17</f>
        <v>-1.667954036641345</v>
      </c>
      <c r="O81" s="673">
        <f>-(2280000+102000)*'Control list'!J17/'Zn Pb segment'!O31</f>
        <v>-3.2293010822262729</v>
      </c>
      <c r="P81" s="101">
        <f>-(1180000+178000)*'Control list'!K17/'Zn Pb segment'!P31</f>
        <v>-1.970057681753812</v>
      </c>
      <c r="Q81" s="101">
        <f>-(1223000+178000)*'Control list'!L17/'Zn Pb segment'!Q31</f>
        <v>-1.9505988837808774</v>
      </c>
      <c r="R81" s="101">
        <f>-(1540000+234000)*'Control list'!M17/'Zn Pb segment'!R31</f>
        <v>-2.4836</v>
      </c>
      <c r="S81" s="101"/>
      <c r="T81" s="101"/>
      <c r="U81" s="101">
        <f>-(1540000+234000)*'Control list'!P17/'Zn Pb segment'!U31</f>
        <v>-2.4836</v>
      </c>
      <c r="V81" s="673">
        <f>R81*(1+V$67)</f>
        <v>-2.4836</v>
      </c>
      <c r="W81" s="673">
        <f t="shared" si="43"/>
        <v>-2.4836</v>
      </c>
      <c r="X81" s="673">
        <f t="shared" si="43"/>
        <v>-2.4836</v>
      </c>
      <c r="Y81" s="673">
        <f t="shared" si="44"/>
        <v>-2.4836</v>
      </c>
      <c r="Z81" s="673">
        <f t="shared" si="44"/>
        <v>-2.4836</v>
      </c>
      <c r="AA81" s="447"/>
      <c r="AB81" s="447"/>
      <c r="AC81" s="447"/>
      <c r="AD81" s="447"/>
      <c r="AE81" s="447"/>
      <c r="AF81" s="447"/>
      <c r="AG81" s="447"/>
      <c r="AH81" s="447"/>
      <c r="AI81" s="447"/>
      <c r="AJ81" s="447"/>
      <c r="AK81" s="447"/>
      <c r="AL81" s="447"/>
      <c r="AM81" s="447"/>
      <c r="AN81" s="447"/>
      <c r="AO81" s="447"/>
      <c r="AP81" s="447"/>
      <c r="AQ81" s="447"/>
      <c r="AR81" s="447"/>
      <c r="AS81" s="447"/>
      <c r="AT81" s="447"/>
      <c r="AU81" s="447"/>
      <c r="AV81" s="447"/>
      <c r="AW81" s="447"/>
      <c r="AX81" s="447"/>
      <c r="AY81" s="447"/>
      <c r="AZ81" s="447"/>
      <c r="BA81" s="447"/>
      <c r="BB81" s="447"/>
      <c r="BC81" s="447"/>
      <c r="BD81" s="447"/>
      <c r="BE81" s="447"/>
      <c r="BF81" s="447"/>
    </row>
    <row r="82" spans="3:58" ht="15.75" hidden="1" customHeight="1" outlineLevel="1">
      <c r="C82" s="159"/>
      <c r="D82" s="674" t="s">
        <v>1457</v>
      </c>
      <c r="E82" s="674"/>
      <c r="F82" s="674"/>
      <c r="G82" s="674"/>
      <c r="H82" s="674"/>
      <c r="I82" s="674"/>
      <c r="J82" s="674"/>
      <c r="K82" s="662"/>
      <c r="L82" s="658">
        <f>L129/$L$31</f>
        <v>-0.1303780964797914</v>
      </c>
      <c r="M82" s="673">
        <f>-(80000)/$M$31*'Control list'!$H$19</f>
        <v>-0.10300602964522898</v>
      </c>
      <c r="N82" s="711">
        <f>(31000+46000)/-$N$31*'Control list'!$I$17</f>
        <v>-9.7965263784426826E-2</v>
      </c>
      <c r="O82" s="673">
        <f>-(83000+33000+52000)*'Control list'!J17/'Zn Pb segment'!O31</f>
        <v>-0.22775927028296136</v>
      </c>
      <c r="P82" s="101">
        <f>-(39000+50000+35000)*'Control list'!K17/'Zn Pb segment'!P31</f>
        <v>-0.17988744664025969</v>
      </c>
      <c r="Q82" s="101">
        <f>-(36000+51000)*'Control list'!L17/'Zn Pb segment'!Q31</f>
        <v>-0.12112926687290244</v>
      </c>
      <c r="R82" s="101">
        <f>-(50000+67000)*'Control list'!M17/'Zn Pb segment'!R31</f>
        <v>-0.1638</v>
      </c>
      <c r="S82" s="101"/>
      <c r="T82" s="101"/>
      <c r="U82" s="101">
        <f>-(50000+67000)*'Control list'!P17/'Zn Pb segment'!U31</f>
        <v>-0.1638</v>
      </c>
      <c r="V82" s="673">
        <f>R82*(1+V$67)</f>
        <v>-0.1638</v>
      </c>
      <c r="W82" s="673">
        <f t="shared" si="43"/>
        <v>-0.1638</v>
      </c>
      <c r="X82" s="673">
        <f t="shared" si="43"/>
        <v>-0.1638</v>
      </c>
      <c r="Y82" s="673">
        <f t="shared" si="44"/>
        <v>-0.1638</v>
      </c>
      <c r="Z82" s="673">
        <f t="shared" si="44"/>
        <v>-0.1638</v>
      </c>
    </row>
    <row r="83" spans="3:58" ht="15.75" hidden="1" customHeight="1" outlineLevel="1">
      <c r="C83" s="159"/>
      <c r="D83" s="674"/>
      <c r="E83" s="674"/>
      <c r="F83" s="674"/>
      <c r="G83" s="674"/>
      <c r="H83" s="674"/>
      <c r="I83" s="674"/>
      <c r="J83" s="674"/>
      <c r="K83" s="662"/>
      <c r="L83" s="662"/>
      <c r="M83" s="673"/>
      <c r="N83" s="712"/>
      <c r="O83" s="662"/>
      <c r="P83" s="675"/>
      <c r="Q83" s="662"/>
      <c r="R83" s="662"/>
      <c r="S83" s="662"/>
      <c r="T83" s="662"/>
      <c r="U83" s="662"/>
      <c r="V83" s="662"/>
      <c r="W83" s="662"/>
      <c r="X83" s="662"/>
      <c r="Y83" s="662"/>
      <c r="Z83" s="662"/>
    </row>
    <row r="84" spans="3:58" ht="15.75" hidden="1" customHeight="1" outlineLevel="1">
      <c r="C84" s="159"/>
      <c r="D84" s="676" t="s">
        <v>1463</v>
      </c>
      <c r="E84" s="651"/>
      <c r="F84" s="646"/>
      <c r="G84" s="646"/>
      <c r="H84" s="646"/>
      <c r="I84" s="447"/>
      <c r="J84" s="447"/>
      <c r="K84" s="448">
        <v>0</v>
      </c>
      <c r="L84" s="448">
        <f>-586000*1.35</f>
        <v>-791100</v>
      </c>
      <c r="M84" s="448">
        <f>-2134000*'Control list'!H19</f>
        <v>-2347400</v>
      </c>
      <c r="N84" s="713">
        <f>-N31*N32*N13*0.6%-N31*N33*N21*0.6%</f>
        <v>-786426.81276837597</v>
      </c>
      <c r="O84" s="646">
        <f>-O31*O32*O13*0.6%-O31*O33*O21*0.6%</f>
        <v>-841950.03566395654</v>
      </c>
      <c r="P84" s="74">
        <f>-P31*P32*P13*2%-P31*P33*P21*2%</f>
        <v>-2494804.9837934603</v>
      </c>
      <c r="Q84" s="74">
        <f>-Q31*Q32*Q13*2%-Q31*Q33*Q21*2%</f>
        <v>-2584470.264552</v>
      </c>
      <c r="R84" s="74">
        <f>-R31*R32*R13*1.7%-R31*R33*R21*1.7%</f>
        <v>-2595307.125</v>
      </c>
      <c r="S84" s="74"/>
      <c r="T84" s="74"/>
      <c r="U84" s="74">
        <f>-U31*U32*U13*1.7%-U31*U33*U21*1.7%</f>
        <v>-1825822.9500000002</v>
      </c>
      <c r="V84" s="74">
        <f>-V31*V32*V13*2%-V31*V33*V21*2%</f>
        <v>-3053302.5</v>
      </c>
      <c r="W84" s="74">
        <f>-W31*W32*W13*2%-W31*W33*W21*2%</f>
        <v>-3053302.5</v>
      </c>
      <c r="X84" s="74">
        <f>-X31*X32*X13*2%-X31*X33*X21*2%</f>
        <v>-3053302.5</v>
      </c>
      <c r="Y84" s="74">
        <f>-Y31*Y32*Y13*2%-Y31*Y33*Y21*2%</f>
        <v>-3053302.5</v>
      </c>
      <c r="Z84" s="74">
        <f>-Z31*Z32*Z13*2%-Z31*Z33*Z21*2%</f>
        <v>-3053302.5</v>
      </c>
      <c r="AA84" s="447"/>
      <c r="AB84" s="447"/>
      <c r="AC84" s="447"/>
      <c r="AD84" s="447"/>
      <c r="AE84" s="447"/>
      <c r="AF84" s="447"/>
      <c r="AG84" s="447"/>
      <c r="AH84" s="447"/>
      <c r="AI84" s="447"/>
      <c r="AJ84" s="447"/>
      <c r="AK84" s="447"/>
      <c r="AL84" s="447"/>
      <c r="AM84" s="447"/>
      <c r="AN84" s="447"/>
      <c r="AO84" s="447"/>
      <c r="AP84" s="447"/>
      <c r="AQ84" s="447"/>
      <c r="AR84" s="447"/>
      <c r="AS84" s="447"/>
      <c r="AT84" s="447"/>
      <c r="AU84" s="447"/>
      <c r="AV84" s="447"/>
      <c r="AW84" s="447"/>
      <c r="AX84" s="447"/>
      <c r="AY84" s="447"/>
      <c r="AZ84" s="447"/>
      <c r="BA84" s="447"/>
      <c r="BB84" s="447"/>
      <c r="BC84" s="447"/>
      <c r="BD84" s="447"/>
      <c r="BE84" s="447"/>
      <c r="BF84" s="447"/>
    </row>
    <row r="85" spans="3:58" ht="15.75" hidden="1" customHeight="1" outlineLevel="1">
      <c r="C85" s="159"/>
      <c r="D85" s="676"/>
      <c r="E85" s="651"/>
      <c r="F85" s="646"/>
      <c r="G85" s="646"/>
      <c r="H85" s="646"/>
      <c r="I85" s="447"/>
      <c r="J85" s="447"/>
      <c r="K85" s="448"/>
      <c r="L85" s="448"/>
      <c r="M85" s="448"/>
      <c r="N85" s="452"/>
      <c r="O85" s="448"/>
      <c r="P85" s="538"/>
      <c r="Q85" s="448"/>
      <c r="R85" s="448"/>
      <c r="S85" s="448"/>
      <c r="T85" s="448"/>
      <c r="U85" s="448"/>
      <c r="V85" s="448"/>
      <c r="W85" s="448"/>
      <c r="X85" s="448"/>
      <c r="Y85" s="448"/>
      <c r="Z85" s="448"/>
      <c r="AA85" s="447"/>
      <c r="AB85" s="447"/>
      <c r="AC85" s="447"/>
      <c r="AD85" s="447"/>
      <c r="AE85" s="447"/>
      <c r="AF85" s="447"/>
      <c r="AG85" s="447"/>
      <c r="AH85" s="447"/>
      <c r="AI85" s="447"/>
      <c r="AJ85" s="447"/>
      <c r="AK85" s="447"/>
      <c r="AL85" s="447"/>
      <c r="AM85" s="447"/>
      <c r="AN85" s="447"/>
      <c r="AO85" s="447"/>
      <c r="AP85" s="447"/>
      <c r="AQ85" s="447"/>
      <c r="AR85" s="447"/>
      <c r="AS85" s="447"/>
      <c r="AT85" s="447"/>
      <c r="AU85" s="447"/>
      <c r="AV85" s="447"/>
      <c r="AW85" s="447"/>
      <c r="AX85" s="447"/>
      <c r="AY85" s="447"/>
      <c r="AZ85" s="447"/>
      <c r="BA85" s="447"/>
      <c r="BB85" s="447"/>
      <c r="BC85" s="447"/>
      <c r="BD85" s="447"/>
      <c r="BE85" s="447"/>
      <c r="BF85" s="447"/>
    </row>
    <row r="86" spans="3:58" ht="15.75" hidden="1" customHeight="1" outlineLevel="1">
      <c r="C86" s="159"/>
      <c r="D86" s="676" t="s">
        <v>1464</v>
      </c>
      <c r="E86" s="651"/>
      <c r="F86" s="646"/>
      <c r="G86" s="646"/>
      <c r="H86" s="646"/>
      <c r="I86" s="447"/>
      <c r="J86" s="447"/>
      <c r="K86" s="448"/>
      <c r="L86" s="448"/>
      <c r="M86" s="448"/>
      <c r="N86" s="452"/>
      <c r="O86" s="448"/>
      <c r="P86" s="538"/>
      <c r="Q86" s="448"/>
      <c r="R86" s="448"/>
      <c r="S86" s="448"/>
      <c r="T86" s="448"/>
      <c r="U86" s="448"/>
      <c r="V86" s="448"/>
      <c r="W86" s="448"/>
      <c r="X86" s="448"/>
      <c r="Y86" s="448"/>
      <c r="Z86" s="448"/>
      <c r="AA86" s="447"/>
      <c r="AB86" s="447"/>
      <c r="AC86" s="447"/>
      <c r="AD86" s="447"/>
      <c r="AE86" s="447"/>
      <c r="AF86" s="447"/>
      <c r="AG86" s="447"/>
      <c r="AH86" s="447"/>
      <c r="AI86" s="447"/>
      <c r="AJ86" s="447"/>
      <c r="AK86" s="447"/>
      <c r="AL86" s="447"/>
      <c r="AM86" s="447"/>
      <c r="AN86" s="447"/>
      <c r="AO86" s="447"/>
      <c r="AP86" s="447"/>
      <c r="AQ86" s="447"/>
      <c r="AR86" s="447"/>
      <c r="AS86" s="447"/>
      <c r="AT86" s="447"/>
      <c r="AU86" s="447"/>
      <c r="AV86" s="447"/>
      <c r="AW86" s="447"/>
      <c r="AX86" s="447"/>
      <c r="AY86" s="447"/>
      <c r="AZ86" s="447"/>
      <c r="BA86" s="447"/>
      <c r="BB86" s="447"/>
      <c r="BC86" s="447"/>
      <c r="BD86" s="447"/>
      <c r="BE86" s="447"/>
      <c r="BF86" s="447"/>
    </row>
    <row r="87" spans="3:58" ht="15.75" hidden="1" customHeight="1" outlineLevel="1">
      <c r="C87" s="159"/>
      <c r="D87" s="651" t="s">
        <v>1465</v>
      </c>
      <c r="E87" s="651"/>
      <c r="F87" s="646"/>
      <c r="G87" s="646"/>
      <c r="H87" s="646"/>
      <c r="I87" s="447"/>
      <c r="J87" s="447"/>
      <c r="K87" s="448"/>
      <c r="L87" s="662">
        <v>-36.5</v>
      </c>
      <c r="M87" s="662">
        <f>-34.43</f>
        <v>-34.43</v>
      </c>
      <c r="N87" s="711">
        <f>-34.5</f>
        <v>-34.5</v>
      </c>
      <c r="O87" s="448">
        <f>-26.9</f>
        <v>-26.9</v>
      </c>
      <c r="P87" s="538">
        <v>-25.869</v>
      </c>
      <c r="Q87" s="538">
        <v>-28.181426999999996</v>
      </c>
      <c r="R87" s="448">
        <v>-26.15692</v>
      </c>
      <c r="S87" s="448"/>
      <c r="T87" s="448"/>
      <c r="U87" s="448">
        <v>-26.15692</v>
      </c>
      <c r="V87" s="448">
        <f>R87*(1+V67)</f>
        <v>-26.15692</v>
      </c>
      <c r="W87" s="448">
        <f>V87*(1+W67)</f>
        <v>-26.15692</v>
      </c>
      <c r="X87" s="448">
        <f>W87*(1+X67)</f>
        <v>-26.15692</v>
      </c>
      <c r="Y87" s="448">
        <f>X87*(1+Y67)</f>
        <v>-26.15692</v>
      </c>
      <c r="Z87" s="448">
        <f>Y87*(1+Z67)</f>
        <v>-26.15692</v>
      </c>
      <c r="AA87" s="447"/>
      <c r="AB87" s="447"/>
      <c r="AC87" s="447"/>
      <c r="AD87" s="447"/>
      <c r="AE87" s="447"/>
      <c r="AF87" s="447"/>
      <c r="AG87" s="447"/>
      <c r="AH87" s="447"/>
      <c r="AI87" s="447"/>
      <c r="AJ87" s="447"/>
      <c r="AK87" s="447"/>
      <c r="AL87" s="447"/>
      <c r="AM87" s="447"/>
      <c r="AN87" s="447"/>
      <c r="AO87" s="447"/>
      <c r="AP87" s="447"/>
      <c r="AQ87" s="447"/>
      <c r="AR87" s="447"/>
      <c r="AS87" s="447"/>
      <c r="AT87" s="447"/>
      <c r="AU87" s="447"/>
      <c r="AV87" s="447"/>
      <c r="AW87" s="447"/>
      <c r="AX87" s="447"/>
      <c r="AY87" s="447"/>
      <c r="AZ87" s="447"/>
      <c r="BA87" s="447"/>
      <c r="BB87" s="447"/>
      <c r="BC87" s="447"/>
      <c r="BD87" s="447"/>
      <c r="BE87" s="447"/>
      <c r="BF87" s="447"/>
    </row>
    <row r="88" spans="3:58" ht="15.75" hidden="1" customHeight="1" outlineLevel="1">
      <c r="C88" s="159"/>
      <c r="D88" s="651" t="s">
        <v>1466</v>
      </c>
      <c r="E88" s="651"/>
      <c r="F88" s="646"/>
      <c r="G88" s="646"/>
      <c r="H88" s="646"/>
      <c r="I88" s="447"/>
      <c r="J88" s="447"/>
      <c r="K88" s="448"/>
      <c r="L88" s="658">
        <v>-0.45</v>
      </c>
      <c r="M88" s="658">
        <f>-0.32</f>
        <v>-0.32</v>
      </c>
      <c r="N88" s="711">
        <f>-1</f>
        <v>-1</v>
      </c>
      <c r="O88" s="658">
        <f>-1.45</f>
        <v>-1.45</v>
      </c>
      <c r="P88" s="677">
        <f>-1.65</f>
        <v>-1.65</v>
      </c>
      <c r="Q88" s="677">
        <v>-2.9197499999999996</v>
      </c>
      <c r="R88" s="677">
        <v>-2.71</v>
      </c>
      <c r="S88" s="677"/>
      <c r="T88" s="677"/>
      <c r="U88" s="677">
        <v>-2.71</v>
      </c>
      <c r="V88" s="658">
        <f>R88*(1+V67)</f>
        <v>-2.71</v>
      </c>
      <c r="W88" s="658">
        <f>V88*(1+W67)</f>
        <v>-2.71</v>
      </c>
      <c r="X88" s="658">
        <f>W88*(1+X67)</f>
        <v>-2.71</v>
      </c>
      <c r="Y88" s="658">
        <f>X88*(1+Y67)</f>
        <v>-2.71</v>
      </c>
      <c r="Z88" s="658">
        <f>Y88*(1+Z67)</f>
        <v>-2.71</v>
      </c>
      <c r="AA88" s="447"/>
      <c r="AB88" s="447"/>
      <c r="AC88" s="447"/>
      <c r="AD88" s="447"/>
      <c r="AE88" s="447"/>
      <c r="AF88" s="447"/>
      <c r="AG88" s="447"/>
      <c r="AH88" s="447"/>
      <c r="AI88" s="447"/>
      <c r="AJ88" s="447"/>
      <c r="AK88" s="447"/>
      <c r="AL88" s="447"/>
      <c r="AM88" s="447"/>
      <c r="AN88" s="447"/>
      <c r="AO88" s="447"/>
      <c r="AP88" s="447"/>
      <c r="AQ88" s="447"/>
      <c r="AR88" s="447"/>
      <c r="AS88" s="447"/>
      <c r="AT88" s="447"/>
      <c r="AU88" s="447"/>
      <c r="AV88" s="447"/>
      <c r="AW88" s="447"/>
      <c r="AX88" s="447"/>
      <c r="AY88" s="447"/>
      <c r="AZ88" s="447"/>
      <c r="BA88" s="447"/>
      <c r="BB88" s="447"/>
      <c r="BC88" s="447"/>
      <c r="BD88" s="447"/>
      <c r="BE88" s="447"/>
      <c r="BF88" s="447"/>
    </row>
    <row r="89" spans="3:58" ht="15.75" hidden="1" customHeight="1" outlineLevel="1">
      <c r="C89" s="159"/>
      <c r="D89" s="678"/>
      <c r="E89" s="678"/>
      <c r="F89" s="74"/>
      <c r="G89" s="74"/>
      <c r="H89" s="74"/>
      <c r="I89" s="76"/>
      <c r="J89" s="76"/>
      <c r="K89" s="665"/>
      <c r="L89" s="665"/>
      <c r="M89" s="665"/>
      <c r="N89" s="556"/>
      <c r="O89" s="665"/>
      <c r="P89" s="665"/>
      <c r="Q89" s="665"/>
      <c r="R89" s="665"/>
      <c r="S89" s="665"/>
      <c r="T89" s="665"/>
      <c r="U89" s="665"/>
      <c r="V89" s="665"/>
      <c r="W89" s="665"/>
      <c r="X89" s="665"/>
      <c r="Y89" s="665"/>
      <c r="Z89" s="665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</row>
    <row r="90" spans="3:58" ht="15.75" hidden="1" customHeight="1" outlineLevel="1">
      <c r="C90" s="159"/>
      <c r="D90" s="679" t="s">
        <v>1467</v>
      </c>
      <c r="E90" s="670"/>
      <c r="F90" s="670"/>
      <c r="G90" s="670"/>
      <c r="H90" s="670"/>
      <c r="I90" s="670"/>
      <c r="J90" s="670"/>
      <c r="K90" s="662"/>
      <c r="L90" s="662"/>
      <c r="M90" s="662"/>
      <c r="N90" s="712"/>
      <c r="O90" s="662"/>
      <c r="P90" s="675"/>
      <c r="Q90" s="662"/>
      <c r="R90" s="662"/>
      <c r="S90" s="662"/>
      <c r="T90" s="662"/>
      <c r="U90" s="662"/>
      <c r="V90" s="662"/>
      <c r="W90" s="662"/>
      <c r="X90" s="662"/>
      <c r="Y90" s="662"/>
      <c r="Z90" s="662"/>
      <c r="AA90" s="447"/>
      <c r="AB90" s="447"/>
      <c r="AC90" s="447"/>
      <c r="AD90" s="447"/>
      <c r="AE90" s="447"/>
      <c r="AF90" s="447"/>
      <c r="AG90" s="447"/>
      <c r="AH90" s="447"/>
      <c r="AI90" s="447"/>
      <c r="AJ90" s="447"/>
      <c r="AK90" s="447"/>
      <c r="AL90" s="447"/>
      <c r="AM90" s="447"/>
      <c r="AN90" s="447"/>
      <c r="AO90" s="447"/>
      <c r="AP90" s="447"/>
      <c r="AQ90" s="447"/>
      <c r="AR90" s="447"/>
      <c r="AS90" s="447"/>
      <c r="AT90" s="447"/>
      <c r="AU90" s="447"/>
      <c r="AV90" s="447"/>
      <c r="AW90" s="447"/>
      <c r="AX90" s="447"/>
      <c r="AY90" s="447"/>
      <c r="AZ90" s="447"/>
      <c r="BA90" s="447"/>
      <c r="BB90" s="447"/>
      <c r="BC90" s="447"/>
      <c r="BD90" s="447"/>
      <c r="BE90" s="447"/>
      <c r="BF90" s="447"/>
    </row>
    <row r="91" spans="3:58" ht="15.75" hidden="1" customHeight="1" outlineLevel="1">
      <c r="C91" s="159"/>
      <c r="D91" s="680" t="s">
        <v>1468</v>
      </c>
      <c r="E91" s="670"/>
      <c r="F91" s="670"/>
      <c r="G91" s="670"/>
      <c r="H91" s="670"/>
      <c r="I91" s="670"/>
      <c r="J91" s="670"/>
      <c r="K91" s="662"/>
      <c r="L91" s="448">
        <f>-(24000+26000+1000+29000+19000)*1.35</f>
        <v>-133650</v>
      </c>
      <c r="M91" s="448">
        <f>-(47000+114000)*'Control list'!H19</f>
        <v>-177100</v>
      </c>
      <c r="N91" s="452">
        <f>-(22000+34000+61000+1000)*'Control list'!$I$17</f>
        <v>-129800.00000000001</v>
      </c>
      <c r="O91" s="646">
        <f>-(25000+121000)*'Control list'!J17</f>
        <v>-160600</v>
      </c>
      <c r="P91" s="74">
        <f>-(16000+18000+40000+2000+24000)*'Control list'!K17</f>
        <v>-110000.00000000001</v>
      </c>
      <c r="Q91" s="74">
        <f>-(96000+21000)*'Control list'!L17</f>
        <v>-122850</v>
      </c>
      <c r="R91" s="74">
        <f>-(43000+81000+19000)*'Control list'!M17</f>
        <v>-150150</v>
      </c>
      <c r="S91" s="74"/>
      <c r="T91" s="74"/>
      <c r="U91" s="74">
        <f>-(43000+81000+19000)*'Control list'!P17</f>
        <v>-150150</v>
      </c>
      <c r="V91" s="646">
        <f>R91*(1+V$67)</f>
        <v>-150150</v>
      </c>
      <c r="W91" s="646">
        <f t="shared" ref="W91:X94" si="45">V91*(1+W$67)</f>
        <v>-150150</v>
      </c>
      <c r="X91" s="646">
        <f t="shared" si="45"/>
        <v>-150150</v>
      </c>
      <c r="Y91" s="646">
        <f t="shared" ref="Y91:Z94" si="46">X91*(1+Y$67)</f>
        <v>-150150</v>
      </c>
      <c r="Z91" s="646">
        <f t="shared" si="46"/>
        <v>-150150</v>
      </c>
      <c r="AA91" s="447"/>
      <c r="AB91" s="447"/>
      <c r="AC91" s="447"/>
      <c r="AD91" s="447"/>
      <c r="AE91" s="447"/>
      <c r="AF91" s="447"/>
      <c r="AG91" s="447"/>
      <c r="AH91" s="447"/>
      <c r="AI91" s="447"/>
      <c r="AJ91" s="447"/>
      <c r="AK91" s="447"/>
      <c r="AL91" s="447"/>
      <c r="AM91" s="447"/>
      <c r="AN91" s="447"/>
      <c r="AO91" s="447"/>
      <c r="AP91" s="447"/>
      <c r="AQ91" s="447"/>
      <c r="AR91" s="447"/>
      <c r="AS91" s="447"/>
      <c r="AT91" s="447"/>
      <c r="AU91" s="447"/>
      <c r="AV91" s="447"/>
      <c r="AW91" s="447"/>
      <c r="AX91" s="447"/>
      <c r="AY91" s="447"/>
      <c r="AZ91" s="447"/>
      <c r="BA91" s="447"/>
      <c r="BB91" s="447"/>
      <c r="BC91" s="447"/>
      <c r="BD91" s="447"/>
      <c r="BE91" s="447"/>
      <c r="BF91" s="447"/>
    </row>
    <row r="92" spans="3:58" ht="15.75" hidden="1" customHeight="1" outlineLevel="1">
      <c r="C92" s="159"/>
      <c r="D92" s="680" t="s">
        <v>1469</v>
      </c>
      <c r="E92" s="670"/>
      <c r="F92" s="670"/>
      <c r="G92" s="670"/>
      <c r="H92" s="670"/>
      <c r="I92" s="670"/>
      <c r="J92" s="670"/>
      <c r="K92" s="646">
        <v>-103541.728355806</v>
      </c>
      <c r="L92" s="646">
        <f>-(13000+18000+167000)*1.35</f>
        <v>-267300</v>
      </c>
      <c r="M92" s="646">
        <f>-(11000+23000+158000+51000)*'Control list'!H19</f>
        <v>-267300</v>
      </c>
      <c r="N92" s="452">
        <f>-(8000+19000+78000)*'Control list'!$I$17</f>
        <v>-115500.00000000001</v>
      </c>
      <c r="O92" s="646">
        <f>-(21000+35000+133000)*'Control list'!J17</f>
        <v>-207900.00000000003</v>
      </c>
      <c r="P92" s="74">
        <f>-(19000+32000+133000)*'Control list'!K17</f>
        <v>-202400.00000000003</v>
      </c>
      <c r="Q92" s="74">
        <f>-(15000+26000+90000)*'Control list'!L17</f>
        <v>-137550</v>
      </c>
      <c r="R92" s="74">
        <f>-(18000+26000+84000)*'Control list'!M17</f>
        <v>-134400</v>
      </c>
      <c r="S92" s="74"/>
      <c r="T92" s="74"/>
      <c r="U92" s="74">
        <f>-(18000+26000+84000)*'Control list'!P17</f>
        <v>-134400</v>
      </c>
      <c r="V92" s="646">
        <f>R92*(1+V$67)</f>
        <v>-134400</v>
      </c>
      <c r="W92" s="646">
        <f t="shared" si="45"/>
        <v>-134400</v>
      </c>
      <c r="X92" s="646">
        <f t="shared" si="45"/>
        <v>-134400</v>
      </c>
      <c r="Y92" s="646">
        <f t="shared" si="46"/>
        <v>-134400</v>
      </c>
      <c r="Z92" s="646">
        <f t="shared" si="46"/>
        <v>-134400</v>
      </c>
      <c r="AA92" s="447"/>
      <c r="AB92" s="447"/>
      <c r="AC92" s="447"/>
      <c r="AD92" s="447"/>
      <c r="AE92" s="447"/>
      <c r="AF92" s="447"/>
      <c r="AG92" s="447"/>
      <c r="AH92" s="447"/>
      <c r="AI92" s="447"/>
      <c r="AJ92" s="447"/>
      <c r="AK92" s="447"/>
      <c r="AL92" s="447"/>
      <c r="AM92" s="447"/>
      <c r="AN92" s="447"/>
      <c r="AO92" s="447"/>
      <c r="AP92" s="447"/>
      <c r="AQ92" s="447"/>
      <c r="AR92" s="447"/>
      <c r="AS92" s="447"/>
      <c r="AT92" s="447"/>
      <c r="AU92" s="447"/>
      <c r="AV92" s="447"/>
      <c r="AW92" s="447"/>
      <c r="AX92" s="447"/>
      <c r="AY92" s="447"/>
      <c r="AZ92" s="447"/>
      <c r="BA92" s="447"/>
      <c r="BB92" s="447"/>
      <c r="BC92" s="447"/>
      <c r="BD92" s="447"/>
      <c r="BE92" s="447"/>
      <c r="BF92" s="447"/>
    </row>
    <row r="93" spans="3:58" ht="15.75" hidden="1" customHeight="1" outlineLevel="1">
      <c r="C93" s="159"/>
      <c r="D93" s="651" t="s">
        <v>1470</v>
      </c>
      <c r="E93" s="646"/>
      <c r="F93" s="646"/>
      <c r="G93" s="646"/>
      <c r="H93" s="646"/>
      <c r="I93" s="447"/>
      <c r="J93" s="447"/>
      <c r="K93" s="448">
        <f>-773473</f>
        <v>-773473</v>
      </c>
      <c r="L93" s="448">
        <f>-(128000+43000+203000)*1.35</f>
        <v>-504900.00000000006</v>
      </c>
      <c r="M93" s="448">
        <f>-586000*'Control list'!H19</f>
        <v>-644600</v>
      </c>
      <c r="N93" s="452">
        <f>-(127000+24000+56000+170000+194000)*'Control list'!$I$17</f>
        <v>-628100</v>
      </c>
      <c r="O93" s="646">
        <f>-(550000+42000+24000+120000)*'Control list'!J17</f>
        <v>-809600.00000000012</v>
      </c>
      <c r="P93" s="74">
        <f>-(408000+13000+25000+133000+22000)*'Control list'!K17</f>
        <v>-661100</v>
      </c>
      <c r="Q93" s="74">
        <f>-(529000)*'Control list'!L17</f>
        <v>-555450</v>
      </c>
      <c r="R93" s="74">
        <f>-(439000+96000)*'Control list'!M17</f>
        <v>-561750</v>
      </c>
      <c r="S93" s="74"/>
      <c r="T93" s="74"/>
      <c r="U93" s="74">
        <f>-(439000+96000)*'Control list'!P17</f>
        <v>-561750</v>
      </c>
      <c r="V93" s="646">
        <f>R93*(1+V$67)</f>
        <v>-561750</v>
      </c>
      <c r="W93" s="646">
        <f t="shared" si="45"/>
        <v>-561750</v>
      </c>
      <c r="X93" s="646">
        <f t="shared" si="45"/>
        <v>-561750</v>
      </c>
      <c r="Y93" s="646">
        <f t="shared" si="46"/>
        <v>-561750</v>
      </c>
      <c r="Z93" s="646">
        <f t="shared" si="46"/>
        <v>-561750</v>
      </c>
      <c r="AA93" s="447"/>
      <c r="AB93" s="447"/>
      <c r="AC93" s="447"/>
      <c r="AD93" s="447"/>
      <c r="AE93" s="447"/>
      <c r="AF93" s="447"/>
      <c r="AG93" s="447"/>
      <c r="AH93" s="447"/>
      <c r="AI93" s="447"/>
      <c r="AJ93" s="447"/>
      <c r="AK93" s="447"/>
      <c r="AL93" s="447"/>
      <c r="AM93" s="447"/>
      <c r="AN93" s="447"/>
      <c r="AO93" s="447"/>
      <c r="AP93" s="447"/>
      <c r="AQ93" s="447"/>
      <c r="AR93" s="447"/>
      <c r="AS93" s="447"/>
      <c r="AT93" s="447"/>
      <c r="AU93" s="447"/>
      <c r="AV93" s="447"/>
      <c r="AW93" s="447"/>
      <c r="AX93" s="447"/>
      <c r="AY93" s="447"/>
      <c r="AZ93" s="447"/>
      <c r="BA93" s="447"/>
      <c r="BB93" s="447"/>
      <c r="BC93" s="447"/>
      <c r="BD93" s="447"/>
      <c r="BE93" s="447"/>
      <c r="BF93" s="447"/>
    </row>
    <row r="94" spans="3:58" ht="15.75" hidden="1" customHeight="1" outlineLevel="1">
      <c r="C94" s="159"/>
      <c r="D94" s="651" t="s">
        <v>1471</v>
      </c>
      <c r="E94" s="646"/>
      <c r="F94" s="646"/>
      <c r="G94" s="646"/>
      <c r="H94" s="646"/>
      <c r="I94" s="447"/>
      <c r="J94" s="447"/>
      <c r="K94" s="448">
        <f>-287285.217460428-92727.9830436592</f>
        <v>-380013.2005040872</v>
      </c>
      <c r="L94" s="448">
        <f>-(31000+128000+105000)*1.35</f>
        <v>-356400</v>
      </c>
      <c r="M94" s="448">
        <f>-489000*'Control list'!H19</f>
        <v>-537900</v>
      </c>
      <c r="N94" s="452">
        <f>-(423000+78000)*'Control list'!$I$17</f>
        <v>-551100</v>
      </c>
      <c r="O94" s="646">
        <f>-(264000+287000+120000+51000)*'Control list'!J17</f>
        <v>-794200.00000000012</v>
      </c>
      <c r="P94" s="74">
        <f>-(87000+24000+407000+585000)*'Control list'!K17</f>
        <v>-1213300</v>
      </c>
      <c r="Q94" s="74">
        <f>-(868000)*'Control list'!L17</f>
        <v>-911400</v>
      </c>
      <c r="R94" s="74">
        <f>-(331000+23000+189000)*'Control list'!M17</f>
        <v>-570150</v>
      </c>
      <c r="S94" s="74"/>
      <c r="T94" s="74"/>
      <c r="U94" s="74">
        <f>-(331000+23000+189000)*'Control list'!P17</f>
        <v>-570150</v>
      </c>
      <c r="V94" s="646">
        <f>R94*(1+V$67)</f>
        <v>-570150</v>
      </c>
      <c r="W94" s="646">
        <f t="shared" si="45"/>
        <v>-570150</v>
      </c>
      <c r="X94" s="646">
        <f t="shared" si="45"/>
        <v>-570150</v>
      </c>
      <c r="Y94" s="646">
        <f t="shared" si="46"/>
        <v>-570150</v>
      </c>
      <c r="Z94" s="646">
        <f t="shared" si="46"/>
        <v>-570150</v>
      </c>
      <c r="AA94" s="447"/>
      <c r="AB94" s="447"/>
      <c r="AC94" s="447"/>
      <c r="AD94" s="447"/>
      <c r="AE94" s="447"/>
      <c r="AF94" s="447"/>
      <c r="AG94" s="447"/>
      <c r="AH94" s="447"/>
      <c r="AI94" s="447"/>
      <c r="AJ94" s="447"/>
      <c r="AK94" s="447"/>
      <c r="AL94" s="447"/>
      <c r="AM94" s="447"/>
      <c r="AN94" s="447"/>
      <c r="AO94" s="447"/>
      <c r="AP94" s="447"/>
      <c r="AQ94" s="447"/>
      <c r="AR94" s="447"/>
      <c r="AS94" s="447"/>
      <c r="AT94" s="447"/>
      <c r="AU94" s="447"/>
      <c r="AV94" s="447"/>
      <c r="AW94" s="447"/>
      <c r="AX94" s="447"/>
      <c r="AY94" s="447"/>
      <c r="AZ94" s="447"/>
      <c r="BA94" s="447"/>
      <c r="BB94" s="447"/>
      <c r="BC94" s="447"/>
      <c r="BD94" s="447"/>
      <c r="BE94" s="447"/>
      <c r="BF94" s="447"/>
    </row>
    <row r="95" spans="3:58" ht="15.75" hidden="1" customHeight="1" outlineLevel="1">
      <c r="C95" s="159"/>
      <c r="D95" s="651" t="s">
        <v>1472</v>
      </c>
      <c r="E95" s="646"/>
      <c r="F95" s="646"/>
      <c r="G95" s="646"/>
      <c r="H95" s="646"/>
      <c r="I95" s="447"/>
      <c r="J95" s="447"/>
      <c r="K95" s="448"/>
      <c r="L95" s="448"/>
      <c r="M95" s="448"/>
      <c r="N95" s="452">
        <f>-6086652</f>
        <v>-6086652</v>
      </c>
      <c r="O95" s="646"/>
      <c r="P95" s="74"/>
      <c r="Q95" s="74"/>
      <c r="R95" s="74"/>
      <c r="S95" s="74"/>
      <c r="T95" s="74"/>
      <c r="U95" s="74"/>
      <c r="V95" s="646"/>
      <c r="W95" s="646"/>
      <c r="X95" s="646"/>
      <c r="Y95" s="646"/>
      <c r="Z95" s="646"/>
      <c r="AA95" s="447"/>
      <c r="AB95" s="447"/>
      <c r="AC95" s="447"/>
      <c r="AD95" s="447"/>
      <c r="AE95" s="447"/>
      <c r="AF95" s="447"/>
      <c r="AG95" s="447"/>
      <c r="AH95" s="447"/>
      <c r="AI95" s="447"/>
      <c r="AJ95" s="447"/>
      <c r="AK95" s="447"/>
      <c r="AL95" s="447"/>
      <c r="AM95" s="447"/>
      <c r="AN95" s="447"/>
      <c r="AO95" s="447"/>
      <c r="AP95" s="447"/>
      <c r="AQ95" s="447"/>
      <c r="AR95" s="447"/>
      <c r="AS95" s="447"/>
      <c r="AT95" s="447"/>
      <c r="AU95" s="447"/>
      <c r="AV95" s="447"/>
      <c r="AW95" s="447"/>
      <c r="AX95" s="447"/>
      <c r="AY95" s="447"/>
      <c r="AZ95" s="447"/>
      <c r="BA95" s="447"/>
      <c r="BB95" s="447"/>
      <c r="BC95" s="447"/>
      <c r="BD95" s="447"/>
      <c r="BE95" s="447"/>
      <c r="BF95" s="447"/>
    </row>
    <row r="96" spans="3:58" ht="15.75" hidden="1" customHeight="1" outlineLevel="1">
      <c r="C96" s="159"/>
      <c r="D96" s="674" t="s">
        <v>1473</v>
      </c>
      <c r="E96" s="447"/>
      <c r="F96" s="447"/>
      <c r="G96" s="447"/>
      <c r="H96" s="447"/>
      <c r="I96" s="447"/>
      <c r="J96" s="646">
        <f>SUM(J98:J102)</f>
        <v>-182277.91179527499</v>
      </c>
      <c r="K96" s="448">
        <f t="shared" ref="K96:V96" si="47">K98+K100+K102</f>
        <v>-2335719.7896321509</v>
      </c>
      <c r="L96" s="448">
        <f t="shared" si="47"/>
        <v>-5718600</v>
      </c>
      <c r="M96" s="448">
        <f t="shared" si="47"/>
        <v>-5735400</v>
      </c>
      <c r="N96" s="713">
        <f t="shared" si="47"/>
        <v>-5161200.0000000009</v>
      </c>
      <c r="O96" s="448">
        <f t="shared" si="47"/>
        <v>-5674900</v>
      </c>
      <c r="P96" s="538">
        <f>P98+P100+P102</f>
        <v>-5352600.0000000009</v>
      </c>
      <c r="Q96" s="538">
        <f>Q98+Q100+Q102</f>
        <v>-5135550</v>
      </c>
      <c r="R96" s="538">
        <f>R98+R100+R102</f>
        <v>-5465250</v>
      </c>
      <c r="S96" s="538"/>
      <c r="T96" s="538"/>
      <c r="U96" s="538">
        <f>U98+U100+U102</f>
        <v>-5465250</v>
      </c>
      <c r="V96" s="448">
        <f t="shared" si="47"/>
        <v>-5816116.5916990386</v>
      </c>
      <c r="W96" s="448">
        <f>W98+W100+W102</f>
        <v>-6189508.6607633401</v>
      </c>
      <c r="X96" s="448">
        <f>X98+X100+X102</f>
        <v>-6586872.332707664</v>
      </c>
      <c r="Y96" s="448">
        <f>Y98+Y100+Y102</f>
        <v>-7009746.5736543434</v>
      </c>
      <c r="Z96" s="448">
        <f>Z98+Z100+Z102</f>
        <v>-7459769.1506585274</v>
      </c>
      <c r="AA96" s="447"/>
      <c r="AB96" s="447"/>
      <c r="AC96" s="447"/>
      <c r="AD96" s="447"/>
      <c r="AE96" s="447"/>
      <c r="AF96" s="447"/>
      <c r="AG96" s="447"/>
      <c r="AH96" s="447"/>
      <c r="AI96" s="447"/>
      <c r="AJ96" s="447"/>
      <c r="AK96" s="447"/>
      <c r="AL96" s="447"/>
      <c r="AM96" s="447"/>
      <c r="AN96" s="447"/>
      <c r="AO96" s="447"/>
      <c r="AP96" s="447"/>
      <c r="AQ96" s="447"/>
      <c r="AR96" s="447"/>
      <c r="AS96" s="447"/>
      <c r="AT96" s="447"/>
      <c r="AU96" s="447"/>
      <c r="AV96" s="447"/>
      <c r="AW96" s="447"/>
      <c r="AX96" s="447"/>
      <c r="AY96" s="447"/>
      <c r="AZ96" s="447"/>
      <c r="BA96" s="447"/>
      <c r="BB96" s="447"/>
      <c r="BC96" s="447"/>
      <c r="BD96" s="447"/>
      <c r="BE96" s="447"/>
      <c r="BF96" s="447"/>
    </row>
    <row r="97" spans="1:58" ht="15.75" hidden="1" customHeight="1" outlineLevel="1">
      <c r="C97" s="159"/>
      <c r="D97" s="164" t="s">
        <v>1474</v>
      </c>
      <c r="E97" s="447"/>
      <c r="F97" s="447"/>
      <c r="G97" s="447"/>
      <c r="H97" s="447"/>
      <c r="I97" s="447"/>
      <c r="J97" s="646"/>
      <c r="K97" s="448"/>
      <c r="L97" s="448"/>
      <c r="M97" s="448"/>
      <c r="N97" s="709">
        <f>N96/M96-1</f>
        <v>-0.10011507479861892</v>
      </c>
      <c r="O97" s="669">
        <f>O96/N96-1</f>
        <v>9.9531116794543628E-2</v>
      </c>
      <c r="P97" s="147">
        <f>P96/O96-1</f>
        <v>-5.6793952316340213E-2</v>
      </c>
      <c r="Q97" s="147">
        <f>Q96/P96-1</f>
        <v>-4.055038672794542E-2</v>
      </c>
      <c r="R97" s="147">
        <f>R96/Q96-1</f>
        <v>6.4199550194234289E-2</v>
      </c>
      <c r="S97" s="147"/>
      <c r="T97" s="147"/>
      <c r="U97" s="147">
        <f>U96/Q96-1</f>
        <v>6.4199550194234289E-2</v>
      </c>
      <c r="V97" s="669">
        <f>R97</f>
        <v>6.4199550194234289E-2</v>
      </c>
      <c r="W97" s="669">
        <f>V97</f>
        <v>6.4199550194234289E-2</v>
      </c>
      <c r="X97" s="669">
        <f>W97</f>
        <v>6.4199550194234289E-2</v>
      </c>
      <c r="Y97" s="669">
        <f>X97</f>
        <v>6.4199550194234289E-2</v>
      </c>
      <c r="Z97" s="669">
        <f>Y97</f>
        <v>6.4199550194234289E-2</v>
      </c>
      <c r="AA97" s="447"/>
      <c r="AB97" s="447"/>
      <c r="AC97" s="447"/>
      <c r="AD97" s="447"/>
      <c r="AE97" s="447"/>
      <c r="AF97" s="447"/>
      <c r="AG97" s="447"/>
      <c r="AH97" s="447"/>
      <c r="AI97" s="447"/>
      <c r="AJ97" s="447"/>
      <c r="AK97" s="447"/>
      <c r="AL97" s="447"/>
      <c r="AM97" s="447"/>
      <c r="AN97" s="447"/>
      <c r="AO97" s="447"/>
      <c r="AP97" s="447"/>
      <c r="AQ97" s="447"/>
      <c r="AR97" s="447"/>
      <c r="AS97" s="447"/>
      <c r="AT97" s="447"/>
      <c r="AU97" s="447"/>
      <c r="AV97" s="447"/>
      <c r="AW97" s="447"/>
      <c r="AX97" s="447"/>
      <c r="AY97" s="447"/>
      <c r="AZ97" s="447"/>
      <c r="BA97" s="447"/>
      <c r="BB97" s="447"/>
      <c r="BC97" s="447"/>
      <c r="BD97" s="447"/>
      <c r="BE97" s="447"/>
      <c r="BF97" s="447"/>
    </row>
    <row r="98" spans="1:58" ht="15.75" hidden="1" customHeight="1" outlineLevel="1">
      <c r="C98" s="159"/>
      <c r="D98" s="446" t="s">
        <v>1475</v>
      </c>
      <c r="E98" s="646"/>
      <c r="F98" s="646"/>
      <c r="G98" s="646"/>
      <c r="H98" s="646"/>
      <c r="I98" s="447"/>
      <c r="J98" s="448">
        <v>-182277.91179527499</v>
      </c>
      <c r="K98" s="448">
        <f>-2196921.61*73.6%</f>
        <v>-1616934.3049599999</v>
      </c>
      <c r="L98" s="448">
        <f>-3120000*1.35</f>
        <v>-4212000</v>
      </c>
      <c r="M98" s="448">
        <f>-3932000*'Control list'!H19</f>
        <v>-4325200</v>
      </c>
      <c r="N98" s="452">
        <f>-(3464000)*'Control list'!$I$17</f>
        <v>-3810400.0000000005</v>
      </c>
      <c r="O98" s="448">
        <f>-3858000*'Control list'!J17</f>
        <v>-4243800</v>
      </c>
      <c r="P98" s="538">
        <f>-3453000*'Control list'!K17</f>
        <v>-3798300.0000000005</v>
      </c>
      <c r="Q98" s="538">
        <f>-3385000*'Control list'!L17</f>
        <v>-3554250</v>
      </c>
      <c r="R98" s="538">
        <f>-3632000*'Control list'!M17</f>
        <v>-3813600</v>
      </c>
      <c r="S98" s="538"/>
      <c r="T98" s="538"/>
      <c r="U98" s="538">
        <f>-3632000*'Control list'!P17</f>
        <v>-3813600</v>
      </c>
      <c r="V98" s="448">
        <f>R98*(1+V$97)</f>
        <v>-4058431.4046207317</v>
      </c>
      <c r="W98" s="448">
        <f>V98*(1+W$97)</f>
        <v>-4318980.8752915375</v>
      </c>
      <c r="X98" s="448">
        <f>W98*(1+X$97)</f>
        <v>-4596257.5047827549</v>
      </c>
      <c r="Y98" s="448">
        <f>X98*(1+Y$97)</f>
        <v>-4891335.1691666814</v>
      </c>
      <c r="Z98" s="448">
        <f>Y98*(1+Z$97)</f>
        <v>-5205356.6868764209</v>
      </c>
      <c r="AA98" s="447"/>
      <c r="AB98" s="447"/>
      <c r="AC98" s="447"/>
      <c r="AD98" s="447"/>
      <c r="AE98" s="447"/>
      <c r="AF98" s="447"/>
      <c r="AG98" s="447"/>
      <c r="AH98" s="447"/>
      <c r="AI98" s="447"/>
      <c r="AJ98" s="447"/>
      <c r="AK98" s="447"/>
      <c r="AL98" s="447"/>
      <c r="AM98" s="447"/>
      <c r="AN98" s="447"/>
      <c r="AO98" s="447"/>
      <c r="AP98" s="447"/>
      <c r="AQ98" s="447"/>
      <c r="AR98" s="447"/>
      <c r="AS98" s="447"/>
      <c r="AT98" s="447"/>
      <c r="AU98" s="447"/>
      <c r="AV98" s="447"/>
      <c r="AW98" s="447"/>
      <c r="AX98" s="447"/>
      <c r="AY98" s="447"/>
      <c r="AZ98" s="447"/>
      <c r="BA98" s="447"/>
      <c r="BB98" s="447"/>
      <c r="BC98" s="447"/>
      <c r="BD98" s="447"/>
      <c r="BE98" s="447"/>
      <c r="BF98" s="447"/>
    </row>
    <row r="99" spans="1:58" ht="15.75" hidden="1" customHeight="1" outlineLevel="1">
      <c r="C99" s="159"/>
      <c r="D99" s="446" t="s">
        <v>1476</v>
      </c>
      <c r="E99" s="646"/>
      <c r="F99" s="646"/>
      <c r="G99" s="646"/>
      <c r="H99" s="646"/>
      <c r="I99" s="447"/>
      <c r="J99" s="448"/>
      <c r="K99" s="658">
        <f>K98/K31</f>
        <v>-4.9123049731437591</v>
      </c>
      <c r="L99" s="658">
        <f>L98/L31</f>
        <v>-5.9820538384845463</v>
      </c>
      <c r="M99" s="658">
        <f>M98/M31</f>
        <v>-5.0627463570630038</v>
      </c>
      <c r="N99" s="659">
        <f>N98/N31</f>
        <v>-4.4071645941461632</v>
      </c>
      <c r="O99" s="658">
        <f>O98/O31</f>
        <v>-5.2303289568551472</v>
      </c>
      <c r="P99" s="677">
        <f t="shared" ref="P99:Z99" si="48">P98/P31</f>
        <v>-5.0092851068452964</v>
      </c>
      <c r="Q99" s="677">
        <f t="shared" si="48"/>
        <v>-4.7129030846525835</v>
      </c>
      <c r="R99" s="677">
        <f t="shared" si="48"/>
        <v>-5.0848000000000004</v>
      </c>
      <c r="S99" s="677"/>
      <c r="T99" s="677"/>
      <c r="U99" s="677">
        <f>U98/U31</f>
        <v>-5.0848000000000004</v>
      </c>
      <c r="V99" s="658">
        <f t="shared" si="48"/>
        <v>-5.4112418728276426</v>
      </c>
      <c r="W99" s="658">
        <f t="shared" si="48"/>
        <v>-5.7586411670553836</v>
      </c>
      <c r="X99" s="658">
        <f t="shared" si="48"/>
        <v>-6.12834333971034</v>
      </c>
      <c r="Y99" s="658">
        <f t="shared" si="48"/>
        <v>-6.5217802255555748</v>
      </c>
      <c r="Z99" s="658">
        <f t="shared" si="48"/>
        <v>-6.9404755825018949</v>
      </c>
      <c r="AA99" s="447"/>
      <c r="AB99" s="447"/>
      <c r="AC99" s="447"/>
      <c r="AD99" s="447"/>
      <c r="AE99" s="447"/>
      <c r="AF99" s="447"/>
      <c r="AG99" s="447"/>
      <c r="AH99" s="447"/>
      <c r="AI99" s="447"/>
      <c r="AJ99" s="447"/>
      <c r="AK99" s="447"/>
      <c r="AL99" s="447"/>
      <c r="AM99" s="447"/>
      <c r="AN99" s="447"/>
      <c r="AO99" s="447"/>
      <c r="AP99" s="447"/>
      <c r="AQ99" s="447"/>
      <c r="AR99" s="447"/>
      <c r="AS99" s="447"/>
      <c r="AT99" s="447"/>
      <c r="AU99" s="447"/>
      <c r="AV99" s="447"/>
      <c r="AW99" s="447"/>
      <c r="AX99" s="447"/>
      <c r="AY99" s="447"/>
      <c r="AZ99" s="447"/>
      <c r="BA99" s="447"/>
      <c r="BB99" s="447"/>
      <c r="BC99" s="447"/>
      <c r="BD99" s="447"/>
      <c r="BE99" s="447"/>
      <c r="BF99" s="447"/>
    </row>
    <row r="100" spans="1:58" ht="15.75" hidden="1" customHeight="1" outlineLevel="1">
      <c r="C100" s="159"/>
      <c r="D100" s="446" t="s">
        <v>1477</v>
      </c>
      <c r="E100" s="646"/>
      <c r="F100" s="646"/>
      <c r="G100" s="646"/>
      <c r="H100" s="646"/>
      <c r="I100" s="447"/>
      <c r="J100" s="448"/>
      <c r="K100" s="448">
        <f>-2196921.61*15.6%</f>
        <v>-342719.77116</v>
      </c>
      <c r="L100" s="448">
        <f>-662000*1.35</f>
        <v>-893700.00000000012</v>
      </c>
      <c r="M100" s="448">
        <f>-756000*'Control list'!H19</f>
        <v>-831600.00000000012</v>
      </c>
      <c r="N100" s="452">
        <f>-(720000)*'Control list'!$I$17</f>
        <v>-792000.00000000012</v>
      </c>
      <c r="O100" s="448">
        <f>-751000*'Control list'!J17</f>
        <v>-826100.00000000012</v>
      </c>
      <c r="P100" s="538">
        <f>-815000*'Control list'!K17</f>
        <v>-896500.00000000012</v>
      </c>
      <c r="Q100" s="538">
        <f>-850000*'Control list'!L17</f>
        <v>-892500</v>
      </c>
      <c r="R100" s="538">
        <f>-942000*'Control list'!M17</f>
        <v>-989100</v>
      </c>
      <c r="S100" s="538"/>
      <c r="T100" s="538"/>
      <c r="U100" s="538">
        <f>-942000*'Control list'!P17</f>
        <v>-989100</v>
      </c>
      <c r="V100" s="448">
        <f>R100*(1+V$97)</f>
        <v>-1052599.7750971171</v>
      </c>
      <c r="W100" s="448">
        <f>V100*(1+W$97)</f>
        <v>-1120176.2071929041</v>
      </c>
      <c r="X100" s="448">
        <f>W100*(1+X$97)</f>
        <v>-1192091.015832972</v>
      </c>
      <c r="Y100" s="448">
        <f>X100*(1+Y$97)</f>
        <v>-1268622.7228400367</v>
      </c>
      <c r="Z100" s="448">
        <f>Y100*(1+Z$97)</f>
        <v>-1350067.7310125518</v>
      </c>
      <c r="AA100" s="447"/>
      <c r="AB100" s="447"/>
      <c r="AC100" s="447"/>
      <c r="AD100" s="447"/>
      <c r="AE100" s="447"/>
      <c r="AF100" s="447"/>
      <c r="AG100" s="447"/>
      <c r="AH100" s="447"/>
      <c r="AI100" s="447"/>
      <c r="AJ100" s="447"/>
      <c r="AK100" s="447"/>
      <c r="AL100" s="447"/>
      <c r="AM100" s="447"/>
      <c r="AN100" s="447"/>
      <c r="AO100" s="447"/>
      <c r="AP100" s="447"/>
      <c r="AQ100" s="447"/>
      <c r="AR100" s="447"/>
      <c r="AS100" s="447"/>
      <c r="AT100" s="447"/>
      <c r="AU100" s="447"/>
      <c r="AV100" s="447"/>
      <c r="AW100" s="447"/>
      <c r="AX100" s="447"/>
      <c r="AY100" s="447"/>
      <c r="AZ100" s="447"/>
      <c r="BA100" s="447"/>
      <c r="BB100" s="447"/>
      <c r="BC100" s="447"/>
      <c r="BD100" s="447"/>
      <c r="BE100" s="447"/>
      <c r="BF100" s="447"/>
    </row>
    <row r="101" spans="1:58" ht="15.75" hidden="1" customHeight="1" outlineLevel="1">
      <c r="C101" s="159"/>
      <c r="D101" s="446" t="s">
        <v>1476</v>
      </c>
      <c r="E101" s="646"/>
      <c r="F101" s="646"/>
      <c r="G101" s="646"/>
      <c r="H101" s="646"/>
      <c r="I101" s="447"/>
      <c r="J101" s="448"/>
      <c r="K101" s="658">
        <f>K100/K31</f>
        <v>-1.041195075829384</v>
      </c>
      <c r="L101" s="658">
        <f>L100/L31</f>
        <v>-1.269269115729734</v>
      </c>
      <c r="M101" s="658">
        <f>M100/M31</f>
        <v>-0.97340698014741389</v>
      </c>
      <c r="N101" s="659">
        <f>N100/N31</f>
        <v>-0.91603883019204313</v>
      </c>
      <c r="O101" s="658">
        <f>O100/O31</f>
        <v>-1.0181381665625235</v>
      </c>
      <c r="P101" s="677">
        <f t="shared" ref="P101:Z101" si="49">P100/P31</f>
        <v>-1.1823247500952554</v>
      </c>
      <c r="Q101" s="677">
        <f t="shared" si="49"/>
        <v>-1.1834468602524952</v>
      </c>
      <c r="R101" s="677">
        <f t="shared" si="49"/>
        <v>-1.3188</v>
      </c>
      <c r="S101" s="677"/>
      <c r="T101" s="677"/>
      <c r="U101" s="677">
        <f>U100/U31</f>
        <v>-1.3188</v>
      </c>
      <c r="V101" s="658">
        <f t="shared" si="49"/>
        <v>-1.403466366796156</v>
      </c>
      <c r="W101" s="658">
        <f t="shared" si="49"/>
        <v>-1.4935682762572053</v>
      </c>
      <c r="X101" s="658">
        <f t="shared" si="49"/>
        <v>-1.5894546877772959</v>
      </c>
      <c r="Y101" s="658">
        <f t="shared" si="49"/>
        <v>-1.6914969637867157</v>
      </c>
      <c r="Z101" s="658">
        <f t="shared" si="49"/>
        <v>-1.8000903080167356</v>
      </c>
      <c r="AA101" s="447"/>
      <c r="AB101" s="447"/>
      <c r="AC101" s="447"/>
      <c r="AD101" s="447"/>
      <c r="AE101" s="447"/>
      <c r="AF101" s="447"/>
      <c r="AG101" s="447"/>
      <c r="AH101" s="447"/>
      <c r="AI101" s="447"/>
      <c r="AJ101" s="447"/>
      <c r="AK101" s="447"/>
      <c r="AL101" s="447"/>
      <c r="AM101" s="447"/>
      <c r="AN101" s="447"/>
      <c r="AO101" s="447"/>
      <c r="AP101" s="447"/>
      <c r="AQ101" s="447"/>
      <c r="AR101" s="447"/>
      <c r="AS101" s="447"/>
      <c r="AT101" s="447"/>
      <c r="AU101" s="447"/>
      <c r="AV101" s="447"/>
      <c r="AW101" s="447"/>
      <c r="AX101" s="447"/>
      <c r="AY101" s="447"/>
      <c r="AZ101" s="447"/>
      <c r="BA101" s="447"/>
      <c r="BB101" s="447"/>
      <c r="BC101" s="447"/>
      <c r="BD101" s="447"/>
      <c r="BE101" s="447"/>
      <c r="BF101" s="447"/>
    </row>
    <row r="102" spans="1:58" ht="15.75" hidden="1" customHeight="1" outlineLevel="1">
      <c r="C102" s="159"/>
      <c r="D102" s="446" t="s">
        <v>1478</v>
      </c>
      <c r="E102" s="646"/>
      <c r="F102" s="646"/>
      <c r="G102" s="646"/>
      <c r="H102" s="646"/>
      <c r="I102" s="447"/>
      <c r="J102" s="448">
        <v>0</v>
      </c>
      <c r="K102" s="448">
        <f>-2196921.61*10.8%-138798.179632151</f>
        <v>-376065.71351215104</v>
      </c>
      <c r="L102" s="448">
        <f>-454000*1.35</f>
        <v>-612900</v>
      </c>
      <c r="M102" s="448">
        <f>-526000*'Control list'!H19</f>
        <v>-578600</v>
      </c>
      <c r="N102" s="452">
        <f>-(508000)*'Control list'!$I$17</f>
        <v>-558800</v>
      </c>
      <c r="O102" s="448">
        <f>-550000*'Control list'!J17</f>
        <v>-605000</v>
      </c>
      <c r="P102" s="538">
        <f>-598000*'Control list'!K17</f>
        <v>-657800</v>
      </c>
      <c r="Q102" s="538">
        <f>-656000*'Control list'!L17</f>
        <v>-688800</v>
      </c>
      <c r="R102" s="538">
        <f>-631000*'Control list'!M17</f>
        <v>-662550</v>
      </c>
      <c r="S102" s="538"/>
      <c r="T102" s="538"/>
      <c r="U102" s="538">
        <f>-631000*'Control list'!P17</f>
        <v>-662550</v>
      </c>
      <c r="V102" s="448">
        <f>R102*(1+V$97)</f>
        <v>-705085.41198118997</v>
      </c>
      <c r="W102" s="448">
        <f>V102*(1+W$97)</f>
        <v>-750351.57827889873</v>
      </c>
      <c r="X102" s="448">
        <f>W102*(1+X$97)</f>
        <v>-798523.81209193775</v>
      </c>
      <c r="Y102" s="448">
        <f>X102*(1+Y$97)</f>
        <v>-849788.6816476254</v>
      </c>
      <c r="Z102" s="448">
        <f>Y102*(1+Z$97)</f>
        <v>-904344.73276955436</v>
      </c>
      <c r="AA102" s="447"/>
      <c r="AB102" s="447"/>
      <c r="AC102" s="447"/>
      <c r="AD102" s="447"/>
      <c r="AE102" s="447"/>
      <c r="AF102" s="447"/>
      <c r="AG102" s="447"/>
      <c r="AH102" s="447"/>
      <c r="AI102" s="447"/>
      <c r="AJ102" s="447"/>
      <c r="AK102" s="447"/>
      <c r="AL102" s="447"/>
      <c r="AM102" s="447"/>
      <c r="AN102" s="447"/>
      <c r="AO102" s="447"/>
      <c r="AP102" s="447"/>
      <c r="AQ102" s="447"/>
      <c r="AR102" s="447"/>
      <c r="AS102" s="447"/>
      <c r="AT102" s="447"/>
      <c r="AU102" s="447"/>
      <c r="AV102" s="447"/>
      <c r="AW102" s="447"/>
      <c r="AX102" s="447"/>
      <c r="AY102" s="447"/>
      <c r="AZ102" s="447"/>
      <c r="BA102" s="447"/>
      <c r="BB102" s="447"/>
      <c r="BC102" s="447"/>
      <c r="BD102" s="447"/>
      <c r="BE102" s="447"/>
      <c r="BF102" s="447"/>
    </row>
    <row r="103" spans="1:58" s="670" customFormat="1" ht="15.75" hidden="1" customHeight="1" outlineLevel="1">
      <c r="A103" s="75"/>
      <c r="B103" s="75"/>
      <c r="D103" s="674"/>
      <c r="E103" s="447"/>
      <c r="F103" s="447"/>
      <c r="G103" s="447"/>
      <c r="H103" s="447"/>
      <c r="I103" s="447"/>
      <c r="J103" s="447"/>
      <c r="K103" s="448"/>
      <c r="L103" s="448"/>
      <c r="M103" s="448"/>
      <c r="N103" s="452"/>
      <c r="O103" s="448"/>
      <c r="P103" s="538"/>
      <c r="Q103" s="448"/>
      <c r="R103" s="448"/>
      <c r="S103" s="448"/>
      <c r="T103" s="448"/>
      <c r="U103" s="448"/>
      <c r="V103" s="448"/>
      <c r="W103" s="448"/>
      <c r="X103" s="448"/>
      <c r="Y103" s="448"/>
      <c r="Z103" s="448"/>
    </row>
    <row r="104" spans="1:58" ht="15.75" hidden="1" customHeight="1" outlineLevel="1">
      <c r="C104" s="159"/>
      <c r="D104" s="681"/>
      <c r="E104" s="646"/>
      <c r="F104" s="646"/>
      <c r="G104" s="646"/>
      <c r="H104" s="646"/>
      <c r="I104" s="447"/>
      <c r="J104" s="672"/>
      <c r="K104" s="448"/>
      <c r="L104" s="448"/>
      <c r="M104" s="448"/>
      <c r="N104" s="452"/>
      <c r="O104" s="448"/>
      <c r="P104" s="538"/>
      <c r="Q104" s="448"/>
      <c r="R104" s="448"/>
      <c r="S104" s="448"/>
      <c r="T104" s="448"/>
      <c r="U104" s="448"/>
      <c r="V104" s="448"/>
      <c r="W104" s="448"/>
      <c r="X104" s="448"/>
      <c r="Y104" s="448"/>
      <c r="Z104" s="448"/>
      <c r="AA104" s="447"/>
      <c r="AB104" s="447"/>
      <c r="AC104" s="447"/>
      <c r="AD104" s="447"/>
      <c r="AE104" s="447"/>
      <c r="AF104" s="447"/>
      <c r="AG104" s="447"/>
      <c r="AH104" s="447"/>
      <c r="AI104" s="447"/>
      <c r="AJ104" s="447"/>
      <c r="AK104" s="447"/>
      <c r="AL104" s="447"/>
      <c r="AM104" s="447"/>
      <c r="AN104" s="447"/>
      <c r="AO104" s="447"/>
      <c r="AP104" s="447"/>
      <c r="AQ104" s="447"/>
      <c r="AR104" s="447"/>
      <c r="AS104" s="447"/>
      <c r="AT104" s="447"/>
      <c r="AU104" s="447"/>
      <c r="AV104" s="447"/>
      <c r="AW104" s="447"/>
      <c r="AX104" s="447"/>
      <c r="AY104" s="447"/>
      <c r="AZ104" s="447"/>
      <c r="BA104" s="447"/>
      <c r="BB104" s="447"/>
      <c r="BC104" s="447"/>
      <c r="BD104" s="447"/>
      <c r="BE104" s="447"/>
      <c r="BF104" s="447"/>
    </row>
    <row r="105" spans="1:58" ht="15.75" hidden="1" customHeight="1" outlineLevel="1"/>
    <row r="106" spans="1:58" ht="15.75" hidden="1" customHeight="1" outlineLevel="1">
      <c r="C106" s="159"/>
      <c r="D106" s="651"/>
      <c r="E106" s="646"/>
      <c r="F106" s="646"/>
      <c r="G106" s="646"/>
      <c r="H106" s="646"/>
      <c r="I106" s="447"/>
      <c r="J106" s="447"/>
      <c r="K106" s="682"/>
      <c r="M106" s="448"/>
      <c r="N106" s="452"/>
      <c r="O106" s="448"/>
      <c r="P106" s="538"/>
      <c r="Q106" s="448"/>
      <c r="R106" s="448"/>
      <c r="S106" s="448"/>
      <c r="T106" s="448"/>
      <c r="U106" s="448"/>
      <c r="V106" s="448"/>
      <c r="W106" s="448"/>
      <c r="X106" s="448"/>
      <c r="Y106" s="448"/>
      <c r="Z106" s="448"/>
      <c r="AA106" s="447"/>
      <c r="AB106" s="447"/>
      <c r="AC106" s="447"/>
      <c r="AD106" s="447"/>
      <c r="AE106" s="447"/>
      <c r="AF106" s="447"/>
      <c r="AG106" s="447"/>
      <c r="AH106" s="447"/>
      <c r="AI106" s="447"/>
      <c r="AJ106" s="447"/>
      <c r="AK106" s="447"/>
      <c r="AL106" s="447"/>
      <c r="AM106" s="447"/>
      <c r="AN106" s="447"/>
      <c r="AO106" s="447"/>
      <c r="AP106" s="447"/>
      <c r="AQ106" s="447"/>
      <c r="AR106" s="447"/>
      <c r="AS106" s="447"/>
      <c r="AT106" s="447"/>
      <c r="AU106" s="447"/>
      <c r="AV106" s="447"/>
      <c r="AW106" s="447"/>
      <c r="AX106" s="447"/>
      <c r="AY106" s="447"/>
      <c r="AZ106" s="447"/>
      <c r="BA106" s="447"/>
      <c r="BB106" s="447"/>
      <c r="BC106" s="447"/>
      <c r="BD106" s="447"/>
      <c r="BE106" s="447"/>
      <c r="BF106" s="447"/>
    </row>
    <row r="107" spans="1:58" ht="27" hidden="1" customHeight="1" outlineLevel="1">
      <c r="D107" s="462" t="s">
        <v>502</v>
      </c>
      <c r="M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spans="1:58" ht="3" hidden="1" customHeight="1" outlineLevel="1">
      <c r="D108" s="464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</row>
    <row r="109" spans="1:58" ht="15.75" hidden="1" customHeight="1" outlineLevel="1">
      <c r="D109" s="460" t="s">
        <v>1479</v>
      </c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</row>
    <row r="110" spans="1:58" ht="15.75" hidden="1" customHeight="1" outlineLevel="1">
      <c r="D110" s="467" t="s">
        <v>605</v>
      </c>
      <c r="E110" s="468"/>
      <c r="F110" s="468"/>
      <c r="G110" s="468"/>
      <c r="H110" s="468"/>
      <c r="I110" s="91"/>
      <c r="J110" s="91"/>
      <c r="K110" s="91"/>
      <c r="L110" s="91"/>
      <c r="M110" s="135"/>
      <c r="N110" s="135"/>
      <c r="O110" s="135"/>
      <c r="P110" s="135"/>
      <c r="Q110" s="135"/>
      <c r="R110" s="135"/>
      <c r="S110" s="135"/>
      <c r="T110" s="135"/>
      <c r="U110" s="135"/>
      <c r="V110" s="135"/>
      <c r="W110" s="135"/>
      <c r="X110" s="135"/>
      <c r="Y110" s="135"/>
      <c r="Z110" s="135"/>
    </row>
    <row r="111" spans="1:58" ht="15.75" hidden="1" customHeight="1" outlineLevel="1">
      <c r="C111" s="91"/>
      <c r="D111" s="546" t="s">
        <v>1480</v>
      </c>
      <c r="E111" s="106"/>
      <c r="F111" s="106"/>
      <c r="G111" s="106"/>
      <c r="H111" s="546"/>
      <c r="I111" s="546"/>
      <c r="J111" s="92">
        <f t="shared" ref="J111:M113" si="50">J63</f>
        <v>0</v>
      </c>
      <c r="K111" s="92">
        <f t="shared" si="50"/>
        <v>1</v>
      </c>
      <c r="L111" s="92">
        <f t="shared" si="50"/>
        <v>2</v>
      </c>
      <c r="M111" s="92">
        <f t="shared" si="50"/>
        <v>3</v>
      </c>
      <c r="N111" s="92">
        <f t="shared" ref="N111:P113" si="51">N63</f>
        <v>4</v>
      </c>
      <c r="O111" s="92">
        <f t="shared" si="51"/>
        <v>5</v>
      </c>
      <c r="P111" s="92">
        <f t="shared" si="51"/>
        <v>6</v>
      </c>
      <c r="Q111" s="92">
        <f t="shared" ref="Q111:R113" si="52">Q63</f>
        <v>7</v>
      </c>
      <c r="R111" s="92">
        <f t="shared" si="52"/>
        <v>8</v>
      </c>
      <c r="S111" s="92"/>
      <c r="T111" s="92"/>
      <c r="U111" s="92" t="str">
        <f>U63</f>
        <v>Revised</v>
      </c>
      <c r="V111" s="92">
        <f t="shared" ref="V111:W113" si="53">V63</f>
        <v>9</v>
      </c>
      <c r="W111" s="92">
        <f t="shared" si="53"/>
        <v>10</v>
      </c>
      <c r="X111" s="92">
        <f t="shared" ref="X111:Z113" si="54">X63</f>
        <v>11</v>
      </c>
      <c r="Y111" s="92">
        <f t="shared" si="54"/>
        <v>12</v>
      </c>
      <c r="Z111" s="92">
        <f t="shared" si="54"/>
        <v>13</v>
      </c>
      <c r="AA111" s="447"/>
      <c r="AB111" s="447"/>
      <c r="AC111" s="447"/>
      <c r="AD111" s="447"/>
      <c r="AE111" s="447"/>
      <c r="AF111" s="447"/>
      <c r="AG111" s="447"/>
      <c r="AH111" s="447"/>
      <c r="AI111" s="447"/>
      <c r="AJ111" s="447"/>
      <c r="AK111" s="447"/>
      <c r="AL111" s="447"/>
      <c r="AM111" s="447"/>
      <c r="AN111" s="447"/>
      <c r="AO111" s="447"/>
      <c r="AP111" s="447"/>
      <c r="AQ111" s="447"/>
      <c r="AR111" s="447"/>
      <c r="AS111" s="447"/>
      <c r="AT111" s="447"/>
      <c r="AU111" s="447"/>
      <c r="AV111" s="447"/>
      <c r="AW111" s="447"/>
      <c r="AX111" s="447"/>
      <c r="AY111" s="447"/>
      <c r="AZ111" s="447"/>
      <c r="BA111" s="447"/>
      <c r="BB111" s="447"/>
      <c r="BC111" s="447"/>
      <c r="BD111" s="447"/>
      <c r="BE111" s="447"/>
      <c r="BF111" s="447"/>
    </row>
    <row r="112" spans="1:58" ht="15.75" hidden="1" customHeight="1" outlineLevel="1">
      <c r="C112" s="91"/>
      <c r="D112" s="548"/>
      <c r="E112" s="469"/>
      <c r="F112" s="469"/>
      <c r="G112" s="469"/>
      <c r="H112" s="548"/>
      <c r="I112" s="548"/>
      <c r="J112" s="93">
        <f t="shared" si="50"/>
        <v>0</v>
      </c>
      <c r="K112" s="93">
        <f t="shared" si="50"/>
        <v>0</v>
      </c>
      <c r="L112" s="93">
        <f t="shared" si="50"/>
        <v>0</v>
      </c>
      <c r="M112" s="93">
        <f t="shared" si="50"/>
        <v>0</v>
      </c>
      <c r="N112" s="93">
        <f t="shared" si="51"/>
        <v>0</v>
      </c>
      <c r="O112" s="93">
        <f t="shared" si="51"/>
        <v>0</v>
      </c>
      <c r="P112" s="93">
        <f t="shared" si="51"/>
        <v>0</v>
      </c>
      <c r="Q112" s="93">
        <f t="shared" si="52"/>
        <v>0</v>
      </c>
      <c r="R112" s="93">
        <f t="shared" si="52"/>
        <v>0</v>
      </c>
      <c r="S112" s="93"/>
      <c r="T112" s="93"/>
      <c r="U112" s="93">
        <f>U64</f>
        <v>0</v>
      </c>
      <c r="V112" s="93">
        <f t="shared" si="53"/>
        <v>0</v>
      </c>
      <c r="W112" s="93">
        <f t="shared" si="53"/>
        <v>0</v>
      </c>
      <c r="X112" s="93">
        <f t="shared" si="54"/>
        <v>0</v>
      </c>
      <c r="Y112" s="93">
        <f t="shared" si="54"/>
        <v>0</v>
      </c>
      <c r="Z112" s="93">
        <f t="shared" si="54"/>
        <v>0</v>
      </c>
      <c r="AA112" s="447"/>
      <c r="AB112" s="447"/>
      <c r="AC112" s="447"/>
      <c r="AD112" s="447"/>
      <c r="AE112" s="447"/>
      <c r="AF112" s="447"/>
      <c r="AG112" s="447"/>
      <c r="AH112" s="447"/>
      <c r="AI112" s="447"/>
      <c r="AJ112" s="447"/>
      <c r="AK112" s="447"/>
      <c r="AL112" s="447"/>
      <c r="AM112" s="447"/>
      <c r="AN112" s="447"/>
      <c r="AO112" s="447"/>
      <c r="AP112" s="447"/>
      <c r="AQ112" s="447"/>
      <c r="AR112" s="447"/>
      <c r="AS112" s="447"/>
      <c r="AT112" s="447"/>
      <c r="AU112" s="447"/>
      <c r="AV112" s="447"/>
      <c r="AW112" s="447"/>
      <c r="AX112" s="447"/>
      <c r="AY112" s="447"/>
      <c r="AZ112" s="447"/>
      <c r="BA112" s="447"/>
      <c r="BB112" s="447"/>
      <c r="BC112" s="447"/>
      <c r="BD112" s="447"/>
      <c r="BE112" s="447"/>
      <c r="BF112" s="447"/>
    </row>
    <row r="113" spans="1:58" ht="15.75" hidden="1" customHeight="1" outlineLevel="1">
      <c r="C113" s="91"/>
      <c r="D113" s="471"/>
      <c r="E113" s="472"/>
      <c r="F113" s="506"/>
      <c r="G113" s="506"/>
      <c r="H113" s="471"/>
      <c r="I113" s="471"/>
      <c r="J113" s="94" t="str">
        <f t="shared" si="50"/>
        <v>($)</v>
      </c>
      <c r="K113" s="94" t="str">
        <f t="shared" si="50"/>
        <v>($)</v>
      </c>
      <c r="L113" s="94" t="str">
        <f t="shared" si="50"/>
        <v>($)</v>
      </c>
      <c r="M113" s="94" t="str">
        <f t="shared" si="50"/>
        <v>($)</v>
      </c>
      <c r="N113" s="94" t="str">
        <f t="shared" si="51"/>
        <v>($)</v>
      </c>
      <c r="O113" s="94" t="str">
        <f t="shared" si="51"/>
        <v>($)</v>
      </c>
      <c r="P113" s="94" t="str">
        <f t="shared" si="51"/>
        <v>($)</v>
      </c>
      <c r="Q113" s="94" t="str">
        <f t="shared" si="52"/>
        <v>($)</v>
      </c>
      <c r="R113" s="94" t="str">
        <f t="shared" si="52"/>
        <v>($)</v>
      </c>
      <c r="S113" s="94"/>
      <c r="T113" s="94"/>
      <c r="U113" s="94" t="str">
        <f>U65</f>
        <v>($)</v>
      </c>
      <c r="V113" s="94" t="str">
        <f t="shared" si="53"/>
        <v>($)</v>
      </c>
      <c r="W113" s="94" t="str">
        <f t="shared" si="53"/>
        <v>($)</v>
      </c>
      <c r="X113" s="94" t="str">
        <f t="shared" si="54"/>
        <v>($)</v>
      </c>
      <c r="Y113" s="94" t="str">
        <f t="shared" si="54"/>
        <v>($)</v>
      </c>
      <c r="Z113" s="94" t="str">
        <f t="shared" si="54"/>
        <v>($)</v>
      </c>
      <c r="AA113" s="447"/>
      <c r="AB113" s="447"/>
      <c r="AC113" s="447"/>
      <c r="AD113" s="447"/>
      <c r="AE113" s="447"/>
      <c r="AF113" s="447"/>
      <c r="AG113" s="447"/>
      <c r="AH113" s="447"/>
      <c r="AI113" s="447"/>
      <c r="AJ113" s="447"/>
      <c r="AK113" s="447"/>
      <c r="AL113" s="447"/>
      <c r="AM113" s="447"/>
      <c r="AN113" s="447"/>
      <c r="AO113" s="447"/>
      <c r="AP113" s="447"/>
      <c r="AQ113" s="447"/>
      <c r="AR113" s="447"/>
      <c r="AS113" s="447"/>
      <c r="AT113" s="447"/>
      <c r="AU113" s="447"/>
      <c r="AV113" s="447"/>
      <c r="AW113" s="447"/>
      <c r="AX113" s="447"/>
      <c r="AY113" s="447"/>
      <c r="AZ113" s="447"/>
      <c r="BA113" s="447"/>
      <c r="BB113" s="447"/>
      <c r="BC113" s="447"/>
      <c r="BD113" s="447"/>
      <c r="BE113" s="447"/>
      <c r="BF113" s="447"/>
    </row>
    <row r="114" spans="1:58" ht="15.75" hidden="1" customHeight="1" outlineLevel="1">
      <c r="C114" s="159"/>
      <c r="D114" s="447"/>
      <c r="E114" s="447"/>
      <c r="F114" s="447"/>
      <c r="G114" s="447"/>
      <c r="H114" s="447"/>
      <c r="L114" s="447"/>
      <c r="M114" s="447"/>
      <c r="N114" s="573"/>
      <c r="O114" s="447"/>
      <c r="P114" s="76"/>
      <c r="Q114" s="447"/>
      <c r="R114" s="447"/>
      <c r="S114" s="447"/>
      <c r="T114" s="447"/>
      <c r="U114" s="447"/>
      <c r="V114" s="447"/>
      <c r="W114" s="447"/>
      <c r="X114" s="447"/>
      <c r="Y114" s="447"/>
      <c r="Z114" s="447"/>
    </row>
    <row r="115" spans="1:58" ht="15.75" hidden="1" customHeight="1" outlineLevel="1">
      <c r="C115" s="159"/>
      <c r="D115" s="447"/>
      <c r="E115" s="447"/>
      <c r="F115" s="447"/>
      <c r="G115" s="447"/>
      <c r="H115" s="447"/>
      <c r="I115" s="447"/>
      <c r="J115" s="447"/>
      <c r="K115" s="646"/>
      <c r="L115" s="646"/>
      <c r="M115" s="646"/>
      <c r="N115" s="702"/>
      <c r="O115" s="646"/>
      <c r="P115" s="74"/>
      <c r="Q115" s="646"/>
      <c r="R115" s="646"/>
      <c r="S115" s="646"/>
      <c r="T115" s="646"/>
      <c r="U115" s="646"/>
      <c r="V115" s="646"/>
      <c r="W115" s="646"/>
      <c r="X115" s="646"/>
      <c r="Y115" s="646"/>
      <c r="Z115" s="646"/>
      <c r="AA115" s="447"/>
      <c r="AB115" s="447"/>
      <c r="AC115" s="447"/>
      <c r="AD115" s="447"/>
      <c r="AE115" s="447"/>
      <c r="AF115" s="447"/>
      <c r="AG115" s="447"/>
      <c r="AH115" s="447"/>
      <c r="AI115" s="447"/>
      <c r="AJ115" s="447"/>
      <c r="AK115" s="447"/>
      <c r="AL115" s="447"/>
      <c r="AM115" s="447"/>
      <c r="AN115" s="447"/>
      <c r="AO115" s="447"/>
      <c r="AP115" s="447"/>
      <c r="AQ115" s="447"/>
      <c r="AR115" s="447"/>
      <c r="AS115" s="447"/>
      <c r="AT115" s="447"/>
      <c r="AU115" s="447"/>
      <c r="AV115" s="447"/>
      <c r="AW115" s="447"/>
      <c r="AX115" s="447"/>
      <c r="AY115" s="447"/>
      <c r="AZ115" s="447"/>
      <c r="BA115" s="447"/>
      <c r="BB115" s="447"/>
      <c r="BC115" s="447"/>
      <c r="BD115" s="447"/>
      <c r="BE115" s="447"/>
      <c r="BF115" s="447"/>
    </row>
    <row r="116" spans="1:58" ht="15.75" hidden="1" customHeight="1" outlineLevel="1">
      <c r="C116" s="159"/>
      <c r="D116" s="447" t="s">
        <v>1246</v>
      </c>
      <c r="E116" s="447"/>
      <c r="F116" s="447"/>
      <c r="G116" s="447"/>
      <c r="H116" s="447"/>
      <c r="I116" s="447"/>
      <c r="J116" s="447"/>
      <c r="K116" s="646">
        <f t="shared" ref="K116:P116" si="55">SUM(K117:K122)</f>
        <v>-2872707.9561601412</v>
      </c>
      <c r="L116" s="646">
        <f t="shared" si="55"/>
        <v>-6945750</v>
      </c>
      <c r="M116" s="646">
        <f t="shared" si="55"/>
        <v>-5877300</v>
      </c>
      <c r="N116" s="702">
        <f t="shared" si="55"/>
        <v>-6202900</v>
      </c>
      <c r="O116" s="646">
        <f t="shared" si="55"/>
        <v>-6806800.0000000009</v>
      </c>
      <c r="P116" s="74">
        <f t="shared" si="55"/>
        <v>-7774800</v>
      </c>
      <c r="Q116" s="646">
        <f t="shared" ref="Q116:Z116" si="56">SUM(Q117:Q122)</f>
        <v>-8309700</v>
      </c>
      <c r="R116" s="646">
        <f t="shared" si="56"/>
        <v>-8881950</v>
      </c>
      <c r="S116" s="646"/>
      <c r="T116" s="646"/>
      <c r="U116" s="646">
        <f>SUM(U117:U122)</f>
        <v>-8881950</v>
      </c>
      <c r="V116" s="646">
        <f t="shared" si="56"/>
        <v>-8939192.0470672213</v>
      </c>
      <c r="W116" s="646">
        <f t="shared" si="56"/>
        <v>-8998833.8118540291</v>
      </c>
      <c r="X116" s="646">
        <f t="shared" si="56"/>
        <v>-9060975.8960235156</v>
      </c>
      <c r="Y116" s="646">
        <f t="shared" si="56"/>
        <v>-9125723.1186909042</v>
      </c>
      <c r="Z116" s="646">
        <f t="shared" si="56"/>
        <v>-9193184.6932288073</v>
      </c>
      <c r="AA116" s="447"/>
      <c r="AB116" s="447"/>
      <c r="AC116" s="447"/>
      <c r="AD116" s="447"/>
      <c r="AE116" s="447"/>
      <c r="AF116" s="447"/>
      <c r="AG116" s="447"/>
      <c r="AH116" s="447"/>
      <c r="AI116" s="447"/>
      <c r="AJ116" s="447"/>
      <c r="AK116" s="447"/>
      <c r="AL116" s="447"/>
      <c r="AM116" s="447"/>
      <c r="AN116" s="447"/>
      <c r="AO116" s="447"/>
      <c r="AP116" s="447"/>
      <c r="AQ116" s="447"/>
      <c r="AR116" s="447"/>
      <c r="AS116" s="447"/>
      <c r="AT116" s="447"/>
      <c r="AU116" s="447"/>
      <c r="AV116" s="447"/>
      <c r="AW116" s="447"/>
      <c r="AX116" s="447"/>
      <c r="AY116" s="447"/>
      <c r="AZ116" s="447"/>
      <c r="BA116" s="447"/>
      <c r="BB116" s="447"/>
      <c r="BC116" s="447"/>
      <c r="BD116" s="447"/>
      <c r="BE116" s="447"/>
      <c r="BF116" s="447"/>
    </row>
    <row r="117" spans="1:58" s="670" customFormat="1" ht="15.75" hidden="1" customHeight="1" outlineLevel="1">
      <c r="A117" s="75"/>
      <c r="B117" s="75"/>
      <c r="D117" s="651" t="s">
        <v>1481</v>
      </c>
      <c r="E117" s="646"/>
      <c r="F117" s="646"/>
      <c r="G117" s="646"/>
      <c r="H117" s="646"/>
      <c r="I117" s="447"/>
      <c r="J117" s="652">
        <f>K117/$K$116</f>
        <v>0</v>
      </c>
      <c r="K117" s="646"/>
      <c r="L117" s="646">
        <f>-248000*1.35</f>
        <v>-334800</v>
      </c>
      <c r="M117" s="646">
        <f t="shared" ref="M117:R117" si="57">M70*M31</f>
        <v>-284900</v>
      </c>
      <c r="N117" s="702">
        <f t="shared" si="57"/>
        <v>-355300.00000000006</v>
      </c>
      <c r="O117" s="646">
        <f t="shared" si="57"/>
        <v>-399300.00000000006</v>
      </c>
      <c r="P117" s="74">
        <f t="shared" si="57"/>
        <v>-382800.00000000006</v>
      </c>
      <c r="Q117" s="646">
        <f>Q70*Q31</f>
        <v>-427350</v>
      </c>
      <c r="R117" s="646">
        <f t="shared" si="57"/>
        <v>-486150</v>
      </c>
      <c r="S117" s="646"/>
      <c r="T117" s="646"/>
      <c r="U117" s="646">
        <f t="shared" ref="U117:Z117" si="58">U70*U31</f>
        <v>-486150</v>
      </c>
      <c r="V117" s="646">
        <f t="shared" si="58"/>
        <v>-486150</v>
      </c>
      <c r="W117" s="646">
        <f t="shared" si="58"/>
        <v>-486150</v>
      </c>
      <c r="X117" s="646">
        <f t="shared" si="58"/>
        <v>-486150</v>
      </c>
      <c r="Y117" s="646">
        <f t="shared" si="58"/>
        <v>-486150</v>
      </c>
      <c r="Z117" s="646">
        <f t="shared" si="58"/>
        <v>-486150</v>
      </c>
    </row>
    <row r="118" spans="1:58" ht="15.75" hidden="1" customHeight="1" outlineLevel="1">
      <c r="C118" s="159"/>
      <c r="D118" s="651" t="s">
        <v>1482</v>
      </c>
      <c r="E118" s="646"/>
      <c r="F118" s="646"/>
      <c r="G118" s="646"/>
      <c r="H118" s="646"/>
      <c r="I118" s="447"/>
      <c r="J118" s="652">
        <f>K118/$K$116</f>
        <v>0</v>
      </c>
      <c r="K118" s="646"/>
      <c r="L118" s="646">
        <f>656000*-1.35</f>
        <v>-885600.00000000012</v>
      </c>
      <c r="M118" s="646">
        <f t="shared" ref="M118:R118" si="59">M71*M31</f>
        <v>-981200</v>
      </c>
      <c r="N118" s="702">
        <f t="shared" si="59"/>
        <v>-766700.00000000012</v>
      </c>
      <c r="O118" s="646">
        <f t="shared" si="59"/>
        <v>-849427.85507665051</v>
      </c>
      <c r="P118" s="74">
        <f t="shared" si="59"/>
        <v>-1139600</v>
      </c>
      <c r="Q118" s="646">
        <f t="shared" si="59"/>
        <v>-1317750</v>
      </c>
      <c r="R118" s="646">
        <f t="shared" si="59"/>
        <v>-1365432.2446766528</v>
      </c>
      <c r="S118" s="646"/>
      <c r="T118" s="646"/>
      <c r="U118" s="646">
        <f t="shared" ref="U118:Z118" si="60">U71*U31</f>
        <v>-1365432.2446766528</v>
      </c>
      <c r="V118" s="646">
        <f t="shared" si="60"/>
        <v>-1422674.2917438743</v>
      </c>
      <c r="W118" s="646">
        <f t="shared" si="60"/>
        <v>-1482316.0565306826</v>
      </c>
      <c r="X118" s="646">
        <f t="shared" si="60"/>
        <v>-1544458.1407001691</v>
      </c>
      <c r="Y118" s="646">
        <f t="shared" si="60"/>
        <v>-1609205.3633675585</v>
      </c>
      <c r="Z118" s="646">
        <f t="shared" si="60"/>
        <v>-1676666.9379054618</v>
      </c>
      <c r="AA118" s="447"/>
      <c r="AB118" s="447"/>
      <c r="AC118" s="447"/>
      <c r="AD118" s="447"/>
      <c r="AE118" s="447"/>
      <c r="AF118" s="447"/>
      <c r="AG118" s="447"/>
      <c r="AH118" s="447"/>
      <c r="AI118" s="447"/>
      <c r="AJ118" s="447"/>
      <c r="AK118" s="447"/>
      <c r="AL118" s="447"/>
      <c r="AM118" s="447"/>
      <c r="AN118" s="447"/>
      <c r="AO118" s="447"/>
      <c r="AP118" s="447"/>
      <c r="AQ118" s="447"/>
      <c r="AR118" s="447"/>
      <c r="AS118" s="447"/>
      <c r="AT118" s="447"/>
      <c r="AU118" s="447"/>
      <c r="AV118" s="447"/>
      <c r="AW118" s="447"/>
      <c r="AX118" s="447"/>
      <c r="AY118" s="447"/>
      <c r="AZ118" s="447"/>
      <c r="BA118" s="447"/>
      <c r="BB118" s="447"/>
      <c r="BC118" s="447"/>
      <c r="BD118" s="447"/>
      <c r="BE118" s="447"/>
      <c r="BF118" s="447"/>
    </row>
    <row r="119" spans="1:58" ht="15.75" hidden="1" customHeight="1" outlineLevel="1">
      <c r="C119" s="159"/>
      <c r="D119" s="651" t="s">
        <v>1483</v>
      </c>
      <c r="E119" s="646"/>
      <c r="F119" s="646"/>
      <c r="G119" s="646"/>
      <c r="H119" s="646"/>
      <c r="I119" s="447"/>
      <c r="J119" s="652">
        <f>K119/$K$116</f>
        <v>0.5971584563991893</v>
      </c>
      <c r="K119" s="646">
        <v>-1715461.84878626</v>
      </c>
      <c r="L119" s="646">
        <f>-1218000*1.35</f>
        <v>-1644300</v>
      </c>
      <c r="M119" s="646">
        <f t="shared" ref="M119:R119" si="61">M72*M31</f>
        <v>-1243000.0000000002</v>
      </c>
      <c r="N119" s="702">
        <f t="shared" si="61"/>
        <v>-1369500</v>
      </c>
      <c r="O119" s="646">
        <f t="shared" si="61"/>
        <v>-1483900.0000000002</v>
      </c>
      <c r="P119" s="74">
        <f t="shared" si="61"/>
        <v>-1376100</v>
      </c>
      <c r="Q119" s="646">
        <f t="shared" si="61"/>
        <v>-1340850</v>
      </c>
      <c r="R119" s="646">
        <f t="shared" si="61"/>
        <v>-1357650</v>
      </c>
      <c r="S119" s="646"/>
      <c r="T119" s="646"/>
      <c r="U119" s="646">
        <f t="shared" ref="U119:Z119" si="62">U72*U31</f>
        <v>-1357650</v>
      </c>
      <c r="V119" s="646">
        <f t="shared" si="62"/>
        <v>-1357650</v>
      </c>
      <c r="W119" s="646">
        <f t="shared" si="62"/>
        <v>-1357650</v>
      </c>
      <c r="X119" s="646">
        <f t="shared" si="62"/>
        <v>-1357650</v>
      </c>
      <c r="Y119" s="646">
        <f t="shared" si="62"/>
        <v>-1357650</v>
      </c>
      <c r="Z119" s="646">
        <f t="shared" si="62"/>
        <v>-1357650</v>
      </c>
      <c r="AA119" s="447"/>
      <c r="AB119" s="447"/>
      <c r="AC119" s="447"/>
      <c r="AD119" s="447"/>
      <c r="AE119" s="447"/>
      <c r="AF119" s="447"/>
      <c r="AG119" s="447"/>
      <c r="AH119" s="447"/>
      <c r="AI119" s="447"/>
      <c r="AJ119" s="447"/>
      <c r="AK119" s="447"/>
      <c r="AL119" s="447"/>
      <c r="AM119" s="447"/>
      <c r="AN119" s="447"/>
      <c r="AO119" s="447"/>
      <c r="AP119" s="447"/>
      <c r="AQ119" s="447"/>
      <c r="AR119" s="447"/>
      <c r="AS119" s="447"/>
      <c r="AT119" s="447"/>
      <c r="AU119" s="447"/>
      <c r="AV119" s="447"/>
      <c r="AW119" s="447"/>
      <c r="AX119" s="447"/>
      <c r="AY119" s="447"/>
      <c r="AZ119" s="447"/>
      <c r="BA119" s="447"/>
      <c r="BB119" s="447"/>
      <c r="BC119" s="447"/>
      <c r="BD119" s="447"/>
      <c r="BE119" s="447"/>
      <c r="BF119" s="447"/>
    </row>
    <row r="120" spans="1:58" ht="15.75" hidden="1" customHeight="1" outlineLevel="1">
      <c r="C120" s="159"/>
      <c r="D120" s="651" t="s">
        <v>1484</v>
      </c>
      <c r="E120" s="646"/>
      <c r="F120" s="646"/>
      <c r="G120" s="646"/>
      <c r="H120" s="646"/>
      <c r="I120" s="447"/>
      <c r="J120" s="652">
        <f>K120/$K$116</f>
        <v>0.27988898663681122</v>
      </c>
      <c r="K120" s="646">
        <v>-804039.31875316706</v>
      </c>
      <c r="L120" s="646">
        <f>886000*-1.35-87000*1.35</f>
        <v>-1313550</v>
      </c>
      <c r="M120" s="646">
        <f t="shared" ref="M120:R120" si="63">M73*M31</f>
        <v>-1075800.0000000002</v>
      </c>
      <c r="N120" s="702">
        <f t="shared" si="63"/>
        <v>-974600.00000000023</v>
      </c>
      <c r="O120" s="646">
        <f t="shared" si="63"/>
        <v>-1088772.1449233498</v>
      </c>
      <c r="P120" s="74">
        <f t="shared" si="63"/>
        <v>-1410200</v>
      </c>
      <c r="Q120" s="646">
        <f t="shared" si="63"/>
        <v>-1192800</v>
      </c>
      <c r="R120" s="646">
        <f t="shared" si="63"/>
        <v>-1291067.7553233469</v>
      </c>
      <c r="S120" s="646"/>
      <c r="T120" s="646"/>
      <c r="U120" s="646">
        <f t="shared" ref="U120:Z120" si="64">U73*U31</f>
        <v>-1291067.7553233469</v>
      </c>
      <c r="V120" s="646">
        <f t="shared" si="64"/>
        <v>-1291067.7553233469</v>
      </c>
      <c r="W120" s="646">
        <f t="shared" si="64"/>
        <v>-1291067.7553233469</v>
      </c>
      <c r="X120" s="646">
        <f t="shared" si="64"/>
        <v>-1291067.7553233469</v>
      </c>
      <c r="Y120" s="646">
        <f t="shared" si="64"/>
        <v>-1291067.7553233469</v>
      </c>
      <c r="Z120" s="646">
        <f t="shared" si="64"/>
        <v>-1291067.7553233469</v>
      </c>
      <c r="AA120" s="447"/>
      <c r="AB120" s="447"/>
      <c r="AC120" s="447"/>
      <c r="AD120" s="447"/>
      <c r="AE120" s="447"/>
      <c r="AF120" s="447"/>
      <c r="AG120" s="447"/>
      <c r="AH120" s="447"/>
      <c r="AI120" s="447"/>
      <c r="AJ120" s="447"/>
      <c r="AK120" s="447"/>
      <c r="AL120" s="447"/>
      <c r="AM120" s="447"/>
      <c r="AN120" s="447"/>
      <c r="AO120" s="447"/>
      <c r="AP120" s="447"/>
      <c r="AQ120" s="447"/>
      <c r="AR120" s="447"/>
      <c r="AS120" s="447"/>
      <c r="AT120" s="447"/>
      <c r="AU120" s="447"/>
      <c r="AV120" s="447"/>
      <c r="AW120" s="447"/>
      <c r="AX120" s="447"/>
      <c r="AY120" s="447"/>
      <c r="AZ120" s="447"/>
      <c r="BA120" s="447"/>
      <c r="BB120" s="447"/>
      <c r="BC120" s="447"/>
      <c r="BD120" s="447"/>
      <c r="BE120" s="447"/>
      <c r="BF120" s="447"/>
    </row>
    <row r="121" spans="1:58" ht="15.75" hidden="1" customHeight="1" outlineLevel="1">
      <c r="D121" s="651" t="s">
        <v>1485</v>
      </c>
      <c r="E121" s="651"/>
      <c r="F121" s="651"/>
      <c r="G121" s="646"/>
      <c r="H121" s="646"/>
      <c r="I121" s="447"/>
      <c r="J121" s="652">
        <f>K121/$K$116</f>
        <v>0.11221585449478845</v>
      </c>
      <c r="K121" s="646">
        <f>-644726.756028975/2</f>
        <v>-322363.37801448751</v>
      </c>
      <c r="L121" s="448">
        <f>-(928000+723000)*1.35</f>
        <v>-2228850</v>
      </c>
      <c r="M121" s="448">
        <f t="shared" ref="M121:V121" si="65">M74*M31</f>
        <v>-1813900.0000000002</v>
      </c>
      <c r="N121" s="452">
        <f t="shared" si="65"/>
        <v>-2288000</v>
      </c>
      <c r="O121" s="448">
        <f t="shared" si="65"/>
        <v>-2382600</v>
      </c>
      <c r="P121" s="538">
        <f t="shared" si="65"/>
        <v>-2992000.0000000005</v>
      </c>
      <c r="Q121" s="448">
        <f t="shared" si="65"/>
        <v>-3612000.0000000005</v>
      </c>
      <c r="R121" s="448">
        <f t="shared" si="65"/>
        <v>-3934350</v>
      </c>
      <c r="S121" s="448"/>
      <c r="T121" s="448"/>
      <c r="U121" s="448">
        <f>U74*U31</f>
        <v>-3934350</v>
      </c>
      <c r="V121" s="448">
        <f t="shared" si="65"/>
        <v>-3934350</v>
      </c>
      <c r="W121" s="448">
        <f>W74*W31</f>
        <v>-3934350</v>
      </c>
      <c r="X121" s="448">
        <f>X74*X31</f>
        <v>-3934350</v>
      </c>
      <c r="Y121" s="448">
        <f>Y74*Y31</f>
        <v>-3934350</v>
      </c>
      <c r="Z121" s="448">
        <f>Z74*Z31</f>
        <v>-3934350</v>
      </c>
    </row>
    <row r="122" spans="1:58" ht="15.75" hidden="1" customHeight="1" outlineLevel="1">
      <c r="D122" s="674" t="s">
        <v>1486</v>
      </c>
      <c r="E122" s="651"/>
      <c r="F122" s="651"/>
      <c r="G122" s="646"/>
      <c r="H122" s="646"/>
      <c r="I122" s="447"/>
      <c r="J122" s="652"/>
      <c r="K122" s="646">
        <v>-30843.4106062262</v>
      </c>
      <c r="L122" s="448">
        <f>-(116000+283000)*1.35</f>
        <v>-538650</v>
      </c>
      <c r="M122" s="448">
        <f t="shared" ref="M122:R122" si="66">M75*M31</f>
        <v>-478500.00000000012</v>
      </c>
      <c r="N122" s="452">
        <f t="shared" si="66"/>
        <v>-448800.00000000006</v>
      </c>
      <c r="O122" s="448">
        <f t="shared" si="66"/>
        <v>-602800</v>
      </c>
      <c r="P122" s="538">
        <f t="shared" si="66"/>
        <v>-474100.00000000012</v>
      </c>
      <c r="Q122" s="448">
        <f t="shared" si="66"/>
        <v>-418950</v>
      </c>
      <c r="R122" s="448">
        <f t="shared" si="66"/>
        <v>-447300.00000000006</v>
      </c>
      <c r="S122" s="448"/>
      <c r="T122" s="448"/>
      <c r="U122" s="448">
        <f t="shared" ref="U122:Z122" si="67">U75*U31</f>
        <v>-447300.00000000006</v>
      </c>
      <c r="V122" s="448">
        <f t="shared" si="67"/>
        <v>-447300.00000000006</v>
      </c>
      <c r="W122" s="448">
        <f t="shared" si="67"/>
        <v>-447300.00000000006</v>
      </c>
      <c r="X122" s="448">
        <f t="shared" si="67"/>
        <v>-447300.00000000006</v>
      </c>
      <c r="Y122" s="448">
        <f t="shared" si="67"/>
        <v>-447300.00000000006</v>
      </c>
      <c r="Z122" s="448">
        <f t="shared" si="67"/>
        <v>-447300.00000000006</v>
      </c>
    </row>
    <row r="123" spans="1:58" ht="15.75" hidden="1" customHeight="1" outlineLevel="1">
      <c r="C123" s="159"/>
      <c r="D123" s="681"/>
      <c r="E123" s="646"/>
      <c r="F123" s="646"/>
      <c r="G123" s="646"/>
      <c r="H123" s="646"/>
      <c r="I123" s="447"/>
      <c r="J123" s="672"/>
      <c r="K123" s="448"/>
      <c r="L123" s="448"/>
      <c r="M123" s="448"/>
      <c r="N123" s="452"/>
      <c r="O123" s="448"/>
      <c r="P123" s="538"/>
      <c r="Q123" s="448"/>
      <c r="R123" s="448"/>
      <c r="S123" s="448"/>
      <c r="T123" s="448"/>
      <c r="U123" s="448"/>
      <c r="V123" s="448"/>
      <c r="W123" s="448"/>
      <c r="X123" s="448"/>
      <c r="Y123" s="448"/>
      <c r="Z123" s="448"/>
      <c r="AA123" s="447"/>
      <c r="AB123" s="447"/>
      <c r="AC123" s="447"/>
      <c r="AD123" s="447"/>
      <c r="AE123" s="447"/>
      <c r="AF123" s="447"/>
      <c r="AG123" s="447"/>
      <c r="AH123" s="447"/>
      <c r="AI123" s="447"/>
      <c r="AJ123" s="447"/>
      <c r="AK123" s="447"/>
      <c r="AL123" s="447"/>
      <c r="AM123" s="447"/>
      <c r="AN123" s="447"/>
      <c r="AO123" s="447"/>
      <c r="AP123" s="447"/>
      <c r="AQ123" s="447"/>
      <c r="AR123" s="447"/>
      <c r="AS123" s="447"/>
      <c r="AT123" s="447"/>
      <c r="AU123" s="447"/>
      <c r="AV123" s="447"/>
      <c r="AW123" s="447"/>
      <c r="AX123" s="447"/>
      <c r="AY123" s="447"/>
      <c r="AZ123" s="447"/>
      <c r="BA123" s="447"/>
      <c r="BB123" s="447"/>
      <c r="BC123" s="447"/>
      <c r="BD123" s="447"/>
      <c r="BE123" s="447"/>
      <c r="BF123" s="447"/>
    </row>
    <row r="124" spans="1:58" ht="15.75" hidden="1" customHeight="1" outlineLevel="1">
      <c r="D124" s="676" t="s">
        <v>1487</v>
      </c>
      <c r="E124" s="646"/>
      <c r="F124" s="646"/>
      <c r="G124" s="646"/>
      <c r="H124" s="646"/>
      <c r="I124" s="447"/>
      <c r="J124" s="448"/>
      <c r="K124" s="448">
        <f>SUM(K125:K130)</f>
        <v>-2859085.7818539538</v>
      </c>
      <c r="L124" s="448">
        <f>SUM(L125:L130)</f>
        <v>-5645700</v>
      </c>
      <c r="M124" s="448">
        <f t="shared" ref="M124:V124" si="68">SUM(M125:M129)</f>
        <v>-5645200</v>
      </c>
      <c r="N124" s="452">
        <f t="shared" si="68"/>
        <v>-5519800</v>
      </c>
      <c r="O124" s="448">
        <f t="shared" si="68"/>
        <v>-6587900</v>
      </c>
      <c r="P124" s="538">
        <f t="shared" si="68"/>
        <v>-5366900.0000000009</v>
      </c>
      <c r="Q124" s="448">
        <f t="shared" si="68"/>
        <v>-5309850</v>
      </c>
      <c r="R124" s="448">
        <f t="shared" si="68"/>
        <v>-6098400</v>
      </c>
      <c r="S124" s="448"/>
      <c r="T124" s="448"/>
      <c r="U124" s="448">
        <f>SUM(U125:U129)</f>
        <v>-6098400</v>
      </c>
      <c r="V124" s="448">
        <f t="shared" si="68"/>
        <v>-6098400</v>
      </c>
      <c r="W124" s="448">
        <f>SUM(W125:W129)</f>
        <v>-6098400</v>
      </c>
      <c r="X124" s="448">
        <f>SUM(X125:X129)</f>
        <v>-6098400</v>
      </c>
      <c r="Y124" s="448">
        <f>SUM(Y125:Y129)</f>
        <v>-6098400</v>
      </c>
      <c r="Z124" s="448">
        <f>SUM(Z125:Z129)</f>
        <v>-6098400</v>
      </c>
    </row>
    <row r="125" spans="1:58" ht="15.75" hidden="1" customHeight="1" outlineLevel="1">
      <c r="D125" s="651" t="s">
        <v>1481</v>
      </c>
      <c r="E125" s="646"/>
      <c r="F125" s="646"/>
      <c r="G125" s="646"/>
      <c r="H125" s="646"/>
      <c r="I125" s="447"/>
      <c r="J125" s="672"/>
      <c r="K125" s="646">
        <v>-685487.802939218</v>
      </c>
      <c r="L125" s="646">
        <f>-1112000*1.35</f>
        <v>-1501200</v>
      </c>
      <c r="M125" s="646">
        <f t="shared" ref="M125:R125" si="69">M78*M31</f>
        <v>-1481700.0000000002</v>
      </c>
      <c r="N125" s="702">
        <f t="shared" si="69"/>
        <v>-1568600.0000000002</v>
      </c>
      <c r="O125" s="646">
        <f>O78*O31</f>
        <v>-1575200.0000000002</v>
      </c>
      <c r="P125" s="74">
        <f t="shared" si="69"/>
        <v>-1670900.0000000002</v>
      </c>
      <c r="Q125" s="646">
        <f t="shared" si="69"/>
        <v>-1799699.9999999998</v>
      </c>
      <c r="R125" s="646">
        <f t="shared" si="69"/>
        <v>-1960350</v>
      </c>
      <c r="S125" s="646"/>
      <c r="T125" s="646"/>
      <c r="U125" s="646">
        <f t="shared" ref="U125:Z125" si="70">U78*U31</f>
        <v>-1960350</v>
      </c>
      <c r="V125" s="646">
        <f t="shared" si="70"/>
        <v>-1960350</v>
      </c>
      <c r="W125" s="646">
        <f t="shared" si="70"/>
        <v>-1960350</v>
      </c>
      <c r="X125" s="646">
        <f t="shared" si="70"/>
        <v>-1960350</v>
      </c>
      <c r="Y125" s="646">
        <f t="shared" si="70"/>
        <v>-1960350</v>
      </c>
      <c r="Z125" s="646">
        <f t="shared" si="70"/>
        <v>-1960350</v>
      </c>
    </row>
    <row r="126" spans="1:58" ht="15.75" hidden="1" customHeight="1" outlineLevel="1">
      <c r="C126" s="159"/>
      <c r="D126" s="651" t="s">
        <v>1483</v>
      </c>
      <c r="E126" s="646"/>
      <c r="F126" s="646"/>
      <c r="G126" s="646"/>
      <c r="H126" s="646"/>
      <c r="I126" s="447"/>
      <c r="J126" s="672"/>
      <c r="K126" s="646">
        <v>-1768222.6174743399</v>
      </c>
      <c r="L126" s="646">
        <f>-1263000*1.35-772000*1.35</f>
        <v>-2747250</v>
      </c>
      <c r="M126" s="646">
        <f t="shared" ref="M126:R126" si="71">M79*M31</f>
        <v>-2359500</v>
      </c>
      <c r="N126" s="702">
        <f t="shared" si="71"/>
        <v>-1989899.9999999998</v>
      </c>
      <c r="O126" s="646">
        <f t="shared" si="71"/>
        <v>-2041600.0000000002</v>
      </c>
      <c r="P126" s="74">
        <f t="shared" si="71"/>
        <v>-1645600.0000000002</v>
      </c>
      <c r="Q126" s="646">
        <f t="shared" si="71"/>
        <v>-1522500.0000000002</v>
      </c>
      <c r="R126" s="646">
        <f t="shared" si="71"/>
        <v>-1640100</v>
      </c>
      <c r="S126" s="646"/>
      <c r="T126" s="646"/>
      <c r="U126" s="646">
        <f t="shared" ref="U126:Z126" si="72">U79*U31</f>
        <v>-1640100</v>
      </c>
      <c r="V126" s="646">
        <f t="shared" si="72"/>
        <v>-1640100</v>
      </c>
      <c r="W126" s="646">
        <f t="shared" si="72"/>
        <v>-1640100</v>
      </c>
      <c r="X126" s="646">
        <f t="shared" si="72"/>
        <v>-1640100</v>
      </c>
      <c r="Y126" s="646">
        <f t="shared" si="72"/>
        <v>-1640100</v>
      </c>
      <c r="Z126" s="646">
        <f t="shared" si="72"/>
        <v>-1640100</v>
      </c>
      <c r="AA126" s="447"/>
      <c r="AB126" s="447"/>
      <c r="AC126" s="447"/>
      <c r="AD126" s="447"/>
      <c r="AE126" s="447"/>
      <c r="AF126" s="447"/>
      <c r="AG126" s="447"/>
      <c r="AH126" s="447"/>
      <c r="AI126" s="447"/>
      <c r="AJ126" s="447"/>
      <c r="AK126" s="447"/>
      <c r="AL126" s="447"/>
      <c r="AM126" s="447"/>
      <c r="AN126" s="447"/>
      <c r="AO126" s="447"/>
      <c r="AP126" s="447"/>
      <c r="AQ126" s="447"/>
      <c r="AR126" s="447"/>
      <c r="AS126" s="447"/>
      <c r="AT126" s="447"/>
      <c r="AU126" s="447"/>
      <c r="AV126" s="447"/>
      <c r="AW126" s="447"/>
      <c r="AX126" s="447"/>
      <c r="AY126" s="447"/>
      <c r="AZ126" s="447"/>
      <c r="BA126" s="447"/>
      <c r="BB126" s="447"/>
      <c r="BC126" s="447"/>
      <c r="BD126" s="447"/>
      <c r="BE126" s="447"/>
      <c r="BF126" s="447"/>
    </row>
    <row r="127" spans="1:58" ht="15.75" hidden="1" customHeight="1" outlineLevel="1">
      <c r="C127" s="159"/>
      <c r="D127" s="651" t="s">
        <v>1484</v>
      </c>
      <c r="E127" s="646"/>
      <c r="F127" s="646"/>
      <c r="G127" s="646"/>
      <c r="H127" s="646"/>
      <c r="I127" s="447"/>
      <c r="J127" s="672"/>
      <c r="K127" s="646">
        <v>-83011.983425908402</v>
      </c>
      <c r="L127" s="646">
        <f>-45000*1.35-17000*1.35</f>
        <v>-83700</v>
      </c>
      <c r="M127" s="646">
        <f t="shared" ref="M127:R127" si="73">M80*M31</f>
        <v>-455400.00000000006</v>
      </c>
      <c r="N127" s="702">
        <f t="shared" si="73"/>
        <v>-434500.00000000006</v>
      </c>
      <c r="O127" s="646">
        <f t="shared" si="73"/>
        <v>-166100</v>
      </c>
      <c r="P127" s="74">
        <f t="shared" si="73"/>
        <v>-420200</v>
      </c>
      <c r="Q127" s="646">
        <f t="shared" si="73"/>
        <v>-425250</v>
      </c>
      <c r="R127" s="646">
        <f t="shared" si="73"/>
        <v>-512400</v>
      </c>
      <c r="S127" s="646"/>
      <c r="T127" s="646"/>
      <c r="U127" s="646">
        <f t="shared" ref="U127:Z127" si="74">U80*U31</f>
        <v>-512400</v>
      </c>
      <c r="V127" s="646">
        <f t="shared" si="74"/>
        <v>-512400</v>
      </c>
      <c r="W127" s="646">
        <f t="shared" si="74"/>
        <v>-512400</v>
      </c>
      <c r="X127" s="646">
        <f t="shared" si="74"/>
        <v>-512400</v>
      </c>
      <c r="Y127" s="646">
        <f t="shared" si="74"/>
        <v>-512400</v>
      </c>
      <c r="Z127" s="646">
        <f t="shared" si="74"/>
        <v>-512400</v>
      </c>
      <c r="AA127" s="447"/>
      <c r="AB127" s="447"/>
      <c r="AC127" s="447"/>
      <c r="AD127" s="447"/>
      <c r="AE127" s="447"/>
      <c r="AF127" s="447"/>
      <c r="AG127" s="447"/>
      <c r="AH127" s="447"/>
      <c r="AI127" s="447"/>
      <c r="AJ127" s="447"/>
      <c r="AK127" s="447"/>
      <c r="AL127" s="447"/>
      <c r="AM127" s="447"/>
      <c r="AN127" s="447"/>
      <c r="AO127" s="447"/>
      <c r="AP127" s="447"/>
      <c r="AQ127" s="447"/>
      <c r="AR127" s="447"/>
      <c r="AS127" s="447"/>
      <c r="AT127" s="447"/>
      <c r="AU127" s="447"/>
      <c r="AV127" s="447"/>
      <c r="AW127" s="447"/>
      <c r="AX127" s="447"/>
      <c r="AY127" s="447"/>
      <c r="AZ127" s="447"/>
      <c r="BA127" s="447"/>
      <c r="BB127" s="447"/>
      <c r="BC127" s="447"/>
      <c r="BD127" s="447"/>
      <c r="BE127" s="447"/>
      <c r="BF127" s="447"/>
    </row>
    <row r="128" spans="1:58" ht="15.75" hidden="1" customHeight="1" outlineLevel="1">
      <c r="C128" s="159"/>
      <c r="D128" s="651" t="s">
        <v>1488</v>
      </c>
      <c r="E128" s="646"/>
      <c r="F128" s="646"/>
      <c r="G128" s="646"/>
      <c r="H128" s="646"/>
      <c r="I128" s="447"/>
      <c r="J128" s="672"/>
      <c r="K128" s="646">
        <f>-644726.756028975/2</f>
        <v>-322363.37801448751</v>
      </c>
      <c r="L128" s="646">
        <f>-389000*1.35-516000*1.35</f>
        <v>-1221750</v>
      </c>
      <c r="M128" s="646">
        <f t="shared" ref="M128:R128" si="75">M81*M31</f>
        <v>-1260600</v>
      </c>
      <c r="N128" s="702">
        <f t="shared" si="75"/>
        <v>-1442100</v>
      </c>
      <c r="O128" s="646">
        <f t="shared" si="75"/>
        <v>-2620200</v>
      </c>
      <c r="P128" s="74">
        <f t="shared" si="75"/>
        <v>-1493800.0000000002</v>
      </c>
      <c r="Q128" s="646">
        <f t="shared" si="75"/>
        <v>-1471050</v>
      </c>
      <c r="R128" s="646">
        <f t="shared" si="75"/>
        <v>-1862700</v>
      </c>
      <c r="S128" s="646"/>
      <c r="T128" s="646"/>
      <c r="U128" s="646">
        <f t="shared" ref="U128:Z128" si="76">U81*U31</f>
        <v>-1862700</v>
      </c>
      <c r="V128" s="646">
        <f t="shared" si="76"/>
        <v>-1862700</v>
      </c>
      <c r="W128" s="646">
        <f t="shared" si="76"/>
        <v>-1862700</v>
      </c>
      <c r="X128" s="646">
        <f t="shared" si="76"/>
        <v>-1862700</v>
      </c>
      <c r="Y128" s="646">
        <f t="shared" si="76"/>
        <v>-1862700</v>
      </c>
      <c r="Z128" s="646">
        <f t="shared" si="76"/>
        <v>-1862700</v>
      </c>
      <c r="AA128" s="447"/>
      <c r="AB128" s="447"/>
      <c r="AC128" s="447"/>
      <c r="AD128" s="447"/>
      <c r="AE128" s="447"/>
      <c r="AF128" s="447"/>
      <c r="AG128" s="447"/>
      <c r="AH128" s="447"/>
      <c r="AI128" s="447"/>
      <c r="AJ128" s="447"/>
      <c r="AK128" s="447"/>
      <c r="AL128" s="447"/>
      <c r="AM128" s="447"/>
      <c r="AN128" s="447"/>
      <c r="AO128" s="447"/>
      <c r="AP128" s="447"/>
      <c r="AQ128" s="447"/>
      <c r="AR128" s="447"/>
      <c r="AS128" s="447"/>
      <c r="AT128" s="447"/>
      <c r="AU128" s="447"/>
      <c r="AV128" s="447"/>
      <c r="AW128" s="447"/>
      <c r="AX128" s="447"/>
      <c r="AY128" s="447"/>
      <c r="AZ128" s="447"/>
      <c r="BA128" s="447"/>
      <c r="BB128" s="447"/>
      <c r="BC128" s="447"/>
      <c r="BD128" s="447"/>
      <c r="BE128" s="447"/>
      <c r="BF128" s="447"/>
    </row>
    <row r="129" spans="1:58" ht="15.75" hidden="1" customHeight="1" outlineLevel="1">
      <c r="C129" s="159"/>
      <c r="D129" s="674" t="s">
        <v>1489</v>
      </c>
      <c r="E129" s="646"/>
      <c r="F129" s="646"/>
      <c r="G129" s="646"/>
      <c r="H129" s="646"/>
      <c r="I129" s="447"/>
      <c r="J129" s="672"/>
      <c r="K129" s="646"/>
      <c r="L129" s="646">
        <f>-(22000+46000)*1.35</f>
        <v>-91800</v>
      </c>
      <c r="M129" s="646">
        <f t="shared" ref="M129:R129" si="77">M82*M31</f>
        <v>-88000.000000000015</v>
      </c>
      <c r="N129" s="702">
        <f t="shared" si="77"/>
        <v>-84700</v>
      </c>
      <c r="O129" s="646">
        <f t="shared" si="77"/>
        <v>-184800.00000000003</v>
      </c>
      <c r="P129" s="74">
        <f t="shared" si="77"/>
        <v>-136400</v>
      </c>
      <c r="Q129" s="646">
        <f t="shared" si="77"/>
        <v>-91350</v>
      </c>
      <c r="R129" s="646">
        <f t="shared" si="77"/>
        <v>-122850</v>
      </c>
      <c r="S129" s="646"/>
      <c r="T129" s="646"/>
      <c r="U129" s="646">
        <f t="shared" ref="U129:Z129" si="78">U82*U31</f>
        <v>-122850</v>
      </c>
      <c r="V129" s="646">
        <f t="shared" si="78"/>
        <v>-122850</v>
      </c>
      <c r="W129" s="646">
        <f t="shared" si="78"/>
        <v>-122850</v>
      </c>
      <c r="X129" s="646">
        <f t="shared" si="78"/>
        <v>-122850</v>
      </c>
      <c r="Y129" s="646">
        <f t="shared" si="78"/>
        <v>-122850</v>
      </c>
      <c r="Z129" s="646">
        <f t="shared" si="78"/>
        <v>-122850</v>
      </c>
      <c r="AA129" s="447"/>
      <c r="AB129" s="447"/>
      <c r="AC129" s="447"/>
      <c r="AD129" s="447"/>
      <c r="AE129" s="447"/>
      <c r="AF129" s="447"/>
      <c r="AG129" s="447"/>
      <c r="AH129" s="447"/>
      <c r="AI129" s="447"/>
      <c r="AJ129" s="447"/>
      <c r="AK129" s="447"/>
      <c r="AL129" s="447"/>
      <c r="AM129" s="447"/>
      <c r="AN129" s="447"/>
      <c r="AO129" s="447"/>
      <c r="AP129" s="447"/>
      <c r="AQ129" s="447"/>
      <c r="AR129" s="447"/>
      <c r="AS129" s="447"/>
      <c r="AT129" s="447"/>
      <c r="AU129" s="447"/>
      <c r="AV129" s="447"/>
      <c r="AW129" s="447"/>
      <c r="AX129" s="447"/>
      <c r="AY129" s="447"/>
      <c r="AZ129" s="447"/>
      <c r="BA129" s="447"/>
      <c r="BB129" s="447"/>
      <c r="BC129" s="447"/>
      <c r="BD129" s="447"/>
      <c r="BE129" s="447"/>
      <c r="BF129" s="447"/>
    </row>
    <row r="130" spans="1:58" ht="15.75" hidden="1" customHeight="1" outlineLevel="1">
      <c r="C130" s="159"/>
      <c r="D130" s="651"/>
      <c r="E130" s="646"/>
      <c r="F130" s="646"/>
      <c r="G130" s="646"/>
      <c r="H130" s="646"/>
      <c r="I130" s="447"/>
      <c r="J130" s="672"/>
      <c r="K130" s="646"/>
      <c r="L130" s="646"/>
      <c r="M130" s="646"/>
      <c r="N130" s="702"/>
      <c r="O130" s="646"/>
      <c r="P130" s="74"/>
      <c r="Q130" s="646"/>
      <c r="R130" s="646"/>
      <c r="S130" s="646"/>
      <c r="T130" s="646"/>
      <c r="U130" s="646"/>
      <c r="V130" s="646"/>
      <c r="W130" s="646"/>
      <c r="X130" s="646"/>
      <c r="Y130" s="646"/>
      <c r="Z130" s="646"/>
      <c r="AA130" s="447"/>
      <c r="AB130" s="447"/>
      <c r="AC130" s="447"/>
      <c r="AD130" s="447"/>
      <c r="AE130" s="447"/>
      <c r="AF130" s="447"/>
      <c r="AG130" s="447"/>
      <c r="AH130" s="447"/>
      <c r="AI130" s="447"/>
      <c r="AJ130" s="447"/>
      <c r="AK130" s="447"/>
      <c r="AL130" s="447"/>
      <c r="AM130" s="447"/>
      <c r="AN130" s="447"/>
      <c r="AO130" s="447"/>
      <c r="AP130" s="447"/>
      <c r="AQ130" s="447"/>
      <c r="AR130" s="447"/>
      <c r="AS130" s="447"/>
      <c r="AT130" s="447"/>
      <c r="AU130" s="447"/>
      <c r="AV130" s="447"/>
      <c r="AW130" s="447"/>
      <c r="AX130" s="447"/>
      <c r="AY130" s="447"/>
      <c r="AZ130" s="447"/>
      <c r="BA130" s="447"/>
      <c r="BB130" s="447"/>
      <c r="BC130" s="447"/>
      <c r="BD130" s="447"/>
      <c r="BE130" s="447"/>
      <c r="BF130" s="447"/>
    </row>
    <row r="131" spans="1:58" s="102" customFormat="1" ht="15.75" hidden="1" customHeight="1" outlineLevel="1">
      <c r="A131" s="75"/>
      <c r="B131" s="75"/>
      <c r="C131" s="683"/>
      <c r="D131" s="676" t="s">
        <v>1490</v>
      </c>
      <c r="E131" s="676"/>
      <c r="F131" s="684"/>
      <c r="G131" s="684"/>
      <c r="H131" s="684"/>
      <c r="I131" s="685"/>
      <c r="J131" s="672"/>
      <c r="K131" s="684">
        <f t="shared" ref="K131:W131" si="79">K84</f>
        <v>0</v>
      </c>
      <c r="L131" s="684">
        <f t="shared" si="79"/>
        <v>-791100</v>
      </c>
      <c r="M131" s="684">
        <f t="shared" si="79"/>
        <v>-2347400</v>
      </c>
      <c r="N131" s="453">
        <f t="shared" si="79"/>
        <v>-786426.81276837597</v>
      </c>
      <c r="O131" s="684">
        <f t="shared" si="79"/>
        <v>-841950.03566395654</v>
      </c>
      <c r="P131" s="126">
        <f t="shared" si="79"/>
        <v>-2494804.9837934603</v>
      </c>
      <c r="Q131" s="684">
        <f t="shared" si="79"/>
        <v>-2584470.264552</v>
      </c>
      <c r="R131" s="684">
        <f t="shared" si="79"/>
        <v>-2595307.125</v>
      </c>
      <c r="S131" s="684"/>
      <c r="T131" s="684"/>
      <c r="U131" s="684">
        <f>U84</f>
        <v>-1825822.9500000002</v>
      </c>
      <c r="V131" s="684">
        <f t="shared" si="79"/>
        <v>-3053302.5</v>
      </c>
      <c r="W131" s="684">
        <f t="shared" si="79"/>
        <v>-3053302.5</v>
      </c>
      <c r="X131" s="684">
        <f>X84</f>
        <v>-3053302.5</v>
      </c>
      <c r="Y131" s="684">
        <f>Y84</f>
        <v>-3053302.5</v>
      </c>
      <c r="Z131" s="684">
        <f>Z84</f>
        <v>-3053302.5</v>
      </c>
      <c r="AA131" s="685"/>
      <c r="AB131" s="685"/>
      <c r="AC131" s="685"/>
      <c r="AD131" s="685"/>
      <c r="AE131" s="685"/>
      <c r="AF131" s="685"/>
      <c r="AG131" s="685"/>
      <c r="AH131" s="685"/>
      <c r="AI131" s="685"/>
      <c r="AJ131" s="685"/>
      <c r="AK131" s="685"/>
      <c r="AL131" s="685"/>
      <c r="AM131" s="685"/>
      <c r="AN131" s="685"/>
      <c r="AO131" s="685"/>
      <c r="AP131" s="685"/>
      <c r="AQ131" s="685"/>
      <c r="AR131" s="685"/>
      <c r="AS131" s="685"/>
      <c r="AT131" s="685"/>
      <c r="AU131" s="685"/>
      <c r="AV131" s="685"/>
      <c r="AW131" s="685"/>
      <c r="AX131" s="685"/>
      <c r="AY131" s="685"/>
      <c r="AZ131" s="685"/>
      <c r="BA131" s="685"/>
      <c r="BB131" s="685"/>
      <c r="BC131" s="685"/>
      <c r="BD131" s="685"/>
      <c r="BE131" s="685"/>
      <c r="BF131" s="685"/>
    </row>
    <row r="132" spans="1:58" ht="15.75" hidden="1" customHeight="1" outlineLevel="1">
      <c r="C132" s="159"/>
      <c r="D132" s="676"/>
      <c r="E132" s="646"/>
      <c r="F132" s="646"/>
      <c r="G132" s="646"/>
      <c r="H132" s="646"/>
      <c r="I132" s="447"/>
      <c r="J132" s="672"/>
      <c r="K132" s="686"/>
      <c r="L132" s="686"/>
      <c r="M132" s="686"/>
      <c r="N132" s="714"/>
      <c r="O132" s="686"/>
      <c r="P132" s="687"/>
      <c r="Q132" s="686"/>
      <c r="R132" s="686"/>
      <c r="S132" s="686"/>
      <c r="T132" s="686"/>
      <c r="U132" s="686"/>
      <c r="V132" s="686"/>
      <c r="W132" s="686"/>
      <c r="X132" s="686"/>
      <c r="Y132" s="686"/>
      <c r="Z132" s="686"/>
      <c r="AA132" s="447"/>
      <c r="AB132" s="447"/>
      <c r="AC132" s="447"/>
      <c r="AD132" s="447"/>
      <c r="AE132" s="447"/>
      <c r="AF132" s="447"/>
      <c r="AG132" s="447"/>
      <c r="AH132" s="447"/>
      <c r="AI132" s="447"/>
      <c r="AJ132" s="447"/>
      <c r="AK132" s="447"/>
      <c r="AL132" s="447"/>
      <c r="AM132" s="447"/>
      <c r="AN132" s="447"/>
      <c r="AO132" s="447"/>
      <c r="AP132" s="447"/>
      <c r="AQ132" s="447"/>
      <c r="AR132" s="447"/>
      <c r="AS132" s="447"/>
      <c r="AT132" s="447"/>
      <c r="AU132" s="447"/>
      <c r="AV132" s="447"/>
      <c r="AW132" s="447"/>
      <c r="AX132" s="447"/>
      <c r="AY132" s="447"/>
      <c r="AZ132" s="447"/>
      <c r="BA132" s="447"/>
      <c r="BB132" s="447"/>
      <c r="BC132" s="447"/>
      <c r="BD132" s="447"/>
      <c r="BE132" s="447"/>
      <c r="BF132" s="447"/>
    </row>
    <row r="133" spans="1:58" ht="15.75" hidden="1" customHeight="1" outlineLevel="1">
      <c r="C133" s="159"/>
      <c r="D133" s="679" t="s">
        <v>1491</v>
      </c>
      <c r="E133" s="670"/>
      <c r="F133" s="670"/>
      <c r="G133" s="670"/>
      <c r="H133" s="670"/>
      <c r="I133" s="670"/>
      <c r="J133" s="646">
        <f t="shared" ref="J133:O133" si="80">J96</f>
        <v>-182277.91179527499</v>
      </c>
      <c r="K133" s="646">
        <f t="shared" si="80"/>
        <v>-2335719.7896321509</v>
      </c>
      <c r="L133" s="646">
        <f t="shared" si="80"/>
        <v>-5718600</v>
      </c>
      <c r="M133" s="646">
        <f>M96</f>
        <v>-5735400</v>
      </c>
      <c r="N133" s="702">
        <f t="shared" si="80"/>
        <v>-5161200.0000000009</v>
      </c>
      <c r="O133" s="646">
        <f t="shared" si="80"/>
        <v>-5674900</v>
      </c>
      <c r="P133" s="74">
        <f t="shared" ref="P133:X133" si="81">P96</f>
        <v>-5352600.0000000009</v>
      </c>
      <c r="Q133" s="646">
        <f t="shared" si="81"/>
        <v>-5135550</v>
      </c>
      <c r="R133" s="646">
        <f t="shared" si="81"/>
        <v>-5465250</v>
      </c>
      <c r="S133" s="646"/>
      <c r="T133" s="646"/>
      <c r="U133" s="646">
        <f>U96</f>
        <v>-5465250</v>
      </c>
      <c r="V133" s="646">
        <f t="shared" si="81"/>
        <v>-5816116.5916990386</v>
      </c>
      <c r="W133" s="646">
        <f t="shared" si="81"/>
        <v>-6189508.6607633401</v>
      </c>
      <c r="X133" s="646">
        <f t="shared" si="81"/>
        <v>-6586872.332707664</v>
      </c>
      <c r="Y133" s="646">
        <f>Y96</f>
        <v>-7009746.5736543434</v>
      </c>
      <c r="Z133" s="646">
        <f>Z96</f>
        <v>-7459769.1506585274</v>
      </c>
      <c r="AA133" s="447"/>
      <c r="AB133" s="447"/>
      <c r="AC133" s="447"/>
      <c r="AD133" s="447"/>
      <c r="AE133" s="447"/>
      <c r="AF133" s="447"/>
      <c r="AG133" s="447"/>
      <c r="AH133" s="447"/>
      <c r="AI133" s="447"/>
      <c r="AJ133" s="447"/>
      <c r="AK133" s="447"/>
      <c r="AL133" s="447"/>
      <c r="AM133" s="447"/>
      <c r="AN133" s="447"/>
      <c r="AO133" s="447"/>
      <c r="AP133" s="447"/>
      <c r="AQ133" s="447"/>
      <c r="AR133" s="447"/>
      <c r="AS133" s="447"/>
      <c r="AT133" s="447"/>
      <c r="AU133" s="447"/>
      <c r="AV133" s="447"/>
      <c r="AW133" s="447"/>
      <c r="AX133" s="447"/>
      <c r="AY133" s="447"/>
      <c r="AZ133" s="447"/>
      <c r="BA133" s="447"/>
      <c r="BB133" s="447"/>
      <c r="BC133" s="447"/>
      <c r="BD133" s="447"/>
      <c r="BE133" s="447"/>
      <c r="BF133" s="447"/>
    </row>
    <row r="134" spans="1:58" ht="15.75" hidden="1" customHeight="1" outlineLevel="1">
      <c r="C134" s="159"/>
      <c r="D134" s="680"/>
      <c r="E134" s="670"/>
      <c r="F134" s="670"/>
      <c r="G134" s="670"/>
      <c r="H134" s="670"/>
      <c r="I134" s="670"/>
      <c r="J134" s="670"/>
      <c r="K134" s="646"/>
      <c r="L134" s="646"/>
      <c r="M134" s="646"/>
      <c r="N134" s="702"/>
      <c r="O134" s="646"/>
      <c r="P134" s="74"/>
      <c r="Q134" s="646"/>
      <c r="R134" s="646"/>
      <c r="S134" s="646"/>
      <c r="T134" s="646"/>
      <c r="U134" s="646"/>
      <c r="V134" s="646"/>
      <c r="W134" s="646"/>
      <c r="X134" s="646"/>
      <c r="Y134" s="646"/>
      <c r="Z134" s="646"/>
      <c r="AA134" s="447"/>
      <c r="AB134" s="447"/>
      <c r="AC134" s="447"/>
      <c r="AD134" s="447"/>
      <c r="AE134" s="447"/>
      <c r="AF134" s="447"/>
      <c r="AG134" s="447"/>
      <c r="AH134" s="447"/>
      <c r="AI134" s="447"/>
      <c r="AJ134" s="447"/>
      <c r="AK134" s="447"/>
      <c r="AL134" s="447"/>
      <c r="AM134" s="447"/>
      <c r="AN134" s="447"/>
      <c r="AO134" s="447"/>
      <c r="AP134" s="447"/>
      <c r="AQ134" s="447"/>
      <c r="AR134" s="447"/>
      <c r="AS134" s="447"/>
      <c r="AT134" s="447"/>
      <c r="AU134" s="447"/>
      <c r="AV134" s="447"/>
      <c r="AW134" s="447"/>
      <c r="AX134" s="447"/>
      <c r="AY134" s="447"/>
      <c r="AZ134" s="447"/>
      <c r="BA134" s="447"/>
      <c r="BB134" s="447"/>
      <c r="BC134" s="447"/>
      <c r="BD134" s="447"/>
      <c r="BE134" s="447"/>
      <c r="BF134" s="447"/>
    </row>
    <row r="135" spans="1:58" ht="15.75" hidden="1" customHeight="1" outlineLevel="1">
      <c r="C135" s="159"/>
      <c r="D135" s="679" t="s">
        <v>1492</v>
      </c>
      <c r="E135" s="646"/>
      <c r="F135" s="646"/>
      <c r="G135" s="646"/>
      <c r="H135" s="646"/>
      <c r="I135" s="447"/>
      <c r="J135" s="448">
        <f>J91+J92+J93+J94</f>
        <v>0</v>
      </c>
      <c r="K135" s="448">
        <f>K91+K92+K93+K94</f>
        <v>-1257027.9288598932</v>
      </c>
      <c r="L135" s="448">
        <f>L91+L92+L93+L94</f>
        <v>-1262250</v>
      </c>
      <c r="M135" s="448">
        <f>M91+M92+M93+M94</f>
        <v>-1626900</v>
      </c>
      <c r="N135" s="452">
        <f>N91+N92+N93+N94+N95</f>
        <v>-7511152</v>
      </c>
      <c r="O135" s="448">
        <f t="shared" ref="O135:Z135" si="82">O91+O92+O93+O94</f>
        <v>-1972300</v>
      </c>
      <c r="P135" s="538">
        <f t="shared" si="82"/>
        <v>-2186800</v>
      </c>
      <c r="Q135" s="448">
        <f>Q91+Q92+Q93+Q94</f>
        <v>-1727250</v>
      </c>
      <c r="R135" s="448">
        <f t="shared" si="82"/>
        <v>-1416450</v>
      </c>
      <c r="S135" s="448"/>
      <c r="T135" s="448"/>
      <c r="U135" s="448">
        <f>U91+U92+U93+U94</f>
        <v>-1416450</v>
      </c>
      <c r="V135" s="448">
        <f t="shared" si="82"/>
        <v>-1416450</v>
      </c>
      <c r="W135" s="448">
        <f t="shared" si="82"/>
        <v>-1416450</v>
      </c>
      <c r="X135" s="448">
        <f t="shared" si="82"/>
        <v>-1416450</v>
      </c>
      <c r="Y135" s="448">
        <f t="shared" si="82"/>
        <v>-1416450</v>
      </c>
      <c r="Z135" s="448">
        <f t="shared" si="82"/>
        <v>-1416450</v>
      </c>
      <c r="AA135" s="447"/>
      <c r="AB135" s="447"/>
      <c r="AC135" s="447"/>
      <c r="AD135" s="447"/>
      <c r="AE135" s="447"/>
      <c r="AF135" s="447"/>
      <c r="AG135" s="447"/>
      <c r="AH135" s="447"/>
      <c r="AI135" s="447"/>
      <c r="AJ135" s="447"/>
      <c r="AK135" s="447"/>
      <c r="AL135" s="447"/>
      <c r="AM135" s="447"/>
      <c r="AN135" s="447"/>
      <c r="AO135" s="447"/>
      <c r="AP135" s="447"/>
      <c r="AQ135" s="447"/>
      <c r="AR135" s="447"/>
      <c r="AS135" s="447"/>
      <c r="AT135" s="447"/>
      <c r="AU135" s="447"/>
      <c r="AV135" s="447"/>
      <c r="AW135" s="447"/>
      <c r="AX135" s="447"/>
      <c r="AY135" s="447"/>
      <c r="AZ135" s="447"/>
      <c r="BA135" s="447"/>
      <c r="BB135" s="447"/>
      <c r="BC135" s="447"/>
      <c r="BD135" s="447"/>
      <c r="BE135" s="447"/>
      <c r="BF135" s="447"/>
    </row>
    <row r="136" spans="1:58" ht="15.75" hidden="1" customHeight="1" outlineLevel="1">
      <c r="C136" s="159"/>
      <c r="D136" s="679" t="s">
        <v>1493</v>
      </c>
      <c r="E136" s="646"/>
      <c r="F136" s="646"/>
      <c r="G136" s="646"/>
      <c r="H136" s="646"/>
      <c r="I136" s="447"/>
      <c r="J136" s="448"/>
      <c r="K136" s="448"/>
      <c r="L136" s="448"/>
      <c r="M136" s="448">
        <f>-9000000</f>
        <v>-9000000</v>
      </c>
      <c r="N136" s="452">
        <f>-4220858</f>
        <v>-4220858</v>
      </c>
      <c r="O136" s="79">
        <f>-5980000</f>
        <v>-5980000</v>
      </c>
      <c r="P136" s="79">
        <f>-6063000</f>
        <v>-6063000</v>
      </c>
      <c r="Q136" s="79">
        <f>-3763344</f>
        <v>-3763344</v>
      </c>
      <c r="R136" s="79">
        <f>-3076500</f>
        <v>-3076500</v>
      </c>
      <c r="S136" s="79"/>
      <c r="T136" s="79"/>
      <c r="U136" s="79">
        <f>-3076500</f>
        <v>-3076500</v>
      </c>
      <c r="V136" s="79">
        <f>R136</f>
        <v>-3076500</v>
      </c>
      <c r="W136" s="79">
        <f>V136</f>
        <v>-3076500</v>
      </c>
      <c r="X136" s="79">
        <f>W136</f>
        <v>-3076500</v>
      </c>
      <c r="Y136" s="79">
        <f>X136</f>
        <v>-3076500</v>
      </c>
      <c r="Z136" s="79">
        <f>Y136</f>
        <v>-3076500</v>
      </c>
      <c r="AA136" s="447"/>
      <c r="AB136" s="447"/>
      <c r="AC136" s="447"/>
      <c r="AD136" s="447"/>
      <c r="AE136" s="447"/>
      <c r="AF136" s="447"/>
      <c r="AG136" s="447"/>
      <c r="AH136" s="447"/>
      <c r="AI136" s="447"/>
      <c r="AJ136" s="447"/>
      <c r="AK136" s="447"/>
      <c r="AL136" s="447"/>
      <c r="AM136" s="447"/>
      <c r="AN136" s="447"/>
      <c r="AO136" s="447"/>
      <c r="AP136" s="447"/>
      <c r="AQ136" s="447"/>
      <c r="AR136" s="447"/>
      <c r="AS136" s="447"/>
      <c r="AT136" s="447"/>
      <c r="AU136" s="447"/>
      <c r="AV136" s="447"/>
      <c r="AW136" s="447"/>
      <c r="AX136" s="447"/>
      <c r="AY136" s="447"/>
      <c r="AZ136" s="447"/>
      <c r="BA136" s="447"/>
      <c r="BB136" s="447"/>
      <c r="BC136" s="447"/>
      <c r="BD136" s="447"/>
      <c r="BE136" s="447"/>
      <c r="BF136" s="447"/>
    </row>
    <row r="137" spans="1:58" ht="15.75" hidden="1" customHeight="1" outlineLevel="1">
      <c r="C137" s="159"/>
      <c r="D137" s="676" t="s">
        <v>1494</v>
      </c>
      <c r="E137" s="646"/>
      <c r="F137" s="646"/>
      <c r="G137" s="646"/>
      <c r="H137" s="646"/>
      <c r="I137" s="447"/>
      <c r="J137" s="448"/>
      <c r="K137" s="448"/>
      <c r="L137" s="448"/>
      <c r="M137" s="448"/>
      <c r="N137" s="452"/>
      <c r="O137" s="448"/>
      <c r="P137" s="538"/>
      <c r="Q137" s="448"/>
      <c r="R137" s="448"/>
      <c r="S137" s="448"/>
      <c r="T137" s="448"/>
      <c r="U137" s="448"/>
      <c r="V137" s="448"/>
      <c r="W137" s="448"/>
      <c r="X137" s="448"/>
      <c r="Y137" s="448"/>
      <c r="Z137" s="448"/>
      <c r="AA137" s="447"/>
      <c r="AB137" s="447"/>
      <c r="AC137" s="447"/>
      <c r="AD137" s="447"/>
      <c r="AE137" s="447"/>
      <c r="AF137" s="447"/>
      <c r="AG137" s="447"/>
      <c r="AH137" s="447"/>
      <c r="AI137" s="447"/>
      <c r="AJ137" s="447"/>
      <c r="AK137" s="447"/>
      <c r="AL137" s="447"/>
      <c r="AM137" s="447"/>
      <c r="AN137" s="447"/>
      <c r="AO137" s="447"/>
      <c r="AP137" s="447"/>
      <c r="AQ137" s="447"/>
      <c r="AR137" s="447"/>
      <c r="AS137" s="447"/>
      <c r="AT137" s="447"/>
      <c r="AU137" s="447"/>
      <c r="AV137" s="447"/>
      <c r="AW137" s="447"/>
      <c r="AX137" s="447"/>
      <c r="AY137" s="447"/>
      <c r="AZ137" s="447"/>
      <c r="BA137" s="447"/>
      <c r="BB137" s="447"/>
      <c r="BC137" s="447"/>
      <c r="BD137" s="447"/>
      <c r="BE137" s="447"/>
      <c r="BF137" s="447"/>
    </row>
    <row r="138" spans="1:58" ht="15.75" hidden="1" customHeight="1" outlineLevel="1">
      <c r="C138" s="159"/>
      <c r="D138" s="651" t="s">
        <v>1495</v>
      </c>
      <c r="E138" s="646"/>
      <c r="F138" s="646"/>
      <c r="G138" s="646"/>
      <c r="H138" s="646"/>
      <c r="I138" s="447"/>
      <c r="J138" s="448"/>
      <c r="K138" s="448">
        <v>-1258058.45</v>
      </c>
      <c r="L138" s="448">
        <f t="shared" ref="L138:V138" si="83">L87*(L49+L50)</f>
        <v>-3426828.8891734793</v>
      </c>
      <c r="M138" s="448">
        <f t="shared" si="83"/>
        <v>-3682336.0822600001</v>
      </c>
      <c r="N138" s="452">
        <f t="shared" si="83"/>
        <v>-3736287.2357338867</v>
      </c>
      <c r="O138" s="448">
        <f t="shared" si="83"/>
        <v>-2530759.8793703322</v>
      </c>
      <c r="P138" s="538">
        <f t="shared" si="83"/>
        <v>-2080723.8639000002</v>
      </c>
      <c r="Q138" s="448">
        <f>Q87*(Q49+Q50)</f>
        <v>-2287477.959040028</v>
      </c>
      <c r="R138" s="448">
        <f>R87*(R49+R50)</f>
        <v>-2209439.1146948608</v>
      </c>
      <c r="S138" s="448"/>
      <c r="T138" s="448"/>
      <c r="U138" s="448">
        <f>U87*(U49+U50)</f>
        <v>-2209439.1146948608</v>
      </c>
      <c r="V138" s="448">
        <f t="shared" si="83"/>
        <v>-2209439.1146948608</v>
      </c>
      <c r="W138" s="448">
        <f>W87*(W49+W50)</f>
        <v>-2209439.1146948608</v>
      </c>
      <c r="X138" s="448">
        <f>X87*(X49+X50)</f>
        <v>-2209439.1146948608</v>
      </c>
      <c r="Y138" s="448">
        <f>Y87*(Y49+Y50)</f>
        <v>-2209439.1146948608</v>
      </c>
      <c r="Z138" s="448">
        <f>Z87*(Z49+Z50)</f>
        <v>-2209439.1146948608</v>
      </c>
      <c r="AA138" s="447"/>
      <c r="AB138" s="447"/>
      <c r="AC138" s="447"/>
      <c r="AD138" s="447"/>
      <c r="AE138" s="447"/>
      <c r="AF138" s="447"/>
      <c r="AG138" s="447"/>
      <c r="AH138" s="447"/>
      <c r="AI138" s="447"/>
      <c r="AJ138" s="447"/>
      <c r="AK138" s="447"/>
      <c r="AL138" s="447"/>
      <c r="AM138" s="447"/>
      <c r="AN138" s="447"/>
      <c r="AO138" s="447"/>
      <c r="AP138" s="447"/>
      <c r="AQ138" s="447"/>
      <c r="AR138" s="447"/>
      <c r="AS138" s="447"/>
      <c r="AT138" s="447"/>
      <c r="AU138" s="447"/>
      <c r="AV138" s="447"/>
      <c r="AW138" s="447"/>
      <c r="AX138" s="447"/>
      <c r="AY138" s="447"/>
      <c r="AZ138" s="447"/>
      <c r="BA138" s="447"/>
      <c r="BB138" s="447"/>
      <c r="BC138" s="447"/>
      <c r="BD138" s="447"/>
      <c r="BE138" s="447"/>
      <c r="BF138" s="447"/>
    </row>
    <row r="139" spans="1:58" ht="15.75" hidden="1" customHeight="1" outlineLevel="1">
      <c r="C139" s="159"/>
      <c r="D139" s="651" t="s">
        <v>1496</v>
      </c>
      <c r="E139" s="646"/>
      <c r="F139" s="646"/>
      <c r="G139" s="646"/>
      <c r="H139" s="646"/>
      <c r="I139" s="447"/>
      <c r="J139" s="448"/>
      <c r="K139" s="448">
        <f t="shared" ref="K139:P139" si="84">K88*(K49+K50)</f>
        <v>0</v>
      </c>
      <c r="L139" s="448">
        <f t="shared" si="84"/>
        <v>-42248.575345974401</v>
      </c>
      <c r="M139" s="448">
        <f t="shared" si="84"/>
        <v>-34224.442239999997</v>
      </c>
      <c r="N139" s="452">
        <f>N88*(N49+N50)</f>
        <v>-108298.18074590976</v>
      </c>
      <c r="O139" s="448">
        <f t="shared" si="84"/>
        <v>-136416.42472442312</v>
      </c>
      <c r="P139" s="538">
        <f t="shared" si="84"/>
        <v>-132714.61499999999</v>
      </c>
      <c r="Q139" s="448">
        <f t="shared" ref="Q139:Z139" si="85">Q88*(Q49+Q50)</f>
        <v>-236995.22990468587</v>
      </c>
      <c r="R139" s="448">
        <f t="shared" si="85"/>
        <v>-228909.97872926449</v>
      </c>
      <c r="S139" s="448"/>
      <c r="T139" s="448"/>
      <c r="U139" s="448">
        <f>U88*(U49+U50)</f>
        <v>-228909.97872926449</v>
      </c>
      <c r="V139" s="448">
        <f t="shared" si="85"/>
        <v>-228909.97872926449</v>
      </c>
      <c r="W139" s="448">
        <f t="shared" si="85"/>
        <v>-228909.97872926449</v>
      </c>
      <c r="X139" s="448">
        <f t="shared" si="85"/>
        <v>-228909.97872926449</v>
      </c>
      <c r="Y139" s="448">
        <f t="shared" si="85"/>
        <v>-228909.97872926449</v>
      </c>
      <c r="Z139" s="448">
        <f t="shared" si="85"/>
        <v>-228909.97872926449</v>
      </c>
      <c r="AA139" s="447"/>
      <c r="AB139" s="447"/>
      <c r="AC139" s="447"/>
      <c r="AD139" s="447"/>
      <c r="AE139" s="447"/>
      <c r="AF139" s="447"/>
      <c r="AG139" s="447"/>
      <c r="AH139" s="447"/>
      <c r="AI139" s="447"/>
      <c r="AJ139" s="447"/>
      <c r="AK139" s="447"/>
      <c r="AL139" s="447"/>
      <c r="AM139" s="447"/>
      <c r="AN139" s="447"/>
      <c r="AO139" s="447"/>
      <c r="AP139" s="447"/>
      <c r="AQ139" s="447"/>
      <c r="AR139" s="447"/>
      <c r="AS139" s="447"/>
      <c r="AT139" s="447"/>
      <c r="AU139" s="447"/>
      <c r="AV139" s="447"/>
      <c r="AW139" s="447"/>
      <c r="AX139" s="447"/>
      <c r="AY139" s="447"/>
      <c r="AZ139" s="447"/>
      <c r="BA139" s="447"/>
      <c r="BB139" s="447"/>
      <c r="BC139" s="447"/>
      <c r="BD139" s="447"/>
      <c r="BE139" s="447"/>
      <c r="BF139" s="447"/>
    </row>
    <row r="140" spans="1:58" ht="15.75" customHeight="1" collapsed="1">
      <c r="C140" s="159"/>
      <c r="D140" s="651"/>
      <c r="E140" s="447"/>
      <c r="F140" s="447"/>
      <c r="G140" s="447"/>
      <c r="H140" s="447"/>
      <c r="I140" s="447"/>
      <c r="J140" s="447"/>
      <c r="K140" s="662"/>
      <c r="L140" s="662"/>
      <c r="M140" s="662"/>
      <c r="N140" s="712"/>
      <c r="O140" s="662"/>
      <c r="P140" s="675"/>
      <c r="Q140" s="662"/>
      <c r="R140" s="662"/>
      <c r="S140" s="662"/>
      <c r="T140" s="662"/>
      <c r="U140" s="662"/>
      <c r="V140" s="662"/>
      <c r="W140" s="662"/>
      <c r="X140" s="662"/>
      <c r="Y140" s="662"/>
      <c r="Z140" s="662"/>
      <c r="AA140" s="447"/>
      <c r="AB140" s="447"/>
      <c r="AC140" s="447"/>
      <c r="AD140" s="447"/>
      <c r="AE140" s="447"/>
      <c r="AF140" s="447"/>
      <c r="AG140" s="447"/>
      <c r="AH140" s="447"/>
      <c r="AI140" s="447"/>
      <c r="AJ140" s="447"/>
      <c r="AK140" s="447"/>
      <c r="AL140" s="447"/>
      <c r="AM140" s="447"/>
      <c r="AN140" s="447"/>
      <c r="AO140" s="447"/>
      <c r="AP140" s="447"/>
      <c r="AQ140" s="447"/>
      <c r="AR140" s="447"/>
      <c r="AS140" s="447"/>
      <c r="AT140" s="447"/>
      <c r="AU140" s="447"/>
      <c r="AV140" s="447"/>
      <c r="AW140" s="447"/>
      <c r="AX140" s="447"/>
      <c r="AY140" s="447"/>
      <c r="AZ140" s="447"/>
      <c r="BA140" s="447"/>
      <c r="BB140" s="447"/>
      <c r="BC140" s="447"/>
      <c r="BD140" s="447"/>
      <c r="BE140" s="447"/>
      <c r="BF140" s="447"/>
    </row>
    <row r="141" spans="1:58" ht="15.75" customHeight="1">
      <c r="C141" s="159"/>
      <c r="D141" s="688" t="s">
        <v>1981</v>
      </c>
      <c r="E141" s="447"/>
      <c r="F141" s="447"/>
      <c r="G141" s="447"/>
      <c r="H141" s="447"/>
      <c r="I141" s="447"/>
      <c r="J141" s="447"/>
      <c r="K141" s="658"/>
      <c r="L141" s="658"/>
      <c r="M141" s="658"/>
      <c r="N141" s="659"/>
      <c r="O141" s="658"/>
      <c r="P141" s="448">
        <f>(P116+P124+P131+P135+P96)/P31</f>
        <v>-30.564914744221955</v>
      </c>
      <c r="Q141" s="448">
        <f>(Q116+Q124+Q131+Q135+Q96)/Q31</f>
        <v>-30.586393297582852</v>
      </c>
      <c r="R141" s="448">
        <f t="shared" ref="R141:Z141" si="86">(R116+R124+R131+R135+R96)/R31</f>
        <v>-32.609809499999997</v>
      </c>
      <c r="S141" s="448"/>
      <c r="T141" s="448"/>
      <c r="U141" s="448">
        <f>(U116+U124+U131+U135+U96)/U31</f>
        <v>-31.583830599999999</v>
      </c>
      <c r="V141" s="448">
        <f t="shared" si="86"/>
        <v>-33.764614851688343</v>
      </c>
      <c r="W141" s="448">
        <f t="shared" si="86"/>
        <v>-34.341993296823155</v>
      </c>
      <c r="X141" s="448">
        <f t="shared" si="86"/>
        <v>-34.954667638308237</v>
      </c>
      <c r="Y141" s="448">
        <f t="shared" si="86"/>
        <v>-35.60482958979366</v>
      </c>
      <c r="Z141" s="448">
        <f t="shared" si="86"/>
        <v>-36.294808458516449</v>
      </c>
      <c r="AA141" s="447"/>
      <c r="AB141" s="447"/>
      <c r="AC141" s="447"/>
      <c r="AD141" s="447"/>
      <c r="AE141" s="447"/>
      <c r="AF141" s="447"/>
      <c r="AG141" s="447"/>
      <c r="AH141" s="447"/>
      <c r="AI141" s="447"/>
      <c r="AJ141" s="447"/>
      <c r="AK141" s="447"/>
      <c r="AL141" s="447"/>
      <c r="AM141" s="447"/>
      <c r="AN141" s="447"/>
      <c r="AO141" s="447"/>
      <c r="AP141" s="447"/>
      <c r="AQ141" s="447"/>
      <c r="AR141" s="447"/>
      <c r="AS141" s="447"/>
      <c r="AT141" s="447"/>
      <c r="AU141" s="447"/>
      <c r="AV141" s="447"/>
      <c r="AW141" s="447"/>
      <c r="AX141" s="447"/>
      <c r="AY141" s="447"/>
      <c r="AZ141" s="447"/>
      <c r="BA141" s="447"/>
      <c r="BB141" s="447"/>
      <c r="BC141" s="447"/>
      <c r="BD141" s="447"/>
      <c r="BE141" s="447"/>
      <c r="BF141" s="447"/>
    </row>
    <row r="142" spans="1:58" ht="15.75" customHeight="1">
      <c r="C142" s="159"/>
      <c r="D142" s="688"/>
      <c r="H142" s="447"/>
      <c r="I142" s="447"/>
      <c r="J142" s="447"/>
      <c r="K142" s="662"/>
      <c r="L142" s="662"/>
      <c r="M142" s="662"/>
      <c r="N142" s="712"/>
      <c r="O142" s="662"/>
      <c r="P142" s="675"/>
      <c r="Q142" s="662"/>
      <c r="R142" s="662"/>
      <c r="S142" s="662"/>
      <c r="T142" s="662"/>
      <c r="U142" s="662"/>
      <c r="V142" s="662"/>
      <c r="W142" s="662"/>
      <c r="X142" s="662"/>
      <c r="Y142" s="662"/>
      <c r="Z142" s="662"/>
      <c r="AA142" s="447"/>
      <c r="AB142" s="447"/>
      <c r="AC142" s="447"/>
      <c r="AD142" s="447"/>
      <c r="AE142" s="447"/>
      <c r="AF142" s="447"/>
      <c r="AG142" s="447"/>
      <c r="AH142" s="447"/>
      <c r="AI142" s="447"/>
      <c r="AJ142" s="447"/>
      <c r="AK142" s="447"/>
      <c r="AL142" s="447"/>
      <c r="AM142" s="447"/>
      <c r="AN142" s="447"/>
      <c r="AO142" s="447"/>
      <c r="AP142" s="447"/>
      <c r="AQ142" s="447"/>
      <c r="AR142" s="447"/>
      <c r="AS142" s="447"/>
      <c r="AT142" s="447"/>
      <c r="AU142" s="447"/>
      <c r="AV142" s="447"/>
      <c r="AW142" s="447"/>
      <c r="AX142" s="447"/>
      <c r="AY142" s="447"/>
      <c r="AZ142" s="447"/>
      <c r="BA142" s="447"/>
      <c r="BB142" s="447"/>
      <c r="BC142" s="447"/>
      <c r="BD142" s="447"/>
      <c r="BE142" s="447"/>
      <c r="BF142" s="447"/>
    </row>
    <row r="143" spans="1:58" ht="15.75" customHeight="1">
      <c r="C143" s="159"/>
      <c r="D143" s="446"/>
      <c r="H143" s="646"/>
      <c r="I143" s="447"/>
      <c r="J143" s="447"/>
      <c r="K143" s="448"/>
      <c r="L143" s="448"/>
      <c r="M143" s="448"/>
      <c r="N143" s="712"/>
      <c r="O143" s="448"/>
      <c r="P143" s="538"/>
      <c r="Q143" s="448"/>
      <c r="R143" s="448"/>
      <c r="S143" s="448"/>
      <c r="T143" s="448"/>
      <c r="U143" s="448"/>
      <c r="V143" s="448"/>
      <c r="W143" s="448"/>
      <c r="X143" s="448"/>
      <c r="Y143" s="448"/>
      <c r="Z143" s="448"/>
      <c r="AA143" s="447"/>
      <c r="AB143" s="447"/>
      <c r="AC143" s="447"/>
      <c r="AD143" s="447"/>
      <c r="AE143" s="447"/>
      <c r="AF143" s="447"/>
      <c r="AG143" s="447"/>
      <c r="AH143" s="447"/>
      <c r="AI143" s="447"/>
      <c r="AJ143" s="447"/>
      <c r="AK143" s="447"/>
      <c r="AL143" s="447"/>
      <c r="AM143" s="447"/>
      <c r="AN143" s="447"/>
      <c r="AO143" s="447"/>
      <c r="AP143" s="447"/>
      <c r="AQ143" s="447"/>
      <c r="AR143" s="447"/>
      <c r="AS143" s="447"/>
      <c r="AT143" s="447"/>
      <c r="AU143" s="447"/>
      <c r="AV143" s="447"/>
      <c r="AW143" s="447"/>
      <c r="AX143" s="447"/>
      <c r="AY143" s="447"/>
      <c r="AZ143" s="447"/>
      <c r="BA143" s="447"/>
      <c r="BB143" s="447"/>
      <c r="BC143" s="447"/>
      <c r="BD143" s="447"/>
      <c r="BE143" s="447"/>
      <c r="BF143" s="447"/>
    </row>
    <row r="144" spans="1:58" ht="27" customHeight="1">
      <c r="D144" s="462" t="s">
        <v>256</v>
      </c>
      <c r="M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spans="1:58" ht="3" customHeight="1">
      <c r="D145" s="464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</row>
    <row r="146" spans="1:58" ht="15.75" customHeight="1"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</row>
    <row r="147" spans="1:58" ht="15.75" customHeight="1">
      <c r="D147" s="467" t="s">
        <v>181</v>
      </c>
      <c r="E147" s="468"/>
      <c r="F147" s="468"/>
      <c r="G147" s="468"/>
      <c r="H147" s="468"/>
      <c r="I147" s="91"/>
      <c r="J147" s="91"/>
      <c r="K147" s="91"/>
      <c r="L147" s="91"/>
      <c r="M147" s="135"/>
      <c r="N147" s="135"/>
      <c r="O147" s="135"/>
      <c r="P147" s="512"/>
      <c r="Q147" s="512"/>
      <c r="R147" s="512"/>
      <c r="S147" s="512"/>
      <c r="T147" s="512"/>
      <c r="U147" s="512"/>
      <c r="V147" s="512"/>
      <c r="W147" s="512"/>
      <c r="X147" s="512"/>
      <c r="Y147" s="512"/>
      <c r="Z147" s="512"/>
    </row>
    <row r="148" spans="1:58" ht="15.75" customHeight="1">
      <c r="C148" s="91"/>
      <c r="D148" s="546"/>
      <c r="E148" s="106"/>
      <c r="F148" s="106"/>
      <c r="G148" s="106"/>
      <c r="H148" s="546"/>
      <c r="I148" s="546"/>
      <c r="J148" s="92">
        <f t="shared" ref="J148:M150" si="87">J7</f>
        <v>0</v>
      </c>
      <c r="K148" s="92">
        <f t="shared" si="87"/>
        <v>1</v>
      </c>
      <c r="L148" s="92">
        <f t="shared" si="87"/>
        <v>2</v>
      </c>
      <c r="M148" s="136">
        <f t="shared" si="87"/>
        <v>3</v>
      </c>
      <c r="N148" s="136">
        <f t="shared" ref="N148:P150" si="88">N7</f>
        <v>4</v>
      </c>
      <c r="O148" s="136">
        <f t="shared" si="88"/>
        <v>5</v>
      </c>
      <c r="P148" s="136">
        <f t="shared" si="88"/>
        <v>6</v>
      </c>
      <c r="Q148" s="136">
        <f t="shared" ref="Q148:R150" si="89">Q7</f>
        <v>7</v>
      </c>
      <c r="R148" s="136">
        <f t="shared" si="89"/>
        <v>8</v>
      </c>
      <c r="S148" s="136"/>
      <c r="T148" s="136"/>
      <c r="U148" s="136" t="str">
        <f>U7</f>
        <v>Revised</v>
      </c>
      <c r="V148" s="136">
        <f t="shared" ref="V148:W150" si="90">V7</f>
        <v>9</v>
      </c>
      <c r="W148" s="136">
        <f t="shared" si="90"/>
        <v>10</v>
      </c>
      <c r="X148" s="136">
        <f t="shared" ref="X148:Z150" si="91">X7</f>
        <v>11</v>
      </c>
      <c r="Y148" s="136">
        <f t="shared" si="91"/>
        <v>12</v>
      </c>
      <c r="Z148" s="136">
        <f t="shared" si="91"/>
        <v>13</v>
      </c>
      <c r="AA148" s="447"/>
      <c r="AB148" s="447"/>
      <c r="AC148" s="447"/>
      <c r="AD148" s="447"/>
      <c r="AE148" s="447"/>
      <c r="AF148" s="447"/>
      <c r="AG148" s="447"/>
      <c r="AH148" s="447"/>
      <c r="AI148" s="447"/>
      <c r="AJ148" s="447"/>
      <c r="AK148" s="447"/>
      <c r="AL148" s="447"/>
      <c r="AM148" s="447"/>
      <c r="AN148" s="447"/>
      <c r="AO148" s="447"/>
      <c r="AP148" s="447"/>
      <c r="AQ148" s="447"/>
      <c r="AR148" s="447"/>
      <c r="AS148" s="447"/>
      <c r="AT148" s="447"/>
      <c r="AU148" s="447"/>
      <c r="AV148" s="447"/>
      <c r="AW148" s="447"/>
      <c r="AX148" s="447"/>
      <c r="AY148" s="447"/>
      <c r="AZ148" s="447"/>
      <c r="BA148" s="447"/>
      <c r="BB148" s="447"/>
      <c r="BC148" s="447"/>
      <c r="BD148" s="447"/>
      <c r="BE148" s="447"/>
      <c r="BF148" s="447"/>
    </row>
    <row r="149" spans="1:58" ht="15.75" customHeight="1">
      <c r="C149" s="91"/>
      <c r="D149" s="548"/>
      <c r="E149" s="469"/>
      <c r="F149" s="469"/>
      <c r="G149" s="469"/>
      <c r="H149" s="548"/>
      <c r="I149" s="548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1551"/>
      <c r="V149" s="93"/>
      <c r="W149" s="93"/>
      <c r="X149" s="93"/>
      <c r="Y149" s="93"/>
      <c r="Z149" s="93"/>
      <c r="AA149" s="447"/>
      <c r="AB149" s="447"/>
      <c r="AC149" s="447"/>
      <c r="AD149" s="447"/>
      <c r="AE149" s="447"/>
      <c r="AF149" s="447"/>
      <c r="AG149" s="447"/>
      <c r="AH149" s="447"/>
      <c r="AI149" s="447"/>
      <c r="AJ149" s="447"/>
      <c r="AK149" s="447"/>
      <c r="AL149" s="447"/>
      <c r="AM149" s="447"/>
      <c r="AN149" s="447"/>
      <c r="AO149" s="447"/>
      <c r="AP149" s="447"/>
      <c r="AQ149" s="447"/>
      <c r="AR149" s="447"/>
      <c r="AS149" s="447"/>
      <c r="AT149" s="447"/>
      <c r="AU149" s="447"/>
      <c r="AV149" s="447"/>
      <c r="AW149" s="447"/>
      <c r="AX149" s="447"/>
      <c r="AY149" s="447"/>
      <c r="AZ149" s="447"/>
      <c r="BA149" s="447"/>
      <c r="BB149" s="447"/>
      <c r="BC149" s="447"/>
      <c r="BD149" s="447"/>
      <c r="BE149" s="447"/>
      <c r="BF149" s="447"/>
    </row>
    <row r="150" spans="1:58" ht="15.75" customHeight="1">
      <c r="C150" s="91"/>
      <c r="D150" s="471" t="s">
        <v>1497</v>
      </c>
      <c r="E150" s="472"/>
      <c r="F150" s="506"/>
      <c r="G150" s="506"/>
      <c r="H150" s="471"/>
      <c r="I150" s="471"/>
      <c r="J150" s="94" t="str">
        <f t="shared" si="87"/>
        <v>($)</v>
      </c>
      <c r="K150" s="94" t="str">
        <f t="shared" si="87"/>
        <v>($)</v>
      </c>
      <c r="L150" s="94" t="str">
        <f t="shared" si="87"/>
        <v>($)</v>
      </c>
      <c r="M150" s="94" t="str">
        <f t="shared" si="87"/>
        <v>($)</v>
      </c>
      <c r="N150" s="94" t="str">
        <f t="shared" si="88"/>
        <v>($)</v>
      </c>
      <c r="O150" s="94" t="str">
        <f t="shared" si="88"/>
        <v>($)</v>
      </c>
      <c r="P150" s="94" t="str">
        <f t="shared" si="88"/>
        <v>($)</v>
      </c>
      <c r="Q150" s="94" t="str">
        <f t="shared" si="89"/>
        <v>($)</v>
      </c>
      <c r="R150" s="94" t="str">
        <f t="shared" si="89"/>
        <v>($)</v>
      </c>
      <c r="S150" s="94"/>
      <c r="T150" s="94"/>
      <c r="U150" s="94" t="str">
        <f>U9</f>
        <v>($)</v>
      </c>
      <c r="V150" s="94" t="str">
        <f t="shared" si="90"/>
        <v>($)</v>
      </c>
      <c r="W150" s="94" t="str">
        <f t="shared" si="90"/>
        <v>($)</v>
      </c>
      <c r="X150" s="94" t="str">
        <f t="shared" si="91"/>
        <v>($)</v>
      </c>
      <c r="Y150" s="94" t="str">
        <f t="shared" si="91"/>
        <v>($)</v>
      </c>
      <c r="Z150" s="94" t="str">
        <f t="shared" si="91"/>
        <v>($)</v>
      </c>
      <c r="AA150" s="447"/>
      <c r="AB150" s="447"/>
      <c r="AC150" s="447"/>
      <c r="AD150" s="447"/>
      <c r="AE150" s="447"/>
      <c r="AF150" s="447"/>
      <c r="AG150" s="447"/>
      <c r="AH150" s="447"/>
      <c r="AI150" s="447"/>
      <c r="AJ150" s="447"/>
      <c r="AK150" s="447"/>
      <c r="AL150" s="447"/>
      <c r="AM150" s="447"/>
      <c r="AN150" s="447"/>
      <c r="AO150" s="447"/>
      <c r="AP150" s="447"/>
      <c r="AQ150" s="447"/>
      <c r="AR150" s="447"/>
      <c r="AS150" s="447"/>
      <c r="AT150" s="447"/>
      <c r="AU150" s="447"/>
      <c r="AV150" s="447"/>
      <c r="AW150" s="447"/>
      <c r="AX150" s="447"/>
      <c r="AY150" s="447"/>
      <c r="AZ150" s="447"/>
      <c r="BA150" s="447"/>
      <c r="BB150" s="447"/>
      <c r="BC150" s="447"/>
      <c r="BD150" s="447"/>
      <c r="BE150" s="447"/>
      <c r="BF150" s="447"/>
    </row>
    <row r="151" spans="1:58" ht="15.75" customHeight="1">
      <c r="C151" s="76"/>
      <c r="D151" s="501"/>
      <c r="E151" s="689"/>
      <c r="F151" s="689"/>
      <c r="G151" s="689"/>
      <c r="H151" s="689"/>
      <c r="I151" s="689"/>
      <c r="J151" s="107"/>
      <c r="K151" s="107"/>
      <c r="L151" s="107"/>
      <c r="M151" s="690"/>
      <c r="N151" s="690"/>
      <c r="O151" s="690"/>
      <c r="P151" s="690"/>
      <c r="Q151" s="690"/>
      <c r="R151" s="690"/>
      <c r="S151" s="690"/>
      <c r="T151" s="690"/>
      <c r="U151" s="690"/>
      <c r="V151" s="690"/>
      <c r="W151" s="690"/>
      <c r="X151" s="690"/>
      <c r="Y151" s="690"/>
      <c r="Z151" s="690"/>
    </row>
    <row r="152" spans="1:58" ht="15.75" customHeight="1">
      <c r="A152" s="75">
        <v>1</v>
      </c>
      <c r="B152" s="75">
        <v>1</v>
      </c>
      <c r="C152" s="88" t="s">
        <v>522</v>
      </c>
      <c r="D152" s="110" t="s">
        <v>183</v>
      </c>
      <c r="E152" s="100"/>
      <c r="F152" s="100"/>
      <c r="G152" s="100"/>
      <c r="H152" s="100"/>
      <c r="I152" s="100"/>
      <c r="J152" s="108">
        <v>52672.424598284997</v>
      </c>
      <c r="K152" s="108">
        <f t="shared" ref="K152:V152" si="92">K51</f>
        <v>39728983.280000001</v>
      </c>
      <c r="L152" s="108">
        <f t="shared" si="92"/>
        <v>124690823.85579079</v>
      </c>
      <c r="M152" s="108">
        <f t="shared" si="92"/>
        <v>104897984.0691002</v>
      </c>
      <c r="N152" s="108">
        <f t="shared" si="92"/>
        <v>84496032.543866128</v>
      </c>
      <c r="O152" s="108">
        <f t="shared" si="92"/>
        <v>101221847.13609684</v>
      </c>
      <c r="P152" s="108">
        <f t="shared" si="92"/>
        <v>97292045.177228764</v>
      </c>
      <c r="Q152" s="108">
        <f t="shared" si="92"/>
        <v>89333545.61131376</v>
      </c>
      <c r="R152" s="108">
        <f t="shared" si="92"/>
        <v>106899993.11603625</v>
      </c>
      <c r="S152" s="108">
        <f t="shared" ref="S152:S180" si="93">U152/2</f>
        <v>39116290.829463199</v>
      </c>
      <c r="T152" s="108">
        <f>S152</f>
        <v>39116290.829463199</v>
      </c>
      <c r="U152" s="108">
        <f>U51</f>
        <v>78232581.658926398</v>
      </c>
      <c r="V152" s="108">
        <f t="shared" si="92"/>
        <v>102319713.53247179</v>
      </c>
      <c r="W152" s="108">
        <f>W51</f>
        <v>102319713.53247179</v>
      </c>
      <c r="X152" s="108">
        <f>X51</f>
        <v>102319713.53247179</v>
      </c>
      <c r="Y152" s="108">
        <f>Y51</f>
        <v>102319713.53247179</v>
      </c>
      <c r="Z152" s="108">
        <f>Z51</f>
        <v>102319713.53247179</v>
      </c>
    </row>
    <row r="153" spans="1:58" ht="15.75" customHeight="1">
      <c r="A153" s="75">
        <v>55</v>
      </c>
      <c r="B153" s="75">
        <v>55</v>
      </c>
      <c r="C153" s="88" t="s">
        <v>523</v>
      </c>
      <c r="D153" s="110" t="s">
        <v>257</v>
      </c>
      <c r="E153" s="100"/>
      <c r="F153" s="100"/>
      <c r="G153" s="100"/>
      <c r="H153" s="100"/>
      <c r="I153" s="100"/>
      <c r="J153" s="108"/>
      <c r="K153" s="108">
        <f>-K152*1.5%-0.5%*(K152+K157)</f>
        <v>-788289.37335000001</v>
      </c>
      <c r="L153" s="108">
        <f>-L152*1.5%-0.5%*(L152+L157)</f>
        <v>-2476471.0897932183</v>
      </c>
      <c r="M153" s="108">
        <f>-M152*0.7%-0.5%*(M152+M157)</f>
        <v>-1240193.0062067024</v>
      </c>
      <c r="N153" s="108">
        <f>-N152*0.7%-0.5%*(N152+N157)</f>
        <v>-994729.46344399452</v>
      </c>
      <c r="O153" s="108">
        <f>-O152*0.7%-0.5%*(O152+O157)</f>
        <v>-1201326.2841126882</v>
      </c>
      <c r="P153" s="108">
        <f>-P152*0.7%</f>
        <v>-681044.31624060124</v>
      </c>
      <c r="Q153" s="108">
        <f>-Q152*1%</f>
        <v>-893335.45611313765</v>
      </c>
      <c r="R153" s="108">
        <f t="shared" ref="R153:Z153" si="94">-R152*1%</f>
        <v>-1068999.9311603624</v>
      </c>
      <c r="S153" s="108">
        <f t="shared" si="93"/>
        <v>-391162.90829463198</v>
      </c>
      <c r="T153" s="108">
        <f t="shared" ref="T153:T180" si="95">S153</f>
        <v>-391162.90829463198</v>
      </c>
      <c r="U153" s="108">
        <f>-U152*1%</f>
        <v>-782325.81658926397</v>
      </c>
      <c r="V153" s="108">
        <f t="shared" si="94"/>
        <v>-1023197.135324718</v>
      </c>
      <c r="W153" s="108">
        <f t="shared" si="94"/>
        <v>-1023197.135324718</v>
      </c>
      <c r="X153" s="108">
        <f t="shared" si="94"/>
        <v>-1023197.135324718</v>
      </c>
      <c r="Y153" s="108">
        <f t="shared" si="94"/>
        <v>-1023197.135324718</v>
      </c>
      <c r="Z153" s="108">
        <f t="shared" si="94"/>
        <v>-1023197.135324718</v>
      </c>
    </row>
    <row r="154" spans="1:58" ht="15.75" customHeight="1">
      <c r="A154" s="75">
        <v>3</v>
      </c>
      <c r="B154" s="75">
        <v>3</v>
      </c>
      <c r="C154" s="88" t="s">
        <v>523</v>
      </c>
      <c r="D154" s="110" t="s">
        <v>184</v>
      </c>
      <c r="E154" s="100"/>
      <c r="F154" s="100"/>
      <c r="G154" s="100"/>
      <c r="H154" s="100"/>
      <c r="I154" s="100"/>
      <c r="J154" s="108">
        <f>SUM(J155:J157)</f>
        <v>-6041.9522974841302</v>
      </c>
      <c r="K154" s="108">
        <f>SUM(K155:K156)</f>
        <v>-7691447.8141340949</v>
      </c>
      <c r="L154" s="108">
        <f t="shared" ref="L154:X154" si="96">SUM(L155:L156)</f>
        <v>-17697150</v>
      </c>
      <c r="M154" s="108">
        <f t="shared" si="96"/>
        <v>-16679300</v>
      </c>
      <c r="N154" s="108">
        <f t="shared" si="96"/>
        <v>-16325100</v>
      </c>
      <c r="O154" s="108">
        <f t="shared" si="96"/>
        <v>-18464600</v>
      </c>
      <c r="P154" s="108">
        <f t="shared" si="96"/>
        <v>-17836500</v>
      </c>
      <c r="Q154" s="108">
        <f t="shared" si="96"/>
        <v>-18066300</v>
      </c>
      <c r="R154" s="108">
        <f t="shared" si="96"/>
        <v>-19783050</v>
      </c>
      <c r="S154" s="108">
        <f t="shared" si="93"/>
        <v>-9891525</v>
      </c>
      <c r="T154" s="108">
        <f t="shared" si="95"/>
        <v>-9891525</v>
      </c>
      <c r="U154" s="108">
        <f>SUM(U155:U156)</f>
        <v>-19783050</v>
      </c>
      <c r="V154" s="108">
        <f t="shared" si="96"/>
        <v>-20148623.226785071</v>
      </c>
      <c r="W154" s="108">
        <f t="shared" si="96"/>
        <v>-20536390.89433847</v>
      </c>
      <c r="X154" s="108">
        <f t="shared" si="96"/>
        <v>-20947724.416639242</v>
      </c>
      <c r="Y154" s="108">
        <f>SUM(Y155:Y156)</f>
        <v>-21384081.010697622</v>
      </c>
      <c r="Z154" s="108">
        <f>SUM(Z155:Z156)</f>
        <v>-21847009.11111778</v>
      </c>
    </row>
    <row r="155" spans="1:58" ht="15.75" customHeight="1">
      <c r="C155" s="88"/>
      <c r="D155" s="482" t="s">
        <v>258</v>
      </c>
      <c r="E155" s="100"/>
      <c r="F155" s="100"/>
      <c r="G155" s="100"/>
      <c r="H155" s="100"/>
      <c r="I155" s="100"/>
      <c r="J155" s="79">
        <f>-6041.95229748413</f>
        <v>-6041.9522974841302</v>
      </c>
      <c r="K155" s="108">
        <f t="shared" ref="K155:V155" si="97">K116+K98</f>
        <v>-4489642.2611201406</v>
      </c>
      <c r="L155" s="108">
        <f t="shared" si="97"/>
        <v>-11157750</v>
      </c>
      <c r="M155" s="108">
        <f t="shared" si="97"/>
        <v>-10202500</v>
      </c>
      <c r="N155" s="108">
        <f t="shared" si="97"/>
        <v>-10013300</v>
      </c>
      <c r="O155" s="108">
        <f t="shared" si="97"/>
        <v>-11050600</v>
      </c>
      <c r="P155" s="108">
        <f t="shared" si="97"/>
        <v>-11573100</v>
      </c>
      <c r="Q155" s="108">
        <f t="shared" si="97"/>
        <v>-11863950</v>
      </c>
      <c r="R155" s="108">
        <f t="shared" si="97"/>
        <v>-12695550</v>
      </c>
      <c r="S155" s="108">
        <f t="shared" si="93"/>
        <v>-6347775</v>
      </c>
      <c r="T155" s="108">
        <f t="shared" si="95"/>
        <v>-6347775</v>
      </c>
      <c r="U155" s="108">
        <f>U116+U98</f>
        <v>-12695550</v>
      </c>
      <c r="V155" s="108">
        <f t="shared" si="97"/>
        <v>-12997623.451687953</v>
      </c>
      <c r="W155" s="108">
        <f>W116+W98</f>
        <v>-13317814.687145567</v>
      </c>
      <c r="X155" s="108">
        <f>X116+X98</f>
        <v>-13657233.400806271</v>
      </c>
      <c r="Y155" s="108">
        <f>Y116+Y98</f>
        <v>-14017058.287857585</v>
      </c>
      <c r="Z155" s="108">
        <f>Z116+Z98</f>
        <v>-14398541.380105227</v>
      </c>
    </row>
    <row r="156" spans="1:58" ht="15.75" customHeight="1">
      <c r="C156" s="88"/>
      <c r="D156" s="482" t="s">
        <v>259</v>
      </c>
      <c r="E156" s="100"/>
      <c r="F156" s="100"/>
      <c r="G156" s="100"/>
      <c r="H156" s="100"/>
      <c r="I156" s="100"/>
      <c r="J156" s="79"/>
      <c r="K156" s="108">
        <f t="shared" ref="K156:V156" si="98">K124+K100</f>
        <v>-3201805.5530139538</v>
      </c>
      <c r="L156" s="108">
        <f t="shared" si="98"/>
        <v>-6539400</v>
      </c>
      <c r="M156" s="108">
        <f t="shared" si="98"/>
        <v>-6476800</v>
      </c>
      <c r="N156" s="108">
        <f t="shared" si="98"/>
        <v>-6311800</v>
      </c>
      <c r="O156" s="108">
        <f t="shared" si="98"/>
        <v>-7414000</v>
      </c>
      <c r="P156" s="108">
        <f t="shared" si="98"/>
        <v>-6263400.0000000009</v>
      </c>
      <c r="Q156" s="108">
        <f t="shared" si="98"/>
        <v>-6202350</v>
      </c>
      <c r="R156" s="108">
        <f t="shared" si="98"/>
        <v>-7087500</v>
      </c>
      <c r="S156" s="108">
        <f t="shared" si="93"/>
        <v>-3543750</v>
      </c>
      <c r="T156" s="108">
        <f t="shared" si="95"/>
        <v>-3543750</v>
      </c>
      <c r="U156" s="108">
        <f>U124+U100</f>
        <v>-7087500</v>
      </c>
      <c r="V156" s="108">
        <f t="shared" si="98"/>
        <v>-7150999.7750971168</v>
      </c>
      <c r="W156" s="108">
        <f>W124+W100</f>
        <v>-7218576.2071929043</v>
      </c>
      <c r="X156" s="108">
        <f>X124+X100</f>
        <v>-7290491.0158329718</v>
      </c>
      <c r="Y156" s="108">
        <f>Y124+Y100</f>
        <v>-7367022.7228400372</v>
      </c>
      <c r="Z156" s="108">
        <f>Z124+Z100</f>
        <v>-7448467.731012552</v>
      </c>
    </row>
    <row r="157" spans="1:58" ht="15.75" customHeight="1">
      <c r="A157" s="75">
        <v>55</v>
      </c>
      <c r="B157" s="75">
        <v>55</v>
      </c>
      <c r="C157" s="88" t="s">
        <v>523</v>
      </c>
      <c r="D157" s="110" t="s">
        <v>260</v>
      </c>
      <c r="E157" s="100"/>
      <c r="F157" s="100"/>
      <c r="G157" s="100"/>
      <c r="H157" s="100"/>
      <c r="I157" s="100"/>
      <c r="J157" s="79"/>
      <c r="K157" s="108">
        <f t="shared" ref="K157:V157" si="99">K138+K139</f>
        <v>-1258058.45</v>
      </c>
      <c r="L157" s="108">
        <f t="shared" si="99"/>
        <v>-3469077.4645194537</v>
      </c>
      <c r="M157" s="108">
        <f t="shared" si="99"/>
        <v>-3716560.5244999998</v>
      </c>
      <c r="N157" s="108">
        <f>N138+N139</f>
        <v>-3844585.4164797966</v>
      </c>
      <c r="O157" s="108">
        <f t="shared" si="99"/>
        <v>-2667176.3040947556</v>
      </c>
      <c r="P157" s="108">
        <f t="shared" si="99"/>
        <v>-2213438.4789000005</v>
      </c>
      <c r="Q157" s="108">
        <f t="shared" si="99"/>
        <v>-2524473.1889447141</v>
      </c>
      <c r="R157" s="108">
        <f t="shared" si="99"/>
        <v>-2438349.0934241251</v>
      </c>
      <c r="S157" s="108">
        <f t="shared" si="93"/>
        <v>-1219174.5467120626</v>
      </c>
      <c r="T157" s="108">
        <f t="shared" si="95"/>
        <v>-1219174.5467120626</v>
      </c>
      <c r="U157" s="108">
        <f>U138+U139</f>
        <v>-2438349.0934241251</v>
      </c>
      <c r="V157" s="108">
        <f t="shared" si="99"/>
        <v>-2438349.0934241251</v>
      </c>
      <c r="W157" s="108">
        <f>W138+W139</f>
        <v>-2438349.0934241251</v>
      </c>
      <c r="X157" s="108">
        <f>X138+X139</f>
        <v>-2438349.0934241251</v>
      </c>
      <c r="Y157" s="108">
        <f>Y138+Y139</f>
        <v>-2438349.0934241251</v>
      </c>
      <c r="Z157" s="108">
        <f>Z138+Z139</f>
        <v>-2438349.0934241251</v>
      </c>
    </row>
    <row r="158" spans="1:58" ht="15.75" customHeight="1">
      <c r="A158" s="75">
        <v>4</v>
      </c>
      <c r="B158" s="75">
        <v>4</v>
      </c>
      <c r="C158" s="356" t="s">
        <v>674</v>
      </c>
      <c r="D158" s="110"/>
      <c r="E158" s="100"/>
      <c r="F158" s="100"/>
      <c r="G158" s="100"/>
      <c r="H158" s="100"/>
      <c r="I158" s="100"/>
      <c r="J158" s="79"/>
      <c r="K158" s="108">
        <f>1210899.64129214+242286.925347034+91280.3982551496</f>
        <v>1544466.9648943234</v>
      </c>
      <c r="L158" s="108"/>
      <c r="M158" s="108">
        <f>-2079603-M153</f>
        <v>-839409.99379329756</v>
      </c>
      <c r="N158" s="108">
        <f>114079-86080</f>
        <v>27999</v>
      </c>
      <c r="O158" s="108"/>
      <c r="P158" s="108"/>
      <c r="Q158" s="108"/>
      <c r="R158" s="108"/>
      <c r="S158" s="108">
        <f t="shared" si="93"/>
        <v>0</v>
      </c>
      <c r="T158" s="108">
        <f t="shared" si="95"/>
        <v>0</v>
      </c>
      <c r="U158" s="108"/>
      <c r="V158" s="108"/>
      <c r="W158" s="108"/>
      <c r="X158" s="108"/>
      <c r="Y158" s="108"/>
      <c r="Z158" s="108"/>
    </row>
    <row r="159" spans="1:58" ht="15.75" customHeight="1">
      <c r="A159" s="75">
        <v>5</v>
      </c>
      <c r="B159" s="75">
        <v>5</v>
      </c>
      <c r="C159" s="88" t="s">
        <v>523</v>
      </c>
      <c r="D159" s="676" t="s">
        <v>262</v>
      </c>
      <c r="E159" s="651"/>
      <c r="F159" s="100"/>
      <c r="G159" s="100"/>
      <c r="H159" s="100"/>
      <c r="I159" s="100"/>
      <c r="J159" s="79">
        <f t="shared" ref="J159:R159" si="100">J84</f>
        <v>0</v>
      </c>
      <c r="K159" s="79">
        <f t="shared" si="100"/>
        <v>0</v>
      </c>
      <c r="L159" s="79">
        <f t="shared" si="100"/>
        <v>-791100</v>
      </c>
      <c r="M159" s="79">
        <f t="shared" si="100"/>
        <v>-2347400</v>
      </c>
      <c r="N159" s="79">
        <f t="shared" si="100"/>
        <v>-786426.81276837597</v>
      </c>
      <c r="O159" s="79">
        <f t="shared" si="100"/>
        <v>-841950.03566395654</v>
      </c>
      <c r="P159" s="79">
        <f>P84</f>
        <v>-2494804.9837934603</v>
      </c>
      <c r="Q159" s="79">
        <f t="shared" si="100"/>
        <v>-2584470.264552</v>
      </c>
      <c r="R159" s="79">
        <f t="shared" si="100"/>
        <v>-2595307.125</v>
      </c>
      <c r="S159" s="79">
        <f t="shared" si="93"/>
        <v>-912911.47500000009</v>
      </c>
      <c r="T159" s="79">
        <f t="shared" si="95"/>
        <v>-912911.47500000009</v>
      </c>
      <c r="U159" s="79">
        <f t="shared" ref="U159:Z159" si="101">U84</f>
        <v>-1825822.9500000002</v>
      </c>
      <c r="V159" s="79">
        <f t="shared" si="101"/>
        <v>-3053302.5</v>
      </c>
      <c r="W159" s="79">
        <f t="shared" si="101"/>
        <v>-3053302.5</v>
      </c>
      <c r="X159" s="79">
        <f t="shared" si="101"/>
        <v>-3053302.5</v>
      </c>
      <c r="Y159" s="79">
        <f t="shared" si="101"/>
        <v>-3053302.5</v>
      </c>
      <c r="Z159" s="79">
        <f t="shared" si="101"/>
        <v>-3053302.5</v>
      </c>
    </row>
    <row r="160" spans="1:58" ht="6" customHeight="1">
      <c r="C160" s="88"/>
      <c r="D160" s="482"/>
      <c r="E160" s="100"/>
      <c r="F160" s="100"/>
      <c r="G160" s="100"/>
      <c r="H160" s="100"/>
      <c r="I160" s="100"/>
      <c r="J160" s="79"/>
      <c r="K160" s="79"/>
      <c r="L160" s="79"/>
      <c r="M160" s="79"/>
      <c r="N160" s="79"/>
      <c r="O160" s="79"/>
      <c r="P160" s="79"/>
      <c r="Q160" s="79"/>
      <c r="R160" s="79"/>
      <c r="S160" s="79">
        <f t="shared" si="93"/>
        <v>0</v>
      </c>
      <c r="T160" s="79">
        <f t="shared" si="95"/>
        <v>0</v>
      </c>
      <c r="U160" s="79"/>
      <c r="V160" s="79"/>
      <c r="W160" s="79"/>
      <c r="X160" s="79"/>
      <c r="Y160" s="79"/>
      <c r="Z160" s="79"/>
    </row>
    <row r="161" spans="1:26" ht="6.75" customHeight="1">
      <c r="C161" s="88"/>
      <c r="D161" s="482"/>
      <c r="E161" s="100"/>
      <c r="F161" s="100"/>
      <c r="G161" s="100"/>
      <c r="H161" s="100"/>
      <c r="I161" s="100"/>
      <c r="J161" s="79"/>
      <c r="K161" s="79"/>
      <c r="L161" s="79"/>
      <c r="M161" s="79"/>
      <c r="N161" s="79"/>
      <c r="O161" s="79"/>
      <c r="P161" s="79"/>
      <c r="Q161" s="79"/>
      <c r="R161" s="79"/>
      <c r="S161" s="79">
        <f t="shared" si="93"/>
        <v>0</v>
      </c>
      <c r="T161" s="79">
        <f t="shared" si="95"/>
        <v>0</v>
      </c>
      <c r="U161" s="79"/>
      <c r="V161" s="79"/>
      <c r="W161" s="79"/>
      <c r="X161" s="79"/>
      <c r="Y161" s="79"/>
      <c r="Z161" s="79"/>
    </row>
    <row r="162" spans="1:26" ht="15.75" customHeight="1">
      <c r="C162" s="88" t="s">
        <v>524</v>
      </c>
      <c r="D162" s="110" t="s">
        <v>185</v>
      </c>
      <c r="E162" s="100"/>
      <c r="F162" s="100"/>
      <c r="G162" s="100"/>
      <c r="H162" s="100"/>
      <c r="I162" s="100"/>
      <c r="J162" s="79">
        <f>J152+J154+J159</f>
        <v>46630.472300800866</v>
      </c>
      <c r="K162" s="79">
        <f>K152+K153+K154+K159+K157+K158</f>
        <v>31535654.60741023</v>
      </c>
      <c r="L162" s="79">
        <f t="shared" ref="L162:X162" si="102">L152+L153+L154+L159+L157+L158</f>
        <v>100257025.30147812</v>
      </c>
      <c r="M162" s="79">
        <f t="shared" si="102"/>
        <v>80075120.544600204</v>
      </c>
      <c r="N162" s="79">
        <f t="shared" si="102"/>
        <v>62573189.85117396</v>
      </c>
      <c r="O162" s="79">
        <f t="shared" si="102"/>
        <v>78046794.512225419</v>
      </c>
      <c r="P162" s="79">
        <f t="shared" si="102"/>
        <v>74066257.398294702</v>
      </c>
      <c r="Q162" s="79">
        <f t="shared" si="102"/>
        <v>65264966.701703906</v>
      </c>
      <c r="R162" s="79">
        <f t="shared" si="102"/>
        <v>81014286.966451764</v>
      </c>
      <c r="S162" s="79">
        <f t="shared" si="93"/>
        <v>26701516.899456501</v>
      </c>
      <c r="T162" s="79">
        <f t="shared" si="95"/>
        <v>26701516.899456501</v>
      </c>
      <c r="U162" s="79">
        <f>U152+U153+U154+U159+U157+U158</f>
        <v>53403033.798913002</v>
      </c>
      <c r="V162" s="79">
        <f t="shared" si="102"/>
        <v>75656241.576937869</v>
      </c>
      <c r="W162" s="79">
        <f t="shared" si="102"/>
        <v>75268473.909384474</v>
      </c>
      <c r="X162" s="79">
        <f t="shared" si="102"/>
        <v>74857140.387083709</v>
      </c>
      <c r="Y162" s="79">
        <f>Y152+Y153+Y154+Y159+Y157+Y158</f>
        <v>74420783.79302533</v>
      </c>
      <c r="Z162" s="79">
        <f>Z152+Z153+Z154+Z159+Z157+Z158</f>
        <v>73957855.692605168</v>
      </c>
    </row>
    <row r="163" spans="1:26" ht="6.75" customHeight="1">
      <c r="C163" s="88"/>
      <c r="D163" s="110"/>
      <c r="E163" s="100"/>
      <c r="F163" s="100"/>
      <c r="G163" s="100"/>
      <c r="H163" s="100"/>
      <c r="I163" s="100"/>
      <c r="J163" s="79"/>
      <c r="K163" s="79"/>
      <c r="L163" s="79"/>
      <c r="M163" s="79"/>
      <c r="N163" s="79"/>
      <c r="O163" s="79"/>
      <c r="P163" s="79"/>
      <c r="Q163" s="79"/>
      <c r="R163" s="79"/>
      <c r="S163" s="79">
        <f t="shared" si="93"/>
        <v>0</v>
      </c>
      <c r="T163" s="79">
        <f t="shared" si="95"/>
        <v>0</v>
      </c>
      <c r="U163" s="79"/>
      <c r="V163" s="79"/>
      <c r="W163" s="79"/>
      <c r="X163" s="79"/>
      <c r="Y163" s="79"/>
      <c r="Z163" s="79"/>
    </row>
    <row r="164" spans="1:26" ht="15.75" customHeight="1">
      <c r="A164" s="75">
        <v>5</v>
      </c>
      <c r="B164" s="75">
        <v>5</v>
      </c>
      <c r="C164" s="88" t="s">
        <v>523</v>
      </c>
      <c r="D164" s="110" t="s">
        <v>263</v>
      </c>
      <c r="E164" s="100"/>
      <c r="F164" s="100"/>
      <c r="G164" s="100"/>
      <c r="H164" s="100"/>
      <c r="I164" s="100"/>
      <c r="J164" s="79">
        <f t="shared" ref="J164:Z164" si="103">SUM(J165:J167)</f>
        <v>0</v>
      </c>
      <c r="K164" s="79">
        <f t="shared" si="103"/>
        <v>-1633093.6423720443</v>
      </c>
      <c r="L164" s="79">
        <f t="shared" si="103"/>
        <v>-1875150</v>
      </c>
      <c r="M164" s="79">
        <f t="shared" si="103"/>
        <v>-11205500</v>
      </c>
      <c r="N164" s="79">
        <f t="shared" si="103"/>
        <v>-12290810</v>
      </c>
      <c r="O164" s="79">
        <f t="shared" si="103"/>
        <v>-8557300</v>
      </c>
      <c r="P164" s="79">
        <f t="shared" si="103"/>
        <v>-8907600</v>
      </c>
      <c r="Q164" s="79">
        <f t="shared" si="103"/>
        <v>-6179394</v>
      </c>
      <c r="R164" s="79">
        <f t="shared" si="103"/>
        <v>-5155500</v>
      </c>
      <c r="S164" s="79">
        <f t="shared" si="93"/>
        <v>-2577750</v>
      </c>
      <c r="T164" s="79">
        <f t="shared" si="95"/>
        <v>-2577750</v>
      </c>
      <c r="U164" s="79">
        <f>SUM(U165:U167)</f>
        <v>-5155500</v>
      </c>
      <c r="V164" s="79">
        <f t="shared" si="103"/>
        <v>-5198035.4119811896</v>
      </c>
      <c r="W164" s="79">
        <f t="shared" si="103"/>
        <v>-5243301.5782788992</v>
      </c>
      <c r="X164" s="79">
        <f t="shared" si="103"/>
        <v>-5291473.8120919373</v>
      </c>
      <c r="Y164" s="79">
        <f t="shared" si="103"/>
        <v>-5342738.6816476248</v>
      </c>
      <c r="Z164" s="79">
        <f t="shared" si="103"/>
        <v>-5397294.7327695545</v>
      </c>
    </row>
    <row r="165" spans="1:26" ht="15.75" customHeight="1">
      <c r="C165" s="88"/>
      <c r="D165" s="482" t="s">
        <v>264</v>
      </c>
      <c r="E165" s="100"/>
      <c r="F165" s="100"/>
      <c r="G165" s="100"/>
      <c r="H165" s="100"/>
      <c r="I165" s="100"/>
      <c r="J165" s="79">
        <f t="shared" ref="J165:O165" si="104">J135</f>
        <v>0</v>
      </c>
      <c r="K165" s="79">
        <f t="shared" si="104"/>
        <v>-1257027.9288598932</v>
      </c>
      <c r="L165" s="79">
        <f t="shared" si="104"/>
        <v>-1262250</v>
      </c>
      <c r="M165" s="79">
        <f>M135</f>
        <v>-1626900</v>
      </c>
      <c r="N165" s="79">
        <f t="shared" si="104"/>
        <v>-7511152</v>
      </c>
      <c r="O165" s="79">
        <f t="shared" si="104"/>
        <v>-1972300</v>
      </c>
      <c r="P165" s="79">
        <f t="shared" ref="P165:X165" si="105">P135</f>
        <v>-2186800</v>
      </c>
      <c r="Q165" s="79">
        <f t="shared" si="105"/>
        <v>-1727250</v>
      </c>
      <c r="R165" s="79">
        <f t="shared" si="105"/>
        <v>-1416450</v>
      </c>
      <c r="S165" s="79">
        <f t="shared" si="93"/>
        <v>-708225</v>
      </c>
      <c r="T165" s="79">
        <f t="shared" si="95"/>
        <v>-708225</v>
      </c>
      <c r="U165" s="79">
        <f>U135</f>
        <v>-1416450</v>
      </c>
      <c r="V165" s="79">
        <f t="shared" si="105"/>
        <v>-1416450</v>
      </c>
      <c r="W165" s="79">
        <f t="shared" si="105"/>
        <v>-1416450</v>
      </c>
      <c r="X165" s="79">
        <f t="shared" si="105"/>
        <v>-1416450</v>
      </c>
      <c r="Y165" s="79">
        <f>Y135</f>
        <v>-1416450</v>
      </c>
      <c r="Z165" s="79">
        <f>Z135</f>
        <v>-1416450</v>
      </c>
    </row>
    <row r="166" spans="1:26" ht="15.75" customHeight="1">
      <c r="C166" s="88"/>
      <c r="D166" s="482" t="s">
        <v>265</v>
      </c>
      <c r="E166" s="100"/>
      <c r="F166" s="100"/>
      <c r="G166" s="100"/>
      <c r="H166" s="100"/>
      <c r="I166" s="100"/>
      <c r="J166" s="79">
        <f t="shared" ref="J166:O166" si="106">J102</f>
        <v>0</v>
      </c>
      <c r="K166" s="79">
        <f t="shared" si="106"/>
        <v>-376065.71351215104</v>
      </c>
      <c r="L166" s="79">
        <f t="shared" si="106"/>
        <v>-612900</v>
      </c>
      <c r="M166" s="79">
        <f>M102</f>
        <v>-578600</v>
      </c>
      <c r="N166" s="79">
        <f t="shared" si="106"/>
        <v>-558800</v>
      </c>
      <c r="O166" s="79">
        <f t="shared" si="106"/>
        <v>-605000</v>
      </c>
      <c r="P166" s="79">
        <f t="shared" ref="P166:X166" si="107">P102</f>
        <v>-657800</v>
      </c>
      <c r="Q166" s="79">
        <f>Q102</f>
        <v>-688800</v>
      </c>
      <c r="R166" s="79">
        <f t="shared" si="107"/>
        <v>-662550</v>
      </c>
      <c r="S166" s="79">
        <f t="shared" si="93"/>
        <v>-331275</v>
      </c>
      <c r="T166" s="79">
        <f t="shared" si="95"/>
        <v>-331275</v>
      </c>
      <c r="U166" s="79">
        <f>U102</f>
        <v>-662550</v>
      </c>
      <c r="V166" s="79">
        <f t="shared" si="107"/>
        <v>-705085.41198118997</v>
      </c>
      <c r="W166" s="79">
        <f t="shared" si="107"/>
        <v>-750351.57827889873</v>
      </c>
      <c r="X166" s="79">
        <f t="shared" si="107"/>
        <v>-798523.81209193775</v>
      </c>
      <c r="Y166" s="79">
        <f>Y102</f>
        <v>-849788.6816476254</v>
      </c>
      <c r="Z166" s="79">
        <f>Z102</f>
        <v>-904344.73276955436</v>
      </c>
    </row>
    <row r="167" spans="1:26" ht="15.75" customHeight="1">
      <c r="C167" s="88"/>
      <c r="D167" s="482" t="s">
        <v>683</v>
      </c>
      <c r="E167" s="100"/>
      <c r="F167" s="100"/>
      <c r="G167" s="100"/>
      <c r="H167" s="100"/>
      <c r="I167" s="100"/>
      <c r="J167" s="79">
        <f t="shared" ref="J167:O167" si="108">J136</f>
        <v>0</v>
      </c>
      <c r="K167" s="79">
        <f t="shared" si="108"/>
        <v>0</v>
      </c>
      <c r="L167" s="79">
        <f t="shared" si="108"/>
        <v>0</v>
      </c>
      <c r="M167" s="79">
        <f t="shared" si="108"/>
        <v>-9000000</v>
      </c>
      <c r="N167" s="79">
        <f t="shared" si="108"/>
        <v>-4220858</v>
      </c>
      <c r="O167" s="79">
        <f t="shared" si="108"/>
        <v>-5980000</v>
      </c>
      <c r="P167" s="79">
        <f t="shared" ref="P167:Z167" si="109">P136</f>
        <v>-6063000</v>
      </c>
      <c r="Q167" s="79">
        <f t="shared" si="109"/>
        <v>-3763344</v>
      </c>
      <c r="R167" s="79">
        <f t="shared" si="109"/>
        <v>-3076500</v>
      </c>
      <c r="S167" s="79">
        <f t="shared" si="93"/>
        <v>-1538250</v>
      </c>
      <c r="T167" s="79">
        <f t="shared" si="95"/>
        <v>-1538250</v>
      </c>
      <c r="U167" s="79">
        <f>U136</f>
        <v>-3076500</v>
      </c>
      <c r="V167" s="79">
        <f t="shared" si="109"/>
        <v>-3076500</v>
      </c>
      <c r="W167" s="79">
        <f t="shared" si="109"/>
        <v>-3076500</v>
      </c>
      <c r="X167" s="79">
        <f t="shared" si="109"/>
        <v>-3076500</v>
      </c>
      <c r="Y167" s="79">
        <f t="shared" si="109"/>
        <v>-3076500</v>
      </c>
      <c r="Z167" s="79">
        <f t="shared" si="109"/>
        <v>-3076500</v>
      </c>
    </row>
    <row r="168" spans="1:26" ht="15.75" customHeight="1">
      <c r="C168" s="88" t="s">
        <v>524</v>
      </c>
      <c r="D168" s="110" t="s">
        <v>347</v>
      </c>
      <c r="E168" s="100"/>
      <c r="F168" s="100"/>
      <c r="G168" s="100"/>
      <c r="H168" s="100"/>
      <c r="I168" s="100"/>
      <c r="J168" s="79">
        <f t="shared" ref="J168:R168" si="110">J162+J164</f>
        <v>46630.472300800866</v>
      </c>
      <c r="K168" s="79">
        <f t="shared" si="110"/>
        <v>29902560.965038184</v>
      </c>
      <c r="L168" s="79">
        <f t="shared" si="110"/>
        <v>98381875.301478118</v>
      </c>
      <c r="M168" s="79">
        <f t="shared" si="110"/>
        <v>68869620.544600204</v>
      </c>
      <c r="N168" s="79">
        <f t="shared" si="110"/>
        <v>50282379.85117396</v>
      </c>
      <c r="O168" s="79">
        <f t="shared" si="110"/>
        <v>69489494.512225419</v>
      </c>
      <c r="P168" s="79">
        <f t="shared" si="110"/>
        <v>65158657.398294702</v>
      </c>
      <c r="Q168" s="79">
        <f t="shared" si="110"/>
        <v>59085572.701703906</v>
      </c>
      <c r="R168" s="79">
        <f t="shared" si="110"/>
        <v>75858786.966451764</v>
      </c>
      <c r="S168" s="79">
        <f t="shared" si="93"/>
        <v>24123766.899456501</v>
      </c>
      <c r="T168" s="79">
        <f t="shared" si="95"/>
        <v>24123766.899456501</v>
      </c>
      <c r="U168" s="79">
        <f t="shared" ref="U168:Z168" si="111">U162+U164</f>
        <v>48247533.798913002</v>
      </c>
      <c r="V168" s="79">
        <f t="shared" si="111"/>
        <v>70458206.164956674</v>
      </c>
      <c r="W168" s="79">
        <f t="shared" si="111"/>
        <v>70025172.331105575</v>
      </c>
      <c r="X168" s="79">
        <f t="shared" si="111"/>
        <v>69565666.574991778</v>
      </c>
      <c r="Y168" s="79">
        <f t="shared" si="111"/>
        <v>69078045.111377701</v>
      </c>
      <c r="Z168" s="79">
        <f t="shared" si="111"/>
        <v>68560560.959835619</v>
      </c>
    </row>
    <row r="169" spans="1:26" ht="6.75" customHeight="1">
      <c r="C169" s="88"/>
      <c r="D169" s="100"/>
      <c r="E169" s="100"/>
      <c r="F169" s="100"/>
      <c r="G169" s="100"/>
      <c r="H169" s="100"/>
      <c r="I169" s="100"/>
      <c r="J169" s="108"/>
      <c r="K169" s="90"/>
      <c r="L169" s="90"/>
      <c r="M169" s="90"/>
      <c r="N169" s="90"/>
      <c r="O169" s="90"/>
      <c r="P169" s="90"/>
      <c r="Q169" s="90"/>
      <c r="R169" s="90"/>
      <c r="S169" s="90">
        <f t="shared" si="93"/>
        <v>0</v>
      </c>
      <c r="T169" s="90">
        <f t="shared" si="95"/>
        <v>0</v>
      </c>
      <c r="U169" s="90"/>
      <c r="V169" s="90"/>
      <c r="W169" s="90"/>
      <c r="X169" s="90"/>
      <c r="Y169" s="90"/>
      <c r="Z169" s="90"/>
    </row>
    <row r="170" spans="1:26" ht="15.75" customHeight="1">
      <c r="A170" s="75">
        <v>7</v>
      </c>
      <c r="B170" s="75">
        <v>7</v>
      </c>
      <c r="C170" s="88" t="s">
        <v>523</v>
      </c>
      <c r="D170" s="482" t="s">
        <v>186</v>
      </c>
      <c r="E170" s="100"/>
      <c r="F170" s="100"/>
      <c r="G170" s="100"/>
      <c r="H170" s="100"/>
      <c r="I170" s="100"/>
      <c r="J170" s="109">
        <f>-J407</f>
        <v>0</v>
      </c>
      <c r="K170" s="109">
        <v>-3302405.92226208</v>
      </c>
      <c r="L170" s="109">
        <f t="shared" ref="L170:V170" ca="1" si="112">-L407-L386-L380</f>
        <v>-5702227.638477385</v>
      </c>
      <c r="M170" s="109">
        <f t="shared" ca="1" si="112"/>
        <v>-6024446.6523662731</v>
      </c>
      <c r="N170" s="109">
        <f ca="1">-N407-N386-N380</f>
        <v>-5892921.6856996063</v>
      </c>
      <c r="O170" s="109">
        <f t="shared" ca="1" si="112"/>
        <v>-5936409.6801440511</v>
      </c>
      <c r="P170" s="109">
        <f t="shared" ca="1" si="112"/>
        <v>-5967294.3190329401</v>
      </c>
      <c r="Q170" s="109">
        <f t="shared" ca="1" si="112"/>
        <v>-6267100.8329218291</v>
      </c>
      <c r="R170" s="109">
        <f t="shared" ca="1" si="112"/>
        <v>-6794419.8468107171</v>
      </c>
      <c r="S170" s="109">
        <f t="shared" ca="1" si="93"/>
        <v>-3397209.9234053586</v>
      </c>
      <c r="T170" s="109">
        <f t="shared" ca="1" si="95"/>
        <v>-3397209.9234053586</v>
      </c>
      <c r="U170" s="109">
        <f ca="1">-U407-U386-U380</f>
        <v>-6794419.8468107171</v>
      </c>
      <c r="V170" s="109">
        <f t="shared" ca="1" si="112"/>
        <v>-7121156.7677385807</v>
      </c>
      <c r="W170" s="109">
        <f ca="1">-W407-W386-W380</f>
        <v>-7212686.2795665301</v>
      </c>
      <c r="X170" s="109">
        <f ca="1">-X407-X386-X380</f>
        <v>-7200943.864144478</v>
      </c>
      <c r="Y170" s="109">
        <f ca="1">-Y407-Y386-Y380</f>
        <v>-7613017.0737224277</v>
      </c>
      <c r="Z170" s="109">
        <f>-Z407-Z386-Z380</f>
        <v>-7909934.0333003756</v>
      </c>
    </row>
    <row r="171" spans="1:26" ht="6.75" customHeight="1">
      <c r="C171" s="88"/>
      <c r="D171" s="482"/>
      <c r="E171" s="100"/>
      <c r="F171" s="100"/>
      <c r="G171" s="100"/>
      <c r="H171" s="100"/>
      <c r="I171" s="100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>
        <f t="shared" si="93"/>
        <v>0</v>
      </c>
      <c r="T171" s="109">
        <f t="shared" si="95"/>
        <v>0</v>
      </c>
      <c r="U171" s="109"/>
      <c r="V171" s="109"/>
      <c r="W171" s="109"/>
      <c r="X171" s="109"/>
      <c r="Y171" s="109"/>
      <c r="Z171" s="109"/>
    </row>
    <row r="172" spans="1:26" ht="15.75" customHeight="1">
      <c r="C172" s="88" t="s">
        <v>524</v>
      </c>
      <c r="D172" s="110" t="s">
        <v>363</v>
      </c>
      <c r="E172" s="100"/>
      <c r="F172" s="100"/>
      <c r="G172" s="100"/>
      <c r="H172" s="100"/>
      <c r="I172" s="100"/>
      <c r="J172" s="79">
        <f t="shared" ref="J172:O172" si="113">SUM(J168:J171)</f>
        <v>46630.472300800866</v>
      </c>
      <c r="K172" s="79">
        <f t="shared" si="113"/>
        <v>26600155.042776104</v>
      </c>
      <c r="L172" s="79">
        <f t="shared" ca="1" si="113"/>
        <v>92679647.663000733</v>
      </c>
      <c r="M172" s="79">
        <f t="shared" ca="1" si="113"/>
        <v>62845173.892233931</v>
      </c>
      <c r="N172" s="79">
        <f ca="1">SUM(N168:N171)</f>
        <v>44389458.165474355</v>
      </c>
      <c r="O172" s="79">
        <f t="shared" ca="1" si="113"/>
        <v>63553084.83208137</v>
      </c>
      <c r="P172" s="79">
        <f t="shared" ref="P172:X172" ca="1" si="114">SUM(P168:P171)</f>
        <v>59191363.079261765</v>
      </c>
      <c r="Q172" s="79">
        <f t="shared" ca="1" si="114"/>
        <v>52818471.868782073</v>
      </c>
      <c r="R172" s="79">
        <f t="shared" ca="1" si="114"/>
        <v>69064367.119641051</v>
      </c>
      <c r="S172" s="79">
        <f t="shared" ca="1" si="93"/>
        <v>20726556.976051144</v>
      </c>
      <c r="T172" s="79">
        <f t="shared" ca="1" si="95"/>
        <v>20726556.976051144</v>
      </c>
      <c r="U172" s="79">
        <f ca="1">SUM(U168:U171)</f>
        <v>41453113.952102289</v>
      </c>
      <c r="V172" s="79">
        <f t="shared" ca="1" si="114"/>
        <v>63337049.397218093</v>
      </c>
      <c r="W172" s="79">
        <f t="shared" ca="1" si="114"/>
        <v>62812486.051539049</v>
      </c>
      <c r="X172" s="79">
        <f t="shared" ca="1" si="114"/>
        <v>62364722.710847303</v>
      </c>
      <c r="Y172" s="79">
        <f ca="1">SUM(Y168:Y171)</f>
        <v>61465028.037655272</v>
      </c>
      <c r="Z172" s="79">
        <f>SUM(Z168:Z171)</f>
        <v>60650626.926535241</v>
      </c>
    </row>
    <row r="173" spans="1:26" ht="6" customHeight="1">
      <c r="C173" s="88"/>
      <c r="D173" s="100"/>
      <c r="E173" s="100"/>
      <c r="F173" s="100"/>
      <c r="G173" s="100"/>
      <c r="H173" s="100"/>
      <c r="I173" s="100"/>
      <c r="J173" s="108"/>
      <c r="K173" s="90"/>
      <c r="L173" s="90"/>
      <c r="M173" s="91"/>
      <c r="N173" s="91"/>
      <c r="O173" s="91"/>
      <c r="P173" s="91"/>
      <c r="Q173" s="91"/>
      <c r="R173" s="91"/>
      <c r="S173" s="91">
        <f t="shared" si="93"/>
        <v>0</v>
      </c>
      <c r="T173" s="91">
        <f t="shared" si="95"/>
        <v>0</v>
      </c>
      <c r="U173" s="91"/>
      <c r="V173" s="91"/>
      <c r="W173" s="91"/>
      <c r="X173" s="91"/>
      <c r="Y173" s="91"/>
      <c r="Z173" s="91"/>
    </row>
    <row r="174" spans="1:26" ht="15.75" customHeight="1">
      <c r="A174" s="75">
        <v>8</v>
      </c>
      <c r="B174" s="75">
        <v>8</v>
      </c>
      <c r="C174" s="88" t="s">
        <v>523</v>
      </c>
      <c r="D174" s="482" t="s">
        <v>203</v>
      </c>
      <c r="E174" s="100"/>
      <c r="F174" s="100"/>
      <c r="G174" s="100"/>
      <c r="H174" s="100"/>
      <c r="I174" s="100"/>
      <c r="J174" s="108">
        <v>-3640</v>
      </c>
      <c r="K174" s="108">
        <f t="shared" ref="K174:P174" si="115">-K537</f>
        <v>-235867.85441031805</v>
      </c>
      <c r="L174" s="108">
        <f t="shared" si="115"/>
        <v>-2070900</v>
      </c>
      <c r="M174" s="108">
        <f t="shared" si="115"/>
        <v>-1009036.8537399999</v>
      </c>
      <c r="N174" s="108">
        <f t="shared" ca="1" si="115"/>
        <v>-758775.44696918479</v>
      </c>
      <c r="O174" s="108">
        <f ca="1">-O537</f>
        <v>-424915.49627322552</v>
      </c>
      <c r="P174" s="108">
        <f t="shared" ca="1" si="115"/>
        <v>-133502.60117404076</v>
      </c>
      <c r="Q174" s="108">
        <f t="shared" ref="Q174:Z174" ca="1" si="116">-Q537</f>
        <v>-466933.348</v>
      </c>
      <c r="R174" s="108">
        <f t="shared" ca="1" si="116"/>
        <v>-869266.69757142873</v>
      </c>
      <c r="S174" s="108">
        <f t="shared" si="93"/>
        <v>-434633.34878571436</v>
      </c>
      <c r="T174" s="108">
        <f t="shared" si="95"/>
        <v>-434633.34878571436</v>
      </c>
      <c r="U174" s="108">
        <f>-U537</f>
        <v>-869266.69757142873</v>
      </c>
      <c r="V174" s="108">
        <f t="shared" ca="1" si="116"/>
        <v>-678219.07852380956</v>
      </c>
      <c r="W174" s="108">
        <f t="shared" ca="1" si="116"/>
        <v>-410752.41185714293</v>
      </c>
      <c r="X174" s="108">
        <f t="shared" ca="1" si="116"/>
        <v>-148061.93566666672</v>
      </c>
      <c r="Y174" s="108">
        <f t="shared" ca="1" si="116"/>
        <v>-3.0904761930927636E-2</v>
      </c>
      <c r="Z174" s="108">
        <f t="shared" ca="1" si="116"/>
        <v>-3.0904761930927636E-2</v>
      </c>
    </row>
    <row r="175" spans="1:26" ht="15.75" customHeight="1">
      <c r="A175" s="75">
        <v>9</v>
      </c>
      <c r="B175" s="75">
        <v>9</v>
      </c>
      <c r="C175" s="88" t="s">
        <v>525</v>
      </c>
      <c r="D175" s="482" t="s">
        <v>187</v>
      </c>
      <c r="E175" s="100"/>
      <c r="F175" s="100"/>
      <c r="G175" s="100"/>
      <c r="H175" s="100"/>
      <c r="I175" s="100"/>
      <c r="J175" s="108">
        <v>9313</v>
      </c>
      <c r="K175" s="108">
        <f t="shared" ref="K175:P175" si="117">K541</f>
        <v>12557.87126221343</v>
      </c>
      <c r="L175" s="108">
        <f t="shared" ca="1" si="117"/>
        <v>0</v>
      </c>
      <c r="M175" s="108">
        <f t="shared" ca="1" si="117"/>
        <v>0</v>
      </c>
      <c r="N175" s="108">
        <f t="shared" ca="1" si="117"/>
        <v>0</v>
      </c>
      <c r="O175" s="108">
        <f t="shared" ca="1" si="117"/>
        <v>0</v>
      </c>
      <c r="P175" s="108">
        <f t="shared" ca="1" si="117"/>
        <v>0</v>
      </c>
      <c r="Q175" s="108">
        <f t="shared" ref="Q175:Z175" ca="1" si="118">Q541</f>
        <v>0</v>
      </c>
      <c r="R175" s="108">
        <f t="shared" ca="1" si="118"/>
        <v>0</v>
      </c>
      <c r="S175" s="108">
        <f t="shared" si="93"/>
        <v>0</v>
      </c>
      <c r="T175" s="108">
        <f t="shared" si="95"/>
        <v>0</v>
      </c>
      <c r="U175" s="108">
        <f>U541</f>
        <v>0</v>
      </c>
      <c r="V175" s="108">
        <f t="shared" ca="1" si="118"/>
        <v>0</v>
      </c>
      <c r="W175" s="108">
        <f t="shared" ca="1" si="118"/>
        <v>0</v>
      </c>
      <c r="X175" s="108">
        <f t="shared" ca="1" si="118"/>
        <v>0</v>
      </c>
      <c r="Y175" s="108">
        <f t="shared" ca="1" si="118"/>
        <v>0</v>
      </c>
      <c r="Z175" s="108">
        <f t="shared" ca="1" si="118"/>
        <v>0</v>
      </c>
    </row>
    <row r="176" spans="1:26" ht="15.75" customHeight="1">
      <c r="A176" s="75">
        <v>4</v>
      </c>
      <c r="B176" s="75">
        <v>4</v>
      </c>
      <c r="C176" s="356" t="s">
        <v>195</v>
      </c>
      <c r="D176" s="482"/>
      <c r="E176" s="100"/>
      <c r="F176" s="100"/>
      <c r="G176" s="100"/>
      <c r="H176" s="100"/>
      <c r="I176" s="100"/>
      <c r="J176" s="108"/>
      <c r="K176" s="108"/>
      <c r="L176" s="108"/>
      <c r="M176" s="108"/>
      <c r="N176" s="108">
        <f>-322325</f>
        <v>-322325</v>
      </c>
      <c r="O176" s="108"/>
      <c r="P176" s="108">
        <f ca="1">3738000*'Control list'!K17-'Zn Pb segment'!P174</f>
        <v>4245302.6011740416</v>
      </c>
      <c r="Q176" s="108">
        <f ca="1">-4717627-Q174</f>
        <v>-4250693.6519999998</v>
      </c>
      <c r="R176" s="108"/>
      <c r="S176" s="108">
        <f t="shared" si="93"/>
        <v>0</v>
      </c>
      <c r="T176" s="108">
        <f t="shared" si="95"/>
        <v>0</v>
      </c>
      <c r="U176" s="108"/>
      <c r="V176" s="108"/>
      <c r="W176" s="108"/>
      <c r="X176" s="108"/>
      <c r="Y176" s="108"/>
      <c r="Z176" s="108"/>
    </row>
    <row r="177" spans="1:58" ht="15.75" customHeight="1">
      <c r="C177" s="88" t="s">
        <v>524</v>
      </c>
      <c r="D177" s="110" t="s">
        <v>188</v>
      </c>
      <c r="E177" s="100"/>
      <c r="F177" s="100"/>
      <c r="G177" s="100"/>
      <c r="H177" s="100"/>
      <c r="I177" s="100"/>
      <c r="J177" s="79">
        <f t="shared" ref="J177:O177" si="119">SUM(J172:J175)</f>
        <v>52303.472300800866</v>
      </c>
      <c r="K177" s="79">
        <f t="shared" si="119"/>
        <v>26376845.059628002</v>
      </c>
      <c r="L177" s="79">
        <f t="shared" ca="1" si="119"/>
        <v>90608747.663000733</v>
      </c>
      <c r="M177" s="79">
        <f t="shared" ca="1" si="119"/>
        <v>61836137.038493931</v>
      </c>
      <c r="N177" s="79">
        <f ca="1">SUM(N172:N176)</f>
        <v>43308357.718505174</v>
      </c>
      <c r="O177" s="79">
        <f t="shared" ca="1" si="119"/>
        <v>63128169.335808143</v>
      </c>
      <c r="P177" s="79">
        <f ca="1">SUM(P172:P176)</f>
        <v>63303163.079261765</v>
      </c>
      <c r="Q177" s="79">
        <f t="shared" ref="Q177:Z177" ca="1" si="120">SUM(Q172:Q176)</f>
        <v>48100844.868782073</v>
      </c>
      <c r="R177" s="79">
        <f t="shared" ca="1" si="120"/>
        <v>68195100.422069624</v>
      </c>
      <c r="S177" s="79">
        <f t="shared" ca="1" si="93"/>
        <v>20291923.627265431</v>
      </c>
      <c r="T177" s="79">
        <f t="shared" ca="1" si="95"/>
        <v>20291923.627265431</v>
      </c>
      <c r="U177" s="79">
        <f ca="1">SUM(U172:U176)</f>
        <v>40583847.254530862</v>
      </c>
      <c r="V177" s="79">
        <f t="shared" ca="1" si="120"/>
        <v>62658830.318694286</v>
      </c>
      <c r="W177" s="79">
        <f t="shared" ca="1" si="120"/>
        <v>62401733.639681906</v>
      </c>
      <c r="X177" s="79">
        <f t="shared" ca="1" si="120"/>
        <v>62216660.775180638</v>
      </c>
      <c r="Y177" s="79">
        <f t="shared" ca="1" si="120"/>
        <v>61465028.006750509</v>
      </c>
      <c r="Z177" s="79">
        <f t="shared" ca="1" si="120"/>
        <v>60650626.895630479</v>
      </c>
    </row>
    <row r="178" spans="1:58" ht="3.75" customHeight="1">
      <c r="C178" s="88"/>
      <c r="D178" s="110"/>
      <c r="E178" s="100"/>
      <c r="F178" s="100"/>
      <c r="G178" s="100"/>
      <c r="H178" s="100"/>
      <c r="I178" s="100"/>
      <c r="J178" s="79"/>
      <c r="K178" s="79"/>
      <c r="L178" s="79"/>
      <c r="M178" s="79"/>
      <c r="N178" s="79"/>
      <c r="O178" s="79"/>
      <c r="P178" s="79"/>
      <c r="Q178" s="79"/>
      <c r="R178" s="79"/>
      <c r="S178" s="79">
        <f t="shared" si="93"/>
        <v>0</v>
      </c>
      <c r="T178" s="79">
        <f t="shared" si="95"/>
        <v>0</v>
      </c>
      <c r="U178" s="79"/>
      <c r="V178" s="79"/>
      <c r="W178" s="79"/>
      <c r="X178" s="79"/>
      <c r="Y178" s="79"/>
      <c r="Z178" s="79"/>
    </row>
    <row r="179" spans="1:58" ht="15.75" customHeight="1">
      <c r="A179" s="75">
        <v>10</v>
      </c>
      <c r="B179" s="75">
        <v>10</v>
      </c>
      <c r="C179" s="88" t="s">
        <v>523</v>
      </c>
      <c r="D179" s="110" t="s">
        <v>673</v>
      </c>
      <c r="E179" s="100"/>
      <c r="F179" s="100"/>
      <c r="G179" s="100"/>
      <c r="H179" s="100"/>
      <c r="I179" s="100"/>
      <c r="J179" s="79">
        <f>-J177*J209</f>
        <v>0</v>
      </c>
      <c r="K179" s="79">
        <f>-K177*K209</f>
        <v>0</v>
      </c>
      <c r="L179" s="79">
        <f ca="1">-L177*L209</f>
        <v>0</v>
      </c>
      <c r="M179" s="79">
        <f>-169225</f>
        <v>-169225</v>
      </c>
      <c r="N179" s="79">
        <v>0</v>
      </c>
      <c r="O179" s="79">
        <f ca="1">-O177*O209</f>
        <v>0</v>
      </c>
      <c r="P179" s="79">
        <f>-93000*'Control list'!K17</f>
        <v>-102300.00000000001</v>
      </c>
      <c r="Q179" s="79">
        <f>-198765</f>
        <v>-198765</v>
      </c>
      <c r="R179" s="79">
        <f ca="1">-R177*R209</f>
        <v>-281799.60606450529</v>
      </c>
      <c r="S179" s="79">
        <f t="shared" ca="1" si="93"/>
        <v>-83851.421129425551</v>
      </c>
      <c r="T179" s="79">
        <f t="shared" ca="1" si="95"/>
        <v>-83851.421129425551</v>
      </c>
      <c r="U179" s="79">
        <f t="shared" ref="U179:Z179" ca="1" si="121">-U177*U209</f>
        <v>-167702.8422588511</v>
      </c>
      <c r="V179" s="79">
        <f t="shared" ca="1" si="121"/>
        <v>-258922.32126630042</v>
      </c>
      <c r="W179" s="79">
        <f t="shared" ca="1" si="121"/>
        <v>-257859.93199760254</v>
      </c>
      <c r="X179" s="79">
        <f t="shared" ca="1" si="121"/>
        <v>-257095.1635613527</v>
      </c>
      <c r="Y179" s="79">
        <f t="shared" ca="1" si="121"/>
        <v>-253989.22461943663</v>
      </c>
      <c r="Z179" s="79">
        <f t="shared" ca="1" si="121"/>
        <v>-250623.91082311221</v>
      </c>
    </row>
    <row r="180" spans="1:58" ht="15.75" customHeight="1">
      <c r="C180" s="88" t="s">
        <v>524</v>
      </c>
      <c r="D180" s="472" t="s">
        <v>190</v>
      </c>
      <c r="E180" s="497"/>
      <c r="F180" s="497"/>
      <c r="G180" s="497"/>
      <c r="H180" s="497"/>
      <c r="I180" s="497"/>
      <c r="J180" s="150">
        <f t="shared" ref="J180:V180" si="122">SUM(J177:J179)</f>
        <v>52303.472300800866</v>
      </c>
      <c r="K180" s="150">
        <f t="shared" si="122"/>
        <v>26376845.059628002</v>
      </c>
      <c r="L180" s="150">
        <f t="shared" ca="1" si="122"/>
        <v>90608747.663000733</v>
      </c>
      <c r="M180" s="150">
        <f t="shared" ca="1" si="122"/>
        <v>61666912.038493931</v>
      </c>
      <c r="N180" s="150">
        <f ca="1">SUM(N177:N179)</f>
        <v>43308357.718505174</v>
      </c>
      <c r="O180" s="150">
        <f t="shared" ca="1" si="122"/>
        <v>63128169.335808143</v>
      </c>
      <c r="P180" s="150">
        <f t="shared" ca="1" si="122"/>
        <v>63200863.079261765</v>
      </c>
      <c r="Q180" s="150">
        <f t="shared" ca="1" si="122"/>
        <v>47902079.868782073</v>
      </c>
      <c r="R180" s="150">
        <f t="shared" ca="1" si="122"/>
        <v>67913300.816005126</v>
      </c>
      <c r="S180" s="150">
        <f t="shared" ca="1" si="93"/>
        <v>20208072.206136007</v>
      </c>
      <c r="T180" s="150">
        <f t="shared" ca="1" si="95"/>
        <v>20208072.206136007</v>
      </c>
      <c r="U180" s="150">
        <f ca="1">SUM(U177:U179)</f>
        <v>40416144.412272014</v>
      </c>
      <c r="V180" s="150">
        <f t="shared" ca="1" si="122"/>
        <v>62399907.997427985</v>
      </c>
      <c r="W180" s="150">
        <f ca="1">SUM(W177:W179)</f>
        <v>62143873.707684301</v>
      </c>
      <c r="X180" s="150">
        <f ca="1">SUM(X177:X179)</f>
        <v>61959565.611619286</v>
      </c>
      <c r="Y180" s="150">
        <f ca="1">SUM(Y177:Y179)</f>
        <v>61211038.782131076</v>
      </c>
      <c r="Z180" s="150">
        <f ca="1">SUM(Z177:Z179)</f>
        <v>60400002.984807365</v>
      </c>
    </row>
    <row r="181" spans="1:58" ht="15.75" customHeight="1"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79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58" ht="15.75" customHeight="1"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691"/>
      <c r="N182" s="108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58" ht="15.75" customHeight="1"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08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58" ht="15.75" customHeight="1"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08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58" ht="27" hidden="1" customHeight="1" outlineLevel="1">
      <c r="D185" s="462" t="s">
        <v>500</v>
      </c>
      <c r="M185" s="75"/>
      <c r="N185" s="71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spans="1:58" ht="3" hidden="1" customHeight="1" outlineLevel="1">
      <c r="D186" s="464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</row>
    <row r="187" spans="1:58" ht="15.75" hidden="1" customHeight="1" outlineLevel="1">
      <c r="D187" s="460" t="s">
        <v>1498</v>
      </c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</row>
    <row r="188" spans="1:58" ht="15.75" hidden="1" customHeight="1" outlineLevel="1">
      <c r="D188" s="467" t="s">
        <v>433</v>
      </c>
      <c r="E188" s="468"/>
      <c r="F188" s="468"/>
      <c r="G188" s="468"/>
      <c r="H188" s="468"/>
      <c r="I188" s="91"/>
      <c r="J188" s="91"/>
      <c r="K188" s="91"/>
      <c r="L188" s="91"/>
      <c r="M188" s="135"/>
      <c r="N188" s="135"/>
      <c r="O188" s="135"/>
      <c r="P188" s="135"/>
      <c r="Q188" s="135"/>
      <c r="R188" s="135"/>
      <c r="S188" s="135"/>
      <c r="T188" s="135"/>
      <c r="U188" s="135"/>
      <c r="V188" s="135"/>
      <c r="W188" s="135"/>
      <c r="X188" s="135"/>
      <c r="Y188" s="135"/>
      <c r="Z188" s="135"/>
    </row>
    <row r="189" spans="1:58" ht="15.75" hidden="1" customHeight="1" outlineLevel="1">
      <c r="C189" s="91"/>
      <c r="D189" s="546"/>
      <c r="E189" s="106"/>
      <c r="F189" s="106"/>
      <c r="G189" s="106"/>
      <c r="H189" s="546"/>
      <c r="I189" s="546"/>
      <c r="J189" s="92">
        <f t="shared" ref="J189:M191" si="123">J148</f>
        <v>0</v>
      </c>
      <c r="K189" s="92">
        <f t="shared" si="123"/>
        <v>1</v>
      </c>
      <c r="L189" s="92">
        <f t="shared" si="123"/>
        <v>2</v>
      </c>
      <c r="M189" s="92">
        <f t="shared" si="123"/>
        <v>3</v>
      </c>
      <c r="N189" s="92">
        <f t="shared" ref="N189:P191" si="124">N148</f>
        <v>4</v>
      </c>
      <c r="O189" s="92">
        <f t="shared" si="124"/>
        <v>5</v>
      </c>
      <c r="P189" s="92">
        <f t="shared" si="124"/>
        <v>6</v>
      </c>
      <c r="Q189" s="92">
        <f t="shared" ref="Q189:R191" si="125">Q148</f>
        <v>7</v>
      </c>
      <c r="R189" s="92">
        <f t="shared" si="125"/>
        <v>8</v>
      </c>
      <c r="S189" s="92"/>
      <c r="T189" s="92"/>
      <c r="U189" s="92" t="str">
        <f>U148</f>
        <v>Revised</v>
      </c>
      <c r="V189" s="92">
        <f t="shared" ref="V189:W191" si="126">V148</f>
        <v>9</v>
      </c>
      <c r="W189" s="92">
        <f t="shared" si="126"/>
        <v>10</v>
      </c>
      <c r="X189" s="92">
        <f t="shared" ref="X189:Z191" si="127">X148</f>
        <v>11</v>
      </c>
      <c r="Y189" s="92">
        <f t="shared" si="127"/>
        <v>12</v>
      </c>
      <c r="Z189" s="92">
        <f t="shared" si="127"/>
        <v>13</v>
      </c>
      <c r="AA189" s="447"/>
      <c r="AB189" s="447"/>
      <c r="AC189" s="447"/>
      <c r="AD189" s="447"/>
      <c r="AE189" s="447"/>
      <c r="AF189" s="447"/>
      <c r="AG189" s="447"/>
      <c r="AH189" s="447"/>
      <c r="AI189" s="447"/>
      <c r="AJ189" s="447"/>
      <c r="AK189" s="447"/>
      <c r="AL189" s="447"/>
      <c r="AM189" s="447"/>
      <c r="AN189" s="447"/>
      <c r="AO189" s="447"/>
      <c r="AP189" s="447"/>
      <c r="AQ189" s="447"/>
      <c r="AR189" s="447"/>
      <c r="AS189" s="447"/>
      <c r="AT189" s="447"/>
      <c r="AU189" s="447"/>
      <c r="AV189" s="447"/>
      <c r="AW189" s="447"/>
      <c r="AX189" s="447"/>
      <c r="AY189" s="447"/>
      <c r="AZ189" s="447"/>
      <c r="BA189" s="447"/>
      <c r="BB189" s="447"/>
      <c r="BC189" s="447"/>
      <c r="BD189" s="447"/>
      <c r="BE189" s="447"/>
      <c r="BF189" s="447"/>
    </row>
    <row r="190" spans="1:58" ht="15.75" hidden="1" customHeight="1" outlineLevel="1">
      <c r="C190" s="91"/>
      <c r="D190" s="548"/>
      <c r="E190" s="469"/>
      <c r="F190" s="469"/>
      <c r="G190" s="469"/>
      <c r="H190" s="548"/>
      <c r="I190" s="548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447"/>
      <c r="AB190" s="447"/>
      <c r="AC190" s="447"/>
      <c r="AD190" s="447"/>
      <c r="AE190" s="447"/>
      <c r="AF190" s="447"/>
      <c r="AG190" s="447"/>
      <c r="AH190" s="447"/>
      <c r="AI190" s="447"/>
      <c r="AJ190" s="447"/>
      <c r="AK190" s="447"/>
      <c r="AL190" s="447"/>
      <c r="AM190" s="447"/>
      <c r="AN190" s="447"/>
      <c r="AO190" s="447"/>
      <c r="AP190" s="447"/>
      <c r="AQ190" s="447"/>
      <c r="AR190" s="447"/>
      <c r="AS190" s="447"/>
      <c r="AT190" s="447"/>
      <c r="AU190" s="447"/>
      <c r="AV190" s="447"/>
      <c r="AW190" s="447"/>
      <c r="AX190" s="447"/>
      <c r="AY190" s="447"/>
      <c r="AZ190" s="447"/>
      <c r="BA190" s="447"/>
      <c r="BB190" s="447"/>
      <c r="BC190" s="447"/>
      <c r="BD190" s="447"/>
      <c r="BE190" s="447"/>
      <c r="BF190" s="447"/>
    </row>
    <row r="191" spans="1:58" ht="15.75" hidden="1" customHeight="1" outlineLevel="1">
      <c r="C191" s="91"/>
      <c r="D191" s="471"/>
      <c r="E191" s="472"/>
      <c r="F191" s="506"/>
      <c r="G191" s="506"/>
      <c r="H191" s="471"/>
      <c r="I191" s="471"/>
      <c r="J191" s="94" t="str">
        <f t="shared" si="123"/>
        <v>($)</v>
      </c>
      <c r="K191" s="94" t="str">
        <f t="shared" si="123"/>
        <v>($)</v>
      </c>
      <c r="L191" s="94" t="str">
        <f t="shared" si="123"/>
        <v>($)</v>
      </c>
      <c r="M191" s="94" t="str">
        <f t="shared" si="123"/>
        <v>($)</v>
      </c>
      <c r="N191" s="94" t="str">
        <f t="shared" si="124"/>
        <v>($)</v>
      </c>
      <c r="O191" s="94" t="str">
        <f t="shared" si="124"/>
        <v>($)</v>
      </c>
      <c r="P191" s="94" t="str">
        <f t="shared" si="124"/>
        <v>($)</v>
      </c>
      <c r="Q191" s="94" t="str">
        <f t="shared" si="125"/>
        <v>($)</v>
      </c>
      <c r="R191" s="94" t="str">
        <f t="shared" si="125"/>
        <v>($)</v>
      </c>
      <c r="S191" s="94"/>
      <c r="T191" s="94"/>
      <c r="U191" s="94" t="str">
        <f>U150</f>
        <v>($)</v>
      </c>
      <c r="V191" s="94" t="str">
        <f t="shared" si="126"/>
        <v>($)</v>
      </c>
      <c r="W191" s="94" t="str">
        <f t="shared" si="126"/>
        <v>($)</v>
      </c>
      <c r="X191" s="94" t="str">
        <f t="shared" si="127"/>
        <v>($)</v>
      </c>
      <c r="Y191" s="94" t="str">
        <f t="shared" si="127"/>
        <v>($)</v>
      </c>
      <c r="Z191" s="94" t="str">
        <f t="shared" si="127"/>
        <v>($)</v>
      </c>
      <c r="AA191" s="447"/>
      <c r="AB191" s="447"/>
      <c r="AC191" s="447"/>
      <c r="AD191" s="447"/>
      <c r="AE191" s="447"/>
      <c r="AF191" s="447"/>
      <c r="AG191" s="447"/>
      <c r="AH191" s="447"/>
      <c r="AI191" s="447"/>
      <c r="AJ191" s="447"/>
      <c r="AK191" s="447"/>
      <c r="AL191" s="447"/>
      <c r="AM191" s="447"/>
      <c r="AN191" s="447"/>
      <c r="AO191" s="447"/>
      <c r="AP191" s="447"/>
      <c r="AQ191" s="447"/>
      <c r="AR191" s="447"/>
      <c r="AS191" s="447"/>
      <c r="AT191" s="447"/>
      <c r="AU191" s="447"/>
      <c r="AV191" s="447"/>
      <c r="AW191" s="447"/>
      <c r="AX191" s="447"/>
      <c r="AY191" s="447"/>
      <c r="AZ191" s="447"/>
      <c r="BA191" s="447"/>
      <c r="BB191" s="447"/>
      <c r="BC191" s="447"/>
      <c r="BD191" s="447"/>
      <c r="BE191" s="447"/>
      <c r="BF191" s="447"/>
    </row>
    <row r="192" spans="1:58" ht="15.75" hidden="1" customHeight="1" outlineLevel="1">
      <c r="C192" s="463"/>
      <c r="D192" s="110"/>
      <c r="E192" s="110"/>
      <c r="F192" s="114"/>
      <c r="G192" s="110"/>
      <c r="H192" s="110"/>
      <c r="I192" s="110"/>
      <c r="J192" s="110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1"/>
      <c r="W192" s="131"/>
      <c r="X192" s="131"/>
      <c r="Y192" s="131"/>
      <c r="Z192" s="131"/>
    </row>
    <row r="193" spans="3:26" ht="15.75" hidden="1" customHeight="1" outlineLevel="1">
      <c r="C193" s="463"/>
      <c r="D193" s="110" t="s">
        <v>1499</v>
      </c>
      <c r="E193" s="100"/>
      <c r="F193" s="507"/>
      <c r="G193" s="508"/>
      <c r="H193" s="508"/>
      <c r="I193" s="508"/>
      <c r="J193" s="510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</row>
    <row r="194" spans="3:26" ht="15.75" hidden="1" customHeight="1" outlineLevel="1">
      <c r="C194" s="111"/>
      <c r="D194" s="482" t="s">
        <v>1500</v>
      </c>
      <c r="E194" s="110"/>
      <c r="F194" s="114"/>
      <c r="G194" s="511"/>
      <c r="H194" s="511"/>
      <c r="I194" s="511"/>
      <c r="J194" s="108"/>
      <c r="K194" s="83">
        <f t="shared" ref="K194:P194" si="128">-K154/K152</f>
        <v>0.19359790206375738</v>
      </c>
      <c r="L194" s="83">
        <f t="shared" si="128"/>
        <v>0.14192824662436557</v>
      </c>
      <c r="M194" s="83">
        <f t="shared" si="128"/>
        <v>0.15900496227851935</v>
      </c>
      <c r="N194" s="83">
        <f t="shared" si="128"/>
        <v>0.19320552111751307</v>
      </c>
      <c r="O194" s="83">
        <f t="shared" si="128"/>
        <v>0.182417141382271</v>
      </c>
      <c r="P194" s="83">
        <f t="shared" si="128"/>
        <v>0.18332947948117179</v>
      </c>
      <c r="Q194" s="83">
        <f t="shared" ref="Q194:Z194" si="129">-Q154/Q152</f>
        <v>0.20223422093426874</v>
      </c>
      <c r="R194" s="83">
        <f t="shared" si="129"/>
        <v>0.18506128413428599</v>
      </c>
      <c r="S194" s="83"/>
      <c r="T194" s="83"/>
      <c r="U194" s="83">
        <f>-U154/U152</f>
        <v>0.25287481993434557</v>
      </c>
      <c r="V194" s="83">
        <f t="shared" si="129"/>
        <v>0.196918292000405</v>
      </c>
      <c r="W194" s="83">
        <f t="shared" si="129"/>
        <v>0.20070805698474831</v>
      </c>
      <c r="X194" s="83">
        <f t="shared" si="129"/>
        <v>0.20472813784795588</v>
      </c>
      <c r="Y194" s="83">
        <f t="shared" si="129"/>
        <v>0.20899277639114239</v>
      </c>
      <c r="Z194" s="83">
        <f t="shared" si="129"/>
        <v>0.21351710591121326</v>
      </c>
    </row>
    <row r="195" spans="3:26" ht="15.75" hidden="1" customHeight="1" outlineLevel="1">
      <c r="C195" s="463"/>
      <c r="D195" s="482" t="s">
        <v>1501</v>
      </c>
      <c r="E195" s="100"/>
      <c r="F195" s="507"/>
      <c r="G195" s="508"/>
      <c r="H195" s="508"/>
      <c r="I195" s="508"/>
      <c r="J195" s="84"/>
      <c r="K195" s="83">
        <f t="shared" ref="K195:P195" si="130">K162/K152</f>
        <v>0.79376948524342472</v>
      </c>
      <c r="L195" s="83">
        <f t="shared" si="130"/>
        <v>0.80404493451281389</v>
      </c>
      <c r="M195" s="83">
        <f t="shared" si="130"/>
        <v>0.76336186300636388</v>
      </c>
      <c r="N195" s="83">
        <f t="shared" si="130"/>
        <v>0.74054589271619442</v>
      </c>
      <c r="O195" s="83">
        <f t="shared" si="130"/>
        <v>0.771046930286585</v>
      </c>
      <c r="P195" s="83">
        <f t="shared" si="130"/>
        <v>0.7612776282313154</v>
      </c>
      <c r="Q195" s="83">
        <f t="shared" ref="Q195:Z195" si="131">Q162/Q152</f>
        <v>0.73057624943790811</v>
      </c>
      <c r="R195" s="83">
        <f t="shared" si="131"/>
        <v>0.75785118974248722</v>
      </c>
      <c r="S195" s="83"/>
      <c r="T195" s="83"/>
      <c r="U195" s="83">
        <f>U162/U152</f>
        <v>0.68261883561169268</v>
      </c>
      <c r="V195" s="83">
        <f t="shared" si="131"/>
        <v>0.73941021690730102</v>
      </c>
      <c r="W195" s="83">
        <f t="shared" si="131"/>
        <v>0.73562045192295777</v>
      </c>
      <c r="X195" s="83">
        <f t="shared" si="131"/>
        <v>0.73160037105975018</v>
      </c>
      <c r="Y195" s="83">
        <f t="shared" si="131"/>
        <v>0.72733573251656369</v>
      </c>
      <c r="Z195" s="83">
        <f t="shared" si="131"/>
        <v>0.72281140299649282</v>
      </c>
    </row>
    <row r="196" spans="3:26" ht="15.75" hidden="1" customHeight="1" outlineLevel="1">
      <c r="C196" s="463"/>
      <c r="D196" s="482"/>
      <c r="E196" s="100"/>
      <c r="F196" s="507"/>
      <c r="G196" s="508"/>
      <c r="H196" s="508"/>
      <c r="I196" s="508"/>
      <c r="J196" s="110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3:26" ht="15.75" hidden="1" customHeight="1" outlineLevel="1">
      <c r="C197" s="463"/>
      <c r="D197" s="482" t="s">
        <v>1502</v>
      </c>
      <c r="E197" s="110"/>
      <c r="F197" s="513"/>
      <c r="G197" s="80"/>
      <c r="H197" s="80"/>
      <c r="I197" s="80"/>
      <c r="J197" s="510"/>
      <c r="K197" s="83">
        <f t="shared" ref="K197:P197" si="132">-K164/K152</f>
        <v>4.1105850377856544E-2</v>
      </c>
      <c r="L197" s="83">
        <f t="shared" si="132"/>
        <v>1.5038396106586601E-2</v>
      </c>
      <c r="M197" s="83">
        <f t="shared" si="132"/>
        <v>0.10682283458010519</v>
      </c>
      <c r="N197" s="83">
        <f t="shared" si="132"/>
        <v>0.14546020244937802</v>
      </c>
      <c r="O197" s="83">
        <f t="shared" si="132"/>
        <v>8.4540049822390287E-2</v>
      </c>
      <c r="P197" s="83">
        <f t="shared" si="132"/>
        <v>9.1555275498359318E-2</v>
      </c>
      <c r="Q197" s="83">
        <f t="shared" ref="Q197:Z197" si="133">-Q164/Q152</f>
        <v>6.9172156525458703E-2</v>
      </c>
      <c r="R197" s="83">
        <f t="shared" si="133"/>
        <v>4.8227318353555766E-2</v>
      </c>
      <c r="S197" s="83"/>
      <c r="T197" s="83"/>
      <c r="U197" s="83">
        <f>-U164/U152</f>
        <v>6.5899653196626343E-2</v>
      </c>
      <c r="V197" s="83">
        <f t="shared" si="133"/>
        <v>5.0801895671175441E-2</v>
      </c>
      <c r="W197" s="83">
        <f t="shared" si="133"/>
        <v>5.1244294938481282E-2</v>
      </c>
      <c r="X197" s="83">
        <f t="shared" si="133"/>
        <v>5.171509603975441E-2</v>
      </c>
      <c r="Y197" s="83">
        <f t="shared" si="133"/>
        <v>5.2216122359960225E-2</v>
      </c>
      <c r="Z197" s="83">
        <f t="shared" si="133"/>
        <v>5.2749314344558734E-2</v>
      </c>
    </row>
    <row r="198" spans="3:26" ht="15.75" hidden="1" customHeight="1" outlineLevel="1">
      <c r="C198" s="111"/>
      <c r="D198" s="482"/>
      <c r="E198" s="110"/>
      <c r="F198" s="114"/>
      <c r="G198" s="511"/>
      <c r="H198" s="511"/>
      <c r="I198" s="511"/>
      <c r="J198" s="108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3:26" ht="15.75" hidden="1" customHeight="1" outlineLevel="1">
      <c r="C199" s="111"/>
      <c r="D199" s="482" t="s">
        <v>1503</v>
      </c>
      <c r="E199" s="110"/>
      <c r="F199" s="114"/>
      <c r="G199" s="110"/>
      <c r="H199" s="110"/>
      <c r="I199" s="110"/>
      <c r="J199" s="110"/>
      <c r="K199" s="83">
        <f t="shared" ref="K199:P199" si="134">K168/K$152</f>
        <v>0.7526636348655682</v>
      </c>
      <c r="L199" s="83">
        <f t="shared" si="134"/>
        <v>0.78900653840622725</v>
      </c>
      <c r="M199" s="83">
        <f t="shared" si="134"/>
        <v>0.65653902842625866</v>
      </c>
      <c r="N199" s="83">
        <f t="shared" si="134"/>
        <v>0.59508569026681646</v>
      </c>
      <c r="O199" s="83">
        <f t="shared" si="134"/>
        <v>0.68650688046419472</v>
      </c>
      <c r="P199" s="83">
        <f t="shared" si="134"/>
        <v>0.66972235273295611</v>
      </c>
      <c r="Q199" s="83">
        <f t="shared" ref="Q199:Z199" si="135">Q168/Q$152</f>
        <v>0.66140409291244939</v>
      </c>
      <c r="R199" s="83">
        <f t="shared" si="135"/>
        <v>0.70962387138893146</v>
      </c>
      <c r="S199" s="83"/>
      <c r="T199" s="83"/>
      <c r="U199" s="83">
        <f>U168/U$152</f>
        <v>0.61671918241506629</v>
      </c>
      <c r="V199" s="83">
        <f t="shared" si="135"/>
        <v>0.68860832123612548</v>
      </c>
      <c r="W199" s="83">
        <f t="shared" si="135"/>
        <v>0.68437615698447651</v>
      </c>
      <c r="X199" s="83">
        <f t="shared" si="135"/>
        <v>0.67988527501999585</v>
      </c>
      <c r="Y199" s="83">
        <f t="shared" si="135"/>
        <v>0.67511961015660349</v>
      </c>
      <c r="Z199" s="83">
        <f t="shared" si="135"/>
        <v>0.67006208865193417</v>
      </c>
    </row>
    <row r="200" spans="3:26" ht="15.75" hidden="1" customHeight="1" outlineLevel="1">
      <c r="C200" s="463"/>
      <c r="D200" s="482" t="s">
        <v>1504</v>
      </c>
      <c r="E200" s="100"/>
      <c r="F200" s="507"/>
      <c r="G200" s="508"/>
      <c r="H200" s="508"/>
      <c r="I200" s="508"/>
      <c r="J200" s="510"/>
      <c r="K200" s="83">
        <f t="shared" ref="K200:P200" si="136">K172/K$152</f>
        <v>0.66954029141155769</v>
      </c>
      <c r="L200" s="83">
        <f t="shared" ca="1" si="136"/>
        <v>0.74327560599156772</v>
      </c>
      <c r="M200" s="83">
        <f t="shared" ca="1" si="136"/>
        <v>0.59910754672687971</v>
      </c>
      <c r="N200" s="83">
        <f t="shared" ca="1" si="136"/>
        <v>0.52534369755680022</v>
      </c>
      <c r="O200" s="83">
        <f t="shared" ca="1" si="136"/>
        <v>0.62785936663091813</v>
      </c>
      <c r="P200" s="83">
        <f t="shared" ca="1" si="136"/>
        <v>0.60838851697934626</v>
      </c>
      <c r="Q200" s="83">
        <f t="shared" ref="Q200:Z200" ca="1" si="137">Q172/Q$152</f>
        <v>0.59125014581412527</v>
      </c>
      <c r="R200" s="83">
        <f t="shared" ca="1" si="137"/>
        <v>0.64606521578232534</v>
      </c>
      <c r="S200" s="83"/>
      <c r="T200" s="83"/>
      <c r="U200" s="83">
        <f ca="1">U172/U$152</f>
        <v>0.52987020334861279</v>
      </c>
      <c r="V200" s="83">
        <f t="shared" ca="1" si="137"/>
        <v>0.61901120723053715</v>
      </c>
      <c r="W200" s="83">
        <f t="shared" ca="1" si="137"/>
        <v>0.61388449872472639</v>
      </c>
      <c r="X200" s="83">
        <f t="shared" ca="1" si="137"/>
        <v>0.60950837876471842</v>
      </c>
      <c r="Y200" s="83">
        <f t="shared" ca="1" si="137"/>
        <v>0.6007154038615341</v>
      </c>
      <c r="Z200" s="83">
        <f t="shared" si="137"/>
        <v>0.59275602748132594</v>
      </c>
    </row>
    <row r="201" spans="3:26" ht="15.75" hidden="1" customHeight="1" outlineLevel="1">
      <c r="C201" s="463"/>
      <c r="D201" s="482" t="s">
        <v>1505</v>
      </c>
      <c r="E201" s="110"/>
      <c r="F201" s="507"/>
      <c r="G201" s="511"/>
      <c r="H201" s="511"/>
      <c r="I201" s="511"/>
      <c r="J201" s="108"/>
      <c r="K201" s="83">
        <f t="shared" ref="K201:P201" si="138">K180/K$152</f>
        <v>0.66391945833928223</v>
      </c>
      <c r="L201" s="83">
        <f t="shared" ca="1" si="138"/>
        <v>0.72666732692209057</v>
      </c>
      <c r="M201" s="83">
        <f t="shared" ca="1" si="138"/>
        <v>0.58787509203105037</v>
      </c>
      <c r="N201" s="83">
        <f t="shared" ca="1" si="138"/>
        <v>0.51254900868891839</v>
      </c>
      <c r="O201" s="83">
        <f t="shared" ca="1" si="138"/>
        <v>0.62366150314299029</v>
      </c>
      <c r="P201" s="83">
        <f t="shared" ca="1" si="138"/>
        <v>0.64959949155281971</v>
      </c>
      <c r="Q201" s="83">
        <f t="shared" ref="Q201:Z201" ca="1" si="139">Q180/Q$152</f>
        <v>0.53621603778273697</v>
      </c>
      <c r="R201" s="83">
        <f t="shared" ca="1" si="139"/>
        <v>0.63529752281917906</v>
      </c>
      <c r="S201" s="83"/>
      <c r="T201" s="83"/>
      <c r="U201" s="83">
        <f ca="1">U180/U$152</f>
        <v>0.51661524591474994</v>
      </c>
      <c r="V201" s="83">
        <f t="shared" ca="1" si="139"/>
        <v>0.60985225469405746</v>
      </c>
      <c r="W201" s="83">
        <f t="shared" ca="1" si="139"/>
        <v>0.6073499579136582</v>
      </c>
      <c r="X201" s="83">
        <f t="shared" ca="1" si="139"/>
        <v>0.60554866186129452</v>
      </c>
      <c r="Y201" s="83">
        <f t="shared" ca="1" si="139"/>
        <v>0.5982330937889635</v>
      </c>
      <c r="Z201" s="83">
        <f t="shared" ca="1" si="139"/>
        <v>0.59030660758876197</v>
      </c>
    </row>
    <row r="202" spans="3:26" ht="15.75" hidden="1" customHeight="1" outlineLevel="1">
      <c r="C202" s="463"/>
      <c r="D202" s="110"/>
      <c r="E202" s="110"/>
      <c r="F202" s="114"/>
      <c r="G202" s="511"/>
      <c r="H202" s="511"/>
      <c r="I202" s="511"/>
      <c r="J202" s="108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3:26" ht="15.75" hidden="1" customHeight="1" outlineLevel="1">
      <c r="C203" s="463"/>
      <c r="D203" s="110" t="s">
        <v>1506</v>
      </c>
      <c r="E203" s="100"/>
      <c r="F203" s="507"/>
      <c r="G203" s="508"/>
      <c r="H203" s="508"/>
      <c r="I203" s="508"/>
      <c r="J203" s="84"/>
      <c r="K203" s="563"/>
      <c r="L203" s="563"/>
      <c r="M203" s="563"/>
      <c r="N203" s="563"/>
      <c r="O203" s="563"/>
      <c r="P203" s="563"/>
      <c r="Q203" s="563"/>
      <c r="R203" s="563"/>
      <c r="S203" s="563"/>
      <c r="T203" s="563"/>
      <c r="U203" s="563"/>
      <c r="V203" s="563"/>
      <c r="W203" s="563"/>
      <c r="X203" s="563"/>
      <c r="Y203" s="563"/>
      <c r="Z203" s="563"/>
    </row>
    <row r="204" spans="3:26" ht="15.75" hidden="1" customHeight="1" outlineLevel="1">
      <c r="C204" s="463"/>
      <c r="D204" s="482" t="s">
        <v>1507</v>
      </c>
      <c r="E204" s="110"/>
      <c r="F204" s="513"/>
      <c r="G204" s="80"/>
      <c r="H204" s="80"/>
      <c r="I204" s="80"/>
      <c r="J204" s="108"/>
      <c r="K204" s="83"/>
      <c r="L204" s="83">
        <f t="shared" ref="L204:X204" si="140">L152/K152-1</f>
        <v>2.1385354862217554</v>
      </c>
      <c r="M204" s="83">
        <f t="shared" si="140"/>
        <v>-0.15873533572592069</v>
      </c>
      <c r="N204" s="83">
        <f t="shared" si="140"/>
        <v>-0.19449326606500417</v>
      </c>
      <c r="O204" s="83">
        <f t="shared" si="140"/>
        <v>0.19794792830713681</v>
      </c>
      <c r="P204" s="83">
        <f t="shared" si="140"/>
        <v>-3.8823653885551979E-2</v>
      </c>
      <c r="Q204" s="83">
        <f t="shared" si="140"/>
        <v>-8.1800105562768954E-2</v>
      </c>
      <c r="R204" s="83">
        <f t="shared" si="140"/>
        <v>0.19663887047709161</v>
      </c>
      <c r="S204" s="83"/>
      <c r="T204" s="83"/>
      <c r="U204" s="83">
        <f>U152/Q152-1</f>
        <v>-0.12426422657270497</v>
      </c>
      <c r="V204" s="83">
        <f>V152/R152-1</f>
        <v>-4.2846397366861577E-2</v>
      </c>
      <c r="W204" s="83">
        <f t="shared" si="140"/>
        <v>0</v>
      </c>
      <c r="X204" s="83">
        <f t="shared" si="140"/>
        <v>0</v>
      </c>
      <c r="Y204" s="83">
        <f>Y152/X152-1</f>
        <v>0</v>
      </c>
      <c r="Z204" s="83">
        <f>Z152/Y152-1</f>
        <v>0</v>
      </c>
    </row>
    <row r="205" spans="3:26" ht="15.75" hidden="1" customHeight="1" outlineLevel="1">
      <c r="C205" s="76"/>
      <c r="D205" s="482" t="s">
        <v>1327</v>
      </c>
      <c r="E205" s="110"/>
      <c r="F205" s="114"/>
      <c r="G205" s="80"/>
      <c r="H205" s="80"/>
      <c r="I205" s="80"/>
      <c r="J205" s="108"/>
      <c r="K205" s="83"/>
      <c r="L205" s="83">
        <f t="shared" ref="L205:X205" si="141">L168/K168-1</f>
        <v>2.2900819236354155</v>
      </c>
      <c r="M205" s="83">
        <f t="shared" si="141"/>
        <v>-0.29997654208604529</v>
      </c>
      <c r="N205" s="83">
        <f t="shared" si="141"/>
        <v>-0.26989027304701185</v>
      </c>
      <c r="O205" s="83">
        <f t="shared" si="141"/>
        <v>0.38198499589519774</v>
      </c>
      <c r="P205" s="83">
        <f t="shared" si="141"/>
        <v>-6.2323623798541061E-2</v>
      </c>
      <c r="Q205" s="83">
        <f t="shared" si="141"/>
        <v>-9.3204570798135267E-2</v>
      </c>
      <c r="R205" s="83">
        <f t="shared" si="141"/>
        <v>0.28388003192299016</v>
      </c>
      <c r="S205" s="83"/>
      <c r="T205" s="83"/>
      <c r="U205" s="83">
        <f>U168/Q168-1</f>
        <v>-0.18342953122426719</v>
      </c>
      <c r="V205" s="83">
        <f>V168/R168-1</f>
        <v>-7.1192554184704715E-2</v>
      </c>
      <c r="W205" s="83">
        <f t="shared" si="141"/>
        <v>-6.1459673389537839E-3</v>
      </c>
      <c r="X205" s="83">
        <f t="shared" si="141"/>
        <v>-6.5620082152897385E-3</v>
      </c>
      <c r="Y205" s="83">
        <f>Y168/X168-1</f>
        <v>-7.0095132789164127E-3</v>
      </c>
      <c r="Z205" s="83">
        <f>Z168/Y168-1</f>
        <v>-7.4912969917970695E-3</v>
      </c>
    </row>
    <row r="206" spans="3:26" ht="15.75" hidden="1" customHeight="1" outlineLevel="1">
      <c r="C206" s="463"/>
      <c r="D206" s="482" t="s">
        <v>1328</v>
      </c>
      <c r="E206" s="110"/>
      <c r="F206" s="513"/>
      <c r="G206" s="80"/>
      <c r="H206" s="80"/>
      <c r="I206" s="80"/>
      <c r="J206" s="110"/>
      <c r="K206" s="83"/>
      <c r="L206" s="83">
        <f t="shared" ref="L206:X206" ca="1" si="142">L172/K172-1</f>
        <v>2.4841769724259581</v>
      </c>
      <c r="M206" s="83">
        <f t="shared" ca="1" si="142"/>
        <v>-0.32190965894961232</v>
      </c>
      <c r="N206" s="83">
        <f t="shared" ca="1" si="142"/>
        <v>-0.29366957848517039</v>
      </c>
      <c r="O206" s="83">
        <f t="shared" ca="1" si="142"/>
        <v>0.43171571491521998</v>
      </c>
      <c r="P206" s="83">
        <f t="shared" ca="1" si="142"/>
        <v>-6.8631157155377376E-2</v>
      </c>
      <c r="Q206" s="83">
        <f t="shared" ca="1" si="142"/>
        <v>-0.1076658971672253</v>
      </c>
      <c r="R206" s="83">
        <f t="shared" ca="1" si="142"/>
        <v>0.30757980448997002</v>
      </c>
      <c r="S206" s="83"/>
      <c r="T206" s="83"/>
      <c r="U206" s="83">
        <f ca="1">U172/Q172-1</f>
        <v>-0.21517771178452416</v>
      </c>
      <c r="V206" s="83">
        <f ca="1">V172/R172-1</f>
        <v>-8.2927245427464102E-2</v>
      </c>
      <c r="W206" s="83">
        <f t="shared" ca="1" si="142"/>
        <v>-8.2820931930258634E-3</v>
      </c>
      <c r="X206" s="83">
        <f t="shared" ca="1" si="142"/>
        <v>-7.1285721810843139E-3</v>
      </c>
      <c r="Y206" s="83">
        <f ca="1">Y172/X172-1</f>
        <v>-1.4426339669037724E-2</v>
      </c>
      <c r="Z206" s="83">
        <f ca="1">Z172/Y172-1</f>
        <v>-1.3249829002292213E-2</v>
      </c>
    </row>
    <row r="207" spans="3:26" ht="15.75" hidden="1" customHeight="1" outlineLevel="1">
      <c r="C207" s="111"/>
      <c r="D207" s="482" t="s">
        <v>1508</v>
      </c>
      <c r="E207" s="110"/>
      <c r="F207" s="513"/>
      <c r="G207" s="80"/>
      <c r="H207" s="80"/>
      <c r="I207" s="80"/>
      <c r="J207" s="108"/>
      <c r="K207" s="83"/>
      <c r="L207" s="83">
        <f t="shared" ref="L207:X207" ca="1" si="143">L180/K180-1</f>
        <v>2.4351624486616523</v>
      </c>
      <c r="M207" s="83">
        <f t="shared" ca="1" si="143"/>
        <v>-0.31941546893628392</v>
      </c>
      <c r="N207" s="83">
        <f t="shared" ca="1" si="143"/>
        <v>-0.29770510170071296</v>
      </c>
      <c r="O207" s="83">
        <f t="shared" ca="1" si="143"/>
        <v>0.45764403596477599</v>
      </c>
      <c r="P207" s="83">
        <f t="shared" ca="1" si="143"/>
        <v>1.1515262396875059E-3</v>
      </c>
      <c r="Q207" s="83">
        <f t="shared" ca="1" si="143"/>
        <v>-0.24206604886539462</v>
      </c>
      <c r="R207" s="83">
        <f t="shared" ca="1" si="143"/>
        <v>0.4177526529545208</v>
      </c>
      <c r="S207" s="83"/>
      <c r="T207" s="83"/>
      <c r="U207" s="83">
        <f ca="1">U180/Q180-1</f>
        <v>-0.15627579171961314</v>
      </c>
      <c r="V207" s="83">
        <f ca="1">V180/R180-1</f>
        <v>-8.1182813268263376E-2</v>
      </c>
      <c r="W207" s="83">
        <f t="shared" ca="1" si="143"/>
        <v>-4.1031196673276815E-3</v>
      </c>
      <c r="X207" s="83">
        <f t="shared" ca="1" si="143"/>
        <v>-2.9658288913879671E-3</v>
      </c>
      <c r="Y207" s="83">
        <f ca="1">Y180/X180-1</f>
        <v>-1.2080892144728628E-2</v>
      </c>
      <c r="Z207" s="83">
        <f ca="1">Z180/Y180-1</f>
        <v>-1.3249829008954328E-2</v>
      </c>
    </row>
    <row r="208" spans="3:26" ht="15.75" hidden="1" customHeight="1" outlineLevel="1">
      <c r="C208" s="463"/>
      <c r="D208" s="483"/>
      <c r="E208" s="110"/>
      <c r="F208" s="513"/>
      <c r="G208" s="80"/>
      <c r="H208" s="80"/>
      <c r="I208" s="80"/>
      <c r="J208" s="108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spans="3:58" ht="15.75" hidden="1" customHeight="1" outlineLevel="1">
      <c r="C209" s="463"/>
      <c r="D209" s="483" t="s">
        <v>1330</v>
      </c>
      <c r="E209" s="110"/>
      <c r="F209" s="114"/>
      <c r="G209" s="110"/>
      <c r="H209" s="110"/>
      <c r="I209" s="110"/>
      <c r="J209" s="83"/>
      <c r="K209" s="83">
        <v>0</v>
      </c>
      <c r="L209" s="83">
        <f>K209</f>
        <v>0</v>
      </c>
      <c r="M209" s="83">
        <v>0</v>
      </c>
      <c r="N209" s="83">
        <v>0</v>
      </c>
      <c r="O209" s="83">
        <v>0</v>
      </c>
      <c r="P209" s="83">
        <f ca="1">-P179/P177</f>
        <v>1.616032991462218E-3</v>
      </c>
      <c r="Q209" s="83">
        <f ca="1">-Q179/Q177</f>
        <v>4.1322558999166452E-3</v>
      </c>
      <c r="R209" s="83">
        <f ca="1">Q209</f>
        <v>4.1322558999166452E-3</v>
      </c>
      <c r="S209" s="83"/>
      <c r="T209" s="83"/>
      <c r="U209" s="83">
        <f ca="1">R209</f>
        <v>4.1322558999166452E-3</v>
      </c>
      <c r="V209" s="83">
        <f ca="1">R209</f>
        <v>4.1322558999166452E-3</v>
      </c>
      <c r="W209" s="83">
        <f t="shared" ref="W209:Z210" ca="1" si="144">V209</f>
        <v>4.1322558999166452E-3</v>
      </c>
      <c r="X209" s="83">
        <f t="shared" ca="1" si="144"/>
        <v>4.1322558999166452E-3</v>
      </c>
      <c r="Y209" s="83">
        <f t="shared" ca="1" si="144"/>
        <v>4.1322558999166452E-3</v>
      </c>
      <c r="Z209" s="83">
        <f t="shared" ca="1" si="144"/>
        <v>4.1322558999166452E-3</v>
      </c>
    </row>
    <row r="210" spans="3:58" ht="15.75" hidden="1" customHeight="1" outlineLevel="1">
      <c r="C210" s="463"/>
      <c r="D210" s="483" t="s">
        <v>1509</v>
      </c>
      <c r="E210" s="110"/>
      <c r="F210" s="513"/>
      <c r="G210" s="80"/>
      <c r="H210" s="80"/>
      <c r="I210" s="80"/>
      <c r="J210" s="83"/>
      <c r="K210" s="83">
        <v>0.04</v>
      </c>
      <c r="L210" s="83">
        <f>K210</f>
        <v>0.04</v>
      </c>
      <c r="M210" s="83">
        <f t="shared" ref="M210:R210" si="145">L210</f>
        <v>0.04</v>
      </c>
      <c r="N210" s="83">
        <f t="shared" si="145"/>
        <v>0.04</v>
      </c>
      <c r="O210" s="83">
        <f t="shared" si="145"/>
        <v>0.04</v>
      </c>
      <c r="P210" s="83">
        <f t="shared" si="145"/>
        <v>0.04</v>
      </c>
      <c r="Q210" s="83">
        <f t="shared" si="145"/>
        <v>0.04</v>
      </c>
      <c r="R210" s="83">
        <f t="shared" si="145"/>
        <v>0.04</v>
      </c>
      <c r="S210" s="83"/>
      <c r="T210" s="83"/>
      <c r="U210" s="83">
        <f>R210</f>
        <v>0.04</v>
      </c>
      <c r="V210" s="83">
        <f>R210</f>
        <v>0.04</v>
      </c>
      <c r="W210" s="83">
        <f t="shared" si="144"/>
        <v>0.04</v>
      </c>
      <c r="X210" s="83">
        <f t="shared" si="144"/>
        <v>0.04</v>
      </c>
      <c r="Y210" s="83">
        <f t="shared" si="144"/>
        <v>0.04</v>
      </c>
      <c r="Z210" s="83">
        <f t="shared" si="144"/>
        <v>0.04</v>
      </c>
    </row>
    <row r="211" spans="3:58" ht="15.75" hidden="1" customHeight="1" outlineLevel="1">
      <c r="C211" s="88"/>
      <c r="D211" s="110" t="s">
        <v>1510</v>
      </c>
      <c r="E211" s="110"/>
      <c r="F211" s="114"/>
      <c r="G211" s="80"/>
      <c r="H211" s="80"/>
      <c r="I211" s="80"/>
      <c r="J211" s="108"/>
      <c r="K211" s="108"/>
      <c r="L211" s="108"/>
      <c r="M211" s="108"/>
      <c r="N211" s="83">
        <v>0.11</v>
      </c>
      <c r="O211" s="83">
        <v>0.11</v>
      </c>
      <c r="P211" s="83">
        <v>0.11</v>
      </c>
      <c r="Q211" s="83">
        <v>0.11</v>
      </c>
      <c r="R211" s="83">
        <v>0.11</v>
      </c>
      <c r="S211" s="83"/>
      <c r="T211" s="83"/>
      <c r="U211" s="83">
        <v>0.11</v>
      </c>
      <c r="V211" s="83">
        <v>0.11</v>
      </c>
      <c r="W211" s="83">
        <v>0.11</v>
      </c>
      <c r="X211" s="83">
        <v>0.11</v>
      </c>
      <c r="Y211" s="83">
        <v>0.11</v>
      </c>
      <c r="Z211" s="83">
        <v>0.11</v>
      </c>
    </row>
    <row r="212" spans="3:58" ht="15.75" hidden="1" customHeight="1" outlineLevel="1">
      <c r="C212" s="88"/>
      <c r="D212" s="110"/>
      <c r="E212" s="110"/>
      <c r="F212" s="692"/>
      <c r="G212" s="110"/>
      <c r="H212" s="110"/>
      <c r="I212" s="110"/>
      <c r="J212" s="108"/>
      <c r="K212" s="108"/>
      <c r="L212" s="108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</row>
    <row r="213" spans="3:58" ht="15.75" hidden="1" customHeight="1" outlineLevel="1">
      <c r="C213" s="88"/>
      <c r="D213" s="110"/>
      <c r="E213" s="110"/>
      <c r="F213" s="692"/>
      <c r="G213" s="110"/>
      <c r="H213" s="110"/>
      <c r="I213" s="110"/>
      <c r="J213" s="108"/>
      <c r="K213" s="108"/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</row>
    <row r="214" spans="3:58" ht="15.75" hidden="1" customHeight="1" outlineLevel="1">
      <c r="C214" s="88"/>
      <c r="D214" s="110"/>
      <c r="E214" s="110"/>
      <c r="F214" s="692"/>
      <c r="G214" s="110"/>
      <c r="H214" s="110"/>
      <c r="I214" s="110"/>
      <c r="J214" s="108"/>
      <c r="K214" s="108"/>
      <c r="L214" s="86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08"/>
      <c r="X214" s="108"/>
      <c r="Y214" s="108"/>
      <c r="Z214" s="108"/>
    </row>
    <row r="215" spans="3:58" ht="27" hidden="1" customHeight="1" outlineLevel="1">
      <c r="D215" s="462" t="s">
        <v>370</v>
      </c>
      <c r="M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spans="3:58" ht="3" hidden="1" customHeight="1" outlineLevel="1">
      <c r="D216" s="464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</row>
    <row r="217" spans="3:58" ht="15.75" hidden="1" customHeight="1" outlineLevel="1">
      <c r="D217" s="460" t="s">
        <v>1332</v>
      </c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</row>
    <row r="218" spans="3:58" ht="15.75" hidden="1" customHeight="1" outlineLevel="1">
      <c r="D218" s="467" t="s">
        <v>418</v>
      </c>
      <c r="E218" s="468"/>
      <c r="F218" s="468"/>
      <c r="G218" s="468"/>
      <c r="H218" s="468"/>
      <c r="I218" s="91"/>
      <c r="J218" s="91"/>
      <c r="K218" s="91"/>
      <c r="L218" s="91"/>
      <c r="M218" s="135"/>
      <c r="N218" s="135"/>
      <c r="O218" s="135"/>
      <c r="P218" s="135"/>
      <c r="Q218" s="135"/>
      <c r="R218" s="135"/>
      <c r="S218" s="135"/>
      <c r="T218" s="135"/>
      <c r="U218" s="135"/>
      <c r="V218" s="135"/>
      <c r="W218" s="135"/>
      <c r="X218" s="135"/>
      <c r="Y218" s="135"/>
      <c r="Z218" s="135"/>
    </row>
    <row r="219" spans="3:58" ht="15.75" hidden="1" customHeight="1" outlineLevel="1">
      <c r="C219" s="91"/>
      <c r="D219" s="546"/>
      <c r="E219" s="106"/>
      <c r="F219" s="106"/>
      <c r="G219" s="106"/>
      <c r="H219" s="546"/>
      <c r="I219" s="546"/>
      <c r="J219" s="92">
        <f t="shared" ref="J219:M221" si="146">J189</f>
        <v>0</v>
      </c>
      <c r="K219" s="92">
        <f t="shared" si="146"/>
        <v>1</v>
      </c>
      <c r="L219" s="92">
        <f t="shared" si="146"/>
        <v>2</v>
      </c>
      <c r="M219" s="92">
        <f t="shared" si="146"/>
        <v>3</v>
      </c>
      <c r="N219" s="92">
        <f t="shared" ref="N219:P221" si="147">N189</f>
        <v>4</v>
      </c>
      <c r="O219" s="92">
        <f t="shared" si="147"/>
        <v>5</v>
      </c>
      <c r="P219" s="92">
        <f t="shared" si="147"/>
        <v>6</v>
      </c>
      <c r="Q219" s="92">
        <f t="shared" ref="Q219:R221" si="148">Q189</f>
        <v>7</v>
      </c>
      <c r="R219" s="92">
        <f t="shared" si="148"/>
        <v>8</v>
      </c>
      <c r="S219" s="92"/>
      <c r="T219" s="92"/>
      <c r="U219" s="92" t="str">
        <f>U189</f>
        <v>Revised</v>
      </c>
      <c r="V219" s="92">
        <f t="shared" ref="V219:W221" si="149">V189</f>
        <v>9</v>
      </c>
      <c r="W219" s="92">
        <f t="shared" si="149"/>
        <v>10</v>
      </c>
      <c r="X219" s="92">
        <f t="shared" ref="X219:Z221" si="150">X189</f>
        <v>11</v>
      </c>
      <c r="Y219" s="92">
        <f t="shared" si="150"/>
        <v>12</v>
      </c>
      <c r="Z219" s="92">
        <f t="shared" si="150"/>
        <v>13</v>
      </c>
      <c r="AA219" s="447"/>
      <c r="AB219" s="447"/>
      <c r="AC219" s="447"/>
      <c r="AD219" s="447"/>
      <c r="AE219" s="447"/>
      <c r="AF219" s="447"/>
      <c r="AG219" s="447"/>
      <c r="AH219" s="447"/>
      <c r="AI219" s="447"/>
      <c r="AJ219" s="447"/>
      <c r="AK219" s="447"/>
      <c r="AL219" s="447"/>
      <c r="AM219" s="447"/>
      <c r="AN219" s="447"/>
      <c r="AO219" s="447"/>
      <c r="AP219" s="447"/>
      <c r="AQ219" s="447"/>
      <c r="AR219" s="447"/>
      <c r="AS219" s="447"/>
      <c r="AT219" s="447"/>
      <c r="AU219" s="447"/>
      <c r="AV219" s="447"/>
      <c r="AW219" s="447"/>
      <c r="AX219" s="447"/>
      <c r="AY219" s="447"/>
      <c r="AZ219" s="447"/>
      <c r="BA219" s="447"/>
      <c r="BB219" s="447"/>
      <c r="BC219" s="447"/>
      <c r="BD219" s="447"/>
      <c r="BE219" s="447"/>
      <c r="BF219" s="447"/>
    </row>
    <row r="220" spans="3:58" ht="15.75" hidden="1" customHeight="1" outlineLevel="1">
      <c r="C220" s="91"/>
      <c r="D220" s="548"/>
      <c r="E220" s="469"/>
      <c r="F220" s="469"/>
      <c r="G220" s="469"/>
      <c r="H220" s="548"/>
      <c r="I220" s="548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447"/>
      <c r="AB220" s="447"/>
      <c r="AC220" s="447"/>
      <c r="AD220" s="447"/>
      <c r="AE220" s="447"/>
      <c r="AF220" s="447"/>
      <c r="AG220" s="447"/>
      <c r="AH220" s="447"/>
      <c r="AI220" s="447"/>
      <c r="AJ220" s="447"/>
      <c r="AK220" s="447"/>
      <c r="AL220" s="447"/>
      <c r="AM220" s="447"/>
      <c r="AN220" s="447"/>
      <c r="AO220" s="447"/>
      <c r="AP220" s="447"/>
      <c r="AQ220" s="447"/>
      <c r="AR220" s="447"/>
      <c r="AS220" s="447"/>
      <c r="AT220" s="447"/>
      <c r="AU220" s="447"/>
      <c r="AV220" s="447"/>
      <c r="AW220" s="447"/>
      <c r="AX220" s="447"/>
      <c r="AY220" s="447"/>
      <c r="AZ220" s="447"/>
      <c r="BA220" s="447"/>
      <c r="BB220" s="447"/>
      <c r="BC220" s="447"/>
      <c r="BD220" s="447"/>
      <c r="BE220" s="447"/>
      <c r="BF220" s="447"/>
    </row>
    <row r="221" spans="3:58" ht="15.75" hidden="1" customHeight="1" outlineLevel="1">
      <c r="C221" s="91"/>
      <c r="D221" s="471"/>
      <c r="E221" s="472"/>
      <c r="F221" s="506"/>
      <c r="G221" s="506"/>
      <c r="H221" s="471"/>
      <c r="I221" s="471"/>
      <c r="J221" s="94" t="str">
        <f t="shared" si="146"/>
        <v>($)</v>
      </c>
      <c r="K221" s="94" t="str">
        <f t="shared" si="146"/>
        <v>($)</v>
      </c>
      <c r="L221" s="94" t="str">
        <f t="shared" si="146"/>
        <v>($)</v>
      </c>
      <c r="M221" s="94" t="str">
        <f t="shared" si="146"/>
        <v>($)</v>
      </c>
      <c r="N221" s="94" t="str">
        <f t="shared" si="147"/>
        <v>($)</v>
      </c>
      <c r="O221" s="94" t="str">
        <f t="shared" si="147"/>
        <v>($)</v>
      </c>
      <c r="P221" s="94" t="str">
        <f t="shared" si="147"/>
        <v>($)</v>
      </c>
      <c r="Q221" s="94" t="str">
        <f t="shared" si="148"/>
        <v>($)</v>
      </c>
      <c r="R221" s="94" t="str">
        <f t="shared" si="148"/>
        <v>($)</v>
      </c>
      <c r="S221" s="94"/>
      <c r="T221" s="94"/>
      <c r="U221" s="94" t="str">
        <f>U191</f>
        <v>($)</v>
      </c>
      <c r="V221" s="94" t="str">
        <f t="shared" si="149"/>
        <v>($)</v>
      </c>
      <c r="W221" s="94" t="str">
        <f t="shared" si="149"/>
        <v>($)</v>
      </c>
      <c r="X221" s="94" t="str">
        <f t="shared" si="150"/>
        <v>($)</v>
      </c>
      <c r="Y221" s="94" t="str">
        <f t="shared" si="150"/>
        <v>($)</v>
      </c>
      <c r="Z221" s="94" t="str">
        <f t="shared" si="150"/>
        <v>($)</v>
      </c>
      <c r="AA221" s="447"/>
      <c r="AB221" s="447"/>
      <c r="AC221" s="447"/>
      <c r="AD221" s="447"/>
      <c r="AE221" s="447"/>
      <c r="AF221" s="447"/>
      <c r="AG221" s="447"/>
      <c r="AH221" s="447"/>
      <c r="AI221" s="447"/>
      <c r="AJ221" s="447"/>
      <c r="AK221" s="447"/>
      <c r="AL221" s="447"/>
      <c r="AM221" s="447"/>
      <c r="AN221" s="447"/>
      <c r="AO221" s="447"/>
      <c r="AP221" s="447"/>
      <c r="AQ221" s="447"/>
      <c r="AR221" s="447"/>
      <c r="AS221" s="447"/>
      <c r="AT221" s="447"/>
      <c r="AU221" s="447"/>
      <c r="AV221" s="447"/>
      <c r="AW221" s="447"/>
      <c r="AX221" s="447"/>
      <c r="AY221" s="447"/>
      <c r="AZ221" s="447"/>
      <c r="BA221" s="447"/>
      <c r="BB221" s="447"/>
      <c r="BC221" s="447"/>
      <c r="BD221" s="447"/>
      <c r="BE221" s="447"/>
      <c r="BF221" s="447"/>
    </row>
    <row r="222" spans="3:58" ht="15.75" hidden="1" customHeight="1" outlineLevel="1">
      <c r="C222" s="76"/>
      <c r="D222" s="110"/>
      <c r="E222" s="110"/>
      <c r="F222" s="515"/>
      <c r="G222" s="80"/>
      <c r="H222" s="80"/>
      <c r="I222" s="80"/>
      <c r="J222" s="110"/>
      <c r="K222" s="107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spans="3:58" ht="15.75" hidden="1" customHeight="1" outlineLevel="1">
      <c r="C223" s="76"/>
      <c r="D223" s="369" t="s">
        <v>1333</v>
      </c>
      <c r="E223" s="100"/>
      <c r="F223" s="508"/>
      <c r="G223" s="508"/>
      <c r="H223" s="508"/>
      <c r="I223" s="508"/>
      <c r="J223" s="110"/>
      <c r="K223" s="110"/>
      <c r="L223" s="564"/>
      <c r="M223" s="564"/>
      <c r="N223" s="564"/>
      <c r="O223" s="564"/>
      <c r="P223" s="564"/>
      <c r="Q223" s="564"/>
      <c r="R223" s="564"/>
      <c r="S223" s="564"/>
      <c r="T223" s="564"/>
      <c r="U223" s="564"/>
      <c r="V223" s="564"/>
      <c r="W223" s="564"/>
      <c r="X223" s="564"/>
      <c r="Y223" s="564"/>
      <c r="Z223" s="564"/>
    </row>
    <row r="224" spans="3:58" ht="15.75" hidden="1" customHeight="1" outlineLevel="1">
      <c r="C224" s="76"/>
      <c r="D224" s="110" t="s">
        <v>1334</v>
      </c>
      <c r="E224" s="100"/>
      <c r="F224" s="114"/>
      <c r="G224" s="114"/>
      <c r="H224" s="114"/>
      <c r="I224" s="114"/>
      <c r="J224" s="80">
        <v>418595.70874044765</v>
      </c>
      <c r="K224" s="80">
        <f t="shared" ref="K224:V224" ca="1" si="151">K309</f>
        <v>25776121.039836708</v>
      </c>
      <c r="L224" s="80">
        <f t="shared" ca="1" si="151"/>
        <v>111374579.38038433</v>
      </c>
      <c r="M224" s="80">
        <f t="shared" ca="1" si="151"/>
        <v>159856630.5596692</v>
      </c>
      <c r="N224" s="80">
        <f t="shared" ca="1" si="151"/>
        <v>194961427.77633607</v>
      </c>
      <c r="O224" s="80">
        <f t="shared" ca="1" si="151"/>
        <v>253179534.80747101</v>
      </c>
      <c r="P224" s="80">
        <f t="shared" ca="1" si="151"/>
        <v>310731742.08495981</v>
      </c>
      <c r="Q224" s="80">
        <f t="shared" ca="1" si="151"/>
        <v>372505349.90035373</v>
      </c>
      <c r="R224" s="80">
        <f t="shared" ca="1" si="151"/>
        <v>430477039.84549117</v>
      </c>
      <c r="S224" s="80"/>
      <c r="T224" s="80"/>
      <c r="U224" s="80">
        <f ca="1">U309</f>
        <v>411992446.35875356</v>
      </c>
      <c r="V224" s="80">
        <f t="shared" ca="1" si="151"/>
        <v>492473760.33981049</v>
      </c>
      <c r="W224" s="80">
        <f ca="1">W309</f>
        <v>552868423.83992708</v>
      </c>
      <c r="X224" s="80">
        <f ca="1">X309</f>
        <v>611936271.2612083</v>
      </c>
      <c r="Y224" s="80">
        <f ca="1">Y309</f>
        <v>675689445.8169024</v>
      </c>
      <c r="Z224" s="80">
        <f ca="1">Z309</f>
        <v>738931410.67784476</v>
      </c>
    </row>
    <row r="225" spans="3:26" ht="15.75" hidden="1" customHeight="1" outlineLevel="1">
      <c r="C225" s="76"/>
      <c r="D225" s="110" t="s">
        <v>1511</v>
      </c>
      <c r="E225" s="110"/>
      <c r="F225" s="110"/>
      <c r="G225" s="110"/>
      <c r="H225" s="110"/>
      <c r="I225" s="110"/>
      <c r="J225" s="80">
        <f t="shared" ref="J225:R225" si="152">SUM(J226:J227)</f>
        <v>79529.627508489386</v>
      </c>
      <c r="K225" s="80">
        <f t="shared" si="152"/>
        <v>2357116.1619004058</v>
      </c>
      <c r="L225" s="80">
        <f t="shared" si="152"/>
        <v>5920652.1824297588</v>
      </c>
      <c r="M225" s="80">
        <f t="shared" si="152"/>
        <v>9019506.990859516</v>
      </c>
      <c r="N225" s="80">
        <f>SUM(N226:N227)</f>
        <v>17177001.684259906</v>
      </c>
      <c r="O225" s="80">
        <f t="shared" si="152"/>
        <v>20577153.582187358</v>
      </c>
      <c r="P225" s="80">
        <f t="shared" si="152"/>
        <v>19778273.293562669</v>
      </c>
      <c r="Q225" s="80">
        <f t="shared" si="152"/>
        <v>22724985.506878037</v>
      </c>
      <c r="R225" s="80">
        <f t="shared" si="152"/>
        <v>27193600.988558814</v>
      </c>
      <c r="S225" s="80"/>
      <c r="T225" s="80"/>
      <c r="U225" s="80">
        <f t="shared" ref="U225:Z225" si="153">SUM(U226:U227)</f>
        <v>19901082.758989908</v>
      </c>
      <c r="V225" s="80">
        <f t="shared" si="153"/>
        <v>26028453.154767141</v>
      </c>
      <c r="W225" s="80">
        <f t="shared" si="153"/>
        <v>26028453.154767141</v>
      </c>
      <c r="X225" s="80">
        <f t="shared" si="153"/>
        <v>26028453.154767141</v>
      </c>
      <c r="Y225" s="80">
        <f t="shared" si="153"/>
        <v>26028453.154767141</v>
      </c>
      <c r="Z225" s="80">
        <f t="shared" si="153"/>
        <v>26028453.154767141</v>
      </c>
    </row>
    <row r="226" spans="3:26" ht="15.75" hidden="1" customHeight="1" outlineLevel="1">
      <c r="C226" s="76"/>
      <c r="D226" s="516" t="s">
        <v>1512</v>
      </c>
      <c r="E226" s="110"/>
      <c r="F226" s="515"/>
      <c r="G226" s="80"/>
      <c r="H226" s="80"/>
      <c r="I226" s="80"/>
      <c r="J226" s="80">
        <v>79529.627508489386</v>
      </c>
      <c r="K226" s="80">
        <f t="shared" ref="K226:M228" si="154">K333</f>
        <v>1632697.9430136988</v>
      </c>
      <c r="L226" s="80">
        <f t="shared" si="154"/>
        <v>5124280.4324297588</v>
      </c>
      <c r="M226" s="80">
        <f t="shared" si="154"/>
        <v>4299097.7077500084</v>
      </c>
      <c r="N226" s="80">
        <f>N333</f>
        <v>10417319.080750618</v>
      </c>
      <c r="O226" s="80">
        <f t="shared" ref="N226:P228" si="155">O333</f>
        <v>12479405.811299611</v>
      </c>
      <c r="P226" s="80">
        <f t="shared" si="155"/>
        <v>11994909.679384369</v>
      </c>
      <c r="Q226" s="80">
        <f t="shared" ref="Q226:R228" si="156">Q333</f>
        <v>14684966.401859798</v>
      </c>
      <c r="R226" s="80">
        <f t="shared" si="156"/>
        <v>17572601.60811555</v>
      </c>
      <c r="S226" s="80"/>
      <c r="T226" s="80"/>
      <c r="U226" s="80">
        <f>U333</f>
        <v>12860150.409686532</v>
      </c>
      <c r="V226" s="80">
        <f t="shared" ref="V226:W228" si="157">V333</f>
        <v>16819678.93684468</v>
      </c>
      <c r="W226" s="80">
        <f t="shared" si="157"/>
        <v>16819678.93684468</v>
      </c>
      <c r="X226" s="80">
        <f t="shared" ref="X226:Z228" si="158">X333</f>
        <v>16819678.93684468</v>
      </c>
      <c r="Y226" s="80">
        <f t="shared" si="158"/>
        <v>16819678.93684468</v>
      </c>
      <c r="Z226" s="80">
        <f t="shared" si="158"/>
        <v>16819678.93684468</v>
      </c>
    </row>
    <row r="227" spans="3:26" ht="15.75" hidden="1" customHeight="1" outlineLevel="1">
      <c r="C227" s="76"/>
      <c r="D227" s="516" t="s">
        <v>1513</v>
      </c>
      <c r="E227" s="110"/>
      <c r="F227" s="515"/>
      <c r="G227" s="80"/>
      <c r="H227" s="80"/>
      <c r="I227" s="80"/>
      <c r="J227" s="80">
        <v>0</v>
      </c>
      <c r="K227" s="80">
        <f t="shared" si="154"/>
        <v>724418.21888670698</v>
      </c>
      <c r="L227" s="80">
        <f t="shared" si="154"/>
        <v>796371.75</v>
      </c>
      <c r="M227" s="80">
        <f t="shared" si="154"/>
        <v>4720409.2831095085</v>
      </c>
      <c r="N227" s="80">
        <f t="shared" si="155"/>
        <v>6759682.6035092901</v>
      </c>
      <c r="O227" s="80">
        <f t="shared" si="155"/>
        <v>8097747.7708877474</v>
      </c>
      <c r="P227" s="80">
        <f t="shared" si="155"/>
        <v>7783363.6141783008</v>
      </c>
      <c r="Q227" s="80">
        <f t="shared" si="156"/>
        <v>8040019.1050182385</v>
      </c>
      <c r="R227" s="80">
        <f t="shared" si="156"/>
        <v>9620999.3804432619</v>
      </c>
      <c r="S227" s="80"/>
      <c r="T227" s="80"/>
      <c r="U227" s="80">
        <f>U334</f>
        <v>7040932.3493033759</v>
      </c>
      <c r="V227" s="80">
        <f t="shared" si="157"/>
        <v>9208774.2179224603</v>
      </c>
      <c r="W227" s="80">
        <f t="shared" si="157"/>
        <v>9208774.2179224603</v>
      </c>
      <c r="X227" s="80">
        <f t="shared" si="158"/>
        <v>9208774.2179224603</v>
      </c>
      <c r="Y227" s="80">
        <f t="shared" si="158"/>
        <v>9208774.2179224603</v>
      </c>
      <c r="Z227" s="80">
        <f t="shared" si="158"/>
        <v>9208774.2179224603</v>
      </c>
    </row>
    <row r="228" spans="3:26" ht="15.75" hidden="1" customHeight="1" outlineLevel="1">
      <c r="C228" s="76"/>
      <c r="D228" s="110" t="s">
        <v>1338</v>
      </c>
      <c r="E228" s="110"/>
      <c r="F228" s="515"/>
      <c r="G228" s="80"/>
      <c r="H228" s="80"/>
      <c r="I228" s="80"/>
      <c r="J228" s="80">
        <v>239145.06478155151</v>
      </c>
      <c r="K228" s="80">
        <f t="shared" si="154"/>
        <v>1435157.0627088286</v>
      </c>
      <c r="L228" s="80">
        <f t="shared" si="154"/>
        <v>1828960</v>
      </c>
      <c r="M228" s="80">
        <f t="shared" si="154"/>
        <v>1815000.0000000002</v>
      </c>
      <c r="N228" s="80">
        <f>N335</f>
        <v>1403958.5999999999</v>
      </c>
      <c r="O228" s="80">
        <f t="shared" si="155"/>
        <v>1587955.5999999999</v>
      </c>
      <c r="P228" s="80">
        <f t="shared" si="155"/>
        <v>1533938.9999999998</v>
      </c>
      <c r="Q228" s="80">
        <f t="shared" si="156"/>
        <v>1553701.7999999998</v>
      </c>
      <c r="R228" s="80">
        <f t="shared" si="156"/>
        <v>1701342.2999999998</v>
      </c>
      <c r="S228" s="80"/>
      <c r="T228" s="80"/>
      <c r="U228" s="80">
        <f>U335</f>
        <v>1701342.2999999998</v>
      </c>
      <c r="V228" s="80">
        <f t="shared" si="157"/>
        <v>1732781.5975035159</v>
      </c>
      <c r="W228" s="80">
        <f t="shared" si="157"/>
        <v>1766129.6169131084</v>
      </c>
      <c r="X228" s="80">
        <f t="shared" si="158"/>
        <v>1801504.2998309748</v>
      </c>
      <c r="Y228" s="80">
        <f t="shared" si="158"/>
        <v>1839030.9669199954</v>
      </c>
      <c r="Z228" s="80">
        <f t="shared" si="158"/>
        <v>1878842.7835561289</v>
      </c>
    </row>
    <row r="229" spans="3:26" ht="15.75" hidden="1" customHeight="1" outlineLevel="1">
      <c r="C229" s="76"/>
      <c r="D229" s="110" t="s">
        <v>1390</v>
      </c>
      <c r="E229" s="110"/>
      <c r="F229" s="515"/>
      <c r="G229" s="80"/>
      <c r="H229" s="80"/>
      <c r="I229" s="80"/>
      <c r="J229" s="80">
        <v>0</v>
      </c>
      <c r="K229" s="80">
        <f t="shared" ref="K229:M230" si="159">K347</f>
        <v>642358.21191140509</v>
      </c>
      <c r="L229" s="80">
        <f t="shared" si="159"/>
        <v>461790</v>
      </c>
      <c r="M229" s="80">
        <f t="shared" si="159"/>
        <v>438313.33333333331</v>
      </c>
      <c r="N229" s="80">
        <f t="shared" ref="N229:P230" si="160">N347</f>
        <v>1121974.7</v>
      </c>
      <c r="O229" s="80">
        <f t="shared" si="160"/>
        <v>512233.33333333331</v>
      </c>
      <c r="P229" s="80">
        <f t="shared" si="160"/>
        <v>510950</v>
      </c>
      <c r="Q229" s="80">
        <f t="shared" ref="Q229:V230" si="161">Q347</f>
        <v>511560</v>
      </c>
      <c r="R229" s="80">
        <f t="shared" si="161"/>
        <v>546560</v>
      </c>
      <c r="S229" s="80"/>
      <c r="T229" s="80"/>
      <c r="U229" s="80">
        <f>U347</f>
        <v>546560</v>
      </c>
      <c r="V229" s="80">
        <f t="shared" si="161"/>
        <v>548468.06823557406</v>
      </c>
      <c r="W229" s="80">
        <f t="shared" ref="W229:Z230" si="162">W347</f>
        <v>550456.12706180103</v>
      </c>
      <c r="X229" s="80">
        <f t="shared" si="162"/>
        <v>552527.52986745059</v>
      </c>
      <c r="Y229" s="80">
        <f t="shared" si="162"/>
        <v>554685.77062303014</v>
      </c>
      <c r="Z229" s="80">
        <f t="shared" si="162"/>
        <v>556934.48977429362</v>
      </c>
    </row>
    <row r="230" spans="3:26" ht="15.75" hidden="1" customHeight="1" outlineLevel="1">
      <c r="C230" s="76"/>
      <c r="D230" s="110" t="s">
        <v>1514</v>
      </c>
      <c r="E230" s="110"/>
      <c r="F230" s="515"/>
      <c r="G230" s="80"/>
      <c r="H230" s="80"/>
      <c r="I230" s="80"/>
      <c r="J230" s="80">
        <v>0</v>
      </c>
      <c r="K230" s="80">
        <f t="shared" si="159"/>
        <v>532185.22738548275</v>
      </c>
      <c r="L230" s="80">
        <f t="shared" si="159"/>
        <v>374072.47156737238</v>
      </c>
      <c r="M230" s="80">
        <f t="shared" si="159"/>
        <v>314693.95220730064</v>
      </c>
      <c r="N230" s="80">
        <f t="shared" si="160"/>
        <v>506976.19526319677</v>
      </c>
      <c r="O230" s="80">
        <f t="shared" si="160"/>
        <v>607331.08281658101</v>
      </c>
      <c r="P230" s="80">
        <f t="shared" si="160"/>
        <v>583752.27106337261</v>
      </c>
      <c r="Q230" s="80">
        <f t="shared" si="161"/>
        <v>893335.45611313765</v>
      </c>
      <c r="R230" s="80">
        <f t="shared" si="161"/>
        <v>1068999.9311603624</v>
      </c>
      <c r="S230" s="80"/>
      <c r="T230" s="80"/>
      <c r="U230" s="80">
        <f>U348</f>
        <v>782325.81658926397</v>
      </c>
      <c r="V230" s="80">
        <f t="shared" si="161"/>
        <v>1023197.135324718</v>
      </c>
      <c r="W230" s="80">
        <f t="shared" si="162"/>
        <v>1023197.135324718</v>
      </c>
      <c r="X230" s="80">
        <f t="shared" si="162"/>
        <v>1023197.135324718</v>
      </c>
      <c r="Y230" s="80">
        <f t="shared" si="162"/>
        <v>1023197.135324718</v>
      </c>
      <c r="Z230" s="80">
        <f t="shared" si="162"/>
        <v>1023197.135324718</v>
      </c>
    </row>
    <row r="231" spans="3:26" ht="15.75" hidden="1" customHeight="1" outlineLevel="1">
      <c r="C231" s="76"/>
      <c r="D231" s="110" t="s">
        <v>1515</v>
      </c>
      <c r="E231" s="110"/>
      <c r="F231" s="515"/>
      <c r="G231" s="80"/>
      <c r="H231" s="80"/>
      <c r="I231" s="80"/>
      <c r="J231" s="80">
        <f t="shared" ref="J231:O231" si="163">SUM(J224:J225,J228:J230)</f>
        <v>737270.40103048855</v>
      </c>
      <c r="K231" s="80">
        <f t="shared" ca="1" si="163"/>
        <v>30742937.703742832</v>
      </c>
      <c r="L231" s="80">
        <f t="shared" ca="1" si="163"/>
        <v>119960054.03438146</v>
      </c>
      <c r="M231" s="80">
        <f t="shared" ca="1" si="163"/>
        <v>171444144.83606935</v>
      </c>
      <c r="N231" s="80">
        <f t="shared" ca="1" si="163"/>
        <v>215171338.95585915</v>
      </c>
      <c r="O231" s="80">
        <f t="shared" ca="1" si="163"/>
        <v>276464208.40580833</v>
      </c>
      <c r="P231" s="80">
        <f t="shared" ref="P231:X231" ca="1" si="164">SUM(P224:P225,P228:P230)</f>
        <v>333138656.64958584</v>
      </c>
      <c r="Q231" s="80">
        <f t="shared" ca="1" si="164"/>
        <v>398188932.66334492</v>
      </c>
      <c r="R231" s="80">
        <f t="shared" ca="1" si="164"/>
        <v>460987543.0652104</v>
      </c>
      <c r="S231" s="80"/>
      <c r="T231" s="80"/>
      <c r="U231" s="80">
        <f ca="1">SUM(U224:U225,U228:U230)</f>
        <v>434923757.23433274</v>
      </c>
      <c r="V231" s="80">
        <f t="shared" ca="1" si="164"/>
        <v>521806660.29564148</v>
      </c>
      <c r="W231" s="80">
        <f t="shared" ca="1" si="164"/>
        <v>582236659.87399387</v>
      </c>
      <c r="X231" s="80">
        <f t="shared" ca="1" si="164"/>
        <v>641341953.38099861</v>
      </c>
      <c r="Y231" s="80">
        <f ca="1">SUM(Y224:Y225,Y228:Y230)</f>
        <v>705134812.84453738</v>
      </c>
      <c r="Z231" s="80">
        <f ca="1">SUM(Z224:Z225,Z228:Z230)</f>
        <v>768418838.24126709</v>
      </c>
    </row>
    <row r="232" spans="3:26" ht="15.75" hidden="1" customHeight="1" outlineLevel="1">
      <c r="C232" s="76"/>
      <c r="D232" s="110"/>
      <c r="E232" s="110"/>
      <c r="F232" s="515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spans="3:26" ht="15.75" hidden="1" customHeight="1" outlineLevel="1">
      <c r="C233" s="76"/>
      <c r="D233" s="110" t="s">
        <v>1516</v>
      </c>
      <c r="E233" s="110"/>
      <c r="F233" s="110"/>
      <c r="G233" s="110"/>
      <c r="H233" s="110"/>
      <c r="I233" s="110"/>
      <c r="J233" s="80">
        <v>5213870</v>
      </c>
      <c r="K233" s="80">
        <v>11844778</v>
      </c>
      <c r="L233" s="80">
        <f t="shared" ref="L233:V233" ca="1" si="165">L376</f>
        <v>15650554.951722221</v>
      </c>
      <c r="M233" s="80">
        <f t="shared" ca="1" si="165"/>
        <v>15991862.889555557</v>
      </c>
      <c r="N233" s="80">
        <f t="shared" ca="1" si="165"/>
        <v>14548495.794055559</v>
      </c>
      <c r="O233" s="80">
        <f t="shared" ca="1" si="165"/>
        <v>13375140.704111114</v>
      </c>
      <c r="P233" s="80">
        <f t="shared" ca="1" si="165"/>
        <v>13857200.975277781</v>
      </c>
      <c r="Q233" s="80">
        <f t="shared" ca="1" si="165"/>
        <v>16655904.732555559</v>
      </c>
      <c r="R233" s="80">
        <f t="shared" ca="1" si="165"/>
        <v>19951039.475944448</v>
      </c>
      <c r="S233" s="80"/>
      <c r="T233" s="80"/>
      <c r="U233" s="80">
        <f ca="1">U376</f>
        <v>19951039.475944448</v>
      </c>
      <c r="V233" s="80">
        <f t="shared" ca="1" si="165"/>
        <v>20672822.975029066</v>
      </c>
      <c r="W233" s="80">
        <f ca="1">W376</f>
        <v>21303076.962285735</v>
      </c>
      <c r="X233" s="80">
        <f ca="1">X376</f>
        <v>21945073.364964455</v>
      </c>
      <c r="Y233" s="80">
        <f ca="1">Y376</f>
        <v>22174996.558065224</v>
      </c>
      <c r="Z233" s="80">
        <f ca="1">Z376</f>
        <v>22108002.791588046</v>
      </c>
    </row>
    <row r="234" spans="3:26" ht="15.75" hidden="1" customHeight="1" outlineLevel="1">
      <c r="C234" s="76"/>
      <c r="D234" s="110" t="s">
        <v>1517</v>
      </c>
      <c r="E234" s="110"/>
      <c r="F234" s="110"/>
      <c r="G234" s="110"/>
      <c r="H234" s="110"/>
      <c r="I234" s="110"/>
      <c r="J234" s="80">
        <v>12905846</v>
      </c>
      <c r="K234" s="80">
        <v>7656850.2746509202</v>
      </c>
      <c r="L234" s="80">
        <f t="shared" ref="L234:V234" si="166">L387</f>
        <v>7465429.0177846476</v>
      </c>
      <c r="M234" s="80">
        <f t="shared" si="166"/>
        <v>7274007.7609183751</v>
      </c>
      <c r="N234" s="80">
        <f t="shared" si="166"/>
        <v>7082586.5040521026</v>
      </c>
      <c r="O234" s="80">
        <f t="shared" si="166"/>
        <v>6891165.24718583</v>
      </c>
      <c r="P234" s="80">
        <f t="shared" si="166"/>
        <v>6699743.9903195575</v>
      </c>
      <c r="Q234" s="80">
        <f t="shared" si="166"/>
        <v>6508322.7334532849</v>
      </c>
      <c r="R234" s="80">
        <f t="shared" si="166"/>
        <v>6316901.4765870124</v>
      </c>
      <c r="S234" s="80"/>
      <c r="T234" s="80"/>
      <c r="U234" s="80">
        <f>U387</f>
        <v>6316901.4765870124</v>
      </c>
      <c r="V234" s="80">
        <f t="shared" si="166"/>
        <v>6125480.2197207399</v>
      </c>
      <c r="W234" s="80">
        <f>W387</f>
        <v>5934058.9628544673</v>
      </c>
      <c r="X234" s="80">
        <f>X387</f>
        <v>5742637.7059881948</v>
      </c>
      <c r="Y234" s="80">
        <f>Y387</f>
        <v>5551216.4491219223</v>
      </c>
      <c r="Z234" s="80">
        <f>Z387</f>
        <v>5359795.1922556497</v>
      </c>
    </row>
    <row r="235" spans="3:26" ht="15.75" hidden="1" customHeight="1" outlineLevel="1">
      <c r="C235" s="76"/>
      <c r="D235" s="110" t="s">
        <v>1518</v>
      </c>
      <c r="E235" s="110"/>
      <c r="F235" s="515"/>
      <c r="G235" s="80"/>
      <c r="H235" s="80"/>
      <c r="I235" s="80"/>
      <c r="J235" s="80">
        <v>38033000</v>
      </c>
      <c r="K235" s="80">
        <v>38033000</v>
      </c>
      <c r="L235" s="80">
        <f t="shared" ref="L235:V235" si="167">L381</f>
        <v>35497466.666666664</v>
      </c>
      <c r="M235" s="80">
        <f t="shared" si="167"/>
        <v>32961933.333333332</v>
      </c>
      <c r="N235" s="80">
        <f t="shared" si="167"/>
        <v>30426400</v>
      </c>
      <c r="O235" s="80">
        <f t="shared" si="167"/>
        <v>27890866.666666668</v>
      </c>
      <c r="P235" s="80">
        <f t="shared" si="167"/>
        <v>25355333.333333336</v>
      </c>
      <c r="Q235" s="80">
        <f t="shared" si="167"/>
        <v>22819800.000000004</v>
      </c>
      <c r="R235" s="80">
        <f t="shared" si="167"/>
        <v>20284266.666666672</v>
      </c>
      <c r="S235" s="80"/>
      <c r="T235" s="80"/>
      <c r="U235" s="80">
        <f>U381</f>
        <v>20284266.666666672</v>
      </c>
      <c r="V235" s="80">
        <f t="shared" si="167"/>
        <v>17748733.33333334</v>
      </c>
      <c r="W235" s="80">
        <f>W381</f>
        <v>15213200.000000006</v>
      </c>
      <c r="X235" s="80">
        <f>X381</f>
        <v>12677666.666666672</v>
      </c>
      <c r="Y235" s="80">
        <f>Y381</f>
        <v>10142133.333333338</v>
      </c>
      <c r="Z235" s="80">
        <f>Z381</f>
        <v>7606600.0000000037</v>
      </c>
    </row>
    <row r="236" spans="3:26" ht="15.75" hidden="1" customHeight="1" outlineLevel="1">
      <c r="C236" s="76"/>
      <c r="D236" s="110" t="s">
        <v>1344</v>
      </c>
      <c r="E236" s="110"/>
      <c r="F236" s="515"/>
      <c r="G236" s="80"/>
      <c r="H236" s="80"/>
      <c r="I236" s="80"/>
      <c r="J236" s="80">
        <v>2357000</v>
      </c>
      <c r="K236" s="80">
        <v>2917132.4467810276</v>
      </c>
      <c r="L236" s="80">
        <f t="shared" ref="L236:V236" si="168">L349</f>
        <v>5361705.4257990038</v>
      </c>
      <c r="M236" s="80">
        <f t="shared" si="168"/>
        <v>4510613.3149713082</v>
      </c>
      <c r="N236" s="80">
        <f t="shared" si="168"/>
        <v>3633329.3993862434</v>
      </c>
      <c r="O236" s="80">
        <f t="shared" si="168"/>
        <v>4352539.4268521639</v>
      </c>
      <c r="P236" s="80">
        <f t="shared" si="168"/>
        <v>4183557.9426208367</v>
      </c>
      <c r="Q236" s="80">
        <f t="shared" si="168"/>
        <v>4466677.2805656884</v>
      </c>
      <c r="R236" s="80">
        <f t="shared" si="168"/>
        <v>5344999.6558018131</v>
      </c>
      <c r="S236" s="80"/>
      <c r="T236" s="80"/>
      <c r="U236" s="80">
        <f>U349</f>
        <v>3911629.0829463201</v>
      </c>
      <c r="V236" s="80">
        <f t="shared" si="168"/>
        <v>5115985.6766235903</v>
      </c>
      <c r="W236" s="80">
        <f>W349</f>
        <v>5115985.6766235903</v>
      </c>
      <c r="X236" s="80">
        <f>X349</f>
        <v>5115985.6766235903</v>
      </c>
      <c r="Y236" s="80">
        <f>Y349</f>
        <v>5115985.6766235903</v>
      </c>
      <c r="Z236" s="80">
        <f>Z349</f>
        <v>5115985.6766235903</v>
      </c>
    </row>
    <row r="237" spans="3:26" ht="15.75" hidden="1" customHeight="1" outlineLevel="1">
      <c r="C237" s="76"/>
      <c r="D237" s="110" t="s">
        <v>1519</v>
      </c>
      <c r="E237" s="110"/>
      <c r="F237" s="515"/>
      <c r="G237" s="80"/>
      <c r="H237" s="80"/>
      <c r="I237" s="80"/>
      <c r="J237" s="80">
        <v>0</v>
      </c>
      <c r="K237" s="80">
        <v>383637</v>
      </c>
      <c r="L237" s="80">
        <f>K237</f>
        <v>383637</v>
      </c>
      <c r="M237" s="80">
        <f>L237</f>
        <v>383637</v>
      </c>
      <c r="N237" s="80">
        <v>0</v>
      </c>
      <c r="O237" s="80">
        <f t="shared" ref="O237:X237" si="169">N237</f>
        <v>0</v>
      </c>
      <c r="P237" s="80">
        <f t="shared" si="169"/>
        <v>0</v>
      </c>
      <c r="Q237" s="80">
        <f t="shared" si="169"/>
        <v>0</v>
      </c>
      <c r="R237" s="80">
        <f t="shared" si="169"/>
        <v>0</v>
      </c>
      <c r="S237" s="80"/>
      <c r="T237" s="80"/>
      <c r="U237" s="80">
        <f t="shared" si="169"/>
        <v>0</v>
      </c>
      <c r="V237" s="80">
        <f>R237</f>
        <v>0</v>
      </c>
      <c r="W237" s="80">
        <f t="shared" si="169"/>
        <v>0</v>
      </c>
      <c r="X237" s="80">
        <f t="shared" si="169"/>
        <v>0</v>
      </c>
      <c r="Y237" s="80">
        <f>X237</f>
        <v>0</v>
      </c>
      <c r="Z237" s="80">
        <f>Y237</f>
        <v>0</v>
      </c>
    </row>
    <row r="238" spans="3:26" ht="15.75" hidden="1" customHeight="1" outlineLevel="1">
      <c r="C238" s="76"/>
      <c r="D238" s="110"/>
      <c r="E238" s="110"/>
      <c r="F238" s="515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spans="3:26" ht="15.75" hidden="1" customHeight="1" outlineLevel="1">
      <c r="C239" s="76"/>
      <c r="D239" s="110" t="s">
        <v>1520</v>
      </c>
      <c r="E239" s="110"/>
      <c r="F239" s="515"/>
      <c r="G239" s="80"/>
      <c r="H239" s="80"/>
      <c r="I239" s="80"/>
      <c r="J239" s="80">
        <f t="shared" ref="J239:O239" si="170">SUM(J231:J237)</f>
        <v>59246986.401030488</v>
      </c>
      <c r="K239" s="80">
        <f t="shared" ca="1" si="170"/>
        <v>91578335.425174773</v>
      </c>
      <c r="L239" s="80">
        <f t="shared" ca="1" si="170"/>
        <v>184318847.09635401</v>
      </c>
      <c r="M239" s="80">
        <f t="shared" ca="1" si="170"/>
        <v>232566199.13484791</v>
      </c>
      <c r="N239" s="80">
        <f t="shared" ca="1" si="170"/>
        <v>270862150.65335304</v>
      </c>
      <c r="O239" s="80">
        <f t="shared" ca="1" si="170"/>
        <v>328973920.45062411</v>
      </c>
      <c r="P239" s="80">
        <f t="shared" ref="P239:X239" ca="1" si="171">SUM(P231:P237)</f>
        <v>383234492.8911373</v>
      </c>
      <c r="Q239" s="80">
        <f t="shared" ca="1" si="171"/>
        <v>448639637.40991944</v>
      </c>
      <c r="R239" s="80">
        <f t="shared" ca="1" si="171"/>
        <v>512884750.34021038</v>
      </c>
      <c r="S239" s="80"/>
      <c r="T239" s="80"/>
      <c r="U239" s="80">
        <f ca="1">SUM(U231:U237)</f>
        <v>485387593.93647718</v>
      </c>
      <c r="V239" s="80">
        <f t="shared" ca="1" si="171"/>
        <v>571469682.50034821</v>
      </c>
      <c r="W239" s="80">
        <f t="shared" ca="1" si="171"/>
        <v>629802981.47575772</v>
      </c>
      <c r="X239" s="80">
        <f t="shared" ca="1" si="171"/>
        <v>686823316.79524148</v>
      </c>
      <c r="Y239" s="80">
        <f ca="1">SUM(Y231:Y237)</f>
        <v>748119144.86168146</v>
      </c>
      <c r="Z239" s="80">
        <f ca="1">SUM(Z231:Z237)</f>
        <v>808609221.90173435</v>
      </c>
    </row>
    <row r="240" spans="3:26" ht="15.75" hidden="1" customHeight="1" outlineLevel="1">
      <c r="C240" s="76"/>
      <c r="D240" s="372"/>
      <c r="E240" s="110"/>
      <c r="F240" s="110"/>
      <c r="G240" s="110"/>
      <c r="H240" s="110"/>
      <c r="I240" s="11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spans="3:26" ht="15.75" hidden="1" customHeight="1" outlineLevel="1">
      <c r="C241" s="76"/>
      <c r="D241" s="369" t="s">
        <v>1521</v>
      </c>
      <c r="E241" s="110"/>
      <c r="F241" s="110"/>
      <c r="G241" s="110"/>
      <c r="H241" s="110"/>
      <c r="I241" s="11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spans="3:26" ht="15.75" hidden="1" customHeight="1" outlineLevel="1">
      <c r="C242" s="76"/>
      <c r="D242" s="110" t="s">
        <v>1522</v>
      </c>
      <c r="E242" s="110"/>
      <c r="F242" s="110"/>
      <c r="G242" s="110"/>
      <c r="H242" s="110"/>
      <c r="I242" s="110"/>
      <c r="J242" s="80">
        <f t="shared" ref="J242:O242" si="172">SUM(J243:J244)</f>
        <v>3876970.3175346954</v>
      </c>
      <c r="K242" s="80">
        <f t="shared" si="172"/>
        <v>836076.89209634112</v>
      </c>
      <c r="L242" s="80">
        <f t="shared" si="172"/>
        <v>2105860</v>
      </c>
      <c r="M242" s="80">
        <f t="shared" si="172"/>
        <v>1420100.0000000002</v>
      </c>
      <c r="N242" s="80">
        <f t="shared" si="172"/>
        <v>1167328.7999999998</v>
      </c>
      <c r="O242" s="80">
        <f t="shared" si="172"/>
        <v>1306158.7</v>
      </c>
      <c r="P242" s="80">
        <f t="shared" ref="P242:X242" si="173">SUM(P243:P244)</f>
        <v>1250482.2000000002</v>
      </c>
      <c r="Q242" s="80">
        <f t="shared" si="173"/>
        <v>2072759.85</v>
      </c>
      <c r="R242" s="80">
        <f t="shared" si="173"/>
        <v>2255951.25</v>
      </c>
      <c r="S242" s="80"/>
      <c r="T242" s="80"/>
      <c r="U242" s="80">
        <f>SUM(U243:U244)</f>
        <v>2255951.25</v>
      </c>
      <c r="V242" s="80">
        <f t="shared" si="173"/>
        <v>2319378.2338884724</v>
      </c>
      <c r="W242" s="80">
        <f t="shared" si="173"/>
        <v>2386762.4339768728</v>
      </c>
      <c r="X242" s="80">
        <f t="shared" si="173"/>
        <v>2458353.0904430985</v>
      </c>
      <c r="Y242" s="80">
        <f>SUM(Y243:Y244)</f>
        <v>2534415.2428707136</v>
      </c>
      <c r="Z242" s="80">
        <f>SUM(Z243:Z244)</f>
        <v>2615230.7361078919</v>
      </c>
    </row>
    <row r="243" spans="3:26" ht="15.75" hidden="1" customHeight="1" outlineLevel="1">
      <c r="C243" s="76"/>
      <c r="D243" s="516" t="s">
        <v>1523</v>
      </c>
      <c r="E243" s="110"/>
      <c r="F243" s="515"/>
      <c r="G243" s="80"/>
      <c r="H243" s="80"/>
      <c r="I243" s="80"/>
      <c r="J243" s="80">
        <v>3876970.3175346954</v>
      </c>
      <c r="K243" s="80">
        <f t="shared" ref="K243:P243" si="174">K337</f>
        <v>538401.34698938671</v>
      </c>
      <c r="L243" s="80">
        <f t="shared" si="174"/>
        <v>1479640</v>
      </c>
      <c r="M243" s="80">
        <f t="shared" si="174"/>
        <v>910800.00000000012</v>
      </c>
      <c r="N243" s="80">
        <f t="shared" si="174"/>
        <v>718304.39999999991</v>
      </c>
      <c r="O243" s="80">
        <f t="shared" si="174"/>
        <v>812442.39999999991</v>
      </c>
      <c r="P243" s="80">
        <f t="shared" si="174"/>
        <v>784806</v>
      </c>
      <c r="Q243" s="80">
        <f t="shared" ref="Q243:Z243" si="175">Q337</f>
        <v>1625967</v>
      </c>
      <c r="R243" s="80">
        <f t="shared" si="175"/>
        <v>1780474.5</v>
      </c>
      <c r="S243" s="80"/>
      <c r="T243" s="80"/>
      <c r="U243" s="80">
        <f>U337</f>
        <v>1780474.5</v>
      </c>
      <c r="V243" s="80">
        <f t="shared" si="175"/>
        <v>1813376.0904106563</v>
      </c>
      <c r="W243" s="80">
        <f t="shared" si="175"/>
        <v>1848275.1804904623</v>
      </c>
      <c r="X243" s="80">
        <f t="shared" si="175"/>
        <v>1885295.1974975318</v>
      </c>
      <c r="Y243" s="80">
        <f t="shared" si="175"/>
        <v>1924567.2909627859</v>
      </c>
      <c r="Z243" s="80">
        <f t="shared" si="175"/>
        <v>1966230.8200006001</v>
      </c>
    </row>
    <row r="244" spans="3:26" ht="15.75" hidden="1" customHeight="1" outlineLevel="1">
      <c r="C244" s="76"/>
      <c r="D244" s="516" t="s">
        <v>1524</v>
      </c>
      <c r="E244" s="110"/>
      <c r="F244" s="515"/>
      <c r="G244" s="80"/>
      <c r="H244" s="80"/>
      <c r="I244" s="80"/>
      <c r="J244" s="80">
        <v>0</v>
      </c>
      <c r="K244" s="80">
        <f t="shared" ref="K244:P244" si="176">K353</f>
        <v>297675.54510695447</v>
      </c>
      <c r="L244" s="80">
        <f t="shared" si="176"/>
        <v>626220</v>
      </c>
      <c r="M244" s="80">
        <f t="shared" si="176"/>
        <v>509300.00000000006</v>
      </c>
      <c r="N244" s="80">
        <f t="shared" si="176"/>
        <v>449024.4</v>
      </c>
      <c r="O244" s="80">
        <f t="shared" si="176"/>
        <v>493716.3</v>
      </c>
      <c r="P244" s="80">
        <f t="shared" si="176"/>
        <v>465676.20000000007</v>
      </c>
      <c r="Q244" s="80">
        <f t="shared" ref="Q244:Z244" si="177">Q353</f>
        <v>446792.85</v>
      </c>
      <c r="R244" s="80">
        <f t="shared" si="177"/>
        <v>475476.74999999994</v>
      </c>
      <c r="S244" s="80"/>
      <c r="T244" s="80"/>
      <c r="U244" s="80">
        <f>U353</f>
        <v>475476.74999999994</v>
      </c>
      <c r="V244" s="80">
        <f t="shared" si="177"/>
        <v>506002.14347781631</v>
      </c>
      <c r="W244" s="80">
        <f t="shared" si="177"/>
        <v>538487.2534864106</v>
      </c>
      <c r="X244" s="80">
        <f t="shared" si="177"/>
        <v>573057.89294556668</v>
      </c>
      <c r="Y244" s="80">
        <f t="shared" si="177"/>
        <v>609847.95190792787</v>
      </c>
      <c r="Z244" s="80">
        <f t="shared" si="177"/>
        <v>648999.91610729182</v>
      </c>
    </row>
    <row r="245" spans="3:26" ht="15.75" hidden="1" customHeight="1" outlineLevel="1">
      <c r="C245" s="76"/>
      <c r="D245" s="110" t="s">
        <v>1351</v>
      </c>
      <c r="E245" s="110"/>
      <c r="F245" s="515"/>
      <c r="G245" s="80"/>
      <c r="H245" s="80"/>
      <c r="I245" s="80"/>
      <c r="J245" s="80">
        <v>-94036.896270456957</v>
      </c>
      <c r="K245" s="80">
        <f t="shared" ref="K245:P245" si="178">K352</f>
        <v>1403434.4213943763</v>
      </c>
      <c r="L245" s="80">
        <f t="shared" si="178"/>
        <v>214420</v>
      </c>
      <c r="M245" s="80">
        <f t="shared" si="178"/>
        <v>205700.00000000003</v>
      </c>
      <c r="N245" s="80">
        <f t="shared" si="178"/>
        <v>326502</v>
      </c>
      <c r="O245" s="80">
        <f t="shared" si="178"/>
        <v>369292</v>
      </c>
      <c r="P245" s="80">
        <f t="shared" si="178"/>
        <v>356730</v>
      </c>
      <c r="Q245" s="80">
        <f t="shared" ref="Q245:Z245" si="179">Q352</f>
        <v>361326</v>
      </c>
      <c r="R245" s="80">
        <f t="shared" si="179"/>
        <v>395661</v>
      </c>
      <c r="S245" s="80"/>
      <c r="T245" s="80"/>
      <c r="U245" s="80">
        <f>U352</f>
        <v>395661</v>
      </c>
      <c r="V245" s="80">
        <f t="shared" si="179"/>
        <v>402972.46453570144</v>
      </c>
      <c r="W245" s="80">
        <f t="shared" si="179"/>
        <v>410727.81788676942</v>
      </c>
      <c r="X245" s="80">
        <f t="shared" si="179"/>
        <v>418954.48833278485</v>
      </c>
      <c r="Y245" s="80">
        <f t="shared" si="179"/>
        <v>427681.62021395244</v>
      </c>
      <c r="Z245" s="80">
        <f t="shared" si="179"/>
        <v>436940.18222235562</v>
      </c>
    </row>
    <row r="246" spans="3:26" ht="15.75" hidden="1" customHeight="1" outlineLevel="1">
      <c r="C246" s="76"/>
      <c r="D246" s="110" t="s">
        <v>1525</v>
      </c>
      <c r="E246" s="110"/>
      <c r="F246" s="515"/>
      <c r="G246" s="80"/>
      <c r="H246" s="80"/>
      <c r="I246" s="80"/>
      <c r="J246" s="80">
        <f t="shared" ref="J246:O246" si="180">SUM(J245,J242)</f>
        <v>3782933.4212642387</v>
      </c>
      <c r="K246" s="80">
        <f t="shared" si="180"/>
        <v>2239511.3134907177</v>
      </c>
      <c r="L246" s="80">
        <f t="shared" si="180"/>
        <v>2320280</v>
      </c>
      <c r="M246" s="80">
        <f t="shared" si="180"/>
        <v>1625800.0000000002</v>
      </c>
      <c r="N246" s="80">
        <f>SUM(N245,N242)</f>
        <v>1493830.7999999998</v>
      </c>
      <c r="O246" s="80">
        <f t="shared" si="180"/>
        <v>1675450.7</v>
      </c>
      <c r="P246" s="80">
        <f t="shared" ref="P246:X246" si="181">SUM(P245,P242)</f>
        <v>1607212.2000000002</v>
      </c>
      <c r="Q246" s="80">
        <f t="shared" si="181"/>
        <v>2434085.85</v>
      </c>
      <c r="R246" s="80">
        <f t="shared" si="181"/>
        <v>2651612.25</v>
      </c>
      <c r="S246" s="80"/>
      <c r="T246" s="80"/>
      <c r="U246" s="80">
        <f>SUM(U245,U242)</f>
        <v>2651612.25</v>
      </c>
      <c r="V246" s="80">
        <f t="shared" si="181"/>
        <v>2722350.698424174</v>
      </c>
      <c r="W246" s="80">
        <f t="shared" si="181"/>
        <v>2797490.2518636421</v>
      </c>
      <c r="X246" s="80">
        <f t="shared" si="181"/>
        <v>2877307.5787758832</v>
      </c>
      <c r="Y246" s="80">
        <f>SUM(Y245,Y242)</f>
        <v>2962096.863084666</v>
      </c>
      <c r="Z246" s="80">
        <f>SUM(Z245,Z242)</f>
        <v>3052170.9183302475</v>
      </c>
    </row>
    <row r="247" spans="3:26" ht="15.75" hidden="1" customHeight="1" outlineLevel="1">
      <c r="C247" s="76"/>
      <c r="D247" s="110"/>
      <c r="E247" s="110"/>
      <c r="F247" s="110"/>
      <c r="G247" s="110"/>
      <c r="H247" s="110"/>
      <c r="I247" s="11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spans="3:26" ht="15.75" hidden="1" customHeight="1" outlineLevel="1">
      <c r="C248" s="76"/>
      <c r="D248" s="110" t="s">
        <v>1417</v>
      </c>
      <c r="E248" s="110"/>
      <c r="F248" s="110"/>
      <c r="G248" s="110"/>
      <c r="H248" s="110"/>
      <c r="I248" s="110"/>
      <c r="J248" s="80">
        <v>0</v>
      </c>
      <c r="K248" s="80">
        <f t="shared" ref="K248:V248" si="182">K496</f>
        <v>3149357</v>
      </c>
      <c r="L248" s="80">
        <f t="shared" si="182"/>
        <v>2778380</v>
      </c>
      <c r="M248" s="80">
        <f t="shared" ca="1" si="182"/>
        <v>0</v>
      </c>
      <c r="N248" s="80">
        <f t="shared" ca="1" si="182"/>
        <v>0</v>
      </c>
      <c r="O248" s="80">
        <f t="shared" ca="1" si="182"/>
        <v>0</v>
      </c>
      <c r="P248" s="80">
        <f t="shared" ca="1" si="182"/>
        <v>0</v>
      </c>
      <c r="Q248" s="80">
        <f t="shared" ca="1" si="182"/>
        <v>0</v>
      </c>
      <c r="R248" s="80">
        <f t="shared" ca="1" si="182"/>
        <v>0</v>
      </c>
      <c r="S248" s="80"/>
      <c r="T248" s="80"/>
      <c r="U248" s="80">
        <f ca="1">U496</f>
        <v>0</v>
      </c>
      <c r="V248" s="80">
        <f t="shared" ca="1" si="182"/>
        <v>0</v>
      </c>
      <c r="W248" s="80">
        <f ca="1">W496</f>
        <v>0</v>
      </c>
      <c r="X248" s="80">
        <f ca="1">X496</f>
        <v>0</v>
      </c>
      <c r="Y248" s="80">
        <f ca="1">Y496</f>
        <v>0</v>
      </c>
      <c r="Z248" s="80">
        <f ca="1">Z496</f>
        <v>0</v>
      </c>
    </row>
    <row r="249" spans="3:26" ht="15.75" hidden="1" customHeight="1" outlineLevel="1">
      <c r="C249" s="76"/>
      <c r="D249" s="110" t="s">
        <v>1526</v>
      </c>
      <c r="E249" s="110"/>
      <c r="F249" s="515"/>
      <c r="G249" s="80"/>
      <c r="H249" s="80"/>
      <c r="I249" s="80"/>
      <c r="J249" s="80">
        <v>0</v>
      </c>
      <c r="K249" s="80">
        <f t="shared" ref="K249:V249" si="183">K483</f>
        <v>4962500</v>
      </c>
      <c r="L249" s="80">
        <f t="shared" si="183"/>
        <v>17778721.156666666</v>
      </c>
      <c r="M249" s="80">
        <f t="shared" si="183"/>
        <v>15354021.156666666</v>
      </c>
      <c r="N249" s="80">
        <f t="shared" si="183"/>
        <v>9824768.9761115946</v>
      </c>
      <c r="O249" s="80">
        <f t="shared" si="183"/>
        <v>4626749.5375744198</v>
      </c>
      <c r="P249" s="80">
        <f t="shared" si="183"/>
        <v>0</v>
      </c>
      <c r="Q249" s="80">
        <f t="shared" si="183"/>
        <v>16676191</v>
      </c>
      <c r="R249" s="80">
        <f t="shared" si="183"/>
        <v>12790476.714285715</v>
      </c>
      <c r="S249" s="80"/>
      <c r="T249" s="80"/>
      <c r="U249" s="80">
        <f>U483</f>
        <v>12790476.714285715</v>
      </c>
      <c r="V249" s="80">
        <f t="shared" si="183"/>
        <v>8904762.4285714291</v>
      </c>
      <c r="W249" s="80">
        <f>W483</f>
        <v>5019048.1428571437</v>
      </c>
      <c r="X249" s="80">
        <f>X483</f>
        <v>0.52380952425301075</v>
      </c>
      <c r="Y249" s="80">
        <f>Y483</f>
        <v>0.52380952425301075</v>
      </c>
      <c r="Z249" s="80">
        <f>Z483</f>
        <v>0.52380952425301075</v>
      </c>
    </row>
    <row r="250" spans="3:26" ht="15.75" hidden="1" customHeight="1" outlineLevel="1">
      <c r="C250" s="76"/>
      <c r="D250" s="110" t="s">
        <v>1355</v>
      </c>
      <c r="E250" s="110"/>
      <c r="F250" s="515"/>
      <c r="G250" s="80"/>
      <c r="H250" s="80"/>
      <c r="I250" s="80"/>
      <c r="J250" s="80">
        <v>0</v>
      </c>
      <c r="K250" s="80">
        <f>J250</f>
        <v>0</v>
      </c>
      <c r="L250" s="80">
        <f>K250</f>
        <v>0</v>
      </c>
      <c r="M250" s="80">
        <f>L250</f>
        <v>0</v>
      </c>
      <c r="N250" s="80">
        <v>255335</v>
      </c>
      <c r="O250" s="80">
        <f t="shared" ref="O250:X250" si="184">N250</f>
        <v>255335</v>
      </c>
      <c r="P250" s="80">
        <f t="shared" si="184"/>
        <v>255335</v>
      </c>
      <c r="Q250" s="80">
        <f t="shared" si="184"/>
        <v>255335</v>
      </c>
      <c r="R250" s="80">
        <f t="shared" si="184"/>
        <v>255335</v>
      </c>
      <c r="S250" s="80"/>
      <c r="T250" s="80"/>
      <c r="U250" s="80">
        <f t="shared" si="184"/>
        <v>0</v>
      </c>
      <c r="V250" s="80">
        <f>R250</f>
        <v>255335</v>
      </c>
      <c r="W250" s="80">
        <f t="shared" si="184"/>
        <v>255335</v>
      </c>
      <c r="X250" s="80">
        <f t="shared" si="184"/>
        <v>255335</v>
      </c>
      <c r="Y250" s="80">
        <f>X250</f>
        <v>255335</v>
      </c>
      <c r="Z250" s="80">
        <f>Y250</f>
        <v>255335</v>
      </c>
    </row>
    <row r="251" spans="3:26" ht="15.75" hidden="1" customHeight="1" outlineLevel="1">
      <c r="C251" s="76"/>
      <c r="D251" s="110"/>
      <c r="E251" s="110"/>
      <c r="F251" s="110"/>
      <c r="G251" s="110"/>
      <c r="H251" s="110"/>
      <c r="I251" s="11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spans="3:26" ht="15.75" hidden="1" customHeight="1" outlineLevel="1">
      <c r="C252" s="76"/>
      <c r="D252" s="110" t="s">
        <v>1527</v>
      </c>
      <c r="E252" s="110"/>
      <c r="F252" s="110"/>
      <c r="G252" s="110"/>
      <c r="H252" s="110"/>
      <c r="I252" s="110"/>
      <c r="J252" s="80">
        <f t="shared" ref="J252:R252" si="185">SUM(J246:J250)</f>
        <v>3782933.4212642387</v>
      </c>
      <c r="K252" s="80">
        <f t="shared" si="185"/>
        <v>10351368.313490719</v>
      </c>
      <c r="L252" s="80">
        <f t="shared" si="185"/>
        <v>22877381.156666666</v>
      </c>
      <c r="M252" s="80">
        <f t="shared" ca="1" si="185"/>
        <v>16979821.156666666</v>
      </c>
      <c r="N252" s="80">
        <f ca="1">SUM(N246:N250)</f>
        <v>11573934.776111595</v>
      </c>
      <c r="O252" s="80">
        <f t="shared" ca="1" si="185"/>
        <v>6557535.2375744199</v>
      </c>
      <c r="P252" s="80">
        <f t="shared" ca="1" si="185"/>
        <v>1862547.2000000002</v>
      </c>
      <c r="Q252" s="80">
        <f t="shared" ca="1" si="185"/>
        <v>19365611.850000001</v>
      </c>
      <c r="R252" s="80">
        <f t="shared" ca="1" si="185"/>
        <v>15697423.964285715</v>
      </c>
      <c r="S252" s="80"/>
      <c r="T252" s="80"/>
      <c r="U252" s="80">
        <f t="shared" ref="U252:Z252" ca="1" si="186">SUM(U246:U250)</f>
        <v>15442088.964285715</v>
      </c>
      <c r="V252" s="80">
        <f t="shared" ca="1" si="186"/>
        <v>11882448.126995603</v>
      </c>
      <c r="W252" s="80">
        <f t="shared" ca="1" si="186"/>
        <v>8071873.3947207853</v>
      </c>
      <c r="X252" s="80">
        <f t="shared" ca="1" si="186"/>
        <v>3132643.1025854074</v>
      </c>
      <c r="Y252" s="80">
        <f t="shared" ca="1" si="186"/>
        <v>3217432.3868941902</v>
      </c>
      <c r="Z252" s="80">
        <f t="shared" ca="1" si="186"/>
        <v>3307506.4421397718</v>
      </c>
    </row>
    <row r="253" spans="3:26" ht="15.75" hidden="1" customHeight="1" outlineLevel="1">
      <c r="C253" s="76"/>
      <c r="D253" s="372"/>
      <c r="E253" s="110"/>
      <c r="F253" s="515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spans="3:26" ht="15.75" hidden="1" customHeight="1" outlineLevel="1">
      <c r="C254" s="76"/>
      <c r="D254" s="110" t="s">
        <v>1528</v>
      </c>
      <c r="E254" s="110"/>
      <c r="F254" s="110"/>
      <c r="G254" s="110"/>
      <c r="H254" s="110"/>
      <c r="I254" s="110"/>
      <c r="J254" s="80">
        <f>42558206.9797662+12905846</f>
        <v>55464052.979766198</v>
      </c>
      <c r="K254" s="80">
        <f t="shared" ref="K254:V254" si="187">K430</f>
        <v>81226967.104808688</v>
      </c>
      <c r="L254" s="80">
        <f t="shared" ca="1" si="187"/>
        <v>161441465.93281195</v>
      </c>
      <c r="M254" s="80">
        <f t="shared" ca="1" si="187"/>
        <v>215586377.97130588</v>
      </c>
      <c r="N254" s="80">
        <f t="shared" ca="1" si="187"/>
        <v>258894735.68981105</v>
      </c>
      <c r="O254" s="80">
        <f t="shared" ca="1" si="187"/>
        <v>322022905.02561921</v>
      </c>
      <c r="P254" s="80">
        <f ca="1">P430</f>
        <v>380978465.50370693</v>
      </c>
      <c r="Q254" s="80">
        <f t="shared" ca="1" si="187"/>
        <v>428880545.37248898</v>
      </c>
      <c r="R254" s="80">
        <f t="shared" ca="1" si="187"/>
        <v>496793846.18849409</v>
      </c>
      <c r="S254" s="80"/>
      <c r="T254" s="80"/>
      <c r="U254" s="80">
        <f ca="1">U430</f>
        <v>469296689.78476101</v>
      </c>
      <c r="V254" s="80">
        <f t="shared" ca="1" si="187"/>
        <v>559193754.18592203</v>
      </c>
      <c r="W254" s="80">
        <f ca="1">W430</f>
        <v>621337627.89360631</v>
      </c>
      <c r="X254" s="80">
        <f ca="1">X430</f>
        <v>683297193.50522554</v>
      </c>
      <c r="Y254" s="80">
        <f ca="1">Y430</f>
        <v>744508232.28735662</v>
      </c>
      <c r="Z254" s="80">
        <f ca="1">Z430</f>
        <v>804908235.27216399</v>
      </c>
    </row>
    <row r="255" spans="3:26" ht="15.75" hidden="1" customHeight="1" outlineLevel="1">
      <c r="C255" s="76"/>
      <c r="D255" s="110"/>
      <c r="E255" s="110"/>
      <c r="F255" s="515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spans="3:26" ht="15.75" hidden="1" customHeight="1" outlineLevel="1">
      <c r="C256" s="76"/>
      <c r="D256" s="472" t="s">
        <v>1358</v>
      </c>
      <c r="E256" s="472"/>
      <c r="F256" s="517"/>
      <c r="G256" s="115"/>
      <c r="H256" s="115"/>
      <c r="I256" s="115"/>
      <c r="J256" s="115">
        <f t="shared" ref="J256:R256" si="188">SUM(J252:J254)</f>
        <v>59246986.401030436</v>
      </c>
      <c r="K256" s="115">
        <f t="shared" si="188"/>
        <v>91578335.418299407</v>
      </c>
      <c r="L256" s="115">
        <f t="shared" ca="1" si="188"/>
        <v>184318847.08947861</v>
      </c>
      <c r="M256" s="115">
        <f t="shared" ca="1" si="188"/>
        <v>232566199.12797254</v>
      </c>
      <c r="N256" s="115">
        <f t="shared" ca="1" si="188"/>
        <v>270468670.46592265</v>
      </c>
      <c r="O256" s="115">
        <f t="shared" ca="1" si="188"/>
        <v>328580440.26319361</v>
      </c>
      <c r="P256" s="115">
        <f t="shared" ca="1" si="188"/>
        <v>382841012.70370692</v>
      </c>
      <c r="Q256" s="115">
        <f t="shared" ca="1" si="188"/>
        <v>448246157.222489</v>
      </c>
      <c r="R256" s="115">
        <f t="shared" ca="1" si="188"/>
        <v>512491270.15277982</v>
      </c>
      <c r="S256" s="115"/>
      <c r="T256" s="115"/>
      <c r="U256" s="115">
        <f t="shared" ref="U256:Z256" ca="1" si="189">SUM(U252:U254)</f>
        <v>484738778.74904674</v>
      </c>
      <c r="V256" s="115">
        <f t="shared" ca="1" si="189"/>
        <v>571076202.31291759</v>
      </c>
      <c r="W256" s="115">
        <f t="shared" ca="1" si="189"/>
        <v>629409501.2883271</v>
      </c>
      <c r="X256" s="115">
        <f t="shared" ca="1" si="189"/>
        <v>686429836.60781097</v>
      </c>
      <c r="Y256" s="115">
        <f t="shared" ca="1" si="189"/>
        <v>747725664.67425084</v>
      </c>
      <c r="Z256" s="115">
        <f t="shared" ca="1" si="189"/>
        <v>808215741.71430373</v>
      </c>
    </row>
    <row r="257" spans="1:58" ht="15.75" hidden="1" customHeight="1" outlineLevel="1">
      <c r="C257" s="76"/>
      <c r="D257" s="374"/>
      <c r="E257" s="110"/>
      <c r="F257" s="515"/>
      <c r="G257" s="80"/>
      <c r="H257" s="80"/>
      <c r="I257" s="80"/>
      <c r="J257" s="110"/>
      <c r="K257" s="110"/>
      <c r="L257" s="110"/>
      <c r="M257" s="110"/>
      <c r="N257" s="110"/>
      <c r="O257" s="110"/>
      <c r="P257" s="110"/>
      <c r="Q257" s="110"/>
      <c r="R257" s="110"/>
      <c r="S257" s="110"/>
      <c r="T257" s="110"/>
      <c r="U257" s="110"/>
      <c r="V257" s="110"/>
      <c r="W257" s="110"/>
      <c r="X257" s="110"/>
      <c r="Y257" s="110"/>
      <c r="Z257" s="110"/>
    </row>
    <row r="258" spans="1:58" s="158" customFormat="1" ht="15.75" hidden="1" customHeight="1" outlineLevel="1">
      <c r="A258" s="565"/>
      <c r="B258" s="565"/>
      <c r="C258" s="518"/>
      <c r="D258" s="566" t="s">
        <v>365</v>
      </c>
      <c r="E258" s="519"/>
      <c r="F258" s="519"/>
      <c r="G258" s="519"/>
      <c r="H258" s="519"/>
      <c r="I258" s="520"/>
      <c r="J258" s="567">
        <f t="shared" ref="J258:R258" si="190">J256-J239</f>
        <v>0</v>
      </c>
      <c r="K258" s="567">
        <f t="shared" ca="1" si="190"/>
        <v>-6.8753659725189209E-3</v>
      </c>
      <c r="L258" s="567">
        <f t="shared" ca="1" si="190"/>
        <v>-6.8753957748413086E-3</v>
      </c>
      <c r="M258" s="567">
        <f t="shared" ca="1" si="190"/>
        <v>-6.8753659725189209E-3</v>
      </c>
      <c r="N258" s="567">
        <f ca="1">N256-N239</f>
        <v>-393480.18743038177</v>
      </c>
      <c r="O258" s="567">
        <f t="shared" ca="1" si="190"/>
        <v>-393480.18743050098</v>
      </c>
      <c r="P258" s="693">
        <f t="shared" ca="1" si="190"/>
        <v>-393480.18743038177</v>
      </c>
      <c r="Q258" s="567">
        <f t="shared" ca="1" si="190"/>
        <v>-393480.18743044138</v>
      </c>
      <c r="R258" s="567">
        <f t="shared" ca="1" si="190"/>
        <v>-393480.18743056059</v>
      </c>
      <c r="S258" s="567"/>
      <c r="T258" s="567"/>
      <c r="U258" s="567">
        <f t="shared" ref="U258:Z258" ca="1" si="191">U256-U239</f>
        <v>-648815.18743044138</v>
      </c>
      <c r="V258" s="567">
        <f t="shared" ca="1" si="191"/>
        <v>-393480.18743062019</v>
      </c>
      <c r="W258" s="567">
        <f t="shared" ca="1" si="191"/>
        <v>-393480.18743062019</v>
      </c>
      <c r="X258" s="567">
        <f t="shared" ca="1" si="191"/>
        <v>-393480.18743050098</v>
      </c>
      <c r="Y258" s="567">
        <f t="shared" ca="1" si="191"/>
        <v>-393480.18743062019</v>
      </c>
      <c r="Z258" s="567">
        <f t="shared" ca="1" si="191"/>
        <v>-393480.18743062019</v>
      </c>
    </row>
    <row r="259" spans="1:58" ht="15.75" hidden="1" customHeight="1" outlineLevel="1">
      <c r="C259" s="76"/>
      <c r="D259" s="102"/>
      <c r="E259" s="102"/>
      <c r="F259" s="102"/>
      <c r="G259" s="102"/>
      <c r="H259" s="102"/>
      <c r="I259" s="102"/>
      <c r="J259" s="102"/>
      <c r="K259" s="102"/>
      <c r="L259" s="151"/>
      <c r="M259" s="694"/>
      <c r="N259" s="716"/>
      <c r="O259" s="694"/>
      <c r="P259" s="694"/>
      <c r="Q259" s="694"/>
      <c r="R259" s="694"/>
      <c r="S259" s="694"/>
      <c r="T259" s="694"/>
      <c r="U259" s="694"/>
      <c r="V259" s="694"/>
      <c r="W259" s="694"/>
      <c r="X259" s="694"/>
      <c r="Y259" s="694"/>
      <c r="Z259" s="694"/>
    </row>
    <row r="260" spans="1:58" ht="15.75" hidden="1" customHeight="1" outlineLevel="1">
      <c r="C260" s="76"/>
      <c r="E260" s="111" t="s">
        <v>447</v>
      </c>
      <c r="F260" s="111"/>
      <c r="G260" s="111"/>
      <c r="H260" s="111"/>
      <c r="I260" s="111"/>
      <c r="J260" s="116">
        <f t="shared" ref="J260:V260" si="192">J254/(J254+J248+J249)</f>
        <v>1</v>
      </c>
      <c r="K260" s="116">
        <f t="shared" si="192"/>
        <v>0.90920121144102484</v>
      </c>
      <c r="L260" s="116">
        <f t="shared" ca="1" si="192"/>
        <v>0.88704800545731832</v>
      </c>
      <c r="M260" s="116">
        <f t="shared" ca="1" si="192"/>
        <v>0.93351522204584725</v>
      </c>
      <c r="N260" s="438">
        <f t="shared" ca="1" si="192"/>
        <v>0.9634385714266408</v>
      </c>
      <c r="O260" s="116">
        <f t="shared" ca="1" si="192"/>
        <v>0.98583574336314106</v>
      </c>
      <c r="P260" s="116">
        <f t="shared" ca="1" si="192"/>
        <v>1</v>
      </c>
      <c r="Q260" s="116">
        <f t="shared" ca="1" si="192"/>
        <v>0.96257223909177181</v>
      </c>
      <c r="R260" s="116">
        <f t="shared" ca="1" si="192"/>
        <v>0.97490017620356439</v>
      </c>
      <c r="S260" s="116"/>
      <c r="T260" s="116"/>
      <c r="U260" s="116">
        <f ca="1">U254/(U254+U248+U249)</f>
        <v>0.9734685392951421</v>
      </c>
      <c r="V260" s="116">
        <f t="shared" ca="1" si="192"/>
        <v>0.98432532004899753</v>
      </c>
      <c r="W260" s="116">
        <f ca="1">W254/(W254+W248+W249)</f>
        <v>0.99198691682410522</v>
      </c>
      <c r="X260" s="116">
        <f ca="1">X254/(X254+X248+X249)</f>
        <v>0.99999999923340888</v>
      </c>
      <c r="Y260" s="116">
        <f ca="1">Y254/(Y254+Y248+Y249)</f>
        <v>0.99999999929643546</v>
      </c>
      <c r="Z260" s="116">
        <f ca="1">Z254/(Z254+Z248+Z249)</f>
        <v>0.99999999934923067</v>
      </c>
    </row>
    <row r="261" spans="1:58" ht="15.75" hidden="1" customHeight="1" outlineLevel="1">
      <c r="C261" s="76"/>
      <c r="E261" s="110" t="s">
        <v>448</v>
      </c>
      <c r="F261" s="110"/>
      <c r="G261" s="110"/>
      <c r="H261" s="110"/>
      <c r="I261" s="110"/>
      <c r="J261" s="116">
        <f t="shared" ref="J261:O261" si="193">1-J260</f>
        <v>0</v>
      </c>
      <c r="K261" s="116">
        <f t="shared" si="193"/>
        <v>9.0798788558975163E-2</v>
      </c>
      <c r="L261" s="116">
        <f t="shared" ca="1" si="193"/>
        <v>0.11295199454268168</v>
      </c>
      <c r="M261" s="116">
        <f t="shared" ca="1" si="193"/>
        <v>6.6484777954152752E-2</v>
      </c>
      <c r="N261" s="438">
        <f t="shared" ca="1" si="193"/>
        <v>3.65614285733592E-2</v>
      </c>
      <c r="O261" s="116">
        <f t="shared" ca="1" si="193"/>
        <v>1.4164256636858941E-2</v>
      </c>
      <c r="P261" s="116">
        <f t="shared" ref="P261:X261" ca="1" si="194">1-P260</f>
        <v>0</v>
      </c>
      <c r="Q261" s="116">
        <f t="shared" ca="1" si="194"/>
        <v>3.7427760908228191E-2</v>
      </c>
      <c r="R261" s="116">
        <f t="shared" ca="1" si="194"/>
        <v>2.5099823796435605E-2</v>
      </c>
      <c r="S261" s="116"/>
      <c r="T261" s="116"/>
      <c r="U261" s="116">
        <f ca="1">1-U260</f>
        <v>2.6531460704857901E-2</v>
      </c>
      <c r="V261" s="116">
        <f t="shared" ca="1" si="194"/>
        <v>1.5674679951002468E-2</v>
      </c>
      <c r="W261" s="116">
        <f t="shared" ca="1" si="194"/>
        <v>8.0130831758947751E-3</v>
      </c>
      <c r="X261" s="116">
        <f t="shared" ca="1" si="194"/>
        <v>7.6659112391297413E-10</v>
      </c>
      <c r="Y261" s="116">
        <f ca="1">1-Y260</f>
        <v>7.0356453996112123E-10</v>
      </c>
      <c r="Z261" s="116">
        <f ca="1">1-Z260</f>
        <v>6.5076932731500392E-10</v>
      </c>
    </row>
    <row r="262" spans="1:58" ht="15.75" hidden="1" customHeight="1" outlineLevel="1">
      <c r="C262" s="111"/>
      <c r="D262" s="117"/>
      <c r="E262" s="117"/>
      <c r="F262" s="117"/>
      <c r="G262" s="117"/>
      <c r="H262" s="117"/>
      <c r="I262" s="117"/>
      <c r="J262" s="117"/>
      <c r="K262" s="117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</row>
    <row r="263" spans="1:58" ht="15.75" hidden="1" customHeight="1" outlineLevel="1">
      <c r="C263" s="111"/>
      <c r="D263" s="117"/>
      <c r="E263" s="117"/>
      <c r="F263" s="117"/>
      <c r="G263" s="117"/>
      <c r="H263" s="117"/>
      <c r="I263" s="117"/>
      <c r="J263" s="117"/>
      <c r="K263" s="117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</row>
    <row r="264" spans="1:58" ht="15.75" hidden="1" customHeight="1" outlineLevel="1">
      <c r="D264" s="461"/>
      <c r="E264" s="81"/>
      <c r="F264" s="81"/>
      <c r="G264" s="81"/>
      <c r="H264" s="81"/>
      <c r="I264" s="81"/>
      <c r="J264" s="81"/>
      <c r="K264" s="81"/>
    </row>
    <row r="265" spans="1:58" ht="15.75" hidden="1" customHeight="1" outlineLevel="1">
      <c r="D265" s="461"/>
      <c r="E265" s="81"/>
      <c r="F265" s="81"/>
      <c r="G265" s="81"/>
      <c r="H265" s="81"/>
      <c r="I265" s="81"/>
      <c r="J265" s="81"/>
      <c r="K265" s="81"/>
    </row>
    <row r="266" spans="1:58" ht="27" customHeight="1" collapsed="1">
      <c r="D266" s="462" t="s">
        <v>266</v>
      </c>
      <c r="M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spans="1:58" ht="3" customHeight="1">
      <c r="D267" s="464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</row>
    <row r="268" spans="1:58" ht="15.75" customHeight="1"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</row>
    <row r="269" spans="1:58" ht="15.75" customHeight="1">
      <c r="D269" s="467" t="s">
        <v>196</v>
      </c>
      <c r="E269" s="468"/>
      <c r="F269" s="468"/>
      <c r="G269" s="468"/>
      <c r="H269" s="468"/>
      <c r="I269" s="91"/>
      <c r="J269" s="91"/>
      <c r="K269" s="91"/>
      <c r="L269" s="91"/>
      <c r="M269" s="135"/>
      <c r="N269" s="135"/>
      <c r="O269" s="135"/>
      <c r="P269" s="135"/>
      <c r="Q269" s="135"/>
      <c r="R269" s="135"/>
      <c r="S269" s="135"/>
      <c r="T269" s="135"/>
      <c r="U269" s="135"/>
      <c r="V269" s="135"/>
      <c r="W269" s="135"/>
      <c r="X269" s="135"/>
      <c r="Y269" s="135"/>
      <c r="Z269" s="135"/>
    </row>
    <row r="270" spans="1:58" ht="15.75" customHeight="1">
      <c r="C270" s="91"/>
      <c r="D270" s="546"/>
      <c r="E270" s="106"/>
      <c r="F270" s="106"/>
      <c r="G270" s="106"/>
      <c r="H270" s="546"/>
      <c r="I270" s="546"/>
      <c r="J270" s="92">
        <f t="shared" ref="J270:M272" si="195">J219</f>
        <v>0</v>
      </c>
      <c r="K270" s="92">
        <f t="shared" si="195"/>
        <v>1</v>
      </c>
      <c r="L270" s="92">
        <f t="shared" si="195"/>
        <v>2</v>
      </c>
      <c r="M270" s="136">
        <f t="shared" si="195"/>
        <v>3</v>
      </c>
      <c r="N270" s="136">
        <f t="shared" ref="N270:P272" si="196">N219</f>
        <v>4</v>
      </c>
      <c r="O270" s="136">
        <f t="shared" si="196"/>
        <v>5</v>
      </c>
      <c r="P270" s="136">
        <f t="shared" si="196"/>
        <v>6</v>
      </c>
      <c r="Q270" s="136">
        <f t="shared" ref="Q270:R272" si="197">Q219</f>
        <v>7</v>
      </c>
      <c r="R270" s="136">
        <f t="shared" si="197"/>
        <v>8</v>
      </c>
      <c r="S270" s="136"/>
      <c r="T270" s="136"/>
      <c r="U270" s="136" t="str">
        <f>U219</f>
        <v>Revised</v>
      </c>
      <c r="V270" s="136">
        <f t="shared" ref="V270:W272" si="198">V219</f>
        <v>9</v>
      </c>
      <c r="W270" s="136">
        <f t="shared" si="198"/>
        <v>10</v>
      </c>
      <c r="X270" s="136">
        <f t="shared" ref="X270:Z272" si="199">X219</f>
        <v>11</v>
      </c>
      <c r="Y270" s="136">
        <f t="shared" si="199"/>
        <v>12</v>
      </c>
      <c r="Z270" s="136">
        <f t="shared" si="199"/>
        <v>13</v>
      </c>
      <c r="AA270" s="447"/>
      <c r="AB270" s="447"/>
      <c r="AC270" s="447"/>
      <c r="AD270" s="447"/>
      <c r="AE270" s="447"/>
      <c r="AF270" s="447"/>
      <c r="AG270" s="447"/>
      <c r="AH270" s="447"/>
      <c r="AI270" s="447"/>
      <c r="AJ270" s="447"/>
      <c r="AK270" s="447"/>
      <c r="AL270" s="447"/>
      <c r="AM270" s="447"/>
      <c r="AN270" s="447"/>
      <c r="AO270" s="447"/>
      <c r="AP270" s="447"/>
      <c r="AQ270" s="447"/>
      <c r="AR270" s="447"/>
      <c r="AS270" s="447"/>
      <c r="AT270" s="447"/>
      <c r="AU270" s="447"/>
      <c r="AV270" s="447"/>
      <c r="AW270" s="447"/>
      <c r="AX270" s="447"/>
      <c r="AY270" s="447"/>
      <c r="AZ270" s="447"/>
      <c r="BA270" s="447"/>
      <c r="BB270" s="447"/>
      <c r="BC270" s="447"/>
      <c r="BD270" s="447"/>
      <c r="BE270" s="447"/>
      <c r="BF270" s="447"/>
    </row>
    <row r="271" spans="1:58" ht="15.75" customHeight="1">
      <c r="C271" s="91"/>
      <c r="D271" s="548"/>
      <c r="E271" s="469"/>
      <c r="F271" s="469"/>
      <c r="G271" s="469"/>
      <c r="H271" s="548"/>
      <c r="I271" s="548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447"/>
      <c r="AB271" s="447"/>
      <c r="AC271" s="447"/>
      <c r="AD271" s="447"/>
      <c r="AE271" s="447"/>
      <c r="AF271" s="447"/>
      <c r="AG271" s="447"/>
      <c r="AH271" s="447"/>
      <c r="AI271" s="447"/>
      <c r="AJ271" s="447"/>
      <c r="AK271" s="447"/>
      <c r="AL271" s="447"/>
      <c r="AM271" s="447"/>
      <c r="AN271" s="447"/>
      <c r="AO271" s="447"/>
      <c r="AP271" s="447"/>
      <c r="AQ271" s="447"/>
      <c r="AR271" s="447"/>
      <c r="AS271" s="447"/>
      <c r="AT271" s="447"/>
      <c r="AU271" s="447"/>
      <c r="AV271" s="447"/>
      <c r="AW271" s="447"/>
      <c r="AX271" s="447"/>
      <c r="AY271" s="447"/>
      <c r="AZ271" s="447"/>
      <c r="BA271" s="447"/>
      <c r="BB271" s="447"/>
      <c r="BC271" s="447"/>
      <c r="BD271" s="447"/>
      <c r="BE271" s="447"/>
      <c r="BF271" s="447"/>
    </row>
    <row r="272" spans="1:58" ht="15.75" customHeight="1">
      <c r="C272" s="91"/>
      <c r="D272" s="471"/>
      <c r="E272" s="472"/>
      <c r="F272" s="506"/>
      <c r="G272" s="506"/>
      <c r="H272" s="471"/>
      <c r="I272" s="471"/>
      <c r="J272" s="94" t="str">
        <f t="shared" si="195"/>
        <v>($)</v>
      </c>
      <c r="K272" s="94" t="str">
        <f t="shared" si="195"/>
        <v>($)</v>
      </c>
      <c r="L272" s="94" t="str">
        <f t="shared" si="195"/>
        <v>($)</v>
      </c>
      <c r="M272" s="94" t="str">
        <f t="shared" si="195"/>
        <v>($)</v>
      </c>
      <c r="N272" s="94" t="str">
        <f t="shared" si="196"/>
        <v>($)</v>
      </c>
      <c r="O272" s="94" t="str">
        <f t="shared" si="196"/>
        <v>($)</v>
      </c>
      <c r="P272" s="94" t="str">
        <f t="shared" si="196"/>
        <v>($)</v>
      </c>
      <c r="Q272" s="94" t="str">
        <f t="shared" si="197"/>
        <v>($)</v>
      </c>
      <c r="R272" s="94" t="str">
        <f t="shared" si="197"/>
        <v>($)</v>
      </c>
      <c r="S272" s="94"/>
      <c r="T272" s="94"/>
      <c r="U272" s="94" t="str">
        <f>U221</f>
        <v>($)</v>
      </c>
      <c r="V272" s="94" t="str">
        <f t="shared" si="198"/>
        <v>($)</v>
      </c>
      <c r="W272" s="94" t="str">
        <f t="shared" si="198"/>
        <v>($)</v>
      </c>
      <c r="X272" s="94" t="str">
        <f t="shared" si="199"/>
        <v>($)</v>
      </c>
      <c r="Y272" s="94" t="str">
        <f t="shared" si="199"/>
        <v>($)</v>
      </c>
      <c r="Z272" s="94" t="str">
        <f t="shared" si="199"/>
        <v>($)</v>
      </c>
      <c r="AA272" s="447"/>
      <c r="AB272" s="447"/>
      <c r="AC272" s="447"/>
      <c r="AD272" s="447"/>
      <c r="AE272" s="447"/>
      <c r="AF272" s="447"/>
      <c r="AG272" s="447"/>
      <c r="AH272" s="447"/>
      <c r="AI272" s="447"/>
      <c r="AJ272" s="447"/>
      <c r="AK272" s="447"/>
      <c r="AL272" s="447"/>
      <c r="AM272" s="447"/>
      <c r="AN272" s="447"/>
      <c r="AO272" s="447"/>
      <c r="AP272" s="447"/>
      <c r="AQ272" s="447"/>
      <c r="AR272" s="447"/>
      <c r="AS272" s="447"/>
      <c r="AT272" s="447"/>
      <c r="AU272" s="447"/>
      <c r="AV272" s="447"/>
      <c r="AW272" s="447"/>
      <c r="AX272" s="447"/>
      <c r="AY272" s="447"/>
      <c r="AZ272" s="447"/>
      <c r="BA272" s="447"/>
      <c r="BB272" s="447"/>
      <c r="BC272" s="447"/>
      <c r="BD272" s="447"/>
      <c r="BE272" s="447"/>
      <c r="BF272" s="447"/>
    </row>
    <row r="273" spans="1:26" ht="15.75" customHeight="1">
      <c r="C273" s="111"/>
      <c r="D273" s="110"/>
      <c r="E273" s="110"/>
      <c r="F273" s="110"/>
      <c r="G273" s="110"/>
      <c r="H273" s="110"/>
      <c r="I273" s="110"/>
      <c r="J273" s="110"/>
      <c r="K273" s="107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</row>
    <row r="274" spans="1:26" ht="15.75" customHeight="1">
      <c r="C274" s="76"/>
      <c r="D274" s="483" t="s">
        <v>198</v>
      </c>
      <c r="E274" s="110"/>
      <c r="F274" s="110"/>
      <c r="G274" s="110"/>
      <c r="H274" s="110"/>
      <c r="I274" s="110"/>
      <c r="J274" s="110"/>
      <c r="K274" s="110"/>
      <c r="L274" s="110"/>
      <c r="M274" s="110"/>
      <c r="N274" s="110"/>
      <c r="O274" s="110"/>
      <c r="P274" s="110"/>
      <c r="Q274" s="110"/>
      <c r="R274" s="110"/>
      <c r="S274" s="110"/>
      <c r="T274" s="110"/>
      <c r="U274" s="110"/>
      <c r="V274" s="110"/>
      <c r="W274" s="110"/>
      <c r="X274" s="110"/>
      <c r="Y274" s="110"/>
      <c r="Z274" s="110"/>
    </row>
    <row r="275" spans="1:26" ht="15.75" customHeight="1">
      <c r="C275" s="76"/>
      <c r="D275" s="516" t="s">
        <v>363</v>
      </c>
      <c r="E275" s="110"/>
      <c r="F275" s="515"/>
      <c r="G275" s="80"/>
      <c r="H275" s="80"/>
      <c r="I275" s="80"/>
      <c r="J275" s="108"/>
      <c r="K275" s="108">
        <f t="shared" ref="K275:P275" si="200">K172</f>
        <v>26600155.042776104</v>
      </c>
      <c r="L275" s="108">
        <f t="shared" ca="1" si="200"/>
        <v>92679647.663000733</v>
      </c>
      <c r="M275" s="108">
        <f t="shared" ca="1" si="200"/>
        <v>62845173.892233931</v>
      </c>
      <c r="N275" s="108">
        <f t="shared" ca="1" si="200"/>
        <v>44389458.165474355</v>
      </c>
      <c r="O275" s="108">
        <f t="shared" ca="1" si="200"/>
        <v>63553084.83208137</v>
      </c>
      <c r="P275" s="108">
        <f t="shared" ca="1" si="200"/>
        <v>59191363.079261765</v>
      </c>
      <c r="Q275" s="108">
        <f t="shared" ref="Q275:Z275" ca="1" si="201">Q172</f>
        <v>52818471.868782073</v>
      </c>
      <c r="R275" s="108">
        <f t="shared" ca="1" si="201"/>
        <v>69064367.119641051</v>
      </c>
      <c r="S275" s="108"/>
      <c r="T275" s="108"/>
      <c r="U275" s="108">
        <f ca="1">U172</f>
        <v>41453113.952102289</v>
      </c>
      <c r="V275" s="108">
        <f t="shared" ca="1" si="201"/>
        <v>63337049.397218093</v>
      </c>
      <c r="W275" s="108">
        <f t="shared" ca="1" si="201"/>
        <v>62812486.051539049</v>
      </c>
      <c r="X275" s="108">
        <f t="shared" ca="1" si="201"/>
        <v>62364722.710847303</v>
      </c>
      <c r="Y275" s="108">
        <f t="shared" ca="1" si="201"/>
        <v>61465028.037655272</v>
      </c>
      <c r="Z275" s="108">
        <f t="shared" si="201"/>
        <v>60650626.926535241</v>
      </c>
    </row>
    <row r="276" spans="1:26" ht="15.75" customHeight="1">
      <c r="C276" s="76"/>
      <c r="D276" s="516" t="s">
        <v>199</v>
      </c>
      <c r="E276" s="110"/>
      <c r="F276" s="515"/>
      <c r="G276" s="80"/>
      <c r="H276" s="80"/>
      <c r="I276" s="80"/>
      <c r="J276" s="108"/>
      <c r="K276" s="108">
        <f t="shared" ref="K276:P276" ca="1" si="202">K407+K386+K380</f>
        <v>2756325.9616388888</v>
      </c>
      <c r="L276" s="108">
        <f t="shared" ca="1" si="202"/>
        <v>5702227.638477385</v>
      </c>
      <c r="M276" s="108">
        <f t="shared" ca="1" si="202"/>
        <v>6024446.6523662731</v>
      </c>
      <c r="N276" s="108">
        <f ca="1">N407+N386+N380</f>
        <v>5892921.6856996063</v>
      </c>
      <c r="O276" s="108">
        <f t="shared" ca="1" si="202"/>
        <v>5936409.6801440511</v>
      </c>
      <c r="P276" s="108">
        <f t="shared" ca="1" si="202"/>
        <v>5967294.3190329401</v>
      </c>
      <c r="Q276" s="108">
        <f t="shared" ref="Q276:Z276" ca="1" si="203">Q407+Q386+Q380</f>
        <v>6267100.8329218291</v>
      </c>
      <c r="R276" s="108">
        <f t="shared" ca="1" si="203"/>
        <v>6794419.8468107171</v>
      </c>
      <c r="S276" s="108"/>
      <c r="T276" s="108"/>
      <c r="U276" s="108">
        <f ca="1">U407+U386+U380</f>
        <v>6794419.8468107171</v>
      </c>
      <c r="V276" s="108">
        <f t="shared" ca="1" si="203"/>
        <v>7121156.7677385807</v>
      </c>
      <c r="W276" s="108">
        <f t="shared" ca="1" si="203"/>
        <v>7212686.2795665301</v>
      </c>
      <c r="X276" s="108">
        <f t="shared" ca="1" si="203"/>
        <v>7200943.864144478</v>
      </c>
      <c r="Y276" s="108">
        <f t="shared" ca="1" si="203"/>
        <v>7613017.0737224277</v>
      </c>
      <c r="Z276" s="108">
        <f t="shared" si="203"/>
        <v>7909934.0333003756</v>
      </c>
    </row>
    <row r="277" spans="1:26" ht="15.75" customHeight="1">
      <c r="A277" s="75">
        <v>11</v>
      </c>
      <c r="B277" s="75">
        <v>11</v>
      </c>
      <c r="C277" s="76"/>
      <c r="D277" s="516" t="s">
        <v>200</v>
      </c>
      <c r="E277" s="110"/>
      <c r="F277" s="515"/>
      <c r="G277" s="80"/>
      <c r="H277" s="80"/>
      <c r="I277" s="80"/>
      <c r="J277" s="108"/>
      <c r="K277" s="108">
        <f t="shared" ref="K277:P277" si="204">-K341</f>
        <v>-6812167.5028645024</v>
      </c>
      <c r="L277" s="108">
        <f t="shared" si="204"/>
        <v>-3016100.3048099112</v>
      </c>
      <c r="M277" s="108">
        <f t="shared" si="204"/>
        <v>-3653734.8084297571</v>
      </c>
      <c r="N277" s="108">
        <f>-N341</f>
        <v>-7938948.8934003934</v>
      </c>
      <c r="O277" s="108">
        <f>-O341</f>
        <v>-3490010.8979274519</v>
      </c>
      <c r="P277" s="108">
        <f t="shared" si="204"/>
        <v>825260.48862469196</v>
      </c>
      <c r="Q277" s="108">
        <f t="shared" ref="Q277:Z277" si="205">-Q341</f>
        <v>-2125314.0133153684</v>
      </c>
      <c r="R277" s="108">
        <f t="shared" si="205"/>
        <v>-4461748.4816807769</v>
      </c>
      <c r="S277" s="108"/>
      <c r="T277" s="108"/>
      <c r="U277" s="108">
        <f>-U341</f>
        <v>2830769.7478881292</v>
      </c>
      <c r="V277" s="108">
        <f t="shared" si="205"/>
        <v>1166610.1266988143</v>
      </c>
      <c r="W277" s="108">
        <f t="shared" si="205"/>
        <v>1551.0706702135503</v>
      </c>
      <c r="X277" s="108">
        <f t="shared" si="205"/>
        <v>1645.334089204669</v>
      </c>
      <c r="Y277" s="108">
        <f t="shared" si="205"/>
        <v>1745.4263762310147</v>
      </c>
      <c r="Z277" s="108">
        <f t="shared" si="205"/>
        <v>1851.7124016806483</v>
      </c>
    </row>
    <row r="278" spans="1:26" ht="15.75" customHeight="1">
      <c r="A278" s="75">
        <v>12</v>
      </c>
      <c r="B278" s="75">
        <v>12</v>
      </c>
      <c r="C278" s="76"/>
      <c r="D278" s="516" t="s">
        <v>201</v>
      </c>
      <c r="E278" s="110"/>
      <c r="F278" s="110"/>
      <c r="G278" s="110"/>
      <c r="H278" s="110"/>
      <c r="I278" s="110"/>
      <c r="J278" s="108"/>
      <c r="K278" s="108">
        <f t="shared" ref="K278:P278" si="206">-K356</f>
        <v>60470.976693872362</v>
      </c>
      <c r="L278" s="108">
        <f t="shared" si="206"/>
        <v>-2966361.9777897922</v>
      </c>
      <c r="M278" s="108">
        <f t="shared" si="206"/>
        <v>808307.29685443465</v>
      </c>
      <c r="N278" s="108">
        <f>-N356</f>
        <v>61866.705862502102</v>
      </c>
      <c r="O278" s="108">
        <f t="shared" si="206"/>
        <v>-122341.64835263824</v>
      </c>
      <c r="P278" s="108">
        <f t="shared" si="206"/>
        <v>153241.52931786946</v>
      </c>
      <c r="Q278" s="108">
        <f t="shared" ref="Q278:Z278" si="207">-Q356</f>
        <v>-607599.87299461709</v>
      </c>
      <c r="R278" s="108">
        <f t="shared" si="207"/>
        <v>-1025967.9502833498</v>
      </c>
      <c r="S278" s="108"/>
      <c r="T278" s="108"/>
      <c r="U278" s="108">
        <f>-U356</f>
        <v>694076.73714324145</v>
      </c>
      <c r="V278" s="108">
        <f t="shared" si="207"/>
        <v>310745.56479181116</v>
      </c>
      <c r="W278" s="108">
        <f t="shared" si="207"/>
        <v>38252.404533434659</v>
      </c>
      <c r="X278" s="108">
        <f t="shared" si="207"/>
        <v>40725.907099522767</v>
      </c>
      <c r="Y278" s="108">
        <f t="shared" si="207"/>
        <v>43358.950087948353</v>
      </c>
      <c r="Z278" s="108">
        <f t="shared" si="207"/>
        <v>46161.807056504069</v>
      </c>
    </row>
    <row r="279" spans="1:26" ht="15.75" customHeight="1">
      <c r="C279" s="76"/>
      <c r="D279" s="483" t="s">
        <v>202</v>
      </c>
      <c r="E279" s="110"/>
      <c r="F279" s="515"/>
      <c r="G279" s="80"/>
      <c r="H279" s="80"/>
      <c r="I279" s="80"/>
      <c r="J279" s="80"/>
      <c r="K279" s="108">
        <f t="shared" ref="K279:P279" ca="1" si="208">SUM(K274:K278)</f>
        <v>22604784.478244364</v>
      </c>
      <c r="L279" s="108">
        <f t="shared" ca="1" si="208"/>
        <v>92399413.018878415</v>
      </c>
      <c r="M279" s="108">
        <f ca="1">SUM(M274:M278)</f>
        <v>66024193.033024885</v>
      </c>
      <c r="N279" s="108">
        <f ca="1">SUM(N274:N278)</f>
        <v>42405297.663636066</v>
      </c>
      <c r="O279" s="108">
        <f ca="1">SUM(O274:O278)</f>
        <v>65877141.965945333</v>
      </c>
      <c r="P279" s="108">
        <f t="shared" ca="1" si="208"/>
        <v>66137159.416237265</v>
      </c>
      <c r="Q279" s="108">
        <f t="shared" ref="Q279:Z279" ca="1" si="209">SUM(Q274:Q278)</f>
        <v>56352658.815393925</v>
      </c>
      <c r="R279" s="108">
        <f t="shared" ca="1" si="209"/>
        <v>70371070.534487635</v>
      </c>
      <c r="S279" s="108"/>
      <c r="T279" s="108"/>
      <c r="U279" s="108">
        <f ca="1">SUM(U274:U278)</f>
        <v>51772380.283944376</v>
      </c>
      <c r="V279" s="108">
        <f t="shared" ca="1" si="209"/>
        <v>71935561.856447294</v>
      </c>
      <c r="W279" s="108">
        <f t="shared" ca="1" si="209"/>
        <v>70064975.806309223</v>
      </c>
      <c r="X279" s="108">
        <f t="shared" ca="1" si="209"/>
        <v>69608037.816180512</v>
      </c>
      <c r="Y279" s="108">
        <f t="shared" ca="1" si="209"/>
        <v>69123149.487841889</v>
      </c>
      <c r="Z279" s="108">
        <f t="shared" si="209"/>
        <v>68608574.479293808</v>
      </c>
    </row>
    <row r="280" spans="1:26" ht="15.75" customHeight="1">
      <c r="A280" s="75">
        <v>13</v>
      </c>
      <c r="B280" s="75">
        <v>13</v>
      </c>
      <c r="C280" s="76"/>
      <c r="D280" s="516" t="s">
        <v>203</v>
      </c>
      <c r="E280" s="110"/>
      <c r="F280" s="110"/>
      <c r="G280" s="110"/>
      <c r="H280" s="110"/>
      <c r="I280" s="110"/>
      <c r="J280" s="108"/>
      <c r="K280" s="108">
        <f t="shared" ref="K280:O281" si="210">K174</f>
        <v>-235867.85441031805</v>
      </c>
      <c r="L280" s="108">
        <f t="shared" si="210"/>
        <v>-2070900</v>
      </c>
      <c r="M280" s="108">
        <f t="shared" si="210"/>
        <v>-1009036.8537399999</v>
      </c>
      <c r="N280" s="108">
        <f t="shared" ca="1" si="210"/>
        <v>-758775.44696918479</v>
      </c>
      <c r="O280" s="108">
        <f t="shared" ca="1" si="210"/>
        <v>-424915.49627322552</v>
      </c>
      <c r="P280" s="108">
        <f t="shared" ref="P280:R281" ca="1" si="211">P174</f>
        <v>-133502.60117404076</v>
      </c>
      <c r="Q280" s="108">
        <f t="shared" ca="1" si="211"/>
        <v>-466933.348</v>
      </c>
      <c r="R280" s="108">
        <f t="shared" ca="1" si="211"/>
        <v>-869266.69757142873</v>
      </c>
      <c r="S280" s="108"/>
      <c r="T280" s="108"/>
      <c r="U280" s="108">
        <f>U174</f>
        <v>-869266.69757142873</v>
      </c>
      <c r="V280" s="108">
        <f t="shared" ref="V280:X281" ca="1" si="212">V174</f>
        <v>-678219.07852380956</v>
      </c>
      <c r="W280" s="108">
        <f t="shared" ca="1" si="212"/>
        <v>-410752.41185714293</v>
      </c>
      <c r="X280" s="108">
        <f t="shared" ca="1" si="212"/>
        <v>-148061.93566666672</v>
      </c>
      <c r="Y280" s="108">
        <f ca="1">Y174</f>
        <v>-3.0904761930927636E-2</v>
      </c>
      <c r="Z280" s="108">
        <f ca="1">Z174</f>
        <v>-3.0904761930927636E-2</v>
      </c>
    </row>
    <row r="281" spans="1:26" ht="15.75" customHeight="1">
      <c r="A281" s="75">
        <v>14</v>
      </c>
      <c r="B281" s="75">
        <v>14</v>
      </c>
      <c r="C281" s="76"/>
      <c r="D281" s="516" t="s">
        <v>187</v>
      </c>
      <c r="E281" s="110"/>
      <c r="F281" s="110"/>
      <c r="G281" s="110"/>
      <c r="H281" s="110"/>
      <c r="I281" s="110"/>
      <c r="J281" s="108"/>
      <c r="K281" s="108">
        <f t="shared" si="210"/>
        <v>12557.87126221343</v>
      </c>
      <c r="L281" s="108">
        <f t="shared" ca="1" si="210"/>
        <v>0</v>
      </c>
      <c r="M281" s="108">
        <f t="shared" ca="1" si="210"/>
        <v>0</v>
      </c>
      <c r="N281" s="108">
        <f t="shared" ca="1" si="210"/>
        <v>0</v>
      </c>
      <c r="O281" s="108">
        <f t="shared" ca="1" si="210"/>
        <v>0</v>
      </c>
      <c r="P281" s="108">
        <f t="shared" ca="1" si="211"/>
        <v>0</v>
      </c>
      <c r="Q281" s="108">
        <f t="shared" ca="1" si="211"/>
        <v>0</v>
      </c>
      <c r="R281" s="108">
        <f t="shared" ca="1" si="211"/>
        <v>0</v>
      </c>
      <c r="S281" s="108"/>
      <c r="T281" s="108"/>
      <c r="U281" s="108">
        <f>U175</f>
        <v>0</v>
      </c>
      <c r="V281" s="108">
        <f t="shared" ca="1" si="212"/>
        <v>0</v>
      </c>
      <c r="W281" s="108">
        <f t="shared" ca="1" si="212"/>
        <v>0</v>
      </c>
      <c r="X281" s="108">
        <f t="shared" ca="1" si="212"/>
        <v>0</v>
      </c>
      <c r="Y281" s="108">
        <f ca="1">Y175</f>
        <v>0</v>
      </c>
      <c r="Z281" s="108">
        <f ca="1">Z175</f>
        <v>0</v>
      </c>
    </row>
    <row r="282" spans="1:26" ht="15.75" customHeight="1">
      <c r="A282" s="75">
        <v>15</v>
      </c>
      <c r="B282" s="75">
        <v>15</v>
      </c>
      <c r="C282" s="76"/>
      <c r="D282" s="516" t="s">
        <v>1984</v>
      </c>
      <c r="E282" s="163"/>
      <c r="F282" s="524"/>
      <c r="G282" s="525"/>
      <c r="H282" s="525"/>
      <c r="I282" s="525"/>
      <c r="J282" s="108"/>
      <c r="K282" s="108">
        <f t="shared" ref="K282:P282" si="213">K179</f>
        <v>0</v>
      </c>
      <c r="L282" s="108">
        <f t="shared" ca="1" si="213"/>
        <v>0</v>
      </c>
      <c r="M282" s="108">
        <f t="shared" si="213"/>
        <v>-169225</v>
      </c>
      <c r="N282" s="108">
        <f>N179+N176</f>
        <v>-322325</v>
      </c>
      <c r="O282" s="108">
        <f t="shared" ca="1" si="213"/>
        <v>0</v>
      </c>
      <c r="P282" s="108">
        <f t="shared" si="213"/>
        <v>-102300.00000000001</v>
      </c>
      <c r="Q282" s="108">
        <f ca="1">Q179+Q176</f>
        <v>-4449458.6519999998</v>
      </c>
      <c r="R282" s="108">
        <f t="shared" ref="R282:Z282" ca="1" si="214">R179</f>
        <v>-281799.60606450529</v>
      </c>
      <c r="S282" s="108"/>
      <c r="T282" s="108"/>
      <c r="U282" s="108">
        <f ca="1">U179</f>
        <v>-167702.8422588511</v>
      </c>
      <c r="V282" s="108">
        <f t="shared" ca="1" si="214"/>
        <v>-258922.32126630042</v>
      </c>
      <c r="W282" s="108">
        <f t="shared" ca="1" si="214"/>
        <v>-257859.93199760254</v>
      </c>
      <c r="X282" s="108">
        <f t="shared" ca="1" si="214"/>
        <v>-257095.1635613527</v>
      </c>
      <c r="Y282" s="108">
        <f t="shared" ca="1" si="214"/>
        <v>-253989.22461943663</v>
      </c>
      <c r="Z282" s="108">
        <f t="shared" ca="1" si="214"/>
        <v>-250623.91082311221</v>
      </c>
    </row>
    <row r="283" spans="1:26" ht="15.75" customHeight="1">
      <c r="C283" s="76"/>
      <c r="D283" s="95" t="s">
        <v>205</v>
      </c>
      <c r="E283" s="110"/>
      <c r="F283" s="110"/>
      <c r="G283" s="110"/>
      <c r="H283" s="110"/>
      <c r="I283" s="110"/>
      <c r="J283" s="108"/>
      <c r="K283" s="108">
        <f t="shared" ref="K283:P283" ca="1" si="215">SUM(K279:K282)</f>
        <v>22381474.495096263</v>
      </c>
      <c r="L283" s="108">
        <f t="shared" ca="1" si="215"/>
        <v>90328513.018878415</v>
      </c>
      <c r="M283" s="108">
        <f ca="1">SUM(M279:M282)</f>
        <v>64845931.179284886</v>
      </c>
      <c r="N283" s="108">
        <f t="shared" ca="1" si="215"/>
        <v>41324197.216666885</v>
      </c>
      <c r="O283" s="108">
        <f ca="1">SUM(O279:O282)</f>
        <v>65452226.469672106</v>
      </c>
      <c r="P283" s="108">
        <f t="shared" ca="1" si="215"/>
        <v>65901356.815063223</v>
      </c>
      <c r="Q283" s="108">
        <f t="shared" ref="Q283:Z283" ca="1" si="216">SUM(Q279:Q282)</f>
        <v>51436266.815393925</v>
      </c>
      <c r="R283" s="108">
        <f t="shared" ca="1" si="216"/>
        <v>69220004.23085171</v>
      </c>
      <c r="S283" s="108"/>
      <c r="T283" s="108"/>
      <c r="U283" s="108">
        <f ca="1">SUM(U279:U282)</f>
        <v>50735410.744114101</v>
      </c>
      <c r="V283" s="108">
        <f t="shared" ca="1" si="216"/>
        <v>70998420.456657186</v>
      </c>
      <c r="W283" s="108">
        <f t="shared" ca="1" si="216"/>
        <v>69396363.462454483</v>
      </c>
      <c r="X283" s="108">
        <f t="shared" ca="1" si="216"/>
        <v>69202880.716952488</v>
      </c>
      <c r="Y283" s="108">
        <f t="shared" ca="1" si="216"/>
        <v>68869160.232317701</v>
      </c>
      <c r="Z283" s="108">
        <f t="shared" ca="1" si="216"/>
        <v>68357950.537565947</v>
      </c>
    </row>
    <row r="284" spans="1:26" ht="9" customHeight="1">
      <c r="C284" s="76"/>
      <c r="D284" s="110"/>
      <c r="E284" s="110"/>
      <c r="F284" s="110"/>
      <c r="G284" s="110"/>
      <c r="H284" s="110"/>
      <c r="I284" s="110"/>
      <c r="J284" s="110"/>
      <c r="K284" s="110"/>
      <c r="L284" s="110"/>
      <c r="M284" s="110"/>
      <c r="N284" s="110"/>
      <c r="O284" s="110"/>
      <c r="P284" s="110"/>
      <c r="Q284" s="110"/>
      <c r="R284" s="110"/>
      <c r="S284" s="110"/>
      <c r="T284" s="110"/>
      <c r="U284" s="110"/>
      <c r="V284" s="110"/>
      <c r="W284" s="110"/>
      <c r="X284" s="110"/>
      <c r="Y284" s="110"/>
      <c r="Z284" s="110"/>
    </row>
    <row r="285" spans="1:26" ht="15.75" customHeight="1">
      <c r="C285" s="76"/>
      <c r="D285" s="483" t="s">
        <v>206</v>
      </c>
      <c r="E285" s="100"/>
      <c r="F285" s="100"/>
      <c r="G285" s="100"/>
      <c r="H285" s="100"/>
      <c r="I285" s="100"/>
      <c r="J285" s="108"/>
      <c r="K285" s="108"/>
      <c r="L285" s="108"/>
      <c r="M285" s="108"/>
      <c r="N285" s="108"/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  <c r="Y285" s="108"/>
      <c r="Z285" s="108"/>
    </row>
    <row r="286" spans="1:26" ht="15.75" customHeight="1">
      <c r="A286" s="75">
        <v>16</v>
      </c>
      <c r="B286" s="75">
        <v>16</v>
      </c>
      <c r="C286" s="76"/>
      <c r="D286" s="516" t="s">
        <v>207</v>
      </c>
      <c r="E286" s="100"/>
      <c r="F286" s="100"/>
      <c r="G286" s="100"/>
      <c r="H286" s="100"/>
      <c r="I286" s="100"/>
      <c r="J286" s="108"/>
      <c r="K286" s="108">
        <f t="shared" ref="K286:V286" si="217">-K369</f>
        <v>-1986449.1640000001</v>
      </c>
      <c r="L286" s="108">
        <f t="shared" si="217"/>
        <v>-6781050</v>
      </c>
      <c r="M286" s="108">
        <f t="shared" si="217"/>
        <v>-3638800.0000000005</v>
      </c>
      <c r="N286" s="108">
        <f t="shared" si="217"/>
        <v>-1722600.0000000002</v>
      </c>
      <c r="O286" s="108">
        <f t="shared" si="217"/>
        <v>-2036100.0000000002</v>
      </c>
      <c r="P286" s="108">
        <f t="shared" si="217"/>
        <v>-3722400.0000000005</v>
      </c>
      <c r="Q286" s="108">
        <f t="shared" si="217"/>
        <v>-6338850</v>
      </c>
      <c r="R286" s="108">
        <f t="shared" si="217"/>
        <v>-7362600</v>
      </c>
      <c r="S286" s="108">
        <f>U286/2</f>
        <v>-3681300</v>
      </c>
      <c r="T286" s="108">
        <f>U286/2</f>
        <v>-3681300</v>
      </c>
      <c r="U286" s="108">
        <f>-U369</f>
        <v>-7362600</v>
      </c>
      <c r="V286" s="108">
        <f t="shared" si="217"/>
        <v>-5115985.6766235903</v>
      </c>
      <c r="W286" s="108">
        <f>-W369</f>
        <v>-5115985.6766235903</v>
      </c>
      <c r="X286" s="108">
        <f>-X369</f>
        <v>-5115985.6766235903</v>
      </c>
      <c r="Y286" s="108">
        <f>-Y369</f>
        <v>-5115985.6766235903</v>
      </c>
      <c r="Z286" s="108">
        <f>-Z369</f>
        <v>-5115985.6766235903</v>
      </c>
    </row>
    <row r="287" spans="1:26" ht="15.75" hidden="1" customHeight="1" outlineLevel="1">
      <c r="C287" s="76"/>
      <c r="D287" s="516" t="s">
        <v>711</v>
      </c>
      <c r="E287" s="100"/>
      <c r="F287" s="100"/>
      <c r="G287" s="100"/>
      <c r="H287" s="100"/>
      <c r="I287" s="100"/>
      <c r="J287" s="108"/>
      <c r="K287" s="108">
        <f t="shared" ref="K287:P287" si="218">-K375</f>
        <v>0</v>
      </c>
      <c r="L287" s="108">
        <f t="shared" si="218"/>
        <v>0</v>
      </c>
      <c r="M287" s="108">
        <f t="shared" si="218"/>
        <v>0</v>
      </c>
      <c r="N287" s="108">
        <f t="shared" si="218"/>
        <v>0</v>
      </c>
      <c r="O287" s="108">
        <f t="shared" si="218"/>
        <v>0</v>
      </c>
      <c r="P287" s="108">
        <f t="shared" si="218"/>
        <v>0</v>
      </c>
      <c r="Q287" s="108">
        <f t="shared" ref="Q287:Z287" si="219">-Q375</f>
        <v>0</v>
      </c>
      <c r="R287" s="108">
        <f t="shared" si="219"/>
        <v>0</v>
      </c>
      <c r="S287" s="108"/>
      <c r="T287" s="108"/>
      <c r="U287" s="108">
        <f>-U375</f>
        <v>0</v>
      </c>
      <c r="V287" s="108">
        <f t="shared" si="219"/>
        <v>0</v>
      </c>
      <c r="W287" s="108">
        <f t="shared" si="219"/>
        <v>0</v>
      </c>
      <c r="X287" s="108">
        <f t="shared" si="219"/>
        <v>0</v>
      </c>
      <c r="Y287" s="108">
        <f t="shared" si="219"/>
        <v>0</v>
      </c>
      <c r="Z287" s="108">
        <f t="shared" si="219"/>
        <v>0</v>
      </c>
    </row>
    <row r="288" spans="1:26" ht="15.75" hidden="1" customHeight="1" outlineLevel="1">
      <c r="C288" s="76"/>
      <c r="D288" s="516" t="s">
        <v>209</v>
      </c>
      <c r="E288" s="110"/>
      <c r="F288" s="110"/>
      <c r="G288" s="110"/>
      <c r="H288" s="110"/>
      <c r="I288" s="110"/>
      <c r="J288" s="79"/>
      <c r="K288" s="79">
        <v>0</v>
      </c>
      <c r="L288" s="79">
        <f t="shared" ref="L288:N289" si="220">K288</f>
        <v>0</v>
      </c>
      <c r="M288" s="79">
        <f t="shared" si="220"/>
        <v>0</v>
      </c>
      <c r="N288" s="79">
        <f t="shared" si="220"/>
        <v>0</v>
      </c>
      <c r="O288" s="79">
        <f>N288</f>
        <v>0</v>
      </c>
      <c r="P288" s="79">
        <f t="shared" ref="P288:X289" si="221">O288</f>
        <v>0</v>
      </c>
      <c r="Q288" s="79">
        <f t="shared" si="221"/>
        <v>0</v>
      </c>
      <c r="R288" s="79">
        <f t="shared" si="221"/>
        <v>0</v>
      </c>
      <c r="S288" s="79"/>
      <c r="T288" s="79"/>
      <c r="U288" s="79">
        <f t="shared" si="221"/>
        <v>0</v>
      </c>
      <c r="V288" s="79">
        <f>R288</f>
        <v>0</v>
      </c>
      <c r="W288" s="79">
        <f t="shared" si="221"/>
        <v>0</v>
      </c>
      <c r="X288" s="79">
        <f t="shared" si="221"/>
        <v>0</v>
      </c>
      <c r="Y288" s="79">
        <f>X288</f>
        <v>0</v>
      </c>
      <c r="Z288" s="79">
        <f>Y288</f>
        <v>0</v>
      </c>
    </row>
    <row r="289" spans="1:26" ht="15.75" hidden="1" customHeight="1" outlineLevel="1">
      <c r="C289" s="76"/>
      <c r="D289" s="516" t="s">
        <v>210</v>
      </c>
      <c r="E289" s="110"/>
      <c r="F289" s="110"/>
      <c r="G289" s="110"/>
      <c r="H289" s="110"/>
      <c r="I289" s="110"/>
      <c r="J289" s="79"/>
      <c r="K289" s="79">
        <v>0</v>
      </c>
      <c r="L289" s="79">
        <f t="shared" si="220"/>
        <v>0</v>
      </c>
      <c r="M289" s="79">
        <f t="shared" si="220"/>
        <v>0</v>
      </c>
      <c r="N289" s="79">
        <f t="shared" si="220"/>
        <v>0</v>
      </c>
      <c r="O289" s="79">
        <f>N289</f>
        <v>0</v>
      </c>
      <c r="P289" s="79">
        <f t="shared" si="221"/>
        <v>0</v>
      </c>
      <c r="Q289" s="79">
        <f t="shared" si="221"/>
        <v>0</v>
      </c>
      <c r="R289" s="79">
        <f t="shared" si="221"/>
        <v>0</v>
      </c>
      <c r="S289" s="79"/>
      <c r="T289" s="79"/>
      <c r="U289" s="79">
        <f t="shared" si="221"/>
        <v>0</v>
      </c>
      <c r="V289" s="79">
        <f>R289</f>
        <v>0</v>
      </c>
      <c r="W289" s="79">
        <f t="shared" si="221"/>
        <v>0</v>
      </c>
      <c r="X289" s="79">
        <f t="shared" si="221"/>
        <v>0</v>
      </c>
      <c r="Y289" s="79">
        <f>X289</f>
        <v>0</v>
      </c>
      <c r="Z289" s="79">
        <f>Y289</f>
        <v>0</v>
      </c>
    </row>
    <row r="290" spans="1:26" ht="15.75" customHeight="1" collapsed="1">
      <c r="C290" s="76"/>
      <c r="D290" s="95" t="s">
        <v>211</v>
      </c>
      <c r="E290" s="110"/>
      <c r="F290" s="110"/>
      <c r="G290" s="110"/>
      <c r="H290" s="110"/>
      <c r="I290" s="110"/>
      <c r="J290" s="108"/>
      <c r="K290" s="108">
        <f t="shared" ref="K290:P290" si="222">SUM(K286:K289)</f>
        <v>-1986449.1640000001</v>
      </c>
      <c r="L290" s="108">
        <f t="shared" si="222"/>
        <v>-6781050</v>
      </c>
      <c r="M290" s="108">
        <f t="shared" si="222"/>
        <v>-3638800.0000000005</v>
      </c>
      <c r="N290" s="108">
        <f t="shared" si="222"/>
        <v>-1722600.0000000002</v>
      </c>
      <c r="O290" s="108">
        <f t="shared" si="222"/>
        <v>-2036100.0000000002</v>
      </c>
      <c r="P290" s="108">
        <f t="shared" si="222"/>
        <v>-3722400.0000000005</v>
      </c>
      <c r="Q290" s="108">
        <f t="shared" ref="Q290:Z290" si="223">SUM(Q286:Q289)</f>
        <v>-6338850</v>
      </c>
      <c r="R290" s="108">
        <f t="shared" si="223"/>
        <v>-7362600</v>
      </c>
      <c r="S290" s="108"/>
      <c r="T290" s="108"/>
      <c r="U290" s="108">
        <f>SUM(U286:U289)</f>
        <v>-7362600</v>
      </c>
      <c r="V290" s="108">
        <f t="shared" si="223"/>
        <v>-5115985.6766235903</v>
      </c>
      <c r="W290" s="108">
        <f t="shared" si="223"/>
        <v>-5115985.6766235903</v>
      </c>
      <c r="X290" s="108">
        <f t="shared" si="223"/>
        <v>-5115985.6766235903</v>
      </c>
      <c r="Y290" s="108">
        <f t="shared" si="223"/>
        <v>-5115985.6766235903</v>
      </c>
      <c r="Z290" s="108">
        <f t="shared" si="223"/>
        <v>-5115985.6766235903</v>
      </c>
    </row>
    <row r="291" spans="1:26" ht="7.5" customHeight="1">
      <c r="C291" s="76"/>
      <c r="D291" s="110"/>
      <c r="E291" s="110"/>
      <c r="F291" s="110"/>
      <c r="G291" s="110"/>
      <c r="H291" s="110"/>
      <c r="I291" s="110"/>
      <c r="J291" s="108"/>
      <c r="K291" s="108"/>
      <c r="L291" s="108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</row>
    <row r="292" spans="1:26" ht="15.75" customHeight="1">
      <c r="C292" s="76"/>
      <c r="D292" s="95" t="s">
        <v>212</v>
      </c>
      <c r="E292" s="110"/>
      <c r="F292" s="110"/>
      <c r="G292" s="110"/>
      <c r="H292" s="110"/>
      <c r="I292" s="110"/>
      <c r="J292" s="108"/>
      <c r="K292" s="108">
        <f t="shared" ref="K292:P292" ca="1" si="224">SUM(K290,K283)</f>
        <v>20395025.331096262</v>
      </c>
      <c r="L292" s="108">
        <f t="shared" ca="1" si="224"/>
        <v>83547463.018878415</v>
      </c>
      <c r="M292" s="108">
        <f t="shared" ca="1" si="224"/>
        <v>61207131.179284886</v>
      </c>
      <c r="N292" s="108">
        <f t="shared" ca="1" si="224"/>
        <v>39601597.216666885</v>
      </c>
      <c r="O292" s="108">
        <f ca="1">SUM(O290,O283)</f>
        <v>63416126.469672106</v>
      </c>
      <c r="P292" s="108">
        <f t="shared" ca="1" si="224"/>
        <v>62178956.815063223</v>
      </c>
      <c r="Q292" s="108">
        <f t="shared" ref="Q292:Z292" ca="1" si="225">SUM(Q290,Q283)</f>
        <v>45097416.815393925</v>
      </c>
      <c r="R292" s="108">
        <f t="shared" ca="1" si="225"/>
        <v>61857404.23085171</v>
      </c>
      <c r="S292" s="108"/>
      <c r="T292" s="108"/>
      <c r="U292" s="108">
        <f ca="1">SUM(U290,U283)</f>
        <v>43372810.744114101</v>
      </c>
      <c r="V292" s="108">
        <f t="shared" ca="1" si="225"/>
        <v>65882434.780033596</v>
      </c>
      <c r="W292" s="108">
        <f t="shared" ca="1" si="225"/>
        <v>64280377.785830893</v>
      </c>
      <c r="X292" s="108">
        <f t="shared" ca="1" si="225"/>
        <v>64086895.040328898</v>
      </c>
      <c r="Y292" s="108">
        <f t="shared" ca="1" si="225"/>
        <v>63753174.555694111</v>
      </c>
      <c r="Z292" s="108">
        <f t="shared" ca="1" si="225"/>
        <v>63241964.860942356</v>
      </c>
    </row>
    <row r="293" spans="1:26" ht="6" customHeight="1">
      <c r="C293" s="76"/>
      <c r="D293" s="95"/>
      <c r="E293" s="508"/>
      <c r="F293" s="508"/>
      <c r="G293" s="508"/>
      <c r="H293" s="508"/>
      <c r="I293" s="508"/>
      <c r="J293" s="108"/>
      <c r="K293" s="108"/>
      <c r="L293" s="108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  <c r="Y293" s="108"/>
      <c r="Z293" s="108"/>
    </row>
    <row r="294" spans="1:26" ht="15.75" hidden="1" customHeight="1" outlineLevel="1">
      <c r="C294" s="76"/>
      <c r="D294" s="110" t="s">
        <v>310</v>
      </c>
      <c r="E294" s="110"/>
      <c r="F294" s="110"/>
      <c r="G294" s="110"/>
      <c r="H294" s="110"/>
      <c r="I294" s="110"/>
      <c r="J294" s="108"/>
      <c r="K294" s="108">
        <f t="shared" ref="K294:P294" ca="1" si="226">IF(K292&lt;0,K292,0)</f>
        <v>0</v>
      </c>
      <c r="L294" s="108">
        <f t="shared" ca="1" si="226"/>
        <v>0</v>
      </c>
      <c r="M294" s="108">
        <f t="shared" ca="1" si="226"/>
        <v>0</v>
      </c>
      <c r="N294" s="108">
        <f t="shared" ca="1" si="226"/>
        <v>0</v>
      </c>
      <c r="O294" s="108">
        <f t="shared" ca="1" si="226"/>
        <v>0</v>
      </c>
      <c r="P294" s="108">
        <f t="shared" ca="1" si="226"/>
        <v>0</v>
      </c>
      <c r="Q294" s="108">
        <f t="shared" ref="Q294:Z294" ca="1" si="227">IF(Q292&lt;0,Q292,0)</f>
        <v>0</v>
      </c>
      <c r="R294" s="108">
        <f t="shared" ca="1" si="227"/>
        <v>0</v>
      </c>
      <c r="S294" s="108"/>
      <c r="T294" s="108"/>
      <c r="U294" s="108">
        <f ca="1">IF(U292&lt;0,U292,0)</f>
        <v>0</v>
      </c>
      <c r="V294" s="108">
        <f t="shared" ca="1" si="227"/>
        <v>0</v>
      </c>
      <c r="W294" s="108">
        <f t="shared" ca="1" si="227"/>
        <v>0</v>
      </c>
      <c r="X294" s="108">
        <f t="shared" ca="1" si="227"/>
        <v>0</v>
      </c>
      <c r="Y294" s="108">
        <f t="shared" ca="1" si="227"/>
        <v>0</v>
      </c>
      <c r="Z294" s="108">
        <f t="shared" ca="1" si="227"/>
        <v>0</v>
      </c>
    </row>
    <row r="295" spans="1:26" ht="15.75" hidden="1" customHeight="1" outlineLevel="1">
      <c r="C295" s="76"/>
      <c r="D295" s="110"/>
      <c r="E295" s="110"/>
      <c r="F295" s="110"/>
      <c r="G295" s="110"/>
      <c r="H295" s="110"/>
      <c r="I295" s="110"/>
      <c r="J295" s="110"/>
      <c r="K295" s="110"/>
      <c r="L295" s="110"/>
      <c r="M295" s="110"/>
      <c r="N295" s="110"/>
      <c r="O295" s="110"/>
      <c r="P295" s="110"/>
      <c r="Q295" s="110"/>
      <c r="R295" s="110"/>
      <c r="S295" s="110"/>
      <c r="T295" s="110"/>
      <c r="U295" s="110"/>
      <c r="V295" s="110"/>
      <c r="W295" s="110"/>
      <c r="X295" s="110"/>
      <c r="Y295" s="110"/>
      <c r="Z295" s="110"/>
    </row>
    <row r="296" spans="1:26" ht="15.75" customHeight="1" collapsed="1">
      <c r="C296" s="76"/>
      <c r="D296" s="483" t="s">
        <v>213</v>
      </c>
      <c r="E296" s="100"/>
      <c r="F296" s="114"/>
      <c r="G296" s="114"/>
      <c r="H296" s="114"/>
      <c r="I296" s="114"/>
      <c r="J296" s="108"/>
      <c r="K296" s="108"/>
      <c r="L296" s="108"/>
      <c r="M296" s="108"/>
      <c r="N296" s="108"/>
      <c r="O296" s="108"/>
      <c r="P296" s="108"/>
      <c r="Q296" s="108"/>
      <c r="R296" s="108"/>
      <c r="S296" s="108"/>
      <c r="T296" s="108"/>
      <c r="U296" s="108"/>
      <c r="V296" s="108"/>
      <c r="W296" s="108"/>
      <c r="X296" s="108"/>
      <c r="Y296" s="108"/>
      <c r="Z296" s="108"/>
    </row>
    <row r="297" spans="1:26" ht="15.75" customHeight="1">
      <c r="A297" s="75">
        <v>17</v>
      </c>
      <c r="B297" s="75">
        <v>17</v>
      </c>
      <c r="C297" s="76"/>
      <c r="D297" s="482" t="s">
        <v>214</v>
      </c>
      <c r="E297" s="110"/>
      <c r="F297" s="110"/>
      <c r="G297" s="110"/>
      <c r="H297" s="110"/>
      <c r="I297" s="110"/>
      <c r="J297" s="108"/>
      <c r="K297" s="108">
        <f t="shared" ref="K297:W297" si="228">K489</f>
        <v>4962500</v>
      </c>
      <c r="L297" s="108">
        <f t="shared" si="228"/>
        <v>12816221.156666666</v>
      </c>
      <c r="M297" s="108">
        <f t="shared" si="228"/>
        <v>-2424700</v>
      </c>
      <c r="N297" s="108">
        <f t="shared" si="228"/>
        <v>-4496800</v>
      </c>
      <c r="O297" s="108">
        <f t="shared" si="228"/>
        <v>-5198019.4385371739</v>
      </c>
      <c r="P297" s="108">
        <f t="shared" si="228"/>
        <v>-4626749.5375744198</v>
      </c>
      <c r="Q297" s="108">
        <f t="shared" si="228"/>
        <v>16676191</v>
      </c>
      <c r="R297" s="108">
        <f t="shared" si="228"/>
        <v>-3885714.2857142859</v>
      </c>
      <c r="S297" s="108"/>
      <c r="T297" s="108"/>
      <c r="U297" s="108">
        <f>U489</f>
        <v>-3885714.2857142859</v>
      </c>
      <c r="V297" s="108">
        <f t="shared" si="228"/>
        <v>-3885714.2857142859</v>
      </c>
      <c r="W297" s="108">
        <f t="shared" si="228"/>
        <v>-3885714.2857142859</v>
      </c>
      <c r="X297" s="108">
        <f>X489</f>
        <v>-5019047.6190476194</v>
      </c>
      <c r="Y297" s="108">
        <f>Y489</f>
        <v>0</v>
      </c>
      <c r="Z297" s="108">
        <f>Z489</f>
        <v>0</v>
      </c>
    </row>
    <row r="298" spans="1:26" ht="15.75" customHeight="1">
      <c r="A298" s="75">
        <v>18</v>
      </c>
      <c r="B298" s="75">
        <v>18</v>
      </c>
      <c r="C298" s="76"/>
      <c r="D298" s="482" t="s">
        <v>215</v>
      </c>
      <c r="E298" s="110"/>
      <c r="F298" s="110"/>
      <c r="G298" s="110"/>
      <c r="H298" s="110"/>
      <c r="I298" s="110"/>
      <c r="J298" s="108"/>
      <c r="K298" s="108">
        <f t="shared" ref="K298:P298" ca="1" si="229">K495</f>
        <v>0</v>
      </c>
      <c r="L298" s="108">
        <f t="shared" si="229"/>
        <v>-370977</v>
      </c>
      <c r="M298" s="108">
        <f t="shared" ca="1" si="229"/>
        <v>-2778380</v>
      </c>
      <c r="N298" s="108">
        <f t="shared" ca="1" si="229"/>
        <v>0</v>
      </c>
      <c r="O298" s="108">
        <f t="shared" ca="1" si="229"/>
        <v>0</v>
      </c>
      <c r="P298" s="108">
        <f t="shared" ca="1" si="229"/>
        <v>0</v>
      </c>
      <c r="Q298" s="108">
        <f t="shared" ref="Q298:Z298" ca="1" si="230">Q495</f>
        <v>0</v>
      </c>
      <c r="R298" s="108">
        <f t="shared" ca="1" si="230"/>
        <v>0</v>
      </c>
      <c r="S298" s="108"/>
      <c r="T298" s="108"/>
      <c r="U298" s="108">
        <f ca="1">U495</f>
        <v>0</v>
      </c>
      <c r="V298" s="108">
        <f t="shared" ca="1" si="230"/>
        <v>0</v>
      </c>
      <c r="W298" s="108">
        <f t="shared" ca="1" si="230"/>
        <v>0</v>
      </c>
      <c r="X298" s="108">
        <f t="shared" ca="1" si="230"/>
        <v>0</v>
      </c>
      <c r="Y298" s="108">
        <f t="shared" ca="1" si="230"/>
        <v>0</v>
      </c>
      <c r="Z298" s="108">
        <f t="shared" ca="1" si="230"/>
        <v>0</v>
      </c>
    </row>
    <row r="299" spans="1:26" ht="15.75" hidden="1" customHeight="1" outlineLevel="1">
      <c r="A299" s="75">
        <v>19</v>
      </c>
      <c r="B299" s="75">
        <v>19</v>
      </c>
      <c r="C299" s="76"/>
      <c r="D299" s="482" t="s">
        <v>451</v>
      </c>
      <c r="E299" s="110"/>
      <c r="F299" s="110"/>
      <c r="G299" s="110"/>
      <c r="H299" s="110"/>
      <c r="I299" s="110"/>
      <c r="J299" s="108"/>
      <c r="K299" s="108">
        <f t="shared" ref="K299:M300" si="231">K424</f>
        <v>0</v>
      </c>
      <c r="L299" s="108">
        <f t="shared" si="231"/>
        <v>0</v>
      </c>
      <c r="M299" s="108">
        <f t="shared" si="231"/>
        <v>0</v>
      </c>
      <c r="N299" s="108">
        <f t="shared" ref="N299:P300" si="232">N424</f>
        <v>0</v>
      </c>
      <c r="O299" s="108">
        <f t="shared" si="232"/>
        <v>0</v>
      </c>
      <c r="P299" s="108">
        <f t="shared" si="232"/>
        <v>0</v>
      </c>
      <c r="Q299" s="108">
        <f t="shared" ref="Q299:V300" si="233">Q424</f>
        <v>0</v>
      </c>
      <c r="R299" s="108">
        <f t="shared" si="233"/>
        <v>0</v>
      </c>
      <c r="S299" s="108"/>
      <c r="T299" s="108"/>
      <c r="U299" s="108">
        <f>U424</f>
        <v>0</v>
      </c>
      <c r="V299" s="108">
        <f t="shared" si="233"/>
        <v>0</v>
      </c>
      <c r="W299" s="108">
        <f t="shared" ref="W299:Z300" si="234">W424</f>
        <v>0</v>
      </c>
      <c r="X299" s="108">
        <f t="shared" si="234"/>
        <v>0</v>
      </c>
      <c r="Y299" s="108">
        <f t="shared" si="234"/>
        <v>0</v>
      </c>
      <c r="Z299" s="108">
        <f t="shared" si="234"/>
        <v>0</v>
      </c>
    </row>
    <row r="300" spans="1:26" ht="15.75" hidden="1" customHeight="1" outlineLevel="1">
      <c r="A300" s="75">
        <v>20</v>
      </c>
      <c r="B300" s="75">
        <v>20</v>
      </c>
      <c r="C300" s="76"/>
      <c r="D300" s="482" t="s">
        <v>338</v>
      </c>
      <c r="E300" s="110"/>
      <c r="F300" s="110"/>
      <c r="G300" s="110"/>
      <c r="H300" s="110"/>
      <c r="I300" s="110"/>
      <c r="J300" s="108"/>
      <c r="K300" s="108">
        <f t="shared" si="231"/>
        <v>0</v>
      </c>
      <c r="L300" s="108">
        <f t="shared" si="231"/>
        <v>0</v>
      </c>
      <c r="M300" s="108">
        <f t="shared" si="231"/>
        <v>0</v>
      </c>
      <c r="N300" s="108">
        <f>N425</f>
        <v>0</v>
      </c>
      <c r="O300" s="108">
        <f t="shared" si="232"/>
        <v>0</v>
      </c>
      <c r="P300" s="108">
        <f t="shared" si="232"/>
        <v>0</v>
      </c>
      <c r="Q300" s="108">
        <f t="shared" si="233"/>
        <v>0</v>
      </c>
      <c r="R300" s="108">
        <f t="shared" si="233"/>
        <v>0</v>
      </c>
      <c r="S300" s="108"/>
      <c r="T300" s="108"/>
      <c r="U300" s="108">
        <f>U425</f>
        <v>0</v>
      </c>
      <c r="V300" s="108">
        <f t="shared" si="233"/>
        <v>0</v>
      </c>
      <c r="W300" s="108">
        <f t="shared" si="234"/>
        <v>0</v>
      </c>
      <c r="X300" s="108">
        <f t="shared" si="234"/>
        <v>0</v>
      </c>
      <c r="Y300" s="108">
        <f t="shared" si="234"/>
        <v>0</v>
      </c>
      <c r="Z300" s="108">
        <f t="shared" si="234"/>
        <v>0</v>
      </c>
    </row>
    <row r="301" spans="1:26" ht="15.75" hidden="1" customHeight="1" outlineLevel="1">
      <c r="A301" s="75">
        <v>21</v>
      </c>
      <c r="B301" s="75">
        <v>21</v>
      </c>
      <c r="C301" s="76"/>
      <c r="D301" s="482" t="s">
        <v>373</v>
      </c>
      <c r="E301" s="110"/>
      <c r="F301" s="110"/>
      <c r="G301" s="110"/>
      <c r="H301" s="110"/>
      <c r="I301" s="110"/>
      <c r="J301" s="108"/>
      <c r="K301" s="108">
        <f t="shared" ref="K301:P301" si="235">-K443</f>
        <v>0</v>
      </c>
      <c r="L301" s="108">
        <f t="shared" si="235"/>
        <v>0</v>
      </c>
      <c r="M301" s="108">
        <f t="shared" si="235"/>
        <v>0</v>
      </c>
      <c r="N301" s="108">
        <f t="shared" si="235"/>
        <v>0</v>
      </c>
      <c r="O301" s="108">
        <f t="shared" si="235"/>
        <v>0</v>
      </c>
      <c r="P301" s="108">
        <f t="shared" si="235"/>
        <v>0</v>
      </c>
      <c r="Q301" s="108">
        <f t="shared" ref="Q301:Z301" si="236">-Q443</f>
        <v>0</v>
      </c>
      <c r="R301" s="108">
        <f t="shared" si="236"/>
        <v>0</v>
      </c>
      <c r="S301" s="108"/>
      <c r="T301" s="108"/>
      <c r="U301" s="108">
        <f>-U443</f>
        <v>0</v>
      </c>
      <c r="V301" s="108">
        <f t="shared" si="236"/>
        <v>0</v>
      </c>
      <c r="W301" s="108">
        <f t="shared" si="236"/>
        <v>0</v>
      </c>
      <c r="X301" s="108">
        <f t="shared" si="236"/>
        <v>0</v>
      </c>
      <c r="Y301" s="108">
        <f t="shared" si="236"/>
        <v>0</v>
      </c>
      <c r="Z301" s="108">
        <f t="shared" si="236"/>
        <v>0</v>
      </c>
    </row>
    <row r="302" spans="1:26" ht="15.75" hidden="1" customHeight="1" outlineLevel="1">
      <c r="A302" s="75">
        <v>22</v>
      </c>
      <c r="B302" s="75">
        <v>22</v>
      </c>
      <c r="C302" s="76"/>
      <c r="D302" s="482" t="s">
        <v>374</v>
      </c>
      <c r="E302" s="110"/>
      <c r="F302" s="110"/>
      <c r="G302" s="110"/>
      <c r="H302" s="110"/>
      <c r="I302" s="110"/>
      <c r="J302" s="108"/>
      <c r="K302" s="108">
        <f t="shared" ref="K302:P302" si="237">K448</f>
        <v>0</v>
      </c>
      <c r="L302" s="108">
        <f t="shared" si="237"/>
        <v>0</v>
      </c>
      <c r="M302" s="108">
        <f t="shared" si="237"/>
        <v>0</v>
      </c>
      <c r="N302" s="108">
        <f t="shared" si="237"/>
        <v>0</v>
      </c>
      <c r="O302" s="108">
        <f t="shared" si="237"/>
        <v>0</v>
      </c>
      <c r="P302" s="108">
        <f t="shared" si="237"/>
        <v>0</v>
      </c>
      <c r="Q302" s="108">
        <f t="shared" ref="Q302:Z302" si="238">Q448</f>
        <v>0</v>
      </c>
      <c r="R302" s="108">
        <f t="shared" si="238"/>
        <v>0</v>
      </c>
      <c r="S302" s="108"/>
      <c r="T302" s="108"/>
      <c r="U302" s="108">
        <f>U448</f>
        <v>0</v>
      </c>
      <c r="V302" s="108">
        <f t="shared" si="238"/>
        <v>0</v>
      </c>
      <c r="W302" s="108">
        <f t="shared" si="238"/>
        <v>0</v>
      </c>
      <c r="X302" s="108">
        <f t="shared" si="238"/>
        <v>0</v>
      </c>
      <c r="Y302" s="108">
        <f t="shared" si="238"/>
        <v>0</v>
      </c>
      <c r="Z302" s="108">
        <f t="shared" si="238"/>
        <v>0</v>
      </c>
    </row>
    <row r="303" spans="1:26" ht="15.75" customHeight="1" collapsed="1">
      <c r="A303" s="75">
        <v>23</v>
      </c>
      <c r="B303" s="75">
        <v>23</v>
      </c>
      <c r="C303" s="76"/>
      <c r="D303" s="482" t="s">
        <v>216</v>
      </c>
      <c r="E303" s="110"/>
      <c r="F303" s="110"/>
      <c r="G303" s="110"/>
      <c r="H303" s="110"/>
      <c r="I303" s="110"/>
      <c r="J303" s="108"/>
      <c r="K303" s="108">
        <f t="shared" ref="K303:P303" si="239">K427</f>
        <v>0</v>
      </c>
      <c r="L303" s="108">
        <f ca="1">L427</f>
        <v>-10394248.834997468</v>
      </c>
      <c r="M303" s="108">
        <f>M427</f>
        <v>-7522000</v>
      </c>
      <c r="N303" s="108">
        <f>N427</f>
        <v>0</v>
      </c>
      <c r="O303" s="108">
        <f t="shared" si="239"/>
        <v>0</v>
      </c>
      <c r="P303" s="108">
        <f t="shared" si="239"/>
        <v>0</v>
      </c>
      <c r="Q303" s="108">
        <f t="shared" ref="Q303:Z303" si="240">Q427</f>
        <v>0</v>
      </c>
      <c r="R303" s="108">
        <f t="shared" si="240"/>
        <v>0</v>
      </c>
      <c r="S303" s="108"/>
      <c r="T303" s="108"/>
      <c r="U303" s="108">
        <f>U427</f>
        <v>0</v>
      </c>
      <c r="V303" s="108">
        <f t="shared" si="240"/>
        <v>0</v>
      </c>
      <c r="W303" s="108">
        <f t="shared" si="240"/>
        <v>0</v>
      </c>
      <c r="X303" s="108">
        <f t="shared" si="240"/>
        <v>0</v>
      </c>
      <c r="Y303" s="108">
        <f t="shared" si="240"/>
        <v>0</v>
      </c>
      <c r="Z303" s="108">
        <f t="shared" si="240"/>
        <v>0</v>
      </c>
    </row>
    <row r="304" spans="1:26" ht="15.75" customHeight="1">
      <c r="C304" s="76"/>
      <c r="D304" s="95" t="s">
        <v>217</v>
      </c>
      <c r="E304" s="110"/>
      <c r="F304" s="83"/>
      <c r="G304" s="83"/>
      <c r="H304" s="83"/>
      <c r="I304" s="83"/>
      <c r="J304" s="108"/>
      <c r="K304" s="108">
        <f t="shared" ref="K304:V304" ca="1" si="241">SUM(K297:K303)</f>
        <v>4962500</v>
      </c>
      <c r="L304" s="108">
        <f t="shared" ca="1" si="241"/>
        <v>2050995.3216691986</v>
      </c>
      <c r="M304" s="108">
        <f t="shared" ca="1" si="241"/>
        <v>-12725080</v>
      </c>
      <c r="N304" s="108">
        <f t="shared" ca="1" si="241"/>
        <v>-4496800</v>
      </c>
      <c r="O304" s="108">
        <f t="shared" ca="1" si="241"/>
        <v>-5198019.4385371739</v>
      </c>
      <c r="P304" s="108">
        <f t="shared" ca="1" si="241"/>
        <v>-4626749.5375744198</v>
      </c>
      <c r="Q304" s="108">
        <f t="shared" ca="1" si="241"/>
        <v>16676191</v>
      </c>
      <c r="R304" s="108">
        <f t="shared" ca="1" si="241"/>
        <v>-3885714.2857142859</v>
      </c>
      <c r="S304" s="108"/>
      <c r="T304" s="108"/>
      <c r="U304" s="108">
        <f ca="1">SUM(U297:U303)</f>
        <v>-3885714.2857142859</v>
      </c>
      <c r="V304" s="108">
        <f t="shared" ca="1" si="241"/>
        <v>-3885714.2857142859</v>
      </c>
      <c r="W304" s="108">
        <f ca="1">SUM(W297:W303)</f>
        <v>-3885714.2857142859</v>
      </c>
      <c r="X304" s="108">
        <f ca="1">SUM(X297:X303)</f>
        <v>-5019047.6190476194</v>
      </c>
      <c r="Y304" s="108">
        <f ca="1">SUM(Y297:Y303)</f>
        <v>0</v>
      </c>
      <c r="Z304" s="108">
        <f ca="1">SUM(Z297:Z303)</f>
        <v>0</v>
      </c>
    </row>
    <row r="305" spans="3:58" ht="7.5" customHeight="1">
      <c r="C305" s="76"/>
      <c r="D305" s="110"/>
      <c r="E305" s="110"/>
      <c r="F305" s="83"/>
      <c r="G305" s="83"/>
      <c r="H305" s="83"/>
      <c r="I305" s="83"/>
      <c r="J305" s="108"/>
      <c r="K305" s="108"/>
      <c r="L305" s="108"/>
      <c r="M305" s="108"/>
      <c r="N305" s="108"/>
      <c r="O305" s="108"/>
      <c r="P305" s="108"/>
      <c r="Q305" s="108"/>
      <c r="R305" s="108"/>
      <c r="S305" s="108"/>
      <c r="T305" s="108"/>
      <c r="U305" s="108"/>
      <c r="V305" s="108"/>
      <c r="W305" s="108"/>
      <c r="X305" s="108"/>
      <c r="Y305" s="108"/>
      <c r="Z305" s="108"/>
    </row>
    <row r="306" spans="3:58" ht="15.75" customHeight="1">
      <c r="C306" s="76"/>
      <c r="D306" s="95" t="s">
        <v>219</v>
      </c>
      <c r="E306" s="110"/>
      <c r="F306" s="83"/>
      <c r="G306" s="83"/>
      <c r="H306" s="83"/>
      <c r="I306" s="83"/>
      <c r="J306" s="108"/>
      <c r="K306" s="108">
        <f t="shared" ref="K306:V306" ca="1" si="242">K283+K290+K304</f>
        <v>25357525.331096262</v>
      </c>
      <c r="L306" s="108">
        <f t="shared" ca="1" si="242"/>
        <v>85598458.340547621</v>
      </c>
      <c r="M306" s="108">
        <f t="shared" ca="1" si="242"/>
        <v>48482051.179284886</v>
      </c>
      <c r="N306" s="108">
        <f t="shared" ca="1" si="242"/>
        <v>35104797.216666885</v>
      </c>
      <c r="O306" s="108">
        <f t="shared" ca="1" si="242"/>
        <v>58218107.031134933</v>
      </c>
      <c r="P306" s="108">
        <f t="shared" ca="1" si="242"/>
        <v>57552207.277488805</v>
      </c>
      <c r="Q306" s="108">
        <f ca="1">Q283+Q290+Q304</f>
        <v>61773607.815393925</v>
      </c>
      <c r="R306" s="108">
        <f t="shared" ca="1" si="242"/>
        <v>57971689.945137426</v>
      </c>
      <c r="S306" s="108"/>
      <c r="T306" s="108"/>
      <c r="U306" s="108">
        <f ca="1">U283+U290+U304</f>
        <v>39487096.458399817</v>
      </c>
      <c r="V306" s="108">
        <f t="shared" ca="1" si="242"/>
        <v>61996720.494319312</v>
      </c>
      <c r="W306" s="108">
        <f ca="1">W283+W290+W304</f>
        <v>60394663.500116609</v>
      </c>
      <c r="X306" s="108">
        <f ca="1">X283+X290+X304</f>
        <v>59067847.421281278</v>
      </c>
      <c r="Y306" s="108">
        <f ca="1">Y283+Y290+Y304</f>
        <v>63753174.555694111</v>
      </c>
      <c r="Z306" s="108">
        <f ca="1">Z283+Z290+Z304</f>
        <v>63241964.860942356</v>
      </c>
    </row>
    <row r="307" spans="3:58" ht="15.75" hidden="1" customHeight="1" outlineLevel="1">
      <c r="C307" s="111"/>
      <c r="D307" s="242" t="s">
        <v>1818</v>
      </c>
      <c r="E307" s="100"/>
      <c r="F307" s="528"/>
      <c r="G307" s="83"/>
      <c r="H307" s="83"/>
      <c r="I307" s="83"/>
      <c r="J307" s="110"/>
      <c r="K307" s="108"/>
      <c r="L307" s="108"/>
      <c r="M307" s="108"/>
      <c r="N307" s="108"/>
      <c r="O307" s="108"/>
      <c r="P307" s="108"/>
      <c r="Q307" s="108"/>
      <c r="R307" s="108"/>
      <c r="S307" s="108"/>
      <c r="T307" s="108"/>
      <c r="U307" s="108"/>
      <c r="V307" s="108"/>
      <c r="W307" s="108"/>
      <c r="X307" s="108"/>
      <c r="Y307" s="108"/>
      <c r="Z307" s="108"/>
    </row>
    <row r="308" spans="3:58" ht="15.75" hidden="1" customHeight="1" outlineLevel="1">
      <c r="C308" s="111"/>
      <c r="D308" s="483" t="s">
        <v>1364</v>
      </c>
      <c r="E308" s="110"/>
      <c r="F308" s="110"/>
      <c r="G308" s="110"/>
      <c r="H308" s="110"/>
      <c r="I308" s="110"/>
      <c r="J308" s="108"/>
      <c r="K308" s="108">
        <f t="shared" ref="K308:X308" si="243">J309</f>
        <v>418595.70874044765</v>
      </c>
      <c r="L308" s="108">
        <f t="shared" ca="1" si="243"/>
        <v>25776121.039836708</v>
      </c>
      <c r="M308" s="108">
        <f t="shared" ca="1" si="243"/>
        <v>111374579.38038433</v>
      </c>
      <c r="N308" s="108">
        <f t="shared" ca="1" si="243"/>
        <v>159856630.5596692</v>
      </c>
      <c r="O308" s="108">
        <f t="shared" ca="1" si="243"/>
        <v>194961427.77633607</v>
      </c>
      <c r="P308" s="108">
        <f t="shared" ca="1" si="243"/>
        <v>253179534.80747101</v>
      </c>
      <c r="Q308" s="108">
        <f t="shared" ca="1" si="243"/>
        <v>310731742.08495981</v>
      </c>
      <c r="R308" s="108">
        <f t="shared" ca="1" si="243"/>
        <v>372505349.90035373</v>
      </c>
      <c r="S308" s="108"/>
      <c r="T308" s="108"/>
      <c r="U308" s="108">
        <f ca="1">Q309</f>
        <v>372505349.90035373</v>
      </c>
      <c r="V308" s="108">
        <f ca="1">R309</f>
        <v>430477039.84549117</v>
      </c>
      <c r="W308" s="108">
        <f t="shared" ca="1" si="243"/>
        <v>492473760.33981049</v>
      </c>
      <c r="X308" s="108">
        <f t="shared" ca="1" si="243"/>
        <v>552868423.83992708</v>
      </c>
      <c r="Y308" s="108">
        <f ca="1">X309</f>
        <v>611936271.2612083</v>
      </c>
      <c r="Z308" s="108">
        <f ca="1">Y309</f>
        <v>675689445.8169024</v>
      </c>
    </row>
    <row r="309" spans="3:58" ht="15.75" hidden="1" customHeight="1" outlineLevel="1">
      <c r="C309" s="111"/>
      <c r="D309" s="529" t="s">
        <v>1365</v>
      </c>
      <c r="E309" s="472"/>
      <c r="F309" s="472"/>
      <c r="G309" s="472"/>
      <c r="H309" s="472"/>
      <c r="I309" s="472"/>
      <c r="J309" s="120">
        <f>J224</f>
        <v>418595.70874044765</v>
      </c>
      <c r="K309" s="120">
        <f t="shared" ref="K309:V309" ca="1" si="244">K306+K308</f>
        <v>25776121.039836708</v>
      </c>
      <c r="L309" s="120">
        <f t="shared" ca="1" si="244"/>
        <v>111374579.38038433</v>
      </c>
      <c r="M309" s="120">
        <f t="shared" ca="1" si="244"/>
        <v>159856630.5596692</v>
      </c>
      <c r="N309" s="120">
        <f t="shared" ca="1" si="244"/>
        <v>194961427.77633607</v>
      </c>
      <c r="O309" s="120">
        <f t="shared" ca="1" si="244"/>
        <v>253179534.80747101</v>
      </c>
      <c r="P309" s="120">
        <f t="shared" ca="1" si="244"/>
        <v>310731742.08495981</v>
      </c>
      <c r="Q309" s="120">
        <f t="shared" ca="1" si="244"/>
        <v>372505349.90035373</v>
      </c>
      <c r="R309" s="120">
        <f t="shared" ca="1" si="244"/>
        <v>430477039.84549117</v>
      </c>
      <c r="S309" s="120"/>
      <c r="T309" s="120"/>
      <c r="U309" s="120">
        <f ca="1">U306+U308</f>
        <v>411992446.35875356</v>
      </c>
      <c r="V309" s="120">
        <f t="shared" ca="1" si="244"/>
        <v>492473760.33981049</v>
      </c>
      <c r="W309" s="120">
        <f ca="1">W306+W308</f>
        <v>552868423.83992708</v>
      </c>
      <c r="X309" s="120">
        <f ca="1">X306+X308</f>
        <v>611936271.2612083</v>
      </c>
      <c r="Y309" s="120">
        <f ca="1">Y306+Y308</f>
        <v>675689445.8169024</v>
      </c>
      <c r="Z309" s="120">
        <f ca="1">Z306+Z308</f>
        <v>738931410.67784476</v>
      </c>
    </row>
    <row r="310" spans="3:58" ht="15.75" hidden="1" customHeight="1" outlineLevel="1">
      <c r="C310" s="111"/>
      <c r="D310" s="102"/>
      <c r="E310" s="102"/>
      <c r="F310" s="102"/>
      <c r="G310" s="102"/>
      <c r="H310" s="102"/>
      <c r="I310" s="102"/>
      <c r="J310" s="102"/>
      <c r="K310" s="102"/>
      <c r="L310" s="121"/>
      <c r="M310" s="121"/>
      <c r="N310" s="118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</row>
    <row r="311" spans="3:58" ht="15.75" hidden="1" customHeight="1" outlineLevel="1">
      <c r="C311" s="100"/>
      <c r="D311" s="483"/>
      <c r="E311" s="110"/>
      <c r="F311" s="83"/>
      <c r="G311" s="83"/>
      <c r="H311" s="83"/>
      <c r="I311" s="83"/>
      <c r="J311" s="110"/>
      <c r="K311" s="108"/>
      <c r="L311" s="108"/>
      <c r="M311" s="108"/>
      <c r="N311" s="108"/>
      <c r="O311" s="108"/>
      <c r="P311" s="108"/>
      <c r="Q311" s="108"/>
      <c r="R311" s="108"/>
      <c r="S311" s="108"/>
      <c r="T311" s="108"/>
      <c r="U311" s="108"/>
      <c r="V311" s="108"/>
      <c r="W311" s="108"/>
      <c r="X311" s="108"/>
      <c r="Y311" s="108"/>
      <c r="Z311" s="108"/>
    </row>
    <row r="312" spans="3:58" ht="15.75" hidden="1" customHeight="1" outlineLevel="1">
      <c r="C312" s="111"/>
      <c r="D312" s="102"/>
      <c r="E312" s="102"/>
      <c r="F312" s="102"/>
      <c r="G312" s="102"/>
      <c r="H312" s="102"/>
      <c r="I312" s="102"/>
      <c r="J312" s="102"/>
      <c r="K312" s="102"/>
      <c r="L312" s="121"/>
      <c r="M312" s="121"/>
      <c r="N312" s="643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</row>
    <row r="313" spans="3:58" ht="15.75" hidden="1" customHeight="1" outlineLevel="1">
      <c r="D313" s="461"/>
      <c r="E313" s="81"/>
      <c r="F313" s="81"/>
      <c r="G313" s="81"/>
      <c r="H313" s="81"/>
      <c r="I313" s="81"/>
      <c r="J313" s="81"/>
      <c r="K313" s="81"/>
    </row>
    <row r="314" spans="3:58" ht="27" hidden="1" customHeight="1" outlineLevel="1">
      <c r="D314" s="462" t="s">
        <v>445</v>
      </c>
      <c r="M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spans="3:58" ht="3" hidden="1" customHeight="1" outlineLevel="1">
      <c r="D315" s="464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</row>
    <row r="316" spans="3:58" ht="15.75" hidden="1" customHeight="1" outlineLevel="1">
      <c r="D316" s="460" t="s">
        <v>1529</v>
      </c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</row>
    <row r="317" spans="3:58" ht="15.75" hidden="1" customHeight="1" outlineLevel="1">
      <c r="D317" s="467" t="s">
        <v>417</v>
      </c>
      <c r="E317" s="468"/>
      <c r="F317" s="468"/>
      <c r="G317" s="468"/>
      <c r="H317" s="468"/>
      <c r="I317" s="91"/>
      <c r="J317" s="91"/>
      <c r="K317" s="91"/>
      <c r="L317" s="91"/>
      <c r="M317" s="135"/>
      <c r="N317" s="135"/>
      <c r="O317" s="135"/>
      <c r="P317" s="135"/>
      <c r="Q317" s="135"/>
      <c r="R317" s="135"/>
      <c r="S317" s="135"/>
      <c r="T317" s="135"/>
      <c r="U317" s="135"/>
      <c r="V317" s="135"/>
      <c r="W317" s="135"/>
      <c r="X317" s="135"/>
      <c r="Y317" s="135"/>
      <c r="Z317" s="135"/>
    </row>
    <row r="318" spans="3:58" ht="15.75" hidden="1" customHeight="1" outlineLevel="1">
      <c r="C318" s="91"/>
      <c r="D318" s="460" t="s">
        <v>1530</v>
      </c>
      <c r="E318" s="106"/>
      <c r="F318" s="106"/>
      <c r="G318" s="106"/>
      <c r="H318" s="546"/>
      <c r="I318" s="546"/>
      <c r="J318" s="92">
        <f t="shared" ref="J318:M320" si="245">J270</f>
        <v>0</v>
      </c>
      <c r="K318" s="92">
        <f t="shared" si="245"/>
        <v>1</v>
      </c>
      <c r="L318" s="92">
        <f t="shared" si="245"/>
        <v>2</v>
      </c>
      <c r="M318" s="92">
        <f t="shared" si="245"/>
        <v>3</v>
      </c>
      <c r="N318" s="92">
        <f t="shared" ref="N318:P320" si="246">N270</f>
        <v>4</v>
      </c>
      <c r="O318" s="92">
        <f t="shared" si="246"/>
        <v>5</v>
      </c>
      <c r="P318" s="92">
        <f t="shared" si="246"/>
        <v>6</v>
      </c>
      <c r="Q318" s="92">
        <f t="shared" ref="Q318:R320" si="247">Q270</f>
        <v>7</v>
      </c>
      <c r="R318" s="92">
        <f t="shared" si="247"/>
        <v>8</v>
      </c>
      <c r="S318" s="92"/>
      <c r="T318" s="92"/>
      <c r="U318" s="92" t="str">
        <f>U270</f>
        <v>Revised</v>
      </c>
      <c r="V318" s="92">
        <f t="shared" ref="V318:W320" si="248">V270</f>
        <v>9</v>
      </c>
      <c r="W318" s="92">
        <f t="shared" si="248"/>
        <v>10</v>
      </c>
      <c r="X318" s="92">
        <f t="shared" ref="X318:Z320" si="249">X270</f>
        <v>11</v>
      </c>
      <c r="Y318" s="92">
        <f t="shared" si="249"/>
        <v>12</v>
      </c>
      <c r="Z318" s="92">
        <f t="shared" si="249"/>
        <v>13</v>
      </c>
      <c r="AA318" s="447"/>
      <c r="AB318" s="447"/>
      <c r="AC318" s="447"/>
      <c r="AD318" s="447"/>
      <c r="AE318" s="447"/>
      <c r="AF318" s="447"/>
      <c r="AG318" s="447"/>
      <c r="AH318" s="447"/>
      <c r="AI318" s="447"/>
      <c r="AJ318" s="447"/>
      <c r="AK318" s="447"/>
      <c r="AL318" s="447"/>
      <c r="AM318" s="447"/>
      <c r="AN318" s="447"/>
      <c r="AO318" s="447"/>
      <c r="AP318" s="447"/>
      <c r="AQ318" s="447"/>
      <c r="AR318" s="447"/>
      <c r="AS318" s="447"/>
      <c r="AT318" s="447"/>
      <c r="AU318" s="447"/>
      <c r="AV318" s="447"/>
      <c r="AW318" s="447"/>
      <c r="AX318" s="447"/>
      <c r="AY318" s="447"/>
      <c r="AZ318" s="447"/>
      <c r="BA318" s="447"/>
      <c r="BB318" s="447"/>
      <c r="BC318" s="447"/>
      <c r="BD318" s="447"/>
      <c r="BE318" s="447"/>
      <c r="BF318" s="447"/>
    </row>
    <row r="319" spans="3:58" ht="15.75" hidden="1" customHeight="1" outlineLevel="1">
      <c r="C319" s="91"/>
      <c r="D319" s="548"/>
      <c r="E319" s="469"/>
      <c r="F319" s="469"/>
      <c r="G319" s="469"/>
      <c r="H319" s="548"/>
      <c r="I319" s="548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447"/>
      <c r="AB319" s="447"/>
      <c r="AC319" s="447"/>
      <c r="AD319" s="447"/>
      <c r="AE319" s="447"/>
      <c r="AF319" s="447"/>
      <c r="AG319" s="447"/>
      <c r="AH319" s="447"/>
      <c r="AI319" s="447"/>
      <c r="AJ319" s="447"/>
      <c r="AK319" s="447"/>
      <c r="AL319" s="447"/>
      <c r="AM319" s="447"/>
      <c r="AN319" s="447"/>
      <c r="AO319" s="447"/>
      <c r="AP319" s="447"/>
      <c r="AQ319" s="447"/>
      <c r="AR319" s="447"/>
      <c r="AS319" s="447"/>
      <c r="AT319" s="447"/>
      <c r="AU319" s="447"/>
      <c r="AV319" s="447"/>
      <c r="AW319" s="447"/>
      <c r="AX319" s="447"/>
      <c r="AY319" s="447"/>
      <c r="AZ319" s="447"/>
      <c r="BA319" s="447"/>
      <c r="BB319" s="447"/>
      <c r="BC319" s="447"/>
      <c r="BD319" s="447"/>
      <c r="BE319" s="447"/>
      <c r="BF319" s="447"/>
    </row>
    <row r="320" spans="3:58" ht="15.75" hidden="1" customHeight="1" outlineLevel="1">
      <c r="C320" s="91"/>
      <c r="D320" s="471"/>
      <c r="E320" s="472"/>
      <c r="F320" s="506"/>
      <c r="G320" s="506"/>
      <c r="H320" s="471"/>
      <c r="I320" s="471"/>
      <c r="J320" s="94" t="str">
        <f t="shared" si="245"/>
        <v>($)</v>
      </c>
      <c r="K320" s="94" t="str">
        <f t="shared" si="245"/>
        <v>($)</v>
      </c>
      <c r="L320" s="94" t="str">
        <f t="shared" si="245"/>
        <v>($)</v>
      </c>
      <c r="M320" s="94" t="str">
        <f t="shared" si="245"/>
        <v>($)</v>
      </c>
      <c r="N320" s="94" t="str">
        <f t="shared" si="246"/>
        <v>($)</v>
      </c>
      <c r="O320" s="94" t="str">
        <f t="shared" si="246"/>
        <v>($)</v>
      </c>
      <c r="P320" s="94" t="str">
        <f t="shared" si="246"/>
        <v>($)</v>
      </c>
      <c r="Q320" s="94" t="str">
        <f t="shared" si="247"/>
        <v>($)</v>
      </c>
      <c r="R320" s="94" t="str">
        <f t="shared" si="247"/>
        <v>($)</v>
      </c>
      <c r="S320" s="94"/>
      <c r="T320" s="94"/>
      <c r="U320" s="94" t="str">
        <f>U272</f>
        <v>($)</v>
      </c>
      <c r="V320" s="94" t="str">
        <f t="shared" si="248"/>
        <v>($)</v>
      </c>
      <c r="W320" s="94" t="str">
        <f t="shared" si="248"/>
        <v>($)</v>
      </c>
      <c r="X320" s="94" t="str">
        <f t="shared" si="249"/>
        <v>($)</v>
      </c>
      <c r="Y320" s="94" t="str">
        <f t="shared" si="249"/>
        <v>($)</v>
      </c>
      <c r="Z320" s="94" t="str">
        <f t="shared" si="249"/>
        <v>($)</v>
      </c>
      <c r="AA320" s="447"/>
      <c r="AB320" s="447"/>
      <c r="AC320" s="447"/>
      <c r="AD320" s="447"/>
      <c r="AE320" s="447"/>
      <c r="AF320" s="447"/>
      <c r="AG320" s="447"/>
      <c r="AH320" s="447"/>
      <c r="AI320" s="447"/>
      <c r="AJ320" s="447"/>
      <c r="AK320" s="447"/>
      <c r="AL320" s="447"/>
      <c r="AM320" s="447"/>
      <c r="AN320" s="447"/>
      <c r="AO320" s="447"/>
      <c r="AP320" s="447"/>
      <c r="AQ320" s="447"/>
      <c r="AR320" s="447"/>
      <c r="AS320" s="447"/>
      <c r="AT320" s="447"/>
      <c r="AU320" s="447"/>
      <c r="AV320" s="447"/>
      <c r="AW320" s="447"/>
      <c r="AX320" s="447"/>
      <c r="AY320" s="447"/>
      <c r="AZ320" s="447"/>
      <c r="BA320" s="447"/>
      <c r="BB320" s="447"/>
      <c r="BC320" s="447"/>
      <c r="BD320" s="447"/>
      <c r="BE320" s="447"/>
      <c r="BF320" s="447"/>
    </row>
    <row r="321" spans="3:26" ht="15.75" hidden="1" customHeight="1" outlineLevel="1">
      <c r="C321" s="76"/>
      <c r="D321" s="110"/>
      <c r="E321" s="110"/>
      <c r="F321" s="110"/>
      <c r="G321" s="110"/>
      <c r="H321" s="110"/>
      <c r="I321" s="110"/>
      <c r="J321" s="107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</row>
    <row r="322" spans="3:26" ht="15.75" hidden="1" customHeight="1" outlineLevel="1">
      <c r="C322" s="76"/>
      <c r="D322" s="110" t="s">
        <v>1531</v>
      </c>
      <c r="E322" s="100"/>
      <c r="F322" s="528"/>
      <c r="G322" s="83"/>
      <c r="H322" s="83"/>
      <c r="I322" s="83"/>
      <c r="J322" s="80"/>
      <c r="K322" s="80">
        <f t="shared" ref="K322:P322" si="250">K152</f>
        <v>39728983.280000001</v>
      </c>
      <c r="L322" s="80">
        <f t="shared" si="250"/>
        <v>124690823.85579079</v>
      </c>
      <c r="M322" s="80">
        <f t="shared" si="250"/>
        <v>104897984.0691002</v>
      </c>
      <c r="N322" s="80">
        <f t="shared" si="250"/>
        <v>84496032.543866128</v>
      </c>
      <c r="O322" s="80">
        <f t="shared" si="250"/>
        <v>101221847.13609684</v>
      </c>
      <c r="P322" s="80">
        <f t="shared" si="250"/>
        <v>97292045.177228764</v>
      </c>
      <c r="Q322" s="80">
        <f t="shared" ref="Q322:Z322" si="251">Q152</f>
        <v>89333545.61131376</v>
      </c>
      <c r="R322" s="80">
        <f t="shared" si="251"/>
        <v>106899993.11603625</v>
      </c>
      <c r="S322" s="80"/>
      <c r="T322" s="80"/>
      <c r="U322" s="80">
        <f>U152</f>
        <v>78232581.658926398</v>
      </c>
      <c r="V322" s="80">
        <f t="shared" si="251"/>
        <v>102319713.53247179</v>
      </c>
      <c r="W322" s="80">
        <f t="shared" si="251"/>
        <v>102319713.53247179</v>
      </c>
      <c r="X322" s="80">
        <f t="shared" si="251"/>
        <v>102319713.53247179</v>
      </c>
      <c r="Y322" s="80">
        <f t="shared" si="251"/>
        <v>102319713.53247179</v>
      </c>
      <c r="Z322" s="80">
        <f t="shared" si="251"/>
        <v>102319713.53247179</v>
      </c>
    </row>
    <row r="323" spans="3:26" ht="15.75" hidden="1" customHeight="1" outlineLevel="1">
      <c r="C323" s="76"/>
      <c r="D323" s="110" t="s">
        <v>1532</v>
      </c>
      <c r="E323" s="100"/>
      <c r="F323" s="100"/>
      <c r="G323" s="100"/>
      <c r="H323" s="100"/>
      <c r="I323" s="100"/>
      <c r="J323" s="80"/>
      <c r="K323" s="80">
        <f t="shared" ref="K323:P323" si="252">-K154</f>
        <v>7691447.8141340949</v>
      </c>
      <c r="L323" s="80">
        <f t="shared" si="252"/>
        <v>17697150</v>
      </c>
      <c r="M323" s="80">
        <f t="shared" si="252"/>
        <v>16679300</v>
      </c>
      <c r="N323" s="80">
        <f t="shared" si="252"/>
        <v>16325100</v>
      </c>
      <c r="O323" s="80">
        <f t="shared" si="252"/>
        <v>18464600</v>
      </c>
      <c r="P323" s="80">
        <f t="shared" si="252"/>
        <v>17836500</v>
      </c>
      <c r="Q323" s="80">
        <f t="shared" ref="Q323:Z323" si="253">-Q154</f>
        <v>18066300</v>
      </c>
      <c r="R323" s="80">
        <f t="shared" si="253"/>
        <v>19783050</v>
      </c>
      <c r="S323" s="80"/>
      <c r="T323" s="80"/>
      <c r="U323" s="80">
        <f>-U154</f>
        <v>19783050</v>
      </c>
      <c r="V323" s="80">
        <f t="shared" si="253"/>
        <v>20148623.226785071</v>
      </c>
      <c r="W323" s="80">
        <f t="shared" si="253"/>
        <v>20536390.89433847</v>
      </c>
      <c r="X323" s="80">
        <f t="shared" si="253"/>
        <v>20947724.416639242</v>
      </c>
      <c r="Y323" s="80">
        <f t="shared" si="253"/>
        <v>21384081.010697622</v>
      </c>
      <c r="Z323" s="80">
        <f t="shared" si="253"/>
        <v>21847009.11111778</v>
      </c>
    </row>
    <row r="324" spans="3:26" ht="15.75" hidden="1" customHeight="1" outlineLevel="1">
      <c r="C324" s="76"/>
      <c r="D324" s="387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 spans="3:26" ht="15.75" hidden="1" customHeight="1" outlineLevel="1">
      <c r="C325" s="76"/>
      <c r="D325" s="163" t="s">
        <v>1533</v>
      </c>
      <c r="E325" s="530"/>
      <c r="F325" s="530"/>
      <c r="G325" s="530"/>
      <c r="H325" s="530"/>
      <c r="I325" s="530"/>
      <c r="J325" s="530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</row>
    <row r="326" spans="3:26" ht="15.75" hidden="1" customHeight="1" outlineLevel="1">
      <c r="C326" s="76"/>
      <c r="D326" s="482" t="s">
        <v>1534</v>
      </c>
      <c r="E326" s="100"/>
      <c r="F326" s="528"/>
      <c r="G326" s="83"/>
      <c r="H326" s="83"/>
      <c r="I326" s="83"/>
      <c r="J326" s="83"/>
      <c r="K326" s="83">
        <v>4.4999999999999998E-2</v>
      </c>
      <c r="L326" s="83">
        <f>K326</f>
        <v>4.4999999999999998E-2</v>
      </c>
      <c r="M326" s="83">
        <f>L326</f>
        <v>4.4999999999999998E-2</v>
      </c>
      <c r="N326" s="83">
        <v>0.08</v>
      </c>
      <c r="O326" s="83">
        <f>N326</f>
        <v>0.08</v>
      </c>
      <c r="P326" s="83">
        <f t="shared" ref="P326:X330" si="254">O326</f>
        <v>0.08</v>
      </c>
      <c r="Q326" s="83">
        <v>0.09</v>
      </c>
      <c r="R326" s="83">
        <f t="shared" si="254"/>
        <v>0.09</v>
      </c>
      <c r="S326" s="83"/>
      <c r="T326" s="83"/>
      <c r="U326" s="83">
        <f>R326</f>
        <v>0.09</v>
      </c>
      <c r="V326" s="83">
        <f>R326</f>
        <v>0.09</v>
      </c>
      <c r="W326" s="83">
        <f t="shared" si="254"/>
        <v>0.09</v>
      </c>
      <c r="X326" s="83">
        <f t="shared" si="254"/>
        <v>0.09</v>
      </c>
      <c r="Y326" s="83">
        <f t="shared" ref="Y326:Z330" si="255">X326</f>
        <v>0.09</v>
      </c>
      <c r="Z326" s="83">
        <f t="shared" si="255"/>
        <v>0.09</v>
      </c>
    </row>
    <row r="327" spans="3:26" ht="15.75" hidden="1" customHeight="1" outlineLevel="1">
      <c r="C327" s="76"/>
      <c r="D327" s="482" t="s">
        <v>1535</v>
      </c>
      <c r="E327" s="110"/>
      <c r="F327" s="110"/>
      <c r="G327" s="110"/>
      <c r="H327" s="110"/>
      <c r="I327" s="110"/>
      <c r="J327" s="83"/>
      <c r="K327" s="83">
        <f>L327</f>
        <v>0.10334771417996683</v>
      </c>
      <c r="L327" s="83">
        <f>L335/L323</f>
        <v>0.10334771417996683</v>
      </c>
      <c r="M327" s="83">
        <f>M335/M323</f>
        <v>0.10881751632262746</v>
      </c>
      <c r="N327" s="83">
        <v>8.5999999999999993E-2</v>
      </c>
      <c r="O327" s="83">
        <f>N327</f>
        <v>8.5999999999999993E-2</v>
      </c>
      <c r="P327" s="83">
        <f t="shared" si="254"/>
        <v>8.5999999999999993E-2</v>
      </c>
      <c r="Q327" s="83">
        <f t="shared" si="254"/>
        <v>8.5999999999999993E-2</v>
      </c>
      <c r="R327" s="83">
        <f t="shared" si="254"/>
        <v>8.5999999999999993E-2</v>
      </c>
      <c r="S327" s="83"/>
      <c r="T327" s="83"/>
      <c r="U327" s="83">
        <f>R327</f>
        <v>8.5999999999999993E-2</v>
      </c>
      <c r="V327" s="83">
        <f>R327</f>
        <v>8.5999999999999993E-2</v>
      </c>
      <c r="W327" s="83">
        <f t="shared" si="254"/>
        <v>8.5999999999999993E-2</v>
      </c>
      <c r="X327" s="83">
        <f t="shared" si="254"/>
        <v>8.5999999999999993E-2</v>
      </c>
      <c r="Y327" s="83">
        <f t="shared" si="255"/>
        <v>8.5999999999999993E-2</v>
      </c>
      <c r="Z327" s="83">
        <f t="shared" si="255"/>
        <v>8.5999999999999993E-2</v>
      </c>
    </row>
    <row r="328" spans="3:26" ht="15.75" hidden="1" customHeight="1" outlineLevel="1">
      <c r="C328" s="76"/>
      <c r="D328" s="482" t="s">
        <v>1536</v>
      </c>
      <c r="E328" s="110"/>
      <c r="F328" s="110"/>
      <c r="G328" s="110"/>
      <c r="H328" s="110"/>
      <c r="I328" s="110"/>
      <c r="J328" s="84"/>
      <c r="K328" s="84">
        <v>7.0000000000000007E-2</v>
      </c>
      <c r="L328" s="84">
        <f>L337/L323</f>
        <v>8.360894268286137E-2</v>
      </c>
      <c r="M328" s="84">
        <f>M337/M323</f>
        <v>5.4606608190991238E-2</v>
      </c>
      <c r="N328" s="84">
        <v>4.3999999999999997E-2</v>
      </c>
      <c r="O328" s="84">
        <f>N328</f>
        <v>4.3999999999999997E-2</v>
      </c>
      <c r="P328" s="84">
        <f t="shared" si="254"/>
        <v>4.3999999999999997E-2</v>
      </c>
      <c r="Q328" s="84">
        <v>0.09</v>
      </c>
      <c r="R328" s="84">
        <f t="shared" si="254"/>
        <v>0.09</v>
      </c>
      <c r="S328" s="84"/>
      <c r="T328" s="84"/>
      <c r="U328" s="83">
        <f>R328</f>
        <v>0.09</v>
      </c>
      <c r="V328" s="84">
        <f>R328</f>
        <v>0.09</v>
      </c>
      <c r="W328" s="84">
        <f t="shared" si="254"/>
        <v>0.09</v>
      </c>
      <c r="X328" s="84">
        <f t="shared" si="254"/>
        <v>0.09</v>
      </c>
      <c r="Y328" s="84">
        <f t="shared" si="255"/>
        <v>0.09</v>
      </c>
      <c r="Z328" s="84">
        <f t="shared" si="255"/>
        <v>0.09</v>
      </c>
    </row>
    <row r="329" spans="3:26" ht="15.75" hidden="1" customHeight="1" outlineLevel="1">
      <c r="C329" s="76"/>
      <c r="D329" s="482" t="s">
        <v>1537</v>
      </c>
      <c r="E329" s="110"/>
      <c r="F329" s="110"/>
      <c r="G329" s="110"/>
      <c r="H329" s="110"/>
      <c r="I329" s="110"/>
      <c r="J329" s="695"/>
      <c r="K329" s="78">
        <v>365</v>
      </c>
      <c r="L329" s="78">
        <f>K329</f>
        <v>365</v>
      </c>
      <c r="M329" s="78">
        <v>366</v>
      </c>
      <c r="N329" s="78">
        <v>365</v>
      </c>
      <c r="O329" s="78">
        <f>N329</f>
        <v>365</v>
      </c>
      <c r="P329" s="78">
        <f t="shared" si="254"/>
        <v>365</v>
      </c>
      <c r="Q329" s="78">
        <f t="shared" si="254"/>
        <v>365</v>
      </c>
      <c r="R329" s="78">
        <f t="shared" si="254"/>
        <v>365</v>
      </c>
      <c r="S329" s="78"/>
      <c r="T329" s="78"/>
      <c r="U329" s="78">
        <f>R329</f>
        <v>365</v>
      </c>
      <c r="V329" s="78">
        <f>R329</f>
        <v>365</v>
      </c>
      <c r="W329" s="78">
        <f t="shared" si="254"/>
        <v>365</v>
      </c>
      <c r="X329" s="78">
        <f t="shared" si="254"/>
        <v>365</v>
      </c>
      <c r="Y329" s="78">
        <f t="shared" si="255"/>
        <v>365</v>
      </c>
      <c r="Z329" s="78">
        <f t="shared" si="255"/>
        <v>365</v>
      </c>
    </row>
    <row r="330" spans="3:26" ht="15.75" hidden="1" customHeight="1" outlineLevel="1">
      <c r="C330" s="76"/>
      <c r="D330" s="482" t="s">
        <v>1538</v>
      </c>
      <c r="E330" s="100"/>
      <c r="F330" s="528"/>
      <c r="G330" s="83"/>
      <c r="H330" s="83"/>
      <c r="I330" s="83"/>
      <c r="J330" s="570"/>
      <c r="K330" s="78">
        <v>15</v>
      </c>
      <c r="L330" s="78">
        <f>K330</f>
        <v>15</v>
      </c>
      <c r="M330" s="78">
        <f>L330</f>
        <v>15</v>
      </c>
      <c r="N330" s="78">
        <v>45</v>
      </c>
      <c r="O330" s="78">
        <v>45</v>
      </c>
      <c r="P330" s="78">
        <f t="shared" si="254"/>
        <v>45</v>
      </c>
      <c r="Q330" s="78">
        <v>60</v>
      </c>
      <c r="R330" s="78">
        <f t="shared" si="254"/>
        <v>60</v>
      </c>
      <c r="S330" s="78"/>
      <c r="T330" s="78"/>
      <c r="U330" s="78">
        <f>R330</f>
        <v>60</v>
      </c>
      <c r="V330" s="78">
        <f>R330</f>
        <v>60</v>
      </c>
      <c r="W330" s="78">
        <f t="shared" si="254"/>
        <v>60</v>
      </c>
      <c r="X330" s="78">
        <f t="shared" si="254"/>
        <v>60</v>
      </c>
      <c r="Y330" s="78">
        <f t="shared" si="255"/>
        <v>60</v>
      </c>
      <c r="Z330" s="78">
        <f t="shared" si="255"/>
        <v>60</v>
      </c>
    </row>
    <row r="331" spans="3:26" ht="15.75" hidden="1" customHeight="1" outlineLevel="1">
      <c r="C331" s="100"/>
      <c r="D331" s="164"/>
      <c r="E331" s="111"/>
      <c r="F331" s="111"/>
      <c r="G331" s="111"/>
      <c r="H331" s="111"/>
      <c r="I331" s="111"/>
      <c r="J331" s="110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3:26" ht="15.75" hidden="1" customHeight="1" outlineLevel="1">
      <c r="C332" s="100"/>
      <c r="D332" s="163" t="s">
        <v>1539</v>
      </c>
      <c r="E332" s="100"/>
      <c r="F332" s="528"/>
      <c r="G332" s="83"/>
      <c r="H332" s="83"/>
      <c r="I332" s="83"/>
      <c r="J332" s="110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 spans="3:26" ht="15.75" hidden="1" customHeight="1" outlineLevel="1">
      <c r="C333" s="100"/>
      <c r="D333" s="478" t="s">
        <v>1540</v>
      </c>
      <c r="E333" s="110"/>
      <c r="F333" s="83"/>
      <c r="G333" s="83"/>
      <c r="H333" s="83"/>
      <c r="I333" s="83"/>
      <c r="J333" s="78">
        <f>J226</f>
        <v>79529.627508489386</v>
      </c>
      <c r="K333" s="78">
        <f t="shared" ref="K333:P333" si="256">K322/(K329/K330)</f>
        <v>1632697.9430136988</v>
      </c>
      <c r="L333" s="78">
        <f t="shared" si="256"/>
        <v>5124280.4324297588</v>
      </c>
      <c r="M333" s="78">
        <f t="shared" si="256"/>
        <v>4299097.7077500084</v>
      </c>
      <c r="N333" s="78">
        <f>N322/(N329/N330)</f>
        <v>10417319.080750618</v>
      </c>
      <c r="O333" s="78">
        <f t="shared" si="256"/>
        <v>12479405.811299611</v>
      </c>
      <c r="P333" s="78">
        <f t="shared" si="256"/>
        <v>11994909.679384369</v>
      </c>
      <c r="Q333" s="78">
        <f t="shared" ref="Q333:Z333" si="257">Q322/(Q329/Q330)</f>
        <v>14684966.401859798</v>
      </c>
      <c r="R333" s="78">
        <f t="shared" si="257"/>
        <v>17572601.60811555</v>
      </c>
      <c r="S333" s="78"/>
      <c r="T333" s="78"/>
      <c r="U333" s="78">
        <f>U322/(U329/U330)</f>
        <v>12860150.409686532</v>
      </c>
      <c r="V333" s="78">
        <f t="shared" si="257"/>
        <v>16819678.93684468</v>
      </c>
      <c r="W333" s="78">
        <f t="shared" si="257"/>
        <v>16819678.93684468</v>
      </c>
      <c r="X333" s="78">
        <f t="shared" si="257"/>
        <v>16819678.93684468</v>
      </c>
      <c r="Y333" s="78">
        <f t="shared" si="257"/>
        <v>16819678.93684468</v>
      </c>
      <c r="Z333" s="78">
        <f t="shared" si="257"/>
        <v>16819678.93684468</v>
      </c>
    </row>
    <row r="334" spans="3:26" ht="15.75" hidden="1" customHeight="1" outlineLevel="1">
      <c r="C334" s="100"/>
      <c r="D334" s="478" t="s">
        <v>1541</v>
      </c>
      <c r="E334" s="100"/>
      <c r="F334" s="100"/>
      <c r="G334" s="100"/>
      <c r="H334" s="100"/>
      <c r="I334" s="100"/>
      <c r="J334" s="80">
        <f>J227</f>
        <v>0</v>
      </c>
      <c r="K334" s="80">
        <v>724418.21888670698</v>
      </c>
      <c r="L334" s="80">
        <f>L326*L323</f>
        <v>796371.75</v>
      </c>
      <c r="M334" s="80">
        <f t="shared" ref="M334:P335" si="258">M326*M322</f>
        <v>4720409.2831095085</v>
      </c>
      <c r="N334" s="80">
        <f>N326*N322</f>
        <v>6759682.6035092901</v>
      </c>
      <c r="O334" s="80">
        <f t="shared" si="258"/>
        <v>8097747.7708877474</v>
      </c>
      <c r="P334" s="80">
        <f t="shared" si="258"/>
        <v>7783363.6141783008</v>
      </c>
      <c r="Q334" s="80">
        <f t="shared" ref="Q334:V335" si="259">Q326*Q322</f>
        <v>8040019.1050182385</v>
      </c>
      <c r="R334" s="80">
        <f t="shared" si="259"/>
        <v>9620999.3804432619</v>
      </c>
      <c r="S334" s="80"/>
      <c r="T334" s="80"/>
      <c r="U334" s="80">
        <f>U326*U322</f>
        <v>7040932.3493033759</v>
      </c>
      <c r="V334" s="80">
        <f t="shared" si="259"/>
        <v>9208774.2179224603</v>
      </c>
      <c r="W334" s="80">
        <f t="shared" ref="W334:Z335" si="260">W326*W322</f>
        <v>9208774.2179224603</v>
      </c>
      <c r="X334" s="80">
        <f t="shared" si="260"/>
        <v>9208774.2179224603</v>
      </c>
      <c r="Y334" s="80">
        <f t="shared" si="260"/>
        <v>9208774.2179224603</v>
      </c>
      <c r="Z334" s="80">
        <f t="shared" si="260"/>
        <v>9208774.2179224603</v>
      </c>
    </row>
    <row r="335" spans="3:26" ht="15.75" hidden="1" customHeight="1" outlineLevel="1">
      <c r="C335" s="76"/>
      <c r="D335" s="478" t="s">
        <v>1338</v>
      </c>
      <c r="E335" s="100"/>
      <c r="F335" s="508"/>
      <c r="G335" s="508"/>
      <c r="H335" s="508"/>
      <c r="I335" s="508"/>
      <c r="J335" s="80">
        <f>J228</f>
        <v>239145.06478155151</v>
      </c>
      <c r="K335" s="80">
        <v>1435157.0627088286</v>
      </c>
      <c r="L335" s="80">
        <f>1288000*1.42</f>
        <v>1828960</v>
      </c>
      <c r="M335" s="80">
        <f>1650000*'Control list'!H17</f>
        <v>1815000.0000000002</v>
      </c>
      <c r="N335" s="80">
        <f t="shared" si="258"/>
        <v>1403958.5999999999</v>
      </c>
      <c r="O335" s="80">
        <f>O327*O323</f>
        <v>1587955.5999999999</v>
      </c>
      <c r="P335" s="80">
        <f t="shared" si="258"/>
        <v>1533938.9999999998</v>
      </c>
      <c r="Q335" s="80">
        <f t="shared" si="259"/>
        <v>1553701.7999999998</v>
      </c>
      <c r="R335" s="80">
        <f t="shared" si="259"/>
        <v>1701342.2999999998</v>
      </c>
      <c r="S335" s="80"/>
      <c r="T335" s="80"/>
      <c r="U335" s="80">
        <f>U327*U323</f>
        <v>1701342.2999999998</v>
      </c>
      <c r="V335" s="80">
        <f t="shared" si="259"/>
        <v>1732781.5975035159</v>
      </c>
      <c r="W335" s="80">
        <f t="shared" si="260"/>
        <v>1766129.6169131084</v>
      </c>
      <c r="X335" s="80">
        <f t="shared" si="260"/>
        <v>1801504.2998309748</v>
      </c>
      <c r="Y335" s="80">
        <f t="shared" si="260"/>
        <v>1839030.9669199954</v>
      </c>
      <c r="Z335" s="80">
        <f t="shared" si="260"/>
        <v>1878842.7835561289</v>
      </c>
    </row>
    <row r="336" spans="3:26" ht="15.75" hidden="1" customHeight="1" outlineLevel="1">
      <c r="C336" s="110"/>
      <c r="D336" s="482" t="s">
        <v>1542</v>
      </c>
      <c r="E336" s="100"/>
      <c r="F336" s="100"/>
      <c r="G336" s="100"/>
      <c r="H336" s="100"/>
      <c r="I336" s="100"/>
      <c r="J336" s="78">
        <f t="shared" ref="J336:P336" si="261">SUM(J333:J335)</f>
        <v>318674.6922900409</v>
      </c>
      <c r="K336" s="78">
        <f t="shared" si="261"/>
        <v>3792273.2246092344</v>
      </c>
      <c r="L336" s="78">
        <f t="shared" si="261"/>
        <v>7749612.1824297588</v>
      </c>
      <c r="M336" s="78">
        <f t="shared" si="261"/>
        <v>10834506.990859516</v>
      </c>
      <c r="N336" s="78">
        <f>SUM(N333:N335)</f>
        <v>18580960.284259908</v>
      </c>
      <c r="O336" s="78">
        <f t="shared" si="261"/>
        <v>22165109.18218736</v>
      </c>
      <c r="P336" s="78">
        <f t="shared" si="261"/>
        <v>21312212.293562669</v>
      </c>
      <c r="Q336" s="78">
        <f t="shared" ref="Q336:Z336" si="262">SUM(Q333:Q335)</f>
        <v>24278687.306878038</v>
      </c>
      <c r="R336" s="78">
        <f t="shared" si="262"/>
        <v>28894943.288558815</v>
      </c>
      <c r="S336" s="78"/>
      <c r="T336" s="78"/>
      <c r="U336" s="78">
        <f>SUM(U333:U335)</f>
        <v>21602425.058989909</v>
      </c>
      <c r="V336" s="78">
        <f t="shared" si="262"/>
        <v>27761234.752270658</v>
      </c>
      <c r="W336" s="78">
        <f t="shared" si="262"/>
        <v>27794582.771680251</v>
      </c>
      <c r="X336" s="78">
        <f t="shared" si="262"/>
        <v>27829957.454598114</v>
      </c>
      <c r="Y336" s="78">
        <f t="shared" si="262"/>
        <v>27867484.121687137</v>
      </c>
      <c r="Z336" s="78">
        <f t="shared" si="262"/>
        <v>27907295.938323271</v>
      </c>
    </row>
    <row r="337" spans="3:26" ht="15.75" hidden="1" customHeight="1" outlineLevel="1">
      <c r="C337" s="110"/>
      <c r="D337" s="478" t="s">
        <v>1543</v>
      </c>
      <c r="E337" s="110"/>
      <c r="F337" s="110"/>
      <c r="G337" s="110"/>
      <c r="H337" s="110"/>
      <c r="I337" s="110"/>
      <c r="J337" s="78">
        <f>J243</f>
        <v>3876970.3175346954</v>
      </c>
      <c r="K337" s="78">
        <f>K328*K323</f>
        <v>538401.34698938671</v>
      </c>
      <c r="L337" s="78">
        <f>1042000*1.42</f>
        <v>1479640</v>
      </c>
      <c r="M337" s="78">
        <f>828000*'Control list'!H17</f>
        <v>910800.00000000012</v>
      </c>
      <c r="N337" s="78">
        <f t="shared" ref="N337:V337" si="263">N328*N323</f>
        <v>718304.39999999991</v>
      </c>
      <c r="O337" s="78">
        <f t="shared" si="263"/>
        <v>812442.39999999991</v>
      </c>
      <c r="P337" s="78">
        <f t="shared" si="263"/>
        <v>784806</v>
      </c>
      <c r="Q337" s="78">
        <f>Q328*Q323</f>
        <v>1625967</v>
      </c>
      <c r="R337" s="78">
        <f t="shared" si="263"/>
        <v>1780474.5</v>
      </c>
      <c r="S337" s="78"/>
      <c r="T337" s="78"/>
      <c r="U337" s="78">
        <f>U328*U323</f>
        <v>1780474.5</v>
      </c>
      <c r="V337" s="78">
        <f t="shared" si="263"/>
        <v>1813376.0904106563</v>
      </c>
      <c r="W337" s="78">
        <f>W328*W323</f>
        <v>1848275.1804904623</v>
      </c>
      <c r="X337" s="78">
        <f>X328*X323</f>
        <v>1885295.1974975318</v>
      </c>
      <c r="Y337" s="78">
        <f>Y328*Y323</f>
        <v>1924567.2909627859</v>
      </c>
      <c r="Z337" s="78">
        <f>Z328*Z323</f>
        <v>1966230.8200006001</v>
      </c>
    </row>
    <row r="338" spans="3:26" ht="15.75" hidden="1" customHeight="1" outlineLevel="1">
      <c r="C338" s="110"/>
      <c r="D338" s="482" t="s">
        <v>1383</v>
      </c>
      <c r="E338" s="110"/>
      <c r="F338" s="110"/>
      <c r="G338" s="110"/>
      <c r="H338" s="110"/>
      <c r="I338" s="110"/>
      <c r="J338" s="80">
        <f t="shared" ref="J338:P338" si="264">SUM(J337)</f>
        <v>3876970.3175346954</v>
      </c>
      <c r="K338" s="80">
        <f t="shared" si="264"/>
        <v>538401.34698938671</v>
      </c>
      <c r="L338" s="80">
        <f t="shared" si="264"/>
        <v>1479640</v>
      </c>
      <c r="M338" s="80">
        <f t="shared" si="264"/>
        <v>910800.00000000012</v>
      </c>
      <c r="N338" s="80">
        <f>SUM(N337)</f>
        <v>718304.39999999991</v>
      </c>
      <c r="O338" s="80">
        <f t="shared" si="264"/>
        <v>812442.39999999991</v>
      </c>
      <c r="P338" s="80">
        <f t="shared" si="264"/>
        <v>784806</v>
      </c>
      <c r="Q338" s="80">
        <f t="shared" ref="Q338:Z338" si="265">SUM(Q337)</f>
        <v>1625967</v>
      </c>
      <c r="R338" s="80">
        <f t="shared" si="265"/>
        <v>1780474.5</v>
      </c>
      <c r="S338" s="80"/>
      <c r="T338" s="80"/>
      <c r="U338" s="80">
        <f>SUM(U337)</f>
        <v>1780474.5</v>
      </c>
      <c r="V338" s="80">
        <f t="shared" si="265"/>
        <v>1813376.0904106563</v>
      </c>
      <c r="W338" s="80">
        <f t="shared" si="265"/>
        <v>1848275.1804904623</v>
      </c>
      <c r="X338" s="80">
        <f t="shared" si="265"/>
        <v>1885295.1974975318</v>
      </c>
      <c r="Y338" s="80">
        <f t="shared" si="265"/>
        <v>1924567.2909627859</v>
      </c>
      <c r="Z338" s="80">
        <f t="shared" si="265"/>
        <v>1966230.8200006001</v>
      </c>
    </row>
    <row r="339" spans="3:26" ht="15.75" hidden="1" customHeight="1" outlineLevel="1">
      <c r="C339" s="76"/>
      <c r="D339" s="164"/>
      <c r="E339" s="111"/>
      <c r="F339" s="111"/>
      <c r="G339" s="111"/>
      <c r="H339" s="111"/>
      <c r="I339" s="111"/>
      <c r="J339" s="110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3:26" ht="15.75" hidden="1" customHeight="1" outlineLevel="1">
      <c r="C340" s="110"/>
      <c r="D340" s="163" t="s">
        <v>1544</v>
      </c>
      <c r="E340" s="110"/>
      <c r="F340" s="110"/>
      <c r="G340" s="110"/>
      <c r="H340" s="110"/>
      <c r="I340" s="110"/>
      <c r="J340" s="78">
        <f t="shared" ref="J340:P340" si="266">J336-J338</f>
        <v>-3558295.6252446547</v>
      </c>
      <c r="K340" s="78">
        <f t="shared" si="266"/>
        <v>3253871.8776198477</v>
      </c>
      <c r="L340" s="78">
        <f t="shared" si="266"/>
        <v>6269972.1824297588</v>
      </c>
      <c r="M340" s="78">
        <f t="shared" si="266"/>
        <v>9923706.990859516</v>
      </c>
      <c r="N340" s="78">
        <f>N336-N338</f>
        <v>17862655.884259909</v>
      </c>
      <c r="O340" s="78">
        <f t="shared" si="266"/>
        <v>21352666.782187361</v>
      </c>
      <c r="P340" s="78">
        <f t="shared" si="266"/>
        <v>20527406.293562669</v>
      </c>
      <c r="Q340" s="78">
        <f t="shared" ref="Q340:Z340" si="267">Q336-Q338</f>
        <v>22652720.306878038</v>
      </c>
      <c r="R340" s="78">
        <f t="shared" si="267"/>
        <v>27114468.788558815</v>
      </c>
      <c r="S340" s="78"/>
      <c r="T340" s="78"/>
      <c r="U340" s="78">
        <f>U336-U338</f>
        <v>19821950.558989909</v>
      </c>
      <c r="V340" s="78">
        <f t="shared" si="267"/>
        <v>25947858.66186</v>
      </c>
      <c r="W340" s="78">
        <f t="shared" si="267"/>
        <v>25946307.591189787</v>
      </c>
      <c r="X340" s="78">
        <f t="shared" si="267"/>
        <v>25944662.257100582</v>
      </c>
      <c r="Y340" s="78">
        <f t="shared" si="267"/>
        <v>25942916.830724351</v>
      </c>
      <c r="Z340" s="78">
        <f t="shared" si="267"/>
        <v>25941065.11832267</v>
      </c>
    </row>
    <row r="341" spans="3:26" ht="15.75" hidden="1" customHeight="1" outlineLevel="1">
      <c r="C341" s="110"/>
      <c r="D341" s="163" t="s">
        <v>1545</v>
      </c>
      <c r="E341" s="110"/>
      <c r="F341" s="110"/>
      <c r="G341" s="110"/>
      <c r="H341" s="110"/>
      <c r="I341" s="110"/>
      <c r="J341" s="78">
        <f t="shared" ref="J341:X341" si="268">J340-I340</f>
        <v>-3558295.6252446547</v>
      </c>
      <c r="K341" s="78">
        <f t="shared" si="268"/>
        <v>6812167.5028645024</v>
      </c>
      <c r="L341" s="78">
        <f t="shared" si="268"/>
        <v>3016100.3048099112</v>
      </c>
      <c r="M341" s="78">
        <f t="shared" si="268"/>
        <v>3653734.8084297571</v>
      </c>
      <c r="N341" s="78">
        <f t="shared" si="268"/>
        <v>7938948.8934003934</v>
      </c>
      <c r="O341" s="78">
        <f t="shared" si="268"/>
        <v>3490010.8979274519</v>
      </c>
      <c r="P341" s="78">
        <f t="shared" si="268"/>
        <v>-825260.48862469196</v>
      </c>
      <c r="Q341" s="78">
        <f t="shared" si="268"/>
        <v>2125314.0133153684</v>
      </c>
      <c r="R341" s="78">
        <f t="shared" si="268"/>
        <v>4461748.4816807769</v>
      </c>
      <c r="S341" s="78"/>
      <c r="T341" s="78"/>
      <c r="U341" s="78">
        <f>U340-Q340</f>
        <v>-2830769.7478881292</v>
      </c>
      <c r="V341" s="78">
        <f>V340-R340</f>
        <v>-1166610.1266988143</v>
      </c>
      <c r="W341" s="78">
        <f t="shared" si="268"/>
        <v>-1551.0706702135503</v>
      </c>
      <c r="X341" s="78">
        <f t="shared" si="268"/>
        <v>-1645.334089204669</v>
      </c>
      <c r="Y341" s="78">
        <f>Y340-X340</f>
        <v>-1745.4263762310147</v>
      </c>
      <c r="Z341" s="78">
        <f>Z340-Y340</f>
        <v>-1851.7124016806483</v>
      </c>
    </row>
    <row r="342" spans="3:26" ht="15.75" hidden="1" customHeight="1" outlineLevel="1">
      <c r="C342" s="110"/>
      <c r="D342" s="482" t="s">
        <v>1546</v>
      </c>
      <c r="E342" s="100"/>
      <c r="F342" s="133"/>
      <c r="G342" s="83"/>
      <c r="H342" s="83"/>
      <c r="I342" s="83"/>
      <c r="J342" s="83"/>
      <c r="K342" s="83">
        <v>3.0000000000000001E-3</v>
      </c>
      <c r="L342" s="83">
        <f>K342</f>
        <v>3.0000000000000001E-3</v>
      </c>
      <c r="M342" s="83">
        <f>L342</f>
        <v>3.0000000000000001E-3</v>
      </c>
      <c r="N342" s="83">
        <v>6.0000000000000001E-3</v>
      </c>
      <c r="O342" s="83">
        <f>N342</f>
        <v>6.0000000000000001E-3</v>
      </c>
      <c r="P342" s="83">
        <f t="shared" ref="P342:X345" si="269">O342</f>
        <v>6.0000000000000001E-3</v>
      </c>
      <c r="Q342" s="83">
        <v>0.01</v>
      </c>
      <c r="R342" s="83">
        <f t="shared" si="269"/>
        <v>0.01</v>
      </c>
      <c r="S342" s="83"/>
      <c r="T342" s="83"/>
      <c r="U342" s="83">
        <f>R342</f>
        <v>0.01</v>
      </c>
      <c r="V342" s="83">
        <f>R342</f>
        <v>0.01</v>
      </c>
      <c r="W342" s="83">
        <f t="shared" si="269"/>
        <v>0.01</v>
      </c>
      <c r="X342" s="83">
        <f t="shared" si="269"/>
        <v>0.01</v>
      </c>
      <c r="Y342" s="83">
        <f t="shared" ref="Y342:Z345" si="270">X342</f>
        <v>0.01</v>
      </c>
      <c r="Z342" s="83">
        <f t="shared" si="270"/>
        <v>0.01</v>
      </c>
    </row>
    <row r="343" spans="3:26" ht="15.75" hidden="1" customHeight="1" outlineLevel="1">
      <c r="C343" s="110"/>
      <c r="D343" s="482" t="s">
        <v>1547</v>
      </c>
      <c r="E343" s="100"/>
      <c r="F343" s="100"/>
      <c r="G343" s="83"/>
      <c r="H343" s="83"/>
      <c r="I343" s="83"/>
      <c r="J343" s="83"/>
      <c r="K343" s="83">
        <v>0.1</v>
      </c>
      <c r="L343" s="83">
        <v>4.2999999999999997E-2</v>
      </c>
      <c r="M343" s="83">
        <f>L343</f>
        <v>4.2999999999999997E-2</v>
      </c>
      <c r="N343" s="83">
        <v>4.2999999999999997E-2</v>
      </c>
      <c r="O343" s="83">
        <f>N343</f>
        <v>4.2999999999999997E-2</v>
      </c>
      <c r="P343" s="83">
        <f t="shared" si="269"/>
        <v>4.2999999999999997E-2</v>
      </c>
      <c r="Q343" s="83">
        <v>0.05</v>
      </c>
      <c r="R343" s="83">
        <f t="shared" si="269"/>
        <v>0.05</v>
      </c>
      <c r="S343" s="83"/>
      <c r="T343" s="83"/>
      <c r="U343" s="83">
        <f>R343</f>
        <v>0.05</v>
      </c>
      <c r="V343" s="83">
        <f>R343</f>
        <v>0.05</v>
      </c>
      <c r="W343" s="83">
        <f t="shared" si="269"/>
        <v>0.05</v>
      </c>
      <c r="X343" s="83">
        <f t="shared" si="269"/>
        <v>0.05</v>
      </c>
      <c r="Y343" s="83">
        <f t="shared" si="270"/>
        <v>0.05</v>
      </c>
      <c r="Z343" s="83">
        <f t="shared" si="270"/>
        <v>0.05</v>
      </c>
    </row>
    <row r="344" spans="3:26" ht="15.75" hidden="1" customHeight="1" outlineLevel="1">
      <c r="C344" s="110"/>
      <c r="D344" s="482" t="s">
        <v>1548</v>
      </c>
      <c r="E344" s="110"/>
      <c r="F344" s="110"/>
      <c r="G344" s="110"/>
      <c r="H344" s="110"/>
      <c r="I344" s="110"/>
      <c r="J344" s="83"/>
      <c r="K344" s="83">
        <v>5.0000000000000001E-3</v>
      </c>
      <c r="L344" s="86">
        <f>L352/L323</f>
        <v>1.2116075187247664E-2</v>
      </c>
      <c r="M344" s="86">
        <f>M352/M323</f>
        <v>1.2332651849897779E-2</v>
      </c>
      <c r="N344" s="83">
        <v>0.02</v>
      </c>
      <c r="O344" s="83">
        <f>N344</f>
        <v>0.02</v>
      </c>
      <c r="P344" s="83">
        <f t="shared" si="269"/>
        <v>0.02</v>
      </c>
      <c r="Q344" s="83">
        <f t="shared" si="269"/>
        <v>0.02</v>
      </c>
      <c r="R344" s="83">
        <f t="shared" si="269"/>
        <v>0.02</v>
      </c>
      <c r="S344" s="83"/>
      <c r="T344" s="83"/>
      <c r="U344" s="83">
        <f>R344</f>
        <v>0.02</v>
      </c>
      <c r="V344" s="83">
        <f>R344</f>
        <v>0.02</v>
      </c>
      <c r="W344" s="83">
        <f t="shared" si="269"/>
        <v>0.02</v>
      </c>
      <c r="X344" s="83">
        <f t="shared" si="269"/>
        <v>0.02</v>
      </c>
      <c r="Y344" s="83">
        <f t="shared" si="270"/>
        <v>0.02</v>
      </c>
      <c r="Z344" s="83">
        <f t="shared" si="270"/>
        <v>0.02</v>
      </c>
    </row>
    <row r="345" spans="3:26" ht="15.75" hidden="1" customHeight="1" outlineLevel="1">
      <c r="C345" s="110"/>
      <c r="D345" s="482" t="s">
        <v>1549</v>
      </c>
      <c r="E345" s="100"/>
      <c r="F345" s="100"/>
      <c r="G345" s="83"/>
      <c r="H345" s="83"/>
      <c r="I345" s="83"/>
      <c r="J345" s="83"/>
      <c r="K345" s="83">
        <v>0.01</v>
      </c>
      <c r="L345" s="83">
        <f>-L353/L133</f>
        <v>0.10950582310355682</v>
      </c>
      <c r="M345" s="83">
        <f>-M353/M133</f>
        <v>8.8799386267740713E-2</v>
      </c>
      <c r="N345" s="83">
        <v>8.6999999999999994E-2</v>
      </c>
      <c r="O345" s="83">
        <f>N345</f>
        <v>8.6999999999999994E-2</v>
      </c>
      <c r="P345" s="83">
        <f t="shared" si="269"/>
        <v>8.6999999999999994E-2</v>
      </c>
      <c r="Q345" s="83">
        <f t="shared" si="269"/>
        <v>8.6999999999999994E-2</v>
      </c>
      <c r="R345" s="83">
        <f t="shared" si="269"/>
        <v>8.6999999999999994E-2</v>
      </c>
      <c r="S345" s="83"/>
      <c r="T345" s="83"/>
      <c r="U345" s="83">
        <f>R345</f>
        <v>8.6999999999999994E-2</v>
      </c>
      <c r="V345" s="83">
        <f>R345</f>
        <v>8.6999999999999994E-2</v>
      </c>
      <c r="W345" s="83">
        <f t="shared" si="269"/>
        <v>8.6999999999999994E-2</v>
      </c>
      <c r="X345" s="83">
        <f t="shared" si="269"/>
        <v>8.6999999999999994E-2</v>
      </c>
      <c r="Y345" s="83">
        <f t="shared" si="270"/>
        <v>8.6999999999999994E-2</v>
      </c>
      <c r="Z345" s="83">
        <f t="shared" si="270"/>
        <v>8.6999999999999994E-2</v>
      </c>
    </row>
    <row r="346" spans="3:26" ht="15.75" hidden="1" customHeight="1" outlineLevel="1">
      <c r="C346" s="110"/>
      <c r="D346" s="110"/>
      <c r="E346" s="100"/>
      <c r="F346" s="100"/>
      <c r="G346" s="100"/>
      <c r="H346" s="100"/>
      <c r="I346" s="100"/>
      <c r="J346" s="110"/>
      <c r="K346" s="87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3:26" ht="15.75" hidden="1" customHeight="1" outlineLevel="1">
      <c r="C347" s="110"/>
      <c r="D347" s="482" t="s">
        <v>1550</v>
      </c>
      <c r="E347" s="100"/>
      <c r="F347" s="100"/>
      <c r="G347" s="100"/>
      <c r="H347" s="100"/>
      <c r="I347" s="100"/>
      <c r="J347" s="78">
        <f>J229</f>
        <v>0</v>
      </c>
      <c r="K347" s="78">
        <v>642358.21191140509</v>
      </c>
      <c r="L347" s="78">
        <f t="shared" ref="L347:R347" si="271">-(L116+L124+L135)*0.2/12*2</f>
        <v>461790</v>
      </c>
      <c r="M347" s="78">
        <f t="shared" si="271"/>
        <v>438313.33333333331</v>
      </c>
      <c r="N347" s="78">
        <f>-(N116+N124+N135)*0.2/12*3.5</f>
        <v>1121974.7</v>
      </c>
      <c r="O347" s="78">
        <f t="shared" si="271"/>
        <v>512233.33333333331</v>
      </c>
      <c r="P347" s="78">
        <f t="shared" si="271"/>
        <v>510950</v>
      </c>
      <c r="Q347" s="78">
        <f t="shared" si="271"/>
        <v>511560</v>
      </c>
      <c r="R347" s="78">
        <f t="shared" si="271"/>
        <v>546560</v>
      </c>
      <c r="S347" s="78"/>
      <c r="T347" s="78"/>
      <c r="U347" s="78">
        <f t="shared" ref="U347:Z347" si="272">-(U116+U124+U135)*0.2/12*2</f>
        <v>546560</v>
      </c>
      <c r="V347" s="78">
        <f t="shared" si="272"/>
        <v>548468.06823557406</v>
      </c>
      <c r="W347" s="78">
        <f t="shared" si="272"/>
        <v>550456.12706180103</v>
      </c>
      <c r="X347" s="78">
        <f t="shared" si="272"/>
        <v>552527.52986745059</v>
      </c>
      <c r="Y347" s="78">
        <f t="shared" si="272"/>
        <v>554685.77062303014</v>
      </c>
      <c r="Z347" s="78">
        <f t="shared" si="272"/>
        <v>556934.48977429362</v>
      </c>
    </row>
    <row r="348" spans="3:26" ht="15.75" hidden="1" customHeight="1" outlineLevel="1">
      <c r="C348" s="76"/>
      <c r="D348" s="482" t="s">
        <v>1340</v>
      </c>
      <c r="E348" s="100"/>
      <c r="F348" s="100"/>
      <c r="G348" s="100"/>
      <c r="H348" s="100"/>
      <c r="I348" s="100"/>
      <c r="J348" s="78">
        <f>J230</f>
        <v>0</v>
      </c>
      <c r="K348" s="78">
        <f>232638.149275316+147732.972068349+121684.051100548+30130.0549412697</f>
        <v>532185.22738548275</v>
      </c>
      <c r="L348" s="78">
        <f t="shared" ref="L348:N349" si="273">L342*L$152</f>
        <v>374072.47156737238</v>
      </c>
      <c r="M348" s="78">
        <f t="shared" si="273"/>
        <v>314693.95220730064</v>
      </c>
      <c r="N348" s="78">
        <f t="shared" si="273"/>
        <v>506976.19526319677</v>
      </c>
      <c r="O348" s="78">
        <f>O342*O$152</f>
        <v>607331.08281658101</v>
      </c>
      <c r="P348" s="78">
        <f>P342*P$152</f>
        <v>583752.27106337261</v>
      </c>
      <c r="Q348" s="78">
        <f t="shared" ref="Q348:V349" si="274">Q342*Q$152</f>
        <v>893335.45611313765</v>
      </c>
      <c r="R348" s="78">
        <f t="shared" si="274"/>
        <v>1068999.9311603624</v>
      </c>
      <c r="S348" s="78"/>
      <c r="T348" s="78"/>
      <c r="U348" s="78">
        <f>U342*U$152</f>
        <v>782325.81658926397</v>
      </c>
      <c r="V348" s="78">
        <f t="shared" si="274"/>
        <v>1023197.135324718</v>
      </c>
      <c r="W348" s="78">
        <f t="shared" ref="W348:Z349" si="275">W342*W$152</f>
        <v>1023197.135324718</v>
      </c>
      <c r="X348" s="78">
        <f t="shared" si="275"/>
        <v>1023197.135324718</v>
      </c>
      <c r="Y348" s="78">
        <f t="shared" si="275"/>
        <v>1023197.135324718</v>
      </c>
      <c r="Z348" s="78">
        <f t="shared" si="275"/>
        <v>1023197.135324718</v>
      </c>
    </row>
    <row r="349" spans="3:26" ht="15.75" hidden="1" customHeight="1" outlineLevel="1">
      <c r="C349" s="76"/>
      <c r="D349" s="482" t="s">
        <v>1344</v>
      </c>
      <c r="E349" s="100"/>
      <c r="F349" s="100"/>
      <c r="G349" s="100"/>
      <c r="H349" s="100"/>
      <c r="I349" s="100"/>
      <c r="J349" s="78">
        <f>J236</f>
        <v>2357000</v>
      </c>
      <c r="K349" s="78">
        <f>K236</f>
        <v>2917132.4467810276</v>
      </c>
      <c r="L349" s="78">
        <f t="shared" si="273"/>
        <v>5361705.4257990038</v>
      </c>
      <c r="M349" s="78">
        <f t="shared" si="273"/>
        <v>4510613.3149713082</v>
      </c>
      <c r="N349" s="78">
        <f>N343*N$152</f>
        <v>3633329.3993862434</v>
      </c>
      <c r="O349" s="78">
        <f>O343*O$152</f>
        <v>4352539.4268521639</v>
      </c>
      <c r="P349" s="78">
        <f>P343*P$152</f>
        <v>4183557.9426208367</v>
      </c>
      <c r="Q349" s="78">
        <f t="shared" si="274"/>
        <v>4466677.2805656884</v>
      </c>
      <c r="R349" s="78">
        <f t="shared" si="274"/>
        <v>5344999.6558018131</v>
      </c>
      <c r="S349" s="78"/>
      <c r="T349" s="78"/>
      <c r="U349" s="78">
        <f>U343*U$152</f>
        <v>3911629.0829463201</v>
      </c>
      <c r="V349" s="78">
        <f t="shared" si="274"/>
        <v>5115985.6766235903</v>
      </c>
      <c r="W349" s="78">
        <f t="shared" si="275"/>
        <v>5115985.6766235903</v>
      </c>
      <c r="X349" s="78">
        <f t="shared" si="275"/>
        <v>5115985.6766235903</v>
      </c>
      <c r="Y349" s="78">
        <f t="shared" si="275"/>
        <v>5115985.6766235903</v>
      </c>
      <c r="Z349" s="78">
        <f t="shared" si="275"/>
        <v>5115985.6766235903</v>
      </c>
    </row>
    <row r="350" spans="3:26" ht="15.75" hidden="1" customHeight="1" outlineLevel="1">
      <c r="C350" s="76"/>
      <c r="D350" s="110" t="s">
        <v>1551</v>
      </c>
      <c r="E350" s="110"/>
      <c r="F350" s="110"/>
      <c r="G350" s="110"/>
      <c r="H350" s="110"/>
      <c r="I350" s="110"/>
      <c r="J350" s="78">
        <f t="shared" ref="J350:V350" si="276">SUM(J347:J349)</f>
        <v>2357000</v>
      </c>
      <c r="K350" s="78">
        <f t="shared" si="276"/>
        <v>4091675.8860779153</v>
      </c>
      <c r="L350" s="78">
        <f t="shared" si="276"/>
        <v>6197567.8973663766</v>
      </c>
      <c r="M350" s="78">
        <f t="shared" si="276"/>
        <v>5263620.6005119421</v>
      </c>
      <c r="N350" s="78">
        <f t="shared" si="276"/>
        <v>5262280.2946494399</v>
      </c>
      <c r="O350" s="78">
        <f t="shared" si="276"/>
        <v>5472103.8430020781</v>
      </c>
      <c r="P350" s="78">
        <f t="shared" si="276"/>
        <v>5278260.2136842087</v>
      </c>
      <c r="Q350" s="78">
        <f t="shared" si="276"/>
        <v>5871572.7366788257</v>
      </c>
      <c r="R350" s="78">
        <f t="shared" si="276"/>
        <v>6960559.5869621756</v>
      </c>
      <c r="S350" s="78"/>
      <c r="T350" s="78"/>
      <c r="U350" s="78">
        <f>SUM(U347:U349)</f>
        <v>5240514.8995355843</v>
      </c>
      <c r="V350" s="78">
        <f t="shared" si="276"/>
        <v>6687650.8801838821</v>
      </c>
      <c r="W350" s="78">
        <f>SUM(W347:W349)</f>
        <v>6689638.9390101098</v>
      </c>
      <c r="X350" s="78">
        <f>SUM(X347:X349)</f>
        <v>6691710.3418157585</v>
      </c>
      <c r="Y350" s="78">
        <f>SUM(Y347:Y349)</f>
        <v>6693868.5825713389</v>
      </c>
      <c r="Z350" s="78">
        <f>SUM(Z347:Z349)</f>
        <v>6696117.301722602</v>
      </c>
    </row>
    <row r="351" spans="3:26" ht="15.75" hidden="1" customHeight="1" outlineLevel="1">
      <c r="C351" s="76"/>
      <c r="D351" s="533" t="s">
        <v>1552</v>
      </c>
      <c r="E351" s="100"/>
      <c r="F351" s="100"/>
      <c r="G351" s="100"/>
      <c r="H351" s="100"/>
      <c r="I351" s="100"/>
      <c r="J351" s="78">
        <f t="shared" ref="J351:X351" si="277">J350-I350</f>
        <v>2357000</v>
      </c>
      <c r="K351" s="78">
        <f t="shared" si="277"/>
        <v>1734675.8860779153</v>
      </c>
      <c r="L351" s="78">
        <f t="shared" si="277"/>
        <v>2105892.0112884613</v>
      </c>
      <c r="M351" s="78">
        <f t="shared" si="277"/>
        <v>-933947.29685443453</v>
      </c>
      <c r="N351" s="78">
        <f t="shared" si="277"/>
        <v>-1340.3058625021949</v>
      </c>
      <c r="O351" s="78">
        <f t="shared" si="277"/>
        <v>209823.54835263826</v>
      </c>
      <c r="P351" s="78">
        <f t="shared" si="277"/>
        <v>-193843.62931786943</v>
      </c>
      <c r="Q351" s="78">
        <f t="shared" si="277"/>
        <v>593312.522994617</v>
      </c>
      <c r="R351" s="78">
        <f t="shared" si="277"/>
        <v>1088986.8502833499</v>
      </c>
      <c r="S351" s="78"/>
      <c r="T351" s="78"/>
      <c r="U351" s="78">
        <f>U350-Q350</f>
        <v>-631057.83714324143</v>
      </c>
      <c r="V351" s="78">
        <f>V350-R350</f>
        <v>-272908.70677829348</v>
      </c>
      <c r="W351" s="78">
        <f t="shared" si="277"/>
        <v>1988.0588262276724</v>
      </c>
      <c r="X351" s="78">
        <f t="shared" si="277"/>
        <v>2071.4028056487441</v>
      </c>
      <c r="Y351" s="78">
        <f>Y350-X350</f>
        <v>2158.2407555803657</v>
      </c>
      <c r="Z351" s="78">
        <f>Z350-Y350</f>
        <v>2248.7191512631252</v>
      </c>
    </row>
    <row r="352" spans="3:26" ht="15.75" hidden="1" customHeight="1" outlineLevel="1">
      <c r="C352" s="76"/>
      <c r="D352" s="482" t="s">
        <v>1553</v>
      </c>
      <c r="E352" s="100"/>
      <c r="F352" s="508"/>
      <c r="G352" s="508"/>
      <c r="H352" s="508"/>
      <c r="I352" s="508"/>
      <c r="J352" s="78">
        <f>J245</f>
        <v>-94036.896270456957</v>
      </c>
      <c r="K352" s="78">
        <f>68.3536564362233+1403366.06773794</f>
        <v>1403434.4213943763</v>
      </c>
      <c r="L352" s="78">
        <f>151000*1.42</f>
        <v>214420</v>
      </c>
      <c r="M352" s="78">
        <f>(86000+101000)*'Control list'!H17</f>
        <v>205700.00000000003</v>
      </c>
      <c r="N352" s="78">
        <f t="shared" ref="N352:V352" si="278">N344*N323</f>
        <v>326502</v>
      </c>
      <c r="O352" s="78">
        <f t="shared" si="278"/>
        <v>369292</v>
      </c>
      <c r="P352" s="78">
        <f t="shared" si="278"/>
        <v>356730</v>
      </c>
      <c r="Q352" s="78">
        <f t="shared" si="278"/>
        <v>361326</v>
      </c>
      <c r="R352" s="78">
        <f t="shared" si="278"/>
        <v>395661</v>
      </c>
      <c r="S352" s="78"/>
      <c r="T352" s="78"/>
      <c r="U352" s="78">
        <f>U344*U323</f>
        <v>395661</v>
      </c>
      <c r="V352" s="78">
        <f t="shared" si="278"/>
        <v>402972.46453570144</v>
      </c>
      <c r="W352" s="78">
        <f>W344*W323</f>
        <v>410727.81788676942</v>
      </c>
      <c r="X352" s="78">
        <f>X344*X323</f>
        <v>418954.48833278485</v>
      </c>
      <c r="Y352" s="78">
        <f>Y344*Y323</f>
        <v>427681.62021395244</v>
      </c>
      <c r="Z352" s="78">
        <f>Z344*Z323</f>
        <v>436940.18222235562</v>
      </c>
    </row>
    <row r="353" spans="3:58" ht="15.75" hidden="1" customHeight="1" outlineLevel="1">
      <c r="C353" s="76"/>
      <c r="D353" s="482" t="s">
        <v>1554</v>
      </c>
      <c r="E353" s="100"/>
      <c r="F353" s="114"/>
      <c r="G353" s="507"/>
      <c r="H353" s="507"/>
      <c r="I353" s="507"/>
      <c r="J353" s="78">
        <f>J244</f>
        <v>0</v>
      </c>
      <c r="K353" s="78">
        <f>264857.932038166+32817.6130687885</f>
        <v>297675.54510695447</v>
      </c>
      <c r="L353" s="78">
        <f>441000*1.42</f>
        <v>626220</v>
      </c>
      <c r="M353" s="78">
        <f>463000*'Control list'!H17</f>
        <v>509300.00000000006</v>
      </c>
      <c r="N353" s="78">
        <f t="shared" ref="N353:V353" si="279">N345*-N133</f>
        <v>449024.4</v>
      </c>
      <c r="O353" s="78">
        <f t="shared" si="279"/>
        <v>493716.3</v>
      </c>
      <c r="P353" s="78">
        <f t="shared" si="279"/>
        <v>465676.20000000007</v>
      </c>
      <c r="Q353" s="78">
        <f t="shared" si="279"/>
        <v>446792.85</v>
      </c>
      <c r="R353" s="78">
        <f t="shared" si="279"/>
        <v>475476.74999999994</v>
      </c>
      <c r="S353" s="78"/>
      <c r="T353" s="78"/>
      <c r="U353" s="78">
        <f>U345*-U133</f>
        <v>475476.74999999994</v>
      </c>
      <c r="V353" s="78">
        <f t="shared" si="279"/>
        <v>506002.14347781631</v>
      </c>
      <c r="W353" s="78">
        <f>W345*-W133</f>
        <v>538487.2534864106</v>
      </c>
      <c r="X353" s="78">
        <f>X345*-X133</f>
        <v>573057.89294556668</v>
      </c>
      <c r="Y353" s="78">
        <f>Y345*-Y133</f>
        <v>609847.95190792787</v>
      </c>
      <c r="Z353" s="78">
        <f>Z345*-Z133</f>
        <v>648999.91610729182</v>
      </c>
    </row>
    <row r="354" spans="3:58" ht="15.75" hidden="1" customHeight="1" outlineLevel="1">
      <c r="C354" s="111"/>
      <c r="D354" s="110" t="s">
        <v>1555</v>
      </c>
      <c r="E354" s="483"/>
      <c r="F354" s="534"/>
      <c r="G354" s="528"/>
      <c r="H354" s="528"/>
      <c r="I354" s="528"/>
      <c r="J354" s="78">
        <f t="shared" ref="J354:O354" si="280">SUM(J352:J353)</f>
        <v>-94036.896270456957</v>
      </c>
      <c r="K354" s="78">
        <f t="shared" si="280"/>
        <v>1701109.9665013307</v>
      </c>
      <c r="L354" s="78">
        <f t="shared" si="280"/>
        <v>840640</v>
      </c>
      <c r="M354" s="78">
        <f t="shared" si="280"/>
        <v>715000.00000000012</v>
      </c>
      <c r="N354" s="78">
        <f>SUM(N352:N353)</f>
        <v>775526.40000000002</v>
      </c>
      <c r="O354" s="78">
        <f t="shared" si="280"/>
        <v>863008.3</v>
      </c>
      <c r="P354" s="78">
        <f t="shared" ref="P354:X354" si="281">SUM(P352:P353)</f>
        <v>822406.20000000007</v>
      </c>
      <c r="Q354" s="78">
        <f t="shared" si="281"/>
        <v>808118.85</v>
      </c>
      <c r="R354" s="78">
        <f t="shared" si="281"/>
        <v>871137.75</v>
      </c>
      <c r="S354" s="78"/>
      <c r="T354" s="78"/>
      <c r="U354" s="78">
        <f>SUM(U352:U353)</f>
        <v>871137.75</v>
      </c>
      <c r="V354" s="78">
        <f t="shared" si="281"/>
        <v>908974.60801351769</v>
      </c>
      <c r="W354" s="78">
        <f t="shared" si="281"/>
        <v>949215.07137318002</v>
      </c>
      <c r="X354" s="78">
        <f t="shared" si="281"/>
        <v>992012.38127835153</v>
      </c>
      <c r="Y354" s="78">
        <f>SUM(Y352:Y353)</f>
        <v>1037529.5721218803</v>
      </c>
      <c r="Z354" s="78">
        <f>SUM(Z352:Z353)</f>
        <v>1085940.0983296474</v>
      </c>
    </row>
    <row r="355" spans="3:58" ht="15.75" hidden="1" customHeight="1" outlineLevel="1">
      <c r="C355" s="111"/>
      <c r="D355" s="533" t="s">
        <v>1556</v>
      </c>
      <c r="E355" s="483"/>
      <c r="F355" s="534"/>
      <c r="G355" s="82"/>
      <c r="H355" s="82"/>
      <c r="I355" s="82"/>
      <c r="J355" s="78">
        <f t="shared" ref="J355:X355" si="282">J354-I354</f>
        <v>-94036.896270456957</v>
      </c>
      <c r="K355" s="78">
        <f t="shared" si="282"/>
        <v>1795146.8627717877</v>
      </c>
      <c r="L355" s="78">
        <f t="shared" si="282"/>
        <v>-860469.96650133072</v>
      </c>
      <c r="M355" s="78">
        <f t="shared" si="282"/>
        <v>-125639.99999999988</v>
      </c>
      <c r="N355" s="78">
        <f t="shared" si="282"/>
        <v>60526.399999999907</v>
      </c>
      <c r="O355" s="78">
        <f t="shared" si="282"/>
        <v>87481.900000000023</v>
      </c>
      <c r="P355" s="78">
        <f t="shared" si="282"/>
        <v>-40602.099999999977</v>
      </c>
      <c r="Q355" s="78">
        <f t="shared" si="282"/>
        <v>-14287.350000000093</v>
      </c>
      <c r="R355" s="78">
        <f t="shared" si="282"/>
        <v>63018.900000000023</v>
      </c>
      <c r="S355" s="78"/>
      <c r="T355" s="78"/>
      <c r="U355" s="78">
        <f>U354-Q354</f>
        <v>63018.900000000023</v>
      </c>
      <c r="V355" s="78">
        <f>V354-R354</f>
        <v>37836.858013517689</v>
      </c>
      <c r="W355" s="78">
        <f t="shared" si="282"/>
        <v>40240.463359662332</v>
      </c>
      <c r="X355" s="78">
        <f t="shared" si="282"/>
        <v>42797.309905171511</v>
      </c>
      <c r="Y355" s="78">
        <f>Y354-X354</f>
        <v>45517.190843528719</v>
      </c>
      <c r="Z355" s="78">
        <f>Z354-Y354</f>
        <v>48410.526207767194</v>
      </c>
    </row>
    <row r="356" spans="3:58" ht="15.75" hidden="1" customHeight="1" outlineLevel="1">
      <c r="C356" s="111"/>
      <c r="D356" s="482" t="s">
        <v>1557</v>
      </c>
      <c r="E356" s="483"/>
      <c r="F356" s="534"/>
      <c r="G356" s="82"/>
      <c r="H356" s="82"/>
      <c r="I356" s="82"/>
      <c r="J356" s="78">
        <f t="shared" ref="J356:P356" si="283">J351-J355</f>
        <v>2451036.8962704567</v>
      </c>
      <c r="K356" s="78">
        <f t="shared" si="283"/>
        <v>-60470.976693872362</v>
      </c>
      <c r="L356" s="78">
        <f t="shared" si="283"/>
        <v>2966361.9777897922</v>
      </c>
      <c r="M356" s="78">
        <f t="shared" si="283"/>
        <v>-808307.29685443465</v>
      </c>
      <c r="N356" s="78">
        <f>N351-N355</f>
        <v>-61866.705862502102</v>
      </c>
      <c r="O356" s="78">
        <f t="shared" si="283"/>
        <v>122341.64835263824</v>
      </c>
      <c r="P356" s="78">
        <f t="shared" si="283"/>
        <v>-153241.52931786946</v>
      </c>
      <c r="Q356" s="78">
        <f t="shared" ref="Q356:Z356" si="284">Q351-Q355</f>
        <v>607599.87299461709</v>
      </c>
      <c r="R356" s="78">
        <f t="shared" si="284"/>
        <v>1025967.9502833498</v>
      </c>
      <c r="S356" s="78"/>
      <c r="T356" s="78"/>
      <c r="U356" s="78">
        <f>U351-U355</f>
        <v>-694076.73714324145</v>
      </c>
      <c r="V356" s="78">
        <f t="shared" si="284"/>
        <v>-310745.56479181116</v>
      </c>
      <c r="W356" s="78">
        <f t="shared" si="284"/>
        <v>-38252.404533434659</v>
      </c>
      <c r="X356" s="78">
        <f t="shared" si="284"/>
        <v>-40725.907099522767</v>
      </c>
      <c r="Y356" s="78">
        <f t="shared" si="284"/>
        <v>-43358.950087948353</v>
      </c>
      <c r="Z356" s="78">
        <f t="shared" si="284"/>
        <v>-46161.807056504069</v>
      </c>
    </row>
    <row r="357" spans="3:58" ht="15.75" customHeight="1" collapsed="1">
      <c r="C357" s="110"/>
      <c r="D357" s="482"/>
      <c r="E357" s="110"/>
      <c r="F357" s="110"/>
      <c r="G357" s="110"/>
      <c r="H357" s="110"/>
      <c r="I357" s="110"/>
      <c r="J357" s="110"/>
      <c r="K357" s="110"/>
      <c r="L357" s="571"/>
      <c r="M357" s="571"/>
      <c r="N357" s="571"/>
      <c r="O357" s="571"/>
      <c r="P357" s="571"/>
      <c r="Q357" s="571"/>
      <c r="R357" s="571"/>
      <c r="S357" s="571"/>
      <c r="T357" s="571"/>
      <c r="U357" s="571"/>
      <c r="V357" s="571"/>
      <c r="W357" s="571"/>
      <c r="X357" s="571"/>
      <c r="Y357" s="571"/>
      <c r="Z357" s="571"/>
    </row>
    <row r="358" spans="3:58" ht="15.75" customHeight="1">
      <c r="C358" s="111"/>
      <c r="D358" s="102"/>
      <c r="E358" s="102"/>
      <c r="F358" s="102"/>
      <c r="G358" s="102"/>
      <c r="H358" s="102"/>
      <c r="I358" s="102"/>
      <c r="J358" s="102"/>
      <c r="K358" s="102"/>
      <c r="L358" s="121"/>
      <c r="M358" s="121"/>
      <c r="N358" s="118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</row>
    <row r="359" spans="3:58" ht="15.75" customHeight="1">
      <c r="D359" s="461"/>
      <c r="E359" s="81"/>
      <c r="F359" s="81"/>
      <c r="G359" s="81"/>
      <c r="H359" s="81"/>
      <c r="I359" s="81"/>
      <c r="J359" s="81"/>
      <c r="K359" s="81"/>
    </row>
    <row r="360" spans="3:58" ht="27" customHeight="1">
      <c r="D360" s="462" t="s">
        <v>267</v>
      </c>
      <c r="M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spans="3:58" ht="3" customHeight="1">
      <c r="D361" s="464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</row>
    <row r="362" spans="3:58" ht="15.75" customHeight="1"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</row>
    <row r="363" spans="3:58" ht="15.75" customHeight="1">
      <c r="D363" s="467"/>
      <c r="E363" s="468"/>
      <c r="F363" s="468"/>
      <c r="G363" s="468"/>
      <c r="H363" s="468"/>
      <c r="I363" s="91"/>
      <c r="J363" s="91"/>
      <c r="K363" s="91"/>
      <c r="L363" s="91"/>
      <c r="M363" s="135"/>
      <c r="N363" s="135"/>
      <c r="O363" s="135"/>
      <c r="P363" s="135"/>
      <c r="Q363" s="135"/>
      <c r="R363" s="135"/>
      <c r="S363" s="135"/>
      <c r="T363" s="135"/>
      <c r="U363" s="135"/>
      <c r="V363" s="135"/>
      <c r="W363" s="135"/>
      <c r="X363" s="135"/>
      <c r="Y363" s="135"/>
      <c r="Z363" s="135"/>
    </row>
    <row r="364" spans="3:58" ht="15.75" customHeight="1">
      <c r="C364" s="91"/>
      <c r="D364" s="546"/>
      <c r="E364" s="106"/>
      <c r="F364" s="106"/>
      <c r="G364" s="106"/>
      <c r="H364" s="546"/>
      <c r="I364" s="546"/>
      <c r="J364" s="92">
        <f t="shared" ref="J364:M366" si="285">J318</f>
        <v>0</v>
      </c>
      <c r="K364" s="92">
        <f t="shared" si="285"/>
        <v>1</v>
      </c>
      <c r="L364" s="92">
        <f t="shared" si="285"/>
        <v>2</v>
      </c>
      <c r="M364" s="136">
        <f t="shared" si="285"/>
        <v>3</v>
      </c>
      <c r="N364" s="136">
        <f t="shared" ref="N364:P366" si="286">N318</f>
        <v>4</v>
      </c>
      <c r="O364" s="136">
        <f t="shared" si="286"/>
        <v>5</v>
      </c>
      <c r="P364" s="136">
        <f t="shared" si="286"/>
        <v>6</v>
      </c>
      <c r="Q364" s="136">
        <f t="shared" ref="Q364:R366" si="287">Q318</f>
        <v>7</v>
      </c>
      <c r="R364" s="136">
        <f t="shared" ref="R364:Z364" si="288">R318</f>
        <v>8</v>
      </c>
      <c r="S364" s="136"/>
      <c r="T364" s="136"/>
      <c r="U364" s="136" t="str">
        <f>U318</f>
        <v>Revised</v>
      </c>
      <c r="V364" s="136">
        <f t="shared" si="288"/>
        <v>9</v>
      </c>
      <c r="W364" s="136">
        <f t="shared" si="288"/>
        <v>10</v>
      </c>
      <c r="X364" s="136">
        <f t="shared" si="288"/>
        <v>11</v>
      </c>
      <c r="Y364" s="136">
        <f t="shared" si="288"/>
        <v>12</v>
      </c>
      <c r="Z364" s="136">
        <f t="shared" si="288"/>
        <v>13</v>
      </c>
      <c r="AA364" s="447"/>
      <c r="AB364" s="447"/>
      <c r="AC364" s="447"/>
      <c r="AD364" s="447"/>
      <c r="AE364" s="447"/>
      <c r="AF364" s="447"/>
      <c r="AG364" s="447"/>
      <c r="AH364" s="447"/>
      <c r="AI364" s="447"/>
      <c r="AJ364" s="447"/>
      <c r="AK364" s="447"/>
      <c r="AL364" s="447"/>
      <c r="AM364" s="447"/>
      <c r="AN364" s="447"/>
      <c r="AO364" s="447"/>
      <c r="AP364" s="447"/>
      <c r="AQ364" s="447"/>
      <c r="AR364" s="447"/>
      <c r="AS364" s="447"/>
      <c r="AT364" s="447"/>
      <c r="AU364" s="447"/>
      <c r="AV364" s="447"/>
      <c r="AW364" s="447"/>
      <c r="AX364" s="447"/>
      <c r="AY364" s="447"/>
      <c r="AZ364" s="447"/>
      <c r="BA364" s="447"/>
      <c r="BB364" s="447"/>
      <c r="BC364" s="447"/>
      <c r="BD364" s="447"/>
      <c r="BE364" s="447"/>
      <c r="BF364" s="447"/>
    </row>
    <row r="365" spans="3:58" ht="15.75" customHeight="1">
      <c r="C365" s="91"/>
      <c r="D365" s="548"/>
      <c r="E365" s="469"/>
      <c r="F365" s="469"/>
      <c r="G365" s="469"/>
      <c r="H365" s="548"/>
      <c r="I365" s="548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447"/>
      <c r="AB365" s="447"/>
      <c r="AC365" s="447"/>
      <c r="AD365" s="447"/>
      <c r="AE365" s="447"/>
      <c r="AF365" s="447"/>
      <c r="AG365" s="447"/>
      <c r="AH365" s="447"/>
      <c r="AI365" s="447"/>
      <c r="AJ365" s="447"/>
      <c r="AK365" s="447"/>
      <c r="AL365" s="447"/>
      <c r="AM365" s="447"/>
      <c r="AN365" s="447"/>
      <c r="AO365" s="447"/>
      <c r="AP365" s="447"/>
      <c r="AQ365" s="447"/>
      <c r="AR365" s="447"/>
      <c r="AS365" s="447"/>
      <c r="AT365" s="447"/>
      <c r="AU365" s="447"/>
      <c r="AV365" s="447"/>
      <c r="AW365" s="447"/>
      <c r="AX365" s="447"/>
      <c r="AY365" s="447"/>
      <c r="AZ365" s="447"/>
      <c r="BA365" s="447"/>
      <c r="BB365" s="447"/>
      <c r="BC365" s="447"/>
      <c r="BD365" s="447"/>
      <c r="BE365" s="447"/>
      <c r="BF365" s="447"/>
    </row>
    <row r="366" spans="3:58" ht="15.75" customHeight="1">
      <c r="C366" s="91"/>
      <c r="D366" s="471"/>
      <c r="E366" s="472"/>
      <c r="F366" s="506"/>
      <c r="G366" s="506"/>
      <c r="H366" s="471"/>
      <c r="I366" s="471"/>
      <c r="J366" s="94" t="str">
        <f t="shared" si="285"/>
        <v>($)</v>
      </c>
      <c r="K366" s="94" t="str">
        <f t="shared" si="285"/>
        <v>($)</v>
      </c>
      <c r="L366" s="94" t="str">
        <f t="shared" si="285"/>
        <v>($)</v>
      </c>
      <c r="M366" s="94" t="str">
        <f t="shared" si="285"/>
        <v>($)</v>
      </c>
      <c r="N366" s="94" t="str">
        <f t="shared" si="286"/>
        <v>($)</v>
      </c>
      <c r="O366" s="94" t="str">
        <f t="shared" si="286"/>
        <v>($)</v>
      </c>
      <c r="P366" s="94" t="str">
        <f t="shared" si="286"/>
        <v>($)</v>
      </c>
      <c r="Q366" s="94" t="str">
        <f t="shared" si="287"/>
        <v>($)</v>
      </c>
      <c r="R366" s="94" t="str">
        <f t="shared" si="287"/>
        <v>($)</v>
      </c>
      <c r="S366" s="94"/>
      <c r="T366" s="94"/>
      <c r="U366" s="94" t="str">
        <f>U320</f>
        <v>($)</v>
      </c>
      <c r="V366" s="94" t="str">
        <f t="shared" ref="V366:X366" si="289">V320</f>
        <v>($)</v>
      </c>
      <c r="W366" s="94" t="str">
        <f t="shared" si="289"/>
        <v>($)</v>
      </c>
      <c r="X366" s="94" t="str">
        <f t="shared" si="289"/>
        <v>($)</v>
      </c>
      <c r="Y366" s="94" t="str">
        <f>Y320</f>
        <v>($)</v>
      </c>
      <c r="Z366" s="94" t="str">
        <f>Z320</f>
        <v>($)</v>
      </c>
      <c r="AA366" s="447"/>
      <c r="AB366" s="447"/>
      <c r="AC366" s="447"/>
      <c r="AD366" s="447"/>
      <c r="AE366" s="447"/>
      <c r="AF366" s="447"/>
      <c r="AG366" s="447"/>
      <c r="AH366" s="447"/>
      <c r="AI366" s="447"/>
      <c r="AJ366" s="447"/>
      <c r="AK366" s="447"/>
      <c r="AL366" s="447"/>
      <c r="AM366" s="447"/>
      <c r="AN366" s="447"/>
      <c r="AO366" s="447"/>
      <c r="AP366" s="447"/>
      <c r="AQ366" s="447"/>
      <c r="AR366" s="447"/>
      <c r="AS366" s="447"/>
      <c r="AT366" s="447"/>
      <c r="AU366" s="447"/>
      <c r="AV366" s="447"/>
      <c r="AW366" s="447"/>
      <c r="AX366" s="447"/>
      <c r="AY366" s="447"/>
      <c r="AZ366" s="447"/>
      <c r="BA366" s="447"/>
      <c r="BB366" s="447"/>
      <c r="BC366" s="447"/>
      <c r="BD366" s="447"/>
      <c r="BE366" s="447"/>
      <c r="BF366" s="447"/>
    </row>
    <row r="367" spans="3:58" ht="15.75" customHeight="1">
      <c r="D367" s="461"/>
      <c r="E367" s="81"/>
      <c r="F367" s="81"/>
      <c r="G367" s="81"/>
      <c r="H367" s="81"/>
      <c r="I367" s="81"/>
      <c r="J367" s="81"/>
      <c r="K367" s="81"/>
    </row>
    <row r="368" spans="3:58" ht="15.75" customHeight="1">
      <c r="C368" s="76"/>
      <c r="D368" s="110" t="s">
        <v>270</v>
      </c>
      <c r="E368" s="110"/>
      <c r="F368" s="110"/>
      <c r="G368" s="110"/>
      <c r="H368" s="110"/>
      <c r="I368" s="110"/>
      <c r="J368" s="78"/>
      <c r="K368" s="78">
        <f t="shared" ref="K368:P368" si="290">K152</f>
        <v>39728983.280000001</v>
      </c>
      <c r="L368" s="78">
        <f t="shared" si="290"/>
        <v>124690823.85579079</v>
      </c>
      <c r="M368" s="78">
        <f t="shared" si="290"/>
        <v>104897984.0691002</v>
      </c>
      <c r="N368" s="78">
        <f>N152</f>
        <v>84496032.543866128</v>
      </c>
      <c r="O368" s="78">
        <f t="shared" si="290"/>
        <v>101221847.13609684</v>
      </c>
      <c r="P368" s="78">
        <f t="shared" si="290"/>
        <v>97292045.177228764</v>
      </c>
      <c r="Q368" s="78">
        <f t="shared" ref="Q368:Z368" si="291">Q152</f>
        <v>89333545.61131376</v>
      </c>
      <c r="R368" s="78">
        <f t="shared" si="291"/>
        <v>106899993.11603625</v>
      </c>
      <c r="S368" s="78"/>
      <c r="T368" s="78"/>
      <c r="U368" s="78">
        <f>U152</f>
        <v>78232581.658926398</v>
      </c>
      <c r="V368" s="78">
        <f t="shared" si="291"/>
        <v>102319713.53247179</v>
      </c>
      <c r="W368" s="78">
        <f t="shared" si="291"/>
        <v>102319713.53247179</v>
      </c>
      <c r="X368" s="78">
        <f t="shared" si="291"/>
        <v>102319713.53247179</v>
      </c>
      <c r="Y368" s="78">
        <f t="shared" si="291"/>
        <v>102319713.53247179</v>
      </c>
      <c r="Z368" s="78">
        <f t="shared" si="291"/>
        <v>102319713.53247179</v>
      </c>
    </row>
    <row r="369" spans="3:26" ht="15.75" customHeight="1">
      <c r="C369" s="76"/>
      <c r="D369" s="110" t="s">
        <v>271</v>
      </c>
      <c r="E369" s="110"/>
      <c r="F369" s="110"/>
      <c r="G369" s="110"/>
      <c r="H369" s="110"/>
      <c r="I369" s="110"/>
      <c r="J369" s="79"/>
      <c r="K369" s="79">
        <f>K368*K370</f>
        <v>1986449.1640000001</v>
      </c>
      <c r="L369" s="79">
        <f>5023000*1.35</f>
        <v>6781050</v>
      </c>
      <c r="M369" s="79">
        <f>3308000*'Control list'!H19</f>
        <v>3638800.0000000005</v>
      </c>
      <c r="N369" s="79">
        <f>1566000*'Control list'!I17</f>
        <v>1722600.0000000002</v>
      </c>
      <c r="O369" s="79">
        <f>1851000*'Control list'!J17</f>
        <v>2036100.0000000002</v>
      </c>
      <c r="P369" s="1320">
        <f>(3384000)*'Control list'!K17</f>
        <v>3722400.0000000005</v>
      </c>
      <c r="Q369" s="1320">
        <f>(6037000)*'Control list'!L17</f>
        <v>6338850</v>
      </c>
      <c r="R369" s="1320">
        <f>(7012000)*'Control list'!M17</f>
        <v>7362600</v>
      </c>
      <c r="S369" s="1320"/>
      <c r="T369" s="1320"/>
      <c r="U369" s="1320">
        <f>(7012000)*'Control list'!P17</f>
        <v>7362600</v>
      </c>
      <c r="V369" s="79">
        <f>V370*V368</f>
        <v>5115985.6766235903</v>
      </c>
      <c r="W369" s="79">
        <f>W370*W368</f>
        <v>5115985.6766235903</v>
      </c>
      <c r="X369" s="79">
        <f>X370*X368</f>
        <v>5115985.6766235903</v>
      </c>
      <c r="Y369" s="79">
        <f>Y370*Y368</f>
        <v>5115985.6766235903</v>
      </c>
      <c r="Z369" s="79">
        <f>Z370*Z368</f>
        <v>5115985.6766235903</v>
      </c>
    </row>
    <row r="370" spans="3:26" ht="15.75" customHeight="1">
      <c r="C370" s="76"/>
      <c r="D370" s="110" t="s">
        <v>272</v>
      </c>
      <c r="E370" s="110"/>
      <c r="F370" s="110"/>
      <c r="G370" s="110"/>
      <c r="H370" s="110"/>
      <c r="I370" s="110"/>
      <c r="J370" s="125"/>
      <c r="K370" s="125">
        <v>0.05</v>
      </c>
      <c r="L370" s="125">
        <f t="shared" ref="L370:R370" si="292">L369/L368</f>
        <v>5.438291119034161E-2</v>
      </c>
      <c r="M370" s="125">
        <f t="shared" si="292"/>
        <v>3.4688941186924886E-2</v>
      </c>
      <c r="N370" s="125">
        <f t="shared" si="292"/>
        <v>2.0386756018464087E-2</v>
      </c>
      <c r="O370" s="125">
        <f t="shared" si="292"/>
        <v>2.0115222727188353E-2</v>
      </c>
      <c r="P370" s="125">
        <f t="shared" si="292"/>
        <v>3.826006528302716E-2</v>
      </c>
      <c r="Q370" s="125">
        <f t="shared" si="292"/>
        <v>7.0957107507856582E-2</v>
      </c>
      <c r="R370" s="125">
        <f t="shared" si="292"/>
        <v>6.8873718186381466E-2</v>
      </c>
      <c r="S370" s="125"/>
      <c r="T370" s="125"/>
      <c r="U370" s="125">
        <f>U369/U368</f>
        <v>9.411168395412299E-2</v>
      </c>
      <c r="V370" s="125">
        <v>0.05</v>
      </c>
      <c r="W370" s="125">
        <f>V370</f>
        <v>0.05</v>
      </c>
      <c r="X370" s="125">
        <f>W370</f>
        <v>0.05</v>
      </c>
      <c r="Y370" s="125">
        <f>X370</f>
        <v>0.05</v>
      </c>
      <c r="Z370" s="125">
        <f>Y370</f>
        <v>0.05</v>
      </c>
    </row>
    <row r="371" spans="3:26" ht="6" customHeight="1">
      <c r="C371" s="111"/>
      <c r="D371" s="110"/>
      <c r="E371" s="110"/>
      <c r="F371" s="110"/>
      <c r="G371" s="110"/>
      <c r="H371" s="110"/>
      <c r="I371" s="110"/>
      <c r="J371" s="86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spans="3:26" ht="15.75" customHeight="1">
      <c r="C372" s="111"/>
      <c r="D372" s="111" t="s">
        <v>273</v>
      </c>
      <c r="E372" s="111"/>
      <c r="F372" s="110"/>
      <c r="G372" s="110"/>
      <c r="H372" s="110"/>
      <c r="I372" s="110"/>
      <c r="J372" s="80"/>
      <c r="K372" s="126">
        <f t="shared" ref="K372:X372" si="293">J376</f>
        <v>0</v>
      </c>
      <c r="L372" s="126">
        <f t="shared" si="293"/>
        <v>11844778</v>
      </c>
      <c r="M372" s="126">
        <f t="shared" ca="1" si="293"/>
        <v>15650554.951722221</v>
      </c>
      <c r="N372" s="80">
        <f t="shared" ca="1" si="293"/>
        <v>15991862.889555557</v>
      </c>
      <c r="O372" s="126">
        <f t="shared" ca="1" si="293"/>
        <v>14548495.794055559</v>
      </c>
      <c r="P372" s="126">
        <f t="shared" ca="1" si="293"/>
        <v>13375140.704111114</v>
      </c>
      <c r="Q372" s="126">
        <f t="shared" ca="1" si="293"/>
        <v>13857200.975277781</v>
      </c>
      <c r="R372" s="126">
        <f t="shared" ca="1" si="293"/>
        <v>16655904.732555559</v>
      </c>
      <c r="S372" s="126"/>
      <c r="T372" s="126"/>
      <c r="U372" s="126">
        <f ca="1">Q376</f>
        <v>16655904.732555559</v>
      </c>
      <c r="V372" s="126">
        <f ca="1">R376</f>
        <v>19951039.475944448</v>
      </c>
      <c r="W372" s="126">
        <f t="shared" ca="1" si="293"/>
        <v>20672822.975029066</v>
      </c>
      <c r="X372" s="126">
        <f t="shared" ca="1" si="293"/>
        <v>21303076.962285735</v>
      </c>
      <c r="Y372" s="126">
        <f ca="1">X376</f>
        <v>21945073.364964455</v>
      </c>
      <c r="Z372" s="126">
        <f ca="1">Y376</f>
        <v>22174996.558065224</v>
      </c>
    </row>
    <row r="373" spans="3:26" ht="15.75" customHeight="1">
      <c r="C373" s="111"/>
      <c r="D373" s="164" t="s">
        <v>271</v>
      </c>
      <c r="E373" s="111"/>
      <c r="F373" s="110"/>
      <c r="G373" s="110"/>
      <c r="H373" s="110"/>
      <c r="I373" s="110"/>
      <c r="J373" s="78"/>
      <c r="K373" s="78">
        <f t="shared" ref="K373:P373" si="294">K369</f>
        <v>1986449.1640000001</v>
      </c>
      <c r="L373" s="78">
        <f t="shared" si="294"/>
        <v>6781050</v>
      </c>
      <c r="M373" s="78">
        <f t="shared" si="294"/>
        <v>3638800.0000000005</v>
      </c>
      <c r="N373" s="78">
        <f t="shared" si="294"/>
        <v>1722600.0000000002</v>
      </c>
      <c r="O373" s="78">
        <f>O369</f>
        <v>2036100.0000000002</v>
      </c>
      <c r="P373" s="78">
        <f t="shared" si="294"/>
        <v>3722400.0000000005</v>
      </c>
      <c r="Q373" s="78">
        <f t="shared" ref="Q373:Z373" si="295">Q369</f>
        <v>6338850</v>
      </c>
      <c r="R373" s="78">
        <f t="shared" si="295"/>
        <v>7362600</v>
      </c>
      <c r="S373" s="78"/>
      <c r="T373" s="78"/>
      <c r="U373" s="78">
        <f>U369</f>
        <v>7362600</v>
      </c>
      <c r="V373" s="78">
        <f t="shared" si="295"/>
        <v>5115985.6766235903</v>
      </c>
      <c r="W373" s="78">
        <f t="shared" si="295"/>
        <v>5115985.6766235903</v>
      </c>
      <c r="X373" s="78">
        <f t="shared" si="295"/>
        <v>5115985.6766235903</v>
      </c>
      <c r="Y373" s="78">
        <f t="shared" si="295"/>
        <v>5115985.6766235903</v>
      </c>
      <c r="Z373" s="78">
        <f t="shared" si="295"/>
        <v>5115985.6766235903</v>
      </c>
    </row>
    <row r="374" spans="3:26" ht="15.75" customHeight="1">
      <c r="C374" s="111"/>
      <c r="D374" s="164" t="s">
        <v>268</v>
      </c>
      <c r="E374" s="111"/>
      <c r="F374" s="110"/>
      <c r="G374" s="110"/>
      <c r="H374" s="110"/>
      <c r="I374" s="110"/>
      <c r="J374" s="80"/>
      <c r="K374" s="80">
        <f t="shared" ref="K374:P374" ca="1" si="296">-K407</f>
        <v>-2756325.9616388888</v>
      </c>
      <c r="L374" s="80">
        <f t="shared" ca="1" si="296"/>
        <v>-2975273.0482777781</v>
      </c>
      <c r="M374" s="80">
        <f ca="1">-M407</f>
        <v>-3297492.0621666666</v>
      </c>
      <c r="N374" s="80">
        <f ca="1">-N407</f>
        <v>-3165967.0954999998</v>
      </c>
      <c r="O374" s="80">
        <f ca="1">-O407</f>
        <v>-3209455.0899444446</v>
      </c>
      <c r="P374" s="80">
        <f t="shared" ca="1" si="296"/>
        <v>-3240339.7288333336</v>
      </c>
      <c r="Q374" s="80">
        <f t="shared" ref="Q374:Z374" ca="1" si="297">-Q407</f>
        <v>-3540146.2427222221</v>
      </c>
      <c r="R374" s="80">
        <f t="shared" ca="1" si="297"/>
        <v>-4067465.2566111111</v>
      </c>
      <c r="S374" s="80"/>
      <c r="T374" s="80"/>
      <c r="U374" s="80">
        <f ca="1">-U407</f>
        <v>-4067465.2566111111</v>
      </c>
      <c r="V374" s="80">
        <f t="shared" ca="1" si="297"/>
        <v>-4394202.1775389742</v>
      </c>
      <c r="W374" s="80">
        <f t="shared" ca="1" si="297"/>
        <v>-4485731.6893669236</v>
      </c>
      <c r="X374" s="80">
        <f t="shared" ca="1" si="297"/>
        <v>-4473989.2739448715</v>
      </c>
      <c r="Y374" s="80">
        <f t="shared" ca="1" si="297"/>
        <v>-4886062.4835228212</v>
      </c>
      <c r="Z374" s="80">
        <f t="shared" si="297"/>
        <v>-5182979.4431007691</v>
      </c>
    </row>
    <row r="375" spans="3:26" ht="15.75" customHeight="1">
      <c r="C375" s="111"/>
      <c r="D375" s="164" t="s">
        <v>274</v>
      </c>
      <c r="E375" s="111"/>
      <c r="F375" s="110"/>
      <c r="G375" s="110"/>
      <c r="H375" s="110"/>
      <c r="I375" s="110"/>
      <c r="J375" s="79"/>
      <c r="K375" s="79">
        <v>0</v>
      </c>
      <c r="L375" s="79">
        <f>K375</f>
        <v>0</v>
      </c>
      <c r="M375" s="79">
        <f>L375</f>
        <v>0</v>
      </c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</row>
    <row r="376" spans="3:26" ht="15.75" customHeight="1">
      <c r="C376" s="111"/>
      <c r="D376" s="111" t="s">
        <v>275</v>
      </c>
      <c r="E376" s="111"/>
      <c r="F376" s="110"/>
      <c r="G376" s="110"/>
      <c r="H376" s="110"/>
      <c r="I376" s="110"/>
      <c r="J376" s="80"/>
      <c r="K376" s="80">
        <f>K233</f>
        <v>11844778</v>
      </c>
      <c r="L376" s="80">
        <f t="shared" ref="L376:V376" ca="1" si="298">SUM(L372:L375)</f>
        <v>15650554.951722221</v>
      </c>
      <c r="M376" s="80">
        <f t="shared" ca="1" si="298"/>
        <v>15991862.889555557</v>
      </c>
      <c r="N376" s="80">
        <f t="shared" ca="1" si="298"/>
        <v>14548495.794055559</v>
      </c>
      <c r="O376" s="80">
        <f t="shared" ca="1" si="298"/>
        <v>13375140.704111114</v>
      </c>
      <c r="P376" s="80">
        <f t="shared" ca="1" si="298"/>
        <v>13857200.975277781</v>
      </c>
      <c r="Q376" s="80">
        <f t="shared" ca="1" si="298"/>
        <v>16655904.732555559</v>
      </c>
      <c r="R376" s="80">
        <f t="shared" ca="1" si="298"/>
        <v>19951039.475944448</v>
      </c>
      <c r="S376" s="80"/>
      <c r="T376" s="80"/>
      <c r="U376" s="80">
        <f ca="1">SUM(U372:U375)</f>
        <v>19951039.475944448</v>
      </c>
      <c r="V376" s="80">
        <f t="shared" ca="1" si="298"/>
        <v>20672822.975029066</v>
      </c>
      <c r="W376" s="80">
        <f ca="1">SUM(W372:W375)</f>
        <v>21303076.962285735</v>
      </c>
      <c r="X376" s="80">
        <f ca="1">SUM(X372:X375)</f>
        <v>21945073.364964455</v>
      </c>
      <c r="Y376" s="80">
        <f ca="1">SUM(Y372:Y375)</f>
        <v>22174996.558065224</v>
      </c>
      <c r="Z376" s="80">
        <f ca="1">SUM(Z372:Z375)</f>
        <v>22108002.791588046</v>
      </c>
    </row>
    <row r="377" spans="3:26" ht="4.5" customHeight="1">
      <c r="C377" s="111"/>
      <c r="D377" s="110"/>
      <c r="E377" s="111"/>
      <c r="F377" s="110"/>
      <c r="G377" s="131"/>
      <c r="H377" s="131"/>
      <c r="I377" s="131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spans="3:26" ht="15.75" customHeight="1">
      <c r="C378" s="111"/>
      <c r="D378" s="111" t="s">
        <v>276</v>
      </c>
      <c r="E378" s="111"/>
      <c r="F378" s="110"/>
      <c r="G378" s="131"/>
      <c r="H378" s="131"/>
      <c r="I378" s="131"/>
      <c r="J378" s="80"/>
      <c r="K378" s="80"/>
      <c r="L378" s="80">
        <f t="shared" ref="L378:X378" si="299">K381</f>
        <v>38033000</v>
      </c>
      <c r="M378" s="80">
        <f t="shared" si="299"/>
        <v>35497466.666666664</v>
      </c>
      <c r="N378" s="80">
        <f t="shared" si="299"/>
        <v>32961933.333333332</v>
      </c>
      <c r="O378" s="80">
        <f t="shared" si="299"/>
        <v>30426400</v>
      </c>
      <c r="P378" s="80">
        <f t="shared" si="299"/>
        <v>27890866.666666668</v>
      </c>
      <c r="Q378" s="80">
        <f t="shared" si="299"/>
        <v>25355333.333333336</v>
      </c>
      <c r="R378" s="80">
        <f t="shared" si="299"/>
        <v>22819800.000000004</v>
      </c>
      <c r="S378" s="80"/>
      <c r="T378" s="80"/>
      <c r="U378" s="80">
        <f>Q381</f>
        <v>22819800.000000004</v>
      </c>
      <c r="V378" s="80">
        <f>R381</f>
        <v>20284266.666666672</v>
      </c>
      <c r="W378" s="80">
        <f t="shared" si="299"/>
        <v>17748733.33333334</v>
      </c>
      <c r="X378" s="80">
        <f t="shared" si="299"/>
        <v>15213200.000000006</v>
      </c>
      <c r="Y378" s="80">
        <f>X381</f>
        <v>12677666.666666672</v>
      </c>
      <c r="Z378" s="80">
        <f>Y381</f>
        <v>10142133.333333338</v>
      </c>
    </row>
    <row r="379" spans="3:26" ht="15.75" hidden="1" customHeight="1" outlineLevel="1">
      <c r="C379" s="111"/>
      <c r="D379" s="164" t="s">
        <v>277</v>
      </c>
      <c r="E379" s="111"/>
      <c r="F379" s="110"/>
      <c r="G379" s="131"/>
      <c r="H379" s="131"/>
      <c r="I379" s="80" t="s">
        <v>462</v>
      </c>
      <c r="J379" s="102"/>
      <c r="K379" s="80"/>
      <c r="L379" s="80">
        <v>0</v>
      </c>
      <c r="M379" s="80"/>
      <c r="N379" s="80">
        <v>0</v>
      </c>
      <c r="O379" s="80">
        <v>0</v>
      </c>
      <c r="P379" s="80">
        <v>0</v>
      </c>
      <c r="Q379" s="80">
        <v>0</v>
      </c>
      <c r="R379" s="80">
        <v>0</v>
      </c>
      <c r="S379" s="80"/>
      <c r="T379" s="80"/>
      <c r="U379" s="80">
        <v>0</v>
      </c>
      <c r="V379" s="80">
        <v>0</v>
      </c>
      <c r="W379" s="80">
        <v>0</v>
      </c>
      <c r="X379" s="80">
        <v>0</v>
      </c>
      <c r="Y379" s="80">
        <v>0</v>
      </c>
      <c r="Z379" s="80">
        <v>0</v>
      </c>
    </row>
    <row r="380" spans="3:26" ht="15.75" customHeight="1" collapsed="1">
      <c r="C380" s="111"/>
      <c r="D380" s="164" t="s">
        <v>278</v>
      </c>
      <c r="E380" s="111"/>
      <c r="F380" s="110"/>
      <c r="G380" s="131">
        <f>K381</f>
        <v>38033000</v>
      </c>
      <c r="H380" s="131"/>
      <c r="I380" s="80">
        <v>15</v>
      </c>
      <c r="J380" s="80" t="s">
        <v>449</v>
      </c>
      <c r="K380" s="80"/>
      <c r="L380" s="80">
        <f t="shared" ref="L380:Z380" si="300">SLN($G$380,,$I$380)</f>
        <v>2535533.3333333335</v>
      </c>
      <c r="M380" s="80">
        <f t="shared" si="300"/>
        <v>2535533.3333333335</v>
      </c>
      <c r="N380" s="80">
        <f t="shared" si="300"/>
        <v>2535533.3333333335</v>
      </c>
      <c r="O380" s="80">
        <f t="shared" si="300"/>
        <v>2535533.3333333335</v>
      </c>
      <c r="P380" s="80">
        <f t="shared" si="300"/>
        <v>2535533.3333333335</v>
      </c>
      <c r="Q380" s="80">
        <f t="shared" si="300"/>
        <v>2535533.3333333335</v>
      </c>
      <c r="R380" s="80">
        <f t="shared" si="300"/>
        <v>2535533.3333333335</v>
      </c>
      <c r="S380" s="80"/>
      <c r="T380" s="80"/>
      <c r="U380" s="80">
        <f t="shared" si="300"/>
        <v>2535533.3333333335</v>
      </c>
      <c r="V380" s="80">
        <f t="shared" si="300"/>
        <v>2535533.3333333335</v>
      </c>
      <c r="W380" s="80">
        <f t="shared" si="300"/>
        <v>2535533.3333333335</v>
      </c>
      <c r="X380" s="80">
        <f t="shared" si="300"/>
        <v>2535533.3333333335</v>
      </c>
      <c r="Y380" s="80">
        <f t="shared" si="300"/>
        <v>2535533.3333333335</v>
      </c>
      <c r="Z380" s="80">
        <f t="shared" si="300"/>
        <v>2535533.3333333335</v>
      </c>
    </row>
    <row r="381" spans="3:26" ht="15.75" customHeight="1">
      <c r="C381" s="111"/>
      <c r="D381" s="111" t="s">
        <v>279</v>
      </c>
      <c r="E381" s="111"/>
      <c r="F381" s="110"/>
      <c r="G381" s="131"/>
      <c r="H381" s="131"/>
      <c r="I381" s="131"/>
      <c r="J381" s="80"/>
      <c r="K381" s="80">
        <f>K235</f>
        <v>38033000</v>
      </c>
      <c r="L381" s="80">
        <f t="shared" ref="L381:V381" si="301">L378+L379-L380</f>
        <v>35497466.666666664</v>
      </c>
      <c r="M381" s="80">
        <f t="shared" si="301"/>
        <v>32961933.333333332</v>
      </c>
      <c r="N381" s="80">
        <f t="shared" si="301"/>
        <v>30426400</v>
      </c>
      <c r="O381" s="80">
        <f t="shared" si="301"/>
        <v>27890866.666666668</v>
      </c>
      <c r="P381" s="80">
        <f t="shared" si="301"/>
        <v>25355333.333333336</v>
      </c>
      <c r="Q381" s="80">
        <f t="shared" si="301"/>
        <v>22819800.000000004</v>
      </c>
      <c r="R381" s="80">
        <f t="shared" si="301"/>
        <v>20284266.666666672</v>
      </c>
      <c r="S381" s="80"/>
      <c r="T381" s="80"/>
      <c r="U381" s="80">
        <f>U378+U379-U380</f>
        <v>20284266.666666672</v>
      </c>
      <c r="V381" s="80">
        <f t="shared" si="301"/>
        <v>17748733.33333334</v>
      </c>
      <c r="W381" s="80">
        <f>W378+W379-W380</f>
        <v>15213200.000000006</v>
      </c>
      <c r="X381" s="80">
        <f>X378+X379-X380</f>
        <v>12677666.666666672</v>
      </c>
      <c r="Y381" s="80">
        <f>Y378+Y379-Y380</f>
        <v>10142133.333333338</v>
      </c>
      <c r="Z381" s="80">
        <f>Z378+Z379-Z380</f>
        <v>7606600.0000000037</v>
      </c>
    </row>
    <row r="382" spans="3:26" ht="15.75" customHeight="1">
      <c r="C382" s="111"/>
      <c r="D382" s="110"/>
      <c r="E382" s="111"/>
      <c r="F382" s="110"/>
      <c r="G382" s="131"/>
      <c r="H382" s="131"/>
      <c r="I382" s="131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spans="3:26" ht="15.75" customHeight="1">
      <c r="C383" s="111"/>
      <c r="D383" s="111" t="s">
        <v>269</v>
      </c>
      <c r="E383" s="111"/>
      <c r="F383" s="110"/>
      <c r="G383" s="131"/>
      <c r="H383" s="131"/>
      <c r="I383" s="131"/>
      <c r="J383" s="80"/>
      <c r="K383" s="80"/>
      <c r="L383" s="80">
        <f t="shared" ref="L383:X383" si="302">K387</f>
        <v>7656850.2746509202</v>
      </c>
      <c r="M383" s="80">
        <f t="shared" si="302"/>
        <v>7465429.0177846476</v>
      </c>
      <c r="N383" s="80">
        <f t="shared" si="302"/>
        <v>7274007.7609183751</v>
      </c>
      <c r="O383" s="80">
        <f t="shared" si="302"/>
        <v>7082586.5040521026</v>
      </c>
      <c r="P383" s="80">
        <f t="shared" si="302"/>
        <v>6891165.24718583</v>
      </c>
      <c r="Q383" s="80">
        <f t="shared" si="302"/>
        <v>6699743.9903195575</v>
      </c>
      <c r="R383" s="80">
        <f t="shared" si="302"/>
        <v>6508322.7334532849</v>
      </c>
      <c r="S383" s="80"/>
      <c r="T383" s="80"/>
      <c r="U383" s="80">
        <f>Q387</f>
        <v>6508322.7334532849</v>
      </c>
      <c r="V383" s="80">
        <f>R387</f>
        <v>6316901.4765870124</v>
      </c>
      <c r="W383" s="80">
        <f t="shared" si="302"/>
        <v>6125480.2197207399</v>
      </c>
      <c r="X383" s="80">
        <f t="shared" si="302"/>
        <v>5934058.9628544673</v>
      </c>
      <c r="Y383" s="80">
        <f>X387</f>
        <v>5742637.7059881948</v>
      </c>
      <c r="Z383" s="80">
        <f>Y387</f>
        <v>5551216.4491219223</v>
      </c>
    </row>
    <row r="384" spans="3:26" ht="15.75" hidden="1" customHeight="1" outlineLevel="1">
      <c r="C384" s="111"/>
      <c r="D384" s="164" t="s">
        <v>281</v>
      </c>
      <c r="E384" s="111"/>
      <c r="F384" s="110"/>
      <c r="G384" s="131"/>
      <c r="H384" s="131"/>
      <c r="I384" s="131"/>
      <c r="J384" s="80"/>
      <c r="K384" s="80"/>
      <c r="L384" s="80">
        <v>0</v>
      </c>
      <c r="M384" s="80">
        <v>0</v>
      </c>
      <c r="N384" s="80">
        <v>0</v>
      </c>
      <c r="O384" s="80">
        <v>0</v>
      </c>
      <c r="P384" s="80">
        <v>0</v>
      </c>
      <c r="Q384" s="80">
        <v>0</v>
      </c>
      <c r="R384" s="80">
        <v>0</v>
      </c>
      <c r="S384" s="80"/>
      <c r="T384" s="80"/>
      <c r="U384" s="80">
        <v>0</v>
      </c>
      <c r="V384" s="80">
        <v>0</v>
      </c>
      <c r="W384" s="80">
        <v>0</v>
      </c>
      <c r="X384" s="80">
        <v>0</v>
      </c>
      <c r="Y384" s="80">
        <v>0</v>
      </c>
      <c r="Z384" s="80">
        <v>0</v>
      </c>
    </row>
    <row r="385" spans="3:26" ht="15.75" hidden="1" customHeight="1" outlineLevel="1">
      <c r="C385" s="111"/>
      <c r="D385" s="164" t="s">
        <v>280</v>
      </c>
      <c r="E385" s="111"/>
      <c r="F385" s="110"/>
      <c r="G385" s="131"/>
      <c r="H385" s="131"/>
      <c r="I385" s="131"/>
      <c r="J385" s="80"/>
      <c r="K385" s="80"/>
      <c r="L385" s="80">
        <v>0</v>
      </c>
      <c r="M385" s="80">
        <v>0</v>
      </c>
      <c r="N385" s="80">
        <v>0</v>
      </c>
      <c r="O385" s="80">
        <v>0</v>
      </c>
      <c r="P385" s="80">
        <v>0</v>
      </c>
      <c r="Q385" s="80">
        <v>0</v>
      </c>
      <c r="R385" s="80">
        <v>0</v>
      </c>
      <c r="S385" s="80"/>
      <c r="T385" s="80"/>
      <c r="U385" s="80">
        <v>0</v>
      </c>
      <c r="V385" s="80">
        <v>0</v>
      </c>
      <c r="W385" s="80">
        <v>0</v>
      </c>
      <c r="X385" s="80">
        <v>0</v>
      </c>
      <c r="Y385" s="80">
        <v>0</v>
      </c>
      <c r="Z385" s="80">
        <v>0</v>
      </c>
    </row>
    <row r="386" spans="3:26" ht="15.75" customHeight="1" collapsed="1">
      <c r="C386" s="111"/>
      <c r="D386" s="164" t="s">
        <v>186</v>
      </c>
      <c r="E386" s="111"/>
      <c r="F386" s="110"/>
      <c r="G386" s="131">
        <f>K234</f>
        <v>7656850.2746509202</v>
      </c>
      <c r="H386" s="131"/>
      <c r="I386" s="80">
        <v>40</v>
      </c>
      <c r="J386" s="80" t="s">
        <v>449</v>
      </c>
      <c r="K386" s="80"/>
      <c r="L386" s="80">
        <f t="shared" ref="L386:Z386" si="303">SLN($G$386,,$I$386)</f>
        <v>191421.256866273</v>
      </c>
      <c r="M386" s="80">
        <f t="shared" si="303"/>
        <v>191421.256866273</v>
      </c>
      <c r="N386" s="80">
        <f>SLN($G$386,,$I$386)</f>
        <v>191421.256866273</v>
      </c>
      <c r="O386" s="80">
        <f t="shared" si="303"/>
        <v>191421.256866273</v>
      </c>
      <c r="P386" s="80">
        <f t="shared" si="303"/>
        <v>191421.256866273</v>
      </c>
      <c r="Q386" s="80">
        <f t="shared" si="303"/>
        <v>191421.256866273</v>
      </c>
      <c r="R386" s="80">
        <f t="shared" si="303"/>
        <v>191421.256866273</v>
      </c>
      <c r="S386" s="80"/>
      <c r="T386" s="80"/>
      <c r="U386" s="80">
        <f t="shared" si="303"/>
        <v>191421.256866273</v>
      </c>
      <c r="V386" s="80">
        <f t="shared" si="303"/>
        <v>191421.256866273</v>
      </c>
      <c r="W386" s="80">
        <f t="shared" si="303"/>
        <v>191421.256866273</v>
      </c>
      <c r="X386" s="80">
        <f t="shared" si="303"/>
        <v>191421.256866273</v>
      </c>
      <c r="Y386" s="80">
        <f t="shared" si="303"/>
        <v>191421.256866273</v>
      </c>
      <c r="Z386" s="80">
        <f t="shared" si="303"/>
        <v>191421.256866273</v>
      </c>
    </row>
    <row r="387" spans="3:26" ht="15.75" customHeight="1">
      <c r="C387" s="111"/>
      <c r="D387" s="111" t="s">
        <v>282</v>
      </c>
      <c r="E387" s="111"/>
      <c r="F387" s="110"/>
      <c r="G387" s="131"/>
      <c r="H387" s="131"/>
      <c r="I387" s="131"/>
      <c r="J387" s="80"/>
      <c r="K387" s="80">
        <f>K234</f>
        <v>7656850.2746509202</v>
      </c>
      <c r="L387" s="80">
        <f t="shared" ref="L387:V387" si="304">L383+L384-L386</f>
        <v>7465429.0177846476</v>
      </c>
      <c r="M387" s="80">
        <f t="shared" si="304"/>
        <v>7274007.7609183751</v>
      </c>
      <c r="N387" s="80">
        <f t="shared" si="304"/>
        <v>7082586.5040521026</v>
      </c>
      <c r="O387" s="80">
        <f t="shared" si="304"/>
        <v>6891165.24718583</v>
      </c>
      <c r="P387" s="80">
        <f t="shared" si="304"/>
        <v>6699743.9903195575</v>
      </c>
      <c r="Q387" s="80">
        <f t="shared" si="304"/>
        <v>6508322.7334532849</v>
      </c>
      <c r="R387" s="80">
        <f t="shared" si="304"/>
        <v>6316901.4765870124</v>
      </c>
      <c r="S387" s="80"/>
      <c r="T387" s="80"/>
      <c r="U387" s="80">
        <f>U383+U384-U386</f>
        <v>6316901.4765870124</v>
      </c>
      <c r="V387" s="80">
        <f t="shared" si="304"/>
        <v>6125480.2197207399</v>
      </c>
      <c r="W387" s="80">
        <f>W383+W384-W386</f>
        <v>5934058.9628544673</v>
      </c>
      <c r="X387" s="80">
        <f>X383+X384-X386</f>
        <v>5742637.7059881948</v>
      </c>
      <c r="Y387" s="80">
        <f>Y383+Y384-Y386</f>
        <v>5551216.4491219223</v>
      </c>
      <c r="Z387" s="80">
        <f>Z383+Z384-Z386</f>
        <v>5359795.1922556497</v>
      </c>
    </row>
    <row r="388" spans="3:26" ht="15.75" customHeight="1">
      <c r="C388" s="111"/>
      <c r="D388" s="110"/>
      <c r="E388" s="111"/>
      <c r="F388" s="110"/>
      <c r="G388" s="131"/>
      <c r="H388" s="131"/>
      <c r="I388" s="131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spans="3:26" ht="15.75" customHeight="1">
      <c r="C389" s="111"/>
      <c r="D389" s="482"/>
      <c r="E389" s="110"/>
      <c r="F389" s="81"/>
      <c r="G389" s="80"/>
      <c r="H389" s="80"/>
      <c r="I389" s="80" t="s">
        <v>462</v>
      </c>
      <c r="J389" s="102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spans="3:26" ht="15.75" hidden="1" customHeight="1" outlineLevel="1">
      <c r="C390" s="111"/>
      <c r="D390" s="164"/>
      <c r="E390" s="111"/>
      <c r="F390" s="128" t="s">
        <v>528</v>
      </c>
      <c r="G390" s="80">
        <f>K376</f>
        <v>11844778</v>
      </c>
      <c r="H390" s="574"/>
      <c r="I390" s="80">
        <v>8</v>
      </c>
      <c r="J390" s="80" t="s">
        <v>449</v>
      </c>
      <c r="K390" s="80">
        <f>SYD($G$390,0,$I$390,K364)</f>
        <v>2632172.888888889</v>
      </c>
      <c r="L390" s="80">
        <f>SYD($G$390,0,$I$390,L364)</f>
        <v>2303151.277777778</v>
      </c>
      <c r="M390" s="80">
        <f>SYD($G$390,0,$I$390,M364)</f>
        <v>1974129.6666666667</v>
      </c>
      <c r="N390" s="80">
        <f>SYD($G$390,0,10,N364)</f>
        <v>1507517.2</v>
      </c>
      <c r="O390" s="80">
        <f>SYD($G$390,0,$I$390,O364)</f>
        <v>1316086.4444444445</v>
      </c>
      <c r="P390" s="80">
        <f>SYD($G$390,0,$I$390,P364)</f>
        <v>987064.83333333337</v>
      </c>
      <c r="Q390" s="80">
        <f>SYD($G$390,0,$I$390,Q364)</f>
        <v>658043.22222222225</v>
      </c>
      <c r="R390" s="80">
        <f>SYD($G$390,0,$I$390,R364)</f>
        <v>329021.61111111112</v>
      </c>
      <c r="S390" s="80"/>
      <c r="T390" s="80"/>
      <c r="U390" s="80">
        <f>R390</f>
        <v>329021.61111111112</v>
      </c>
      <c r="V390" s="80">
        <v>0</v>
      </c>
      <c r="W390" s="80">
        <v>0</v>
      </c>
      <c r="X390" s="80">
        <v>0</v>
      </c>
      <c r="Y390" s="80">
        <v>0</v>
      </c>
      <c r="Z390" s="80">
        <v>0</v>
      </c>
    </row>
    <row r="391" spans="3:26" ht="15.75" hidden="1" customHeight="1" outlineLevel="1">
      <c r="C391" s="111"/>
      <c r="D391" s="111"/>
      <c r="E391" s="111"/>
      <c r="F391" s="111"/>
      <c r="G391" s="126"/>
      <c r="H391" s="487"/>
      <c r="I391" s="487"/>
      <c r="J391" s="515"/>
      <c r="K391" s="102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spans="3:26" ht="15.75" hidden="1" customHeight="1" outlineLevel="1">
      <c r="C392" s="111"/>
      <c r="D392" s="164"/>
      <c r="E392" s="111"/>
      <c r="F392" s="696"/>
      <c r="G392" s="538" t="str">
        <f>D369</f>
        <v>Capital expenditures</v>
      </c>
      <c r="I392" s="80" t="str">
        <f>I389</f>
        <v>Срок полезного использования</v>
      </c>
      <c r="J392" s="102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spans="3:26" ht="15.75" hidden="1" customHeight="1" outlineLevel="1">
      <c r="C393" s="111"/>
      <c r="D393" s="111"/>
      <c r="E393" s="111"/>
      <c r="F393" s="696">
        <f t="shared" ref="F393:F405" si="305">F392+1</f>
        <v>1</v>
      </c>
      <c r="G393" s="126">
        <f ca="1">OFFSET($J$369,0,F393)</f>
        <v>1986449.1640000001</v>
      </c>
      <c r="I393" s="126">
        <f t="shared" ref="I393:I400" si="306">$I$390</f>
        <v>8</v>
      </c>
      <c r="J393" s="102"/>
      <c r="K393" s="80">
        <f ca="1">SLN($G393,,$I393)/2</f>
        <v>124153.07275000001</v>
      </c>
      <c r="L393" s="80">
        <f ca="1">SLN($G393,,$I393)</f>
        <v>248306.14550000001</v>
      </c>
      <c r="M393" s="80">
        <f ca="1">SLN($G393,,$I393)</f>
        <v>248306.14550000001</v>
      </c>
      <c r="N393" s="80">
        <f ca="1">SLN($G393,,8)</f>
        <v>248306.14550000001</v>
      </c>
      <c r="O393" s="80">
        <f t="shared" ref="O393:R396" ca="1" si="307">SLN($G393,,$I393)</f>
        <v>248306.14550000001</v>
      </c>
      <c r="P393" s="80">
        <f t="shared" ca="1" si="307"/>
        <v>248306.14550000001</v>
      </c>
      <c r="Q393" s="80">
        <f t="shared" ca="1" si="307"/>
        <v>248306.14550000001</v>
      </c>
      <c r="R393" s="80">
        <f t="shared" ca="1" si="307"/>
        <v>248306.14550000001</v>
      </c>
      <c r="S393" s="80"/>
      <c r="T393" s="80"/>
      <c r="U393" s="80">
        <f t="shared" ref="U393:U399" ca="1" si="308">SLN($G393,,$I393)</f>
        <v>248306.14550000001</v>
      </c>
      <c r="V393" s="80">
        <f ca="1">SLN($G393,,$I393)/2</f>
        <v>124153.07275000001</v>
      </c>
      <c r="W393" s="80"/>
      <c r="X393" s="80"/>
      <c r="Y393" s="80"/>
      <c r="Z393" s="80"/>
    </row>
    <row r="394" spans="3:26" ht="15.75" hidden="1" customHeight="1" outlineLevel="1">
      <c r="C394" s="111"/>
      <c r="D394" s="111"/>
      <c r="E394" s="111"/>
      <c r="F394" s="696">
        <f t="shared" si="305"/>
        <v>2</v>
      </c>
      <c r="G394" s="126">
        <f ca="1">OFFSET($J$369,0,F394)</f>
        <v>6781050</v>
      </c>
      <c r="I394" s="126">
        <f t="shared" si="306"/>
        <v>8</v>
      </c>
      <c r="J394" s="102"/>
      <c r="K394" s="80"/>
      <c r="L394" s="80">
        <f ca="1">SLN($G394,,$I394)/2</f>
        <v>423815.625</v>
      </c>
      <c r="M394" s="80">
        <f ca="1">SLN($G394,,$I394)</f>
        <v>847631.25</v>
      </c>
      <c r="N394" s="80">
        <f ca="1">SLN($G394,,8)</f>
        <v>847631.25</v>
      </c>
      <c r="O394" s="80">
        <f t="shared" ca="1" si="307"/>
        <v>847631.25</v>
      </c>
      <c r="P394" s="80">
        <f t="shared" ca="1" si="307"/>
        <v>847631.25</v>
      </c>
      <c r="Q394" s="80">
        <f t="shared" ca="1" si="307"/>
        <v>847631.25</v>
      </c>
      <c r="R394" s="80">
        <f t="shared" ca="1" si="307"/>
        <v>847631.25</v>
      </c>
      <c r="S394" s="80"/>
      <c r="T394" s="80"/>
      <c r="U394" s="80">
        <f t="shared" ca="1" si="308"/>
        <v>847631.25</v>
      </c>
      <c r="V394" s="80">
        <f t="shared" ref="V394:V400" ca="1" si="309">SLN($G394,,$I394)</f>
        <v>847631.25</v>
      </c>
      <c r="W394" s="80">
        <f ca="1">SLN($G394,,$I394)/2</f>
        <v>423815.625</v>
      </c>
      <c r="X394" s="80"/>
      <c r="Y394" s="80"/>
      <c r="Z394" s="80"/>
    </row>
    <row r="395" spans="3:26" ht="15.75" hidden="1" customHeight="1" outlineLevel="1">
      <c r="C395" s="111"/>
      <c r="D395" s="111"/>
      <c r="E395" s="111"/>
      <c r="F395" s="696">
        <f t="shared" si="305"/>
        <v>3</v>
      </c>
      <c r="G395" s="126">
        <f ca="1">OFFSET($J$369,0,F395)</f>
        <v>3638800.0000000005</v>
      </c>
      <c r="I395" s="126">
        <f t="shared" si="306"/>
        <v>8</v>
      </c>
      <c r="J395" s="102"/>
      <c r="K395" s="80"/>
      <c r="L395" s="80"/>
      <c r="M395" s="80">
        <f ca="1">SLN($G395,,$I395)/2</f>
        <v>227425.00000000003</v>
      </c>
      <c r="N395" s="80">
        <f ca="1">SLN($G395,,8)</f>
        <v>454850.00000000006</v>
      </c>
      <c r="O395" s="80">
        <f t="shared" ca="1" si="307"/>
        <v>454850.00000000006</v>
      </c>
      <c r="P395" s="80">
        <f t="shared" ca="1" si="307"/>
        <v>454850.00000000006</v>
      </c>
      <c r="Q395" s="80">
        <f t="shared" ca="1" si="307"/>
        <v>454850.00000000006</v>
      </c>
      <c r="R395" s="80">
        <f t="shared" ca="1" si="307"/>
        <v>454850.00000000006</v>
      </c>
      <c r="S395" s="80"/>
      <c r="T395" s="80"/>
      <c r="U395" s="80">
        <f t="shared" ca="1" si="308"/>
        <v>454850.00000000006</v>
      </c>
      <c r="V395" s="80">
        <f t="shared" ca="1" si="309"/>
        <v>454850.00000000006</v>
      </c>
      <c r="W395" s="80">
        <f t="shared" ref="W395:W401" ca="1" si="310">SLN($G395,,$I395)</f>
        <v>454850.00000000006</v>
      </c>
      <c r="X395" s="80">
        <f ca="1">SLN($G395,,$I395)/2</f>
        <v>227425.00000000003</v>
      </c>
      <c r="Y395" s="80"/>
      <c r="Z395" s="80"/>
    </row>
    <row r="396" spans="3:26" ht="15.75" hidden="1" customHeight="1" outlineLevel="1">
      <c r="C396" s="111"/>
      <c r="D396" s="111"/>
      <c r="E396" s="111"/>
      <c r="F396" s="696">
        <f t="shared" si="305"/>
        <v>4</v>
      </c>
      <c r="G396" s="126">
        <f ca="1">OFFSET($J$369,0,F396)</f>
        <v>1722600.0000000002</v>
      </c>
      <c r="I396" s="126">
        <f t="shared" si="306"/>
        <v>8</v>
      </c>
      <c r="J396" s="102"/>
      <c r="K396" s="80"/>
      <c r="L396" s="80"/>
      <c r="M396" s="80"/>
      <c r="N396" s="80">
        <f ca="1">SLN($G396,,$I396)/2</f>
        <v>107662.50000000001</v>
      </c>
      <c r="O396" s="80">
        <f t="shared" ca="1" si="307"/>
        <v>215325.00000000003</v>
      </c>
      <c r="P396" s="80">
        <f t="shared" ca="1" si="307"/>
        <v>215325.00000000003</v>
      </c>
      <c r="Q396" s="80">
        <f t="shared" ca="1" si="307"/>
        <v>215325.00000000003</v>
      </c>
      <c r="R396" s="80">
        <f t="shared" ca="1" si="307"/>
        <v>215325.00000000003</v>
      </c>
      <c r="S396" s="80"/>
      <c r="T396" s="80"/>
      <c r="U396" s="80">
        <f t="shared" ca="1" si="308"/>
        <v>215325.00000000003</v>
      </c>
      <c r="V396" s="80">
        <f t="shared" ca="1" si="309"/>
        <v>215325.00000000003</v>
      </c>
      <c r="W396" s="80">
        <f t="shared" ca="1" si="310"/>
        <v>215325.00000000003</v>
      </c>
      <c r="X396" s="80">
        <f t="shared" ref="X396:Y402" ca="1" si="311">SLN($G396,,$I396)</f>
        <v>215325.00000000003</v>
      </c>
      <c r="Y396" s="80">
        <f t="shared" ca="1" si="311"/>
        <v>215325.00000000003</v>
      </c>
      <c r="Z396" s="80"/>
    </row>
    <row r="397" spans="3:26" ht="15.75" hidden="1" customHeight="1" outlineLevel="1">
      <c r="C397" s="111"/>
      <c r="D397" s="102"/>
      <c r="E397" s="102"/>
      <c r="F397" s="696">
        <f t="shared" si="305"/>
        <v>5</v>
      </c>
      <c r="G397" s="126">
        <f>O373</f>
        <v>2036100.0000000002</v>
      </c>
      <c r="I397" s="126">
        <f t="shared" si="306"/>
        <v>8</v>
      </c>
      <c r="J397" s="126"/>
      <c r="K397" s="80"/>
      <c r="L397" s="80"/>
      <c r="M397" s="80"/>
      <c r="N397" s="80"/>
      <c r="O397" s="80">
        <f>SLN($G397,,$I397)/2</f>
        <v>127256.25000000001</v>
      </c>
      <c r="P397" s="80">
        <f>SLN($G397,,$I397)</f>
        <v>254512.50000000003</v>
      </c>
      <c r="Q397" s="80">
        <f>SLN($G397,,$I397)</f>
        <v>254512.50000000003</v>
      </c>
      <c r="R397" s="80">
        <f>SLN($G397,,$I397)</f>
        <v>254512.50000000003</v>
      </c>
      <c r="S397" s="80"/>
      <c r="T397" s="80"/>
      <c r="U397" s="80">
        <f t="shared" si="308"/>
        <v>254512.50000000003</v>
      </c>
      <c r="V397" s="80">
        <f t="shared" si="309"/>
        <v>254512.50000000003</v>
      </c>
      <c r="W397" s="80">
        <f t="shared" si="310"/>
        <v>254512.50000000003</v>
      </c>
      <c r="X397" s="80">
        <f t="shared" si="311"/>
        <v>254512.50000000003</v>
      </c>
      <c r="Y397" s="80">
        <f t="shared" si="311"/>
        <v>254512.50000000003</v>
      </c>
      <c r="Z397" s="80">
        <f>SLN($G397,,$I397)/2</f>
        <v>127256.25000000001</v>
      </c>
    </row>
    <row r="398" spans="3:26" ht="15.75" hidden="1" customHeight="1" outlineLevel="1">
      <c r="C398" s="111"/>
      <c r="D398" s="102"/>
      <c r="E398" s="102"/>
      <c r="F398" s="696">
        <f t="shared" si="305"/>
        <v>6</v>
      </c>
      <c r="G398" s="126">
        <f>P373</f>
        <v>3722400.0000000005</v>
      </c>
      <c r="I398" s="126">
        <f t="shared" si="306"/>
        <v>8</v>
      </c>
      <c r="J398" s="126"/>
      <c r="K398" s="80"/>
      <c r="L398" s="80"/>
      <c r="M398" s="80"/>
      <c r="N398" s="80"/>
      <c r="O398" s="80"/>
      <c r="P398" s="80">
        <f>SLN($G398,,$I398)/2</f>
        <v>232650.00000000003</v>
      </c>
      <c r="Q398" s="80">
        <f>SLN($G398,,$I398)</f>
        <v>465300.00000000006</v>
      </c>
      <c r="R398" s="80">
        <f>SLN($G398,,$I398)</f>
        <v>465300.00000000006</v>
      </c>
      <c r="S398" s="80"/>
      <c r="T398" s="80"/>
      <c r="U398" s="80">
        <f t="shared" si="308"/>
        <v>465300.00000000006</v>
      </c>
      <c r="V398" s="80">
        <f t="shared" si="309"/>
        <v>465300.00000000006</v>
      </c>
      <c r="W398" s="80">
        <f t="shared" si="310"/>
        <v>465300.00000000006</v>
      </c>
      <c r="X398" s="80">
        <f t="shared" si="311"/>
        <v>465300.00000000006</v>
      </c>
      <c r="Y398" s="80">
        <f t="shared" si="311"/>
        <v>465300.00000000006</v>
      </c>
      <c r="Z398" s="80">
        <f t="shared" ref="Z398:Z404" si="312">SLN($G398,,$I398)</f>
        <v>465300.00000000006</v>
      </c>
    </row>
    <row r="399" spans="3:26" ht="15.75" hidden="1" customHeight="1" outlineLevel="1">
      <c r="C399" s="111"/>
      <c r="D399" s="102"/>
      <c r="E399" s="102"/>
      <c r="F399" s="696">
        <f t="shared" si="305"/>
        <v>7</v>
      </c>
      <c r="G399" s="126">
        <f>Q373</f>
        <v>6338850</v>
      </c>
      <c r="I399" s="126">
        <f t="shared" si="306"/>
        <v>8</v>
      </c>
      <c r="M399" s="75"/>
      <c r="O399" s="80"/>
      <c r="P399" s="80"/>
      <c r="Q399" s="80">
        <f>SLN($G399,,$I399)/2</f>
        <v>396178.125</v>
      </c>
      <c r="R399" s="80">
        <f>SLN($G399,,$I399)</f>
        <v>792356.25</v>
      </c>
      <c r="S399" s="80"/>
      <c r="T399" s="80"/>
      <c r="U399" s="80">
        <f t="shared" si="308"/>
        <v>792356.25</v>
      </c>
      <c r="V399" s="80">
        <f t="shared" si="309"/>
        <v>792356.25</v>
      </c>
      <c r="W399" s="80">
        <f t="shared" si="310"/>
        <v>792356.25</v>
      </c>
      <c r="X399" s="80">
        <f t="shared" si="311"/>
        <v>792356.25</v>
      </c>
      <c r="Y399" s="80">
        <f t="shared" si="311"/>
        <v>792356.25</v>
      </c>
      <c r="Z399" s="80">
        <f t="shared" si="312"/>
        <v>792356.25</v>
      </c>
    </row>
    <row r="400" spans="3:26" ht="15.75" hidden="1" customHeight="1" outlineLevel="1">
      <c r="C400" s="111"/>
      <c r="D400" s="102"/>
      <c r="E400" s="102"/>
      <c r="F400" s="696">
        <f t="shared" si="305"/>
        <v>8</v>
      </c>
      <c r="G400" s="126">
        <f>R373</f>
        <v>7362600</v>
      </c>
      <c r="I400" s="126">
        <f t="shared" si="306"/>
        <v>8</v>
      </c>
      <c r="M400" s="75"/>
      <c r="O400" s="75"/>
      <c r="P400" s="75"/>
      <c r="Q400" s="75"/>
      <c r="R400" s="80">
        <f>SLN($G400,,$I400)/2</f>
        <v>460162.5</v>
      </c>
      <c r="S400" s="80"/>
      <c r="T400" s="80"/>
      <c r="U400" s="80">
        <f>SLN($G400,,$I400)/2</f>
        <v>460162.5</v>
      </c>
      <c r="V400" s="80">
        <f t="shared" si="309"/>
        <v>920325</v>
      </c>
      <c r="W400" s="80">
        <f t="shared" si="310"/>
        <v>920325</v>
      </c>
      <c r="X400" s="80">
        <f t="shared" si="311"/>
        <v>920325</v>
      </c>
      <c r="Y400" s="80">
        <f t="shared" si="311"/>
        <v>920325</v>
      </c>
      <c r="Z400" s="80">
        <f t="shared" si="312"/>
        <v>920325</v>
      </c>
    </row>
    <row r="401" spans="3:26" ht="15.75" hidden="1" customHeight="1" outlineLevel="1">
      <c r="C401" s="111"/>
      <c r="D401" s="102"/>
      <c r="E401" s="102"/>
      <c r="F401" s="696">
        <f t="shared" si="305"/>
        <v>9</v>
      </c>
      <c r="G401" s="126">
        <f>V369</f>
        <v>5115985.6766235903</v>
      </c>
      <c r="I401" s="126">
        <v>8</v>
      </c>
      <c r="M401" s="75"/>
      <c r="O401" s="75"/>
      <c r="P401" s="75"/>
      <c r="Q401" s="75"/>
      <c r="R401" s="80"/>
      <c r="S401" s="80"/>
      <c r="T401" s="80"/>
      <c r="U401" s="80"/>
      <c r="V401" s="80">
        <f>SLN($G401,,$I401)/2</f>
        <v>319749.10478897439</v>
      </c>
      <c r="W401" s="80">
        <f t="shared" si="310"/>
        <v>639498.20957794879</v>
      </c>
      <c r="X401" s="80">
        <f t="shared" si="311"/>
        <v>639498.20957794879</v>
      </c>
      <c r="Y401" s="80">
        <f t="shared" si="311"/>
        <v>639498.20957794879</v>
      </c>
      <c r="Z401" s="80">
        <f t="shared" si="312"/>
        <v>639498.20957794879</v>
      </c>
    </row>
    <row r="402" spans="3:26" ht="15.75" hidden="1" customHeight="1" outlineLevel="1">
      <c r="C402" s="111"/>
      <c r="D402" s="102"/>
      <c r="E402" s="102"/>
      <c r="F402" s="696">
        <f t="shared" si="305"/>
        <v>10</v>
      </c>
      <c r="G402" s="126">
        <f>W369</f>
        <v>5115985.6766235903</v>
      </c>
      <c r="I402" s="126">
        <v>8</v>
      </c>
      <c r="M402" s="75"/>
      <c r="O402" s="75"/>
      <c r="P402" s="75"/>
      <c r="Q402" s="75"/>
      <c r="R402" s="80"/>
      <c r="S402" s="80"/>
      <c r="T402" s="80"/>
      <c r="U402" s="80"/>
      <c r="V402" s="80"/>
      <c r="W402" s="80">
        <f>SLN($G402,,$I402)/2</f>
        <v>319749.10478897439</v>
      </c>
      <c r="X402" s="80">
        <f t="shared" si="311"/>
        <v>639498.20957794879</v>
      </c>
      <c r="Y402" s="80">
        <f t="shared" si="311"/>
        <v>639498.20957794879</v>
      </c>
      <c r="Z402" s="80">
        <f t="shared" si="312"/>
        <v>639498.20957794879</v>
      </c>
    </row>
    <row r="403" spans="3:26" ht="15.75" hidden="1" customHeight="1" outlineLevel="1">
      <c r="C403" s="111"/>
      <c r="D403" s="102"/>
      <c r="E403" s="102"/>
      <c r="F403" s="696">
        <f t="shared" si="305"/>
        <v>11</v>
      </c>
      <c r="G403" s="126">
        <f>X369</f>
        <v>5115985.6766235903</v>
      </c>
      <c r="I403" s="126">
        <v>8</v>
      </c>
      <c r="M403" s="75"/>
      <c r="O403" s="75"/>
      <c r="P403" s="75"/>
      <c r="Q403" s="75"/>
      <c r="R403" s="80"/>
      <c r="S403" s="80"/>
      <c r="T403" s="80"/>
      <c r="U403" s="80"/>
      <c r="V403" s="80"/>
      <c r="W403" s="80"/>
      <c r="X403" s="80">
        <f>SLN($G403,,$I403)/2</f>
        <v>319749.10478897439</v>
      </c>
      <c r="Y403" s="80">
        <f>SLN($G403,,$I403)</f>
        <v>639498.20957794879</v>
      </c>
      <c r="Z403" s="80">
        <f t="shared" si="312"/>
        <v>639498.20957794879</v>
      </c>
    </row>
    <row r="404" spans="3:26" ht="15.75" hidden="1" customHeight="1" outlineLevel="1">
      <c r="C404" s="111"/>
      <c r="D404" s="102"/>
      <c r="E404" s="102"/>
      <c r="F404" s="696">
        <f t="shared" si="305"/>
        <v>12</v>
      </c>
      <c r="G404" s="126">
        <f>Y369</f>
        <v>5115985.6766235903</v>
      </c>
      <c r="I404" s="126">
        <v>8</v>
      </c>
      <c r="M404" s="75"/>
      <c r="O404" s="75"/>
      <c r="P404" s="75"/>
      <c r="Q404" s="75"/>
      <c r="R404" s="80"/>
      <c r="S404" s="80"/>
      <c r="T404" s="80"/>
      <c r="U404" s="80"/>
      <c r="V404" s="80"/>
      <c r="W404" s="80"/>
      <c r="X404" s="80"/>
      <c r="Y404" s="80">
        <f>SLN($G404,,$I404)/2</f>
        <v>319749.10478897439</v>
      </c>
      <c r="Z404" s="80">
        <f t="shared" si="312"/>
        <v>639498.20957794879</v>
      </c>
    </row>
    <row r="405" spans="3:26" ht="15.75" hidden="1" customHeight="1" outlineLevel="1">
      <c r="C405" s="111"/>
      <c r="D405" s="102"/>
      <c r="E405" s="102"/>
      <c r="F405" s="696">
        <f t="shared" si="305"/>
        <v>13</v>
      </c>
      <c r="G405" s="126">
        <f>Z369</f>
        <v>5115985.6766235903</v>
      </c>
      <c r="I405" s="126">
        <v>8</v>
      </c>
      <c r="M405" s="75"/>
      <c r="O405" s="75"/>
      <c r="P405" s="75"/>
      <c r="Q405" s="75"/>
      <c r="R405" s="80"/>
      <c r="S405" s="80"/>
      <c r="T405" s="80"/>
      <c r="U405" s="80"/>
      <c r="V405" s="80"/>
      <c r="W405" s="80"/>
      <c r="X405" s="80"/>
      <c r="Y405" s="80"/>
      <c r="Z405" s="80">
        <f>SLN($G405,,$I405)/2</f>
        <v>319749.10478897439</v>
      </c>
    </row>
    <row r="406" spans="3:26" ht="15.75" hidden="1" customHeight="1" outlineLevel="1">
      <c r="C406" s="111"/>
      <c r="D406" s="102"/>
      <c r="E406" s="102"/>
      <c r="F406" s="696"/>
      <c r="G406" s="126"/>
      <c r="I406" s="126"/>
      <c r="M406" s="75"/>
      <c r="O406" s="75"/>
      <c r="P406" s="75"/>
      <c r="Q406" s="75"/>
      <c r="R406" s="80"/>
      <c r="S406" s="80"/>
      <c r="T406" s="80"/>
      <c r="U406" s="80"/>
      <c r="V406" s="80"/>
      <c r="W406" s="80"/>
      <c r="X406" s="80"/>
      <c r="Y406" s="80"/>
      <c r="Z406" s="80"/>
    </row>
    <row r="407" spans="3:26" ht="15.75" hidden="1" customHeight="1" outlineLevel="1">
      <c r="C407" s="111"/>
      <c r="D407" s="111" t="s">
        <v>1558</v>
      </c>
      <c r="E407" s="111"/>
      <c r="F407" s="696"/>
      <c r="G407" s="126"/>
      <c r="H407" s="111"/>
      <c r="I407" s="111"/>
      <c r="J407" s="79"/>
      <c r="K407" s="126">
        <f ca="1">SUM(K390:K399)</f>
        <v>2756325.9616388888</v>
      </c>
      <c r="L407" s="126">
        <f ca="1">SUM(L390:L399)</f>
        <v>2975273.0482777781</v>
      </c>
      <c r="M407" s="126">
        <f ca="1">SUM(M390:M399)</f>
        <v>3297492.0621666666</v>
      </c>
      <c r="N407" s="80">
        <f ca="1">SUM(N390:N400)</f>
        <v>3165967.0954999998</v>
      </c>
      <c r="O407" s="126">
        <f ca="1">SUM(O390:O400)</f>
        <v>3209455.0899444446</v>
      </c>
      <c r="P407" s="126">
        <f ca="1">SUM(P390:P406)</f>
        <v>3240339.7288333336</v>
      </c>
      <c r="Q407" s="126">
        <f t="shared" ref="Q407:Z407" ca="1" si="313">SUM(Q390:Q406)</f>
        <v>3540146.2427222221</v>
      </c>
      <c r="R407" s="126">
        <f t="shared" ca="1" si="313"/>
        <v>4067465.2566111111</v>
      </c>
      <c r="S407" s="126"/>
      <c r="T407" s="126"/>
      <c r="U407" s="126">
        <f ca="1">SUM(U390:U406)</f>
        <v>4067465.2566111111</v>
      </c>
      <c r="V407" s="126">
        <f t="shared" ca="1" si="313"/>
        <v>4394202.1775389742</v>
      </c>
      <c r="W407" s="126">
        <f t="shared" ca="1" si="313"/>
        <v>4485731.6893669236</v>
      </c>
      <c r="X407" s="126">
        <f t="shared" ca="1" si="313"/>
        <v>4473989.2739448715</v>
      </c>
      <c r="Y407" s="126">
        <f t="shared" ca="1" si="313"/>
        <v>4886062.4835228212</v>
      </c>
      <c r="Z407" s="126">
        <f t="shared" si="313"/>
        <v>5182979.4431007691</v>
      </c>
    </row>
    <row r="408" spans="3:26" ht="15.75" hidden="1" customHeight="1" outlineLevel="1">
      <c r="C408" s="111"/>
      <c r="D408" s="111" t="s">
        <v>606</v>
      </c>
      <c r="E408" s="111"/>
      <c r="F408" s="111"/>
      <c r="G408" s="111"/>
      <c r="H408" s="111"/>
      <c r="I408" s="111"/>
      <c r="J408" s="126"/>
      <c r="K408" s="126">
        <f t="shared" ref="K408:P408" si="314">K376</f>
        <v>11844778</v>
      </c>
      <c r="L408" s="126">
        <f t="shared" ca="1" si="314"/>
        <v>15650554.951722221</v>
      </c>
      <c r="M408" s="126">
        <f t="shared" ca="1" si="314"/>
        <v>15991862.889555557</v>
      </c>
      <c r="N408" s="80">
        <f t="shared" ca="1" si="314"/>
        <v>14548495.794055559</v>
      </c>
      <c r="O408" s="126">
        <f t="shared" ca="1" si="314"/>
        <v>13375140.704111114</v>
      </c>
      <c r="P408" s="126">
        <f t="shared" ca="1" si="314"/>
        <v>13857200.975277781</v>
      </c>
      <c r="Q408" s="126">
        <f t="shared" ref="Q408:Z408" ca="1" si="315">Q376</f>
        <v>16655904.732555559</v>
      </c>
      <c r="R408" s="126">
        <f t="shared" ca="1" si="315"/>
        <v>19951039.475944448</v>
      </c>
      <c r="S408" s="126"/>
      <c r="T408" s="126"/>
      <c r="U408" s="126">
        <f ca="1">U376</f>
        <v>19951039.475944448</v>
      </c>
      <c r="V408" s="126">
        <f t="shared" ca="1" si="315"/>
        <v>20672822.975029066</v>
      </c>
      <c r="W408" s="126">
        <f t="shared" ca="1" si="315"/>
        <v>21303076.962285735</v>
      </c>
      <c r="X408" s="126">
        <f t="shared" ca="1" si="315"/>
        <v>21945073.364964455</v>
      </c>
      <c r="Y408" s="126">
        <f t="shared" ca="1" si="315"/>
        <v>22174996.558065224</v>
      </c>
      <c r="Z408" s="126">
        <f t="shared" ca="1" si="315"/>
        <v>22108002.791588046</v>
      </c>
    </row>
    <row r="409" spans="3:26" ht="15.75" hidden="1" customHeight="1" outlineLevel="1">
      <c r="C409" s="111"/>
      <c r="D409" s="164" t="s">
        <v>526</v>
      </c>
      <c r="E409" s="164"/>
      <c r="F409" s="111"/>
      <c r="G409" s="111"/>
      <c r="H409" s="111"/>
      <c r="I409" s="111"/>
      <c r="J409" s="127"/>
      <c r="K409" s="127">
        <f t="shared" ref="K409:V409" ca="1" si="316">K407/K408</f>
        <v>0.23270389378668715</v>
      </c>
      <c r="L409" s="127">
        <f t="shared" ca="1" si="316"/>
        <v>0.19010655260824297</v>
      </c>
      <c r="M409" s="127">
        <f t="shared" ca="1" si="316"/>
        <v>0.20619811994012849</v>
      </c>
      <c r="N409" s="83">
        <f t="shared" ca="1" si="316"/>
        <v>0.21761473765511882</v>
      </c>
      <c r="O409" s="127">
        <f t="shared" ca="1" si="316"/>
        <v>0.23995673473236473</v>
      </c>
      <c r="P409" s="127">
        <f t="shared" ca="1" si="316"/>
        <v>0.233837968765433</v>
      </c>
      <c r="Q409" s="127">
        <f t="shared" ca="1" si="316"/>
        <v>0.21254601893841693</v>
      </c>
      <c r="R409" s="127">
        <f t="shared" ca="1" si="316"/>
        <v>0.20387234767969722</v>
      </c>
      <c r="S409" s="127"/>
      <c r="T409" s="127"/>
      <c r="U409" s="127">
        <f ca="1">U407/U408</f>
        <v>0.20387234767969722</v>
      </c>
      <c r="V409" s="127">
        <f t="shared" ca="1" si="316"/>
        <v>0.21255936757388094</v>
      </c>
      <c r="W409" s="127">
        <f ca="1">W407/W408</f>
        <v>0.21056731369408818</v>
      </c>
      <c r="X409" s="127">
        <f ca="1">X407/X408</f>
        <v>0.20387214932202702</v>
      </c>
      <c r="Y409" s="127">
        <f ca="1">Y407/Y408</f>
        <v>0.2203410706616647</v>
      </c>
      <c r="Z409" s="127">
        <f ca="1">Z407/Z408</f>
        <v>0.23443906226901962</v>
      </c>
    </row>
    <row r="410" spans="3:26" ht="15.75" hidden="1" customHeight="1" outlineLevel="1">
      <c r="C410" s="111"/>
      <c r="D410" s="111"/>
      <c r="E410" s="111"/>
      <c r="F410" s="111"/>
      <c r="G410" s="111"/>
      <c r="H410" s="111"/>
      <c r="I410" s="111"/>
      <c r="J410" s="111"/>
      <c r="K410" s="111"/>
      <c r="L410" s="128"/>
      <c r="M410" s="128"/>
      <c r="N410" s="114"/>
      <c r="O410" s="128"/>
      <c r="P410" s="128"/>
      <c r="Q410" s="128"/>
      <c r="R410" s="128"/>
      <c r="S410" s="128"/>
      <c r="T410" s="128"/>
      <c r="U410" s="128"/>
      <c r="V410" s="128"/>
      <c r="W410" s="128"/>
      <c r="X410" s="128"/>
      <c r="Y410" s="128"/>
      <c r="Z410" s="128"/>
    </row>
    <row r="411" spans="3:26" ht="15.75" hidden="1" customHeight="1" outlineLevel="1">
      <c r="C411" s="111"/>
      <c r="D411" s="111"/>
      <c r="E411" s="111"/>
      <c r="F411" s="111"/>
      <c r="G411" s="111"/>
      <c r="H411" s="111"/>
      <c r="I411" s="111"/>
      <c r="J411" s="111"/>
      <c r="K411" s="111"/>
      <c r="L411" s="128"/>
      <c r="M411" s="128"/>
      <c r="N411" s="114"/>
      <c r="O411" s="128"/>
      <c r="P411" s="128"/>
      <c r="Q411" s="128"/>
      <c r="R411" s="128"/>
      <c r="S411" s="128"/>
      <c r="T411" s="128"/>
      <c r="U411" s="128"/>
      <c r="V411" s="128"/>
      <c r="W411" s="128"/>
      <c r="X411" s="128"/>
      <c r="Y411" s="128"/>
      <c r="Z411" s="128"/>
    </row>
    <row r="412" spans="3:26" ht="15.75" hidden="1" customHeight="1" outlineLevel="1">
      <c r="C412" s="111"/>
      <c r="D412" s="111"/>
      <c r="E412" s="111"/>
      <c r="F412" s="111"/>
      <c r="G412" s="111"/>
      <c r="H412" s="111"/>
      <c r="I412" s="111"/>
      <c r="J412" s="111"/>
      <c r="K412" s="111"/>
      <c r="L412" s="128"/>
      <c r="M412" s="128"/>
      <c r="N412" s="114"/>
      <c r="O412" s="128"/>
      <c r="P412" s="128"/>
      <c r="Q412" s="128"/>
      <c r="R412" s="128"/>
      <c r="S412" s="128"/>
      <c r="T412" s="128"/>
      <c r="U412" s="128"/>
      <c r="V412" s="128"/>
      <c r="W412" s="128"/>
      <c r="X412" s="128"/>
      <c r="Y412" s="128"/>
      <c r="Z412" s="128"/>
    </row>
    <row r="413" spans="3:26" ht="15.75" hidden="1" customHeight="1" outlineLevel="1">
      <c r="D413" s="461"/>
      <c r="E413" s="81"/>
      <c r="F413" s="81"/>
      <c r="G413" s="81"/>
      <c r="H413" s="81"/>
      <c r="I413" s="81"/>
      <c r="J413" s="81"/>
      <c r="K413" s="81"/>
    </row>
    <row r="414" spans="3:26" ht="27" hidden="1" customHeight="1" outlineLevel="1">
      <c r="D414" s="462" t="s">
        <v>1559</v>
      </c>
      <c r="M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spans="3:26" ht="3" hidden="1" customHeight="1" outlineLevel="1">
      <c r="D415" s="464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89"/>
      <c r="R415" s="89"/>
      <c r="S415" s="89"/>
      <c r="T415" s="89"/>
      <c r="U415" s="89"/>
      <c r="V415" s="89"/>
      <c r="W415" s="89"/>
      <c r="X415" s="89"/>
      <c r="Y415" s="89"/>
      <c r="Z415" s="89"/>
    </row>
    <row r="416" spans="3:26" ht="15.75" hidden="1" customHeight="1" outlineLevel="1"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</row>
    <row r="417" spans="3:58" ht="15.75" hidden="1" customHeight="1" outlineLevel="1">
      <c r="D417" s="467" t="s">
        <v>416</v>
      </c>
      <c r="E417" s="468"/>
      <c r="F417" s="468"/>
      <c r="G417" s="468"/>
      <c r="H417" s="468"/>
      <c r="I417" s="91"/>
      <c r="J417" s="91"/>
      <c r="K417" s="91"/>
      <c r="L417" s="91"/>
      <c r="M417" s="135"/>
      <c r="N417" s="135"/>
      <c r="O417" s="135"/>
      <c r="P417" s="135"/>
      <c r="Q417" s="135"/>
      <c r="R417" s="135"/>
      <c r="S417" s="135"/>
      <c r="T417" s="135"/>
      <c r="U417" s="135"/>
      <c r="V417" s="135"/>
      <c r="W417" s="135"/>
      <c r="X417" s="135"/>
      <c r="Y417" s="135"/>
      <c r="Z417" s="135"/>
    </row>
    <row r="418" spans="3:58" ht="15.75" hidden="1" customHeight="1" outlineLevel="1">
      <c r="C418" s="91"/>
      <c r="D418" s="546"/>
      <c r="E418" s="106"/>
      <c r="F418" s="106"/>
      <c r="G418" s="106"/>
      <c r="H418" s="546"/>
      <c r="I418" s="546"/>
      <c r="J418" s="92">
        <f t="shared" ref="J418:M420" si="317">J364</f>
        <v>0</v>
      </c>
      <c r="K418" s="92">
        <f t="shared" si="317"/>
        <v>1</v>
      </c>
      <c r="L418" s="92">
        <f t="shared" si="317"/>
        <v>2</v>
      </c>
      <c r="M418" s="92">
        <f t="shared" si="317"/>
        <v>3</v>
      </c>
      <c r="N418" s="92">
        <f t="shared" ref="N418:P420" si="318">N364</f>
        <v>4</v>
      </c>
      <c r="O418" s="92">
        <f t="shared" si="318"/>
        <v>5</v>
      </c>
      <c r="P418" s="92">
        <f t="shared" si="318"/>
        <v>6</v>
      </c>
      <c r="Q418" s="92">
        <f t="shared" ref="Q418:R420" si="319">Q364</f>
        <v>7</v>
      </c>
      <c r="R418" s="92">
        <f t="shared" si="319"/>
        <v>8</v>
      </c>
      <c r="S418" s="92"/>
      <c r="T418" s="92"/>
      <c r="U418" s="92" t="str">
        <f>U364</f>
        <v>Revised</v>
      </c>
      <c r="V418" s="92">
        <f t="shared" ref="V418:W420" si="320">V364</f>
        <v>9</v>
      </c>
      <c r="W418" s="92">
        <f t="shared" si="320"/>
        <v>10</v>
      </c>
      <c r="X418" s="92">
        <f t="shared" ref="X418:Z420" si="321">X364</f>
        <v>11</v>
      </c>
      <c r="Y418" s="92">
        <f t="shared" si="321"/>
        <v>12</v>
      </c>
      <c r="Z418" s="92">
        <f t="shared" si="321"/>
        <v>13</v>
      </c>
      <c r="AA418" s="447"/>
      <c r="AB418" s="447"/>
      <c r="AC418" s="447"/>
      <c r="AD418" s="447"/>
      <c r="AE418" s="447"/>
      <c r="AF418" s="447"/>
      <c r="AG418" s="447"/>
      <c r="AH418" s="447"/>
      <c r="AI418" s="447"/>
      <c r="AJ418" s="447"/>
      <c r="AK418" s="447"/>
      <c r="AL418" s="447"/>
      <c r="AM418" s="447"/>
      <c r="AN418" s="447"/>
      <c r="AO418" s="447"/>
      <c r="AP418" s="447"/>
      <c r="AQ418" s="447"/>
      <c r="AR418" s="447"/>
      <c r="AS418" s="447"/>
      <c r="AT418" s="447"/>
      <c r="AU418" s="447"/>
      <c r="AV418" s="447"/>
      <c r="AW418" s="447"/>
      <c r="AX418" s="447"/>
      <c r="AY418" s="447"/>
      <c r="AZ418" s="447"/>
      <c r="BA418" s="447"/>
      <c r="BB418" s="447"/>
      <c r="BC418" s="447"/>
      <c r="BD418" s="447"/>
      <c r="BE418" s="447"/>
      <c r="BF418" s="447"/>
    </row>
    <row r="419" spans="3:58" ht="15.75" hidden="1" customHeight="1" outlineLevel="1">
      <c r="C419" s="91"/>
      <c r="D419" s="548"/>
      <c r="E419" s="469"/>
      <c r="F419" s="469"/>
      <c r="G419" s="469"/>
      <c r="H419" s="548"/>
      <c r="I419" s="548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447"/>
      <c r="AB419" s="447"/>
      <c r="AC419" s="447"/>
      <c r="AD419" s="447"/>
      <c r="AE419" s="447"/>
      <c r="AF419" s="447"/>
      <c r="AG419" s="447"/>
      <c r="AH419" s="447"/>
      <c r="AI419" s="447"/>
      <c r="AJ419" s="447"/>
      <c r="AK419" s="447"/>
      <c r="AL419" s="447"/>
      <c r="AM419" s="447"/>
      <c r="AN419" s="447"/>
      <c r="AO419" s="447"/>
      <c r="AP419" s="447"/>
      <c r="AQ419" s="447"/>
      <c r="AR419" s="447"/>
      <c r="AS419" s="447"/>
      <c r="AT419" s="447"/>
      <c r="AU419" s="447"/>
      <c r="AV419" s="447"/>
      <c r="AW419" s="447"/>
      <c r="AX419" s="447"/>
      <c r="AY419" s="447"/>
      <c r="AZ419" s="447"/>
      <c r="BA419" s="447"/>
      <c r="BB419" s="447"/>
      <c r="BC419" s="447"/>
      <c r="BD419" s="447"/>
      <c r="BE419" s="447"/>
      <c r="BF419" s="447"/>
    </row>
    <row r="420" spans="3:58" ht="15.75" hidden="1" customHeight="1" outlineLevel="1">
      <c r="C420" s="91"/>
      <c r="D420" s="471"/>
      <c r="E420" s="472"/>
      <c r="F420" s="506"/>
      <c r="G420" s="506"/>
      <c r="H420" s="471"/>
      <c r="I420" s="471"/>
      <c r="J420" s="94" t="str">
        <f t="shared" si="317"/>
        <v>($)</v>
      </c>
      <c r="K420" s="94" t="str">
        <f t="shared" si="317"/>
        <v>($)</v>
      </c>
      <c r="L420" s="94" t="str">
        <f t="shared" si="317"/>
        <v>($)</v>
      </c>
      <c r="M420" s="94" t="str">
        <f t="shared" si="317"/>
        <v>($)</v>
      </c>
      <c r="N420" s="94" t="str">
        <f t="shared" si="318"/>
        <v>($)</v>
      </c>
      <c r="O420" s="94" t="str">
        <f t="shared" si="318"/>
        <v>($)</v>
      </c>
      <c r="P420" s="94" t="str">
        <f t="shared" si="318"/>
        <v>($)</v>
      </c>
      <c r="Q420" s="94" t="str">
        <f t="shared" si="319"/>
        <v>($)</v>
      </c>
      <c r="R420" s="94" t="str">
        <f t="shared" si="319"/>
        <v>($)</v>
      </c>
      <c r="S420" s="94"/>
      <c r="T420" s="94"/>
      <c r="U420" s="94" t="str">
        <f>U366</f>
        <v>($)</v>
      </c>
      <c r="V420" s="94" t="str">
        <f t="shared" si="320"/>
        <v>($)</v>
      </c>
      <c r="W420" s="94" t="str">
        <f t="shared" si="320"/>
        <v>($)</v>
      </c>
      <c r="X420" s="94" t="str">
        <f t="shared" si="321"/>
        <v>($)</v>
      </c>
      <c r="Y420" s="94" t="str">
        <f t="shared" si="321"/>
        <v>($)</v>
      </c>
      <c r="Z420" s="94" t="str">
        <f t="shared" si="321"/>
        <v>($)</v>
      </c>
      <c r="AA420" s="447"/>
      <c r="AB420" s="447"/>
      <c r="AC420" s="447"/>
      <c r="AD420" s="447"/>
      <c r="AE420" s="447"/>
      <c r="AF420" s="447"/>
      <c r="AG420" s="447"/>
      <c r="AH420" s="447"/>
      <c r="AI420" s="447"/>
      <c r="AJ420" s="447"/>
      <c r="AK420" s="447"/>
      <c r="AL420" s="447"/>
      <c r="AM420" s="447"/>
      <c r="AN420" s="447"/>
      <c r="AO420" s="447"/>
      <c r="AP420" s="447"/>
      <c r="AQ420" s="447"/>
      <c r="AR420" s="447"/>
      <c r="AS420" s="447"/>
      <c r="AT420" s="447"/>
      <c r="AU420" s="447"/>
      <c r="AV420" s="447"/>
      <c r="AW420" s="447"/>
      <c r="AX420" s="447"/>
      <c r="AY420" s="447"/>
      <c r="AZ420" s="447"/>
      <c r="BA420" s="447"/>
      <c r="BB420" s="447"/>
      <c r="BC420" s="447"/>
      <c r="BD420" s="447"/>
      <c r="BE420" s="447"/>
      <c r="BF420" s="447"/>
    </row>
    <row r="421" spans="3:58" ht="15.75" hidden="1" customHeight="1" outlineLevel="1">
      <c r="C421" s="111"/>
      <c r="D421" s="102"/>
      <c r="E421" s="102"/>
      <c r="F421" s="102"/>
      <c r="G421" s="102"/>
      <c r="H421" s="102"/>
      <c r="I421" s="102"/>
      <c r="J421" s="102"/>
      <c r="K421" s="102"/>
      <c r="L421" s="102"/>
      <c r="M421" s="121"/>
      <c r="N421" s="118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  <c r="Z421" s="121"/>
    </row>
    <row r="422" spans="3:58" ht="15.75" hidden="1" customHeight="1" outlineLevel="1">
      <c r="C422" s="111"/>
      <c r="D422" s="110" t="s">
        <v>1560</v>
      </c>
      <c r="E422" s="110"/>
      <c r="F422" s="110"/>
      <c r="G422" s="110"/>
      <c r="H422" s="110"/>
      <c r="I422" s="110"/>
      <c r="J422" s="79"/>
      <c r="K422" s="126">
        <f t="shared" ref="K422:X422" si="322">J430</f>
        <v>55464052.979766198</v>
      </c>
      <c r="L422" s="126">
        <f t="shared" si="322"/>
        <v>81226967.104808688</v>
      </c>
      <c r="M422" s="126">
        <f t="shared" ca="1" si="322"/>
        <v>161441465.93281195</v>
      </c>
      <c r="N422" s="80">
        <f t="shared" ca="1" si="322"/>
        <v>215586377.97130588</v>
      </c>
      <c r="O422" s="126">
        <f t="shared" ca="1" si="322"/>
        <v>258894735.68981105</v>
      </c>
      <c r="P422" s="126">
        <f t="shared" ca="1" si="322"/>
        <v>322022905.02561921</v>
      </c>
      <c r="Q422" s="126">
        <f t="shared" ca="1" si="322"/>
        <v>380978465.50370693</v>
      </c>
      <c r="R422" s="126">
        <f t="shared" ca="1" si="322"/>
        <v>428880545.37248898</v>
      </c>
      <c r="S422" s="126"/>
      <c r="T422" s="126"/>
      <c r="U422" s="126">
        <f ca="1">Q430</f>
        <v>428880545.37248898</v>
      </c>
      <c r="V422" s="126">
        <f ca="1">R430</f>
        <v>496793846.18849409</v>
      </c>
      <c r="W422" s="126">
        <f t="shared" ca="1" si="322"/>
        <v>559193754.18592203</v>
      </c>
      <c r="X422" s="126">
        <f t="shared" ca="1" si="322"/>
        <v>621337627.89360631</v>
      </c>
      <c r="Y422" s="126">
        <f ca="1">X430</f>
        <v>683297193.50522554</v>
      </c>
      <c r="Z422" s="126">
        <f ca="1">Y430</f>
        <v>744508232.28735662</v>
      </c>
    </row>
    <row r="423" spans="3:58" ht="15.75" hidden="1" customHeight="1" outlineLevel="1">
      <c r="C423" s="111"/>
      <c r="D423" s="482" t="s">
        <v>1561</v>
      </c>
      <c r="E423" s="102"/>
      <c r="F423" s="110"/>
      <c r="G423" s="110"/>
      <c r="H423" s="110"/>
      <c r="I423" s="110"/>
      <c r="J423" s="126"/>
      <c r="K423" s="126">
        <f>K180</f>
        <v>26376845.059628002</v>
      </c>
      <c r="L423" s="126">
        <f ca="1">L180</f>
        <v>90608747.663000733</v>
      </c>
      <c r="M423" s="126">
        <f ca="1">M180</f>
        <v>61666912.038493931</v>
      </c>
      <c r="N423" s="80">
        <f ca="1">N180</f>
        <v>43308357.718505174</v>
      </c>
      <c r="O423" s="126">
        <f ca="1">O180</f>
        <v>63128169.335808143</v>
      </c>
      <c r="P423" s="126">
        <f ca="1">P180-P176</f>
        <v>58955560.478087723</v>
      </c>
      <c r="Q423" s="126">
        <f ca="1">Q180</f>
        <v>47902079.868782073</v>
      </c>
      <c r="R423" s="126">
        <f t="shared" ref="R423:Z423" ca="1" si="323">R180-R176</f>
        <v>67913300.816005126</v>
      </c>
      <c r="S423" s="126"/>
      <c r="T423" s="126"/>
      <c r="U423" s="126">
        <f ca="1">U180-U176</f>
        <v>40416144.412272014</v>
      </c>
      <c r="V423" s="126">
        <f t="shared" ca="1" si="323"/>
        <v>62399907.997427985</v>
      </c>
      <c r="W423" s="126">
        <f t="shared" ca="1" si="323"/>
        <v>62143873.707684301</v>
      </c>
      <c r="X423" s="126">
        <f t="shared" ca="1" si="323"/>
        <v>61959565.611619286</v>
      </c>
      <c r="Y423" s="126">
        <f t="shared" ca="1" si="323"/>
        <v>61211038.782131076</v>
      </c>
      <c r="Z423" s="126">
        <f t="shared" ca="1" si="323"/>
        <v>60400002.984807365</v>
      </c>
    </row>
    <row r="424" spans="3:58" ht="15.75" hidden="1" customHeight="1" outlineLevel="1">
      <c r="C424" s="111"/>
      <c r="D424" s="482" t="s">
        <v>1403</v>
      </c>
      <c r="E424" s="102"/>
      <c r="F424" s="110"/>
      <c r="G424" s="110"/>
      <c r="H424" s="110"/>
      <c r="I424" s="110"/>
      <c r="J424" s="79"/>
      <c r="K424" s="79">
        <v>0</v>
      </c>
      <c r="L424" s="79">
        <v>0</v>
      </c>
      <c r="M424" s="79">
        <v>0</v>
      </c>
      <c r="N424" s="79">
        <v>0</v>
      </c>
      <c r="O424" s="79">
        <v>0</v>
      </c>
      <c r="P424" s="79">
        <v>0</v>
      </c>
      <c r="Q424" s="79">
        <v>0</v>
      </c>
      <c r="R424" s="79">
        <v>0</v>
      </c>
      <c r="S424" s="79"/>
      <c r="T424" s="79"/>
      <c r="U424" s="79">
        <v>0</v>
      </c>
      <c r="V424" s="79">
        <v>0</v>
      </c>
      <c r="W424" s="79">
        <v>0</v>
      </c>
      <c r="X424" s="79">
        <v>0</v>
      </c>
      <c r="Y424" s="79">
        <v>0</v>
      </c>
      <c r="Z424" s="79">
        <v>0</v>
      </c>
    </row>
    <row r="425" spans="3:58" ht="15.75" hidden="1" customHeight="1" outlineLevel="1">
      <c r="C425" s="111"/>
      <c r="D425" s="482" t="s">
        <v>1562</v>
      </c>
      <c r="E425" s="102"/>
      <c r="F425" s="110"/>
      <c r="G425" s="110"/>
      <c r="H425" s="110"/>
      <c r="I425" s="110"/>
      <c r="J425" s="82"/>
      <c r="K425" s="82">
        <f t="shared" ref="K425:P425" si="324">-K457</f>
        <v>0</v>
      </c>
      <c r="L425" s="82">
        <f t="shared" si="324"/>
        <v>0</v>
      </c>
      <c r="M425" s="82">
        <f t="shared" si="324"/>
        <v>0</v>
      </c>
      <c r="N425" s="82">
        <f t="shared" si="324"/>
        <v>0</v>
      </c>
      <c r="O425" s="82">
        <f>-O457</f>
        <v>0</v>
      </c>
      <c r="P425" s="82">
        <f t="shared" si="324"/>
        <v>0</v>
      </c>
      <c r="Q425" s="82">
        <f t="shared" ref="Q425:Z425" si="325">-Q457</f>
        <v>0</v>
      </c>
      <c r="R425" s="82">
        <f t="shared" si="325"/>
        <v>0</v>
      </c>
      <c r="S425" s="82"/>
      <c r="T425" s="82"/>
      <c r="U425" s="82">
        <f>-U457</f>
        <v>0</v>
      </c>
      <c r="V425" s="82">
        <f t="shared" si="325"/>
        <v>0</v>
      </c>
      <c r="W425" s="82">
        <f t="shared" si="325"/>
        <v>0</v>
      </c>
      <c r="X425" s="82">
        <f t="shared" si="325"/>
        <v>0</v>
      </c>
      <c r="Y425" s="82">
        <f t="shared" si="325"/>
        <v>0</v>
      </c>
      <c r="Z425" s="82">
        <f t="shared" si="325"/>
        <v>0</v>
      </c>
    </row>
    <row r="426" spans="3:58" ht="15.75" hidden="1" customHeight="1" outlineLevel="1">
      <c r="C426" s="111"/>
      <c r="D426" s="482" t="s">
        <v>1362</v>
      </c>
      <c r="E426" s="102"/>
      <c r="F426" s="110"/>
      <c r="G426" s="110"/>
      <c r="H426" s="110"/>
      <c r="I426" s="110"/>
      <c r="J426" s="126"/>
      <c r="K426" s="126">
        <f t="shared" ref="K426:P426" si="326">-K443</f>
        <v>0</v>
      </c>
      <c r="L426" s="126">
        <f t="shared" si="326"/>
        <v>0</v>
      </c>
      <c r="M426" s="126">
        <f t="shared" si="326"/>
        <v>0</v>
      </c>
      <c r="N426" s="80">
        <f t="shared" si="326"/>
        <v>0</v>
      </c>
      <c r="O426" s="126">
        <f t="shared" si="326"/>
        <v>0</v>
      </c>
      <c r="P426" s="126">
        <f t="shared" si="326"/>
        <v>0</v>
      </c>
      <c r="Q426" s="126">
        <f t="shared" ref="Q426:Z426" si="327">-Q443</f>
        <v>0</v>
      </c>
      <c r="R426" s="126">
        <f t="shared" si="327"/>
        <v>0</v>
      </c>
      <c r="S426" s="126"/>
      <c r="T426" s="126"/>
      <c r="U426" s="126">
        <f>-U443</f>
        <v>0</v>
      </c>
      <c r="V426" s="126">
        <f t="shared" si="327"/>
        <v>0</v>
      </c>
      <c r="W426" s="126">
        <f t="shared" si="327"/>
        <v>0</v>
      </c>
      <c r="X426" s="126">
        <f t="shared" si="327"/>
        <v>0</v>
      </c>
      <c r="Y426" s="126">
        <f t="shared" si="327"/>
        <v>0</v>
      </c>
      <c r="Z426" s="126">
        <f t="shared" si="327"/>
        <v>0</v>
      </c>
    </row>
    <row r="427" spans="3:58" ht="15.75" hidden="1" customHeight="1" outlineLevel="1">
      <c r="C427" s="111"/>
      <c r="D427" s="482" t="s">
        <v>1563</v>
      </c>
      <c r="E427" s="102"/>
      <c r="F427" s="110"/>
      <c r="G427" s="110"/>
      <c r="H427" s="110"/>
      <c r="I427" s="110"/>
      <c r="J427" s="79"/>
      <c r="K427" s="79">
        <v>0</v>
      </c>
      <c r="L427" s="79">
        <f ca="1">-SUM(K292:L292)*10%</f>
        <v>-10394248.834997468</v>
      </c>
      <c r="M427" s="79">
        <f>-7522000</f>
        <v>-7522000</v>
      </c>
      <c r="N427" s="79">
        <v>0</v>
      </c>
      <c r="O427" s="79">
        <v>0</v>
      </c>
      <c r="P427" s="79">
        <v>0</v>
      </c>
      <c r="Q427" s="79">
        <v>0</v>
      </c>
      <c r="R427" s="79">
        <v>0</v>
      </c>
      <c r="S427" s="79"/>
      <c r="T427" s="79"/>
      <c r="U427" s="79">
        <v>0</v>
      </c>
      <c r="V427" s="79">
        <v>0</v>
      </c>
      <c r="W427" s="79">
        <v>0</v>
      </c>
      <c r="X427" s="79">
        <v>0</v>
      </c>
      <c r="Y427" s="79">
        <v>0</v>
      </c>
      <c r="Z427" s="79">
        <v>0</v>
      </c>
    </row>
    <row r="428" spans="3:58" ht="15.75" hidden="1" customHeight="1" outlineLevel="1">
      <c r="C428" s="111"/>
      <c r="D428" s="482" t="s">
        <v>1407</v>
      </c>
      <c r="E428" s="102"/>
      <c r="F428" s="110"/>
      <c r="G428" s="110"/>
      <c r="H428" s="110"/>
      <c r="I428" s="110"/>
      <c r="J428" s="126"/>
      <c r="K428" s="126">
        <f t="shared" ref="K428:P428" si="328">K448</f>
        <v>0</v>
      </c>
      <c r="L428" s="126">
        <f t="shared" si="328"/>
        <v>0</v>
      </c>
      <c r="M428" s="126">
        <f t="shared" si="328"/>
        <v>0</v>
      </c>
      <c r="N428" s="80">
        <f t="shared" si="328"/>
        <v>0</v>
      </c>
      <c r="O428" s="126">
        <f t="shared" si="328"/>
        <v>0</v>
      </c>
      <c r="P428" s="126">
        <f t="shared" si="328"/>
        <v>0</v>
      </c>
      <c r="Q428" s="126">
        <f t="shared" ref="Q428:Z428" si="329">Q448</f>
        <v>0</v>
      </c>
      <c r="R428" s="126">
        <f t="shared" si="329"/>
        <v>0</v>
      </c>
      <c r="S428" s="126"/>
      <c r="T428" s="126"/>
      <c r="U428" s="126">
        <f>U448</f>
        <v>0</v>
      </c>
      <c r="V428" s="126">
        <f t="shared" si="329"/>
        <v>0</v>
      </c>
      <c r="W428" s="126">
        <f t="shared" si="329"/>
        <v>0</v>
      </c>
      <c r="X428" s="126">
        <f t="shared" si="329"/>
        <v>0</v>
      </c>
      <c r="Y428" s="126">
        <f t="shared" si="329"/>
        <v>0</v>
      </c>
      <c r="Z428" s="126">
        <f t="shared" si="329"/>
        <v>0</v>
      </c>
    </row>
    <row r="429" spans="3:58" ht="15.75" hidden="1" customHeight="1" outlineLevel="1">
      <c r="C429" s="111"/>
      <c r="D429" s="482" t="s">
        <v>1564</v>
      </c>
      <c r="E429" s="102"/>
      <c r="F429" s="110"/>
      <c r="G429" s="110"/>
      <c r="H429" s="110"/>
      <c r="I429" s="110"/>
      <c r="J429" s="79"/>
      <c r="K429" s="79">
        <f>-883930.934585508+270000</f>
        <v>-613930.93458550796</v>
      </c>
      <c r="L429" s="79">
        <v>0</v>
      </c>
      <c r="M429" s="79">
        <v>0</v>
      </c>
      <c r="N429" s="79">
        <v>0</v>
      </c>
      <c r="O429" s="79">
        <v>0</v>
      </c>
      <c r="P429" s="79">
        <v>0</v>
      </c>
      <c r="Q429" s="79">
        <v>0</v>
      </c>
      <c r="R429" s="79">
        <v>0</v>
      </c>
      <c r="S429" s="79"/>
      <c r="T429" s="79"/>
      <c r="U429" s="79">
        <v>0</v>
      </c>
      <c r="V429" s="79">
        <v>0</v>
      </c>
      <c r="W429" s="79">
        <v>0</v>
      </c>
      <c r="X429" s="79">
        <v>0</v>
      </c>
      <c r="Y429" s="79">
        <v>0</v>
      </c>
      <c r="Z429" s="79">
        <v>0</v>
      </c>
    </row>
    <row r="430" spans="3:58" ht="15.75" hidden="1" customHeight="1" outlineLevel="1">
      <c r="C430" s="111"/>
      <c r="D430" s="110" t="s">
        <v>1565</v>
      </c>
      <c r="E430" s="110"/>
      <c r="F430" s="110"/>
      <c r="G430" s="110"/>
      <c r="H430" s="110"/>
      <c r="I430" s="110"/>
      <c r="J430" s="80">
        <f>J254</f>
        <v>55464052.979766198</v>
      </c>
      <c r="K430" s="80">
        <f t="shared" ref="K430:P430" si="330">SUM(K422:K429)</f>
        <v>81226967.104808688</v>
      </c>
      <c r="L430" s="80">
        <f t="shared" ca="1" si="330"/>
        <v>161441465.93281195</v>
      </c>
      <c r="M430" s="80">
        <f t="shared" ca="1" si="330"/>
        <v>215586377.97130588</v>
      </c>
      <c r="N430" s="80">
        <f ca="1">SUM(N422:N429)</f>
        <v>258894735.68981105</v>
      </c>
      <c r="O430" s="80">
        <f t="shared" ca="1" si="330"/>
        <v>322022905.02561921</v>
      </c>
      <c r="P430" s="80">
        <f t="shared" ca="1" si="330"/>
        <v>380978465.50370693</v>
      </c>
      <c r="Q430" s="80">
        <f t="shared" ref="Q430:Z430" ca="1" si="331">SUM(Q422:Q429)</f>
        <v>428880545.37248898</v>
      </c>
      <c r="R430" s="80">
        <f t="shared" ca="1" si="331"/>
        <v>496793846.18849409</v>
      </c>
      <c r="S430" s="80"/>
      <c r="T430" s="80"/>
      <c r="U430" s="80">
        <f ca="1">SUM(U422:U429)</f>
        <v>469296689.78476101</v>
      </c>
      <c r="V430" s="80">
        <f t="shared" ca="1" si="331"/>
        <v>559193754.18592203</v>
      </c>
      <c r="W430" s="80">
        <f t="shared" ca="1" si="331"/>
        <v>621337627.89360631</v>
      </c>
      <c r="X430" s="80">
        <f t="shared" ca="1" si="331"/>
        <v>683297193.50522554</v>
      </c>
      <c r="Y430" s="80">
        <f t="shared" ca="1" si="331"/>
        <v>744508232.28735662</v>
      </c>
      <c r="Z430" s="80">
        <f t="shared" ca="1" si="331"/>
        <v>804908235.27216399</v>
      </c>
    </row>
    <row r="431" spans="3:58" ht="15.75" hidden="1" customHeight="1" outlineLevel="1">
      <c r="C431" s="111"/>
      <c r="D431" s="102"/>
      <c r="E431" s="102"/>
      <c r="F431" s="102"/>
      <c r="G431" s="102"/>
      <c r="H431" s="102"/>
      <c r="I431" s="102"/>
      <c r="J431" s="102"/>
      <c r="K431" s="121"/>
      <c r="L431" s="121"/>
      <c r="M431" s="121"/>
      <c r="N431" s="118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  <c r="Z431" s="121"/>
    </row>
    <row r="432" spans="3:58" ht="15.75" hidden="1" customHeight="1" outlineLevel="1">
      <c r="C432" s="111"/>
      <c r="D432" s="110" t="s">
        <v>1566</v>
      </c>
      <c r="E432" s="110"/>
      <c r="F432" s="110"/>
      <c r="G432" s="110"/>
      <c r="H432" s="110"/>
      <c r="I432" s="110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3:26" ht="15.75" hidden="1" customHeight="1" outlineLevel="1">
      <c r="C433" s="111"/>
      <c r="D433" s="482" t="s">
        <v>1567</v>
      </c>
      <c r="E433" s="102"/>
      <c r="F433" s="110"/>
      <c r="G433" s="110"/>
      <c r="H433" s="110"/>
      <c r="I433" s="110"/>
      <c r="J433" s="80"/>
      <c r="K433" s="80">
        <f t="shared" ref="K433:X433" si="332">J436</f>
        <v>0</v>
      </c>
      <c r="L433" s="80">
        <f t="shared" si="332"/>
        <v>0</v>
      </c>
      <c r="M433" s="80">
        <f t="shared" si="332"/>
        <v>0</v>
      </c>
      <c r="N433" s="80">
        <f t="shared" si="332"/>
        <v>0</v>
      </c>
      <c r="O433" s="80">
        <f t="shared" si="332"/>
        <v>0</v>
      </c>
      <c r="P433" s="80">
        <f t="shared" si="332"/>
        <v>0</v>
      </c>
      <c r="Q433" s="80">
        <f t="shared" si="332"/>
        <v>0</v>
      </c>
      <c r="R433" s="80">
        <f t="shared" si="332"/>
        <v>0</v>
      </c>
      <c r="S433" s="80"/>
      <c r="T433" s="80"/>
      <c r="U433" s="80">
        <f t="shared" si="332"/>
        <v>0</v>
      </c>
      <c r="V433" s="80">
        <f>R436</f>
        <v>0</v>
      </c>
      <c r="W433" s="80">
        <f t="shared" si="332"/>
        <v>0</v>
      </c>
      <c r="X433" s="80">
        <f t="shared" si="332"/>
        <v>0</v>
      </c>
      <c r="Y433" s="80">
        <f>X436</f>
        <v>0</v>
      </c>
      <c r="Z433" s="80">
        <f>Y436</f>
        <v>0</v>
      </c>
    </row>
    <row r="434" spans="3:26" ht="15.75" hidden="1" customHeight="1" outlineLevel="1">
      <c r="C434" s="111"/>
      <c r="D434" s="482" t="s">
        <v>1568</v>
      </c>
      <c r="E434" s="102"/>
      <c r="F434" s="110"/>
      <c r="G434" s="110"/>
      <c r="H434" s="110"/>
      <c r="I434" s="110"/>
      <c r="J434" s="79"/>
      <c r="K434" s="79">
        <v>0</v>
      </c>
      <c r="L434" s="79">
        <v>0</v>
      </c>
      <c r="M434" s="79">
        <v>0</v>
      </c>
      <c r="N434" s="79">
        <v>0</v>
      </c>
      <c r="O434" s="79">
        <v>0</v>
      </c>
      <c r="P434" s="79">
        <v>0</v>
      </c>
      <c r="Q434" s="79">
        <v>0</v>
      </c>
      <c r="R434" s="79">
        <v>0</v>
      </c>
      <c r="S434" s="79"/>
      <c r="T434" s="79"/>
      <c r="U434" s="79">
        <v>0</v>
      </c>
      <c r="V434" s="79">
        <v>0</v>
      </c>
      <c r="W434" s="79">
        <v>0</v>
      </c>
      <c r="X434" s="79">
        <v>0</v>
      </c>
      <c r="Y434" s="79">
        <v>0</v>
      </c>
      <c r="Z434" s="79">
        <v>0</v>
      </c>
    </row>
    <row r="435" spans="3:26" ht="15.75" hidden="1" customHeight="1" outlineLevel="1">
      <c r="C435" s="111"/>
      <c r="D435" s="482" t="s">
        <v>1569</v>
      </c>
      <c r="E435" s="102"/>
      <c r="F435" s="110"/>
      <c r="G435" s="110"/>
      <c r="H435" s="110"/>
      <c r="I435" s="110"/>
      <c r="J435" s="79"/>
      <c r="K435" s="79">
        <v>0</v>
      </c>
      <c r="L435" s="79">
        <v>0</v>
      </c>
      <c r="M435" s="79">
        <v>0</v>
      </c>
      <c r="N435" s="79">
        <v>0</v>
      </c>
      <c r="O435" s="79">
        <v>0</v>
      </c>
      <c r="P435" s="79">
        <v>0</v>
      </c>
      <c r="Q435" s="79">
        <v>0</v>
      </c>
      <c r="R435" s="79">
        <v>0</v>
      </c>
      <c r="S435" s="79"/>
      <c r="T435" s="79"/>
      <c r="U435" s="79">
        <v>0</v>
      </c>
      <c r="V435" s="79">
        <v>0</v>
      </c>
      <c r="W435" s="79">
        <v>0</v>
      </c>
      <c r="X435" s="79">
        <v>0</v>
      </c>
      <c r="Y435" s="79">
        <v>0</v>
      </c>
      <c r="Z435" s="79">
        <v>0</v>
      </c>
    </row>
    <row r="436" spans="3:26" ht="15.75" hidden="1" customHeight="1" outlineLevel="1">
      <c r="C436" s="111"/>
      <c r="D436" s="482" t="s">
        <v>1570</v>
      </c>
      <c r="E436" s="102"/>
      <c r="F436" s="110"/>
      <c r="G436" s="110"/>
      <c r="H436" s="110"/>
      <c r="I436" s="110"/>
      <c r="J436" s="80"/>
      <c r="K436" s="80">
        <f t="shared" ref="K436:P436" si="333">SUM(K433:K435)</f>
        <v>0</v>
      </c>
      <c r="L436" s="80">
        <f t="shared" si="333"/>
        <v>0</v>
      </c>
      <c r="M436" s="80">
        <f t="shared" si="333"/>
        <v>0</v>
      </c>
      <c r="N436" s="80">
        <f t="shared" si="333"/>
        <v>0</v>
      </c>
      <c r="O436" s="80">
        <f t="shared" si="333"/>
        <v>0</v>
      </c>
      <c r="P436" s="80">
        <f t="shared" si="333"/>
        <v>0</v>
      </c>
      <c r="Q436" s="80">
        <f t="shared" ref="Q436:Z436" si="334">SUM(Q433:Q435)</f>
        <v>0</v>
      </c>
      <c r="R436" s="80">
        <f t="shared" si="334"/>
        <v>0</v>
      </c>
      <c r="S436" s="80"/>
      <c r="T436" s="80"/>
      <c r="U436" s="80">
        <f>SUM(U433:U435)</f>
        <v>0</v>
      </c>
      <c r="V436" s="80">
        <f t="shared" si="334"/>
        <v>0</v>
      </c>
      <c r="W436" s="80">
        <f t="shared" si="334"/>
        <v>0</v>
      </c>
      <c r="X436" s="80">
        <f t="shared" si="334"/>
        <v>0</v>
      </c>
      <c r="Y436" s="80">
        <f t="shared" si="334"/>
        <v>0</v>
      </c>
      <c r="Z436" s="80">
        <f t="shared" si="334"/>
        <v>0</v>
      </c>
    </row>
    <row r="437" spans="3:26" ht="15.75" hidden="1" customHeight="1" outlineLevel="1">
      <c r="C437" s="111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17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</row>
    <row r="438" spans="3:26" ht="15.75" hidden="1" customHeight="1" outlineLevel="1">
      <c r="C438" s="111"/>
      <c r="D438" s="110" t="s">
        <v>1571</v>
      </c>
      <c r="E438" s="110"/>
      <c r="F438" s="110"/>
      <c r="G438" s="110"/>
      <c r="H438" s="110"/>
      <c r="I438" s="110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3:26" ht="15.75" hidden="1" customHeight="1" outlineLevel="1">
      <c r="C439" s="111"/>
      <c r="D439" s="482" t="s">
        <v>1572</v>
      </c>
      <c r="E439" s="110"/>
      <c r="F439" s="110"/>
      <c r="G439" s="110"/>
      <c r="H439" s="110"/>
      <c r="I439" s="110"/>
      <c r="J439" s="110"/>
      <c r="K439" s="80">
        <f t="shared" ref="K439:P439" si="335">IF(K181/K454&lt;0,0,K181/K454)</f>
        <v>0</v>
      </c>
      <c r="L439" s="80">
        <f t="shared" si="335"/>
        <v>0</v>
      </c>
      <c r="M439" s="80">
        <f t="shared" si="335"/>
        <v>0</v>
      </c>
      <c r="N439" s="80">
        <f>IF(N457/N454&lt;0,0,N457/N454)</f>
        <v>0</v>
      </c>
      <c r="O439" s="80">
        <f t="shared" si="335"/>
        <v>0</v>
      </c>
      <c r="P439" s="80">
        <f t="shared" si="335"/>
        <v>0</v>
      </c>
      <c r="Q439" s="80">
        <f t="shared" ref="Q439:Z439" si="336">IF(Q181/Q454&lt;0,0,Q181/Q454)</f>
        <v>0</v>
      </c>
      <c r="R439" s="80">
        <f t="shared" si="336"/>
        <v>0</v>
      </c>
      <c r="S439" s="80"/>
      <c r="T439" s="80"/>
      <c r="U439" s="80">
        <f>IF(U181/U454&lt;0,0,U181/U454)</f>
        <v>0</v>
      </c>
      <c r="V439" s="80">
        <f t="shared" si="336"/>
        <v>0</v>
      </c>
      <c r="W439" s="80">
        <f t="shared" si="336"/>
        <v>0</v>
      </c>
      <c r="X439" s="80">
        <f t="shared" si="336"/>
        <v>0</v>
      </c>
      <c r="Y439" s="80">
        <f t="shared" si="336"/>
        <v>0</v>
      </c>
      <c r="Z439" s="80">
        <f t="shared" si="336"/>
        <v>0</v>
      </c>
    </row>
    <row r="440" spans="3:26" ht="15.75" hidden="1" customHeight="1" outlineLevel="1">
      <c r="C440" s="111"/>
      <c r="D440" s="482" t="s">
        <v>468</v>
      </c>
      <c r="E440" s="102"/>
      <c r="F440" s="110"/>
      <c r="G440" s="110"/>
      <c r="H440" s="110"/>
      <c r="I440" s="110"/>
      <c r="J440" s="110"/>
      <c r="K440" s="697">
        <v>0</v>
      </c>
      <c r="L440" s="698">
        <f t="shared" ref="L440:X440" si="337">K440</f>
        <v>0</v>
      </c>
      <c r="M440" s="698">
        <f t="shared" si="337"/>
        <v>0</v>
      </c>
      <c r="N440" s="698">
        <f t="shared" si="337"/>
        <v>0</v>
      </c>
      <c r="O440" s="698">
        <f t="shared" si="337"/>
        <v>0</v>
      </c>
      <c r="P440" s="698">
        <f t="shared" si="337"/>
        <v>0</v>
      </c>
      <c r="Q440" s="698">
        <f t="shared" si="337"/>
        <v>0</v>
      </c>
      <c r="R440" s="698">
        <f t="shared" si="337"/>
        <v>0</v>
      </c>
      <c r="S440" s="698"/>
      <c r="T440" s="698"/>
      <c r="U440" s="698">
        <f t="shared" si="337"/>
        <v>0</v>
      </c>
      <c r="V440" s="698">
        <f>R440</f>
        <v>0</v>
      </c>
      <c r="W440" s="698">
        <f t="shared" si="337"/>
        <v>0</v>
      </c>
      <c r="X440" s="698">
        <f t="shared" si="337"/>
        <v>0</v>
      </c>
      <c r="Y440" s="698">
        <f>X440</f>
        <v>0</v>
      </c>
      <c r="Z440" s="698">
        <f>Y440</f>
        <v>0</v>
      </c>
    </row>
    <row r="441" spans="3:26" ht="15.75" hidden="1" customHeight="1" outlineLevel="1">
      <c r="C441" s="111"/>
      <c r="D441" s="482" t="s">
        <v>1573</v>
      </c>
      <c r="E441" s="102"/>
      <c r="F441" s="110"/>
      <c r="G441" s="110"/>
      <c r="H441" s="110"/>
      <c r="I441" s="110"/>
      <c r="J441" s="110"/>
      <c r="K441" s="80">
        <f t="shared" ref="K441:P441" si="338">K439*K440</f>
        <v>0</v>
      </c>
      <c r="L441" s="80">
        <f t="shared" si="338"/>
        <v>0</v>
      </c>
      <c r="M441" s="80">
        <f t="shared" si="338"/>
        <v>0</v>
      </c>
      <c r="N441" s="80">
        <f>N439*N440</f>
        <v>0</v>
      </c>
      <c r="O441" s="80">
        <f t="shared" si="338"/>
        <v>0</v>
      </c>
      <c r="P441" s="80">
        <f t="shared" si="338"/>
        <v>0</v>
      </c>
      <c r="Q441" s="80">
        <f t="shared" ref="Q441:Z441" si="339">Q439*Q440</f>
        <v>0</v>
      </c>
      <c r="R441" s="80">
        <f t="shared" si="339"/>
        <v>0</v>
      </c>
      <c r="S441" s="80"/>
      <c r="T441" s="80"/>
      <c r="U441" s="80">
        <f>U439*U440</f>
        <v>0</v>
      </c>
      <c r="V441" s="80">
        <f t="shared" si="339"/>
        <v>0</v>
      </c>
      <c r="W441" s="80">
        <f t="shared" si="339"/>
        <v>0</v>
      </c>
      <c r="X441" s="80">
        <f t="shared" si="339"/>
        <v>0</v>
      </c>
      <c r="Y441" s="80">
        <f t="shared" si="339"/>
        <v>0</v>
      </c>
      <c r="Z441" s="80">
        <f t="shared" si="339"/>
        <v>0</v>
      </c>
    </row>
    <row r="442" spans="3:26" ht="15.75" hidden="1" customHeight="1" outlineLevel="1">
      <c r="C442" s="111"/>
      <c r="D442" s="482" t="s">
        <v>1574</v>
      </c>
      <c r="E442" s="102"/>
      <c r="F442" s="110"/>
      <c r="G442" s="110"/>
      <c r="H442" s="110"/>
      <c r="I442" s="110"/>
      <c r="J442" s="110"/>
      <c r="K442" s="79">
        <v>0</v>
      </c>
      <c r="L442" s="79">
        <v>0</v>
      </c>
      <c r="M442" s="79">
        <v>0</v>
      </c>
      <c r="N442" s="79">
        <v>0</v>
      </c>
      <c r="O442" s="79">
        <v>0</v>
      </c>
      <c r="P442" s="79">
        <v>0</v>
      </c>
      <c r="Q442" s="79">
        <v>0</v>
      </c>
      <c r="R442" s="79">
        <v>0</v>
      </c>
      <c r="S442" s="79"/>
      <c r="T442" s="79"/>
      <c r="U442" s="79">
        <v>0</v>
      </c>
      <c r="V442" s="79">
        <v>0</v>
      </c>
      <c r="W442" s="79">
        <v>0</v>
      </c>
      <c r="X442" s="79">
        <v>0</v>
      </c>
      <c r="Y442" s="79">
        <v>0</v>
      </c>
      <c r="Z442" s="79">
        <v>0</v>
      </c>
    </row>
    <row r="443" spans="3:26" ht="15.75" hidden="1" customHeight="1" outlineLevel="1">
      <c r="C443" s="111"/>
      <c r="D443" s="482" t="s">
        <v>471</v>
      </c>
      <c r="E443" s="102"/>
      <c r="F443" s="110"/>
      <c r="G443" s="110"/>
      <c r="H443" s="110"/>
      <c r="I443" s="110"/>
      <c r="J443" s="110"/>
      <c r="K443" s="80">
        <f t="shared" ref="K443:P443" si="340">K442*K441</f>
        <v>0</v>
      </c>
      <c r="L443" s="80">
        <f t="shared" si="340"/>
        <v>0</v>
      </c>
      <c r="M443" s="80">
        <f t="shared" si="340"/>
        <v>0</v>
      </c>
      <c r="N443" s="80">
        <f t="shared" si="340"/>
        <v>0</v>
      </c>
      <c r="O443" s="80">
        <f t="shared" si="340"/>
        <v>0</v>
      </c>
      <c r="P443" s="80">
        <f t="shared" si="340"/>
        <v>0</v>
      </c>
      <c r="Q443" s="80">
        <f t="shared" ref="Q443:Z443" si="341">Q442*Q441</f>
        <v>0</v>
      </c>
      <c r="R443" s="80">
        <f t="shared" si="341"/>
        <v>0</v>
      </c>
      <c r="S443" s="80"/>
      <c r="T443" s="80"/>
      <c r="U443" s="80">
        <f>U442*U441</f>
        <v>0</v>
      </c>
      <c r="V443" s="80">
        <f t="shared" si="341"/>
        <v>0</v>
      </c>
      <c r="W443" s="80">
        <f t="shared" si="341"/>
        <v>0</v>
      </c>
      <c r="X443" s="80">
        <f t="shared" si="341"/>
        <v>0</v>
      </c>
      <c r="Y443" s="80">
        <f t="shared" si="341"/>
        <v>0</v>
      </c>
      <c r="Z443" s="80">
        <f t="shared" si="341"/>
        <v>0</v>
      </c>
    </row>
    <row r="444" spans="3:26" ht="15.75" hidden="1" customHeight="1" outlineLevel="1">
      <c r="C444" s="111"/>
      <c r="D444" s="102"/>
      <c r="E444" s="102"/>
      <c r="F444" s="102"/>
      <c r="G444" s="102"/>
      <c r="H444" s="102"/>
      <c r="I444" s="102"/>
      <c r="J444" s="102"/>
      <c r="K444" s="102"/>
      <c r="L444" s="121"/>
      <c r="M444" s="121"/>
      <c r="N444" s="118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  <c r="Z444" s="121"/>
    </row>
    <row r="445" spans="3:26" ht="15.75" hidden="1" customHeight="1" outlineLevel="1">
      <c r="C445" s="111"/>
      <c r="D445" s="110" t="s">
        <v>1575</v>
      </c>
      <c r="E445" s="110"/>
      <c r="F445" s="110"/>
      <c r="G445" s="110"/>
      <c r="H445" s="110"/>
      <c r="I445" s="110"/>
      <c r="J445" s="110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3:26" ht="15.75" hidden="1" customHeight="1" outlineLevel="1">
      <c r="C446" s="111"/>
      <c r="D446" s="482" t="s">
        <v>1576</v>
      </c>
      <c r="E446" s="102"/>
      <c r="F446" s="110"/>
      <c r="G446" s="110"/>
      <c r="H446" s="110"/>
      <c r="I446" s="110"/>
      <c r="J446" s="110"/>
      <c r="K446" s="79">
        <v>0</v>
      </c>
      <c r="L446" s="79">
        <v>0</v>
      </c>
      <c r="M446" s="79">
        <v>0</v>
      </c>
      <c r="N446" s="79">
        <v>0</v>
      </c>
      <c r="O446" s="79">
        <v>0</v>
      </c>
      <c r="P446" s="79">
        <v>0</v>
      </c>
      <c r="Q446" s="79">
        <v>0</v>
      </c>
      <c r="R446" s="79">
        <v>0</v>
      </c>
      <c r="S446" s="79"/>
      <c r="T446" s="79"/>
      <c r="U446" s="79">
        <v>0</v>
      </c>
      <c r="V446" s="79">
        <v>0</v>
      </c>
      <c r="W446" s="79">
        <v>0</v>
      </c>
      <c r="X446" s="79">
        <v>0</v>
      </c>
      <c r="Y446" s="79">
        <v>0</v>
      </c>
      <c r="Z446" s="79">
        <v>0</v>
      </c>
    </row>
    <row r="447" spans="3:26" ht="15.75" hidden="1" customHeight="1" outlineLevel="1">
      <c r="C447" s="111"/>
      <c r="D447" s="482" t="s">
        <v>1577</v>
      </c>
      <c r="E447" s="102"/>
      <c r="F447" s="110"/>
      <c r="G447" s="110"/>
      <c r="H447" s="110"/>
      <c r="I447" s="110"/>
      <c r="J447" s="110"/>
      <c r="K447" s="79">
        <v>0</v>
      </c>
      <c r="L447" s="79">
        <v>0</v>
      </c>
      <c r="M447" s="79">
        <v>0</v>
      </c>
      <c r="N447" s="79">
        <v>0</v>
      </c>
      <c r="O447" s="79">
        <v>0</v>
      </c>
      <c r="P447" s="79">
        <v>0</v>
      </c>
      <c r="Q447" s="79">
        <v>0</v>
      </c>
      <c r="R447" s="79">
        <v>0</v>
      </c>
      <c r="S447" s="79"/>
      <c r="T447" s="79"/>
      <c r="U447" s="79">
        <v>0</v>
      </c>
      <c r="V447" s="79">
        <v>0</v>
      </c>
      <c r="W447" s="79">
        <v>0</v>
      </c>
      <c r="X447" s="79">
        <v>0</v>
      </c>
      <c r="Y447" s="79">
        <v>0</v>
      </c>
      <c r="Z447" s="79">
        <v>0</v>
      </c>
    </row>
    <row r="448" spans="3:26" ht="15.75" hidden="1" customHeight="1" outlineLevel="1">
      <c r="C448" s="111"/>
      <c r="D448" s="482" t="s">
        <v>475</v>
      </c>
      <c r="E448" s="102"/>
      <c r="F448" s="110"/>
      <c r="G448" s="110"/>
      <c r="H448" s="110"/>
      <c r="I448" s="110"/>
      <c r="J448" s="110"/>
      <c r="K448" s="80">
        <f t="shared" ref="K448:P448" si="342">K447*K446</f>
        <v>0</v>
      </c>
      <c r="L448" s="80">
        <f t="shared" si="342"/>
        <v>0</v>
      </c>
      <c r="M448" s="80">
        <f t="shared" si="342"/>
        <v>0</v>
      </c>
      <c r="N448" s="80">
        <f t="shared" si="342"/>
        <v>0</v>
      </c>
      <c r="O448" s="80">
        <f t="shared" si="342"/>
        <v>0</v>
      </c>
      <c r="P448" s="80">
        <f t="shared" si="342"/>
        <v>0</v>
      </c>
      <c r="Q448" s="80">
        <f t="shared" ref="Q448:Z448" si="343">Q447*Q446</f>
        <v>0</v>
      </c>
      <c r="R448" s="80">
        <f t="shared" si="343"/>
        <v>0</v>
      </c>
      <c r="S448" s="80"/>
      <c r="T448" s="80"/>
      <c r="U448" s="80">
        <f>U447*U446</f>
        <v>0</v>
      </c>
      <c r="V448" s="80">
        <f t="shared" si="343"/>
        <v>0</v>
      </c>
      <c r="W448" s="80">
        <f t="shared" si="343"/>
        <v>0</v>
      </c>
      <c r="X448" s="80">
        <f t="shared" si="343"/>
        <v>0</v>
      </c>
      <c r="Y448" s="80">
        <f t="shared" si="343"/>
        <v>0</v>
      </c>
      <c r="Z448" s="80">
        <f t="shared" si="343"/>
        <v>0</v>
      </c>
    </row>
    <row r="449" spans="3:26" ht="15.75" hidden="1" customHeight="1" outlineLevel="1">
      <c r="C449" s="111"/>
      <c r="D449" s="102"/>
      <c r="E449" s="102"/>
      <c r="F449" s="102"/>
      <c r="G449" s="102"/>
      <c r="H449" s="102"/>
      <c r="I449" s="102"/>
      <c r="J449" s="102"/>
      <c r="K449" s="102"/>
      <c r="L449" s="121"/>
      <c r="M449" s="121"/>
      <c r="N449" s="118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  <c r="Z449" s="121"/>
    </row>
    <row r="450" spans="3:26" ht="15.75" hidden="1" customHeight="1" outlineLevel="1">
      <c r="C450" s="111"/>
      <c r="D450" s="110" t="s">
        <v>1578</v>
      </c>
      <c r="E450" s="110"/>
      <c r="F450" s="110"/>
      <c r="G450" s="110"/>
      <c r="H450" s="110"/>
      <c r="I450" s="110"/>
      <c r="J450" s="110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3:26" ht="15.75" hidden="1" customHeight="1" outlineLevel="1">
      <c r="C451" s="111"/>
      <c r="D451" s="482" t="s">
        <v>1579</v>
      </c>
      <c r="E451" s="102"/>
      <c r="F451" s="110"/>
      <c r="G451" s="110"/>
      <c r="H451" s="110"/>
      <c r="I451" s="110"/>
      <c r="J451" s="110"/>
      <c r="K451" s="699">
        <v>100</v>
      </c>
      <c r="L451" s="80">
        <f t="shared" ref="L451:X451" si="344">K454</f>
        <v>100</v>
      </c>
      <c r="M451" s="80">
        <f t="shared" si="344"/>
        <v>100</v>
      </c>
      <c r="N451" s="80">
        <f t="shared" si="344"/>
        <v>100</v>
      </c>
      <c r="O451" s="80">
        <f t="shared" si="344"/>
        <v>100</v>
      </c>
      <c r="P451" s="80">
        <f t="shared" si="344"/>
        <v>100</v>
      </c>
      <c r="Q451" s="80">
        <f t="shared" si="344"/>
        <v>100</v>
      </c>
      <c r="R451" s="80">
        <f t="shared" si="344"/>
        <v>100</v>
      </c>
      <c r="S451" s="80"/>
      <c r="T451" s="80"/>
      <c r="U451" s="80">
        <f>Q454</f>
        <v>100</v>
      </c>
      <c r="V451" s="80">
        <f>R454</f>
        <v>100</v>
      </c>
      <c r="W451" s="80">
        <f t="shared" si="344"/>
        <v>100</v>
      </c>
      <c r="X451" s="80">
        <f t="shared" si="344"/>
        <v>100</v>
      </c>
      <c r="Y451" s="80">
        <f>X454</f>
        <v>100</v>
      </c>
      <c r="Z451" s="80">
        <f>Y454</f>
        <v>100</v>
      </c>
    </row>
    <row r="452" spans="3:26" ht="15.75" hidden="1" customHeight="1" outlineLevel="1">
      <c r="C452" s="111"/>
      <c r="D452" s="482" t="s">
        <v>478</v>
      </c>
      <c r="E452" s="102"/>
      <c r="F452" s="110"/>
      <c r="G452" s="110"/>
      <c r="H452" s="110"/>
      <c r="I452" s="110"/>
      <c r="J452" s="110"/>
      <c r="K452" s="80">
        <f t="shared" ref="K452:P452" si="345">K446</f>
        <v>0</v>
      </c>
      <c r="L452" s="80">
        <f t="shared" si="345"/>
        <v>0</v>
      </c>
      <c r="M452" s="80">
        <f t="shared" si="345"/>
        <v>0</v>
      </c>
      <c r="N452" s="80">
        <f t="shared" si="345"/>
        <v>0</v>
      </c>
      <c r="O452" s="80">
        <f t="shared" si="345"/>
        <v>0</v>
      </c>
      <c r="P452" s="80">
        <f t="shared" si="345"/>
        <v>0</v>
      </c>
      <c r="Q452" s="80">
        <f t="shared" ref="Q452:Z452" si="346">Q446</f>
        <v>0</v>
      </c>
      <c r="R452" s="80">
        <f t="shared" si="346"/>
        <v>0</v>
      </c>
      <c r="S452" s="80"/>
      <c r="T452" s="80"/>
      <c r="U452" s="80">
        <f>U446</f>
        <v>0</v>
      </c>
      <c r="V452" s="80">
        <f t="shared" si="346"/>
        <v>0</v>
      </c>
      <c r="W452" s="80">
        <f t="shared" si="346"/>
        <v>0</v>
      </c>
      <c r="X452" s="80">
        <f t="shared" si="346"/>
        <v>0</v>
      </c>
      <c r="Y452" s="80">
        <f t="shared" si="346"/>
        <v>0</v>
      </c>
      <c r="Z452" s="80">
        <f t="shared" si="346"/>
        <v>0</v>
      </c>
    </row>
    <row r="453" spans="3:26" ht="15.75" hidden="1" customHeight="1" outlineLevel="1">
      <c r="C453" s="111"/>
      <c r="D453" s="482" t="s">
        <v>479</v>
      </c>
      <c r="E453" s="102"/>
      <c r="F453" s="110"/>
      <c r="G453" s="110"/>
      <c r="H453" s="110"/>
      <c r="I453" s="110"/>
      <c r="J453" s="110"/>
      <c r="K453" s="80">
        <f t="shared" ref="K453:P453" si="347">-K442</f>
        <v>0</v>
      </c>
      <c r="L453" s="80">
        <f t="shared" si="347"/>
        <v>0</v>
      </c>
      <c r="M453" s="80">
        <f t="shared" si="347"/>
        <v>0</v>
      </c>
      <c r="N453" s="80">
        <f t="shared" si="347"/>
        <v>0</v>
      </c>
      <c r="O453" s="80">
        <f t="shared" si="347"/>
        <v>0</v>
      </c>
      <c r="P453" s="80">
        <f t="shared" si="347"/>
        <v>0</v>
      </c>
      <c r="Q453" s="80">
        <f t="shared" ref="Q453:Z453" si="348">-Q442</f>
        <v>0</v>
      </c>
      <c r="R453" s="80">
        <f t="shared" si="348"/>
        <v>0</v>
      </c>
      <c r="S453" s="80"/>
      <c r="T453" s="80"/>
      <c r="U453" s="80">
        <f>-U442</f>
        <v>0</v>
      </c>
      <c r="V453" s="80">
        <f t="shared" si="348"/>
        <v>0</v>
      </c>
      <c r="W453" s="80">
        <f t="shared" si="348"/>
        <v>0</v>
      </c>
      <c r="X453" s="80">
        <f t="shared" si="348"/>
        <v>0</v>
      </c>
      <c r="Y453" s="80">
        <f t="shared" si="348"/>
        <v>0</v>
      </c>
      <c r="Z453" s="80">
        <f t="shared" si="348"/>
        <v>0</v>
      </c>
    </row>
    <row r="454" spans="3:26" ht="15.75" hidden="1" customHeight="1" outlineLevel="1">
      <c r="C454" s="111"/>
      <c r="D454" s="482" t="s">
        <v>1580</v>
      </c>
      <c r="E454" s="102"/>
      <c r="F454" s="110"/>
      <c r="G454" s="110"/>
      <c r="H454" s="110"/>
      <c r="I454" s="110"/>
      <c r="J454" s="110"/>
      <c r="K454" s="700">
        <f t="shared" ref="K454:P454" si="349">SUM(K451:K453)</f>
        <v>100</v>
      </c>
      <c r="L454" s="700">
        <f t="shared" si="349"/>
        <v>100</v>
      </c>
      <c r="M454" s="700">
        <f t="shared" si="349"/>
        <v>100</v>
      </c>
      <c r="N454" s="700">
        <f t="shared" si="349"/>
        <v>100</v>
      </c>
      <c r="O454" s="700">
        <f t="shared" si="349"/>
        <v>100</v>
      </c>
      <c r="P454" s="700">
        <f t="shared" si="349"/>
        <v>100</v>
      </c>
      <c r="Q454" s="700">
        <f t="shared" ref="Q454:Z454" si="350">SUM(Q451:Q453)</f>
        <v>100</v>
      </c>
      <c r="R454" s="700">
        <f t="shared" si="350"/>
        <v>100</v>
      </c>
      <c r="S454" s="700"/>
      <c r="T454" s="700"/>
      <c r="U454" s="700">
        <f>SUM(U451:U453)</f>
        <v>100</v>
      </c>
      <c r="V454" s="700">
        <f t="shared" si="350"/>
        <v>100</v>
      </c>
      <c r="W454" s="700">
        <f t="shared" si="350"/>
        <v>100</v>
      </c>
      <c r="X454" s="700">
        <f t="shared" si="350"/>
        <v>100</v>
      </c>
      <c r="Y454" s="700">
        <f t="shared" si="350"/>
        <v>100</v>
      </c>
      <c r="Z454" s="700">
        <f t="shared" si="350"/>
        <v>100</v>
      </c>
    </row>
    <row r="455" spans="3:26" ht="15.75" hidden="1" customHeight="1" outlineLevel="1">
      <c r="C455" s="111"/>
      <c r="D455" s="102"/>
      <c r="E455" s="102"/>
      <c r="F455" s="102"/>
      <c r="G455" s="102"/>
      <c r="H455" s="102"/>
      <c r="I455" s="102"/>
      <c r="J455" s="102"/>
      <c r="K455" s="117"/>
      <c r="L455" s="102"/>
      <c r="M455" s="121"/>
      <c r="N455" s="118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  <c r="Z455" s="121"/>
    </row>
    <row r="456" spans="3:26" ht="15.75" hidden="1" customHeight="1" outlineLevel="1">
      <c r="C456" s="111"/>
      <c r="D456" s="110" t="s">
        <v>1581</v>
      </c>
      <c r="E456" s="110"/>
      <c r="F456" s="110"/>
      <c r="G456" s="110"/>
      <c r="H456" s="110"/>
      <c r="I456" s="110"/>
      <c r="J456" s="110"/>
      <c r="K456" s="80">
        <f t="shared" ref="K456:P456" si="351">K457/K454</f>
        <v>0</v>
      </c>
      <c r="L456" s="80">
        <f t="shared" si="351"/>
        <v>0</v>
      </c>
      <c r="M456" s="80">
        <f t="shared" si="351"/>
        <v>0</v>
      </c>
      <c r="N456" s="80">
        <f t="shared" si="351"/>
        <v>0</v>
      </c>
      <c r="O456" s="80">
        <f t="shared" si="351"/>
        <v>0</v>
      </c>
      <c r="P456" s="80">
        <f t="shared" si="351"/>
        <v>0</v>
      </c>
      <c r="Q456" s="80">
        <f t="shared" ref="Q456:Z456" si="352">Q457/Q454</f>
        <v>0</v>
      </c>
      <c r="R456" s="80">
        <f t="shared" si="352"/>
        <v>0</v>
      </c>
      <c r="S456" s="80"/>
      <c r="T456" s="80"/>
      <c r="U456" s="80">
        <f>U457/U454</f>
        <v>0</v>
      </c>
      <c r="V456" s="80">
        <f t="shared" si="352"/>
        <v>0</v>
      </c>
      <c r="W456" s="80">
        <f t="shared" si="352"/>
        <v>0</v>
      </c>
      <c r="X456" s="80">
        <f t="shared" si="352"/>
        <v>0</v>
      </c>
      <c r="Y456" s="80">
        <f t="shared" si="352"/>
        <v>0</v>
      </c>
      <c r="Z456" s="80">
        <f t="shared" si="352"/>
        <v>0</v>
      </c>
    </row>
    <row r="457" spans="3:26" ht="15.75" hidden="1" customHeight="1" outlineLevel="1">
      <c r="C457" s="111"/>
      <c r="D457" s="110" t="s">
        <v>1582</v>
      </c>
      <c r="E457" s="111"/>
      <c r="F457" s="111"/>
      <c r="G457" s="111"/>
      <c r="H457" s="111"/>
      <c r="I457" s="111"/>
      <c r="J457" s="111"/>
      <c r="K457" s="111">
        <f>K181*K458</f>
        <v>0</v>
      </c>
      <c r="L457" s="111">
        <f>L181*L458</f>
        <v>0</v>
      </c>
      <c r="M457" s="111">
        <f>M181*M458</f>
        <v>0</v>
      </c>
      <c r="N457" s="80">
        <v>0</v>
      </c>
      <c r="O457" s="80">
        <v>0</v>
      </c>
      <c r="P457" s="80">
        <v>0</v>
      </c>
      <c r="Q457" s="80">
        <v>0</v>
      </c>
      <c r="R457" s="80">
        <v>0</v>
      </c>
      <c r="S457" s="80"/>
      <c r="T457" s="80"/>
      <c r="U457" s="80">
        <v>0</v>
      </c>
      <c r="V457" s="80">
        <v>0</v>
      </c>
      <c r="W457" s="80">
        <v>0</v>
      </c>
      <c r="X457" s="80">
        <v>0</v>
      </c>
      <c r="Y457" s="80">
        <v>0</v>
      </c>
      <c r="Z457" s="80">
        <v>0</v>
      </c>
    </row>
    <row r="458" spans="3:26" ht="15.75" hidden="1" customHeight="1" outlineLevel="1">
      <c r="C458" s="111"/>
      <c r="D458" s="110" t="s">
        <v>1583</v>
      </c>
      <c r="E458" s="111"/>
      <c r="F458" s="111"/>
      <c r="G458" s="111"/>
      <c r="H458" s="111"/>
      <c r="I458" s="111"/>
      <c r="J458" s="111"/>
      <c r="K458" s="127">
        <v>0</v>
      </c>
      <c r="L458" s="127">
        <f>K458</f>
        <v>0</v>
      </c>
      <c r="M458" s="127">
        <f>L458</f>
        <v>0</v>
      </c>
      <c r="N458" s="83">
        <v>1</v>
      </c>
      <c r="O458" s="127">
        <f t="shared" ref="O458:X458" si="353">N458</f>
        <v>1</v>
      </c>
      <c r="P458" s="127">
        <f t="shared" si="353"/>
        <v>1</v>
      </c>
      <c r="Q458" s="127">
        <f t="shared" si="353"/>
        <v>1</v>
      </c>
      <c r="R458" s="127">
        <f t="shared" si="353"/>
        <v>1</v>
      </c>
      <c r="S458" s="127"/>
      <c r="T458" s="127"/>
      <c r="U458" s="127">
        <f t="shared" si="353"/>
        <v>0</v>
      </c>
      <c r="V458" s="127">
        <f>R458</f>
        <v>1</v>
      </c>
      <c r="W458" s="127">
        <f t="shared" si="353"/>
        <v>1</v>
      </c>
      <c r="X458" s="127">
        <f t="shared" si="353"/>
        <v>1</v>
      </c>
      <c r="Y458" s="127">
        <f>X458</f>
        <v>1</v>
      </c>
      <c r="Z458" s="127">
        <f>Y458</f>
        <v>1</v>
      </c>
    </row>
    <row r="459" spans="3:26" ht="15.75" hidden="1" customHeight="1" outlineLevel="1">
      <c r="C459" s="111"/>
      <c r="D459" s="111"/>
      <c r="E459" s="111"/>
      <c r="F459" s="111"/>
      <c r="G459" s="111"/>
      <c r="H459" s="111"/>
      <c r="I459" s="111"/>
      <c r="J459" s="111"/>
      <c r="K459" s="111"/>
      <c r="L459" s="128"/>
      <c r="M459" s="128"/>
      <c r="N459" s="114"/>
      <c r="O459" s="128"/>
      <c r="P459" s="128"/>
      <c r="Q459" s="128"/>
      <c r="R459" s="128"/>
      <c r="S459" s="128"/>
      <c r="T459" s="128"/>
      <c r="U459" s="128"/>
      <c r="V459" s="128"/>
      <c r="W459" s="128"/>
      <c r="X459" s="128"/>
      <c r="Y459" s="128"/>
      <c r="Z459" s="128"/>
    </row>
    <row r="460" spans="3:26" ht="15.75" hidden="1" customHeight="1" outlineLevel="1">
      <c r="C460" s="111"/>
      <c r="D460" s="111"/>
      <c r="E460" s="111"/>
      <c r="F460" s="111"/>
      <c r="G460" s="111"/>
      <c r="H460" s="111"/>
      <c r="I460" s="111"/>
      <c r="J460" s="111"/>
      <c r="K460" s="111"/>
      <c r="L460" s="128"/>
      <c r="M460" s="128"/>
      <c r="N460" s="114"/>
      <c r="O460" s="128"/>
      <c r="P460" s="128"/>
      <c r="Q460" s="128"/>
      <c r="R460" s="128"/>
      <c r="S460" s="128"/>
      <c r="T460" s="128"/>
      <c r="U460" s="128"/>
      <c r="V460" s="128"/>
      <c r="W460" s="128"/>
      <c r="X460" s="128"/>
      <c r="Y460" s="128"/>
      <c r="Z460" s="128"/>
    </row>
    <row r="461" spans="3:26" ht="15.75" hidden="1" customHeight="1" outlineLevel="1">
      <c r="C461" s="111"/>
      <c r="D461" s="111"/>
      <c r="E461" s="111"/>
      <c r="F461" s="111"/>
      <c r="G461" s="111"/>
      <c r="H461" s="111"/>
      <c r="I461" s="111"/>
      <c r="J461" s="111"/>
      <c r="K461" s="111"/>
      <c r="L461" s="128"/>
      <c r="M461" s="128"/>
      <c r="N461" s="114"/>
      <c r="O461" s="128"/>
      <c r="P461" s="128"/>
      <c r="Q461" s="128"/>
      <c r="R461" s="128"/>
      <c r="S461" s="128"/>
      <c r="T461" s="128"/>
      <c r="U461" s="128"/>
      <c r="V461" s="128"/>
      <c r="W461" s="128"/>
      <c r="X461" s="128"/>
      <c r="Y461" s="128"/>
      <c r="Z461" s="128"/>
    </row>
    <row r="462" spans="3:26" ht="15.75" hidden="1" customHeight="1" outlineLevel="1">
      <c r="D462" s="461"/>
      <c r="E462" s="81"/>
      <c r="F462" s="81"/>
      <c r="G462" s="81"/>
      <c r="H462" s="81"/>
      <c r="I462" s="81"/>
      <c r="J462" s="81"/>
      <c r="K462" s="81"/>
    </row>
    <row r="463" spans="3:26" ht="27" customHeight="1" collapsed="1">
      <c r="D463" s="462" t="s">
        <v>284</v>
      </c>
      <c r="M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spans="3:26" ht="3" customHeight="1">
      <c r="D464" s="464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89"/>
      <c r="R464" s="89"/>
      <c r="S464" s="89"/>
      <c r="T464" s="89"/>
      <c r="U464" s="89"/>
      <c r="V464" s="89"/>
      <c r="W464" s="89"/>
      <c r="X464" s="89"/>
      <c r="Y464" s="89"/>
      <c r="Z464" s="89"/>
    </row>
    <row r="465" spans="3:58" ht="10.5" customHeight="1"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</row>
    <row r="466" spans="3:58" ht="9.75" customHeight="1">
      <c r="D466" s="467" t="s">
        <v>283</v>
      </c>
      <c r="E466" s="468"/>
      <c r="F466" s="468"/>
      <c r="G466" s="468"/>
      <c r="H466" s="468"/>
      <c r="I466" s="91"/>
      <c r="J466" s="91"/>
      <c r="K466" s="91"/>
      <c r="L466" s="91"/>
      <c r="M466" s="135"/>
      <c r="N466" s="135"/>
      <c r="O466" s="135"/>
      <c r="P466" s="135"/>
      <c r="Q466" s="135"/>
      <c r="R466" s="135"/>
      <c r="S466" s="135"/>
      <c r="T466" s="135"/>
      <c r="U466" s="135"/>
      <c r="V466" s="135"/>
      <c r="W466" s="135"/>
      <c r="X466" s="135"/>
      <c r="Y466" s="135"/>
      <c r="Z466" s="135"/>
    </row>
    <row r="467" spans="3:58">
      <c r="C467" s="91"/>
      <c r="D467" s="546"/>
      <c r="E467" s="106"/>
      <c r="F467" s="106"/>
      <c r="G467" s="106"/>
      <c r="H467" s="546"/>
      <c r="I467" s="546"/>
      <c r="J467" s="92">
        <f t="shared" ref="J467:M469" si="354">J418</f>
        <v>0</v>
      </c>
      <c r="K467" s="92">
        <f t="shared" si="354"/>
        <v>1</v>
      </c>
      <c r="L467" s="92">
        <f t="shared" si="354"/>
        <v>2</v>
      </c>
      <c r="M467" s="136">
        <f t="shared" si="354"/>
        <v>3</v>
      </c>
      <c r="N467" s="136">
        <f t="shared" ref="N467:P469" si="355">N418</f>
        <v>4</v>
      </c>
      <c r="O467" s="136">
        <f t="shared" si="355"/>
        <v>5</v>
      </c>
      <c r="P467" s="136">
        <f t="shared" si="355"/>
        <v>6</v>
      </c>
      <c r="Q467" s="136">
        <f t="shared" ref="Q467:R469" si="356">Q418</f>
        <v>7</v>
      </c>
      <c r="R467" s="136">
        <f t="shared" si="356"/>
        <v>8</v>
      </c>
      <c r="S467" s="136"/>
      <c r="T467" s="136"/>
      <c r="U467" s="136" t="str">
        <f>U418</f>
        <v>Revised</v>
      </c>
      <c r="V467" s="136">
        <f t="shared" ref="V467:W469" si="357">V418</f>
        <v>9</v>
      </c>
      <c r="W467" s="136">
        <f t="shared" si="357"/>
        <v>10</v>
      </c>
      <c r="X467" s="136">
        <f t="shared" ref="X467:Z469" si="358">X418</f>
        <v>11</v>
      </c>
      <c r="Y467" s="136">
        <f t="shared" si="358"/>
        <v>12</v>
      </c>
      <c r="Z467" s="136">
        <f t="shared" si="358"/>
        <v>13</v>
      </c>
      <c r="AA467" s="447"/>
      <c r="AB467" s="447"/>
      <c r="AC467" s="447"/>
      <c r="AD467" s="447"/>
      <c r="AE467" s="447"/>
      <c r="AF467" s="447"/>
      <c r="AG467" s="447"/>
      <c r="AH467" s="447"/>
      <c r="AI467" s="447"/>
      <c r="AJ467" s="447"/>
      <c r="AK467" s="447"/>
      <c r="AL467" s="447"/>
      <c r="AM467" s="447"/>
      <c r="AN467" s="447"/>
      <c r="AO467" s="447"/>
      <c r="AP467" s="447"/>
      <c r="AQ467" s="447"/>
      <c r="AR467" s="447"/>
      <c r="AS467" s="447"/>
      <c r="AT467" s="447"/>
      <c r="AU467" s="447"/>
      <c r="AV467" s="447"/>
      <c r="AW467" s="447"/>
      <c r="AX467" s="447"/>
      <c r="AY467" s="447"/>
      <c r="AZ467" s="447"/>
      <c r="BA467" s="447"/>
      <c r="BB467" s="447"/>
      <c r="BC467" s="447"/>
      <c r="BD467" s="447"/>
      <c r="BE467" s="447"/>
      <c r="BF467" s="447"/>
    </row>
    <row r="468" spans="3:58">
      <c r="C468" s="91"/>
      <c r="D468" s="548"/>
      <c r="E468" s="469"/>
      <c r="F468" s="469"/>
      <c r="G468" s="469"/>
      <c r="H468" s="548"/>
      <c r="I468" s="548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447"/>
      <c r="AB468" s="447"/>
      <c r="AC468" s="447"/>
      <c r="AD468" s="447"/>
      <c r="AE468" s="447"/>
      <c r="AF468" s="447"/>
      <c r="AG468" s="447"/>
      <c r="AH468" s="447"/>
      <c r="AI468" s="447"/>
      <c r="AJ468" s="447"/>
      <c r="AK468" s="447"/>
      <c r="AL468" s="447"/>
      <c r="AM468" s="447"/>
      <c r="AN468" s="447"/>
      <c r="AO468" s="447"/>
      <c r="AP468" s="447"/>
      <c r="AQ468" s="447"/>
      <c r="AR468" s="447"/>
      <c r="AS468" s="447"/>
      <c r="AT468" s="447"/>
      <c r="AU468" s="447"/>
      <c r="AV468" s="447"/>
      <c r="AW468" s="447"/>
      <c r="AX468" s="447"/>
      <c r="AY468" s="447"/>
      <c r="AZ468" s="447"/>
      <c r="BA468" s="447"/>
      <c r="BB468" s="447"/>
      <c r="BC468" s="447"/>
      <c r="BD468" s="447"/>
      <c r="BE468" s="447"/>
      <c r="BF468" s="447"/>
    </row>
    <row r="469" spans="3:58">
      <c r="C469" s="91"/>
      <c r="D469" s="471"/>
      <c r="E469" s="472"/>
      <c r="F469" s="506"/>
      <c r="G469" s="506"/>
      <c r="H469" s="471"/>
      <c r="I469" s="471"/>
      <c r="J469" s="94" t="str">
        <f t="shared" si="354"/>
        <v>($)</v>
      </c>
      <c r="K469" s="94" t="str">
        <f t="shared" si="354"/>
        <v>($)</v>
      </c>
      <c r="L469" s="94" t="str">
        <f t="shared" si="354"/>
        <v>($)</v>
      </c>
      <c r="M469" s="94" t="str">
        <f t="shared" si="354"/>
        <v>($)</v>
      </c>
      <c r="N469" s="94" t="str">
        <f t="shared" si="355"/>
        <v>($)</v>
      </c>
      <c r="O469" s="94" t="str">
        <f t="shared" si="355"/>
        <v>($)</v>
      </c>
      <c r="P469" s="94" t="str">
        <f t="shared" si="355"/>
        <v>($)</v>
      </c>
      <c r="Q469" s="94" t="str">
        <f t="shared" si="356"/>
        <v>($)</v>
      </c>
      <c r="R469" s="94" t="str">
        <f t="shared" si="356"/>
        <v>($)</v>
      </c>
      <c r="S469" s="94"/>
      <c r="T469" s="94"/>
      <c r="U469" s="94" t="str">
        <f>U420</f>
        <v>($)</v>
      </c>
      <c r="V469" s="94" t="str">
        <f t="shared" si="357"/>
        <v>($)</v>
      </c>
      <c r="W469" s="94" t="str">
        <f t="shared" si="357"/>
        <v>($)</v>
      </c>
      <c r="X469" s="94" t="str">
        <f t="shared" si="358"/>
        <v>($)</v>
      </c>
      <c r="Y469" s="94" t="str">
        <f t="shared" si="358"/>
        <v>($)</v>
      </c>
      <c r="Z469" s="94" t="str">
        <f t="shared" si="358"/>
        <v>($)</v>
      </c>
      <c r="AA469" s="447"/>
      <c r="AB469" s="447"/>
      <c r="AC469" s="447"/>
      <c r="AD469" s="447"/>
      <c r="AE469" s="447"/>
      <c r="AF469" s="447"/>
      <c r="AG469" s="447"/>
      <c r="AH469" s="447"/>
      <c r="AI469" s="447"/>
      <c r="AJ469" s="447"/>
      <c r="AK469" s="447"/>
      <c r="AL469" s="447"/>
      <c r="AM469" s="447"/>
      <c r="AN469" s="447"/>
      <c r="AO469" s="447"/>
      <c r="AP469" s="447"/>
      <c r="AQ469" s="447"/>
      <c r="AR469" s="447"/>
      <c r="AS469" s="447"/>
      <c r="AT469" s="447"/>
      <c r="AU469" s="447"/>
      <c r="AV469" s="447"/>
      <c r="AW469" s="447"/>
      <c r="AX469" s="447"/>
      <c r="AY469" s="447"/>
      <c r="AZ469" s="447"/>
      <c r="BA469" s="447"/>
      <c r="BB469" s="447"/>
      <c r="BC469" s="447"/>
      <c r="BD469" s="447"/>
      <c r="BE469" s="447"/>
      <c r="BF469" s="447"/>
    </row>
    <row r="470" spans="3:58" ht="9" customHeight="1">
      <c r="C470" s="111"/>
      <c r="D470" s="102"/>
      <c r="E470" s="102"/>
      <c r="F470" s="102"/>
      <c r="G470" s="102"/>
      <c r="H470" s="102"/>
      <c r="I470" s="102"/>
      <c r="J470" s="102"/>
      <c r="K470" s="102"/>
      <c r="L470" s="102"/>
      <c r="M470" s="121"/>
      <c r="N470" s="118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  <c r="Z470" s="121"/>
    </row>
    <row r="471" spans="3:58" ht="15.75" customHeight="1">
      <c r="C471" s="111"/>
      <c r="D471" s="453" t="s">
        <v>212</v>
      </c>
      <c r="E471" s="453"/>
      <c r="F471" s="453"/>
      <c r="G471" s="453"/>
      <c r="H471" s="453"/>
      <c r="I471" s="453"/>
      <c r="J471" s="453"/>
      <c r="K471" s="453">
        <f t="shared" ref="K471:P471" ca="1" si="359">K292</f>
        <v>20395025.331096262</v>
      </c>
      <c r="L471" s="453">
        <f t="shared" ca="1" si="359"/>
        <v>83547463.018878415</v>
      </c>
      <c r="M471" s="453">
        <f t="shared" ca="1" si="359"/>
        <v>61207131.179284886</v>
      </c>
      <c r="N471" s="453">
        <f t="shared" ca="1" si="359"/>
        <v>39601597.216666885</v>
      </c>
      <c r="O471" s="453">
        <f t="shared" ca="1" si="359"/>
        <v>63416126.469672106</v>
      </c>
      <c r="P471" s="80">
        <f t="shared" ca="1" si="359"/>
        <v>62178956.815063223</v>
      </c>
      <c r="Q471" s="453">
        <f t="shared" ref="Q471:Z471" ca="1" si="360">Q292</f>
        <v>45097416.815393925</v>
      </c>
      <c r="R471" s="453">
        <f t="shared" ca="1" si="360"/>
        <v>61857404.23085171</v>
      </c>
      <c r="S471" s="453"/>
      <c r="T471" s="453"/>
      <c r="U471" s="453">
        <f ca="1">U292</f>
        <v>43372810.744114101</v>
      </c>
      <c r="V471" s="453">
        <f t="shared" ca="1" si="360"/>
        <v>65882434.780033596</v>
      </c>
      <c r="W471" s="453">
        <f t="shared" ca="1" si="360"/>
        <v>64280377.785830893</v>
      </c>
      <c r="X471" s="453">
        <f t="shared" ca="1" si="360"/>
        <v>64086895.040328898</v>
      </c>
      <c r="Y471" s="453">
        <f t="shared" ca="1" si="360"/>
        <v>63753174.555694111</v>
      </c>
      <c r="Z471" s="453">
        <f t="shared" ca="1" si="360"/>
        <v>63241964.860942356</v>
      </c>
    </row>
    <row r="472" spans="3:58" ht="15.75" hidden="1" customHeight="1" outlineLevel="1">
      <c r="C472" s="111"/>
      <c r="D472" s="453" t="s">
        <v>1584</v>
      </c>
      <c r="E472" s="453"/>
      <c r="F472" s="453"/>
      <c r="G472" s="453"/>
      <c r="H472" s="453"/>
      <c r="I472" s="453"/>
      <c r="J472" s="453"/>
      <c r="K472" s="453">
        <f t="shared" ref="K472:P472" si="361">K424</f>
        <v>0</v>
      </c>
      <c r="L472" s="453">
        <f t="shared" si="361"/>
        <v>0</v>
      </c>
      <c r="M472" s="453">
        <f t="shared" si="361"/>
        <v>0</v>
      </c>
      <c r="N472" s="453">
        <f t="shared" si="361"/>
        <v>0</v>
      </c>
      <c r="O472" s="453">
        <f t="shared" si="361"/>
        <v>0</v>
      </c>
      <c r="P472" s="80">
        <f t="shared" si="361"/>
        <v>0</v>
      </c>
      <c r="Q472" s="453">
        <f t="shared" ref="Q472:Z472" si="362">Q424</f>
        <v>0</v>
      </c>
      <c r="R472" s="453">
        <f t="shared" si="362"/>
        <v>0</v>
      </c>
      <c r="S472" s="453"/>
      <c r="T472" s="453"/>
      <c r="U472" s="453">
        <f>U424</f>
        <v>0</v>
      </c>
      <c r="V472" s="453">
        <f t="shared" si="362"/>
        <v>0</v>
      </c>
      <c r="W472" s="453">
        <f t="shared" si="362"/>
        <v>0</v>
      </c>
      <c r="X472" s="453">
        <f t="shared" si="362"/>
        <v>0</v>
      </c>
      <c r="Y472" s="453">
        <f t="shared" si="362"/>
        <v>0</v>
      </c>
      <c r="Z472" s="453">
        <f t="shared" si="362"/>
        <v>0</v>
      </c>
    </row>
    <row r="473" spans="3:58" ht="15.75" hidden="1" customHeight="1" outlineLevel="1">
      <c r="C473" s="111"/>
      <c r="D473" s="453" t="s">
        <v>1585</v>
      </c>
      <c r="E473" s="453"/>
      <c r="F473" s="453"/>
      <c r="G473" s="453"/>
      <c r="H473" s="453"/>
      <c r="I473" s="453"/>
      <c r="J473" s="453"/>
      <c r="K473" s="453">
        <f>-K425</f>
        <v>0</v>
      </c>
      <c r="L473" s="453">
        <f>-L425</f>
        <v>0</v>
      </c>
      <c r="M473" s="453">
        <f>-M425</f>
        <v>0</v>
      </c>
      <c r="N473" s="453">
        <f>N425</f>
        <v>0</v>
      </c>
      <c r="O473" s="453">
        <f t="shared" ref="O473:W473" si="363">-O425</f>
        <v>0</v>
      </c>
      <c r="P473" s="80">
        <f t="shared" si="363"/>
        <v>0</v>
      </c>
      <c r="Q473" s="453">
        <f t="shared" si="363"/>
        <v>0</v>
      </c>
      <c r="R473" s="453">
        <f t="shared" si="363"/>
        <v>0</v>
      </c>
      <c r="S473" s="453"/>
      <c r="T473" s="453"/>
      <c r="U473" s="453">
        <f>-U425</f>
        <v>0</v>
      </c>
      <c r="V473" s="453">
        <f t="shared" si="363"/>
        <v>0</v>
      </c>
      <c r="W473" s="453">
        <f t="shared" si="363"/>
        <v>0</v>
      </c>
      <c r="X473" s="453">
        <f>-X425</f>
        <v>0</v>
      </c>
      <c r="Y473" s="453">
        <f>-Y425</f>
        <v>0</v>
      </c>
      <c r="Z473" s="453">
        <f>-Z425</f>
        <v>0</v>
      </c>
    </row>
    <row r="474" spans="3:58" ht="15.75" hidden="1" customHeight="1" outlineLevel="1">
      <c r="C474" s="111"/>
      <c r="D474" s="453" t="s">
        <v>1586</v>
      </c>
      <c r="E474" s="453"/>
      <c r="F474" s="453"/>
      <c r="G474" s="453"/>
      <c r="H474" s="453"/>
      <c r="I474" s="453"/>
      <c r="J474" s="453"/>
      <c r="K474" s="453">
        <f t="shared" ref="K474:P474" si="364">K429</f>
        <v>-613930.93458550796</v>
      </c>
      <c r="L474" s="453">
        <f t="shared" si="364"/>
        <v>0</v>
      </c>
      <c r="M474" s="453">
        <f t="shared" si="364"/>
        <v>0</v>
      </c>
      <c r="N474" s="453">
        <f t="shared" si="364"/>
        <v>0</v>
      </c>
      <c r="O474" s="453">
        <f t="shared" si="364"/>
        <v>0</v>
      </c>
      <c r="P474" s="80">
        <f t="shared" si="364"/>
        <v>0</v>
      </c>
      <c r="Q474" s="453">
        <f t="shared" ref="Q474:Z474" si="365">Q429</f>
        <v>0</v>
      </c>
      <c r="R474" s="453">
        <f t="shared" si="365"/>
        <v>0</v>
      </c>
      <c r="S474" s="453"/>
      <c r="T474" s="453"/>
      <c r="U474" s="453">
        <f>U429</f>
        <v>0</v>
      </c>
      <c r="V474" s="453">
        <f t="shared" si="365"/>
        <v>0</v>
      </c>
      <c r="W474" s="453">
        <f t="shared" si="365"/>
        <v>0</v>
      </c>
      <c r="X474" s="453">
        <f t="shared" si="365"/>
        <v>0</v>
      </c>
      <c r="Y474" s="453">
        <f t="shared" si="365"/>
        <v>0</v>
      </c>
      <c r="Z474" s="453">
        <f t="shared" si="365"/>
        <v>0</v>
      </c>
    </row>
    <row r="475" spans="3:58" ht="15.75" customHeight="1" collapsed="1">
      <c r="C475" s="111"/>
      <c r="D475" s="453" t="s">
        <v>285</v>
      </c>
      <c r="E475" s="453"/>
      <c r="F475" s="453"/>
      <c r="G475" s="453"/>
      <c r="H475" s="453"/>
      <c r="I475" s="453"/>
      <c r="J475" s="453"/>
      <c r="K475" s="453">
        <f t="shared" ref="K475:P475" si="366">K308</f>
        <v>418595.70874044765</v>
      </c>
      <c r="L475" s="453">
        <f t="shared" ca="1" si="366"/>
        <v>25776121.039836708</v>
      </c>
      <c r="M475" s="453">
        <f t="shared" ca="1" si="366"/>
        <v>111374579.38038433</v>
      </c>
      <c r="N475" s="453">
        <f t="shared" ca="1" si="366"/>
        <v>159856630.5596692</v>
      </c>
      <c r="O475" s="453">
        <f t="shared" ca="1" si="366"/>
        <v>194961427.77633607</v>
      </c>
      <c r="P475" s="80">
        <f t="shared" ca="1" si="366"/>
        <v>253179534.80747101</v>
      </c>
      <c r="Q475" s="453">
        <f t="shared" ref="Q475:Z475" ca="1" si="367">Q308</f>
        <v>310731742.08495981</v>
      </c>
      <c r="R475" s="453">
        <f t="shared" ca="1" si="367"/>
        <v>372505349.90035373</v>
      </c>
      <c r="S475" s="453"/>
      <c r="T475" s="453"/>
      <c r="U475" s="453">
        <f ca="1">U308</f>
        <v>372505349.90035373</v>
      </c>
      <c r="V475" s="453">
        <f t="shared" ca="1" si="367"/>
        <v>430477039.84549117</v>
      </c>
      <c r="W475" s="453">
        <f t="shared" ca="1" si="367"/>
        <v>492473760.33981049</v>
      </c>
      <c r="X475" s="453">
        <f t="shared" ca="1" si="367"/>
        <v>552868423.83992708</v>
      </c>
      <c r="Y475" s="453">
        <f t="shared" ca="1" si="367"/>
        <v>611936271.2612083</v>
      </c>
      <c r="Z475" s="453">
        <f t="shared" ca="1" si="367"/>
        <v>675689445.8169024</v>
      </c>
    </row>
    <row r="476" spans="3:58" ht="15.75" customHeight="1">
      <c r="C476" s="111"/>
      <c r="D476" s="453" t="s">
        <v>286</v>
      </c>
      <c r="E476" s="453"/>
      <c r="F476" s="453"/>
      <c r="G476" s="453"/>
      <c r="H476" s="453"/>
      <c r="I476" s="453"/>
      <c r="J476" s="78"/>
      <c r="K476" s="78">
        <f t="shared" ref="K476:P476" si="368">-K152*K210</f>
        <v>-1589159.3312000001</v>
      </c>
      <c r="L476" s="78">
        <f t="shared" si="368"/>
        <v>-4987632.9542316319</v>
      </c>
      <c r="M476" s="78">
        <f t="shared" si="368"/>
        <v>-4195919.3627640083</v>
      </c>
      <c r="N476" s="78">
        <f t="shared" si="368"/>
        <v>-3379841.3017546451</v>
      </c>
      <c r="O476" s="78">
        <f t="shared" si="368"/>
        <v>-4048873.8854438737</v>
      </c>
      <c r="P476" s="78">
        <f t="shared" si="368"/>
        <v>-3891681.8070891504</v>
      </c>
      <c r="Q476" s="78">
        <f t="shared" ref="Q476:Z476" si="369">-Q152*Q210</f>
        <v>-3573341.8244525506</v>
      </c>
      <c r="R476" s="78">
        <f t="shared" si="369"/>
        <v>-4275999.7246414497</v>
      </c>
      <c r="S476" s="78"/>
      <c r="T476" s="78"/>
      <c r="U476" s="78">
        <f>-U152*U210</f>
        <v>-3129303.2663570559</v>
      </c>
      <c r="V476" s="78">
        <f t="shared" si="369"/>
        <v>-4092788.5412988719</v>
      </c>
      <c r="W476" s="78">
        <f t="shared" si="369"/>
        <v>-4092788.5412988719</v>
      </c>
      <c r="X476" s="78">
        <f t="shared" si="369"/>
        <v>-4092788.5412988719</v>
      </c>
      <c r="Y476" s="78">
        <f t="shared" si="369"/>
        <v>-4092788.5412988719</v>
      </c>
      <c r="Z476" s="78">
        <f t="shared" si="369"/>
        <v>-4092788.5412988719</v>
      </c>
    </row>
    <row r="477" spans="3:58" ht="15.75" customHeight="1">
      <c r="C477" s="111"/>
      <c r="D477" s="701" t="s">
        <v>287</v>
      </c>
      <c r="E477" s="453"/>
      <c r="F477" s="453"/>
      <c r="G477" s="453"/>
      <c r="H477" s="453"/>
      <c r="I477" s="453"/>
      <c r="J477" s="129"/>
      <c r="K477" s="129">
        <f t="shared" ref="K477:P477" ca="1" si="370">SUM(K471:K476)</f>
        <v>18610530.774051201</v>
      </c>
      <c r="L477" s="129">
        <f t="shared" ca="1" si="370"/>
        <v>104335951.10448349</v>
      </c>
      <c r="M477" s="129">
        <f t="shared" ca="1" si="370"/>
        <v>168385791.1969052</v>
      </c>
      <c r="N477" s="129">
        <f t="shared" ca="1" si="370"/>
        <v>196078386.47458142</v>
      </c>
      <c r="O477" s="129">
        <f t="shared" ca="1" si="370"/>
        <v>254328680.36056432</v>
      </c>
      <c r="P477" s="129">
        <f t="shared" ca="1" si="370"/>
        <v>311466809.81544507</v>
      </c>
      <c r="Q477" s="129">
        <f t="shared" ref="Q477:Z477" ca="1" si="371">SUM(Q471:Q476)</f>
        <v>352255817.07590115</v>
      </c>
      <c r="R477" s="129">
        <f t="shared" ca="1" si="371"/>
        <v>430086754.406564</v>
      </c>
      <c r="S477" s="129"/>
      <c r="T477" s="129"/>
      <c r="U477" s="129">
        <f ca="1">SUM(U471:U476)</f>
        <v>412748857.37811077</v>
      </c>
      <c r="V477" s="129">
        <f t="shared" ca="1" si="371"/>
        <v>492266686.08422589</v>
      </c>
      <c r="W477" s="129">
        <f t="shared" ca="1" si="371"/>
        <v>552661349.58434248</v>
      </c>
      <c r="X477" s="129">
        <f t="shared" ca="1" si="371"/>
        <v>612862530.33895707</v>
      </c>
      <c r="Y477" s="129">
        <f t="shared" ca="1" si="371"/>
        <v>671596657.27560353</v>
      </c>
      <c r="Z477" s="129">
        <f t="shared" ca="1" si="371"/>
        <v>734838622.1365459</v>
      </c>
    </row>
    <row r="478" spans="3:58" ht="6" customHeight="1">
      <c r="C478" s="111"/>
      <c r="D478" s="453"/>
      <c r="E478" s="453"/>
      <c r="F478" s="453"/>
      <c r="G478" s="453"/>
      <c r="H478" s="453"/>
      <c r="I478" s="453"/>
      <c r="J478" s="453"/>
      <c r="K478" s="452"/>
      <c r="L478" s="452"/>
      <c r="M478" s="452"/>
      <c r="N478" s="452"/>
      <c r="O478" s="452"/>
      <c r="P478" s="82"/>
      <c r="Q478" s="452"/>
      <c r="R478" s="452"/>
      <c r="S478" s="452"/>
      <c r="T478" s="452"/>
      <c r="U478" s="452"/>
      <c r="V478" s="452"/>
      <c r="W478" s="452"/>
      <c r="X478" s="452"/>
      <c r="Y478" s="452"/>
      <c r="Z478" s="452"/>
    </row>
    <row r="479" spans="3:58" ht="15.75" customHeight="1">
      <c r="C479" s="111"/>
      <c r="D479" s="447" t="s">
        <v>288</v>
      </c>
      <c r="E479" s="453"/>
      <c r="F479" s="453"/>
      <c r="G479" s="453"/>
      <c r="H479" s="453"/>
      <c r="I479" s="453"/>
      <c r="J479" s="453"/>
      <c r="K479" s="452"/>
      <c r="L479" s="452"/>
      <c r="M479" s="452"/>
      <c r="N479" s="452"/>
      <c r="O479" s="452"/>
      <c r="P479" s="82"/>
      <c r="Q479" s="452"/>
      <c r="R479" s="452"/>
      <c r="S479" s="452"/>
      <c r="T479" s="452"/>
      <c r="U479" s="452"/>
      <c r="V479" s="452"/>
      <c r="W479" s="452"/>
      <c r="X479" s="452"/>
      <c r="Y479" s="452"/>
      <c r="Z479" s="452"/>
    </row>
    <row r="480" spans="3:58" ht="15.75" customHeight="1">
      <c r="C480" s="111"/>
      <c r="D480" s="164" t="s">
        <v>2121</v>
      </c>
      <c r="E480" s="453"/>
      <c r="F480" s="453"/>
      <c r="G480" s="453"/>
      <c r="H480" s="453"/>
      <c r="I480" s="453"/>
      <c r="J480" s="453"/>
      <c r="K480" s="453">
        <f t="shared" ref="K480:M482" si="372">J480+K486</f>
        <v>0</v>
      </c>
      <c r="L480" s="453">
        <f t="shared" si="372"/>
        <v>13931972.789999999</v>
      </c>
      <c r="M480" s="453">
        <f>L480+M486</f>
        <v>10447972.789999999</v>
      </c>
      <c r="N480" s="453">
        <f>M480+N486</f>
        <v>7693572.7899999991</v>
      </c>
      <c r="O480" s="453">
        <f>N480+O486</f>
        <v>4210579.629999999</v>
      </c>
      <c r="P480" s="80">
        <f>O480+P486</f>
        <v>0</v>
      </c>
      <c r="Q480" s="453">
        <f>P480+Q486</f>
        <v>16676191</v>
      </c>
      <c r="R480" s="453">
        <f t="shared" ref="P480:X482" si="373">Q480+R486</f>
        <v>12790476.714285715</v>
      </c>
      <c r="S480" s="453"/>
      <c r="T480" s="453"/>
      <c r="U480" s="453">
        <f>Q480+U486</f>
        <v>12790476.714285715</v>
      </c>
      <c r="V480" s="453">
        <f>R480+V486</f>
        <v>8904762.4285714291</v>
      </c>
      <c r="W480" s="453">
        <f t="shared" si="373"/>
        <v>5019048.1428571437</v>
      </c>
      <c r="X480" s="453">
        <f t="shared" si="373"/>
        <v>0.52380952425301075</v>
      </c>
      <c r="Y480" s="453">
        <f t="shared" ref="Y480:Z482" si="374">X480+Y486</f>
        <v>0.52380952425301075</v>
      </c>
      <c r="Z480" s="453">
        <f t="shared" si="374"/>
        <v>0.52380952425301075</v>
      </c>
    </row>
    <row r="481" spans="3:26" ht="15.75" customHeight="1">
      <c r="C481" s="111"/>
      <c r="D481" s="674" t="s">
        <v>2122</v>
      </c>
      <c r="E481" s="453"/>
      <c r="F481" s="453"/>
      <c r="G481" s="453"/>
      <c r="H481" s="453"/>
      <c r="I481" s="453"/>
      <c r="J481" s="453"/>
      <c r="K481" s="452">
        <f t="shared" si="372"/>
        <v>4962500</v>
      </c>
      <c r="L481" s="452">
        <f t="shared" si="372"/>
        <v>3846748.3666666667</v>
      </c>
      <c r="M481" s="452">
        <f t="shared" si="372"/>
        <v>3074548.3666666667</v>
      </c>
      <c r="N481" s="452">
        <f>9691470.61*4.19983/30.2442</f>
        <v>1345796.186111595</v>
      </c>
      <c r="O481" s="452">
        <f>N481+O487</f>
        <v>416169.90757442091</v>
      </c>
      <c r="P481" s="82">
        <f>O481+P487</f>
        <v>0</v>
      </c>
      <c r="Q481" s="452">
        <f t="shared" si="373"/>
        <v>0</v>
      </c>
      <c r="R481" s="452">
        <f t="shared" si="373"/>
        <v>0</v>
      </c>
      <c r="S481" s="452"/>
      <c r="T481" s="452"/>
      <c r="U481" s="452">
        <f t="shared" si="373"/>
        <v>0</v>
      </c>
      <c r="V481" s="452">
        <f>R481+V487</f>
        <v>0</v>
      </c>
      <c r="W481" s="452">
        <f t="shared" si="373"/>
        <v>0</v>
      </c>
      <c r="X481" s="452">
        <f t="shared" si="373"/>
        <v>0</v>
      </c>
      <c r="Y481" s="452">
        <f t="shared" si="374"/>
        <v>0</v>
      </c>
      <c r="Z481" s="452">
        <f t="shared" si="374"/>
        <v>0</v>
      </c>
    </row>
    <row r="482" spans="3:26" ht="15.75" hidden="1" customHeight="1" outlineLevel="1">
      <c r="C482" s="111"/>
      <c r="D482" s="674" t="s">
        <v>2124</v>
      </c>
      <c r="E482" s="453"/>
      <c r="F482" s="453"/>
      <c r="G482" s="453"/>
      <c r="H482" s="453"/>
      <c r="I482" s="453"/>
      <c r="J482" s="453"/>
      <c r="K482" s="453">
        <f t="shared" si="372"/>
        <v>0</v>
      </c>
      <c r="L482" s="453">
        <f t="shared" si="372"/>
        <v>0</v>
      </c>
      <c r="M482" s="453">
        <f t="shared" si="372"/>
        <v>1831500.0000000002</v>
      </c>
      <c r="N482" s="453">
        <f>M482+N488</f>
        <v>785400.00000000012</v>
      </c>
      <c r="O482" s="453">
        <f>N482+O488</f>
        <v>0</v>
      </c>
      <c r="P482" s="80">
        <f t="shared" si="373"/>
        <v>0</v>
      </c>
      <c r="Q482" s="453">
        <f t="shared" si="373"/>
        <v>0</v>
      </c>
      <c r="R482" s="453">
        <f t="shared" si="373"/>
        <v>0</v>
      </c>
      <c r="S482" s="453"/>
      <c r="T482" s="453"/>
      <c r="U482" s="453">
        <f t="shared" si="373"/>
        <v>0</v>
      </c>
      <c r="V482" s="453">
        <f>R482+V488</f>
        <v>0</v>
      </c>
      <c r="W482" s="453">
        <f t="shared" si="373"/>
        <v>0</v>
      </c>
      <c r="X482" s="453">
        <f t="shared" si="373"/>
        <v>0</v>
      </c>
      <c r="Y482" s="453">
        <f t="shared" si="374"/>
        <v>0</v>
      </c>
      <c r="Z482" s="453">
        <f t="shared" si="374"/>
        <v>0</v>
      </c>
    </row>
    <row r="483" spans="3:26" ht="15.75" customHeight="1" collapsed="1">
      <c r="C483" s="111"/>
      <c r="D483" s="447" t="s">
        <v>289</v>
      </c>
      <c r="E483" s="453"/>
      <c r="F483" s="453"/>
      <c r="G483" s="453"/>
      <c r="H483" s="453"/>
      <c r="I483" s="453"/>
      <c r="J483" s="453"/>
      <c r="K483" s="452">
        <f t="shared" ref="K483:P483" si="375">SUM(K480:K482)</f>
        <v>4962500</v>
      </c>
      <c r="L483" s="452">
        <f t="shared" si="375"/>
        <v>17778721.156666666</v>
      </c>
      <c r="M483" s="452">
        <f t="shared" si="375"/>
        <v>15354021.156666666</v>
      </c>
      <c r="N483" s="452">
        <f t="shared" si="375"/>
        <v>9824768.9761115946</v>
      </c>
      <c r="O483" s="452">
        <f>SUM(O480:O482)</f>
        <v>4626749.5375744198</v>
      </c>
      <c r="P483" s="82">
        <f t="shared" si="375"/>
        <v>0</v>
      </c>
      <c r="Q483" s="452">
        <f t="shared" ref="Q483:Z483" si="376">SUM(Q480:Q482)</f>
        <v>16676191</v>
      </c>
      <c r="R483" s="452">
        <f t="shared" si="376"/>
        <v>12790476.714285715</v>
      </c>
      <c r="S483" s="452"/>
      <c r="T483" s="452"/>
      <c r="U483" s="452">
        <f>SUM(U480:U482)</f>
        <v>12790476.714285715</v>
      </c>
      <c r="V483" s="452">
        <f t="shared" si="376"/>
        <v>8904762.4285714291</v>
      </c>
      <c r="W483" s="452">
        <f t="shared" si="376"/>
        <v>5019048.1428571437</v>
      </c>
      <c r="X483" s="452">
        <f t="shared" si="376"/>
        <v>0.52380952425301075</v>
      </c>
      <c r="Y483" s="452">
        <f t="shared" si="376"/>
        <v>0.52380952425301075</v>
      </c>
      <c r="Z483" s="452">
        <f t="shared" si="376"/>
        <v>0.52380952425301075</v>
      </c>
    </row>
    <row r="484" spans="3:26" ht="1.5" customHeight="1">
      <c r="C484" s="111"/>
      <c r="D484" s="102"/>
      <c r="E484" s="102"/>
      <c r="F484" s="102"/>
      <c r="G484" s="102"/>
      <c r="H484" s="102"/>
      <c r="I484" s="102"/>
      <c r="J484" s="102"/>
      <c r="K484" s="121"/>
      <c r="L484" s="121"/>
      <c r="M484" s="121"/>
      <c r="N484" s="118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  <c r="Z484" s="121"/>
    </row>
    <row r="485" spans="3:26" ht="15.75" customHeight="1">
      <c r="C485" s="111"/>
      <c r="D485" s="447" t="s">
        <v>290</v>
      </c>
      <c r="E485" s="453"/>
      <c r="F485" s="453"/>
      <c r="G485" s="453"/>
      <c r="H485" s="453"/>
      <c r="I485" s="453"/>
      <c r="J485" s="453"/>
      <c r="K485" s="452"/>
      <c r="L485" s="452"/>
      <c r="M485" s="452"/>
      <c r="N485" s="452"/>
      <c r="O485" s="452"/>
      <c r="P485" s="82"/>
      <c r="Q485" s="452"/>
      <c r="R485" s="452"/>
      <c r="S485" s="452"/>
      <c r="T485" s="452"/>
      <c r="U485" s="452"/>
      <c r="V485" s="452"/>
      <c r="W485" s="452"/>
      <c r="X485" s="452"/>
      <c r="Y485" s="452"/>
      <c r="Z485" s="452"/>
    </row>
    <row r="486" spans="3:26" ht="15.75" customHeight="1">
      <c r="C486" s="110"/>
      <c r="D486" s="164" t="s">
        <v>2121</v>
      </c>
      <c r="E486" s="453"/>
      <c r="F486" s="453"/>
      <c r="G486" s="453"/>
      <c r="H486" s="453"/>
      <c r="I486" s="453"/>
      <c r="J486" s="451"/>
      <c r="K486" s="451">
        <v>0</v>
      </c>
      <c r="L486" s="451">
        <f>20000000-5777777.78-290249.43</f>
        <v>13931972.789999999</v>
      </c>
      <c r="M486" s="451">
        <f>-3484000</f>
        <v>-3484000</v>
      </c>
      <c r="N486" s="451">
        <f>-2504000*'Control list'!I17</f>
        <v>-2754400</v>
      </c>
      <c r="O486" s="451">
        <f>-290249.43*12</f>
        <v>-3482993.16</v>
      </c>
      <c r="P486" s="79">
        <f>-O480</f>
        <v>-4210579.629999999</v>
      </c>
      <c r="Q486" s="451">
        <f>17000000-323809</f>
        <v>16676191</v>
      </c>
      <c r="R486" s="79">
        <f>-(17000000-3400000)*12/42</f>
        <v>-3885714.2857142859</v>
      </c>
      <c r="S486" s="79"/>
      <c r="T486" s="79"/>
      <c r="U486" s="79">
        <f>-(17000000-3400000)*12/42</f>
        <v>-3885714.2857142859</v>
      </c>
      <c r="V486" s="79">
        <f>-(17000000-3400000)*12/42</f>
        <v>-3885714.2857142859</v>
      </c>
      <c r="W486" s="79">
        <f>-(17000000-3400000)*12/42</f>
        <v>-3885714.2857142859</v>
      </c>
      <c r="X486" s="79">
        <f>-(17000000-3400000)*5/42-3400000</f>
        <v>-5019047.6190476194</v>
      </c>
      <c r="Y486" s="451">
        <v>0</v>
      </c>
      <c r="Z486" s="451">
        <v>0</v>
      </c>
    </row>
    <row r="487" spans="3:26" ht="15.75" customHeight="1">
      <c r="C487" s="110"/>
      <c r="D487" s="674" t="s">
        <v>38</v>
      </c>
      <c r="E487" s="453"/>
      <c r="F487" s="453"/>
      <c r="G487" s="453"/>
      <c r="H487" s="453"/>
      <c r="I487" s="453"/>
      <c r="J487" s="451"/>
      <c r="K487" s="451">
        <f>(23820000+1305000+4650000)/6</f>
        <v>4962500</v>
      </c>
      <c r="L487" s="451">
        <f>-(1323333.33*4+76764.71*4+273529.41*4)/6</f>
        <v>-1115751.6333333333</v>
      </c>
      <c r="M487" s="451">
        <f>-702000*'Control list'!H17</f>
        <v>-772200.00000000012</v>
      </c>
      <c r="N487" s="451">
        <f>-633000*'Control list'!I17</f>
        <v>-696300</v>
      </c>
      <c r="O487" s="451">
        <f>-(1323333.33*4+76764.71*4+273529.41*4)*4.19983/30.2442</f>
        <v>-929626.2785371741</v>
      </c>
      <c r="P487" s="79">
        <f>-O481</f>
        <v>-416169.90757442091</v>
      </c>
      <c r="Q487" s="451">
        <v>0</v>
      </c>
      <c r="R487" s="451">
        <v>0</v>
      </c>
      <c r="S487" s="451"/>
      <c r="T487" s="451"/>
      <c r="U487" s="451">
        <v>0</v>
      </c>
      <c r="V487" s="451">
        <v>0</v>
      </c>
      <c r="W487" s="451">
        <v>0</v>
      </c>
      <c r="X487" s="451">
        <v>0</v>
      </c>
      <c r="Y487" s="451">
        <v>0</v>
      </c>
      <c r="Z487" s="451">
        <v>0</v>
      </c>
    </row>
    <row r="488" spans="3:26" ht="15.75" customHeight="1">
      <c r="C488" s="110"/>
      <c r="D488" s="674" t="s">
        <v>2124</v>
      </c>
      <c r="E488" s="453"/>
      <c r="F488" s="453"/>
      <c r="G488" s="453"/>
      <c r="H488" s="453"/>
      <c r="I488" s="453"/>
      <c r="J488" s="451"/>
      <c r="K488" s="451"/>
      <c r="L488" s="451"/>
      <c r="M488" s="451">
        <f>-238000*'Control list'!H17+1903000*'Control list'!H17</f>
        <v>1831500.0000000002</v>
      </c>
      <c r="N488" s="451">
        <f>-951000*'Control list'!I17</f>
        <v>-1046100.0000000001</v>
      </c>
      <c r="O488" s="451">
        <f>-N482</f>
        <v>-785400.00000000012</v>
      </c>
      <c r="P488" s="79">
        <v>0</v>
      </c>
      <c r="Q488" s="451">
        <v>0</v>
      </c>
      <c r="R488" s="451">
        <v>0</v>
      </c>
      <c r="S488" s="451"/>
      <c r="T488" s="451"/>
      <c r="U488" s="451">
        <v>0</v>
      </c>
      <c r="V488" s="451">
        <v>0</v>
      </c>
      <c r="W488" s="451">
        <v>0</v>
      </c>
      <c r="X488" s="451">
        <v>0</v>
      </c>
      <c r="Y488" s="451">
        <v>0</v>
      </c>
      <c r="Z488" s="451">
        <v>0</v>
      </c>
    </row>
    <row r="489" spans="3:26" ht="15.75" customHeight="1">
      <c r="C489" s="110"/>
      <c r="D489" s="447" t="s">
        <v>290</v>
      </c>
      <c r="E489" s="453"/>
      <c r="F489" s="453"/>
      <c r="G489" s="453"/>
      <c r="H489" s="453"/>
      <c r="I489" s="453"/>
      <c r="J489" s="453"/>
      <c r="K489" s="452">
        <f t="shared" ref="K489:V489" si="377">SUM(K486:K488)</f>
        <v>4962500</v>
      </c>
      <c r="L489" s="452">
        <f t="shared" si="377"/>
        <v>12816221.156666666</v>
      </c>
      <c r="M489" s="452">
        <f t="shared" si="377"/>
        <v>-2424700</v>
      </c>
      <c r="N489" s="452">
        <f t="shared" si="377"/>
        <v>-4496800</v>
      </c>
      <c r="O489" s="452">
        <f t="shared" si="377"/>
        <v>-5198019.4385371739</v>
      </c>
      <c r="P489" s="82">
        <f t="shared" si="377"/>
        <v>-4626749.5375744198</v>
      </c>
      <c r="Q489" s="452">
        <f t="shared" si="377"/>
        <v>16676191</v>
      </c>
      <c r="R489" s="452">
        <f t="shared" si="377"/>
        <v>-3885714.2857142859</v>
      </c>
      <c r="S489" s="452"/>
      <c r="T489" s="452"/>
      <c r="U489" s="452">
        <f>SUM(U486:U488)</f>
        <v>-3885714.2857142859</v>
      </c>
      <c r="V489" s="452">
        <f t="shared" si="377"/>
        <v>-3885714.2857142859</v>
      </c>
      <c r="W489" s="452">
        <f>SUM(W486:W488)</f>
        <v>-3885714.2857142859</v>
      </c>
      <c r="X489" s="452">
        <f>SUM(X486:X488)</f>
        <v>-5019047.6190476194</v>
      </c>
      <c r="Y489" s="452">
        <f>SUM(Y486:Y488)</f>
        <v>0</v>
      </c>
      <c r="Z489" s="452">
        <f>SUM(Z486:Z488)</f>
        <v>0</v>
      </c>
    </row>
    <row r="490" spans="3:26" ht="4.5" customHeight="1">
      <c r="C490" s="110"/>
      <c r="D490" s="102"/>
      <c r="E490" s="102"/>
      <c r="F490" s="102"/>
      <c r="G490" s="102"/>
      <c r="H490" s="102"/>
      <c r="I490" s="102"/>
      <c r="J490" s="102"/>
      <c r="K490" s="121"/>
      <c r="L490" s="121"/>
      <c r="M490" s="121"/>
      <c r="N490" s="118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</row>
    <row r="491" spans="3:26" ht="15.75" customHeight="1">
      <c r="C491" s="111"/>
      <c r="D491" s="447" t="s">
        <v>291</v>
      </c>
      <c r="E491" s="453"/>
      <c r="F491" s="453"/>
      <c r="G491" s="453"/>
      <c r="H491" s="453"/>
      <c r="I491" s="453"/>
      <c r="J491" s="453"/>
      <c r="K491" s="453">
        <f t="shared" ref="K491:P491" ca="1" si="378">K477+K489</f>
        <v>23573030.774051201</v>
      </c>
      <c r="L491" s="453">
        <f t="shared" ca="1" si="378"/>
        <v>117152172.26115015</v>
      </c>
      <c r="M491" s="453">
        <f t="shared" ca="1" si="378"/>
        <v>165961091.1969052</v>
      </c>
      <c r="N491" s="453">
        <f t="shared" ca="1" si="378"/>
        <v>191581586.47458142</v>
      </c>
      <c r="O491" s="453">
        <f t="shared" ca="1" si="378"/>
        <v>249130660.92202714</v>
      </c>
      <c r="P491" s="80">
        <f t="shared" ca="1" si="378"/>
        <v>306840060.27787066</v>
      </c>
      <c r="Q491" s="453">
        <f t="shared" ref="Q491:Z491" ca="1" si="379">Q477+Q489</f>
        <v>368932008.07590115</v>
      </c>
      <c r="R491" s="453">
        <f t="shared" ca="1" si="379"/>
        <v>426201040.12084973</v>
      </c>
      <c r="S491" s="453"/>
      <c r="T491" s="453"/>
      <c r="U491" s="453">
        <f ca="1">U477+U489</f>
        <v>408863143.0923965</v>
      </c>
      <c r="V491" s="453">
        <f t="shared" ca="1" si="379"/>
        <v>488380971.79851162</v>
      </c>
      <c r="W491" s="453">
        <f t="shared" ca="1" si="379"/>
        <v>548775635.29862821</v>
      </c>
      <c r="X491" s="453">
        <f t="shared" ca="1" si="379"/>
        <v>607843482.71990943</v>
      </c>
      <c r="Y491" s="453">
        <f t="shared" ca="1" si="379"/>
        <v>671596657.27560353</v>
      </c>
      <c r="Z491" s="453">
        <f t="shared" ca="1" si="379"/>
        <v>734838622.1365459</v>
      </c>
    </row>
    <row r="492" spans="3:26" ht="3" customHeight="1">
      <c r="C492" s="110"/>
      <c r="D492" s="102"/>
      <c r="E492" s="701"/>
      <c r="F492" s="701"/>
      <c r="G492" s="701"/>
      <c r="H492" s="701"/>
      <c r="I492" s="701"/>
      <c r="J492" s="453"/>
      <c r="K492" s="453"/>
      <c r="L492" s="453"/>
      <c r="M492" s="453"/>
      <c r="N492" s="453"/>
      <c r="O492" s="453"/>
      <c r="P492" s="80"/>
      <c r="Q492" s="453"/>
      <c r="R492" s="453"/>
      <c r="S492" s="453"/>
      <c r="T492" s="453"/>
      <c r="U492" s="453"/>
      <c r="V492" s="453"/>
      <c r="W492" s="453"/>
      <c r="X492" s="453"/>
      <c r="Y492" s="453"/>
      <c r="Z492" s="453"/>
    </row>
    <row r="493" spans="3:26" ht="15.75" customHeight="1">
      <c r="C493" s="111"/>
      <c r="D493" s="447" t="s">
        <v>292</v>
      </c>
      <c r="E493" s="701"/>
      <c r="F493" s="701"/>
      <c r="G493" s="701"/>
      <c r="H493" s="701"/>
      <c r="I493" s="701"/>
      <c r="J493" s="453"/>
      <c r="K493" s="453"/>
      <c r="L493" s="453"/>
      <c r="M493" s="453"/>
      <c r="N493" s="453"/>
      <c r="O493" s="453"/>
      <c r="P493" s="80"/>
      <c r="Q493" s="453"/>
      <c r="R493" s="453"/>
      <c r="S493" s="453"/>
      <c r="T493" s="453"/>
      <c r="U493" s="453"/>
      <c r="V493" s="453"/>
      <c r="W493" s="453"/>
      <c r="X493" s="453"/>
      <c r="Y493" s="453"/>
      <c r="Z493" s="453"/>
    </row>
    <row r="494" spans="3:26" ht="15.75" customHeight="1">
      <c r="C494" s="111"/>
      <c r="D494" s="674" t="s">
        <v>293</v>
      </c>
      <c r="E494" s="452"/>
      <c r="F494" s="702"/>
      <c r="G494" s="453"/>
      <c r="H494" s="453"/>
      <c r="I494" s="453"/>
      <c r="J494" s="453"/>
      <c r="K494" s="131">
        <f t="shared" ref="K494:X494" si="380">J496</f>
        <v>0</v>
      </c>
      <c r="L494" s="131">
        <f t="shared" si="380"/>
        <v>3149357</v>
      </c>
      <c r="M494" s="131">
        <f t="shared" si="380"/>
        <v>2778380</v>
      </c>
      <c r="N494" s="131">
        <f t="shared" ca="1" si="380"/>
        <v>0</v>
      </c>
      <c r="O494" s="131">
        <f t="shared" ca="1" si="380"/>
        <v>0</v>
      </c>
      <c r="P494" s="131">
        <f t="shared" ca="1" si="380"/>
        <v>0</v>
      </c>
      <c r="Q494" s="131">
        <f t="shared" ca="1" si="380"/>
        <v>0</v>
      </c>
      <c r="R494" s="131">
        <f t="shared" ca="1" si="380"/>
        <v>0</v>
      </c>
      <c r="S494" s="131"/>
      <c r="T494" s="131"/>
      <c r="U494" s="131">
        <f t="shared" si="380"/>
        <v>0</v>
      </c>
      <c r="V494" s="131">
        <f ca="1">R496</f>
        <v>0</v>
      </c>
      <c r="W494" s="131">
        <f t="shared" ca="1" si="380"/>
        <v>0</v>
      </c>
      <c r="X494" s="131">
        <f t="shared" ca="1" si="380"/>
        <v>0</v>
      </c>
      <c r="Y494" s="131">
        <f ca="1">X496</f>
        <v>0</v>
      </c>
      <c r="Z494" s="131">
        <f ca="1">Y496</f>
        <v>0</v>
      </c>
    </row>
    <row r="495" spans="3:26" ht="15.75" customHeight="1">
      <c r="C495" s="111"/>
      <c r="D495" s="674" t="s">
        <v>294</v>
      </c>
      <c r="E495" s="453"/>
      <c r="F495" s="453"/>
      <c r="G495" s="453"/>
      <c r="H495" s="453"/>
      <c r="I495" s="453"/>
      <c r="J495" s="131"/>
      <c r="K495" s="131">
        <f ca="1">-MIN(K491,K494)</f>
        <v>0</v>
      </c>
      <c r="L495" s="79">
        <f>L496-L494</f>
        <v>-370977</v>
      </c>
      <c r="M495" s="131">
        <f t="shared" ref="M495:V495" ca="1" si="381">-MIN(M491,M494)</f>
        <v>-2778380</v>
      </c>
      <c r="N495" s="131">
        <f t="shared" ca="1" si="381"/>
        <v>0</v>
      </c>
      <c r="O495" s="131">
        <f t="shared" ca="1" si="381"/>
        <v>0</v>
      </c>
      <c r="P495" s="131">
        <f t="shared" ca="1" si="381"/>
        <v>0</v>
      </c>
      <c r="Q495" s="131">
        <f t="shared" ca="1" si="381"/>
        <v>0</v>
      </c>
      <c r="R495" s="131">
        <f t="shared" ca="1" si="381"/>
        <v>0</v>
      </c>
      <c r="S495" s="131"/>
      <c r="T495" s="131"/>
      <c r="U495" s="131">
        <f ca="1">-MIN(U491,U494)</f>
        <v>0</v>
      </c>
      <c r="V495" s="131">
        <f t="shared" ca="1" si="381"/>
        <v>0</v>
      </c>
      <c r="W495" s="131">
        <f ca="1">-MIN(W491,W494)</f>
        <v>0</v>
      </c>
      <c r="X495" s="131">
        <f ca="1">-MIN(X491,X494)</f>
        <v>0</v>
      </c>
      <c r="Y495" s="131">
        <f ca="1">-MIN(Y491,Y494)</f>
        <v>0</v>
      </c>
      <c r="Z495" s="131">
        <f ca="1">-MIN(Z491,Z494)</f>
        <v>0</v>
      </c>
    </row>
    <row r="496" spans="3:26" ht="13.5" customHeight="1">
      <c r="C496" s="111"/>
      <c r="D496" s="674" t="s">
        <v>295</v>
      </c>
      <c r="E496" s="453"/>
      <c r="F496" s="453"/>
      <c r="G496" s="453"/>
      <c r="H496" s="453"/>
      <c r="I496" s="453"/>
      <c r="J496" s="130">
        <f>J248+J249</f>
        <v>0</v>
      </c>
      <c r="K496" s="130">
        <v>3149357</v>
      </c>
      <c r="L496" s="130">
        <f>1903000*1.46</f>
        <v>2778380</v>
      </c>
      <c r="M496" s="130">
        <f t="shared" ref="M496:V496" ca="1" si="382">M494+M495</f>
        <v>0</v>
      </c>
      <c r="N496" s="130">
        <f t="shared" ca="1" si="382"/>
        <v>0</v>
      </c>
      <c r="O496" s="130">
        <f t="shared" ca="1" si="382"/>
        <v>0</v>
      </c>
      <c r="P496" s="130">
        <f t="shared" ca="1" si="382"/>
        <v>0</v>
      </c>
      <c r="Q496" s="130">
        <f t="shared" ca="1" si="382"/>
        <v>0</v>
      </c>
      <c r="R496" s="130">
        <f t="shared" ca="1" si="382"/>
        <v>0</v>
      </c>
      <c r="S496" s="130"/>
      <c r="T496" s="130"/>
      <c r="U496" s="130">
        <f ca="1">U494+U495</f>
        <v>0</v>
      </c>
      <c r="V496" s="130">
        <f t="shared" ca="1" si="382"/>
        <v>0</v>
      </c>
      <c r="W496" s="130">
        <f ca="1">W494+W495</f>
        <v>0</v>
      </c>
      <c r="X496" s="130">
        <f ca="1">X494+X495</f>
        <v>0</v>
      </c>
      <c r="Y496" s="130">
        <f ca="1">Y494+Y495</f>
        <v>0</v>
      </c>
      <c r="Z496" s="130">
        <f ca="1">Z494+Z495</f>
        <v>0</v>
      </c>
    </row>
    <row r="497" spans="3:58" ht="6.75" customHeight="1">
      <c r="C497" s="111"/>
      <c r="D497" s="102"/>
      <c r="E497" s="453"/>
      <c r="F497" s="453"/>
      <c r="G497" s="453"/>
      <c r="H497" s="453"/>
      <c r="I497" s="453"/>
      <c r="J497" s="453"/>
      <c r="K497" s="453"/>
      <c r="L497" s="453"/>
      <c r="M497" s="453"/>
      <c r="N497" s="453"/>
      <c r="O497" s="453"/>
      <c r="P497" s="80"/>
      <c r="Q497" s="453"/>
      <c r="R497" s="453"/>
      <c r="S497" s="453"/>
      <c r="T497" s="453"/>
      <c r="U497" s="453"/>
      <c r="V497" s="453"/>
      <c r="W497" s="453"/>
      <c r="X497" s="453"/>
      <c r="Y497" s="453"/>
      <c r="Z497" s="453"/>
    </row>
    <row r="498" spans="3:58" ht="15.75" hidden="1" customHeight="1" outlineLevel="1">
      <c r="C498" s="111"/>
      <c r="D498" s="447" t="s">
        <v>296</v>
      </c>
      <c r="E498" s="453"/>
      <c r="F498" s="453"/>
      <c r="G498" s="453"/>
      <c r="H498" s="453"/>
      <c r="I498" s="453"/>
      <c r="J498" s="132"/>
      <c r="K498" s="132">
        <f t="shared" ref="K498:P498" ca="1" si="383">K491+K495</f>
        <v>23573030.774051201</v>
      </c>
      <c r="L498" s="132">
        <f t="shared" ca="1" si="383"/>
        <v>116781195.26115015</v>
      </c>
      <c r="M498" s="132">
        <f t="shared" ca="1" si="383"/>
        <v>163182711.1969052</v>
      </c>
      <c r="N498" s="131">
        <f t="shared" ca="1" si="383"/>
        <v>191581586.47458142</v>
      </c>
      <c r="O498" s="132">
        <f ca="1">O491+O495</f>
        <v>249130660.92202714</v>
      </c>
      <c r="P498" s="132">
        <f t="shared" ca="1" si="383"/>
        <v>306840060.27787066</v>
      </c>
      <c r="Q498" s="132">
        <f t="shared" ref="Q498:Z498" ca="1" si="384">Q491+Q495</f>
        <v>368932008.07590115</v>
      </c>
      <c r="R498" s="132">
        <f t="shared" ca="1" si="384"/>
        <v>426201040.12084973</v>
      </c>
      <c r="S498" s="132"/>
      <c r="T498" s="132"/>
      <c r="U498" s="132">
        <f ca="1">U491+U495</f>
        <v>408863143.0923965</v>
      </c>
      <c r="V498" s="132">
        <f t="shared" ca="1" si="384"/>
        <v>488380971.79851162</v>
      </c>
      <c r="W498" s="132">
        <f t="shared" ca="1" si="384"/>
        <v>548775635.29862821</v>
      </c>
      <c r="X498" s="132">
        <f t="shared" ca="1" si="384"/>
        <v>607843482.71990943</v>
      </c>
      <c r="Y498" s="132">
        <f t="shared" ca="1" si="384"/>
        <v>671596657.27560353</v>
      </c>
      <c r="Z498" s="132">
        <f t="shared" ca="1" si="384"/>
        <v>734838622.1365459</v>
      </c>
    </row>
    <row r="499" spans="3:58" ht="15.75" customHeight="1" collapsed="1">
      <c r="C499" s="111"/>
      <c r="D499" s="447"/>
      <c r="E499" s="453"/>
      <c r="F499" s="453"/>
      <c r="G499" s="453"/>
      <c r="H499" s="453"/>
      <c r="I499" s="453"/>
      <c r="J499" s="453"/>
      <c r="K499" s="453"/>
      <c r="L499" s="453"/>
      <c r="M499" s="453"/>
      <c r="N499" s="453"/>
      <c r="O499" s="453"/>
      <c r="P499" s="80"/>
      <c r="Q499" s="453"/>
      <c r="R499" s="453"/>
      <c r="S499" s="453"/>
      <c r="T499" s="453"/>
      <c r="U499" s="453"/>
      <c r="V499" s="453"/>
      <c r="W499" s="453"/>
      <c r="X499" s="453"/>
      <c r="Y499" s="453"/>
      <c r="Z499" s="453"/>
    </row>
    <row r="500" spans="3:58" ht="15.75" hidden="1" customHeight="1" outlineLevel="1">
      <c r="C500" s="111"/>
      <c r="D500" s="447" t="s">
        <v>1587</v>
      </c>
      <c r="E500" s="453"/>
      <c r="F500" s="453"/>
      <c r="G500" s="453"/>
      <c r="H500" s="453"/>
      <c r="I500" s="453"/>
      <c r="J500" s="132"/>
      <c r="K500" s="132">
        <f t="shared" ref="K500:P500" si="385">-K476</f>
        <v>1589159.3312000001</v>
      </c>
      <c r="L500" s="132">
        <f t="shared" si="385"/>
        <v>4987632.9542316319</v>
      </c>
      <c r="M500" s="132">
        <f t="shared" si="385"/>
        <v>4195919.3627640083</v>
      </c>
      <c r="N500" s="131">
        <f t="shared" si="385"/>
        <v>3379841.3017546451</v>
      </c>
      <c r="O500" s="132">
        <f t="shared" si="385"/>
        <v>4048873.8854438737</v>
      </c>
      <c r="P500" s="132">
        <f t="shared" si="385"/>
        <v>3891681.8070891504</v>
      </c>
      <c r="Q500" s="132">
        <f t="shared" ref="Q500:Z500" si="386">-Q476</f>
        <v>3573341.8244525506</v>
      </c>
      <c r="R500" s="132">
        <f t="shared" si="386"/>
        <v>4275999.7246414497</v>
      </c>
      <c r="S500" s="132"/>
      <c r="T500" s="132"/>
      <c r="U500" s="132">
        <f>-U476</f>
        <v>3129303.2663570559</v>
      </c>
      <c r="V500" s="132">
        <f t="shared" si="386"/>
        <v>4092788.5412988719</v>
      </c>
      <c r="W500" s="132">
        <f t="shared" si="386"/>
        <v>4092788.5412988719</v>
      </c>
      <c r="X500" s="132">
        <f t="shared" si="386"/>
        <v>4092788.5412988719</v>
      </c>
      <c r="Y500" s="132">
        <f t="shared" si="386"/>
        <v>4092788.5412988719</v>
      </c>
      <c r="Z500" s="132">
        <f t="shared" si="386"/>
        <v>4092788.5412988719</v>
      </c>
    </row>
    <row r="501" spans="3:58" ht="15.75" hidden="1" customHeight="1" outlineLevel="1">
      <c r="C501" s="111"/>
      <c r="D501" s="447" t="s">
        <v>1588</v>
      </c>
      <c r="E501" s="684"/>
      <c r="F501" s="684"/>
      <c r="G501" s="684"/>
      <c r="H501" s="684"/>
      <c r="I501" s="684"/>
      <c r="J501" s="132">
        <f t="shared" ref="J501:R501" si="387">J309</f>
        <v>418595.70874044765</v>
      </c>
      <c r="K501" s="132">
        <f t="shared" ca="1" si="387"/>
        <v>25776121.039836708</v>
      </c>
      <c r="L501" s="132">
        <f t="shared" ca="1" si="387"/>
        <v>111374579.38038433</v>
      </c>
      <c r="M501" s="132">
        <f t="shared" ca="1" si="387"/>
        <v>159856630.5596692</v>
      </c>
      <c r="N501" s="131">
        <f t="shared" ca="1" si="387"/>
        <v>194961427.77633607</v>
      </c>
      <c r="O501" s="132">
        <f t="shared" ca="1" si="387"/>
        <v>253179534.80747101</v>
      </c>
      <c r="P501" s="132">
        <f t="shared" ca="1" si="387"/>
        <v>310731742.08495981</v>
      </c>
      <c r="Q501" s="132">
        <f t="shared" ca="1" si="387"/>
        <v>372505349.90035373</v>
      </c>
      <c r="R501" s="132">
        <f t="shared" ca="1" si="387"/>
        <v>430477039.84549117</v>
      </c>
      <c r="S501" s="132"/>
      <c r="T501" s="132"/>
      <c r="U501" s="132">
        <f t="shared" ref="U501:Z501" ca="1" si="388">U309</f>
        <v>411992446.35875356</v>
      </c>
      <c r="V501" s="132">
        <f t="shared" ca="1" si="388"/>
        <v>492473760.33981049</v>
      </c>
      <c r="W501" s="132">
        <f t="shared" ca="1" si="388"/>
        <v>552868423.83992708</v>
      </c>
      <c r="X501" s="132">
        <f t="shared" ca="1" si="388"/>
        <v>611936271.2612083</v>
      </c>
      <c r="Y501" s="132">
        <f t="shared" ca="1" si="388"/>
        <v>675689445.8169024</v>
      </c>
      <c r="Z501" s="132">
        <f t="shared" ca="1" si="388"/>
        <v>738931410.67784476</v>
      </c>
    </row>
    <row r="502" spans="3:58" ht="15.75" customHeight="1" collapsed="1">
      <c r="C502" s="111"/>
      <c r="D502" s="684"/>
      <c r="E502" s="684"/>
      <c r="F502" s="684"/>
      <c r="G502" s="684"/>
      <c r="H502" s="684"/>
      <c r="I502" s="684"/>
      <c r="J502" s="684"/>
      <c r="K502" s="684"/>
      <c r="L502" s="684"/>
      <c r="M502" s="448"/>
      <c r="N502" s="452"/>
      <c r="O502" s="448"/>
      <c r="P502" s="538"/>
      <c r="Q502" s="448"/>
      <c r="R502" s="448"/>
      <c r="S502" s="448"/>
      <c r="T502" s="448"/>
      <c r="U502" s="448"/>
      <c r="V502" s="448"/>
      <c r="W502" s="448"/>
      <c r="X502" s="448"/>
      <c r="Y502" s="448"/>
      <c r="Z502" s="448"/>
    </row>
    <row r="503" spans="3:58" ht="15.75" customHeight="1">
      <c r="C503" s="111"/>
      <c r="D503" s="102"/>
      <c r="E503" s="102"/>
      <c r="F503" s="102"/>
      <c r="G503" s="102"/>
      <c r="H503" s="102"/>
      <c r="I503" s="102"/>
      <c r="J503" s="102"/>
      <c r="K503" s="102"/>
      <c r="L503" s="102"/>
      <c r="M503" s="121"/>
      <c r="N503" s="118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  <c r="Z503" s="121"/>
    </row>
    <row r="504" spans="3:58" ht="15.75" customHeight="1">
      <c r="C504" s="111"/>
      <c r="D504" s="102"/>
      <c r="E504" s="102"/>
      <c r="F504" s="102"/>
      <c r="G504" s="102"/>
      <c r="H504" s="102"/>
      <c r="I504" s="102"/>
      <c r="J504" s="102"/>
      <c r="K504" s="102"/>
      <c r="L504" s="102"/>
      <c r="M504" s="121"/>
      <c r="N504" s="118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  <c r="Z504" s="121"/>
    </row>
    <row r="505" spans="3:58" ht="15.75" customHeight="1">
      <c r="D505" s="461"/>
      <c r="E505" s="81"/>
      <c r="F505" s="81"/>
      <c r="G505" s="81"/>
      <c r="H505" s="81"/>
      <c r="I505" s="81"/>
      <c r="J505" s="81"/>
      <c r="K505" s="81"/>
    </row>
    <row r="506" spans="3:58" ht="27" hidden="1" customHeight="1" outlineLevel="1">
      <c r="D506" s="462" t="s">
        <v>432</v>
      </c>
      <c r="M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spans="3:58" ht="3" hidden="1" customHeight="1" outlineLevel="1">
      <c r="D507" s="464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/>
      <c r="Y507" s="89"/>
      <c r="Z507" s="89"/>
    </row>
    <row r="508" spans="3:58" ht="15.75" hidden="1" customHeight="1" outlineLevel="1">
      <c r="D508" s="460" t="s">
        <v>1415</v>
      </c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</row>
    <row r="509" spans="3:58" ht="15.75" hidden="1" customHeight="1" outlineLevel="1">
      <c r="D509" s="467" t="s">
        <v>427</v>
      </c>
      <c r="E509" s="468"/>
      <c r="F509" s="468"/>
      <c r="G509" s="468"/>
      <c r="H509" s="468"/>
      <c r="I509" s="91"/>
      <c r="J509" s="91"/>
      <c r="K509" s="91"/>
      <c r="L509" s="91"/>
      <c r="M509" s="135"/>
      <c r="N509" s="135"/>
      <c r="O509" s="135"/>
      <c r="P509" s="135"/>
      <c r="Q509" s="135"/>
      <c r="R509" s="135"/>
      <c r="S509" s="135"/>
      <c r="T509" s="135"/>
      <c r="U509" s="135"/>
      <c r="V509" s="135"/>
      <c r="W509" s="135"/>
      <c r="X509" s="135"/>
      <c r="Y509" s="135"/>
      <c r="Z509" s="135"/>
    </row>
    <row r="510" spans="3:58" ht="15.75" hidden="1" customHeight="1" outlineLevel="1">
      <c r="C510" s="91"/>
      <c r="D510" s="546"/>
      <c r="E510" s="106"/>
      <c r="F510" s="106"/>
      <c r="G510" s="106"/>
      <c r="H510" s="546"/>
      <c r="I510" s="546"/>
      <c r="J510" s="92">
        <f t="shared" ref="J510:M512" si="389">J467</f>
        <v>0</v>
      </c>
      <c r="K510" s="92">
        <f t="shared" si="389"/>
        <v>1</v>
      </c>
      <c r="L510" s="92">
        <f t="shared" si="389"/>
        <v>2</v>
      </c>
      <c r="M510" s="92">
        <f t="shared" si="389"/>
        <v>3</v>
      </c>
      <c r="N510" s="92">
        <f t="shared" ref="N510:P512" si="390">N467</f>
        <v>4</v>
      </c>
      <c r="O510" s="92">
        <f t="shared" si="390"/>
        <v>5</v>
      </c>
      <c r="P510" s="92">
        <f t="shared" si="390"/>
        <v>6</v>
      </c>
      <c r="Q510" s="92">
        <f t="shared" ref="Q510:R512" si="391">Q467</f>
        <v>7</v>
      </c>
      <c r="R510" s="92">
        <f t="shared" si="391"/>
        <v>8</v>
      </c>
      <c r="S510" s="92"/>
      <c r="T510" s="92"/>
      <c r="U510" s="92" t="str">
        <f>U467</f>
        <v>Revised</v>
      </c>
      <c r="V510" s="92">
        <f t="shared" ref="V510:W512" si="392">V467</f>
        <v>9</v>
      </c>
      <c r="W510" s="92">
        <f t="shared" si="392"/>
        <v>10</v>
      </c>
      <c r="X510" s="92">
        <f t="shared" ref="X510:Z512" si="393">X467</f>
        <v>11</v>
      </c>
      <c r="Y510" s="92">
        <f t="shared" si="393"/>
        <v>12</v>
      </c>
      <c r="Z510" s="92">
        <f t="shared" si="393"/>
        <v>13</v>
      </c>
      <c r="AA510" s="447"/>
      <c r="AB510" s="447"/>
      <c r="AC510" s="447"/>
      <c r="AD510" s="447"/>
      <c r="AE510" s="447"/>
      <c r="AF510" s="447"/>
      <c r="AG510" s="447"/>
      <c r="AH510" s="447"/>
      <c r="AI510" s="447"/>
      <c r="AJ510" s="447"/>
      <c r="AK510" s="447"/>
      <c r="AL510" s="447"/>
      <c r="AM510" s="447"/>
      <c r="AN510" s="447"/>
      <c r="AO510" s="447"/>
      <c r="AP510" s="447"/>
      <c r="AQ510" s="447"/>
      <c r="AR510" s="447"/>
      <c r="AS510" s="447"/>
      <c r="AT510" s="447"/>
      <c r="AU510" s="447"/>
      <c r="AV510" s="447"/>
      <c r="AW510" s="447"/>
      <c r="AX510" s="447"/>
      <c r="AY510" s="447"/>
      <c r="AZ510" s="447"/>
      <c r="BA510" s="447"/>
      <c r="BB510" s="447"/>
      <c r="BC510" s="447"/>
      <c r="BD510" s="447"/>
      <c r="BE510" s="447"/>
      <c r="BF510" s="447"/>
    </row>
    <row r="511" spans="3:58" ht="15.75" hidden="1" customHeight="1" outlineLevel="1">
      <c r="C511" s="91"/>
      <c r="D511" s="548"/>
      <c r="E511" s="469"/>
      <c r="F511" s="469"/>
      <c r="G511" s="469"/>
      <c r="H511" s="548"/>
      <c r="I511" s="548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447"/>
      <c r="AB511" s="447"/>
      <c r="AC511" s="447"/>
      <c r="AD511" s="447"/>
      <c r="AE511" s="447"/>
      <c r="AF511" s="447"/>
      <c r="AG511" s="447"/>
      <c r="AH511" s="447"/>
      <c r="AI511" s="447"/>
      <c r="AJ511" s="447"/>
      <c r="AK511" s="447"/>
      <c r="AL511" s="447"/>
      <c r="AM511" s="447"/>
      <c r="AN511" s="447"/>
      <c r="AO511" s="447"/>
      <c r="AP511" s="447"/>
      <c r="AQ511" s="447"/>
      <c r="AR511" s="447"/>
      <c r="AS511" s="447"/>
      <c r="AT511" s="447"/>
      <c r="AU511" s="447"/>
      <c r="AV511" s="447"/>
      <c r="AW511" s="447"/>
      <c r="AX511" s="447"/>
      <c r="AY511" s="447"/>
      <c r="AZ511" s="447"/>
      <c r="BA511" s="447"/>
      <c r="BB511" s="447"/>
      <c r="BC511" s="447"/>
      <c r="BD511" s="447"/>
      <c r="BE511" s="447"/>
      <c r="BF511" s="447"/>
    </row>
    <row r="512" spans="3:58" ht="15.75" hidden="1" customHeight="1" outlineLevel="1">
      <c r="C512" s="91"/>
      <c r="D512" s="471"/>
      <c r="E512" s="472"/>
      <c r="F512" s="506"/>
      <c r="G512" s="506"/>
      <c r="H512" s="471"/>
      <c r="I512" s="471"/>
      <c r="J512" s="94" t="str">
        <f t="shared" si="389"/>
        <v>($)</v>
      </c>
      <c r="K512" s="94" t="str">
        <f t="shared" si="389"/>
        <v>($)</v>
      </c>
      <c r="L512" s="94" t="str">
        <f t="shared" si="389"/>
        <v>($)</v>
      </c>
      <c r="M512" s="94" t="str">
        <f t="shared" si="389"/>
        <v>($)</v>
      </c>
      <c r="N512" s="94" t="str">
        <f t="shared" si="390"/>
        <v>($)</v>
      </c>
      <c r="O512" s="94" t="str">
        <f t="shared" si="390"/>
        <v>($)</v>
      </c>
      <c r="P512" s="94" t="str">
        <f t="shared" si="390"/>
        <v>($)</v>
      </c>
      <c r="Q512" s="94" t="str">
        <f t="shared" si="391"/>
        <v>($)</v>
      </c>
      <c r="R512" s="94" t="str">
        <f t="shared" si="391"/>
        <v>($)</v>
      </c>
      <c r="S512" s="94"/>
      <c r="T512" s="94"/>
      <c r="U512" s="94" t="str">
        <f>U469</f>
        <v>($)</v>
      </c>
      <c r="V512" s="94" t="str">
        <f t="shared" si="392"/>
        <v>($)</v>
      </c>
      <c r="W512" s="94" t="str">
        <f t="shared" si="392"/>
        <v>($)</v>
      </c>
      <c r="X512" s="94" t="str">
        <f t="shared" si="393"/>
        <v>($)</v>
      </c>
      <c r="Y512" s="94" t="str">
        <f t="shared" si="393"/>
        <v>($)</v>
      </c>
      <c r="Z512" s="94" t="str">
        <f t="shared" si="393"/>
        <v>($)</v>
      </c>
      <c r="AA512" s="447"/>
      <c r="AB512" s="447"/>
      <c r="AC512" s="447"/>
      <c r="AD512" s="447"/>
      <c r="AE512" s="447"/>
      <c r="AF512" s="447"/>
      <c r="AG512" s="447"/>
      <c r="AH512" s="447"/>
      <c r="AI512" s="447"/>
      <c r="AJ512" s="447"/>
      <c r="AK512" s="447"/>
      <c r="AL512" s="447"/>
      <c r="AM512" s="447"/>
      <c r="AN512" s="447"/>
      <c r="AO512" s="447"/>
      <c r="AP512" s="447"/>
      <c r="AQ512" s="447"/>
      <c r="AR512" s="447"/>
      <c r="AS512" s="447"/>
      <c r="AT512" s="447"/>
      <c r="AU512" s="447"/>
      <c r="AV512" s="447"/>
      <c r="AW512" s="447"/>
      <c r="AX512" s="447"/>
      <c r="AY512" s="447"/>
      <c r="AZ512" s="447"/>
      <c r="BA512" s="447"/>
      <c r="BB512" s="447"/>
      <c r="BC512" s="447"/>
      <c r="BD512" s="447"/>
      <c r="BE512" s="447"/>
      <c r="BF512" s="447"/>
    </row>
    <row r="513" spans="3:26" ht="15.75" hidden="1" customHeight="1" outlineLevel="1">
      <c r="C513" s="111"/>
      <c r="D513" s="106"/>
      <c r="E513" s="106"/>
      <c r="F513" s="106"/>
      <c r="G513" s="106"/>
      <c r="H513" s="106"/>
      <c r="I513" s="106"/>
      <c r="J513" s="106"/>
      <c r="K513" s="106"/>
      <c r="L513" s="106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</row>
    <row r="514" spans="3:26" ht="15.75" hidden="1" customHeight="1" outlineLevel="1">
      <c r="C514" s="111"/>
      <c r="D514" s="447" t="s">
        <v>490</v>
      </c>
      <c r="E514" s="117"/>
      <c r="F514" s="117"/>
      <c r="G514" s="117"/>
      <c r="H514" s="117"/>
      <c r="I514" s="117"/>
      <c r="J514" s="117"/>
      <c r="K514" s="117"/>
      <c r="L514" s="117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  <c r="Z514" s="118"/>
    </row>
    <row r="515" spans="3:26" ht="15.75" hidden="1" customHeight="1" outlineLevel="1">
      <c r="C515" s="111"/>
      <c r="D515" s="164" t="s">
        <v>2121</v>
      </c>
      <c r="E515" s="110"/>
      <c r="F515" s="110"/>
      <c r="G515" s="110"/>
      <c r="H515" s="110"/>
      <c r="I515" s="110"/>
      <c r="J515" s="80"/>
      <c r="K515" s="80">
        <f t="shared" ref="K515:M517" si="394">AVERAGE(J480:K480)</f>
        <v>0</v>
      </c>
      <c r="L515" s="80">
        <f t="shared" si="394"/>
        <v>6965986.3949999996</v>
      </c>
      <c r="M515" s="80">
        <f>AVERAGE(L480:M480)</f>
        <v>12189972.789999999</v>
      </c>
      <c r="N515" s="80">
        <f>AVERAGE(M480,N480)</f>
        <v>9070772.7899999991</v>
      </c>
      <c r="O515" s="80">
        <f>AVERAGE(N480,O480)</f>
        <v>5952076.209999999</v>
      </c>
      <c r="P515" s="80">
        <f>AVERAGE(O480:P480)</f>
        <v>2105289.8149999995</v>
      </c>
      <c r="Q515" s="80">
        <f t="shared" ref="P515:X517" si="395">AVERAGE(P480:Q480)</f>
        <v>8338095.5</v>
      </c>
      <c r="R515" s="80">
        <f t="shared" si="395"/>
        <v>14733333.857142858</v>
      </c>
      <c r="S515" s="80"/>
      <c r="T515" s="80"/>
      <c r="U515" s="80">
        <f>AVERAGE(Q480,U480)</f>
        <v>14733333.857142858</v>
      </c>
      <c r="V515" s="80">
        <f>AVERAGE(R480:V480)</f>
        <v>11495238.619047619</v>
      </c>
      <c r="W515" s="80">
        <f t="shared" si="395"/>
        <v>6961905.2857142864</v>
      </c>
      <c r="X515" s="80">
        <f t="shared" si="395"/>
        <v>2509524.333333334</v>
      </c>
      <c r="Y515" s="80">
        <f t="shared" ref="Y515:Z517" si="396">AVERAGE(X480:Y480)</f>
        <v>0.52380952425301075</v>
      </c>
      <c r="Z515" s="80">
        <f t="shared" si="396"/>
        <v>0.52380952425301075</v>
      </c>
    </row>
    <row r="516" spans="3:26" ht="15.75" hidden="1" customHeight="1" outlineLevel="1">
      <c r="C516" s="111"/>
      <c r="D516" s="674" t="s">
        <v>2122</v>
      </c>
      <c r="E516" s="110"/>
      <c r="F516" s="110"/>
      <c r="G516" s="110"/>
      <c r="H516" s="110"/>
      <c r="I516" s="110"/>
      <c r="J516" s="80"/>
      <c r="K516" s="80">
        <f t="shared" si="394"/>
        <v>4962500</v>
      </c>
      <c r="L516" s="80">
        <f t="shared" si="394"/>
        <v>4404624.1833333336</v>
      </c>
      <c r="M516" s="80">
        <f>AVERAGE(L481:M481)</f>
        <v>3460648.3666666667</v>
      </c>
      <c r="N516" s="80">
        <f>AVERAGE(M481,N481)</f>
        <v>2210172.2763891309</v>
      </c>
      <c r="O516" s="80">
        <f>AVERAGE(N481,O481)</f>
        <v>880983.04684300791</v>
      </c>
      <c r="P516" s="80">
        <f t="shared" si="395"/>
        <v>208084.95378721046</v>
      </c>
      <c r="Q516" s="80">
        <f t="shared" si="395"/>
        <v>0</v>
      </c>
      <c r="R516" s="80">
        <f t="shared" si="395"/>
        <v>0</v>
      </c>
      <c r="S516" s="80"/>
      <c r="T516" s="80"/>
      <c r="U516" s="80">
        <f t="shared" si="395"/>
        <v>0</v>
      </c>
      <c r="V516" s="80">
        <f>AVERAGE(R481:V481)</f>
        <v>0</v>
      </c>
      <c r="W516" s="80">
        <f t="shared" si="395"/>
        <v>0</v>
      </c>
      <c r="X516" s="80">
        <f t="shared" si="395"/>
        <v>0</v>
      </c>
      <c r="Y516" s="80">
        <f t="shared" si="396"/>
        <v>0</v>
      </c>
      <c r="Z516" s="80">
        <f t="shared" si="396"/>
        <v>0</v>
      </c>
    </row>
    <row r="517" spans="3:26" ht="15.75" hidden="1" customHeight="1" outlineLevel="1">
      <c r="C517" s="111"/>
      <c r="D517" s="674" t="s">
        <v>2124</v>
      </c>
      <c r="E517" s="110"/>
      <c r="F517" s="110"/>
      <c r="G517" s="110"/>
      <c r="H517" s="110"/>
      <c r="I517" s="110"/>
      <c r="J517" s="80"/>
      <c r="K517" s="80">
        <f>AVERAGE(J482:K482)</f>
        <v>0</v>
      </c>
      <c r="L517" s="80">
        <f>AVERAGE(K482:L482)</f>
        <v>0</v>
      </c>
      <c r="M517" s="80">
        <f t="shared" si="394"/>
        <v>915750.00000000012</v>
      </c>
      <c r="N517" s="80">
        <f>AVERAGE(M482:N482)</f>
        <v>1308450.0000000002</v>
      </c>
      <c r="O517" s="80">
        <f>AVERAGE(N482,O482)</f>
        <v>392700.00000000006</v>
      </c>
      <c r="P517" s="80">
        <f>AVERAGE(O482:P482)</f>
        <v>0</v>
      </c>
      <c r="Q517" s="80">
        <f t="shared" si="395"/>
        <v>0</v>
      </c>
      <c r="R517" s="80">
        <f t="shared" si="395"/>
        <v>0</v>
      </c>
      <c r="S517" s="80"/>
      <c r="T517" s="80"/>
      <c r="U517" s="80">
        <f t="shared" si="395"/>
        <v>0</v>
      </c>
      <c r="V517" s="80">
        <f>AVERAGE(R482:V482)</f>
        <v>0</v>
      </c>
      <c r="W517" s="80">
        <f t="shared" si="395"/>
        <v>0</v>
      </c>
      <c r="X517" s="80">
        <f t="shared" si="395"/>
        <v>0</v>
      </c>
      <c r="Y517" s="80">
        <f t="shared" si="396"/>
        <v>0</v>
      </c>
      <c r="Z517" s="80">
        <f t="shared" si="396"/>
        <v>0</v>
      </c>
    </row>
    <row r="518" spans="3:26" ht="15.75" hidden="1" customHeight="1" outlineLevel="1">
      <c r="C518" s="111"/>
      <c r="D518" s="674" t="s">
        <v>1589</v>
      </c>
      <c r="E518" s="110"/>
      <c r="F518" s="110"/>
      <c r="G518" s="110"/>
      <c r="H518" s="110"/>
      <c r="I518" s="110"/>
      <c r="J518" s="80"/>
      <c r="K518" s="80">
        <f t="shared" ref="K518:X518" si="397">J496</f>
        <v>0</v>
      </c>
      <c r="L518" s="80">
        <f t="shared" si="397"/>
        <v>3149357</v>
      </c>
      <c r="M518" s="80">
        <f t="shared" si="397"/>
        <v>2778380</v>
      </c>
      <c r="N518" s="80">
        <f t="shared" ca="1" si="397"/>
        <v>0</v>
      </c>
      <c r="O518" s="80">
        <f t="shared" ca="1" si="397"/>
        <v>0</v>
      </c>
      <c r="P518" s="80">
        <f t="shared" ca="1" si="397"/>
        <v>0</v>
      </c>
      <c r="Q518" s="80">
        <f t="shared" ca="1" si="397"/>
        <v>0</v>
      </c>
      <c r="R518" s="80">
        <f t="shared" ca="1" si="397"/>
        <v>0</v>
      </c>
      <c r="S518" s="80"/>
      <c r="T518" s="80"/>
      <c r="U518" s="80">
        <f t="shared" si="397"/>
        <v>0</v>
      </c>
      <c r="V518" s="80">
        <f ca="1">R496</f>
        <v>0</v>
      </c>
      <c r="W518" s="80">
        <f t="shared" ca="1" si="397"/>
        <v>0</v>
      </c>
      <c r="X518" s="80">
        <f t="shared" ca="1" si="397"/>
        <v>0</v>
      </c>
      <c r="Y518" s="80">
        <f ca="1">X496</f>
        <v>0</v>
      </c>
      <c r="Z518" s="80">
        <f ca="1">Y496</f>
        <v>0</v>
      </c>
    </row>
    <row r="519" spans="3:26" ht="15.75" hidden="1" customHeight="1" outlineLevel="1">
      <c r="C519" s="111"/>
      <c r="D519" s="674" t="s">
        <v>1590</v>
      </c>
      <c r="E519" s="110"/>
      <c r="F519" s="110"/>
      <c r="G519" s="110"/>
      <c r="H519" s="110"/>
      <c r="I519" s="110"/>
      <c r="J519" s="80"/>
      <c r="K519" s="80">
        <f t="shared" ref="K519:X519" si="398">J501</f>
        <v>418595.70874044765</v>
      </c>
      <c r="L519" s="80">
        <f t="shared" ca="1" si="398"/>
        <v>25776121.039836708</v>
      </c>
      <c r="M519" s="80">
        <f t="shared" ca="1" si="398"/>
        <v>111374579.38038433</v>
      </c>
      <c r="N519" s="80">
        <f t="shared" ca="1" si="398"/>
        <v>159856630.5596692</v>
      </c>
      <c r="O519" s="80">
        <f t="shared" ca="1" si="398"/>
        <v>194961427.77633607</v>
      </c>
      <c r="P519" s="80">
        <f t="shared" ca="1" si="398"/>
        <v>253179534.80747101</v>
      </c>
      <c r="Q519" s="80">
        <f t="shared" ca="1" si="398"/>
        <v>310731742.08495981</v>
      </c>
      <c r="R519" s="80">
        <f t="shared" ca="1" si="398"/>
        <v>372505349.90035373</v>
      </c>
      <c r="S519" s="80"/>
      <c r="T519" s="80"/>
      <c r="U519" s="80">
        <f t="shared" si="398"/>
        <v>0</v>
      </c>
      <c r="V519" s="80">
        <f ca="1">R501</f>
        <v>430477039.84549117</v>
      </c>
      <c r="W519" s="80">
        <f t="shared" ca="1" si="398"/>
        <v>492473760.33981049</v>
      </c>
      <c r="X519" s="80">
        <f t="shared" ca="1" si="398"/>
        <v>552868423.83992708</v>
      </c>
      <c r="Y519" s="80">
        <f ca="1">X501</f>
        <v>611936271.2612083</v>
      </c>
      <c r="Z519" s="80">
        <f ca="1">Y501</f>
        <v>675689445.8169024</v>
      </c>
    </row>
    <row r="520" spans="3:26" ht="15.75" hidden="1" customHeight="1" outlineLevel="1">
      <c r="C520" s="111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17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</row>
    <row r="521" spans="3:26" ht="15.75" hidden="1" customHeight="1" outlineLevel="1">
      <c r="C521" s="111"/>
      <c r="D521" s="447" t="s">
        <v>1591</v>
      </c>
      <c r="E521" s="110"/>
      <c r="F521" s="110"/>
      <c r="G521" s="110"/>
      <c r="H521" s="110"/>
      <c r="I521" s="110"/>
      <c r="J521" s="110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3:26" ht="15.75" hidden="1" customHeight="1" outlineLevel="1">
      <c r="C522" s="111"/>
      <c r="D522" s="164" t="s">
        <v>2121</v>
      </c>
      <c r="E522" s="110"/>
      <c r="F522" s="110"/>
      <c r="G522" s="110"/>
      <c r="H522" s="110"/>
      <c r="I522" s="110"/>
      <c r="J522" s="133"/>
      <c r="K522" s="133"/>
      <c r="L522" s="133">
        <f t="shared" ref="L522:M525" si="399">K522</f>
        <v>0</v>
      </c>
      <c r="M522" s="556">
        <f>'Control list'!F15+0.05</f>
        <v>5.6000000000000001E-2</v>
      </c>
      <c r="N522" s="556">
        <f>'Control list'!I15+0.05</f>
        <v>5.6000000000000001E-2</v>
      </c>
      <c r="O522" s="556">
        <f>'Control list'!J15+0.05</f>
        <v>5.6000000000000001E-2</v>
      </c>
      <c r="P522" s="556">
        <f>'Control list'!K15+0.05</f>
        <v>5.6000000000000001E-2</v>
      </c>
      <c r="Q522" s="556">
        <f>'Control list'!L15+0.05</f>
        <v>5.6000000000000001E-2</v>
      </c>
      <c r="R522" s="556">
        <f>'Control list'!M15+5%</f>
        <v>5.9000000000000004E-2</v>
      </c>
      <c r="S522" s="556"/>
      <c r="T522" s="556"/>
      <c r="U522" s="556">
        <f>R522</f>
        <v>5.9000000000000004E-2</v>
      </c>
      <c r="V522" s="556">
        <f>'Control list'!N15+0.05</f>
        <v>5.9000000000000004E-2</v>
      </c>
      <c r="W522" s="556">
        <f>'Control list'!O15+0.05</f>
        <v>5.9000000000000004E-2</v>
      </c>
      <c r="X522" s="556">
        <f>'Control list'!P15+0.05</f>
        <v>5.9000000000000004E-2</v>
      </c>
      <c r="Y522" s="556">
        <f>'Control list'!Q15+0.05</f>
        <v>5.9000000000000004E-2</v>
      </c>
      <c r="Z522" s="556">
        <f>'Control list'!R15+0.05</f>
        <v>5.9000000000000004E-2</v>
      </c>
    </row>
    <row r="523" spans="3:26" ht="15.75" hidden="1" customHeight="1" outlineLevel="1">
      <c r="C523" s="111"/>
      <c r="D523" s="674" t="s">
        <v>2122</v>
      </c>
      <c r="E523" s="110"/>
      <c r="F523" s="110"/>
      <c r="G523" s="110"/>
      <c r="H523" s="110"/>
      <c r="I523" s="110"/>
      <c r="J523" s="133"/>
      <c r="K523" s="133"/>
      <c r="L523" s="133">
        <v>7.4999999999999997E-2</v>
      </c>
      <c r="M523" s="133">
        <f t="shared" si="399"/>
        <v>7.4999999999999997E-2</v>
      </c>
      <c r="N523" s="133">
        <f>M523</f>
        <v>7.4999999999999997E-2</v>
      </c>
      <c r="O523" s="133">
        <f>N523</f>
        <v>7.4999999999999997E-2</v>
      </c>
      <c r="P523" s="133">
        <f t="shared" ref="P523:X526" si="400">O523</f>
        <v>7.4999999999999997E-2</v>
      </c>
      <c r="Q523" s="133">
        <f t="shared" si="400"/>
        <v>7.4999999999999997E-2</v>
      </c>
      <c r="R523" s="133">
        <f t="shared" si="400"/>
        <v>7.4999999999999997E-2</v>
      </c>
      <c r="S523" s="133"/>
      <c r="T523" s="133"/>
      <c r="U523" s="556">
        <f>R523</f>
        <v>7.4999999999999997E-2</v>
      </c>
      <c r="V523" s="133">
        <f>R523</f>
        <v>7.4999999999999997E-2</v>
      </c>
      <c r="W523" s="133">
        <f t="shared" si="400"/>
        <v>7.4999999999999997E-2</v>
      </c>
      <c r="X523" s="133">
        <f t="shared" si="400"/>
        <v>7.4999999999999997E-2</v>
      </c>
      <c r="Y523" s="133">
        <f t="shared" ref="Y523:Z526" si="401">X523</f>
        <v>7.4999999999999997E-2</v>
      </c>
      <c r="Z523" s="133">
        <f t="shared" si="401"/>
        <v>7.4999999999999997E-2</v>
      </c>
    </row>
    <row r="524" spans="3:26" ht="15.75" hidden="1" customHeight="1" outlineLevel="1">
      <c r="C524" s="111"/>
      <c r="D524" s="674" t="s">
        <v>2124</v>
      </c>
      <c r="E524" s="110"/>
      <c r="F524" s="110"/>
      <c r="G524" s="110"/>
      <c r="H524" s="110"/>
      <c r="I524" s="110"/>
      <c r="J524" s="133"/>
      <c r="K524" s="133"/>
      <c r="L524" s="83">
        <f t="shared" si="399"/>
        <v>0</v>
      </c>
      <c r="M524" s="83">
        <v>7.2999999999999995E-2</v>
      </c>
      <c r="N524" s="83">
        <v>6.5000000000000002E-2</v>
      </c>
      <c r="O524" s="83">
        <f>N524</f>
        <v>6.5000000000000002E-2</v>
      </c>
      <c r="P524" s="83">
        <f t="shared" si="400"/>
        <v>6.5000000000000002E-2</v>
      </c>
      <c r="Q524" s="83">
        <f t="shared" si="400"/>
        <v>6.5000000000000002E-2</v>
      </c>
      <c r="R524" s="83">
        <f t="shared" si="400"/>
        <v>6.5000000000000002E-2</v>
      </c>
      <c r="S524" s="83"/>
      <c r="T524" s="83"/>
      <c r="U524" s="556">
        <f>R524</f>
        <v>6.5000000000000002E-2</v>
      </c>
      <c r="V524" s="83">
        <f>R524</f>
        <v>6.5000000000000002E-2</v>
      </c>
      <c r="W524" s="83">
        <f t="shared" si="400"/>
        <v>6.5000000000000002E-2</v>
      </c>
      <c r="X524" s="83">
        <f t="shared" si="400"/>
        <v>6.5000000000000002E-2</v>
      </c>
      <c r="Y524" s="83">
        <f t="shared" si="401"/>
        <v>6.5000000000000002E-2</v>
      </c>
      <c r="Z524" s="83">
        <f t="shared" si="401"/>
        <v>6.5000000000000002E-2</v>
      </c>
    </row>
    <row r="525" spans="3:26" ht="15.75" hidden="1" customHeight="1" outlineLevel="1">
      <c r="C525" s="111"/>
      <c r="D525" s="674" t="s">
        <v>1592</v>
      </c>
      <c r="E525" s="110"/>
      <c r="F525" s="110"/>
      <c r="G525" s="110"/>
      <c r="H525" s="110"/>
      <c r="I525" s="110"/>
      <c r="J525" s="83"/>
      <c r="K525" s="83"/>
      <c r="L525" s="133">
        <f t="shared" si="399"/>
        <v>0</v>
      </c>
      <c r="M525" s="133">
        <f t="shared" si="399"/>
        <v>0</v>
      </c>
      <c r="N525" s="133">
        <f>M525</f>
        <v>0</v>
      </c>
      <c r="O525" s="133">
        <f>N525</f>
        <v>0</v>
      </c>
      <c r="P525" s="133">
        <f t="shared" si="400"/>
        <v>0</v>
      </c>
      <c r="Q525" s="133">
        <f t="shared" si="400"/>
        <v>0</v>
      </c>
      <c r="R525" s="133">
        <f t="shared" si="400"/>
        <v>0</v>
      </c>
      <c r="S525" s="133"/>
      <c r="T525" s="133"/>
      <c r="U525" s="556">
        <f>R525</f>
        <v>0</v>
      </c>
      <c r="V525" s="133">
        <f>R525</f>
        <v>0</v>
      </c>
      <c r="W525" s="133">
        <f t="shared" si="400"/>
        <v>0</v>
      </c>
      <c r="X525" s="133">
        <f t="shared" si="400"/>
        <v>0</v>
      </c>
      <c r="Y525" s="133">
        <f t="shared" si="401"/>
        <v>0</v>
      </c>
      <c r="Z525" s="133">
        <f t="shared" si="401"/>
        <v>0</v>
      </c>
    </row>
    <row r="526" spans="3:26" ht="15.75" hidden="1" customHeight="1" outlineLevel="1">
      <c r="C526" s="111"/>
      <c r="D526" s="674" t="s">
        <v>1590</v>
      </c>
      <c r="E526" s="110"/>
      <c r="F526" s="110"/>
      <c r="G526" s="110"/>
      <c r="H526" s="110"/>
      <c r="I526" s="110"/>
      <c r="J526" s="83"/>
      <c r="K526" s="83">
        <v>0.03</v>
      </c>
      <c r="L526" s="83">
        <v>0</v>
      </c>
      <c r="M526" s="83">
        <v>0</v>
      </c>
      <c r="N526" s="83">
        <v>0</v>
      </c>
      <c r="O526" s="83">
        <v>0</v>
      </c>
      <c r="P526" s="83">
        <v>0</v>
      </c>
      <c r="Q526" s="83">
        <f t="shared" si="400"/>
        <v>0</v>
      </c>
      <c r="R526" s="83">
        <f t="shared" si="400"/>
        <v>0</v>
      </c>
      <c r="S526" s="83"/>
      <c r="T526" s="83"/>
      <c r="U526" s="556">
        <f>R526</f>
        <v>0</v>
      </c>
      <c r="V526" s="83">
        <f>R526</f>
        <v>0</v>
      </c>
      <c r="W526" s="83">
        <f t="shared" si="400"/>
        <v>0</v>
      </c>
      <c r="X526" s="83">
        <f t="shared" si="400"/>
        <v>0</v>
      </c>
      <c r="Y526" s="83">
        <f t="shared" si="401"/>
        <v>0</v>
      </c>
      <c r="Z526" s="83">
        <f t="shared" si="401"/>
        <v>0</v>
      </c>
    </row>
    <row r="527" spans="3:26" ht="15.75" hidden="1" customHeight="1" outlineLevel="1">
      <c r="C527" s="111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17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</row>
    <row r="528" spans="3:26" ht="15.75" hidden="1" customHeight="1" outlineLevel="1">
      <c r="C528" s="111"/>
      <c r="D528" s="447" t="s">
        <v>1593</v>
      </c>
      <c r="E528" s="110"/>
      <c r="F528" s="110"/>
      <c r="G528" s="110"/>
      <c r="H528" s="110"/>
      <c r="I528" s="110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</row>
    <row r="529" spans="3:26" ht="15.75" hidden="1" customHeight="1" outlineLevel="1">
      <c r="C529" s="111"/>
      <c r="D529" s="164" t="s">
        <v>2121</v>
      </c>
      <c r="E529" s="110"/>
      <c r="F529" s="110"/>
      <c r="G529" s="110"/>
      <c r="H529" s="110"/>
      <c r="I529" s="110"/>
      <c r="J529" s="110"/>
      <c r="K529" s="79">
        <f t="shared" ref="K529:V529" si="402">K515*K522</f>
        <v>0</v>
      </c>
      <c r="L529" s="79">
        <f t="shared" si="402"/>
        <v>0</v>
      </c>
      <c r="M529" s="79">
        <f t="shared" si="402"/>
        <v>682638.47623999999</v>
      </c>
      <c r="N529" s="79">
        <f t="shared" si="402"/>
        <v>507963.27623999998</v>
      </c>
      <c r="O529" s="79">
        <f t="shared" si="402"/>
        <v>333316.26775999996</v>
      </c>
      <c r="P529" s="79">
        <f t="shared" si="402"/>
        <v>117896.22963999998</v>
      </c>
      <c r="Q529" s="79">
        <f t="shared" si="402"/>
        <v>466933.348</v>
      </c>
      <c r="R529" s="79">
        <f t="shared" si="402"/>
        <v>869266.69757142873</v>
      </c>
      <c r="S529" s="79"/>
      <c r="T529" s="79"/>
      <c r="U529" s="79">
        <f>U515*U522</f>
        <v>869266.69757142873</v>
      </c>
      <c r="V529" s="79">
        <f t="shared" si="402"/>
        <v>678219.07852380956</v>
      </c>
      <c r="W529" s="79">
        <f t="shared" ref="W529:X532" si="403">W515*W522</f>
        <v>410752.41185714293</v>
      </c>
      <c r="X529" s="79">
        <f t="shared" si="403"/>
        <v>148061.93566666672</v>
      </c>
      <c r="Y529" s="79">
        <f t="shared" ref="Y529:Z532" si="404">Y515*Y522</f>
        <v>3.0904761930927636E-2</v>
      </c>
      <c r="Z529" s="79">
        <f t="shared" si="404"/>
        <v>3.0904761930927636E-2</v>
      </c>
    </row>
    <row r="530" spans="3:26" ht="15.75" hidden="1" customHeight="1" outlineLevel="1">
      <c r="C530" s="111"/>
      <c r="D530" s="674" t="s">
        <v>2122</v>
      </c>
      <c r="E530" s="110"/>
      <c r="F530" s="110"/>
      <c r="G530" s="110"/>
      <c r="H530" s="110"/>
      <c r="I530" s="110"/>
      <c r="J530" s="110"/>
      <c r="K530" s="79">
        <f>K516*K523</f>
        <v>0</v>
      </c>
      <c r="L530" s="79">
        <f>1177000*1.35</f>
        <v>1588950</v>
      </c>
      <c r="M530" s="79">
        <f t="shared" ref="M530:N532" si="405">M516*M523</f>
        <v>259548.6275</v>
      </c>
      <c r="N530" s="79">
        <f t="shared" si="405"/>
        <v>165762.92072918481</v>
      </c>
      <c r="O530" s="79">
        <f t="shared" ref="O530:P532" si="406">O516*O523</f>
        <v>66073.728513225593</v>
      </c>
      <c r="P530" s="79">
        <f t="shared" si="406"/>
        <v>15606.371534040783</v>
      </c>
      <c r="Q530" s="79">
        <f t="shared" ref="Q530:R532" si="407">Q516*Q523</f>
        <v>0</v>
      </c>
      <c r="R530" s="79">
        <f t="shared" si="407"/>
        <v>0</v>
      </c>
      <c r="S530" s="79"/>
      <c r="T530" s="79"/>
      <c r="U530" s="79">
        <f>U516*U523</f>
        <v>0</v>
      </c>
      <c r="V530" s="79">
        <f>V516*V523</f>
        <v>0</v>
      </c>
      <c r="W530" s="79">
        <f t="shared" si="403"/>
        <v>0</v>
      </c>
      <c r="X530" s="79">
        <f t="shared" si="403"/>
        <v>0</v>
      </c>
      <c r="Y530" s="79">
        <f t="shared" si="404"/>
        <v>0</v>
      </c>
      <c r="Z530" s="79">
        <f t="shared" si="404"/>
        <v>0</v>
      </c>
    </row>
    <row r="531" spans="3:26" ht="15.75" hidden="1" customHeight="1" outlineLevel="1">
      <c r="C531" s="111"/>
      <c r="D531" s="674" t="s">
        <v>2124</v>
      </c>
      <c r="E531" s="110"/>
      <c r="F531" s="110"/>
      <c r="G531" s="110"/>
      <c r="H531" s="110"/>
      <c r="I531" s="110"/>
      <c r="J531" s="110"/>
      <c r="K531" s="79">
        <f>K517*K524</f>
        <v>0</v>
      </c>
      <c r="L531" s="79">
        <f>222000*1.35</f>
        <v>299700</v>
      </c>
      <c r="M531" s="79">
        <f t="shared" si="405"/>
        <v>66849.75</v>
      </c>
      <c r="N531" s="79">
        <f t="shared" si="405"/>
        <v>85049.250000000015</v>
      </c>
      <c r="O531" s="79">
        <f t="shared" si="406"/>
        <v>25525.500000000004</v>
      </c>
      <c r="P531" s="79">
        <f t="shared" si="406"/>
        <v>0</v>
      </c>
      <c r="Q531" s="79">
        <f t="shared" si="407"/>
        <v>0</v>
      </c>
      <c r="R531" s="79">
        <f t="shared" si="407"/>
        <v>0</v>
      </c>
      <c r="S531" s="79"/>
      <c r="T531" s="79"/>
      <c r="U531" s="79">
        <f>U517*U524</f>
        <v>0</v>
      </c>
      <c r="V531" s="79">
        <f>V517*V524</f>
        <v>0</v>
      </c>
      <c r="W531" s="79">
        <f t="shared" si="403"/>
        <v>0</v>
      </c>
      <c r="X531" s="79">
        <f t="shared" si="403"/>
        <v>0</v>
      </c>
      <c r="Y531" s="79">
        <f t="shared" si="404"/>
        <v>0</v>
      </c>
      <c r="Z531" s="79">
        <f t="shared" si="404"/>
        <v>0</v>
      </c>
    </row>
    <row r="532" spans="3:26" ht="15.75" hidden="1" customHeight="1" outlineLevel="1">
      <c r="C532" s="111"/>
      <c r="D532" s="674" t="s">
        <v>1592</v>
      </c>
      <c r="E532" s="110"/>
      <c r="F532" s="110"/>
      <c r="G532" s="110"/>
      <c r="H532" s="110"/>
      <c r="I532" s="110"/>
      <c r="J532" s="110"/>
      <c r="K532" s="79">
        <f>K518*K525</f>
        <v>0</v>
      </c>
      <c r="L532" s="79">
        <f>135000*1.35</f>
        <v>182250</v>
      </c>
      <c r="M532" s="79">
        <f t="shared" si="405"/>
        <v>0</v>
      </c>
      <c r="N532" s="79">
        <f t="shared" ca="1" si="405"/>
        <v>0</v>
      </c>
      <c r="O532" s="79">
        <f t="shared" ca="1" si="406"/>
        <v>0</v>
      </c>
      <c r="P532" s="79">
        <f t="shared" ca="1" si="406"/>
        <v>0</v>
      </c>
      <c r="Q532" s="79">
        <f t="shared" ca="1" si="407"/>
        <v>0</v>
      </c>
      <c r="R532" s="79">
        <f t="shared" ca="1" si="407"/>
        <v>0</v>
      </c>
      <c r="S532" s="79"/>
      <c r="T532" s="79"/>
      <c r="U532" s="79">
        <f>U518*U525</f>
        <v>0</v>
      </c>
      <c r="V532" s="79">
        <f ca="1">V518*V525</f>
        <v>0</v>
      </c>
      <c r="W532" s="79">
        <f t="shared" ca="1" si="403"/>
        <v>0</v>
      </c>
      <c r="X532" s="79">
        <f t="shared" ca="1" si="403"/>
        <v>0</v>
      </c>
      <c r="Y532" s="79">
        <f t="shared" ca="1" si="404"/>
        <v>0</v>
      </c>
      <c r="Z532" s="79">
        <f t="shared" ca="1" si="404"/>
        <v>0</v>
      </c>
    </row>
    <row r="533" spans="3:26" ht="15.75" hidden="1" customHeight="1" outlineLevel="1">
      <c r="C533" s="111"/>
      <c r="D533" s="674" t="s">
        <v>1594</v>
      </c>
      <c r="E533" s="110"/>
      <c r="F533" s="110"/>
      <c r="G533" s="110"/>
      <c r="H533" s="110"/>
      <c r="I533" s="110"/>
      <c r="J533" s="110"/>
      <c r="K533" s="80">
        <f t="shared" ref="K533:V533" si="408">SUM(K529:K532)</f>
        <v>0</v>
      </c>
      <c r="L533" s="80">
        <f t="shared" si="408"/>
        <v>2070900</v>
      </c>
      <c r="M533" s="80">
        <f t="shared" si="408"/>
        <v>1009036.8537399999</v>
      </c>
      <c r="N533" s="80">
        <f t="shared" ca="1" si="408"/>
        <v>758775.44696918479</v>
      </c>
      <c r="O533" s="80">
        <f t="shared" ca="1" si="408"/>
        <v>424915.49627322552</v>
      </c>
      <c r="P533" s="80">
        <f t="shared" ca="1" si="408"/>
        <v>133502.60117404076</v>
      </c>
      <c r="Q533" s="80">
        <f t="shared" ca="1" si="408"/>
        <v>466933.348</v>
      </c>
      <c r="R533" s="80">
        <f t="shared" ca="1" si="408"/>
        <v>869266.69757142873</v>
      </c>
      <c r="S533" s="80"/>
      <c r="T533" s="80"/>
      <c r="U533" s="80">
        <f>SUM(U529:U532)</f>
        <v>869266.69757142873</v>
      </c>
      <c r="V533" s="80">
        <f t="shared" ca="1" si="408"/>
        <v>678219.07852380956</v>
      </c>
      <c r="W533" s="80">
        <f ca="1">SUM(W529:W532)</f>
        <v>410752.41185714293</v>
      </c>
      <c r="X533" s="80">
        <f ca="1">SUM(X529:X532)</f>
        <v>148061.93566666672</v>
      </c>
      <c r="Y533" s="80">
        <f ca="1">SUM(Y529:Y532)</f>
        <v>3.0904761930927636E-2</v>
      </c>
      <c r="Z533" s="80">
        <f ca="1">SUM(Z529:Z532)</f>
        <v>3.0904761930927636E-2</v>
      </c>
    </row>
    <row r="534" spans="3:26" ht="15.75" hidden="1" customHeight="1" outlineLevel="1">
      <c r="C534" s="111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17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</row>
    <row r="535" spans="3:26" ht="15.75" hidden="1" customHeight="1" outlineLevel="1">
      <c r="C535" s="111"/>
      <c r="D535" s="703" t="s">
        <v>1595</v>
      </c>
      <c r="E535" s="110"/>
      <c r="F535" s="110"/>
      <c r="G535" s="110"/>
      <c r="H535" s="110"/>
      <c r="I535" s="110"/>
      <c r="J535" s="110"/>
      <c r="K535" s="79">
        <v>235867.85441031805</v>
      </c>
      <c r="L535" s="79">
        <v>0</v>
      </c>
      <c r="M535" s="79">
        <f t="shared" ref="M535:X535" si="409">L535</f>
        <v>0</v>
      </c>
      <c r="N535" s="79">
        <f t="shared" si="409"/>
        <v>0</v>
      </c>
      <c r="O535" s="79">
        <f t="shared" si="409"/>
        <v>0</v>
      </c>
      <c r="P535" s="79">
        <f t="shared" si="409"/>
        <v>0</v>
      </c>
      <c r="Q535" s="79">
        <f t="shared" si="409"/>
        <v>0</v>
      </c>
      <c r="R535" s="79">
        <f t="shared" si="409"/>
        <v>0</v>
      </c>
      <c r="S535" s="79"/>
      <c r="T535" s="79"/>
      <c r="U535" s="79">
        <f t="shared" si="409"/>
        <v>0</v>
      </c>
      <c r="V535" s="79">
        <f>R535</f>
        <v>0</v>
      </c>
      <c r="W535" s="79">
        <f t="shared" si="409"/>
        <v>0</v>
      </c>
      <c r="X535" s="79">
        <f t="shared" si="409"/>
        <v>0</v>
      </c>
      <c r="Y535" s="79">
        <f>X535</f>
        <v>0</v>
      </c>
      <c r="Z535" s="79">
        <f>Y535</f>
        <v>0</v>
      </c>
    </row>
    <row r="536" spans="3:26" ht="15.75" hidden="1" customHeight="1" outlineLevel="1">
      <c r="C536" s="111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17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</row>
    <row r="537" spans="3:26" ht="15.75" hidden="1" customHeight="1" outlineLevel="1">
      <c r="C537" s="111"/>
      <c r="D537" s="703" t="s">
        <v>1596</v>
      </c>
      <c r="E537" s="110"/>
      <c r="F537" s="110"/>
      <c r="G537" s="110"/>
      <c r="H537" s="110"/>
      <c r="I537" s="110"/>
      <c r="J537" s="110"/>
      <c r="K537" s="80">
        <f t="shared" ref="K537:V537" si="410">SUM(K533:K535)</f>
        <v>235867.85441031805</v>
      </c>
      <c r="L537" s="80">
        <f t="shared" si="410"/>
        <v>2070900</v>
      </c>
      <c r="M537" s="80">
        <f t="shared" si="410"/>
        <v>1009036.8537399999</v>
      </c>
      <c r="N537" s="80">
        <f t="shared" ca="1" si="410"/>
        <v>758775.44696918479</v>
      </c>
      <c r="O537" s="80">
        <f t="shared" ca="1" si="410"/>
        <v>424915.49627322552</v>
      </c>
      <c r="P537" s="80">
        <f t="shared" ca="1" si="410"/>
        <v>133502.60117404076</v>
      </c>
      <c r="Q537" s="80">
        <f t="shared" ca="1" si="410"/>
        <v>466933.348</v>
      </c>
      <c r="R537" s="80">
        <f t="shared" ca="1" si="410"/>
        <v>869266.69757142873</v>
      </c>
      <c r="S537" s="80"/>
      <c r="T537" s="80"/>
      <c r="U537" s="80">
        <f>SUM(U533:U535)</f>
        <v>869266.69757142873</v>
      </c>
      <c r="V537" s="80">
        <f t="shared" ca="1" si="410"/>
        <v>678219.07852380956</v>
      </c>
      <c r="W537" s="80">
        <f ca="1">SUM(W533:W535)</f>
        <v>410752.41185714293</v>
      </c>
      <c r="X537" s="80">
        <f ca="1">SUM(X533:X535)</f>
        <v>148061.93566666672</v>
      </c>
      <c r="Y537" s="80">
        <f ca="1">SUM(Y533:Y535)</f>
        <v>3.0904761930927636E-2</v>
      </c>
      <c r="Z537" s="80">
        <f ca="1">SUM(Z533:Z535)</f>
        <v>3.0904761930927636E-2</v>
      </c>
    </row>
    <row r="538" spans="3:26" ht="15.75" hidden="1" customHeight="1" outlineLevel="1">
      <c r="C538" s="111"/>
      <c r="D538" s="102"/>
      <c r="E538" s="110"/>
      <c r="F538" s="110"/>
      <c r="G538" s="110"/>
      <c r="H538" s="110"/>
      <c r="I538" s="110"/>
      <c r="J538" s="110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3:26" ht="15.75" hidden="1" customHeight="1" outlineLevel="1">
      <c r="C539" s="111"/>
      <c r="D539" s="447" t="s">
        <v>1597</v>
      </c>
      <c r="E539" s="110"/>
      <c r="F539" s="110"/>
      <c r="G539" s="110"/>
      <c r="H539" s="110"/>
      <c r="I539" s="110"/>
      <c r="J539" s="110"/>
      <c r="K539" s="79">
        <f t="shared" ref="K539:W539" si="411">K519*K526</f>
        <v>12557.87126221343</v>
      </c>
      <c r="L539" s="79">
        <f t="shared" ca="1" si="411"/>
        <v>0</v>
      </c>
      <c r="M539" s="79">
        <f t="shared" ca="1" si="411"/>
        <v>0</v>
      </c>
      <c r="N539" s="79">
        <f t="shared" ca="1" si="411"/>
        <v>0</v>
      </c>
      <c r="O539" s="79">
        <f ca="1">O519*O526</f>
        <v>0</v>
      </c>
      <c r="P539" s="79">
        <f t="shared" ca="1" si="411"/>
        <v>0</v>
      </c>
      <c r="Q539" s="79">
        <f ca="1">Q519*Q526</f>
        <v>0</v>
      </c>
      <c r="R539" s="79">
        <f t="shared" ca="1" si="411"/>
        <v>0</v>
      </c>
      <c r="S539" s="79"/>
      <c r="T539" s="79"/>
      <c r="U539" s="79">
        <f>U519*U526</f>
        <v>0</v>
      </c>
      <c r="V539" s="79">
        <f t="shared" ca="1" si="411"/>
        <v>0</v>
      </c>
      <c r="W539" s="79">
        <f t="shared" ca="1" si="411"/>
        <v>0</v>
      </c>
      <c r="X539" s="79">
        <f ca="1">X519*X526</f>
        <v>0</v>
      </c>
      <c r="Y539" s="79">
        <f ca="1">Y519*Y526</f>
        <v>0</v>
      </c>
      <c r="Z539" s="79">
        <f ca="1">Z519*Z526</f>
        <v>0</v>
      </c>
    </row>
    <row r="540" spans="3:26" ht="15.75" hidden="1" customHeight="1" outlineLevel="1">
      <c r="C540" s="111"/>
      <c r="D540" s="447" t="s">
        <v>1598</v>
      </c>
      <c r="E540" s="110"/>
      <c r="F540" s="110"/>
      <c r="G540" s="110"/>
      <c r="H540" s="110"/>
      <c r="I540" s="110"/>
      <c r="J540" s="110"/>
      <c r="K540" s="79">
        <v>0</v>
      </c>
      <c r="L540" s="79">
        <f t="shared" ref="L540:X540" si="412">K540</f>
        <v>0</v>
      </c>
      <c r="M540" s="79">
        <f t="shared" si="412"/>
        <v>0</v>
      </c>
      <c r="N540" s="79">
        <f t="shared" si="412"/>
        <v>0</v>
      </c>
      <c r="O540" s="79">
        <f t="shared" si="412"/>
        <v>0</v>
      </c>
      <c r="P540" s="79">
        <f t="shared" si="412"/>
        <v>0</v>
      </c>
      <c r="Q540" s="79">
        <f t="shared" si="412"/>
        <v>0</v>
      </c>
      <c r="R540" s="79">
        <f t="shared" si="412"/>
        <v>0</v>
      </c>
      <c r="S540" s="79"/>
      <c r="T540" s="79"/>
      <c r="U540" s="79">
        <f t="shared" si="412"/>
        <v>0</v>
      </c>
      <c r="V540" s="79">
        <f>R540</f>
        <v>0</v>
      </c>
      <c r="W540" s="79">
        <f t="shared" si="412"/>
        <v>0</v>
      </c>
      <c r="X540" s="79">
        <f t="shared" si="412"/>
        <v>0</v>
      </c>
      <c r="Y540" s="79">
        <f>X540</f>
        <v>0</v>
      </c>
      <c r="Z540" s="79">
        <f>Y540</f>
        <v>0</v>
      </c>
    </row>
    <row r="541" spans="3:26" ht="15.75" hidden="1" customHeight="1" outlineLevel="1">
      <c r="C541" s="111"/>
      <c r="D541" s="703" t="s">
        <v>1599</v>
      </c>
      <c r="E541" s="110"/>
      <c r="F541" s="110"/>
      <c r="G541" s="110"/>
      <c r="H541" s="110"/>
      <c r="I541" s="110"/>
      <c r="J541" s="110"/>
      <c r="K541" s="80">
        <f t="shared" ref="K541:P541" si="413">SUM(K539:K540)</f>
        <v>12557.87126221343</v>
      </c>
      <c r="L541" s="80">
        <f t="shared" ca="1" si="413"/>
        <v>0</v>
      </c>
      <c r="M541" s="80">
        <f t="shared" ca="1" si="413"/>
        <v>0</v>
      </c>
      <c r="N541" s="80">
        <f t="shared" ca="1" si="413"/>
        <v>0</v>
      </c>
      <c r="O541" s="80">
        <f t="shared" ca="1" si="413"/>
        <v>0</v>
      </c>
      <c r="P541" s="80">
        <f t="shared" ca="1" si="413"/>
        <v>0</v>
      </c>
      <c r="Q541" s="80">
        <f t="shared" ref="Q541:Z541" ca="1" si="414">SUM(Q539:Q540)</f>
        <v>0</v>
      </c>
      <c r="R541" s="80">
        <f t="shared" ca="1" si="414"/>
        <v>0</v>
      </c>
      <c r="S541" s="80"/>
      <c r="T541" s="80"/>
      <c r="U541" s="80">
        <f>SUM(U539:U540)</f>
        <v>0</v>
      </c>
      <c r="V541" s="80">
        <f t="shared" ca="1" si="414"/>
        <v>0</v>
      </c>
      <c r="W541" s="80">
        <f t="shared" ca="1" si="414"/>
        <v>0</v>
      </c>
      <c r="X541" s="80">
        <f t="shared" ca="1" si="414"/>
        <v>0</v>
      </c>
      <c r="Y541" s="80">
        <f t="shared" ca="1" si="414"/>
        <v>0</v>
      </c>
      <c r="Z541" s="80">
        <f t="shared" ca="1" si="414"/>
        <v>0</v>
      </c>
    </row>
    <row r="542" spans="3:26" ht="15.75" hidden="1" customHeight="1" outlineLevel="1">
      <c r="C542" s="111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17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</row>
    <row r="543" spans="3:26" ht="15.75" hidden="1" customHeight="1" outlineLevel="1">
      <c r="C543" s="111"/>
      <c r="D543" s="102"/>
      <c r="E543" s="102"/>
      <c r="F543" s="102"/>
      <c r="G543" s="102"/>
      <c r="H543" s="102"/>
      <c r="I543" s="102"/>
      <c r="J543" s="102"/>
      <c r="K543" s="102"/>
      <c r="L543" s="121"/>
      <c r="M543" s="121"/>
      <c r="N543" s="118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  <c r="Z543" s="121"/>
    </row>
    <row r="544" spans="3:26" hidden="1" outlineLevel="1">
      <c r="D544" s="1278" t="s">
        <v>1845</v>
      </c>
      <c r="Q544" s="1321">
        <v>0.1817222222222222</v>
      </c>
    </row>
    <row r="545" spans="4:25" hidden="1" outlineLevel="1">
      <c r="D545" s="1278" t="s">
        <v>1846</v>
      </c>
      <c r="Q545" s="1321">
        <v>0.03</v>
      </c>
    </row>
    <row r="546" spans="4:25" hidden="1" outlineLevel="1">
      <c r="D546" s="1278" t="s">
        <v>1847</v>
      </c>
      <c r="R546" s="1181">
        <v>1</v>
      </c>
      <c r="S546" s="1181"/>
      <c r="T546" s="1181"/>
      <c r="U546" s="1181">
        <v>1</v>
      </c>
      <c r="V546" s="1181">
        <v>2</v>
      </c>
      <c r="W546" s="1181">
        <v>3</v>
      </c>
      <c r="X546" s="1181">
        <v>4</v>
      </c>
      <c r="Y546" s="1181">
        <v>5</v>
      </c>
    </row>
    <row r="547" spans="4:25" hidden="1" outlineLevel="1">
      <c r="D547" s="1278" t="s">
        <v>1848</v>
      </c>
      <c r="R547" s="1176">
        <f>(1/(1+$Q$544)^R546)</f>
        <v>0.84622255653236811</v>
      </c>
      <c r="S547" s="1176"/>
      <c r="T547" s="1176"/>
      <c r="U547" s="1176">
        <f>(1/(1+$Q$544)^U546)</f>
        <v>0.84622255653236811</v>
      </c>
      <c r="V547" s="1176">
        <f>(1/(1+$Q$544)^V546)</f>
        <v>0.71609261518417699</v>
      </c>
      <c r="W547" s="1176">
        <f>(1/(1+$Q$544)^W546)</f>
        <v>0.60597372353510348</v>
      </c>
      <c r="X547" s="1176">
        <f>(1/(1+$Q$544)^X546)</f>
        <v>0.51278863352131376</v>
      </c>
      <c r="Y547" s="1176">
        <f>(1/(1+$Q$544)^Y546)</f>
        <v>0.43393330841914562</v>
      </c>
    </row>
    <row r="548" spans="4:25" hidden="1" outlineLevel="1">
      <c r="D548" s="1278" t="s">
        <v>1849</v>
      </c>
      <c r="R548" s="1182">
        <f ca="1">R306*R547</f>
        <v>49056951.671875969</v>
      </c>
      <c r="S548" s="1182"/>
      <c r="T548" s="1182"/>
      <c r="U548" s="1182">
        <f ca="1">U306*U547</f>
        <v>33414871.715067312</v>
      </c>
      <c r="V548" s="1182">
        <f ca="1">V306*V547</f>
        <v>44395393.711619578</v>
      </c>
      <c r="W548" s="1182">
        <f ca="1">W306*W547</f>
        <v>36597579.122815266</v>
      </c>
      <c r="X548" s="1182">
        <f ca="1">X306*X547</f>
        <v>30289320.764204282</v>
      </c>
      <c r="Y548" s="1182">
        <f ca="1">Y306*Y547</f>
        <v>27664625.957175639</v>
      </c>
    </row>
    <row r="549" spans="4:25" hidden="1" outlineLevel="1">
      <c r="D549" s="1278" t="s">
        <v>1850</v>
      </c>
      <c r="R549" s="1183">
        <f ca="1">SUM(R548:Y548)</f>
        <v>221418742.94275808</v>
      </c>
      <c r="S549" s="1183"/>
      <c r="T549" s="1183"/>
      <c r="U549" s="1183">
        <f ca="1">SUM(U548:AB548)</f>
        <v>172361791.27088207</v>
      </c>
      <c r="V549" s="1181"/>
      <c r="W549" s="1181"/>
      <c r="X549" s="1181"/>
    </row>
    <row r="550" spans="4:25" hidden="1" outlineLevel="1">
      <c r="D550" s="1278" t="s">
        <v>1851</v>
      </c>
      <c r="R550" s="1183">
        <f ca="1">Y548/(Q544-Q545)</f>
        <v>182337336.95685154</v>
      </c>
      <c r="S550" s="1183"/>
      <c r="T550" s="1183"/>
      <c r="U550" s="1183" t="e">
        <f>AB548/(T544-T545)</f>
        <v>#DIV/0!</v>
      </c>
      <c r="V550" s="1181"/>
      <c r="W550" s="1181"/>
      <c r="X550" s="1181"/>
    </row>
    <row r="551" spans="4:25" hidden="1" outlineLevel="1">
      <c r="D551" s="1278" t="s">
        <v>1852</v>
      </c>
      <c r="R551" s="1183">
        <f ca="1">R550*Y547</f>
        <v>79122243.874023139</v>
      </c>
      <c r="S551" s="1183"/>
      <c r="T551" s="1183"/>
      <c r="U551" s="1183" t="e">
        <f>U550*AB547</f>
        <v>#DIV/0!</v>
      </c>
      <c r="V551" s="1181"/>
      <c r="W551" s="1181"/>
      <c r="X551" s="1181"/>
    </row>
    <row r="552" spans="4:25" hidden="1" outlineLevel="1">
      <c r="D552" s="1278"/>
      <c r="R552" s="1181"/>
      <c r="S552" s="1181"/>
      <c r="T552" s="1181"/>
      <c r="U552" s="1181"/>
      <c r="V552" s="1181"/>
      <c r="W552" s="1181"/>
      <c r="X552" s="1181"/>
    </row>
    <row r="553" spans="4:25" hidden="1" outlineLevel="1">
      <c r="D553" s="1278" t="s">
        <v>1853</v>
      </c>
      <c r="R553" s="1183">
        <f ca="1">R551+R548</f>
        <v>128179195.54589911</v>
      </c>
      <c r="S553" s="1183"/>
      <c r="T553" s="1183"/>
      <c r="U553" s="1183" t="e">
        <f ca="1">U551+U548</f>
        <v>#DIV/0!</v>
      </c>
      <c r="V553" s="1181"/>
      <c r="W553" s="1181"/>
      <c r="X553" s="1181"/>
    </row>
    <row r="554" spans="4:25" hidden="1" outlineLevel="1">
      <c r="D554" s="1278" t="s">
        <v>1854</v>
      </c>
      <c r="R554" s="1184">
        <f>Q340+Q350-Q354</f>
        <v>27716174.19355686</v>
      </c>
      <c r="S554" s="1184"/>
      <c r="T554" s="1184"/>
      <c r="U554" s="1184">
        <f>T340+T350-T354</f>
        <v>0</v>
      </c>
      <c r="V554" s="1181"/>
      <c r="W554" s="1181"/>
      <c r="X554" s="1181"/>
    </row>
    <row r="555" spans="4:25" hidden="1" outlineLevel="1">
      <c r="D555" s="1278" t="s">
        <v>1855</v>
      </c>
      <c r="R555" s="1181">
        <v>0</v>
      </c>
      <c r="S555" s="1181"/>
      <c r="T555" s="1181"/>
      <c r="U555" s="1181">
        <v>0</v>
      </c>
      <c r="V555" s="1181"/>
      <c r="W555" s="1181"/>
      <c r="X555" s="1181"/>
    </row>
    <row r="556" spans="4:25" hidden="1" outlineLevel="1">
      <c r="D556" s="1278" t="s">
        <v>1856</v>
      </c>
      <c r="R556" s="1183">
        <f ca="1">R553-R554</f>
        <v>100463021.35234225</v>
      </c>
      <c r="S556" s="1183"/>
      <c r="T556" s="1183"/>
      <c r="U556" s="1183" t="e">
        <f ca="1">U553-U554</f>
        <v>#DIV/0!</v>
      </c>
      <c r="V556" s="1181"/>
      <c r="W556" s="1181"/>
      <c r="X556" s="1181"/>
    </row>
    <row r="557" spans="4:25" hidden="1" outlineLevel="1">
      <c r="D557" s="1322" t="s">
        <v>1857</v>
      </c>
      <c r="R557" s="1319">
        <f ca="1">ROUND(R556,-3)</f>
        <v>100463000</v>
      </c>
      <c r="S557" s="1319"/>
      <c r="T557" s="1319"/>
      <c r="U557" s="1319" t="e">
        <f ca="1">ROUND(U556,-3)</f>
        <v>#DIV/0!</v>
      </c>
      <c r="V557" s="1181"/>
      <c r="W557" s="1181"/>
      <c r="X557" s="1181"/>
    </row>
    <row r="558" spans="4:25" collapsed="1"/>
  </sheetData>
  <phoneticPr fontId="0" type="noConversion"/>
  <conditionalFormatting sqref="J195 J203">
    <cfRule type="cellIs" dxfId="4" priority="1" stopIfTrue="1" operator="notEqual">
      <formula>1</formula>
    </cfRule>
  </conditionalFormatting>
  <printOptions horizontalCentered="1"/>
  <pageMargins left="0.35433070866141736" right="0.35433070866141736" top="0.62992125984251968" bottom="0.9" header="0.51181102362204722" footer="0.23622047244094491"/>
  <pageSetup paperSize="9" fitToHeight="14" orientation="portrait" r:id="rId1"/>
  <headerFooter alignWithMargins="0"/>
  <rowBreaks count="1" manualBreakCount="1">
    <brk id="57" min="2" max="14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  <pageSetUpPr fitToPage="1"/>
  </sheetPr>
  <dimension ref="A1:BH103"/>
  <sheetViews>
    <sheetView showGridLines="0" topLeftCell="A6" zoomScale="90" zoomScaleNormal="90" zoomScaleSheetLayoutView="85" workbookViewId="0">
      <pane xSplit="4" ySplit="9" topLeftCell="E15" activePane="bottomRight" state="frozen"/>
      <selection activeCell="P17" sqref="P17"/>
      <selection pane="topRight" activeCell="P17" sqref="P17"/>
      <selection pane="bottomLeft" activeCell="P17" sqref="P17"/>
      <selection pane="bottomRight" activeCell="H23" sqref="H23"/>
    </sheetView>
  </sheetViews>
  <sheetFormatPr defaultRowHeight="12.75" outlineLevelRow="1" outlineLevelCol="1"/>
  <cols>
    <col min="1" max="1" width="5.5703125" style="47" customWidth="1"/>
    <col min="2" max="2" width="2.85546875" style="1" customWidth="1"/>
    <col min="3" max="3" width="33.7109375" style="47" customWidth="1"/>
    <col min="4" max="7" width="12.7109375" style="1" customWidth="1"/>
    <col min="8" max="8" width="12.7109375" style="10" hidden="1" customWidth="1" outlineLevel="1"/>
    <col min="9" max="9" width="12.7109375" style="1" hidden="1" customWidth="1" outlineLevel="1"/>
    <col min="10" max="10" width="14.5703125" style="1" hidden="1" customWidth="1" outlineLevel="1"/>
    <col min="11" max="11" width="12.7109375" style="1" hidden="1" customWidth="1" outlineLevel="1"/>
    <col min="12" max="13" width="14.28515625" style="2" hidden="1" customWidth="1" outlineLevel="1"/>
    <col min="14" max="14" width="14.28515625" style="1" hidden="1" customWidth="1" outlineLevel="1" collapsed="1"/>
    <col min="15" max="15" width="14.28515625" style="1" customWidth="1" collapsed="1"/>
    <col min="16" max="25" width="14.28515625" style="1" customWidth="1"/>
    <col min="26" max="60" width="11.7109375" style="1" customWidth="1"/>
    <col min="61" max="16384" width="9.140625" style="1"/>
  </cols>
  <sheetData>
    <row r="1" spans="1:60" ht="15.75" customHeight="1">
      <c r="E1" s="2"/>
      <c r="F1" s="2"/>
      <c r="G1" s="2"/>
      <c r="H1" s="22"/>
      <c r="I1" s="2"/>
      <c r="J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60" ht="15.75" customHeight="1">
      <c r="C2" s="46"/>
      <c r="D2" s="2"/>
      <c r="E2" s="2"/>
      <c r="F2" s="2"/>
      <c r="G2" s="2"/>
      <c r="H2" s="22"/>
      <c r="I2" s="2"/>
      <c r="J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60" ht="27" customHeight="1">
      <c r="C3" s="4" t="s">
        <v>531</v>
      </c>
      <c r="D3" s="5"/>
      <c r="E3" s="5"/>
      <c r="F3" s="5"/>
      <c r="G3" s="3"/>
      <c r="H3" s="3"/>
      <c r="I3" s="415"/>
      <c r="J3" s="415"/>
      <c r="K3" s="6"/>
      <c r="L3" s="6"/>
      <c r="M3" s="6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60" ht="3" customHeight="1">
      <c r="C4" s="23"/>
      <c r="D4" s="23"/>
      <c r="E4" s="23"/>
      <c r="F4" s="23"/>
      <c r="G4" s="23"/>
      <c r="H4" s="23"/>
      <c r="I4" s="23"/>
      <c r="J4" s="23"/>
      <c r="K4" s="23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</row>
    <row r="5" spans="1:60" ht="15.75" customHeight="1">
      <c r="C5" s="3"/>
      <c r="D5" s="3"/>
      <c r="E5" s="3"/>
      <c r="F5" s="3"/>
      <c r="G5" s="3"/>
      <c r="H5" s="3"/>
      <c r="I5" s="7"/>
      <c r="J5" s="7"/>
      <c r="K5" s="7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spans="1:60" ht="15.75" customHeight="1">
      <c r="C6" s="3"/>
      <c r="D6" s="3"/>
      <c r="E6" s="3"/>
      <c r="F6" s="3"/>
      <c r="G6" s="3"/>
      <c r="H6" s="3"/>
      <c r="I6" s="7"/>
      <c r="J6" s="7"/>
      <c r="K6" s="7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spans="1:60" ht="27" customHeight="1">
      <c r="C7" s="4" t="s">
        <v>159</v>
      </c>
      <c r="D7" s="5"/>
      <c r="E7" s="5"/>
      <c r="F7" s="5"/>
      <c r="G7" s="3"/>
      <c r="H7" s="3"/>
      <c r="I7" s="415"/>
      <c r="J7" s="415"/>
      <c r="K7" s="6"/>
      <c r="L7" s="6"/>
      <c r="M7" s="6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60" ht="6" customHeight="1">
      <c r="C8" s="23"/>
      <c r="D8" s="23"/>
      <c r="E8" s="23"/>
      <c r="F8" s="23"/>
      <c r="G8" s="23"/>
      <c r="H8" s="23"/>
      <c r="I8" s="23"/>
      <c r="J8" s="23"/>
      <c r="K8" s="23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</row>
    <row r="9" spans="1:60" ht="15.75" customHeight="1">
      <c r="C9" s="3"/>
      <c r="D9" s="3"/>
      <c r="E9" s="3"/>
      <c r="F9" s="3"/>
      <c r="G9" s="3"/>
      <c r="H9" s="3"/>
      <c r="I9" s="7"/>
      <c r="J9" s="7"/>
      <c r="K9" s="7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60">
      <c r="C10" s="32" t="s">
        <v>160</v>
      </c>
      <c r="D10" s="28"/>
      <c r="E10" s="28"/>
      <c r="F10" s="28"/>
      <c r="G10" s="28"/>
      <c r="H10" s="30"/>
      <c r="I10" s="30"/>
      <c r="J10" s="30"/>
      <c r="K10" s="36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</row>
    <row r="11" spans="1:60">
      <c r="B11" s="30"/>
      <c r="C11" s="416"/>
      <c r="D11" s="8"/>
      <c r="E11" s="8"/>
      <c r="F11" s="8"/>
      <c r="G11" s="416"/>
      <c r="H11" s="416"/>
      <c r="I11" s="39">
        <v>0</v>
      </c>
      <c r="J11" s="39">
        <v>1</v>
      </c>
      <c r="K11" s="39">
        <v>2</v>
      </c>
      <c r="L11" s="73">
        <v>3</v>
      </c>
      <c r="M11" s="73">
        <f t="shared" ref="M11:W11" si="0">L11+1</f>
        <v>4</v>
      </c>
      <c r="N11" s="73">
        <f t="shared" si="0"/>
        <v>5</v>
      </c>
      <c r="O11" s="73">
        <f t="shared" si="0"/>
        <v>6</v>
      </c>
      <c r="P11" s="73">
        <f t="shared" si="0"/>
        <v>7</v>
      </c>
      <c r="Q11" s="73">
        <f t="shared" si="0"/>
        <v>8</v>
      </c>
      <c r="R11" s="73" t="s">
        <v>2084</v>
      </c>
      <c r="S11" s="73" t="s">
        <v>2085</v>
      </c>
      <c r="T11" s="73" t="s">
        <v>2086</v>
      </c>
      <c r="U11" s="73">
        <f>Q11+1</f>
        <v>9</v>
      </c>
      <c r="V11" s="73">
        <f t="shared" si="0"/>
        <v>10</v>
      </c>
      <c r="W11" s="73">
        <f t="shared" si="0"/>
        <v>11</v>
      </c>
      <c r="X11" s="73">
        <f>W11+1</f>
        <v>12</v>
      </c>
      <c r="Y11" s="73">
        <f>X11+1</f>
        <v>13</v>
      </c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>
      <c r="B12" s="30"/>
      <c r="C12" s="417"/>
      <c r="D12" s="35"/>
      <c r="E12" s="35"/>
      <c r="F12" s="35"/>
      <c r="G12" s="417"/>
      <c r="H12" s="417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>
      <c r="B13" s="30"/>
      <c r="C13" s="37"/>
      <c r="D13" s="14"/>
      <c r="E13" s="31"/>
      <c r="F13" s="31"/>
      <c r="G13" s="37"/>
      <c r="H13" s="37"/>
      <c r="I13" s="9" t="s">
        <v>499</v>
      </c>
      <c r="J13" s="9" t="s">
        <v>499</v>
      </c>
      <c r="K13" s="9" t="s">
        <v>499</v>
      </c>
      <c r="L13" s="9" t="s">
        <v>499</v>
      </c>
      <c r="M13" s="9" t="s">
        <v>499</v>
      </c>
      <c r="N13" s="9" t="s">
        <v>499</v>
      </c>
      <c r="O13" s="9" t="str">
        <f t="shared" ref="O13:W13" si="1">N13</f>
        <v>($)</v>
      </c>
      <c r="P13" s="9" t="str">
        <f t="shared" si="1"/>
        <v>($)</v>
      </c>
      <c r="Q13" s="9" t="str">
        <f t="shared" si="1"/>
        <v>($)</v>
      </c>
      <c r="R13" s="9"/>
      <c r="S13" s="9"/>
      <c r="T13" s="9">
        <f t="shared" si="1"/>
        <v>0</v>
      </c>
      <c r="U13" s="9" t="str">
        <f>Q13</f>
        <v>($)</v>
      </c>
      <c r="V13" s="9" t="str">
        <f t="shared" si="1"/>
        <v>($)</v>
      </c>
      <c r="W13" s="9" t="str">
        <f t="shared" si="1"/>
        <v>($)</v>
      </c>
      <c r="X13" s="9" t="str">
        <f>W13</f>
        <v>($)</v>
      </c>
      <c r="Y13" s="9" t="str">
        <f>X13</f>
        <v>($)</v>
      </c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ht="7.5" customHeight="1">
      <c r="B14" s="30"/>
      <c r="C14" s="25"/>
      <c r="D14" s="11"/>
      <c r="E14" s="19"/>
      <c r="F14" s="19"/>
      <c r="G14" s="25"/>
      <c r="H14" s="51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s="21" customFormat="1" ht="15.75" customHeight="1">
      <c r="A15" s="47"/>
      <c r="B15" s="56"/>
      <c r="C15" s="42" t="s">
        <v>661</v>
      </c>
      <c r="D15" s="43"/>
      <c r="E15" s="43"/>
      <c r="F15" s="43"/>
      <c r="G15" s="43"/>
      <c r="H15" s="27"/>
      <c r="I15" s="27">
        <f t="shared" ref="I15:N15" si="2">I29+I40+I51+I63</f>
        <v>97700000</v>
      </c>
      <c r="J15" s="27">
        <f t="shared" si="2"/>
        <v>126500000.01124984</v>
      </c>
      <c r="K15" s="27">
        <f t="shared" si="2"/>
        <v>252199005.51132819</v>
      </c>
      <c r="L15" s="27">
        <f>L29+L40+L51+L63</f>
        <v>150351719.45941171</v>
      </c>
      <c r="M15" s="27">
        <f>M29+M40+M51+M63</f>
        <v>70126283.133947834</v>
      </c>
      <c r="N15" s="27">
        <f t="shared" si="2"/>
        <v>80645225.604039997</v>
      </c>
      <c r="O15" s="27">
        <f t="shared" ref="O15:W15" si="3">O29+O40+O51+O63</f>
        <v>90548663.566326961</v>
      </c>
      <c r="P15" s="27">
        <f t="shared" si="3"/>
        <v>102428864.8000495</v>
      </c>
      <c r="Q15" s="27">
        <f t="shared" si="3"/>
        <v>116091096.21883039</v>
      </c>
      <c r="R15" s="27"/>
      <c r="S15" s="27"/>
      <c r="T15" s="27">
        <f>T29+T40+T51+T63</f>
        <v>116091096.21883039</v>
      </c>
      <c r="U15" s="27">
        <f t="shared" si="3"/>
        <v>131802662.3504284</v>
      </c>
      <c r="V15" s="27">
        <f t="shared" si="3"/>
        <v>149870963.40176615</v>
      </c>
      <c r="W15" s="27">
        <f t="shared" si="3"/>
        <v>170649509.61080456</v>
      </c>
      <c r="X15" s="27">
        <f>X29+X40+X51+X63</f>
        <v>194544837.75119871</v>
      </c>
      <c r="Y15" s="27">
        <f>Y29+Y40+Y51+Y63</f>
        <v>222024465.11265197</v>
      </c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</row>
    <row r="16" spans="1:60" ht="15.75" customHeight="1">
      <c r="B16" s="30"/>
      <c r="C16" s="41" t="s">
        <v>161</v>
      </c>
      <c r="D16" s="43"/>
      <c r="E16" s="43"/>
      <c r="F16" s="43"/>
      <c r="G16" s="43"/>
      <c r="H16" s="27"/>
      <c r="I16" s="27">
        <f t="shared" ref="I16:N16" si="4">I25+I36+I47</f>
        <v>109553</v>
      </c>
      <c r="J16" s="27">
        <f>J25+J36+J47</f>
        <v>82029</v>
      </c>
      <c r="K16" s="27">
        <f>K25+K36+K47</f>
        <v>84410.8</v>
      </c>
      <c r="L16" s="27">
        <f>L25+L36+L47</f>
        <v>92814</v>
      </c>
      <c r="M16" s="27">
        <f t="shared" si="4"/>
        <v>88543</v>
      </c>
      <c r="N16" s="27">
        <f t="shared" si="4"/>
        <v>88543</v>
      </c>
      <c r="O16" s="27">
        <f t="shared" ref="O16:W16" si="5">O25+O36+O47</f>
        <v>88419</v>
      </c>
      <c r="P16" s="27">
        <f t="shared" si="5"/>
        <v>88419</v>
      </c>
      <c r="Q16" s="27">
        <f t="shared" si="5"/>
        <v>88419</v>
      </c>
      <c r="R16" s="27"/>
      <c r="S16" s="27"/>
      <c r="T16" s="27">
        <f>T25+T36+T47</f>
        <v>88419</v>
      </c>
      <c r="U16" s="27">
        <f t="shared" si="5"/>
        <v>88419</v>
      </c>
      <c r="V16" s="27">
        <f t="shared" si="5"/>
        <v>88419</v>
      </c>
      <c r="W16" s="27">
        <f t="shared" si="5"/>
        <v>88419</v>
      </c>
      <c r="X16" s="27">
        <f>X25+X36+X47</f>
        <v>88419</v>
      </c>
      <c r="Y16" s="27">
        <f>Y25+Y36+Y47</f>
        <v>88419</v>
      </c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ht="15.75" customHeight="1">
      <c r="B17" s="30"/>
      <c r="C17" s="41" t="s">
        <v>162</v>
      </c>
      <c r="D17" s="43"/>
      <c r="E17" s="43"/>
      <c r="F17" s="43"/>
      <c r="G17" s="43"/>
      <c r="H17" s="27"/>
      <c r="I17" s="27">
        <f t="shared" ref="I17:Q17" si="6">I59</f>
        <v>0</v>
      </c>
      <c r="J17" s="27">
        <f t="shared" si="6"/>
        <v>0</v>
      </c>
      <c r="K17" s="27">
        <f t="shared" si="6"/>
        <v>336</v>
      </c>
      <c r="L17" s="27">
        <f t="shared" si="6"/>
        <v>336</v>
      </c>
      <c r="M17" s="27">
        <f t="shared" si="6"/>
        <v>336</v>
      </c>
      <c r="N17" s="27">
        <f t="shared" si="6"/>
        <v>336</v>
      </c>
      <c r="O17" s="27">
        <f t="shared" si="6"/>
        <v>336</v>
      </c>
      <c r="P17" s="27">
        <f t="shared" si="6"/>
        <v>336</v>
      </c>
      <c r="Q17" s="27">
        <f t="shared" si="6"/>
        <v>336</v>
      </c>
      <c r="R17" s="27"/>
      <c r="S17" s="27"/>
      <c r="T17" s="27">
        <f t="shared" ref="T17:Y17" si="7">T59</f>
        <v>336</v>
      </c>
      <c r="U17" s="27">
        <f t="shared" si="7"/>
        <v>336</v>
      </c>
      <c r="V17" s="27">
        <f t="shared" si="7"/>
        <v>336</v>
      </c>
      <c r="W17" s="27">
        <f t="shared" si="7"/>
        <v>336</v>
      </c>
      <c r="X17" s="27">
        <f t="shared" si="7"/>
        <v>336</v>
      </c>
      <c r="Y17" s="27">
        <f t="shared" si="7"/>
        <v>336</v>
      </c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ht="15.75" customHeight="1">
      <c r="B18" s="30"/>
      <c r="C18" s="50" t="s">
        <v>163</v>
      </c>
      <c r="D18" s="43"/>
      <c r="E18" s="43"/>
      <c r="F18" s="43"/>
      <c r="G18" s="43"/>
      <c r="H18" s="27"/>
      <c r="I18" s="27">
        <f>I31+I42+I53+I65</f>
        <v>1954000</v>
      </c>
      <c r="J18" s="27">
        <f>J31+J42+J53+J65</f>
        <v>5313000.0004724935</v>
      </c>
      <c r="K18" s="27">
        <f>K31+K42+K53+K65</f>
        <v>6052776.1322718766</v>
      </c>
      <c r="L18" s="27">
        <v>9100436</v>
      </c>
      <c r="M18" s="27">
        <v>6560510</v>
      </c>
      <c r="N18" s="27">
        <v>8200960</v>
      </c>
      <c r="O18" s="27">
        <v>7954765</v>
      </c>
      <c r="P18" s="27">
        <v>8379163</v>
      </c>
      <c r="Q18" s="27">
        <f t="shared" ref="Q18:Y18" si="8">Q31+Q42+Q53+Q65</f>
        <v>2321821.9243766079</v>
      </c>
      <c r="R18" s="27">
        <f>R31+R42+R53+R65</f>
        <v>1160910.9621883039</v>
      </c>
      <c r="S18" s="27">
        <f t="shared" si="8"/>
        <v>1160910.9621883039</v>
      </c>
      <c r="T18" s="27">
        <f>T31+T42+T53+T65</f>
        <v>2321821.9243766079</v>
      </c>
      <c r="U18" s="27">
        <f t="shared" si="8"/>
        <v>2636053.2470085681</v>
      </c>
      <c r="V18" s="27">
        <f t="shared" si="8"/>
        <v>2997419.2680353229</v>
      </c>
      <c r="W18" s="27">
        <f t="shared" si="8"/>
        <v>3412990.1922160913</v>
      </c>
      <c r="X18" s="27">
        <f t="shared" si="8"/>
        <v>3890896.7550239745</v>
      </c>
      <c r="Y18" s="27">
        <f t="shared" si="8"/>
        <v>4440489.3022530405</v>
      </c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ht="15.75" customHeight="1">
      <c r="B19" s="30"/>
      <c r="C19" s="757" t="s">
        <v>717</v>
      </c>
      <c r="D19" s="43"/>
      <c r="E19" s="43"/>
      <c r="F19" s="43"/>
      <c r="G19" s="43"/>
      <c r="H19" s="27"/>
      <c r="I19" s="27"/>
      <c r="J19" s="27"/>
      <c r="K19" s="27"/>
      <c r="L19" s="27"/>
      <c r="M19" s="27"/>
      <c r="N19" s="27"/>
      <c r="O19" s="27">
        <f>-6000000</f>
        <v>-6000000</v>
      </c>
      <c r="P19" s="398">
        <v>0</v>
      </c>
      <c r="Q19" s="27">
        <v>109000000</v>
      </c>
      <c r="R19" s="27">
        <v>23600000</v>
      </c>
      <c r="S19" s="27">
        <f>T19-R19</f>
        <v>71400000</v>
      </c>
      <c r="T19" s="27">
        <v>95000000</v>
      </c>
      <c r="U19" s="27">
        <f>155000000-T19</f>
        <v>60000000</v>
      </c>
      <c r="V19" s="27">
        <v>30000000</v>
      </c>
      <c r="W19" s="27"/>
      <c r="X19" s="27"/>
      <c r="Y19" s="27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ht="15.75" hidden="1" customHeight="1" outlineLevel="1">
      <c r="B20" s="30"/>
      <c r="C20" s="50" t="s">
        <v>164</v>
      </c>
      <c r="D20" s="43"/>
      <c r="E20" s="43"/>
      <c r="F20" s="43"/>
      <c r="G20" s="43"/>
      <c r="H20" s="27"/>
      <c r="I20" s="27">
        <f>I33+I44+I55+I66</f>
        <v>0</v>
      </c>
      <c r="J20" s="27">
        <v>28800000</v>
      </c>
      <c r="K20" s="27">
        <f t="shared" ref="K20:Q20" si="9">K33+K44+K55+K66</f>
        <v>64510350</v>
      </c>
      <c r="L20" s="27">
        <f t="shared" si="9"/>
        <v>-47104093</v>
      </c>
      <c r="M20" s="27">
        <f t="shared" si="9"/>
        <v>0</v>
      </c>
      <c r="N20" s="27">
        <f t="shared" si="9"/>
        <v>0</v>
      </c>
      <c r="O20" s="27">
        <f t="shared" si="9"/>
        <v>0</v>
      </c>
      <c r="P20" s="27">
        <v>3771719</v>
      </c>
      <c r="Q20" s="27">
        <f t="shared" si="9"/>
        <v>0</v>
      </c>
      <c r="R20" s="27"/>
      <c r="S20" s="27"/>
      <c r="T20" s="27">
        <f t="shared" ref="T20:Y20" si="10">T33+T44+T55+T66</f>
        <v>0</v>
      </c>
      <c r="U20" s="27">
        <f t="shared" si="10"/>
        <v>0</v>
      </c>
      <c r="V20" s="27">
        <f t="shared" si="10"/>
        <v>0</v>
      </c>
      <c r="W20" s="27">
        <f t="shared" si="10"/>
        <v>0</v>
      </c>
      <c r="X20" s="27">
        <f t="shared" si="10"/>
        <v>0</v>
      </c>
      <c r="Y20" s="27">
        <f t="shared" si="10"/>
        <v>0</v>
      </c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ht="15.75" hidden="1" customHeight="1" outlineLevel="1">
      <c r="B21" s="30"/>
      <c r="C21" s="50" t="s">
        <v>2016</v>
      </c>
      <c r="D21" s="43"/>
      <c r="E21" s="43"/>
      <c r="F21" s="43"/>
      <c r="G21" s="43"/>
      <c r="H21" s="27"/>
      <c r="I21" s="27"/>
      <c r="J21" s="27"/>
      <c r="K21" s="27"/>
      <c r="L21" s="27"/>
      <c r="M21" s="27"/>
      <c r="N21" s="27"/>
      <c r="O21" s="27"/>
      <c r="P21" s="1564">
        <f>-5430244</f>
        <v>-5430244</v>
      </c>
      <c r="Q21" s="27"/>
      <c r="R21" s="27"/>
      <c r="S21" s="27"/>
      <c r="T21" s="27"/>
      <c r="U21" s="27"/>
      <c r="V21" s="27"/>
      <c r="W21" s="27"/>
      <c r="X21" s="27"/>
      <c r="Y21" s="27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ht="15.75" hidden="1" customHeight="1" outlineLevel="1">
      <c r="B22" s="30"/>
      <c r="C22" s="50" t="s">
        <v>189</v>
      </c>
      <c r="D22" s="43"/>
      <c r="E22" s="43"/>
      <c r="F22" s="43"/>
      <c r="G22" s="43"/>
      <c r="H22" s="27"/>
      <c r="I22" s="27"/>
      <c r="J22" s="27"/>
      <c r="K22" s="27"/>
      <c r="L22" s="27"/>
      <c r="M22" s="27"/>
      <c r="N22" s="27"/>
      <c r="O22" s="27"/>
      <c r="P22" s="27">
        <f>-800950</f>
        <v>-800950</v>
      </c>
      <c r="Q22" s="27"/>
      <c r="R22" s="27"/>
      <c r="S22" s="27"/>
      <c r="T22" s="27"/>
      <c r="U22" s="27"/>
      <c r="V22" s="27"/>
      <c r="W22" s="27"/>
      <c r="X22" s="27"/>
      <c r="Y22" s="27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ht="15" customHeight="1" collapsed="1">
      <c r="B23" s="30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s="2" customFormat="1" ht="15.75" customHeight="1">
      <c r="A24" s="47"/>
      <c r="B24" s="30"/>
      <c r="C24" s="42" t="s">
        <v>165</v>
      </c>
      <c r="D24" s="43"/>
      <c r="E24" s="43"/>
      <c r="F24" s="43"/>
      <c r="G24" s="43"/>
      <c r="H24" s="27"/>
      <c r="I24" s="27"/>
      <c r="J24" s="27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</row>
    <row r="25" spans="1:60" s="412" customFormat="1" ht="13.5" hidden="1" customHeight="1" outlineLevel="1">
      <c r="A25" s="409"/>
      <c r="B25" s="410"/>
      <c r="C25" s="418" t="s">
        <v>527</v>
      </c>
      <c r="D25" s="43"/>
      <c r="E25" s="43"/>
      <c r="F25" s="43"/>
      <c r="G25" s="43"/>
      <c r="H25" s="27"/>
      <c r="I25" s="239">
        <v>3105</v>
      </c>
      <c r="J25" s="27">
        <f>908+2197</f>
        <v>3105</v>
      </c>
      <c r="K25" s="27">
        <v>3105</v>
      </c>
      <c r="L25" s="27">
        <f>908</f>
        <v>908</v>
      </c>
      <c r="M25" s="27">
        <v>1574</v>
      </c>
      <c r="N25" s="27">
        <v>1574</v>
      </c>
      <c r="O25" s="27">
        <v>1450</v>
      </c>
      <c r="P25" s="27">
        <v>1450</v>
      </c>
      <c r="Q25" s="27">
        <v>1450</v>
      </c>
      <c r="R25" s="27"/>
      <c r="S25" s="27"/>
      <c r="T25" s="27">
        <v>1450</v>
      </c>
      <c r="U25" s="27">
        <v>1450</v>
      </c>
      <c r="V25" s="27">
        <v>1450</v>
      </c>
      <c r="W25" s="27">
        <v>1450</v>
      </c>
      <c r="X25" s="27">
        <v>1450</v>
      </c>
      <c r="Y25" s="27">
        <v>1450</v>
      </c>
      <c r="Z25" s="411"/>
      <c r="AA25" s="411"/>
      <c r="AB25" s="411"/>
      <c r="AC25" s="411"/>
      <c r="AD25" s="411"/>
      <c r="AE25" s="411"/>
      <c r="AF25" s="411"/>
      <c r="AG25" s="411"/>
      <c r="AH25" s="411"/>
      <c r="AI25" s="411"/>
      <c r="AJ25" s="411"/>
      <c r="AK25" s="411"/>
      <c r="AL25" s="411"/>
      <c r="AM25" s="411"/>
      <c r="AN25" s="411"/>
      <c r="AO25" s="411"/>
      <c r="AP25" s="411"/>
      <c r="AQ25" s="411"/>
      <c r="AR25" s="411"/>
      <c r="AS25" s="411"/>
      <c r="AT25" s="411"/>
      <c r="AU25" s="411"/>
      <c r="AV25" s="411"/>
      <c r="AW25" s="411"/>
      <c r="AX25" s="411"/>
      <c r="AY25" s="411"/>
      <c r="AZ25" s="411"/>
      <c r="BA25" s="411"/>
      <c r="BB25" s="411"/>
      <c r="BC25" s="411"/>
      <c r="BD25" s="411"/>
      <c r="BE25" s="411"/>
      <c r="BF25" s="411"/>
      <c r="BG25" s="411"/>
      <c r="BH25" s="411"/>
    </row>
    <row r="26" spans="1:60" s="61" customFormat="1" ht="13.5" hidden="1" customHeight="1" outlineLevel="1">
      <c r="A26" s="47"/>
      <c r="B26" s="52"/>
      <c r="C26" s="57" t="s">
        <v>529</v>
      </c>
      <c r="D26" s="44"/>
      <c r="E26" s="44"/>
      <c r="F26" s="44"/>
      <c r="G26" s="44"/>
      <c r="H26" s="27"/>
      <c r="I26" s="62"/>
      <c r="J26" s="62">
        <f>J25/I25-1</f>
        <v>0</v>
      </c>
      <c r="K26" s="62">
        <f>K25/J25-1</f>
        <v>0</v>
      </c>
      <c r="L26" s="62">
        <v>-0.7</v>
      </c>
      <c r="M26" s="62">
        <f t="shared" ref="M26:W26" si="11">M25/L25-1</f>
        <v>0.73348017621145378</v>
      </c>
      <c r="N26" s="62">
        <f t="shared" si="11"/>
        <v>0</v>
      </c>
      <c r="O26" s="62">
        <f t="shared" si="11"/>
        <v>-7.8780177890724223E-2</v>
      </c>
      <c r="P26" s="62">
        <f t="shared" si="11"/>
        <v>0</v>
      </c>
      <c r="Q26" s="62">
        <f t="shared" si="11"/>
        <v>0</v>
      </c>
      <c r="R26" s="62"/>
      <c r="S26" s="62"/>
      <c r="T26" s="62"/>
      <c r="U26" s="62">
        <f>U25/Q25-1</f>
        <v>0</v>
      </c>
      <c r="V26" s="62">
        <f t="shared" si="11"/>
        <v>0</v>
      </c>
      <c r="W26" s="62">
        <f t="shared" si="11"/>
        <v>0</v>
      </c>
      <c r="X26" s="62">
        <f>X25/W25-1</f>
        <v>0</v>
      </c>
      <c r="Y26" s="62">
        <f>Y25/X25-1</f>
        <v>0</v>
      </c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</row>
    <row r="27" spans="1:60" s="412" customFormat="1" ht="13.5" hidden="1" customHeight="1" outlineLevel="1">
      <c r="A27" s="409"/>
      <c r="B27" s="410"/>
      <c r="C27" s="418" t="s">
        <v>530</v>
      </c>
      <c r="D27" s="43"/>
      <c r="E27" s="43"/>
      <c r="F27" s="43"/>
      <c r="G27" s="43"/>
      <c r="H27" s="27"/>
      <c r="I27" s="239">
        <f>I29/I25</f>
        <v>5636.0708534621581</v>
      </c>
      <c r="J27" s="27">
        <v>7890.4991984702001</v>
      </c>
      <c r="K27" s="27">
        <v>10885.668276972599</v>
      </c>
      <c r="L27" s="27">
        <f>(5440000)/908</f>
        <v>5991.1894273127755</v>
      </c>
      <c r="M27" s="27">
        <f>L27/2</f>
        <v>2995.5947136563877</v>
      </c>
      <c r="N27" s="27">
        <f t="shared" ref="N27:W27" si="12">M27*(1+N28)</f>
        <v>3444.9339207048456</v>
      </c>
      <c r="O27" s="27">
        <f t="shared" si="12"/>
        <v>3961.6740088105721</v>
      </c>
      <c r="P27" s="27">
        <f t="shared" si="12"/>
        <v>4555.9251101321579</v>
      </c>
      <c r="Q27" s="27">
        <f t="shared" si="12"/>
        <v>5239.3138766519814</v>
      </c>
      <c r="R27" s="27"/>
      <c r="S27" s="27"/>
      <c r="T27" s="27">
        <f>Q27</f>
        <v>5239.3138766519814</v>
      </c>
      <c r="U27" s="27">
        <f>Q27*(1+U28)</f>
        <v>6025.210958149778</v>
      </c>
      <c r="V27" s="27">
        <f t="shared" si="12"/>
        <v>6928.9926018722444</v>
      </c>
      <c r="W27" s="27">
        <f t="shared" si="12"/>
        <v>7968.3414921530803</v>
      </c>
      <c r="X27" s="27">
        <f>W27*(1+X28)</f>
        <v>9163.5927159760413</v>
      </c>
      <c r="Y27" s="27">
        <f>X27*(1+Y28)</f>
        <v>10538.131623372446</v>
      </c>
      <c r="Z27" s="411"/>
      <c r="AA27" s="411"/>
      <c r="AB27" s="411"/>
      <c r="AC27" s="411"/>
      <c r="AD27" s="411"/>
      <c r="AE27" s="411"/>
      <c r="AF27" s="411"/>
      <c r="AG27" s="411"/>
      <c r="AH27" s="411"/>
      <c r="AI27" s="411"/>
      <c r="AJ27" s="411"/>
      <c r="AK27" s="411"/>
      <c r="AL27" s="411"/>
      <c r="AM27" s="411"/>
      <c r="AN27" s="411"/>
      <c r="AO27" s="411"/>
      <c r="AP27" s="411"/>
      <c r="AQ27" s="411"/>
      <c r="AR27" s="411"/>
      <c r="AS27" s="411"/>
      <c r="AT27" s="411"/>
      <c r="AU27" s="411"/>
      <c r="AV27" s="411"/>
      <c r="AW27" s="411"/>
      <c r="AX27" s="411"/>
      <c r="AY27" s="411"/>
      <c r="AZ27" s="411"/>
      <c r="BA27" s="411"/>
      <c r="BB27" s="411"/>
      <c r="BC27" s="411"/>
      <c r="BD27" s="411"/>
      <c r="BE27" s="411"/>
      <c r="BF27" s="411"/>
      <c r="BG27" s="411"/>
      <c r="BH27" s="411"/>
    </row>
    <row r="28" spans="1:60" s="2" customFormat="1" ht="13.5" hidden="1" customHeight="1" outlineLevel="1">
      <c r="A28" s="47"/>
      <c r="B28" s="30"/>
      <c r="C28" s="57" t="s">
        <v>529</v>
      </c>
      <c r="D28" s="44"/>
      <c r="E28" s="44"/>
      <c r="F28" s="44"/>
      <c r="G28" s="44"/>
      <c r="H28" s="27"/>
      <c r="I28" s="62"/>
      <c r="J28" s="62">
        <f>J29/I29-1</f>
        <v>0.40000000064285546</v>
      </c>
      <c r="K28" s="17">
        <f>K29/J29-1</f>
        <v>0.37959183610120606</v>
      </c>
      <c r="L28" s="17">
        <f>L29/K29-1</f>
        <v>-0.83905325443786949</v>
      </c>
      <c r="M28" s="17">
        <v>0.15</v>
      </c>
      <c r="N28" s="17">
        <f t="shared" ref="N28:W28" si="13">M28</f>
        <v>0.15</v>
      </c>
      <c r="O28" s="17">
        <f t="shared" si="13"/>
        <v>0.15</v>
      </c>
      <c r="P28" s="17">
        <f t="shared" si="13"/>
        <v>0.15</v>
      </c>
      <c r="Q28" s="17">
        <f t="shared" si="13"/>
        <v>0.15</v>
      </c>
      <c r="R28" s="17"/>
      <c r="S28" s="17"/>
      <c r="T28" s="17">
        <f>Q28</f>
        <v>0.15</v>
      </c>
      <c r="U28" s="17">
        <f>Q28</f>
        <v>0.15</v>
      </c>
      <c r="V28" s="17">
        <f t="shared" si="13"/>
        <v>0.15</v>
      </c>
      <c r="W28" s="17">
        <f t="shared" si="13"/>
        <v>0.15</v>
      </c>
      <c r="X28" s="17">
        <f>W28</f>
        <v>0.15</v>
      </c>
      <c r="Y28" s="17">
        <f>X28</f>
        <v>0.15</v>
      </c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</row>
    <row r="29" spans="1:60" s="2" customFormat="1" ht="15.75" customHeight="1" collapsed="1">
      <c r="A29" s="47"/>
      <c r="B29" s="30"/>
      <c r="C29" s="50" t="s">
        <v>330</v>
      </c>
      <c r="D29" s="44"/>
      <c r="E29" s="44"/>
      <c r="F29" s="44"/>
      <c r="G29" s="44"/>
      <c r="H29" s="27"/>
      <c r="I29" s="27">
        <v>17500000</v>
      </c>
      <c r="J29" s="27">
        <f t="shared" ref="J29:Q29" si="14">J25*J27</f>
        <v>24500000.011249971</v>
      </c>
      <c r="K29" s="27">
        <f>K25*K27</f>
        <v>33799999.999999918</v>
      </c>
      <c r="L29" s="27">
        <f>L25*L27</f>
        <v>5440000</v>
      </c>
      <c r="M29" s="27">
        <f>M25*M27</f>
        <v>4715066.0792951547</v>
      </c>
      <c r="N29" s="27">
        <f t="shared" si="14"/>
        <v>5422325.9911894267</v>
      </c>
      <c r="O29" s="27">
        <f t="shared" si="14"/>
        <v>5744427.3127753297</v>
      </c>
      <c r="P29" s="27">
        <f t="shared" si="14"/>
        <v>6606091.409691629</v>
      </c>
      <c r="Q29" s="27">
        <f t="shared" si="14"/>
        <v>7597005.1211453732</v>
      </c>
      <c r="R29" s="27"/>
      <c r="S29" s="27"/>
      <c r="T29" s="27">
        <f t="shared" ref="T29:Y29" si="15">T25*T27</f>
        <v>7597005.1211453732</v>
      </c>
      <c r="U29" s="27">
        <f t="shared" si="15"/>
        <v>8736555.8893171772</v>
      </c>
      <c r="V29" s="27">
        <f t="shared" si="15"/>
        <v>10047039.272714755</v>
      </c>
      <c r="W29" s="27">
        <f t="shared" si="15"/>
        <v>11554095.163621966</v>
      </c>
      <c r="X29" s="27">
        <f t="shared" si="15"/>
        <v>13287209.43816526</v>
      </c>
      <c r="Y29" s="27">
        <f t="shared" si="15"/>
        <v>15280290.853890046</v>
      </c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</row>
    <row r="30" spans="1:60" s="66" customFormat="1" ht="15.75" hidden="1" customHeight="1" outlineLevel="1">
      <c r="A30" s="63"/>
      <c r="B30" s="26"/>
      <c r="C30" s="64" t="s">
        <v>166</v>
      </c>
      <c r="D30" s="62"/>
      <c r="E30" s="62"/>
      <c r="F30" s="62"/>
      <c r="G30" s="62"/>
      <c r="H30" s="62"/>
      <c r="I30" s="62">
        <v>0.02</v>
      </c>
      <c r="J30" s="62">
        <v>4.2000000000000003E-2</v>
      </c>
      <c r="K30" s="62">
        <v>2.4E-2</v>
      </c>
      <c r="L30" s="62">
        <f>(117681)/L29</f>
        <v>2.1632536764705883E-2</v>
      </c>
      <c r="M30" s="62">
        <v>0.02</v>
      </c>
      <c r="N30" s="62">
        <v>0.02</v>
      </c>
      <c r="O30" s="62">
        <v>0.02</v>
      </c>
      <c r="P30" s="62">
        <v>0.02</v>
      </c>
      <c r="Q30" s="62">
        <v>0.02</v>
      </c>
      <c r="R30" s="62"/>
      <c r="S30" s="62"/>
      <c r="T30" s="62">
        <v>0.02</v>
      </c>
      <c r="U30" s="62">
        <v>0.02</v>
      </c>
      <c r="V30" s="62">
        <v>0.02</v>
      </c>
      <c r="W30" s="62">
        <v>0.02</v>
      </c>
      <c r="X30" s="62">
        <v>0.02</v>
      </c>
      <c r="Y30" s="62">
        <v>0.02</v>
      </c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</row>
    <row r="31" spans="1:60" s="2" customFormat="1" ht="18" customHeight="1" collapsed="1">
      <c r="A31" s="47"/>
      <c r="B31" s="30"/>
      <c r="C31" s="64" t="s">
        <v>167</v>
      </c>
      <c r="D31" s="44"/>
      <c r="E31" s="44"/>
      <c r="F31" s="44"/>
      <c r="G31" s="44"/>
      <c r="H31" s="62"/>
      <c r="I31" s="27">
        <f t="shared" ref="I31:N31" si="16">I29*I30</f>
        <v>350000</v>
      </c>
      <c r="J31" s="27">
        <f t="shared" si="16"/>
        <v>1029000.0004724988</v>
      </c>
      <c r="K31" s="27">
        <f t="shared" si="16"/>
        <v>811199.99999999802</v>
      </c>
      <c r="L31" s="27">
        <f>L29*L30</f>
        <v>117681</v>
      </c>
      <c r="M31" s="27">
        <f>M29*M30</f>
        <v>94301.32158590309</v>
      </c>
      <c r="N31" s="27">
        <f t="shared" si="16"/>
        <v>108446.51982378853</v>
      </c>
      <c r="O31" s="27">
        <f t="shared" ref="O31:W31" si="17">O29*O30</f>
        <v>114888.54625550659</v>
      </c>
      <c r="P31" s="27">
        <f t="shared" si="17"/>
        <v>132121.8281938326</v>
      </c>
      <c r="Q31" s="27">
        <f t="shared" si="17"/>
        <v>151940.10242290745</v>
      </c>
      <c r="R31" s="27">
        <f>Q31/2</f>
        <v>75970.051211453727</v>
      </c>
      <c r="S31" s="27">
        <f>R31</f>
        <v>75970.051211453727</v>
      </c>
      <c r="T31" s="27">
        <f>T29*T30</f>
        <v>151940.10242290745</v>
      </c>
      <c r="U31" s="27">
        <f t="shared" si="17"/>
        <v>174731.11778634356</v>
      </c>
      <c r="V31" s="27">
        <f t="shared" si="17"/>
        <v>200940.78545429511</v>
      </c>
      <c r="W31" s="27">
        <f t="shared" si="17"/>
        <v>231081.90327243932</v>
      </c>
      <c r="X31" s="27">
        <f>X29*X30</f>
        <v>265744.1887633052</v>
      </c>
      <c r="Y31" s="27">
        <f>Y29*Y30</f>
        <v>305605.81707780092</v>
      </c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</row>
    <row r="32" spans="1:60" s="412" customFormat="1">
      <c r="A32" s="409"/>
      <c r="B32" s="410"/>
      <c r="C32" s="50" t="s">
        <v>323</v>
      </c>
      <c r="D32" s="44"/>
      <c r="E32" s="44"/>
      <c r="F32" s="44"/>
      <c r="G32" s="44"/>
      <c r="H32" s="62"/>
      <c r="I32" s="27"/>
      <c r="J32" s="27"/>
      <c r="K32" s="27"/>
      <c r="L32" s="27">
        <f>-21863645</f>
        <v>-21863645</v>
      </c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411"/>
      <c r="AA32" s="411"/>
      <c r="AB32" s="411"/>
      <c r="AC32" s="411"/>
      <c r="AD32" s="411"/>
      <c r="AE32" s="411"/>
      <c r="AF32" s="411"/>
      <c r="AG32" s="411"/>
      <c r="AH32" s="411"/>
      <c r="AI32" s="411"/>
      <c r="AJ32" s="411"/>
      <c r="AK32" s="411"/>
      <c r="AL32" s="411"/>
      <c r="AM32" s="411"/>
      <c r="AN32" s="411"/>
      <c r="AO32" s="411"/>
      <c r="AP32" s="411"/>
      <c r="AQ32" s="411"/>
      <c r="AR32" s="411"/>
      <c r="AS32" s="411"/>
      <c r="AT32" s="411"/>
      <c r="AU32" s="411"/>
      <c r="AV32" s="411"/>
      <c r="AW32" s="411"/>
      <c r="AX32" s="411"/>
      <c r="AY32" s="411"/>
      <c r="AZ32" s="411"/>
      <c r="BA32" s="411"/>
      <c r="BB32" s="411"/>
      <c r="BC32" s="411"/>
      <c r="BD32" s="411"/>
      <c r="BE32" s="411"/>
      <c r="BF32" s="411"/>
      <c r="BG32" s="411"/>
      <c r="BH32" s="411"/>
    </row>
    <row r="33" spans="1:60" s="412" customFormat="1">
      <c r="A33" s="409"/>
      <c r="B33" s="410"/>
      <c r="C33" s="50" t="s">
        <v>164</v>
      </c>
      <c r="D33" s="44"/>
      <c r="E33" s="44"/>
      <c r="F33" s="44"/>
      <c r="G33" s="44"/>
      <c r="H33" s="62"/>
      <c r="I33" s="27"/>
      <c r="J33" s="27"/>
      <c r="K33" s="27"/>
      <c r="L33" s="27">
        <f>-23652770</f>
        <v>-23652770</v>
      </c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411"/>
      <c r="AA33" s="411"/>
      <c r="AB33" s="411"/>
      <c r="AC33" s="411"/>
      <c r="AD33" s="411"/>
      <c r="AE33" s="411"/>
      <c r="AF33" s="411"/>
      <c r="AG33" s="411"/>
      <c r="AH33" s="411"/>
      <c r="AI33" s="411"/>
      <c r="AJ33" s="411"/>
      <c r="AK33" s="411"/>
      <c r="AL33" s="411"/>
      <c r="AM33" s="411"/>
      <c r="AN33" s="411"/>
      <c r="AO33" s="411"/>
      <c r="AP33" s="411"/>
      <c r="AQ33" s="411"/>
      <c r="AR33" s="411"/>
      <c r="AS33" s="411"/>
      <c r="AT33" s="411"/>
      <c r="AU33" s="411"/>
      <c r="AV33" s="411"/>
      <c r="AW33" s="411"/>
      <c r="AX33" s="411"/>
      <c r="AY33" s="411"/>
      <c r="AZ33" s="411"/>
      <c r="BA33" s="411"/>
      <c r="BB33" s="411"/>
      <c r="BC33" s="411"/>
      <c r="BD33" s="411"/>
      <c r="BE33" s="411"/>
      <c r="BF33" s="411"/>
      <c r="BG33" s="411"/>
      <c r="BH33" s="411"/>
    </row>
    <row r="34" spans="1:60" s="2" customFormat="1" ht="15.75" customHeight="1">
      <c r="A34" s="47"/>
      <c r="B34" s="30"/>
      <c r="C34" s="58" t="s">
        <v>324</v>
      </c>
      <c r="D34" s="44"/>
      <c r="E34" s="44"/>
      <c r="F34" s="44"/>
      <c r="G34" s="44"/>
      <c r="H34" s="27"/>
      <c r="I34" s="27"/>
      <c r="J34" s="27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</row>
    <row r="35" spans="1:60" s="412" customFormat="1" ht="13.5" hidden="1" customHeight="1" outlineLevel="1">
      <c r="A35" s="409"/>
      <c r="B35" s="410"/>
      <c r="C35" s="418" t="s">
        <v>154</v>
      </c>
      <c r="D35" s="43"/>
      <c r="E35" s="43"/>
      <c r="F35" s="43"/>
      <c r="G35" s="43"/>
      <c r="H35" s="27"/>
      <c r="I35" s="239"/>
      <c r="J35" s="27"/>
      <c r="K35" s="27">
        <v>-12089650</v>
      </c>
      <c r="L35" s="27">
        <f>-87000-423000-20271000</f>
        <v>-20781000</v>
      </c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411"/>
      <c r="AA35" s="411"/>
      <c r="AB35" s="411"/>
      <c r="AC35" s="411"/>
      <c r="AD35" s="411"/>
      <c r="AE35" s="411"/>
      <c r="AF35" s="411"/>
      <c r="AG35" s="411"/>
      <c r="AH35" s="411"/>
      <c r="AI35" s="411"/>
      <c r="AJ35" s="411"/>
      <c r="AK35" s="411"/>
      <c r="AL35" s="411"/>
      <c r="AM35" s="411"/>
      <c r="AN35" s="411"/>
      <c r="AO35" s="411"/>
      <c r="AP35" s="411"/>
      <c r="AQ35" s="411"/>
      <c r="AR35" s="411"/>
      <c r="AS35" s="411"/>
      <c r="AT35" s="411"/>
      <c r="AU35" s="411"/>
      <c r="AV35" s="411"/>
      <c r="AW35" s="411"/>
      <c r="AX35" s="411"/>
      <c r="AY35" s="411"/>
      <c r="AZ35" s="411"/>
      <c r="BA35" s="411"/>
      <c r="BB35" s="411"/>
      <c r="BC35" s="411"/>
      <c r="BD35" s="411"/>
      <c r="BE35" s="411"/>
      <c r="BF35" s="411"/>
      <c r="BG35" s="411"/>
      <c r="BH35" s="411"/>
    </row>
    <row r="36" spans="1:60" s="412" customFormat="1" ht="13.5" hidden="1" customHeight="1" outlineLevel="1">
      <c r="A36" s="409"/>
      <c r="B36" s="410"/>
      <c r="C36" s="418" t="s">
        <v>325</v>
      </c>
      <c r="D36" s="43"/>
      <c r="E36" s="43"/>
      <c r="F36" s="43"/>
      <c r="G36" s="43"/>
      <c r="H36" s="27"/>
      <c r="I36" s="239">
        <v>46489</v>
      </c>
      <c r="J36" s="27">
        <v>13948</v>
      </c>
      <c r="K36" s="27">
        <f>J36+2381.8</f>
        <v>16329.8</v>
      </c>
      <c r="L36" s="27">
        <f>2088+4937+5299</f>
        <v>12324</v>
      </c>
      <c r="M36" s="27">
        <f>L36-4937</f>
        <v>7387</v>
      </c>
      <c r="N36" s="27">
        <f t="shared" ref="N36:W36" si="18">M36</f>
        <v>7387</v>
      </c>
      <c r="O36" s="27">
        <f t="shared" si="18"/>
        <v>7387</v>
      </c>
      <c r="P36" s="27">
        <f t="shared" si="18"/>
        <v>7387</v>
      </c>
      <c r="Q36" s="27">
        <f t="shared" si="18"/>
        <v>7387</v>
      </c>
      <c r="R36" s="27"/>
      <c r="S36" s="27"/>
      <c r="T36" s="27">
        <f>Q36</f>
        <v>7387</v>
      </c>
      <c r="U36" s="27">
        <f>Q36</f>
        <v>7387</v>
      </c>
      <c r="V36" s="27">
        <f t="shared" si="18"/>
        <v>7387</v>
      </c>
      <c r="W36" s="27">
        <f t="shared" si="18"/>
        <v>7387</v>
      </c>
      <c r="X36" s="27">
        <f>W36</f>
        <v>7387</v>
      </c>
      <c r="Y36" s="27">
        <f>X36</f>
        <v>7387</v>
      </c>
      <c r="Z36" s="411"/>
      <c r="AA36" s="411"/>
      <c r="AB36" s="411"/>
      <c r="AC36" s="411"/>
      <c r="AD36" s="411"/>
      <c r="AE36" s="411"/>
      <c r="AF36" s="411"/>
      <c r="AG36" s="411"/>
      <c r="AH36" s="411"/>
      <c r="AI36" s="411"/>
      <c r="AJ36" s="411"/>
      <c r="AK36" s="411"/>
      <c r="AL36" s="411"/>
      <c r="AM36" s="411"/>
      <c r="AN36" s="411"/>
      <c r="AO36" s="411"/>
      <c r="AP36" s="411"/>
      <c r="AQ36" s="411"/>
      <c r="AR36" s="411"/>
      <c r="AS36" s="411"/>
      <c r="AT36" s="411"/>
      <c r="AU36" s="411"/>
      <c r="AV36" s="411"/>
      <c r="AW36" s="411"/>
      <c r="AX36" s="411"/>
      <c r="AY36" s="411"/>
      <c r="AZ36" s="411"/>
      <c r="BA36" s="411"/>
      <c r="BB36" s="411"/>
      <c r="BC36" s="411"/>
      <c r="BD36" s="411"/>
      <c r="BE36" s="411"/>
      <c r="BF36" s="411"/>
      <c r="BG36" s="411"/>
      <c r="BH36" s="411"/>
    </row>
    <row r="37" spans="1:60" s="2" customFormat="1" ht="13.5" hidden="1" customHeight="1" outlineLevel="1">
      <c r="A37" s="47"/>
      <c r="B37" s="30"/>
      <c r="C37" s="57" t="s">
        <v>529</v>
      </c>
      <c r="D37" s="44"/>
      <c r="E37" s="44"/>
      <c r="F37" s="44"/>
      <c r="G37" s="44"/>
      <c r="H37" s="27"/>
      <c r="I37" s="62"/>
      <c r="J37" s="62">
        <f t="shared" ref="J37:W37" si="19">J36/I36-1</f>
        <v>-0.69997203639570649</v>
      </c>
      <c r="K37" s="62">
        <f>K36/J36-1</f>
        <v>0.17076283338112996</v>
      </c>
      <c r="L37" s="62">
        <f>L36/K36-1</f>
        <v>-0.24530612744797853</v>
      </c>
      <c r="M37" s="62">
        <f>M36/L36-1</f>
        <v>-0.4006004543979228</v>
      </c>
      <c r="N37" s="62">
        <f t="shared" si="19"/>
        <v>0</v>
      </c>
      <c r="O37" s="62">
        <f t="shared" si="19"/>
        <v>0</v>
      </c>
      <c r="P37" s="62">
        <f t="shared" si="19"/>
        <v>0</v>
      </c>
      <c r="Q37" s="62">
        <f t="shared" si="19"/>
        <v>0</v>
      </c>
      <c r="R37" s="62"/>
      <c r="S37" s="62"/>
      <c r="T37" s="62"/>
      <c r="U37" s="62">
        <f>U36/Q36-1</f>
        <v>0</v>
      </c>
      <c r="V37" s="62">
        <f t="shared" si="19"/>
        <v>0</v>
      </c>
      <c r="W37" s="62">
        <f t="shared" si="19"/>
        <v>0</v>
      </c>
      <c r="X37" s="62">
        <f>X36/W36-1</f>
        <v>0</v>
      </c>
      <c r="Y37" s="62">
        <f>Y36/X36-1</f>
        <v>0</v>
      </c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</row>
    <row r="38" spans="1:60" s="412" customFormat="1" ht="13.5" hidden="1" customHeight="1" outlineLevel="1">
      <c r="A38" s="409"/>
      <c r="B38" s="410"/>
      <c r="C38" s="418" t="s">
        <v>530</v>
      </c>
      <c r="D38" s="43"/>
      <c r="E38" s="43"/>
      <c r="F38" s="43"/>
      <c r="G38" s="43"/>
      <c r="H38" s="27"/>
      <c r="I38" s="239">
        <f>I40/I36</f>
        <v>752.86626944008265</v>
      </c>
      <c r="J38" s="27">
        <v>2925.1505592199501</v>
      </c>
      <c r="K38" s="27">
        <v>4972.4433557868897</v>
      </c>
      <c r="L38" s="27">
        <f>(8360000+10040000+10976000)/12324</f>
        <v>2383.6416747809153</v>
      </c>
      <c r="M38" s="27">
        <f>L38/2</f>
        <v>1191.8208373904577</v>
      </c>
      <c r="N38" s="27">
        <f t="shared" ref="N38:W38" si="20">M38*(1+N39)</f>
        <v>1370.5939629990262</v>
      </c>
      <c r="O38" s="27">
        <f t="shared" si="20"/>
        <v>1576.1830574488799</v>
      </c>
      <c r="P38" s="27">
        <f t="shared" si="20"/>
        <v>1812.6105160662119</v>
      </c>
      <c r="Q38" s="27">
        <f t="shared" si="20"/>
        <v>2084.5020934761433</v>
      </c>
      <c r="R38" s="27"/>
      <c r="S38" s="27"/>
      <c r="T38" s="27">
        <f>Q38</f>
        <v>2084.5020934761433</v>
      </c>
      <c r="U38" s="27">
        <f>Q38*(1+U39)</f>
        <v>2397.1774074975647</v>
      </c>
      <c r="V38" s="27">
        <f t="shared" si="20"/>
        <v>2756.7540186221991</v>
      </c>
      <c r="W38" s="27">
        <f t="shared" si="20"/>
        <v>3170.2671214155289</v>
      </c>
      <c r="X38" s="27">
        <f>W38*(1+X39)</f>
        <v>3645.807189627858</v>
      </c>
      <c r="Y38" s="27">
        <f>X38*(1+Y39)</f>
        <v>4192.6782680720362</v>
      </c>
      <c r="Z38" s="411"/>
      <c r="AA38" s="411"/>
      <c r="AB38" s="411"/>
      <c r="AC38" s="411"/>
      <c r="AD38" s="411"/>
      <c r="AE38" s="411"/>
      <c r="AF38" s="411"/>
      <c r="AG38" s="411"/>
      <c r="AH38" s="411"/>
      <c r="AI38" s="411"/>
      <c r="AJ38" s="411"/>
      <c r="AK38" s="411"/>
      <c r="AL38" s="411"/>
      <c r="AM38" s="411"/>
      <c r="AN38" s="411"/>
      <c r="AO38" s="411"/>
      <c r="AP38" s="411"/>
      <c r="AQ38" s="411"/>
      <c r="AR38" s="411"/>
      <c r="AS38" s="411"/>
      <c r="AT38" s="411"/>
      <c r="AU38" s="411"/>
      <c r="AV38" s="411"/>
      <c r="AW38" s="411"/>
      <c r="AX38" s="411"/>
      <c r="AY38" s="411"/>
      <c r="AZ38" s="411"/>
      <c r="BA38" s="411"/>
      <c r="BB38" s="411"/>
      <c r="BC38" s="411"/>
      <c r="BD38" s="411"/>
      <c r="BE38" s="411"/>
      <c r="BF38" s="411"/>
      <c r="BG38" s="411"/>
      <c r="BH38" s="411"/>
    </row>
    <row r="39" spans="1:60" s="2" customFormat="1" ht="13.5" hidden="1" customHeight="1" outlineLevel="1">
      <c r="A39" s="47"/>
      <c r="B39" s="30"/>
      <c r="C39" s="57" t="s">
        <v>529</v>
      </c>
      <c r="D39" s="44"/>
      <c r="E39" s="44"/>
      <c r="F39" s="44"/>
      <c r="G39" s="44"/>
      <c r="H39" s="27"/>
      <c r="I39" s="62"/>
      <c r="J39" s="62">
        <f>J28</f>
        <v>0.40000000064285546</v>
      </c>
      <c r="K39" s="17">
        <f>K40/J40-1</f>
        <v>0.99017170370904428</v>
      </c>
      <c r="L39" s="17">
        <f>L40/K40-1</f>
        <v>-0.63822217014835836</v>
      </c>
      <c r="M39" s="17">
        <v>0.15</v>
      </c>
      <c r="N39" s="17">
        <f t="shared" ref="N39:W39" si="21">M39</f>
        <v>0.15</v>
      </c>
      <c r="O39" s="17">
        <f t="shared" si="21"/>
        <v>0.15</v>
      </c>
      <c r="P39" s="17">
        <f t="shared" si="21"/>
        <v>0.15</v>
      </c>
      <c r="Q39" s="17">
        <f t="shared" si="21"/>
        <v>0.15</v>
      </c>
      <c r="R39" s="17"/>
      <c r="S39" s="17"/>
      <c r="T39" s="17">
        <f>Q39</f>
        <v>0.15</v>
      </c>
      <c r="U39" s="17">
        <f>Q39</f>
        <v>0.15</v>
      </c>
      <c r="V39" s="17">
        <f t="shared" si="21"/>
        <v>0.15</v>
      </c>
      <c r="W39" s="17">
        <f t="shared" si="21"/>
        <v>0.15</v>
      </c>
      <c r="X39" s="17">
        <f>W39</f>
        <v>0.15</v>
      </c>
      <c r="Y39" s="17">
        <f>X39</f>
        <v>0.15</v>
      </c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</row>
    <row r="40" spans="1:60" s="2" customFormat="1" ht="15.75" customHeight="1" collapsed="1">
      <c r="A40" s="47"/>
      <c r="B40" s="30"/>
      <c r="C40" s="50" t="s">
        <v>330</v>
      </c>
      <c r="D40" s="44"/>
      <c r="E40" s="44"/>
      <c r="F40" s="44"/>
      <c r="G40" s="44"/>
      <c r="H40" s="27"/>
      <c r="I40" s="27">
        <v>35000000</v>
      </c>
      <c r="J40" s="27">
        <f t="shared" ref="J40:Q40" si="22">J36*J38</f>
        <v>40799999.999999866</v>
      </c>
      <c r="K40" s="27">
        <f>K36*K38</f>
        <v>81199005.511328742</v>
      </c>
      <c r="L40" s="27">
        <f>L36*L38</f>
        <v>29376000</v>
      </c>
      <c r="M40" s="27">
        <f>M36*M38</f>
        <v>8803980.5258033108</v>
      </c>
      <c r="N40" s="27">
        <f t="shared" si="22"/>
        <v>10124577.604673807</v>
      </c>
      <c r="O40" s="27">
        <f t="shared" si="22"/>
        <v>11643264.245374877</v>
      </c>
      <c r="P40" s="27">
        <f t="shared" si="22"/>
        <v>13389753.882181106</v>
      </c>
      <c r="Q40" s="27">
        <f t="shared" si="22"/>
        <v>15398216.964508271</v>
      </c>
      <c r="R40" s="27"/>
      <c r="S40" s="27"/>
      <c r="T40" s="27">
        <f t="shared" ref="T40:Y40" si="23">T36*T38</f>
        <v>15398216.964508271</v>
      </c>
      <c r="U40" s="27">
        <f t="shared" si="23"/>
        <v>17707949.50918451</v>
      </c>
      <c r="V40" s="27">
        <f t="shared" si="23"/>
        <v>20364141.935562186</v>
      </c>
      <c r="W40" s="27">
        <f t="shared" si="23"/>
        <v>23418763.225896511</v>
      </c>
      <c r="X40" s="27">
        <f t="shared" si="23"/>
        <v>26931577.709780987</v>
      </c>
      <c r="Y40" s="27">
        <f t="shared" si="23"/>
        <v>30971314.366248131</v>
      </c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</row>
    <row r="41" spans="1:60" s="66" customFormat="1" ht="15.75" hidden="1" customHeight="1" outlineLevel="1">
      <c r="A41" s="63"/>
      <c r="B41" s="26"/>
      <c r="C41" s="64" t="s">
        <v>166</v>
      </c>
      <c r="D41" s="62"/>
      <c r="E41" s="62"/>
      <c r="F41" s="62"/>
      <c r="G41" s="62"/>
      <c r="H41" s="62"/>
      <c r="I41" s="62">
        <f>I30</f>
        <v>0.02</v>
      </c>
      <c r="J41" s="62">
        <f>J30</f>
        <v>4.2000000000000003E-2</v>
      </c>
      <c r="K41" s="62">
        <f>K30</f>
        <v>2.4E-2</v>
      </c>
      <c r="L41" s="62">
        <f>(121833+613327+493671+1967481+21648)/L40</f>
        <v>0.10954384531590414</v>
      </c>
      <c r="M41" s="62">
        <v>0.02</v>
      </c>
      <c r="N41" s="62">
        <v>0.02</v>
      </c>
      <c r="O41" s="62">
        <v>0.02</v>
      </c>
      <c r="P41" s="62">
        <v>0.02</v>
      </c>
      <c r="Q41" s="62">
        <v>0.02</v>
      </c>
      <c r="R41" s="62"/>
      <c r="S41" s="62"/>
      <c r="T41" s="62">
        <v>0.02</v>
      </c>
      <c r="U41" s="62">
        <v>0.02</v>
      </c>
      <c r="V41" s="62">
        <v>0.02</v>
      </c>
      <c r="W41" s="62">
        <v>0.02</v>
      </c>
      <c r="X41" s="62">
        <v>0.02</v>
      </c>
      <c r="Y41" s="62">
        <v>0.02</v>
      </c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</row>
    <row r="42" spans="1:60" s="2" customFormat="1" ht="15.75" customHeight="1" collapsed="1">
      <c r="A42" s="47"/>
      <c r="B42" s="30"/>
      <c r="C42" s="64" t="s">
        <v>167</v>
      </c>
      <c r="D42" s="44"/>
      <c r="E42" s="44"/>
      <c r="F42" s="44"/>
      <c r="G42" s="44"/>
      <c r="H42" s="62"/>
      <c r="I42" s="27">
        <f t="shared" ref="I42:N42" si="24">I40*I41</f>
        <v>700000</v>
      </c>
      <c r="J42" s="27">
        <f t="shared" si="24"/>
        <v>1713599.9999999944</v>
      </c>
      <c r="K42" s="27">
        <f t="shared" si="24"/>
        <v>1948776.1322718898</v>
      </c>
      <c r="L42" s="27">
        <f>L40*L41</f>
        <v>3217960</v>
      </c>
      <c r="M42" s="27">
        <f t="shared" si="24"/>
        <v>176079.61051606623</v>
      </c>
      <c r="N42" s="27">
        <f t="shared" si="24"/>
        <v>202491.55209347614</v>
      </c>
      <c r="O42" s="27">
        <f t="shared" ref="O42:W42" si="25">O40*O41</f>
        <v>232865.28490749755</v>
      </c>
      <c r="P42" s="27">
        <f t="shared" si="25"/>
        <v>267795.07764362212</v>
      </c>
      <c r="Q42" s="27">
        <f t="shared" si="25"/>
        <v>307964.3392901654</v>
      </c>
      <c r="R42" s="27">
        <f>Q42/2</f>
        <v>153982.1696450827</v>
      </c>
      <c r="S42" s="27">
        <f>R42</f>
        <v>153982.1696450827</v>
      </c>
      <c r="T42" s="27">
        <f>T40*T41</f>
        <v>307964.3392901654</v>
      </c>
      <c r="U42" s="27">
        <f t="shared" si="25"/>
        <v>354158.99018369021</v>
      </c>
      <c r="V42" s="27">
        <f t="shared" si="25"/>
        <v>407282.8387112437</v>
      </c>
      <c r="W42" s="27">
        <f t="shared" si="25"/>
        <v>468375.26451793022</v>
      </c>
      <c r="X42" s="27">
        <f>X40*X41</f>
        <v>538631.55419561977</v>
      </c>
      <c r="Y42" s="27">
        <f>Y40*Y41</f>
        <v>619426.28732496267</v>
      </c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</row>
    <row r="43" spans="1:60" s="412" customFormat="1" ht="15.75" hidden="1" customHeight="1" outlineLevel="1">
      <c r="A43" s="409"/>
      <c r="B43" s="410"/>
      <c r="C43" s="50" t="s">
        <v>323</v>
      </c>
      <c r="D43" s="44"/>
      <c r="E43" s="44"/>
      <c r="F43" s="44"/>
      <c r="G43" s="44"/>
      <c r="H43" s="62"/>
      <c r="I43" s="27"/>
      <c r="J43" s="27"/>
      <c r="K43" s="27"/>
      <c r="L43" s="27">
        <f>-1807962</f>
        <v>-1807962</v>
      </c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411"/>
      <c r="AA43" s="411"/>
      <c r="AB43" s="411"/>
      <c r="AC43" s="411"/>
      <c r="AD43" s="411"/>
      <c r="AE43" s="411"/>
      <c r="AF43" s="411"/>
      <c r="AG43" s="411"/>
      <c r="AH43" s="411"/>
      <c r="AI43" s="411"/>
      <c r="AJ43" s="411"/>
      <c r="AK43" s="411"/>
      <c r="AL43" s="411"/>
      <c r="AM43" s="411"/>
      <c r="AN43" s="411"/>
      <c r="AO43" s="411"/>
      <c r="AP43" s="411"/>
      <c r="AQ43" s="411"/>
      <c r="AR43" s="411"/>
      <c r="AS43" s="411"/>
      <c r="AT43" s="411"/>
      <c r="AU43" s="411"/>
      <c r="AV43" s="411"/>
      <c r="AW43" s="411"/>
      <c r="AX43" s="411"/>
      <c r="AY43" s="411"/>
      <c r="AZ43" s="411"/>
      <c r="BA43" s="411"/>
      <c r="BB43" s="411"/>
      <c r="BC43" s="411"/>
      <c r="BD43" s="411"/>
      <c r="BE43" s="411"/>
      <c r="BF43" s="411"/>
      <c r="BG43" s="411"/>
      <c r="BH43" s="411"/>
    </row>
    <row r="44" spans="1:60" s="412" customFormat="1" ht="15.75" hidden="1" customHeight="1" outlineLevel="1">
      <c r="A44" s="409"/>
      <c r="B44" s="410"/>
      <c r="C44" s="50" t="s">
        <v>164</v>
      </c>
      <c r="D44" s="44"/>
      <c r="E44" s="44"/>
      <c r="F44" s="44"/>
      <c r="G44" s="44"/>
      <c r="H44" s="62"/>
      <c r="I44" s="27"/>
      <c r="J44" s="27">
        <v>5800000</v>
      </c>
      <c r="K44" s="27">
        <v>28310350</v>
      </c>
      <c r="L44" s="27">
        <f>-3910783-2083272-5468954-314056-975916-6830807</f>
        <v>-19583788</v>
      </c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411"/>
      <c r="AA44" s="411"/>
      <c r="AB44" s="411"/>
      <c r="AC44" s="411"/>
      <c r="AD44" s="411"/>
      <c r="AE44" s="411"/>
      <c r="AF44" s="411"/>
      <c r="AG44" s="411"/>
      <c r="AH44" s="411"/>
      <c r="AI44" s="411"/>
      <c r="AJ44" s="411"/>
      <c r="AK44" s="411"/>
      <c r="AL44" s="411"/>
      <c r="AM44" s="411"/>
      <c r="AN44" s="411"/>
      <c r="AO44" s="411"/>
      <c r="AP44" s="411"/>
      <c r="AQ44" s="411"/>
      <c r="AR44" s="411"/>
      <c r="AS44" s="411"/>
      <c r="AT44" s="411"/>
      <c r="AU44" s="411"/>
      <c r="AV44" s="411"/>
      <c r="AW44" s="411"/>
      <c r="AX44" s="411"/>
      <c r="AY44" s="411"/>
      <c r="AZ44" s="411"/>
      <c r="BA44" s="411"/>
      <c r="BB44" s="411"/>
      <c r="BC44" s="411"/>
      <c r="BD44" s="411"/>
      <c r="BE44" s="411"/>
      <c r="BF44" s="411"/>
      <c r="BG44" s="411"/>
      <c r="BH44" s="411"/>
    </row>
    <row r="45" spans="1:60" s="2" customFormat="1" ht="9.75" customHeight="1" collapsed="1">
      <c r="A45" s="47"/>
      <c r="B45" s="30"/>
      <c r="C45" s="57"/>
      <c r="D45" s="44"/>
      <c r="E45" s="44"/>
      <c r="F45" s="44"/>
      <c r="G45" s="44"/>
      <c r="H45" s="27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</row>
    <row r="46" spans="1:60" s="2" customFormat="1" ht="15.75" customHeight="1">
      <c r="A46" s="47"/>
      <c r="B46" s="30"/>
      <c r="C46" s="59" t="s">
        <v>326</v>
      </c>
      <c r="D46" s="44"/>
      <c r="E46" s="44"/>
      <c r="F46" s="44"/>
      <c r="G46" s="44"/>
      <c r="H46" s="27"/>
      <c r="I46" s="27"/>
      <c r="J46" s="27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</row>
    <row r="47" spans="1:60" s="412" customFormat="1" ht="15.75" customHeight="1">
      <c r="A47" s="409"/>
      <c r="B47" s="410"/>
      <c r="C47" s="41" t="s">
        <v>327</v>
      </c>
      <c r="D47" s="44"/>
      <c r="E47" s="44"/>
      <c r="F47" s="44"/>
      <c r="G47" s="44"/>
      <c r="H47" s="27"/>
      <c r="I47" s="27">
        <v>59959</v>
      </c>
      <c r="J47" s="27">
        <v>64976</v>
      </c>
      <c r="K47" s="27">
        <v>64976</v>
      </c>
      <c r="L47" s="27">
        <f>6860+65216+7506</f>
        <v>79582</v>
      </c>
      <c r="M47" s="27">
        <f t="shared" ref="M47:W47" si="26">L47*(1+M48)</f>
        <v>79582</v>
      </c>
      <c r="N47" s="27">
        <f t="shared" si="26"/>
        <v>79582</v>
      </c>
      <c r="O47" s="27">
        <f t="shared" si="26"/>
        <v>79582</v>
      </c>
      <c r="P47" s="27">
        <f t="shared" si="26"/>
        <v>79582</v>
      </c>
      <c r="Q47" s="27">
        <f t="shared" si="26"/>
        <v>79582</v>
      </c>
      <c r="R47" s="27"/>
      <c r="S47" s="27"/>
      <c r="T47" s="27">
        <f>Q47</f>
        <v>79582</v>
      </c>
      <c r="U47" s="27">
        <f>Q47*(1+U48)</f>
        <v>79582</v>
      </c>
      <c r="V47" s="27">
        <f t="shared" si="26"/>
        <v>79582</v>
      </c>
      <c r="W47" s="27">
        <f t="shared" si="26"/>
        <v>79582</v>
      </c>
      <c r="X47" s="27">
        <f>W47*(1+X48)</f>
        <v>79582</v>
      </c>
      <c r="Y47" s="27">
        <f>X47*(1+Y48)</f>
        <v>79582</v>
      </c>
      <c r="Z47" s="411"/>
      <c r="AA47" s="411"/>
      <c r="AB47" s="411"/>
      <c r="AC47" s="411"/>
      <c r="AD47" s="411"/>
      <c r="AE47" s="411"/>
      <c r="AF47" s="411"/>
      <c r="AG47" s="411"/>
      <c r="AH47" s="411"/>
      <c r="AI47" s="411"/>
      <c r="AJ47" s="411"/>
      <c r="AK47" s="411"/>
      <c r="AL47" s="411"/>
      <c r="AM47" s="411"/>
      <c r="AN47" s="411"/>
      <c r="AO47" s="411"/>
      <c r="AP47" s="411"/>
      <c r="AQ47" s="411"/>
      <c r="AR47" s="411"/>
      <c r="AS47" s="411"/>
      <c r="AT47" s="411"/>
      <c r="AU47" s="411"/>
      <c r="AV47" s="411"/>
      <c r="AW47" s="411"/>
      <c r="AX47" s="411"/>
      <c r="AY47" s="411"/>
      <c r="AZ47" s="411"/>
      <c r="BA47" s="411"/>
      <c r="BB47" s="411"/>
      <c r="BC47" s="411"/>
      <c r="BD47" s="411"/>
      <c r="BE47" s="411"/>
      <c r="BF47" s="411"/>
      <c r="BG47" s="411"/>
      <c r="BH47" s="411"/>
    </row>
    <row r="48" spans="1:60" s="2" customFormat="1" ht="13.5" hidden="1" customHeight="1" outlineLevel="1">
      <c r="A48" s="47"/>
      <c r="B48" s="30"/>
      <c r="C48" s="57" t="s">
        <v>529</v>
      </c>
      <c r="D48" s="44"/>
      <c r="E48" s="44"/>
      <c r="F48" s="44"/>
      <c r="G48" s="44"/>
      <c r="H48" s="27"/>
      <c r="I48" s="62"/>
      <c r="J48" s="62">
        <f>J47/I47-1</f>
        <v>8.3673843793258706E-2</v>
      </c>
      <c r="K48" s="62">
        <f>K47/J47-1</f>
        <v>0</v>
      </c>
      <c r="L48" s="62">
        <f>L47/K47-1</f>
        <v>0.22479069194779622</v>
      </c>
      <c r="M48" s="17">
        <v>0</v>
      </c>
      <c r="N48" s="17">
        <f t="shared" ref="N48:W48" si="27">M48</f>
        <v>0</v>
      </c>
      <c r="O48" s="17">
        <f t="shared" si="27"/>
        <v>0</v>
      </c>
      <c r="P48" s="17">
        <f t="shared" si="27"/>
        <v>0</v>
      </c>
      <c r="Q48" s="17">
        <f t="shared" si="27"/>
        <v>0</v>
      </c>
      <c r="R48" s="17"/>
      <c r="S48" s="17"/>
      <c r="T48" s="17">
        <f t="shared" si="27"/>
        <v>0</v>
      </c>
      <c r="U48" s="17">
        <f>Q48</f>
        <v>0</v>
      </c>
      <c r="V48" s="17">
        <f t="shared" si="27"/>
        <v>0</v>
      </c>
      <c r="W48" s="17">
        <f t="shared" si="27"/>
        <v>0</v>
      </c>
      <c r="X48" s="17">
        <f>W48</f>
        <v>0</v>
      </c>
      <c r="Y48" s="17">
        <f>X48</f>
        <v>0</v>
      </c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</row>
    <row r="49" spans="1:60" s="412" customFormat="1" ht="13.5" hidden="1" customHeight="1" outlineLevel="1">
      <c r="A49" s="409"/>
      <c r="B49" s="410"/>
      <c r="C49" s="418" t="s">
        <v>530</v>
      </c>
      <c r="D49" s="44"/>
      <c r="E49" s="44"/>
      <c r="F49" s="44"/>
      <c r="G49" s="44"/>
      <c r="H49" s="27"/>
      <c r="I49" s="27">
        <f>I51/I47</f>
        <v>753.84846311646288</v>
      </c>
      <c r="J49" s="27">
        <v>941.88623491750798</v>
      </c>
      <c r="K49" s="27">
        <f>1352.8071903472</f>
        <v>1352.8071903472</v>
      </c>
      <c r="L49" s="27">
        <f>(10460000+77380000+5640000)/79582</f>
        <v>1174.6374808373753</v>
      </c>
      <c r="M49" s="27">
        <f>L49/2</f>
        <v>587.31874041868764</v>
      </c>
      <c r="N49" s="27">
        <f t="shared" ref="N49:W49" si="28">M49*(1+N50)</f>
        <v>675.41655148149073</v>
      </c>
      <c r="O49" s="27">
        <f t="shared" si="28"/>
        <v>776.72903420371426</v>
      </c>
      <c r="P49" s="27">
        <f t="shared" si="28"/>
        <v>893.23838933427135</v>
      </c>
      <c r="Q49" s="27">
        <f t="shared" si="28"/>
        <v>1027.2241477344119</v>
      </c>
      <c r="R49" s="27"/>
      <c r="S49" s="27"/>
      <c r="T49" s="27">
        <f>Q49</f>
        <v>1027.2241477344119</v>
      </c>
      <c r="U49" s="27">
        <f>Q49*(1+U50)</f>
        <v>1181.3077698945735</v>
      </c>
      <c r="V49" s="27">
        <f t="shared" si="28"/>
        <v>1358.5039353787595</v>
      </c>
      <c r="W49" s="27">
        <f t="shared" si="28"/>
        <v>1562.2795256855734</v>
      </c>
      <c r="X49" s="27">
        <f>W49*(1+X50)</f>
        <v>1796.6214545384094</v>
      </c>
      <c r="Y49" s="27">
        <f>X49*(1+Y50)</f>
        <v>2066.1146727191708</v>
      </c>
      <c r="Z49" s="411"/>
      <c r="AA49" s="411"/>
      <c r="AB49" s="411"/>
      <c r="AC49" s="411"/>
      <c r="AD49" s="411"/>
      <c r="AE49" s="411"/>
      <c r="AF49" s="411"/>
      <c r="AG49" s="411"/>
      <c r="AH49" s="411"/>
      <c r="AI49" s="411"/>
      <c r="AJ49" s="411"/>
      <c r="AK49" s="411"/>
      <c r="AL49" s="411"/>
      <c r="AM49" s="411"/>
      <c r="AN49" s="411"/>
      <c r="AO49" s="411"/>
      <c r="AP49" s="411"/>
      <c r="AQ49" s="411"/>
      <c r="AR49" s="411"/>
      <c r="AS49" s="411"/>
      <c r="AT49" s="411"/>
      <c r="AU49" s="411"/>
      <c r="AV49" s="411"/>
      <c r="AW49" s="411"/>
      <c r="AX49" s="411"/>
      <c r="AY49" s="411"/>
      <c r="AZ49" s="411"/>
      <c r="BA49" s="411"/>
      <c r="BB49" s="411"/>
      <c r="BC49" s="411"/>
      <c r="BD49" s="411"/>
      <c r="BE49" s="411"/>
      <c r="BF49" s="411"/>
      <c r="BG49" s="411"/>
      <c r="BH49" s="411"/>
    </row>
    <row r="50" spans="1:60" s="2" customFormat="1" ht="13.5" hidden="1" customHeight="1" outlineLevel="1">
      <c r="A50" s="47"/>
      <c r="B50" s="30"/>
      <c r="C50" s="57" t="s">
        <v>529</v>
      </c>
      <c r="D50" s="44"/>
      <c r="E50" s="44"/>
      <c r="F50" s="44"/>
      <c r="G50" s="44"/>
      <c r="H50" s="27"/>
      <c r="I50" s="62"/>
      <c r="J50" s="62">
        <f>J51/I51-1</f>
        <v>0.35398230088495586</v>
      </c>
      <c r="K50" s="17">
        <f>K51/J51-1</f>
        <v>0.43627450980391624</v>
      </c>
      <c r="L50" s="17">
        <f>L51/K51-1</f>
        <v>6.3481228668945899E-2</v>
      </c>
      <c r="M50" s="17">
        <v>0.15</v>
      </c>
      <c r="N50" s="17">
        <f t="shared" ref="N50:W50" si="29">M50</f>
        <v>0.15</v>
      </c>
      <c r="O50" s="17">
        <f t="shared" si="29"/>
        <v>0.15</v>
      </c>
      <c r="P50" s="17">
        <f t="shared" si="29"/>
        <v>0.15</v>
      </c>
      <c r="Q50" s="17">
        <f t="shared" si="29"/>
        <v>0.15</v>
      </c>
      <c r="R50" s="17"/>
      <c r="S50" s="17"/>
      <c r="T50" s="17">
        <f t="shared" si="29"/>
        <v>0</v>
      </c>
      <c r="U50" s="17">
        <f>Q50</f>
        <v>0.15</v>
      </c>
      <c r="V50" s="17">
        <f t="shared" si="29"/>
        <v>0.15</v>
      </c>
      <c r="W50" s="17">
        <f t="shared" si="29"/>
        <v>0.15</v>
      </c>
      <c r="X50" s="17">
        <f>W50</f>
        <v>0.15</v>
      </c>
      <c r="Y50" s="17">
        <f>X50</f>
        <v>0.15</v>
      </c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</row>
    <row r="51" spans="1:60" s="2" customFormat="1" ht="15.75" customHeight="1" collapsed="1">
      <c r="A51" s="47"/>
      <c r="B51" s="30"/>
      <c r="C51" s="50" t="s">
        <v>330</v>
      </c>
      <c r="D51" s="44"/>
      <c r="E51" s="44"/>
      <c r="F51" s="44"/>
      <c r="G51" s="44"/>
      <c r="H51" s="27"/>
      <c r="I51" s="27">
        <v>45200000</v>
      </c>
      <c r="J51" s="27">
        <f t="shared" ref="J51:Q51" si="30">J47*J49</f>
        <v>61200000</v>
      </c>
      <c r="K51" s="27">
        <f t="shared" si="30"/>
        <v>87899999.999999672</v>
      </c>
      <c r="L51" s="27">
        <f>L47*L49</f>
        <v>93480000</v>
      </c>
      <c r="M51" s="27">
        <f t="shared" si="30"/>
        <v>46740000</v>
      </c>
      <c r="N51" s="27">
        <f>N47*N49</f>
        <v>53750999.999999993</v>
      </c>
      <c r="O51" s="27">
        <f t="shared" si="30"/>
        <v>61813649.999999985</v>
      </c>
      <c r="P51" s="27">
        <f t="shared" si="30"/>
        <v>71085697.499999985</v>
      </c>
      <c r="Q51" s="27">
        <f t="shared" si="30"/>
        <v>81748552.12499997</v>
      </c>
      <c r="R51" s="27"/>
      <c r="S51" s="27"/>
      <c r="T51" s="27">
        <f t="shared" ref="T51:Y51" si="31">T47*T49</f>
        <v>81748552.12499997</v>
      </c>
      <c r="U51" s="27">
        <f t="shared" si="31"/>
        <v>94010834.943749949</v>
      </c>
      <c r="V51" s="27">
        <f t="shared" si="31"/>
        <v>108112460.18531244</v>
      </c>
      <c r="W51" s="27">
        <f t="shared" si="31"/>
        <v>124329329.2131093</v>
      </c>
      <c r="X51" s="27">
        <f t="shared" si="31"/>
        <v>142978728.5950757</v>
      </c>
      <c r="Y51" s="27">
        <f t="shared" si="31"/>
        <v>164425537.88433704</v>
      </c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</row>
    <row r="52" spans="1:60" s="66" customFormat="1" ht="15.6" hidden="1" customHeight="1" outlineLevel="1">
      <c r="A52" s="63"/>
      <c r="B52" s="26"/>
      <c r="C52" s="64" t="s">
        <v>166</v>
      </c>
      <c r="D52" s="62"/>
      <c r="E52" s="62"/>
      <c r="F52" s="62"/>
      <c r="G52" s="62"/>
      <c r="H52" s="62"/>
      <c r="I52" s="62">
        <f t="shared" ref="I52:Q52" si="32">I41</f>
        <v>0.02</v>
      </c>
      <c r="J52" s="62">
        <f t="shared" si="32"/>
        <v>4.2000000000000003E-2</v>
      </c>
      <c r="K52" s="62">
        <f t="shared" si="32"/>
        <v>2.4E-2</v>
      </c>
      <c r="L52" s="62">
        <f>(2298567)/L51</f>
        <v>2.4588863928112964E-2</v>
      </c>
      <c r="M52" s="62">
        <f t="shared" si="32"/>
        <v>0.02</v>
      </c>
      <c r="N52" s="62">
        <f t="shared" si="32"/>
        <v>0.02</v>
      </c>
      <c r="O52" s="62">
        <f t="shared" si="32"/>
        <v>0.02</v>
      </c>
      <c r="P52" s="62">
        <f t="shared" si="32"/>
        <v>0.02</v>
      </c>
      <c r="Q52" s="62">
        <f t="shared" si="32"/>
        <v>0.02</v>
      </c>
      <c r="R52" s="62"/>
      <c r="S52" s="62"/>
      <c r="T52" s="62">
        <f t="shared" ref="T52:Y52" si="33">T41</f>
        <v>0.02</v>
      </c>
      <c r="U52" s="62">
        <f t="shared" si="33"/>
        <v>0.02</v>
      </c>
      <c r="V52" s="62">
        <f t="shared" si="33"/>
        <v>0.02</v>
      </c>
      <c r="W52" s="62">
        <f t="shared" si="33"/>
        <v>0.02</v>
      </c>
      <c r="X52" s="62">
        <f t="shared" si="33"/>
        <v>0.02</v>
      </c>
      <c r="Y52" s="62">
        <f t="shared" si="33"/>
        <v>0.02</v>
      </c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</row>
    <row r="53" spans="1:60" s="2" customFormat="1" ht="15.75" customHeight="1" collapsed="1">
      <c r="A53" s="47"/>
      <c r="B53" s="30"/>
      <c r="C53" s="64" t="s">
        <v>167</v>
      </c>
      <c r="D53" s="44"/>
      <c r="E53" s="44"/>
      <c r="F53" s="44"/>
      <c r="G53" s="44"/>
      <c r="H53" s="62"/>
      <c r="I53" s="27">
        <f t="shared" ref="I53:U53" si="34">I51*I52</f>
        <v>904000</v>
      </c>
      <c r="J53" s="27">
        <f t="shared" si="34"/>
        <v>2570400</v>
      </c>
      <c r="K53" s="27">
        <f t="shared" si="34"/>
        <v>2109599.9999999921</v>
      </c>
      <c r="L53" s="27">
        <f t="shared" si="34"/>
        <v>2298567</v>
      </c>
      <c r="M53" s="27">
        <f t="shared" si="34"/>
        <v>934800</v>
      </c>
      <c r="N53" s="27">
        <f t="shared" si="34"/>
        <v>1075019.9999999998</v>
      </c>
      <c r="O53" s="27">
        <f t="shared" si="34"/>
        <v>1236272.9999999998</v>
      </c>
      <c r="P53" s="27">
        <f t="shared" si="34"/>
        <v>1421713.9499999997</v>
      </c>
      <c r="Q53" s="27">
        <f t="shared" si="34"/>
        <v>1634971.0424999995</v>
      </c>
      <c r="R53" s="27">
        <f>Q53/2</f>
        <v>817485.52124999976</v>
      </c>
      <c r="S53" s="27">
        <f>R53</f>
        <v>817485.52124999976</v>
      </c>
      <c r="T53" s="27">
        <f>T51*T52</f>
        <v>1634971.0424999995</v>
      </c>
      <c r="U53" s="27">
        <f t="shared" si="34"/>
        <v>1880216.6988749991</v>
      </c>
      <c r="V53" s="27">
        <f>V51*V52</f>
        <v>2162249.2037062487</v>
      </c>
      <c r="W53" s="27">
        <f>W51*W52</f>
        <v>2486586.5842621862</v>
      </c>
      <c r="X53" s="27">
        <f>X51*X52</f>
        <v>2859574.5719015142</v>
      </c>
      <c r="Y53" s="27">
        <f>Y51*Y52</f>
        <v>3288510.7576867407</v>
      </c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</row>
    <row r="54" spans="1:60" s="412" customFormat="1" ht="13.5" hidden="1" customHeight="1" outlineLevel="1">
      <c r="A54" s="409"/>
      <c r="B54" s="410"/>
      <c r="C54" s="50" t="s">
        <v>371</v>
      </c>
      <c r="D54" s="44"/>
      <c r="E54" s="44"/>
      <c r="F54" s="44"/>
      <c r="G54" s="44"/>
      <c r="H54" s="62"/>
      <c r="I54" s="27"/>
      <c r="J54" s="27"/>
      <c r="K54" s="27">
        <f>-550000-6621689-2464000</f>
        <v>-9635689</v>
      </c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411"/>
      <c r="AA54" s="411"/>
      <c r="AB54" s="411"/>
      <c r="AC54" s="411"/>
      <c r="AD54" s="411"/>
      <c r="AE54" s="411"/>
      <c r="AF54" s="411"/>
      <c r="AG54" s="411"/>
      <c r="AH54" s="411"/>
      <c r="AI54" s="411"/>
      <c r="AJ54" s="411"/>
      <c r="AK54" s="411"/>
      <c r="AL54" s="411"/>
      <c r="AM54" s="411"/>
      <c r="AN54" s="411"/>
      <c r="AO54" s="411"/>
      <c r="AP54" s="411"/>
      <c r="AQ54" s="411"/>
      <c r="AR54" s="411"/>
      <c r="AS54" s="411"/>
      <c r="AT54" s="411"/>
      <c r="AU54" s="411"/>
      <c r="AV54" s="411"/>
      <c r="AW54" s="411"/>
      <c r="AX54" s="411"/>
      <c r="AY54" s="411"/>
      <c r="AZ54" s="411"/>
      <c r="BA54" s="411"/>
      <c r="BB54" s="411"/>
      <c r="BC54" s="411"/>
      <c r="BD54" s="411"/>
      <c r="BE54" s="411"/>
      <c r="BF54" s="411"/>
      <c r="BG54" s="411"/>
      <c r="BH54" s="411"/>
    </row>
    <row r="55" spans="1:60" s="412" customFormat="1" ht="13.5" hidden="1" customHeight="1" outlineLevel="1">
      <c r="A55" s="409"/>
      <c r="B55" s="410"/>
      <c r="C55" s="50" t="s">
        <v>164</v>
      </c>
      <c r="D55" s="44"/>
      <c r="E55" s="44"/>
      <c r="F55" s="44"/>
      <c r="G55" s="44"/>
      <c r="H55" s="62"/>
      <c r="I55" s="27"/>
      <c r="J55" s="27">
        <v>16000000</v>
      </c>
      <c r="K55" s="27">
        <v>26700000</v>
      </c>
      <c r="L55" s="27">
        <f>-3867535</f>
        <v>-3867535</v>
      </c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411"/>
      <c r="AA55" s="411"/>
      <c r="AB55" s="411"/>
      <c r="AC55" s="411"/>
      <c r="AD55" s="411"/>
      <c r="AE55" s="411"/>
      <c r="AF55" s="411"/>
      <c r="AG55" s="411"/>
      <c r="AH55" s="411"/>
      <c r="AI55" s="411"/>
      <c r="AJ55" s="411"/>
      <c r="AK55" s="411"/>
      <c r="AL55" s="411"/>
      <c r="AM55" s="411"/>
      <c r="AN55" s="411"/>
      <c r="AO55" s="411"/>
      <c r="AP55" s="411"/>
      <c r="AQ55" s="411"/>
      <c r="AR55" s="411"/>
      <c r="AS55" s="411"/>
      <c r="AT55" s="411"/>
      <c r="AU55" s="411"/>
      <c r="AV55" s="411"/>
      <c r="AW55" s="411"/>
      <c r="AX55" s="411"/>
      <c r="AY55" s="411"/>
      <c r="AZ55" s="411"/>
      <c r="BA55" s="411"/>
      <c r="BB55" s="411"/>
      <c r="BC55" s="411"/>
      <c r="BD55" s="411"/>
      <c r="BE55" s="411"/>
      <c r="BF55" s="411"/>
      <c r="BG55" s="411"/>
      <c r="BH55" s="411"/>
    </row>
    <row r="56" spans="1:60" s="2" customFormat="1" ht="6" customHeight="1" collapsed="1">
      <c r="A56" s="47"/>
      <c r="B56" s="30"/>
      <c r="C56" s="33"/>
      <c r="D56" s="20"/>
      <c r="E56" s="20"/>
      <c r="F56" s="20"/>
      <c r="H56" s="22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</row>
    <row r="57" spans="1:60" s="2" customFormat="1" ht="15.75" customHeight="1">
      <c r="A57" s="47"/>
      <c r="B57" s="30"/>
      <c r="C57" s="59" t="s">
        <v>328</v>
      </c>
      <c r="D57" s="44"/>
      <c r="E57" s="20"/>
      <c r="F57" s="20"/>
      <c r="H57" s="22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</row>
    <row r="58" spans="1:60" s="412" customFormat="1" ht="13.5" hidden="1" customHeight="1" outlineLevel="1">
      <c r="A58" s="409"/>
      <c r="B58" s="410"/>
      <c r="C58" s="45" t="s">
        <v>155</v>
      </c>
      <c r="D58" s="44"/>
      <c r="E58" s="20"/>
      <c r="F58" s="20"/>
      <c r="G58" s="2"/>
      <c r="H58" s="22"/>
      <c r="I58" s="67">
        <v>0</v>
      </c>
      <c r="J58" s="67">
        <v>0</v>
      </c>
      <c r="K58" s="29">
        <v>-39800000</v>
      </c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411"/>
      <c r="AA58" s="411"/>
      <c r="AB58" s="411"/>
      <c r="AC58" s="411"/>
      <c r="AD58" s="411"/>
      <c r="AE58" s="411"/>
      <c r="AF58" s="411"/>
      <c r="AG58" s="411"/>
      <c r="AH58" s="411"/>
      <c r="AI58" s="411"/>
      <c r="AJ58" s="411"/>
      <c r="AK58" s="411"/>
      <c r="AL58" s="411"/>
      <c r="AM58" s="411"/>
      <c r="AN58" s="411"/>
      <c r="AO58" s="411"/>
      <c r="AP58" s="411"/>
      <c r="AQ58" s="411"/>
      <c r="AR58" s="411"/>
      <c r="AS58" s="411"/>
      <c r="AT58" s="411"/>
      <c r="AU58" s="411"/>
      <c r="AV58" s="411"/>
      <c r="AW58" s="411"/>
      <c r="AX58" s="411"/>
      <c r="AY58" s="411"/>
      <c r="AZ58" s="411"/>
      <c r="BA58" s="411"/>
      <c r="BB58" s="411"/>
      <c r="BC58" s="411"/>
      <c r="BD58" s="411"/>
      <c r="BE58" s="411"/>
      <c r="BF58" s="411"/>
      <c r="BG58" s="411"/>
      <c r="BH58" s="411"/>
    </row>
    <row r="59" spans="1:60" s="412" customFormat="1" ht="15.75" customHeight="1" collapsed="1">
      <c r="A59" s="409"/>
      <c r="B59" s="410"/>
      <c r="C59" s="418" t="s">
        <v>329</v>
      </c>
      <c r="D59" s="44"/>
      <c r="E59" s="69"/>
      <c r="F59" s="69"/>
      <c r="G59" s="70"/>
      <c r="H59" s="71"/>
      <c r="I59" s="67">
        <v>0</v>
      </c>
      <c r="J59" s="67">
        <v>0</v>
      </c>
      <c r="K59" s="68">
        <v>336</v>
      </c>
      <c r="L59" s="68">
        <v>336</v>
      </c>
      <c r="M59" s="68">
        <f t="shared" ref="M59:W59" si="35">L59</f>
        <v>336</v>
      </c>
      <c r="N59" s="68">
        <f t="shared" si="35"/>
        <v>336</v>
      </c>
      <c r="O59" s="68">
        <f t="shared" si="35"/>
        <v>336</v>
      </c>
      <c r="P59" s="68">
        <f t="shared" si="35"/>
        <v>336</v>
      </c>
      <c r="Q59" s="68">
        <f t="shared" si="35"/>
        <v>336</v>
      </c>
      <c r="R59" s="68"/>
      <c r="S59" s="68"/>
      <c r="T59" s="68">
        <f>Q59</f>
        <v>336</v>
      </c>
      <c r="U59" s="68">
        <f>Q59</f>
        <v>336</v>
      </c>
      <c r="V59" s="68">
        <f t="shared" si="35"/>
        <v>336</v>
      </c>
      <c r="W59" s="68">
        <f t="shared" si="35"/>
        <v>336</v>
      </c>
      <c r="X59" s="68">
        <f>W59</f>
        <v>336</v>
      </c>
      <c r="Y59" s="68">
        <f>X59</f>
        <v>336</v>
      </c>
      <c r="Z59" s="411"/>
      <c r="AA59" s="411"/>
      <c r="AB59" s="411"/>
      <c r="AC59" s="411"/>
      <c r="AD59" s="411"/>
      <c r="AE59" s="411"/>
      <c r="AF59" s="411"/>
      <c r="AG59" s="411"/>
      <c r="AH59" s="411"/>
      <c r="AI59" s="411"/>
      <c r="AJ59" s="411"/>
      <c r="AK59" s="411"/>
      <c r="AL59" s="411"/>
      <c r="AM59" s="411"/>
      <c r="AN59" s="411"/>
      <c r="AO59" s="411"/>
      <c r="AP59" s="411"/>
      <c r="AQ59" s="411"/>
      <c r="AR59" s="411"/>
      <c r="AS59" s="411"/>
      <c r="AT59" s="411"/>
      <c r="AU59" s="411"/>
      <c r="AV59" s="411"/>
      <c r="AW59" s="411"/>
      <c r="AX59" s="411"/>
      <c r="AY59" s="411"/>
      <c r="AZ59" s="411"/>
      <c r="BA59" s="411"/>
      <c r="BB59" s="411"/>
      <c r="BC59" s="411"/>
      <c r="BD59" s="411"/>
      <c r="BE59" s="411"/>
      <c r="BF59" s="411"/>
      <c r="BG59" s="411"/>
      <c r="BH59" s="411"/>
    </row>
    <row r="60" spans="1:60" s="2" customFormat="1" ht="13.5" hidden="1" customHeight="1" outlineLevel="1">
      <c r="A60" s="47"/>
      <c r="B60" s="30"/>
      <c r="C60" s="57" t="s">
        <v>529</v>
      </c>
      <c r="D60" s="44"/>
      <c r="E60" s="20"/>
      <c r="F60" s="20"/>
      <c r="H60" s="22"/>
      <c r="I60" s="67">
        <v>0</v>
      </c>
      <c r="J60" s="67">
        <v>0</v>
      </c>
      <c r="K60" s="60">
        <v>1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/>
      <c r="S60" s="60"/>
      <c r="T60" s="60">
        <v>0</v>
      </c>
      <c r="U60" s="60">
        <v>0</v>
      </c>
      <c r="V60" s="60">
        <v>0</v>
      </c>
      <c r="W60" s="60">
        <v>0</v>
      </c>
      <c r="X60" s="60">
        <v>0</v>
      </c>
      <c r="Y60" s="60">
        <v>0</v>
      </c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</row>
    <row r="61" spans="1:60" s="412" customFormat="1" ht="13.5" hidden="1" customHeight="1" outlineLevel="1">
      <c r="A61" s="409"/>
      <c r="B61" s="410"/>
      <c r="C61" s="418" t="s">
        <v>156</v>
      </c>
      <c r="D61" s="44"/>
      <c r="E61" s="69"/>
      <c r="F61" s="69"/>
      <c r="G61" s="70"/>
      <c r="H61" s="71"/>
      <c r="I61" s="67">
        <v>0</v>
      </c>
      <c r="J61" s="67">
        <v>0</v>
      </c>
      <c r="K61" s="68">
        <v>146726.19047619001</v>
      </c>
      <c r="L61" s="68">
        <f>(7932236+937991+1788692+2761081+8874000)/(336+0.75+0.49+0.25+2.14)</f>
        <v>65642.022200630105</v>
      </c>
      <c r="M61" s="68">
        <f t="shared" ref="M61:W61" si="36">L61*(1+L62)</f>
        <v>29366.775383480279</v>
      </c>
      <c r="N61" s="68">
        <f t="shared" si="36"/>
        <v>33771.79169100232</v>
      </c>
      <c r="O61" s="68">
        <f t="shared" si="36"/>
        <v>33771.79169100232</v>
      </c>
      <c r="P61" s="68">
        <f t="shared" si="36"/>
        <v>33771.79169100232</v>
      </c>
      <c r="Q61" s="68">
        <f t="shared" si="36"/>
        <v>33771.79169100232</v>
      </c>
      <c r="R61" s="68"/>
      <c r="S61" s="68"/>
      <c r="T61" s="68">
        <f>Q61</f>
        <v>33771.79169100232</v>
      </c>
      <c r="U61" s="68">
        <f>Q61*(1+Q62)</f>
        <v>33771.79169100232</v>
      </c>
      <c r="V61" s="68">
        <f t="shared" si="36"/>
        <v>33771.79169100232</v>
      </c>
      <c r="W61" s="68">
        <f t="shared" si="36"/>
        <v>33771.79169100232</v>
      </c>
      <c r="X61" s="68">
        <f>W61*(1+W62)</f>
        <v>33771.79169100232</v>
      </c>
      <c r="Y61" s="68">
        <f>X61*(1+X62)</f>
        <v>33771.79169100232</v>
      </c>
      <c r="Z61" s="411"/>
      <c r="AA61" s="411"/>
      <c r="AB61" s="411"/>
      <c r="AC61" s="411"/>
      <c r="AD61" s="411"/>
      <c r="AE61" s="411"/>
      <c r="AF61" s="411"/>
      <c r="AG61" s="411"/>
      <c r="AH61" s="411"/>
      <c r="AI61" s="411"/>
      <c r="AJ61" s="411"/>
      <c r="AK61" s="411"/>
      <c r="AL61" s="411"/>
      <c r="AM61" s="411"/>
      <c r="AN61" s="411"/>
      <c r="AO61" s="411"/>
      <c r="AP61" s="411"/>
      <c r="AQ61" s="411"/>
      <c r="AR61" s="411"/>
      <c r="AS61" s="411"/>
      <c r="AT61" s="411"/>
      <c r="AU61" s="411"/>
      <c r="AV61" s="411"/>
      <c r="AW61" s="411"/>
      <c r="AX61" s="411"/>
      <c r="AY61" s="411"/>
      <c r="AZ61" s="411"/>
      <c r="BA61" s="411"/>
      <c r="BB61" s="411"/>
      <c r="BC61" s="411"/>
      <c r="BD61" s="411"/>
      <c r="BE61" s="411"/>
      <c r="BF61" s="411"/>
      <c r="BG61" s="411"/>
      <c r="BH61" s="411"/>
    </row>
    <row r="62" spans="1:60" s="2" customFormat="1" ht="13.5" hidden="1" customHeight="1" outlineLevel="1">
      <c r="A62" s="47"/>
      <c r="B62" s="30"/>
      <c r="C62" s="57" t="s">
        <v>529</v>
      </c>
      <c r="D62" s="44"/>
      <c r="E62" s="20"/>
      <c r="F62" s="20"/>
      <c r="H62" s="22"/>
      <c r="I62" s="67">
        <v>0</v>
      </c>
      <c r="J62" s="67">
        <v>0</v>
      </c>
      <c r="K62" s="62"/>
      <c r="L62" s="17">
        <f>L63/K63-1</f>
        <v>-0.55262232333850336</v>
      </c>
      <c r="M62" s="17">
        <v>0.15</v>
      </c>
      <c r="N62" s="60">
        <v>0</v>
      </c>
      <c r="O62" s="60">
        <f t="shared" ref="O62:W62" si="37">N62</f>
        <v>0</v>
      </c>
      <c r="P62" s="60">
        <f t="shared" si="37"/>
        <v>0</v>
      </c>
      <c r="Q62" s="60">
        <f t="shared" si="37"/>
        <v>0</v>
      </c>
      <c r="R62" s="60"/>
      <c r="S62" s="60"/>
      <c r="T62" s="60">
        <f t="shared" si="37"/>
        <v>0</v>
      </c>
      <c r="U62" s="60">
        <f>Q62</f>
        <v>0</v>
      </c>
      <c r="V62" s="60">
        <f t="shared" si="37"/>
        <v>0</v>
      </c>
      <c r="W62" s="60">
        <f t="shared" si="37"/>
        <v>0</v>
      </c>
      <c r="X62" s="60">
        <f>W62</f>
        <v>0</v>
      </c>
      <c r="Y62" s="60">
        <f>X62</f>
        <v>0</v>
      </c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</row>
    <row r="63" spans="1:60" s="2" customFormat="1" ht="15.75" customHeight="1" collapsed="1">
      <c r="A63" s="47"/>
      <c r="B63" s="30"/>
      <c r="C63" s="50" t="s">
        <v>330</v>
      </c>
      <c r="D63" s="44"/>
      <c r="E63" s="69"/>
      <c r="F63" s="69"/>
      <c r="G63" s="70"/>
      <c r="H63" s="71"/>
      <c r="I63" s="67">
        <v>0</v>
      </c>
      <c r="J63" s="67">
        <v>0</v>
      </c>
      <c r="K63" s="68">
        <f t="shared" ref="K63:Q63" si="38">K59*K61</f>
        <v>49299999.999999844</v>
      </c>
      <c r="L63" s="68">
        <f t="shared" si="38"/>
        <v>22055719.459411714</v>
      </c>
      <c r="M63" s="68">
        <f t="shared" si="38"/>
        <v>9867236.5288493745</v>
      </c>
      <c r="N63" s="68">
        <f t="shared" si="38"/>
        <v>11347322.008176779</v>
      </c>
      <c r="O63" s="68">
        <f t="shared" si="38"/>
        <v>11347322.008176779</v>
      </c>
      <c r="P63" s="68">
        <f t="shared" si="38"/>
        <v>11347322.008176779</v>
      </c>
      <c r="Q63" s="68">
        <f t="shared" si="38"/>
        <v>11347322.008176779</v>
      </c>
      <c r="R63" s="68"/>
      <c r="S63" s="68"/>
      <c r="T63" s="68">
        <f t="shared" ref="T63:Y63" si="39">T59*T61</f>
        <v>11347322.008176779</v>
      </c>
      <c r="U63" s="68">
        <f t="shared" si="39"/>
        <v>11347322.008176779</v>
      </c>
      <c r="V63" s="68">
        <f t="shared" si="39"/>
        <v>11347322.008176779</v>
      </c>
      <c r="W63" s="68">
        <f t="shared" si="39"/>
        <v>11347322.008176779</v>
      </c>
      <c r="X63" s="68">
        <f t="shared" si="39"/>
        <v>11347322.008176779</v>
      </c>
      <c r="Y63" s="68">
        <f t="shared" si="39"/>
        <v>11347322.008176779</v>
      </c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</row>
    <row r="64" spans="1:60" s="66" customFormat="1" ht="15.75" hidden="1" customHeight="1" outlineLevel="1">
      <c r="A64" s="63"/>
      <c r="B64" s="26"/>
      <c r="C64" s="64" t="s">
        <v>166</v>
      </c>
      <c r="D64" s="62"/>
      <c r="E64" s="65"/>
      <c r="F64" s="65"/>
      <c r="H64" s="72"/>
      <c r="I64" s="67">
        <v>0</v>
      </c>
      <c r="J64" s="67">
        <v>0</v>
      </c>
      <c r="K64" s="16">
        <f t="shared" ref="K64:Q64" si="40">K52</f>
        <v>2.4E-2</v>
      </c>
      <c r="L64" s="16">
        <f t="shared" si="40"/>
        <v>2.4588863928112964E-2</v>
      </c>
      <c r="M64" s="16">
        <f t="shared" si="40"/>
        <v>0.02</v>
      </c>
      <c r="N64" s="16">
        <f t="shared" si="40"/>
        <v>0.02</v>
      </c>
      <c r="O64" s="16">
        <f t="shared" si="40"/>
        <v>0.02</v>
      </c>
      <c r="P64" s="16">
        <f t="shared" si="40"/>
        <v>0.02</v>
      </c>
      <c r="Q64" s="16">
        <f t="shared" si="40"/>
        <v>0.02</v>
      </c>
      <c r="R64" s="16"/>
      <c r="S64" s="16"/>
      <c r="T64" s="16">
        <f t="shared" ref="T64:Y64" si="41">T52</f>
        <v>0.02</v>
      </c>
      <c r="U64" s="16">
        <f t="shared" si="41"/>
        <v>0.02</v>
      </c>
      <c r="V64" s="16">
        <f t="shared" si="41"/>
        <v>0.02</v>
      </c>
      <c r="W64" s="16">
        <f t="shared" si="41"/>
        <v>0.02</v>
      </c>
      <c r="X64" s="16">
        <f t="shared" si="41"/>
        <v>0.02</v>
      </c>
      <c r="Y64" s="16">
        <f t="shared" si="41"/>
        <v>0.02</v>
      </c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</row>
    <row r="65" spans="1:60" s="2" customFormat="1" ht="15.75" customHeight="1" collapsed="1">
      <c r="A65" s="47"/>
      <c r="B65" s="30"/>
      <c r="C65" s="64" t="s">
        <v>167</v>
      </c>
      <c r="D65" s="44"/>
      <c r="E65" s="69"/>
      <c r="F65" s="69"/>
      <c r="G65" s="70"/>
      <c r="H65" s="71"/>
      <c r="I65" s="67">
        <v>0</v>
      </c>
      <c r="J65" s="67">
        <v>0</v>
      </c>
      <c r="K65" s="68">
        <f t="shared" ref="K65:Q65" si="42">K63*K64</f>
        <v>1183199.9999999963</v>
      </c>
      <c r="L65" s="68">
        <f t="shared" si="42"/>
        <v>542325.08462410781</v>
      </c>
      <c r="M65" s="68">
        <f t="shared" si="42"/>
        <v>197344.73057698749</v>
      </c>
      <c r="N65" s="68">
        <f t="shared" si="42"/>
        <v>226946.44016353559</v>
      </c>
      <c r="O65" s="68">
        <f t="shared" si="42"/>
        <v>226946.44016353559</v>
      </c>
      <c r="P65" s="68">
        <f t="shared" si="42"/>
        <v>226946.44016353559</v>
      </c>
      <c r="Q65" s="68">
        <f t="shared" si="42"/>
        <v>226946.44016353559</v>
      </c>
      <c r="R65" s="27">
        <f>Q65/2</f>
        <v>113473.22008176779</v>
      </c>
      <c r="S65" s="27">
        <f>R65</f>
        <v>113473.22008176779</v>
      </c>
      <c r="T65" s="68">
        <f t="shared" ref="T65:Y65" si="43">T63*T64</f>
        <v>226946.44016353559</v>
      </c>
      <c r="U65" s="68">
        <f t="shared" si="43"/>
        <v>226946.44016353559</v>
      </c>
      <c r="V65" s="68">
        <f t="shared" si="43"/>
        <v>226946.44016353559</v>
      </c>
      <c r="W65" s="68">
        <f t="shared" si="43"/>
        <v>226946.44016353559</v>
      </c>
      <c r="X65" s="68">
        <f t="shared" si="43"/>
        <v>226946.44016353559</v>
      </c>
      <c r="Y65" s="68">
        <f t="shared" si="43"/>
        <v>226946.44016353559</v>
      </c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</row>
    <row r="66" spans="1:60" s="412" customFormat="1" ht="13.5" hidden="1" customHeight="1" outlineLevel="1">
      <c r="A66" s="409"/>
      <c r="B66" s="410"/>
      <c r="C66" s="50" t="s">
        <v>164</v>
      </c>
      <c r="D66" s="44"/>
      <c r="E66" s="44"/>
      <c r="F66" s="44"/>
      <c r="G66" s="44"/>
      <c r="H66" s="62"/>
      <c r="I66" s="27">
        <v>0</v>
      </c>
      <c r="J66" s="27">
        <v>0</v>
      </c>
      <c r="K66" s="27">
        <v>9500000</v>
      </c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411"/>
      <c r="AA66" s="411"/>
      <c r="AB66" s="411"/>
      <c r="AC66" s="411"/>
      <c r="AD66" s="411"/>
      <c r="AE66" s="411"/>
      <c r="AF66" s="411"/>
      <c r="AG66" s="411"/>
      <c r="AH66" s="411"/>
      <c r="AI66" s="411"/>
      <c r="AJ66" s="411"/>
      <c r="AK66" s="411"/>
      <c r="AL66" s="411"/>
      <c r="AM66" s="411"/>
      <c r="AN66" s="411"/>
      <c r="AO66" s="411"/>
      <c r="AP66" s="411"/>
      <c r="AQ66" s="411"/>
      <c r="AR66" s="411"/>
      <c r="AS66" s="411"/>
      <c r="AT66" s="411"/>
      <c r="AU66" s="411"/>
      <c r="AV66" s="411"/>
      <c r="AW66" s="411"/>
      <c r="AX66" s="411"/>
      <c r="AY66" s="411"/>
      <c r="AZ66" s="411"/>
      <c r="BA66" s="411"/>
      <c r="BB66" s="411"/>
      <c r="BC66" s="411"/>
      <c r="BD66" s="411"/>
      <c r="BE66" s="411"/>
      <c r="BF66" s="411"/>
      <c r="BG66" s="411"/>
      <c r="BH66" s="411"/>
    </row>
    <row r="67" spans="1:60" s="2" customFormat="1" ht="13.5" hidden="1" customHeight="1" outlineLevel="1">
      <c r="A67" s="47"/>
      <c r="B67" s="30"/>
      <c r="C67" s="50"/>
      <c r="D67" s="44"/>
      <c r="E67" s="69"/>
      <c r="F67" s="69"/>
      <c r="G67" s="70"/>
      <c r="H67" s="71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</row>
    <row r="68" spans="1:60" s="2" customFormat="1" ht="13.5" hidden="1" customHeight="1" outlineLevel="1">
      <c r="A68" s="47"/>
      <c r="B68" s="30"/>
      <c r="C68" s="58" t="s">
        <v>157</v>
      </c>
      <c r="D68" s="44"/>
      <c r="E68" s="69"/>
      <c r="F68" s="69"/>
      <c r="G68" s="70"/>
      <c r="H68" s="71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</row>
    <row r="69" spans="1:60" s="2" customFormat="1" ht="13.5" hidden="1" customHeight="1" outlineLevel="1">
      <c r="A69" s="47"/>
      <c r="B69" s="30"/>
      <c r="C69" s="50"/>
      <c r="D69" s="44"/>
      <c r="E69" s="69"/>
      <c r="F69" s="69"/>
      <c r="G69" s="70"/>
      <c r="H69" s="71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</row>
    <row r="70" spans="1:60" s="2" customFormat="1" ht="13.5" hidden="1" customHeight="1" outlineLevel="1">
      <c r="A70" s="47"/>
      <c r="B70" s="30"/>
      <c r="C70" s="50" t="s">
        <v>155</v>
      </c>
      <c r="D70" s="44"/>
      <c r="E70" s="69"/>
      <c r="F70" s="69"/>
      <c r="G70" s="70"/>
      <c r="H70" s="71"/>
      <c r="I70" s="68">
        <f t="shared" ref="I70:N70" si="44">I58+I35</f>
        <v>0</v>
      </c>
      <c r="J70" s="68">
        <f t="shared" si="44"/>
        <v>0</v>
      </c>
      <c r="K70" s="27">
        <f>K58+K35</f>
        <v>-51889650</v>
      </c>
      <c r="L70" s="27">
        <f>L58+L35</f>
        <v>-20781000</v>
      </c>
      <c r="M70" s="27">
        <f t="shared" si="44"/>
        <v>0</v>
      </c>
      <c r="N70" s="27">
        <f t="shared" si="44"/>
        <v>0</v>
      </c>
      <c r="O70" s="27">
        <f t="shared" ref="O70:W70" si="45">O58+O35</f>
        <v>0</v>
      </c>
      <c r="P70" s="27">
        <f t="shared" si="45"/>
        <v>0</v>
      </c>
      <c r="Q70" s="27">
        <f t="shared" si="45"/>
        <v>0</v>
      </c>
      <c r="R70" s="27"/>
      <c r="S70" s="27"/>
      <c r="T70" s="27">
        <f>T58+T35</f>
        <v>0</v>
      </c>
      <c r="U70" s="27">
        <f t="shared" si="45"/>
        <v>0</v>
      </c>
      <c r="V70" s="27">
        <f t="shared" si="45"/>
        <v>0</v>
      </c>
      <c r="W70" s="27">
        <f t="shared" si="45"/>
        <v>0</v>
      </c>
      <c r="X70" s="27">
        <f>X58+X35</f>
        <v>0</v>
      </c>
      <c r="Y70" s="27">
        <f>Y58+Y35</f>
        <v>0</v>
      </c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</row>
    <row r="71" spans="1:60" s="2" customFormat="1" ht="13.5" hidden="1" customHeight="1" outlineLevel="1">
      <c r="A71" s="47"/>
      <c r="B71" s="30"/>
      <c r="C71" s="50" t="s">
        <v>158</v>
      </c>
      <c r="D71" s="44"/>
      <c r="E71" s="69"/>
      <c r="F71" s="69"/>
      <c r="G71" s="70"/>
      <c r="H71" s="71"/>
      <c r="I71" s="68">
        <f t="shared" ref="I71:N71" si="46">I63+I51+I40+I29</f>
        <v>97700000</v>
      </c>
      <c r="J71" s="68">
        <f t="shared" si="46"/>
        <v>126500000.01124984</v>
      </c>
      <c r="K71" s="27">
        <f>K63+K51+K40+K29</f>
        <v>252199005.51132819</v>
      </c>
      <c r="L71" s="27">
        <f>L63+L51+L40+L29</f>
        <v>150351719.45941171</v>
      </c>
      <c r="M71" s="27">
        <f>M63+M51+M40+M29</f>
        <v>70126283.133947849</v>
      </c>
      <c r="N71" s="27">
        <f t="shared" si="46"/>
        <v>80645225.604039997</v>
      </c>
      <c r="O71" s="27">
        <f t="shared" ref="O71:W71" si="47">O63+O51+O40+O29</f>
        <v>90548663.566326961</v>
      </c>
      <c r="P71" s="27">
        <f t="shared" si="47"/>
        <v>102428864.8000495</v>
      </c>
      <c r="Q71" s="27">
        <f t="shared" si="47"/>
        <v>116091096.21883038</v>
      </c>
      <c r="R71" s="27"/>
      <c r="S71" s="27"/>
      <c r="T71" s="27">
        <f>T63+T51+T40+T29</f>
        <v>116091096.21883038</v>
      </c>
      <c r="U71" s="27">
        <f t="shared" si="47"/>
        <v>131802662.3504284</v>
      </c>
      <c r="V71" s="27">
        <f t="shared" si="47"/>
        <v>149870963.40176615</v>
      </c>
      <c r="W71" s="27">
        <f t="shared" si="47"/>
        <v>170649509.61080456</v>
      </c>
      <c r="X71" s="27">
        <f>X63+X51+X40+X29</f>
        <v>194544837.75119871</v>
      </c>
      <c r="Y71" s="27">
        <f>Y63+Y51+Y40+Y29</f>
        <v>222024465.112652</v>
      </c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</row>
    <row r="72" spans="1:60" s="2" customFormat="1" ht="13.5" hidden="1" customHeight="1" outlineLevel="1">
      <c r="A72" s="47"/>
      <c r="B72" s="30"/>
      <c r="C72" s="50" t="s">
        <v>537</v>
      </c>
      <c r="D72" s="44"/>
      <c r="E72" s="69"/>
      <c r="F72" s="69"/>
      <c r="G72" s="70"/>
      <c r="H72" s="71"/>
      <c r="I72" s="68">
        <f t="shared" ref="I72:S72" si="48">I65+I53+I42+I31</f>
        <v>1954000</v>
      </c>
      <c r="J72" s="68">
        <f t="shared" si="48"/>
        <v>5313000.0004724935</v>
      </c>
      <c r="K72" s="27">
        <f t="shared" si="48"/>
        <v>6052776.1322718766</v>
      </c>
      <c r="L72" s="27">
        <f>L65+L53+L42+L31</f>
        <v>6176533.0846241079</v>
      </c>
      <c r="M72" s="27">
        <f t="shared" si="48"/>
        <v>1402525.6626789568</v>
      </c>
      <c r="N72" s="27">
        <f t="shared" si="48"/>
        <v>1612904.5120807998</v>
      </c>
      <c r="O72" s="27">
        <f t="shared" si="48"/>
        <v>1810973.2713265393</v>
      </c>
      <c r="P72" s="27">
        <f>P18</f>
        <v>8379163</v>
      </c>
      <c r="Q72" s="27">
        <f t="shared" si="48"/>
        <v>2321821.9243766079</v>
      </c>
      <c r="R72" s="27">
        <f t="shared" si="48"/>
        <v>1160910.9621883039</v>
      </c>
      <c r="S72" s="27">
        <f t="shared" si="48"/>
        <v>1160910.9621883039</v>
      </c>
      <c r="T72" s="27">
        <f t="shared" ref="T72:Y72" si="49">T65+T53+T42+T31</f>
        <v>2321821.9243766079</v>
      </c>
      <c r="U72" s="27">
        <f t="shared" si="49"/>
        <v>2636053.2470085686</v>
      </c>
      <c r="V72" s="27">
        <f t="shared" si="49"/>
        <v>2997419.2680353229</v>
      </c>
      <c r="W72" s="27">
        <f t="shared" si="49"/>
        <v>3412990.1922160913</v>
      </c>
      <c r="X72" s="27">
        <f t="shared" si="49"/>
        <v>3890896.7550239745</v>
      </c>
      <c r="Y72" s="27">
        <f t="shared" si="49"/>
        <v>4440489.3022530396</v>
      </c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</row>
    <row r="73" spans="1:60" s="2" customFormat="1" ht="13.5" hidden="1" customHeight="1" outlineLevel="1">
      <c r="A73" s="47"/>
      <c r="B73" s="30"/>
      <c r="C73" s="50" t="s">
        <v>152</v>
      </c>
      <c r="D73" s="44"/>
      <c r="E73" s="69"/>
      <c r="F73" s="69"/>
      <c r="G73" s="70"/>
      <c r="H73" s="71"/>
      <c r="I73" s="68">
        <f>I33+I44+I54+I66</f>
        <v>0</v>
      </c>
      <c r="J73" s="68">
        <f t="shared" ref="J73:Q73" si="50">J33+J44+J55+J66</f>
        <v>21800000</v>
      </c>
      <c r="K73" s="27">
        <f t="shared" si="50"/>
        <v>64510350</v>
      </c>
      <c r="L73" s="27">
        <f t="shared" si="50"/>
        <v>-47104093</v>
      </c>
      <c r="M73" s="27">
        <f t="shared" si="50"/>
        <v>0</v>
      </c>
      <c r="N73" s="27">
        <v>-593443.56215324532</v>
      </c>
      <c r="O73" s="27">
        <f t="shared" si="50"/>
        <v>0</v>
      </c>
      <c r="P73" s="27">
        <v>3771719</v>
      </c>
      <c r="Q73" s="27">
        <f t="shared" si="50"/>
        <v>0</v>
      </c>
      <c r="R73" s="27"/>
      <c r="S73" s="27"/>
      <c r="T73" s="27">
        <f t="shared" ref="T73:Y73" si="51">T33+T44+T55+T66</f>
        <v>0</v>
      </c>
      <c r="U73" s="27">
        <f t="shared" si="51"/>
        <v>0</v>
      </c>
      <c r="V73" s="27">
        <f t="shared" si="51"/>
        <v>0</v>
      </c>
      <c r="W73" s="27">
        <f t="shared" si="51"/>
        <v>0</v>
      </c>
      <c r="X73" s="27">
        <f t="shared" si="51"/>
        <v>0</v>
      </c>
      <c r="Y73" s="27">
        <f t="shared" si="51"/>
        <v>0</v>
      </c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</row>
    <row r="74" spans="1:60" s="2" customFormat="1" ht="13.5" hidden="1" customHeight="1" outlineLevel="1">
      <c r="A74" s="47"/>
      <c r="B74" s="30"/>
      <c r="C74" s="50" t="s">
        <v>371</v>
      </c>
      <c r="D74" s="44"/>
      <c r="E74" s="69"/>
      <c r="F74" s="69"/>
      <c r="G74" s="70"/>
      <c r="H74" s="71"/>
      <c r="I74" s="68">
        <f>I54</f>
        <v>0</v>
      </c>
      <c r="J74" s="68">
        <f>J54</f>
        <v>0</v>
      </c>
      <c r="K74" s="27">
        <f>K54</f>
        <v>-9635689</v>
      </c>
      <c r="L74" s="27">
        <f t="shared" ref="L74:Q74" si="52">L54</f>
        <v>0</v>
      </c>
      <c r="M74" s="27">
        <f t="shared" si="52"/>
        <v>0</v>
      </c>
      <c r="N74" s="27">
        <f t="shared" si="52"/>
        <v>0</v>
      </c>
      <c r="O74" s="27">
        <f t="shared" si="52"/>
        <v>0</v>
      </c>
      <c r="P74" s="27">
        <f t="shared" si="52"/>
        <v>0</v>
      </c>
      <c r="Q74" s="27">
        <f t="shared" si="52"/>
        <v>0</v>
      </c>
      <c r="R74" s="27"/>
      <c r="S74" s="27"/>
      <c r="T74" s="27">
        <f t="shared" ref="T74:Y74" si="53">T54</f>
        <v>0</v>
      </c>
      <c r="U74" s="27">
        <f t="shared" si="53"/>
        <v>0</v>
      </c>
      <c r="V74" s="27">
        <f t="shared" si="53"/>
        <v>0</v>
      </c>
      <c r="W74" s="27">
        <f t="shared" si="53"/>
        <v>0</v>
      </c>
      <c r="X74" s="27">
        <f t="shared" si="53"/>
        <v>0</v>
      </c>
      <c r="Y74" s="27">
        <f t="shared" si="53"/>
        <v>0</v>
      </c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</row>
    <row r="75" spans="1:60" s="2" customFormat="1" ht="13.5" hidden="1" customHeight="1" outlineLevel="1">
      <c r="A75" s="47"/>
      <c r="B75" s="30"/>
      <c r="C75" s="50" t="s">
        <v>153</v>
      </c>
      <c r="D75" s="44"/>
      <c r="E75" s="69"/>
      <c r="F75" s="69"/>
      <c r="G75" s="70"/>
      <c r="H75" s="71"/>
      <c r="I75" s="68">
        <f t="shared" ref="I75:Q75" si="54">I32</f>
        <v>0</v>
      </c>
      <c r="J75" s="68">
        <f t="shared" si="54"/>
        <v>0</v>
      </c>
      <c r="K75" s="27">
        <f t="shared" si="54"/>
        <v>0</v>
      </c>
      <c r="L75" s="27">
        <f t="shared" si="54"/>
        <v>-21863645</v>
      </c>
      <c r="M75" s="27">
        <f t="shared" si="54"/>
        <v>0</v>
      </c>
      <c r="N75" s="27">
        <f t="shared" si="54"/>
        <v>0</v>
      </c>
      <c r="O75" s="27">
        <f t="shared" si="54"/>
        <v>0</v>
      </c>
      <c r="P75" s="27">
        <f t="shared" si="54"/>
        <v>0</v>
      </c>
      <c r="Q75" s="27">
        <f t="shared" si="54"/>
        <v>0</v>
      </c>
      <c r="R75" s="27"/>
      <c r="S75" s="27"/>
      <c r="T75" s="27">
        <f t="shared" ref="T75:Y75" si="55">T32</f>
        <v>0</v>
      </c>
      <c r="U75" s="27">
        <f t="shared" si="55"/>
        <v>0</v>
      </c>
      <c r="V75" s="27">
        <f t="shared" si="55"/>
        <v>0</v>
      </c>
      <c r="W75" s="27">
        <f t="shared" si="55"/>
        <v>0</v>
      </c>
      <c r="X75" s="27">
        <f t="shared" si="55"/>
        <v>0</v>
      </c>
      <c r="Y75" s="27">
        <f t="shared" si="55"/>
        <v>0</v>
      </c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</row>
    <row r="76" spans="1:60" s="2" customFormat="1" ht="13.5" hidden="1" customHeight="1" outlineLevel="1">
      <c r="A76" s="47"/>
      <c r="B76" s="30"/>
      <c r="C76" s="50"/>
      <c r="D76" s="44"/>
      <c r="E76" s="69"/>
      <c r="F76" s="69"/>
      <c r="G76" s="70"/>
      <c r="H76" s="71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</row>
    <row r="77" spans="1:60" s="2" customFormat="1" ht="13.5" hidden="1" customHeight="1" outlineLevel="1">
      <c r="A77" s="47"/>
      <c r="B77" s="30"/>
      <c r="C77" s="50"/>
      <c r="D77" s="44"/>
      <c r="E77" s="69"/>
      <c r="F77" s="69"/>
      <c r="G77" s="70"/>
      <c r="H77" s="71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</row>
    <row r="78" spans="1:60" s="2" customFormat="1" ht="13.5" hidden="1" customHeight="1" outlineLevel="1">
      <c r="A78" s="47"/>
      <c r="B78" s="30"/>
      <c r="C78" s="50"/>
      <c r="D78" s="44"/>
      <c r="E78" s="69"/>
      <c r="F78" s="69"/>
      <c r="G78" s="70"/>
      <c r="H78" s="71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</row>
    <row r="79" spans="1:60" s="2" customFormat="1" ht="13.5" hidden="1" customHeight="1" outlineLevel="1">
      <c r="A79" s="47"/>
      <c r="B79" s="30"/>
      <c r="C79" s="50"/>
      <c r="D79" s="44"/>
      <c r="E79" s="69"/>
      <c r="F79" s="69"/>
      <c r="G79" s="70"/>
      <c r="H79" s="71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</row>
    <row r="80" spans="1:60" s="2" customFormat="1" ht="15.75" customHeight="1" collapsed="1">
      <c r="A80" s="47"/>
      <c r="B80" s="30"/>
      <c r="C80" s="50"/>
      <c r="D80" s="44"/>
      <c r="E80" s="69"/>
      <c r="F80" s="69"/>
      <c r="G80" s="70"/>
      <c r="H80" s="71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</row>
    <row r="81" spans="1:60" s="2" customFormat="1" ht="15.75" customHeight="1">
      <c r="A81" s="47"/>
      <c r="B81" s="30"/>
      <c r="C81" s="50"/>
      <c r="D81" s="44"/>
      <c r="E81" s="69"/>
      <c r="F81" s="69"/>
      <c r="G81" s="70"/>
      <c r="H81" s="71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</row>
    <row r="82" spans="1:60" s="15" customFormat="1" ht="15.75" customHeight="1">
      <c r="A82" s="169"/>
      <c r="B82" s="167"/>
      <c r="C82" s="242"/>
      <c r="D82" s="12"/>
      <c r="E82" s="12"/>
      <c r="F82" s="12"/>
      <c r="G82" s="12"/>
      <c r="H82" s="22"/>
      <c r="I82" s="12"/>
      <c r="J82" s="12"/>
      <c r="L82" s="48"/>
      <c r="M82" s="12"/>
      <c r="N82" s="68"/>
    </row>
    <row r="83" spans="1:60" ht="15.75" customHeight="1">
      <c r="A83" s="169"/>
      <c r="B83" s="169"/>
      <c r="C83" s="169"/>
      <c r="H83" s="54"/>
      <c r="I83" s="49"/>
      <c r="J83" s="49"/>
      <c r="K83" s="49"/>
      <c r="L83" s="49"/>
      <c r="M83" s="49"/>
      <c r="N83" s="68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</row>
    <row r="84" spans="1:60">
      <c r="A84" s="169"/>
      <c r="B84" s="167"/>
      <c r="C84" s="242"/>
      <c r="N84" s="68"/>
    </row>
    <row r="85" spans="1:60">
      <c r="A85" s="169"/>
      <c r="B85" s="215"/>
      <c r="C85" s="169"/>
      <c r="N85" s="68"/>
    </row>
    <row r="86" spans="1:60">
      <c r="A86" s="169"/>
      <c r="B86" s="167"/>
      <c r="C86" s="242"/>
      <c r="N86" s="68"/>
    </row>
    <row r="87" spans="1:60">
      <c r="A87" s="169"/>
      <c r="B87" s="167"/>
      <c r="C87" s="242"/>
      <c r="N87" s="68"/>
    </row>
    <row r="88" spans="1:60">
      <c r="A88" s="169"/>
      <c r="B88" s="167"/>
      <c r="C88" s="242"/>
      <c r="N88" s="68"/>
    </row>
    <row r="89" spans="1:60">
      <c r="A89" s="169"/>
      <c r="B89" s="167"/>
      <c r="C89" s="242"/>
      <c r="N89" s="68"/>
    </row>
    <row r="90" spans="1:60">
      <c r="A90" s="169"/>
      <c r="B90" s="242"/>
      <c r="C90" s="242"/>
      <c r="N90" s="68"/>
    </row>
    <row r="91" spans="1:60">
      <c r="A91" s="169"/>
      <c r="B91" s="167"/>
      <c r="C91" s="242"/>
      <c r="N91" s="68"/>
    </row>
    <row r="92" spans="1:60">
      <c r="A92" s="169"/>
      <c r="B92" s="215"/>
      <c r="C92" s="215"/>
      <c r="N92" s="68"/>
    </row>
    <row r="93" spans="1:60">
      <c r="A93" s="167"/>
      <c r="B93" s="167"/>
      <c r="C93" s="353"/>
      <c r="N93" s="68"/>
    </row>
    <row r="94" spans="1:60">
      <c r="A94" s="167"/>
      <c r="B94" s="167"/>
      <c r="C94" s="353"/>
      <c r="N94" s="68"/>
    </row>
    <row r="95" spans="1:60">
      <c r="A95" s="167"/>
      <c r="B95" s="167"/>
      <c r="C95" s="242"/>
      <c r="N95" s="68"/>
    </row>
    <row r="96" spans="1:60">
      <c r="A96" s="167"/>
      <c r="B96" s="167"/>
      <c r="C96" s="215"/>
      <c r="N96" s="68"/>
    </row>
    <row r="97" spans="1:14">
      <c r="A97" s="167"/>
      <c r="B97" s="167"/>
      <c r="C97" s="353"/>
      <c r="N97" s="68"/>
    </row>
    <row r="98" spans="1:14">
      <c r="A98" s="167"/>
      <c r="B98" s="167"/>
      <c r="C98" s="353"/>
      <c r="N98" s="68"/>
    </row>
    <row r="99" spans="1:14">
      <c r="A99" s="167"/>
      <c r="B99" s="356"/>
      <c r="C99" s="242"/>
      <c r="N99" s="68"/>
    </row>
    <row r="100" spans="1:14">
      <c r="A100" s="167"/>
      <c r="B100" s="167"/>
      <c r="C100" s="242"/>
      <c r="N100" s="68"/>
    </row>
    <row r="101" spans="1:14">
      <c r="A101" s="169"/>
      <c r="B101" s="169"/>
      <c r="C101" s="169"/>
      <c r="N101" s="68"/>
    </row>
    <row r="102" spans="1:14">
      <c r="A102" s="167"/>
      <c r="B102" s="167"/>
      <c r="C102" s="242"/>
      <c r="N102" s="68"/>
    </row>
    <row r="103" spans="1:14">
      <c r="A103" s="167"/>
      <c r="B103" s="167"/>
      <c r="C103" s="242"/>
      <c r="N103" s="68"/>
    </row>
  </sheetData>
  <phoneticPr fontId="0" type="noConversion"/>
  <printOptions horizontalCentered="1"/>
  <pageMargins left="0.35433070866141736" right="0.35433070866141736" top="0.62992125984251968" bottom="0.35433070866141736" header="0.51181102362204722" footer="0.23622047244094491"/>
  <pageSetup paperSize="9" scale="49" orientation="portrait" r:id="rId1"/>
  <headerFooter alignWithMargins="0"/>
  <rowBreaks count="1" manualBreakCount="1">
    <brk id="82" min="1" max="17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  <pageSetUpPr fitToPage="1"/>
  </sheetPr>
  <dimension ref="A1:S690"/>
  <sheetViews>
    <sheetView showGridLines="0" zoomScale="74" zoomScaleNormal="74" zoomScaleSheetLayoutView="85" workbookViewId="0">
      <selection activeCell="Q15" sqref="Q15"/>
    </sheetView>
  </sheetViews>
  <sheetFormatPr defaultRowHeight="12.75" outlineLevelRow="2" outlineLevelCol="2"/>
  <cols>
    <col min="1" max="1" width="4.140625" style="354" bestFit="1" customWidth="1"/>
    <col min="2" max="2" width="2.85546875" style="354" customWidth="1"/>
    <col min="3" max="3" width="4.140625" style="1746" customWidth="1"/>
    <col min="4" max="4" width="52.85546875" style="354" bestFit="1" customWidth="1"/>
    <col min="5" max="5" width="47.28515625" style="354" hidden="1" customWidth="1" outlineLevel="2"/>
    <col min="6" max="6" width="38.5703125" style="354" hidden="1" customWidth="1" outlineLevel="2"/>
    <col min="7" max="7" width="9.42578125" style="1752" hidden="1" customWidth="1" outlineLevel="1" collapsed="1"/>
    <col min="8" max="8" width="27.5703125" style="1752" hidden="1" customWidth="1" outlineLevel="1"/>
    <col min="9" max="9" width="11.7109375" style="1747" hidden="1" customWidth="1" outlineLevel="1"/>
    <col min="10" max="10" width="13.85546875" style="354" hidden="1" customWidth="1" outlineLevel="1"/>
    <col min="11" max="11" width="14.5703125" style="354" hidden="1" customWidth="1" outlineLevel="1" collapsed="1"/>
    <col min="12" max="12" width="18.7109375" style="1747" hidden="1" customWidth="1" outlineLevel="1" collapsed="1"/>
    <col min="13" max="13" width="15.42578125" style="1747" hidden="1" customWidth="1" outlineLevel="1" collapsed="1"/>
    <col min="14" max="14" width="15.42578125" style="354" hidden="1" customWidth="1" outlineLevel="1"/>
    <col min="15" max="15" width="16.7109375" style="354" customWidth="1" collapsed="1"/>
    <col min="16" max="19" width="16.7109375" style="354" customWidth="1"/>
    <col min="20" max="56" width="11.7109375" style="354" customWidth="1"/>
    <col min="57" max="16384" width="9.140625" style="354"/>
  </cols>
  <sheetData>
    <row r="1" spans="1:19" ht="15.75" customHeight="1">
      <c r="A1" s="1746"/>
      <c r="E1" s="1747"/>
      <c r="F1" s="1747"/>
      <c r="G1" s="1747"/>
      <c r="H1" s="1748"/>
      <c r="J1" s="1747"/>
      <c r="N1" s="1749"/>
      <c r="O1" s="1749"/>
      <c r="P1" s="1749"/>
      <c r="Q1" s="1749"/>
      <c r="R1" s="1749"/>
      <c r="S1" s="1749"/>
    </row>
    <row r="2" spans="1:19" ht="15.75" customHeight="1">
      <c r="A2" s="1746"/>
      <c r="C2" s="1750"/>
      <c r="D2" s="1747"/>
      <c r="E2" s="1747"/>
      <c r="F2" s="1747"/>
      <c r="G2" s="1747"/>
      <c r="H2" s="1748"/>
      <c r="J2" s="1747"/>
      <c r="N2" s="1749"/>
      <c r="O2" s="1749"/>
      <c r="P2" s="1749"/>
      <c r="Q2" s="1749"/>
      <c r="R2" s="1749"/>
      <c r="S2" s="1749"/>
    </row>
    <row r="3" spans="1:19" ht="27">
      <c r="A3" s="1746"/>
      <c r="C3" s="1751"/>
      <c r="G3" s="354"/>
      <c r="L3" s="354"/>
      <c r="N3" s="1753"/>
      <c r="O3" s="1754"/>
      <c r="P3" s="1755"/>
    </row>
    <row r="4" spans="1:19" ht="15.75" customHeight="1">
      <c r="A4" s="1746"/>
      <c r="C4" s="1756"/>
      <c r="D4" s="1757"/>
      <c r="E4" s="1757"/>
      <c r="F4" s="1757"/>
      <c r="G4" s="1757"/>
      <c r="H4" s="1758"/>
      <c r="I4" s="1757"/>
      <c r="J4" s="1757"/>
      <c r="K4" s="1757"/>
      <c r="L4" s="1757"/>
      <c r="M4" s="1757"/>
      <c r="N4" s="1757"/>
      <c r="O4" s="1757"/>
      <c r="P4" s="1757"/>
      <c r="Q4" s="1757"/>
      <c r="R4" s="1757"/>
      <c r="S4" s="1757"/>
    </row>
    <row r="5" spans="1:19" ht="9" customHeight="1">
      <c r="A5" s="1746"/>
      <c r="G5" s="354"/>
      <c r="H5" s="1759"/>
      <c r="I5" s="1760"/>
      <c r="J5" s="1760"/>
      <c r="K5" s="1760"/>
      <c r="L5" s="1760"/>
      <c r="M5" s="1760"/>
      <c r="N5" s="1760"/>
      <c r="O5" s="1760"/>
      <c r="P5" s="1760"/>
      <c r="Q5" s="1760"/>
      <c r="R5" s="1760"/>
      <c r="S5" s="1760"/>
    </row>
    <row r="6" spans="1:19" ht="15.75" customHeight="1">
      <c r="A6" s="1746"/>
      <c r="C6" s="1761"/>
      <c r="D6" s="1762"/>
      <c r="E6" s="1762"/>
      <c r="F6" s="1762"/>
      <c r="G6" s="1762"/>
      <c r="H6" s="1759"/>
      <c r="I6" s="1763"/>
      <c r="J6" s="1763"/>
      <c r="K6" s="1763"/>
      <c r="L6" s="1764"/>
      <c r="M6" s="1760"/>
      <c r="N6" s="1765"/>
      <c r="O6" s="1765"/>
      <c r="P6" s="1765"/>
      <c r="Q6" s="1765"/>
      <c r="R6" s="1765"/>
      <c r="S6" s="1765"/>
    </row>
    <row r="7" spans="1:19" ht="15.75" customHeight="1">
      <c r="A7" s="1746"/>
      <c r="C7" s="1766"/>
      <c r="D7" s="1767"/>
      <c r="E7" s="1767"/>
      <c r="F7" s="1767"/>
      <c r="G7" s="1766"/>
      <c r="H7" s="1768"/>
      <c r="I7" s="1768"/>
      <c r="J7" s="1768"/>
      <c r="K7" s="1768"/>
      <c r="L7" s="1769"/>
      <c r="M7" s="1769"/>
      <c r="N7" s="1769"/>
      <c r="O7" s="1769"/>
      <c r="P7" s="1769"/>
      <c r="Q7" s="1769"/>
      <c r="R7" s="1769"/>
      <c r="S7" s="1769"/>
    </row>
    <row r="8" spans="1:19" ht="15.75" customHeight="1">
      <c r="A8" s="1746"/>
      <c r="C8" s="1770"/>
      <c r="D8" s="1771"/>
      <c r="E8" s="1771"/>
      <c r="F8" s="1771"/>
      <c r="G8" s="1770"/>
      <c r="H8" s="1772"/>
      <c r="I8" s="1772"/>
      <c r="J8" s="1772"/>
      <c r="K8" s="1772"/>
      <c r="L8" s="1772"/>
      <c r="M8" s="1772"/>
      <c r="N8" s="1772"/>
      <c r="O8" s="1772"/>
      <c r="P8" s="1772"/>
      <c r="Q8" s="1772"/>
      <c r="R8" s="1772"/>
      <c r="S8" s="1772"/>
    </row>
    <row r="9" spans="1:19" ht="15.75" customHeight="1">
      <c r="A9" s="1746"/>
      <c r="C9" s="1773"/>
      <c r="D9" s="1774"/>
      <c r="E9" s="1775"/>
      <c r="F9" s="1775"/>
      <c r="G9" s="1773"/>
      <c r="H9" s="1776"/>
      <c r="I9" s="1776"/>
      <c r="J9" s="1776"/>
      <c r="K9" s="1776"/>
      <c r="L9" s="1776"/>
      <c r="M9" s="1776"/>
      <c r="N9" s="1776"/>
      <c r="O9" s="1776"/>
      <c r="P9" s="1776"/>
      <c r="Q9" s="1776"/>
      <c r="R9" s="1776"/>
      <c r="S9" s="1776"/>
    </row>
    <row r="10" spans="1:19" ht="15.75" customHeight="1">
      <c r="A10" s="1746"/>
      <c r="C10" s="1777"/>
      <c r="D10" s="1778"/>
      <c r="E10" s="1779"/>
      <c r="F10" s="1779"/>
      <c r="G10" s="1777"/>
      <c r="H10" s="1780"/>
      <c r="I10" s="1781"/>
      <c r="J10" s="1781"/>
      <c r="K10" s="1781"/>
      <c r="L10" s="1781"/>
      <c r="M10" s="1781"/>
      <c r="N10" s="1781"/>
      <c r="O10" s="1781"/>
      <c r="P10" s="1781"/>
      <c r="Q10" s="1781"/>
      <c r="R10" s="1781"/>
      <c r="S10" s="1781"/>
    </row>
    <row r="11" spans="1:19" ht="15.75" customHeight="1">
      <c r="A11" s="1746"/>
      <c r="C11" s="1782"/>
      <c r="D11" s="1783"/>
      <c r="E11" s="1783"/>
      <c r="F11" s="1783"/>
      <c r="G11" s="1784"/>
      <c r="H11" s="1785"/>
      <c r="I11" s="1786"/>
      <c r="J11" s="1786"/>
      <c r="K11" s="1786"/>
      <c r="L11" s="1786"/>
      <c r="M11" s="1786"/>
      <c r="N11" s="1786"/>
      <c r="O11" s="1786"/>
      <c r="P11" s="1786"/>
      <c r="Q11" s="1786"/>
      <c r="R11" s="1786"/>
      <c r="S11" s="1786"/>
    </row>
    <row r="12" spans="1:19" ht="15.75" customHeight="1" outlineLevel="1">
      <c r="A12" s="1746"/>
      <c r="C12" s="1787"/>
      <c r="D12" s="1788"/>
      <c r="E12" s="1788"/>
      <c r="F12" s="1788"/>
      <c r="G12" s="354"/>
      <c r="I12" s="1789"/>
      <c r="J12" s="1789"/>
      <c r="K12" s="1789"/>
      <c r="L12" s="1789"/>
      <c r="M12" s="1789"/>
      <c r="N12" s="1789"/>
      <c r="O12" s="1789"/>
      <c r="P12" s="1789"/>
      <c r="Q12" s="1789"/>
      <c r="R12" s="1789"/>
      <c r="S12" s="1789"/>
    </row>
    <row r="13" spans="1:19" ht="15.75" customHeight="1" outlineLevel="1">
      <c r="A13" s="1746"/>
      <c r="C13" s="1787"/>
      <c r="D13" s="1788"/>
      <c r="E13" s="1788"/>
      <c r="F13" s="1788"/>
      <c r="G13" s="354"/>
      <c r="I13" s="1789"/>
      <c r="J13" s="1789"/>
      <c r="K13" s="1789"/>
      <c r="L13" s="1789"/>
      <c r="M13" s="1789"/>
      <c r="N13" s="1789"/>
      <c r="O13" s="1789"/>
      <c r="P13" s="1789"/>
      <c r="Q13" s="1789"/>
      <c r="R13" s="1789"/>
      <c r="S13" s="1789"/>
    </row>
    <row r="14" spans="1:19" ht="15.75" customHeight="1" outlineLevel="1">
      <c r="A14" s="1746"/>
      <c r="C14" s="1787"/>
      <c r="D14" s="1788"/>
      <c r="E14" s="1788"/>
      <c r="F14" s="1788"/>
      <c r="G14" s="354"/>
      <c r="I14" s="1789"/>
      <c r="J14" s="1789"/>
      <c r="K14" s="1789"/>
      <c r="L14" s="1789"/>
      <c r="M14" s="1789"/>
      <c r="N14" s="1789"/>
      <c r="O14" s="1789"/>
      <c r="P14" s="1789"/>
      <c r="Q14" s="1789"/>
      <c r="R14" s="1789"/>
      <c r="S14" s="1789"/>
    </row>
    <row r="15" spans="1:19" ht="15.75" customHeight="1" outlineLevel="1">
      <c r="A15" s="1746"/>
      <c r="C15" s="1787"/>
      <c r="D15" s="1788"/>
      <c r="E15" s="1788"/>
      <c r="F15" s="1788"/>
      <c r="G15" s="354"/>
      <c r="I15" s="1789"/>
      <c r="J15" s="1789"/>
      <c r="K15" s="1789"/>
      <c r="L15" s="1789"/>
      <c r="M15" s="1789"/>
      <c r="N15" s="1789"/>
      <c r="O15" s="1789"/>
      <c r="P15" s="1789"/>
      <c r="Q15" s="1789"/>
      <c r="R15" s="1789"/>
      <c r="S15" s="1789"/>
    </row>
    <row r="16" spans="1:19" ht="15.75" customHeight="1" outlineLevel="1">
      <c r="A16" s="1746"/>
      <c r="C16" s="1787"/>
      <c r="D16" s="1788"/>
      <c r="E16" s="1788"/>
      <c r="F16" s="1788"/>
      <c r="G16" s="354"/>
      <c r="I16" s="1789"/>
      <c r="J16" s="1789"/>
      <c r="K16" s="1789"/>
      <c r="L16" s="1789"/>
      <c r="M16" s="1789"/>
      <c r="N16" s="1789"/>
      <c r="O16" s="1789"/>
      <c r="P16" s="1789"/>
      <c r="Q16" s="1789"/>
      <c r="R16" s="1789"/>
      <c r="S16" s="1789"/>
    </row>
    <row r="17" spans="1:19" ht="15.75" customHeight="1" outlineLevel="1">
      <c r="A17" s="1746"/>
      <c r="C17" s="1787"/>
      <c r="D17" s="1788"/>
      <c r="E17" s="1788"/>
      <c r="F17" s="1788"/>
      <c r="G17" s="354"/>
      <c r="I17" s="1789"/>
      <c r="J17" s="1789"/>
      <c r="K17" s="1789"/>
      <c r="L17" s="1789"/>
      <c r="M17" s="1789"/>
      <c r="N17" s="1789"/>
      <c r="O17" s="1789"/>
      <c r="P17" s="1789"/>
      <c r="Q17" s="1789"/>
      <c r="R17" s="1789"/>
      <c r="S17" s="1789"/>
    </row>
    <row r="18" spans="1:19" ht="15.75" customHeight="1" outlineLevel="1">
      <c r="A18" s="1746"/>
      <c r="C18" s="1787"/>
      <c r="D18" s="1788"/>
      <c r="E18" s="1788"/>
      <c r="F18" s="1788"/>
      <c r="G18" s="354"/>
      <c r="I18" s="1789"/>
      <c r="J18" s="1789"/>
      <c r="K18" s="1789"/>
      <c r="L18" s="1789"/>
      <c r="M18" s="1789"/>
      <c r="N18" s="1789"/>
      <c r="O18" s="1789"/>
      <c r="P18" s="1789"/>
      <c r="Q18" s="1789"/>
      <c r="R18" s="1789"/>
      <c r="S18" s="1789"/>
    </row>
    <row r="19" spans="1:19" ht="15.75" customHeight="1" outlineLevel="1">
      <c r="A19" s="1746"/>
      <c r="C19" s="1787"/>
      <c r="D19" s="1788"/>
      <c r="E19" s="1788"/>
      <c r="F19" s="1788"/>
      <c r="G19" s="354"/>
      <c r="I19" s="1789"/>
      <c r="J19" s="1789"/>
      <c r="K19" s="1789"/>
      <c r="L19" s="1789"/>
      <c r="M19" s="1789"/>
      <c r="N19" s="1789"/>
      <c r="O19" s="1789"/>
      <c r="P19" s="1789"/>
      <c r="Q19" s="1789"/>
      <c r="R19" s="1789"/>
      <c r="S19" s="1789"/>
    </row>
    <row r="20" spans="1:19" ht="15.75" customHeight="1" outlineLevel="1">
      <c r="A20" s="1746"/>
      <c r="C20" s="1787"/>
      <c r="D20" s="1788"/>
      <c r="E20" s="1788"/>
      <c r="F20" s="1788"/>
      <c r="G20" s="354"/>
      <c r="I20" s="1789"/>
      <c r="J20" s="1789"/>
      <c r="K20" s="1789"/>
      <c r="L20" s="1789"/>
      <c r="M20" s="1789"/>
      <c r="N20" s="1789"/>
      <c r="O20" s="1789"/>
      <c r="P20" s="1789"/>
      <c r="Q20" s="1789"/>
      <c r="R20" s="1789"/>
      <c r="S20" s="1789"/>
    </row>
    <row r="21" spans="1:19" ht="15.75" customHeight="1" outlineLevel="1">
      <c r="A21" s="1746"/>
      <c r="C21" s="1787"/>
      <c r="D21" s="1788"/>
      <c r="E21" s="1788"/>
      <c r="F21" s="1788"/>
      <c r="G21" s="354"/>
      <c r="I21" s="1789"/>
      <c r="J21" s="1789"/>
      <c r="K21" s="1789"/>
      <c r="L21" s="1789"/>
      <c r="M21" s="1789"/>
      <c r="N21" s="1789"/>
      <c r="O21" s="1789"/>
      <c r="P21" s="1789"/>
      <c r="Q21" s="1789"/>
      <c r="R21" s="1789"/>
      <c r="S21" s="1789"/>
    </row>
    <row r="22" spans="1:19" ht="15.75" customHeight="1" outlineLevel="1">
      <c r="A22" s="1746"/>
      <c r="C22" s="1787"/>
      <c r="D22" s="1788"/>
      <c r="E22" s="1788"/>
      <c r="F22" s="1788"/>
      <c r="G22" s="354"/>
      <c r="I22" s="1789"/>
      <c r="J22" s="1789"/>
      <c r="K22" s="1789"/>
      <c r="L22" s="1789"/>
      <c r="M22" s="1789"/>
      <c r="N22" s="1789"/>
      <c r="O22" s="1789"/>
      <c r="P22" s="1789"/>
      <c r="Q22" s="1789"/>
      <c r="R22" s="1789"/>
      <c r="S22" s="1789"/>
    </row>
    <row r="23" spans="1:19" ht="15.75" customHeight="1" outlineLevel="1">
      <c r="A23" s="1746"/>
      <c r="C23" s="1787"/>
      <c r="D23" s="1788"/>
      <c r="E23" s="1788"/>
      <c r="F23" s="1788"/>
      <c r="G23" s="354"/>
      <c r="I23" s="1789"/>
      <c r="J23" s="1789"/>
      <c r="K23" s="1789"/>
      <c r="L23" s="1789"/>
      <c r="M23" s="1789"/>
      <c r="N23" s="1789"/>
      <c r="O23" s="1789"/>
      <c r="P23" s="1789"/>
      <c r="Q23" s="1789"/>
      <c r="R23" s="1789"/>
      <c r="S23" s="1789"/>
    </row>
    <row r="24" spans="1:19" ht="15.75" customHeight="1">
      <c r="A24" s="1746"/>
      <c r="C24" s="1790"/>
      <c r="D24" s="1787"/>
      <c r="E24" s="1787"/>
      <c r="F24" s="1787"/>
      <c r="G24" s="1747"/>
      <c r="H24" s="1748"/>
      <c r="I24" s="1791"/>
      <c r="J24" s="1792"/>
      <c r="K24" s="1792"/>
      <c r="L24" s="1792"/>
      <c r="N24" s="1747"/>
      <c r="O24" s="1747"/>
      <c r="P24" s="1747"/>
      <c r="Q24" s="1747"/>
      <c r="R24" s="1747"/>
      <c r="S24" s="1747"/>
    </row>
    <row r="25" spans="1:19" ht="15.75" customHeight="1">
      <c r="A25" s="1746"/>
      <c r="C25" s="1777"/>
      <c r="D25" s="1793"/>
      <c r="E25" s="1793"/>
      <c r="F25" s="1793"/>
      <c r="G25" s="1794"/>
      <c r="H25" s="1785"/>
      <c r="I25" s="1786"/>
      <c r="J25" s="1786"/>
      <c r="K25" s="1786"/>
      <c r="L25" s="1786"/>
      <c r="M25" s="1786"/>
      <c r="N25" s="1786"/>
      <c r="O25" s="1786"/>
      <c r="P25" s="1786"/>
      <c r="Q25" s="1786"/>
      <c r="R25" s="1786"/>
      <c r="S25" s="1786"/>
    </row>
    <row r="26" spans="1:19" ht="15.75" customHeight="1">
      <c r="A26" s="1746"/>
      <c r="C26" s="1777"/>
      <c r="D26" s="1793"/>
      <c r="E26" s="1793"/>
      <c r="F26" s="1793"/>
      <c r="G26" s="1794"/>
      <c r="H26" s="1785"/>
      <c r="I26" s="1786"/>
      <c r="J26" s="1786"/>
      <c r="K26" s="1786"/>
      <c r="L26" s="1786"/>
      <c r="M26" s="1786"/>
      <c r="N26" s="1786"/>
      <c r="O26" s="1786"/>
      <c r="P26" s="1786"/>
      <c r="Q26" s="1786"/>
      <c r="R26" s="1786"/>
      <c r="S26" s="1786"/>
    </row>
    <row r="27" spans="1:19" ht="25.5" customHeight="1">
      <c r="A27" s="1746"/>
      <c r="C27" s="1790"/>
      <c r="D27" s="1787"/>
      <c r="E27" s="1787"/>
      <c r="F27" s="1787"/>
      <c r="G27" s="1747"/>
      <c r="H27" s="1748"/>
      <c r="I27" s="1792"/>
      <c r="J27" s="1792"/>
      <c r="K27" s="1792"/>
      <c r="L27" s="1792"/>
      <c r="N27" s="1747"/>
      <c r="O27" s="1747"/>
      <c r="P27" s="1747"/>
      <c r="Q27" s="1747"/>
      <c r="R27" s="1747"/>
      <c r="S27" s="1747"/>
    </row>
    <row r="28" spans="1:19" ht="15.75" customHeight="1">
      <c r="A28" s="1746"/>
      <c r="C28" s="1782"/>
      <c r="D28" s="1783"/>
      <c r="E28" s="1783"/>
      <c r="F28" s="1783"/>
      <c r="G28" s="1784"/>
      <c r="H28" s="1785"/>
      <c r="I28" s="1786"/>
      <c r="J28" s="1786"/>
      <c r="K28" s="1786"/>
      <c r="L28" s="1786"/>
      <c r="M28" s="1786"/>
      <c r="N28" s="1786"/>
      <c r="O28" s="1786"/>
      <c r="P28" s="1786"/>
      <c r="Q28" s="1786"/>
      <c r="R28" s="1786"/>
      <c r="S28" s="1786"/>
    </row>
    <row r="29" spans="1:19" ht="9" customHeight="1">
      <c r="A29" s="1746"/>
      <c r="C29" s="1787"/>
      <c r="D29" s="1787"/>
      <c r="E29" s="1787"/>
      <c r="F29" s="1787"/>
      <c r="G29" s="1747"/>
      <c r="H29" s="1748"/>
      <c r="I29" s="1789"/>
      <c r="J29" s="1789"/>
      <c r="K29" s="1789"/>
      <c r="L29" s="1789"/>
      <c r="N29" s="1747"/>
      <c r="O29" s="1747"/>
      <c r="P29" s="1747"/>
      <c r="Q29" s="1747"/>
      <c r="R29" s="1747"/>
      <c r="S29" s="1747"/>
    </row>
    <row r="30" spans="1:19" ht="15.75" customHeight="1">
      <c r="A30" s="1746"/>
      <c r="C30" s="1782"/>
      <c r="D30" s="1787"/>
      <c r="E30" s="1787"/>
      <c r="F30" s="1787"/>
      <c r="G30" s="1747"/>
      <c r="H30" s="1748"/>
      <c r="I30" s="1789"/>
      <c r="J30" s="1789"/>
      <c r="K30" s="1789"/>
      <c r="L30" s="1789"/>
      <c r="M30" s="1789"/>
      <c r="N30" s="1789"/>
      <c r="O30" s="1789"/>
      <c r="P30" s="1789"/>
      <c r="Q30" s="1789"/>
      <c r="R30" s="1789"/>
      <c r="S30" s="1789"/>
    </row>
    <row r="31" spans="1:19" ht="15.75" customHeight="1">
      <c r="A31" s="1746"/>
      <c r="C31" s="1795"/>
      <c r="D31" s="1787"/>
      <c r="E31" s="1787"/>
      <c r="F31" s="1787"/>
      <c r="G31" s="1747"/>
      <c r="H31" s="1748"/>
      <c r="I31" s="1789"/>
      <c r="J31" s="1789"/>
      <c r="K31" s="1787"/>
      <c r="L31" s="1796"/>
      <c r="M31" s="1797"/>
      <c r="N31" s="1797"/>
      <c r="O31" s="1797"/>
      <c r="P31" s="1797"/>
      <c r="Q31" s="1797"/>
      <c r="R31" s="1797"/>
      <c r="S31" s="1797"/>
    </row>
    <row r="32" spans="1:19" ht="15.75" customHeight="1" outlineLevel="1">
      <c r="A32" s="1746"/>
      <c r="C32" s="1795"/>
      <c r="D32" s="1787"/>
      <c r="E32" s="1787"/>
      <c r="F32" s="1787"/>
      <c r="G32" s="1747"/>
      <c r="H32" s="1748"/>
      <c r="I32" s="1789"/>
      <c r="J32" s="1789"/>
      <c r="K32" s="1787"/>
      <c r="L32" s="1796"/>
      <c r="M32" s="1797"/>
      <c r="N32" s="1797"/>
      <c r="O32" s="1797"/>
      <c r="P32" s="1797"/>
      <c r="Q32" s="1797"/>
      <c r="R32" s="1797"/>
      <c r="S32" s="1797"/>
    </row>
    <row r="33" spans="1:19" ht="15.75" customHeight="1" outlineLevel="1">
      <c r="A33" s="1746"/>
      <c r="C33" s="1795"/>
      <c r="D33" s="1787"/>
      <c r="E33" s="1787"/>
      <c r="F33" s="1787"/>
      <c r="G33" s="1747"/>
      <c r="H33" s="1748"/>
      <c r="I33" s="1789"/>
      <c r="J33" s="1789"/>
      <c r="K33" s="1787"/>
      <c r="L33" s="1796"/>
      <c r="M33" s="1797"/>
      <c r="N33" s="1797"/>
      <c r="O33" s="1797"/>
      <c r="P33" s="1797"/>
      <c r="Q33" s="1797"/>
      <c r="R33" s="1797"/>
      <c r="S33" s="1797"/>
    </row>
    <row r="34" spans="1:19" ht="15.75" customHeight="1" outlineLevel="1">
      <c r="A34" s="1746"/>
      <c r="C34" s="1795"/>
      <c r="D34" s="1787"/>
      <c r="E34" s="1787"/>
      <c r="F34" s="1787"/>
      <c r="G34" s="1747"/>
      <c r="H34" s="1748"/>
      <c r="I34" s="1789"/>
      <c r="J34" s="1789"/>
      <c r="K34" s="1787"/>
      <c r="L34" s="1798"/>
      <c r="M34" s="1797"/>
      <c r="N34" s="1797"/>
      <c r="O34" s="1797"/>
      <c r="P34" s="1797"/>
      <c r="Q34" s="1797"/>
      <c r="R34" s="1797"/>
      <c r="S34" s="1797"/>
    </row>
    <row r="35" spans="1:19" ht="15.75" customHeight="1" outlineLevel="1">
      <c r="A35" s="1746"/>
      <c r="C35" s="1795"/>
      <c r="D35" s="1787"/>
      <c r="E35" s="1787"/>
      <c r="F35" s="1787"/>
      <c r="G35" s="1747"/>
      <c r="H35" s="1748"/>
      <c r="I35" s="1799"/>
      <c r="J35" s="1792"/>
      <c r="K35" s="1787"/>
      <c r="L35" s="1798"/>
      <c r="M35" s="1797"/>
      <c r="N35" s="1797"/>
      <c r="O35" s="1797"/>
      <c r="P35" s="1797"/>
      <c r="Q35" s="1797"/>
      <c r="R35" s="1797"/>
      <c r="S35" s="1797"/>
    </row>
    <row r="36" spans="1:19" ht="15.75" customHeight="1" outlineLevel="1">
      <c r="A36" s="1746"/>
      <c r="C36" s="1795"/>
      <c r="D36" s="1787"/>
      <c r="E36" s="1787"/>
      <c r="F36" s="1787"/>
      <c r="G36" s="1747"/>
      <c r="H36" s="1748"/>
      <c r="I36" s="1800"/>
      <c r="J36" s="1800"/>
      <c r="K36" s="1787"/>
      <c r="L36" s="1796"/>
      <c r="M36" s="1797"/>
      <c r="N36" s="1797"/>
      <c r="O36" s="1797"/>
      <c r="P36" s="1797"/>
      <c r="Q36" s="1797"/>
      <c r="R36" s="1797"/>
      <c r="S36" s="1797"/>
    </row>
    <row r="37" spans="1:19" ht="15.75" customHeight="1" outlineLevel="1">
      <c r="A37" s="1746"/>
      <c r="C37" s="1795"/>
      <c r="D37" s="1787"/>
      <c r="E37" s="1787"/>
      <c r="F37" s="1787"/>
      <c r="G37" s="1747"/>
      <c r="H37" s="1748"/>
      <c r="I37" s="1801"/>
      <c r="J37" s="1802"/>
      <c r="K37" s="1787"/>
      <c r="L37" s="1796"/>
      <c r="M37" s="1797"/>
      <c r="N37" s="1797"/>
      <c r="O37" s="1797"/>
      <c r="P37" s="1797"/>
      <c r="Q37" s="1797"/>
      <c r="R37" s="1797"/>
      <c r="S37" s="1797"/>
    </row>
    <row r="38" spans="1:19" ht="15.75" customHeight="1" outlineLevel="1">
      <c r="A38" s="1746"/>
      <c r="C38" s="1795"/>
      <c r="D38" s="1787"/>
      <c r="E38" s="1787"/>
      <c r="F38" s="1787"/>
      <c r="G38" s="1747"/>
      <c r="H38" s="1748"/>
      <c r="I38" s="1801"/>
      <c r="J38" s="1801"/>
      <c r="K38" s="1787"/>
      <c r="L38" s="1796"/>
      <c r="M38" s="1797"/>
      <c r="N38" s="1797"/>
      <c r="O38" s="1797"/>
      <c r="P38" s="1797"/>
      <c r="Q38" s="1797"/>
      <c r="R38" s="1797"/>
      <c r="S38" s="1797"/>
    </row>
    <row r="39" spans="1:19" ht="15.75" customHeight="1">
      <c r="A39" s="1746"/>
      <c r="C39" s="1795"/>
      <c r="D39" s="1787"/>
      <c r="E39" s="1787"/>
      <c r="F39" s="1787"/>
      <c r="G39" s="1747"/>
      <c r="H39" s="1748"/>
      <c r="I39" s="1799"/>
      <c r="J39" s="1792"/>
      <c r="K39" s="1787"/>
      <c r="L39" s="1796"/>
      <c r="M39" s="1797"/>
      <c r="N39" s="1797"/>
      <c r="O39" s="1797"/>
      <c r="P39" s="1797"/>
      <c r="Q39" s="1797"/>
      <c r="R39" s="1797"/>
      <c r="S39" s="1797"/>
    </row>
    <row r="40" spans="1:19" ht="15.75" customHeight="1" outlineLevel="1">
      <c r="A40" s="1746"/>
      <c r="C40" s="1795"/>
      <c r="D40" s="1787"/>
      <c r="E40" s="1787"/>
      <c r="F40" s="1787"/>
      <c r="G40" s="1747"/>
      <c r="H40" s="1748"/>
      <c r="I40" s="1792"/>
      <c r="J40" s="1792"/>
      <c r="K40" s="1787"/>
      <c r="L40" s="1796"/>
      <c r="M40" s="1797"/>
      <c r="N40" s="1797"/>
      <c r="O40" s="1797"/>
      <c r="P40" s="1797"/>
      <c r="Q40" s="1797"/>
      <c r="R40" s="1797"/>
      <c r="S40" s="1797"/>
    </row>
    <row r="41" spans="1:19" ht="15.75" customHeight="1" outlineLevel="1">
      <c r="A41" s="1746"/>
      <c r="C41" s="1795"/>
      <c r="D41" s="1787"/>
      <c r="E41" s="1787"/>
      <c r="F41" s="1787"/>
      <c r="G41" s="1747"/>
      <c r="H41" s="1748"/>
      <c r="I41" s="1792"/>
      <c r="J41" s="1792"/>
      <c r="K41" s="1787"/>
      <c r="L41" s="1796"/>
      <c r="M41" s="1797"/>
      <c r="N41" s="1797"/>
      <c r="O41" s="1797"/>
      <c r="P41" s="1797"/>
      <c r="Q41" s="1797"/>
      <c r="R41" s="1797"/>
      <c r="S41" s="1797"/>
    </row>
    <row r="42" spans="1:19" ht="15.75" customHeight="1" outlineLevel="1">
      <c r="A42" s="1746"/>
      <c r="C42" s="1795"/>
      <c r="D42" s="1787"/>
      <c r="E42" s="1787"/>
      <c r="F42" s="1787"/>
      <c r="G42" s="1747"/>
      <c r="H42" s="1748"/>
      <c r="I42" s="1792"/>
      <c r="J42" s="1792"/>
      <c r="K42" s="1787"/>
      <c r="L42" s="1796"/>
      <c r="M42" s="1797"/>
      <c r="N42" s="1797"/>
      <c r="O42" s="1797"/>
      <c r="P42" s="1797"/>
      <c r="Q42" s="1797"/>
      <c r="R42" s="1797"/>
      <c r="S42" s="1797"/>
    </row>
    <row r="43" spans="1:19" ht="15.75" customHeight="1">
      <c r="A43" s="1746"/>
      <c r="C43" s="1795"/>
      <c r="D43" s="1787"/>
      <c r="E43" s="1787"/>
      <c r="F43" s="1787"/>
      <c r="G43" s="1747"/>
      <c r="H43" s="1748"/>
      <c r="I43" s="1792"/>
      <c r="J43" s="1792"/>
      <c r="K43" s="1792"/>
      <c r="L43" s="1803"/>
      <c r="M43" s="1803"/>
      <c r="N43" s="1803"/>
      <c r="O43" s="1803"/>
      <c r="P43" s="1803"/>
      <c r="Q43" s="1803"/>
      <c r="R43" s="1803"/>
      <c r="S43" s="1803"/>
    </row>
    <row r="44" spans="1:19" ht="15.75" customHeight="1" outlineLevel="1">
      <c r="A44" s="1746"/>
      <c r="C44" s="1782"/>
      <c r="D44" s="1787"/>
      <c r="E44" s="1787"/>
      <c r="F44" s="1787"/>
      <c r="G44" s="1747"/>
      <c r="H44" s="1748"/>
      <c r="I44" s="1789"/>
      <c r="J44" s="1789"/>
      <c r="K44" s="1789"/>
      <c r="L44" s="1789"/>
      <c r="M44" s="1789"/>
      <c r="N44" s="1789"/>
      <c r="O44" s="1789"/>
      <c r="P44" s="1789"/>
      <c r="Q44" s="1789"/>
      <c r="R44" s="1789"/>
      <c r="S44" s="1789"/>
    </row>
    <row r="45" spans="1:19" ht="15.75" customHeight="1" outlineLevel="1">
      <c r="A45" s="1746"/>
      <c r="C45" s="1795"/>
      <c r="D45" s="1787"/>
      <c r="E45" s="1787"/>
      <c r="F45" s="1787"/>
      <c r="G45" s="1747"/>
      <c r="H45" s="1748"/>
      <c r="I45" s="1789"/>
      <c r="J45" s="1789"/>
      <c r="K45" s="1789"/>
      <c r="L45" s="1791"/>
      <c r="M45" s="1791"/>
      <c r="N45" s="1791"/>
      <c r="O45" s="1791"/>
      <c r="P45" s="1791"/>
      <c r="Q45" s="1791"/>
      <c r="R45" s="1791"/>
      <c r="S45" s="1791"/>
    </row>
    <row r="46" spans="1:19" ht="15.75" customHeight="1" outlineLevel="1">
      <c r="A46" s="1746"/>
      <c r="C46" s="1795"/>
      <c r="D46" s="1787"/>
      <c r="E46" s="1787"/>
      <c r="F46" s="1787"/>
      <c r="G46" s="1747"/>
      <c r="H46" s="1748"/>
      <c r="I46" s="1789"/>
      <c r="J46" s="1789"/>
      <c r="K46" s="1789"/>
      <c r="L46" s="1789"/>
      <c r="M46" s="1792"/>
      <c r="N46" s="1792"/>
      <c r="O46" s="1792"/>
      <c r="P46" s="1792"/>
      <c r="Q46" s="1792"/>
      <c r="R46" s="1792"/>
      <c r="S46" s="1792"/>
    </row>
    <row r="47" spans="1:19" ht="15.75" customHeight="1" outlineLevel="1">
      <c r="A47" s="1746"/>
      <c r="C47" s="1795"/>
      <c r="D47" s="1787"/>
      <c r="E47" s="1787"/>
      <c r="F47" s="1787"/>
      <c r="G47" s="1747"/>
      <c r="H47" s="1748"/>
      <c r="I47" s="1804"/>
      <c r="J47" s="1804"/>
      <c r="K47" s="1804"/>
      <c r="L47" s="1791"/>
      <c r="M47" s="1791"/>
      <c r="N47" s="1791"/>
      <c r="O47" s="1791"/>
      <c r="P47" s="1791"/>
      <c r="Q47" s="1791"/>
      <c r="R47" s="1791"/>
      <c r="S47" s="1791"/>
    </row>
    <row r="48" spans="1:19" ht="15.75" customHeight="1" outlineLevel="1">
      <c r="A48" s="1746"/>
      <c r="C48" s="1795"/>
      <c r="D48" s="1787"/>
      <c r="E48" s="1787"/>
      <c r="F48" s="1787"/>
      <c r="G48" s="1747"/>
      <c r="H48" s="1748"/>
      <c r="I48" s="1792"/>
      <c r="J48" s="1792"/>
      <c r="K48" s="1805"/>
      <c r="L48" s="1791"/>
      <c r="M48" s="1791"/>
      <c r="N48" s="1791"/>
      <c r="O48" s="1791"/>
      <c r="P48" s="1791"/>
      <c r="Q48" s="1791"/>
      <c r="R48" s="1791"/>
      <c r="S48" s="1791"/>
    </row>
    <row r="49" spans="1:19" ht="15.75" customHeight="1" outlineLevel="1">
      <c r="A49" s="1746"/>
      <c r="C49" s="1795"/>
      <c r="D49" s="1787"/>
      <c r="E49" s="1787"/>
      <c r="F49" s="1787"/>
      <c r="G49" s="1747"/>
      <c r="H49" s="1748"/>
      <c r="I49" s="1792"/>
      <c r="J49" s="1792"/>
      <c r="K49" s="1805"/>
      <c r="L49" s="1792"/>
      <c r="M49" s="1792"/>
      <c r="N49" s="1792"/>
      <c r="O49" s="1792"/>
      <c r="P49" s="1792"/>
      <c r="Q49" s="1792"/>
      <c r="R49" s="1792"/>
      <c r="S49" s="1792"/>
    </row>
    <row r="50" spans="1:19" ht="15.75" customHeight="1" outlineLevel="1">
      <c r="A50" s="1746"/>
      <c r="C50" s="1795"/>
      <c r="D50" s="1787"/>
      <c r="E50" s="1787"/>
      <c r="F50" s="1787"/>
      <c r="G50" s="1747"/>
      <c r="H50" s="1748"/>
      <c r="I50" s="1791"/>
      <c r="J50" s="1791"/>
      <c r="K50" s="1791"/>
      <c r="L50" s="1791"/>
      <c r="M50" s="1791"/>
      <c r="N50" s="1791"/>
      <c r="O50" s="1791"/>
      <c r="P50" s="1791"/>
      <c r="Q50" s="1791"/>
      <c r="R50" s="1791"/>
      <c r="S50" s="1791"/>
    </row>
    <row r="51" spans="1:19" ht="15.75" customHeight="1" outlineLevel="1">
      <c r="A51" s="1746"/>
      <c r="C51" s="1795"/>
      <c r="D51" s="1787"/>
      <c r="E51" s="1787"/>
      <c r="F51" s="1787"/>
      <c r="G51" s="1747"/>
      <c r="H51" s="1748"/>
      <c r="I51" s="1791"/>
      <c r="J51" s="1791"/>
      <c r="K51" s="1791"/>
      <c r="L51" s="1791"/>
      <c r="M51" s="1791"/>
      <c r="N51" s="1791"/>
      <c r="O51" s="1791"/>
      <c r="P51" s="1791"/>
      <c r="Q51" s="1791"/>
      <c r="R51" s="1791"/>
      <c r="S51" s="1791"/>
    </row>
    <row r="52" spans="1:19" ht="15.75" customHeight="1" outlineLevel="1">
      <c r="A52" s="1746"/>
      <c r="C52" s="1795"/>
      <c r="D52" s="1787"/>
      <c r="E52" s="1787"/>
      <c r="F52" s="1787"/>
      <c r="G52" s="1747"/>
      <c r="H52" s="1748"/>
      <c r="I52" s="1791"/>
      <c r="J52" s="1791"/>
      <c r="K52" s="1791"/>
      <c r="L52" s="1792"/>
      <c r="M52" s="1791"/>
      <c r="N52" s="1792"/>
      <c r="O52" s="1792"/>
      <c r="P52" s="1792"/>
      <c r="Q52" s="1792"/>
      <c r="R52" s="1792"/>
      <c r="S52" s="1792"/>
    </row>
    <row r="53" spans="1:19" ht="15.75" customHeight="1" outlineLevel="1">
      <c r="A53" s="1746"/>
      <c r="C53" s="1795"/>
      <c r="D53" s="1787"/>
      <c r="E53" s="1787"/>
      <c r="F53" s="1787"/>
      <c r="G53" s="1747"/>
      <c r="H53" s="1748"/>
      <c r="I53" s="1806"/>
      <c r="J53" s="1806"/>
      <c r="K53" s="1791"/>
      <c r="L53" s="1791"/>
      <c r="M53" s="1791"/>
      <c r="N53" s="1791"/>
      <c r="O53" s="1791"/>
      <c r="P53" s="1791"/>
      <c r="Q53" s="1791"/>
      <c r="R53" s="1791"/>
      <c r="S53" s="1791"/>
    </row>
    <row r="54" spans="1:19" ht="15.75" customHeight="1" outlineLevel="1">
      <c r="A54" s="1746"/>
      <c r="C54" s="1795"/>
      <c r="D54" s="1787"/>
      <c r="E54" s="1787"/>
      <c r="F54" s="1787"/>
      <c r="G54" s="1747"/>
      <c r="H54" s="1748"/>
      <c r="I54" s="1806"/>
      <c r="J54" s="1806"/>
      <c r="K54" s="1791"/>
      <c r="L54" s="1791"/>
      <c r="M54" s="1791"/>
      <c r="N54" s="1791"/>
      <c r="O54" s="1791"/>
      <c r="P54" s="1791"/>
      <c r="Q54" s="1791"/>
      <c r="R54" s="1791"/>
      <c r="S54" s="1791"/>
    </row>
    <row r="55" spans="1:19" ht="15.75" customHeight="1" outlineLevel="1">
      <c r="A55" s="1746"/>
      <c r="C55" s="1795"/>
      <c r="D55" s="1787"/>
      <c r="E55" s="1787"/>
      <c r="F55" s="1787"/>
      <c r="G55" s="1747"/>
      <c r="H55" s="1748"/>
      <c r="I55" s="1801"/>
      <c r="J55" s="1791"/>
      <c r="K55" s="1791"/>
      <c r="L55" s="1791"/>
      <c r="M55" s="1791"/>
      <c r="N55" s="1791"/>
      <c r="O55" s="1791"/>
      <c r="P55" s="1791"/>
      <c r="Q55" s="1791"/>
      <c r="R55" s="1791"/>
      <c r="S55" s="1791"/>
    </row>
    <row r="56" spans="1:19" ht="15.75" customHeight="1" outlineLevel="1">
      <c r="A56" s="1746"/>
      <c r="C56" s="1795"/>
      <c r="D56" s="1787"/>
      <c r="E56" s="1787"/>
      <c r="F56" s="1787"/>
      <c r="G56" s="1747"/>
      <c r="H56" s="1748"/>
      <c r="I56" s="1801"/>
      <c r="J56" s="1791"/>
      <c r="K56" s="1791"/>
      <c r="L56" s="1791"/>
      <c r="M56" s="1791"/>
      <c r="N56" s="1792"/>
      <c r="O56" s="1792"/>
      <c r="P56" s="1792"/>
      <c r="Q56" s="1792"/>
      <c r="R56" s="1792"/>
      <c r="S56" s="1792"/>
    </row>
    <row r="57" spans="1:19" ht="15.75" customHeight="1" outlineLevel="1">
      <c r="A57" s="1746"/>
      <c r="C57" s="1795"/>
      <c r="D57" s="1787"/>
      <c r="E57" s="1787"/>
      <c r="F57" s="1787"/>
      <c r="G57" s="1747"/>
      <c r="H57" s="1748"/>
      <c r="I57" s="1789"/>
      <c r="J57" s="1789"/>
      <c r="K57" s="1789"/>
      <c r="L57" s="1791"/>
      <c r="M57" s="1791"/>
      <c r="N57" s="1791"/>
      <c r="O57" s="1791"/>
      <c r="P57" s="1791"/>
      <c r="Q57" s="1791"/>
      <c r="R57" s="1791"/>
      <c r="S57" s="1791"/>
    </row>
    <row r="58" spans="1:19" ht="15.75" customHeight="1" outlineLevel="1">
      <c r="A58" s="1746"/>
      <c r="C58" s="1795"/>
      <c r="D58" s="1787"/>
      <c r="E58" s="1787"/>
      <c r="F58" s="1787"/>
      <c r="G58" s="1747"/>
      <c r="H58" s="1748"/>
      <c r="I58" s="1789"/>
      <c r="J58" s="1789"/>
      <c r="K58" s="1789"/>
      <c r="L58" s="1789"/>
      <c r="M58" s="1792"/>
      <c r="N58" s="1792"/>
      <c r="O58" s="1792"/>
      <c r="P58" s="1792"/>
      <c r="Q58" s="1792"/>
      <c r="R58" s="1792"/>
      <c r="S58" s="1792"/>
    </row>
    <row r="59" spans="1:19" ht="15.75" customHeight="1" outlineLevel="1">
      <c r="A59" s="1746"/>
      <c r="C59" s="1795"/>
      <c r="D59" s="1747"/>
      <c r="E59" s="1747"/>
      <c r="F59" s="1747"/>
      <c r="G59" s="1747"/>
      <c r="H59" s="1748"/>
      <c r="J59" s="1747"/>
      <c r="L59" s="1791"/>
      <c r="M59" s="1807"/>
      <c r="N59" s="1791"/>
      <c r="O59" s="1807"/>
      <c r="P59" s="1807"/>
      <c r="Q59" s="1807"/>
      <c r="R59" s="1807"/>
      <c r="S59" s="1807"/>
    </row>
    <row r="60" spans="1:19" ht="15.75" customHeight="1" outlineLevel="1">
      <c r="A60" s="1746"/>
      <c r="C60" s="1795"/>
      <c r="D60" s="1747"/>
      <c r="E60" s="1747"/>
      <c r="F60" s="1747"/>
      <c r="G60" s="1747"/>
      <c r="H60" s="1748"/>
      <c r="J60" s="1747"/>
      <c r="L60" s="1791"/>
      <c r="M60" s="1807"/>
      <c r="N60" s="1791"/>
      <c r="O60" s="1807"/>
      <c r="P60" s="1807"/>
      <c r="Q60" s="1807"/>
      <c r="R60" s="1807"/>
      <c r="S60" s="1807"/>
    </row>
    <row r="61" spans="1:19" ht="15.75" customHeight="1" outlineLevel="1">
      <c r="A61" s="1746"/>
      <c r="C61" s="1795"/>
      <c r="D61" s="1747"/>
      <c r="E61" s="1747"/>
      <c r="F61" s="1747"/>
      <c r="G61" s="1747"/>
      <c r="H61" s="1748"/>
      <c r="J61" s="1747"/>
      <c r="L61" s="1791"/>
      <c r="M61" s="1807"/>
      <c r="N61" s="1791"/>
      <c r="O61" s="1807"/>
      <c r="P61" s="1807"/>
      <c r="Q61" s="1807"/>
      <c r="R61" s="1807"/>
      <c r="S61" s="1807"/>
    </row>
    <row r="62" spans="1:19" ht="15.75" customHeight="1" outlineLevel="1">
      <c r="A62" s="1746"/>
      <c r="C62" s="1795"/>
      <c r="D62" s="1747"/>
      <c r="E62" s="1747"/>
      <c r="F62" s="1747"/>
      <c r="G62" s="1747"/>
      <c r="H62" s="1748"/>
      <c r="J62" s="1747"/>
      <c r="M62" s="1792"/>
      <c r="N62" s="1792"/>
      <c r="O62" s="1792"/>
      <c r="P62" s="1792"/>
      <c r="Q62" s="1792"/>
      <c r="R62" s="1792"/>
      <c r="S62" s="1792"/>
    </row>
    <row r="63" spans="1:19" ht="15.75" customHeight="1" outlineLevel="1">
      <c r="A63" s="1746"/>
      <c r="C63" s="1795"/>
      <c r="D63" s="1747"/>
      <c r="E63" s="1747"/>
      <c r="F63" s="1747"/>
      <c r="G63" s="1747"/>
      <c r="H63" s="1748"/>
      <c r="J63" s="1747"/>
      <c r="N63" s="1749"/>
      <c r="O63" s="1749"/>
      <c r="P63" s="1749"/>
      <c r="Q63" s="1749"/>
      <c r="R63" s="1749"/>
      <c r="S63" s="1749"/>
    </row>
    <row r="64" spans="1:19" ht="15.75" customHeight="1" outlineLevel="1">
      <c r="A64" s="1746"/>
      <c r="C64" s="1782"/>
      <c r="D64" s="1747"/>
      <c r="E64" s="1747"/>
      <c r="F64" s="1747"/>
      <c r="G64" s="1747"/>
      <c r="H64" s="1748"/>
      <c r="J64" s="1747"/>
      <c r="M64" s="1808"/>
      <c r="N64" s="1749"/>
      <c r="O64" s="1749"/>
      <c r="P64" s="1749"/>
      <c r="Q64" s="1749"/>
      <c r="R64" s="1749"/>
      <c r="S64" s="1749"/>
    </row>
    <row r="65" spans="1:19" ht="15.75" customHeight="1" outlineLevel="1">
      <c r="A65" s="1746"/>
      <c r="C65" s="1795"/>
      <c r="D65" s="1747"/>
      <c r="E65" s="1747"/>
      <c r="F65" s="1747"/>
      <c r="G65" s="1747"/>
      <c r="H65" s="1748"/>
      <c r="J65" s="1747"/>
      <c r="L65" s="1791"/>
      <c r="M65" s="1807"/>
      <c r="N65" s="1807"/>
      <c r="O65" s="1807"/>
      <c r="P65" s="1807"/>
      <c r="Q65" s="1807"/>
      <c r="R65" s="1807"/>
      <c r="S65" s="1807"/>
    </row>
    <row r="66" spans="1:19" ht="15.75" customHeight="1" outlineLevel="1">
      <c r="A66" s="1746"/>
      <c r="C66" s="1795"/>
      <c r="D66" s="1747"/>
      <c r="E66" s="1747"/>
      <c r="F66" s="1747"/>
      <c r="G66" s="1747"/>
      <c r="H66" s="1748"/>
      <c r="J66" s="1747"/>
      <c r="L66" s="1791"/>
      <c r="M66" s="1807"/>
      <c r="N66" s="1807"/>
      <c r="O66" s="1807"/>
      <c r="P66" s="1807"/>
      <c r="Q66" s="1807"/>
      <c r="R66" s="1807"/>
      <c r="S66" s="1807"/>
    </row>
    <row r="67" spans="1:19" ht="15.75" customHeight="1" outlineLevel="1">
      <c r="A67" s="1746"/>
      <c r="C67" s="1795"/>
      <c r="D67" s="1747"/>
      <c r="E67" s="1747"/>
      <c r="F67" s="1747"/>
      <c r="G67" s="1747"/>
      <c r="H67" s="1748"/>
      <c r="J67" s="1747"/>
      <c r="L67" s="1791"/>
      <c r="M67" s="1807"/>
      <c r="N67" s="1807"/>
      <c r="O67" s="1807"/>
      <c r="P67" s="1807"/>
      <c r="Q67" s="1807"/>
      <c r="R67" s="1807"/>
      <c r="S67" s="1807"/>
    </row>
    <row r="68" spans="1:19" ht="15.75" customHeight="1" outlineLevel="1">
      <c r="A68" s="1746"/>
      <c r="C68" s="1795"/>
      <c r="D68" s="1747"/>
      <c r="E68" s="1747"/>
      <c r="F68" s="1747"/>
      <c r="G68" s="1747"/>
      <c r="H68" s="1748"/>
      <c r="J68" s="1747"/>
      <c r="L68" s="1792"/>
      <c r="M68" s="1792"/>
      <c r="N68" s="1792"/>
      <c r="O68" s="1792"/>
      <c r="P68" s="1792"/>
      <c r="Q68" s="1792"/>
      <c r="R68" s="1792"/>
      <c r="S68" s="1792"/>
    </row>
    <row r="69" spans="1:19" ht="15.75" customHeight="1" outlineLevel="1">
      <c r="A69" s="1746"/>
      <c r="C69" s="1795"/>
      <c r="D69" s="1747"/>
      <c r="E69" s="1747"/>
      <c r="F69" s="1747"/>
      <c r="G69" s="1747"/>
      <c r="H69" s="1748"/>
      <c r="J69" s="1747"/>
      <c r="N69" s="1749"/>
      <c r="O69" s="1749"/>
      <c r="P69" s="1749"/>
      <c r="Q69" s="1749"/>
      <c r="R69" s="1749"/>
      <c r="S69" s="1749"/>
    </row>
    <row r="70" spans="1:19" ht="15.75" customHeight="1" outlineLevel="1">
      <c r="A70" s="1746"/>
      <c r="C70" s="1782"/>
      <c r="D70" s="1747"/>
      <c r="E70" s="1747"/>
      <c r="F70" s="1747"/>
      <c r="G70" s="1747"/>
      <c r="H70" s="1748"/>
      <c r="J70" s="1747"/>
      <c r="M70" s="1808"/>
      <c r="N70" s="1749"/>
      <c r="O70" s="1749"/>
      <c r="P70" s="1749"/>
      <c r="Q70" s="1749"/>
      <c r="R70" s="1749"/>
      <c r="S70" s="1749"/>
    </row>
    <row r="71" spans="1:19" ht="15.75" customHeight="1" outlineLevel="1">
      <c r="A71" s="1746"/>
      <c r="C71" s="1795"/>
      <c r="D71" s="1787"/>
      <c r="E71" s="1787"/>
      <c r="F71" s="1787"/>
      <c r="G71" s="1747"/>
      <c r="H71" s="1748"/>
      <c r="I71" s="1789"/>
      <c r="J71" s="1789"/>
      <c r="K71" s="1789"/>
      <c r="L71" s="1791"/>
      <c r="M71" s="1791"/>
      <c r="N71" s="1791"/>
      <c r="O71" s="1791"/>
      <c r="P71" s="1791"/>
      <c r="Q71" s="1791"/>
      <c r="R71" s="1791"/>
      <c r="S71" s="1791"/>
    </row>
    <row r="72" spans="1:19" ht="15.75" customHeight="1" outlineLevel="1">
      <c r="A72" s="1746"/>
      <c r="C72" s="1795"/>
      <c r="D72" s="1787"/>
      <c r="E72" s="1787"/>
      <c r="F72" s="1787"/>
      <c r="G72" s="1747"/>
      <c r="H72" s="1748"/>
      <c r="I72" s="1804"/>
      <c r="J72" s="1804"/>
      <c r="K72" s="1804"/>
      <c r="L72" s="1791"/>
      <c r="M72" s="1791"/>
      <c r="N72" s="1791"/>
      <c r="O72" s="1791"/>
      <c r="P72" s="1791"/>
      <c r="Q72" s="1791"/>
      <c r="R72" s="1791"/>
      <c r="S72" s="1791"/>
    </row>
    <row r="73" spans="1:19" ht="15.75" customHeight="1" outlineLevel="1">
      <c r="A73" s="1746"/>
      <c r="C73" s="1795"/>
      <c r="D73" s="1787"/>
      <c r="E73" s="1787"/>
      <c r="F73" s="1787"/>
      <c r="G73" s="1747"/>
      <c r="H73" s="1748"/>
      <c r="I73" s="1791"/>
      <c r="J73" s="1791"/>
      <c r="K73" s="1791"/>
      <c r="L73" s="1791"/>
      <c r="M73" s="1791"/>
      <c r="N73" s="1791"/>
      <c r="O73" s="1791"/>
      <c r="P73" s="1791"/>
      <c r="Q73" s="1791"/>
      <c r="R73" s="1791"/>
      <c r="S73" s="1791"/>
    </row>
    <row r="74" spans="1:19" ht="15.75" customHeight="1" outlineLevel="1">
      <c r="A74" s="1746"/>
      <c r="C74" s="1795"/>
      <c r="D74" s="1787"/>
      <c r="E74" s="1787"/>
      <c r="F74" s="1787"/>
      <c r="G74" s="1747"/>
      <c r="H74" s="1748"/>
      <c r="I74" s="1806"/>
      <c r="J74" s="1806"/>
      <c r="K74" s="1791"/>
      <c r="L74" s="1791"/>
      <c r="M74" s="1791"/>
      <c r="N74" s="1791"/>
      <c r="O74" s="1791"/>
      <c r="P74" s="1791"/>
      <c r="Q74" s="1791"/>
      <c r="R74" s="1791"/>
      <c r="S74" s="1791"/>
    </row>
    <row r="75" spans="1:19" ht="15.75" customHeight="1" outlineLevel="1">
      <c r="A75" s="1746"/>
      <c r="C75" s="1795"/>
      <c r="D75" s="1787"/>
      <c r="E75" s="1787"/>
      <c r="F75" s="1787"/>
      <c r="G75" s="1747"/>
      <c r="H75" s="1748"/>
      <c r="I75" s="1801"/>
      <c r="J75" s="1791"/>
      <c r="K75" s="1791"/>
      <c r="L75" s="1791"/>
      <c r="M75" s="1791"/>
      <c r="N75" s="1791"/>
      <c r="O75" s="1791"/>
      <c r="P75" s="1791"/>
      <c r="Q75" s="1791"/>
      <c r="R75" s="1791"/>
      <c r="S75" s="1791"/>
    </row>
    <row r="76" spans="1:19" ht="15.75" customHeight="1" outlineLevel="1">
      <c r="A76" s="1746"/>
      <c r="C76" s="1795"/>
      <c r="D76" s="1787"/>
      <c r="E76" s="1787"/>
      <c r="F76" s="1787"/>
      <c r="G76" s="1747"/>
      <c r="H76" s="1748"/>
      <c r="I76" s="1789"/>
      <c r="J76" s="1789"/>
      <c r="K76" s="1789"/>
      <c r="L76" s="1791"/>
      <c r="M76" s="1791"/>
      <c r="N76" s="1791"/>
      <c r="O76" s="1791"/>
      <c r="P76" s="1791"/>
      <c r="Q76" s="1791"/>
      <c r="R76" s="1791"/>
      <c r="S76" s="1791"/>
    </row>
    <row r="77" spans="1:19" ht="15.75" customHeight="1" outlineLevel="1">
      <c r="A77" s="1746"/>
      <c r="C77" s="1795"/>
      <c r="D77" s="1747"/>
      <c r="E77" s="1747"/>
      <c r="F77" s="1747"/>
      <c r="G77" s="1747"/>
      <c r="H77" s="1748"/>
      <c r="J77" s="1747"/>
      <c r="M77" s="1792"/>
      <c r="N77" s="1792"/>
      <c r="O77" s="1792"/>
      <c r="P77" s="1792"/>
      <c r="Q77" s="1792"/>
      <c r="R77" s="1792"/>
      <c r="S77" s="1792"/>
    </row>
    <row r="78" spans="1:19" ht="15.75" customHeight="1" outlineLevel="1">
      <c r="A78" s="1746"/>
      <c r="C78" s="1795"/>
      <c r="D78" s="1747"/>
      <c r="E78" s="1747"/>
      <c r="F78" s="1747"/>
      <c r="G78" s="1747"/>
      <c r="H78" s="1748"/>
      <c r="J78" s="1747"/>
      <c r="N78" s="1749"/>
      <c r="O78" s="1749"/>
      <c r="P78" s="1749"/>
      <c r="Q78" s="1749"/>
      <c r="R78" s="1749"/>
      <c r="S78" s="1749"/>
    </row>
    <row r="79" spans="1:19" ht="15.75" customHeight="1" outlineLevel="1">
      <c r="A79" s="1746"/>
      <c r="C79" s="1795"/>
      <c r="D79" s="1747"/>
      <c r="E79" s="1747"/>
      <c r="F79" s="1747"/>
      <c r="G79" s="1747"/>
      <c r="H79" s="1748"/>
      <c r="J79" s="1747"/>
      <c r="N79" s="1749"/>
      <c r="O79" s="1749"/>
      <c r="P79" s="1749"/>
      <c r="Q79" s="1749"/>
      <c r="R79" s="1749"/>
      <c r="S79" s="1749"/>
    </row>
    <row r="80" spans="1:19" ht="15.75" customHeight="1" outlineLevel="1">
      <c r="A80" s="1746"/>
      <c r="C80" s="1795"/>
      <c r="D80" s="1747"/>
      <c r="E80" s="1747"/>
      <c r="F80" s="1747"/>
      <c r="G80" s="1747"/>
      <c r="H80" s="1748"/>
      <c r="J80" s="1747"/>
      <c r="L80" s="1791"/>
      <c r="N80" s="1749"/>
      <c r="O80" s="1749"/>
      <c r="P80" s="1749"/>
      <c r="Q80" s="1749"/>
      <c r="R80" s="1749"/>
      <c r="S80" s="1749"/>
    </row>
    <row r="81" spans="1:19" ht="15.75" customHeight="1" outlineLevel="1">
      <c r="A81" s="1746"/>
      <c r="C81" s="1795"/>
      <c r="D81" s="1747"/>
      <c r="E81" s="1747"/>
      <c r="F81" s="1747"/>
      <c r="G81" s="1747"/>
      <c r="H81" s="1748"/>
      <c r="J81" s="1747"/>
      <c r="N81" s="1749"/>
      <c r="O81" s="1749"/>
      <c r="P81" s="1749"/>
      <c r="Q81" s="1749"/>
      <c r="R81" s="1749"/>
      <c r="S81" s="1749"/>
    </row>
    <row r="82" spans="1:19" ht="15.75" customHeight="1" outlineLevel="1">
      <c r="A82" s="1746"/>
      <c r="C82" s="1795"/>
      <c r="D82" s="1747"/>
      <c r="E82" s="1747"/>
      <c r="F82" s="1747"/>
      <c r="G82" s="1747"/>
      <c r="H82" s="1748"/>
      <c r="J82" s="1747"/>
      <c r="N82" s="1749"/>
      <c r="O82" s="1749"/>
      <c r="P82" s="1749"/>
      <c r="Q82" s="1749"/>
      <c r="R82" s="1749"/>
      <c r="S82" s="1749"/>
    </row>
    <row r="83" spans="1:19" ht="15.75" customHeight="1" outlineLevel="1">
      <c r="A83" s="1746"/>
      <c r="C83" s="1795"/>
      <c r="D83" s="1747"/>
      <c r="E83" s="1747"/>
      <c r="F83" s="1747"/>
      <c r="G83" s="1747"/>
      <c r="H83" s="1748"/>
      <c r="J83" s="1747"/>
      <c r="N83" s="1749"/>
      <c r="O83" s="1749"/>
      <c r="P83" s="1749"/>
      <c r="Q83" s="1749"/>
      <c r="R83" s="1749"/>
      <c r="S83" s="1749"/>
    </row>
    <row r="84" spans="1:19" ht="15.75" customHeight="1" outlineLevel="1">
      <c r="A84" s="1746"/>
      <c r="C84" s="1795"/>
      <c r="D84" s="1747"/>
      <c r="E84" s="1747"/>
      <c r="F84" s="1747"/>
      <c r="G84" s="1747"/>
      <c r="H84" s="1748"/>
      <c r="J84" s="1747"/>
      <c r="N84" s="1749"/>
      <c r="O84" s="1749"/>
      <c r="P84" s="1749"/>
      <c r="Q84" s="1749"/>
      <c r="R84" s="1749"/>
      <c r="S84" s="1749"/>
    </row>
    <row r="85" spans="1:19" ht="15.75" customHeight="1" outlineLevel="1">
      <c r="A85" s="1746"/>
      <c r="C85" s="1795"/>
      <c r="D85" s="1747"/>
      <c r="E85" s="1747"/>
      <c r="F85" s="1747"/>
      <c r="G85" s="1747"/>
      <c r="H85" s="1748"/>
      <c r="J85" s="1747"/>
      <c r="N85" s="1749"/>
      <c r="O85" s="1749"/>
      <c r="P85" s="1749"/>
      <c r="Q85" s="1749"/>
      <c r="R85" s="1749"/>
      <c r="S85" s="1749"/>
    </row>
    <row r="86" spans="1:19" ht="15.75" customHeight="1" outlineLevel="1">
      <c r="A86" s="1746"/>
      <c r="C86" s="1795"/>
      <c r="D86" s="1747"/>
      <c r="E86" s="1747"/>
      <c r="F86" s="1747"/>
      <c r="G86" s="1747"/>
      <c r="H86" s="1748"/>
      <c r="J86" s="1747"/>
      <c r="N86" s="1749"/>
      <c r="O86" s="1749"/>
      <c r="P86" s="1749"/>
      <c r="Q86" s="1749"/>
      <c r="R86" s="1749"/>
      <c r="S86" s="1749"/>
    </row>
    <row r="87" spans="1:19" outlineLevel="1">
      <c r="A87" s="1746"/>
      <c r="C87" s="1795"/>
      <c r="G87" s="1809"/>
      <c r="H87" s="1810"/>
      <c r="I87" s="1811"/>
      <c r="J87" s="1811"/>
      <c r="K87" s="1811"/>
      <c r="L87" s="1811"/>
      <c r="M87" s="1810"/>
      <c r="N87" s="1811"/>
      <c r="O87" s="1811"/>
      <c r="P87" s="1811"/>
      <c r="Q87" s="1811"/>
      <c r="R87" s="1811"/>
      <c r="S87" s="1811"/>
    </row>
    <row r="88" spans="1:19" ht="15.75" customHeight="1" outlineLevel="1">
      <c r="A88" s="1746"/>
      <c r="C88" s="1795"/>
      <c r="D88" s="1757"/>
      <c r="E88" s="1757"/>
      <c r="F88" s="1757"/>
      <c r="G88" s="1812"/>
      <c r="H88" s="1813"/>
      <c r="I88" s="1813"/>
      <c r="J88" s="1813"/>
      <c r="K88" s="1813"/>
      <c r="L88" s="1813"/>
      <c r="M88" s="1813"/>
      <c r="N88" s="1813"/>
      <c r="O88" s="1813"/>
      <c r="P88" s="1813"/>
      <c r="Q88" s="1813"/>
      <c r="R88" s="1813"/>
      <c r="S88" s="1813"/>
    </row>
    <row r="89" spans="1:19" ht="15.75" customHeight="1" outlineLevel="1">
      <c r="A89" s="1746"/>
      <c r="C89" s="1795"/>
      <c r="G89" s="1809"/>
      <c r="H89" s="1810"/>
      <c r="I89" s="1811"/>
      <c r="J89" s="1811"/>
      <c r="K89" s="1811"/>
      <c r="L89" s="1811"/>
      <c r="M89" s="1810"/>
      <c r="N89" s="1811"/>
      <c r="O89" s="1811"/>
      <c r="P89" s="1811"/>
      <c r="Q89" s="1811"/>
      <c r="R89" s="1811"/>
      <c r="S89" s="1811"/>
    </row>
    <row r="90" spans="1:19" ht="15.75" customHeight="1" outlineLevel="1">
      <c r="A90" s="1746"/>
      <c r="C90" s="1795"/>
      <c r="D90" s="1762"/>
      <c r="E90" s="1762"/>
      <c r="F90" s="1762"/>
      <c r="G90" s="1759"/>
      <c r="H90" s="1763"/>
      <c r="I90" s="1763"/>
      <c r="J90" s="1763"/>
      <c r="K90" s="1764"/>
      <c r="L90" s="1760"/>
      <c r="M90" s="1765"/>
      <c r="N90" s="1763"/>
      <c r="O90" s="1763"/>
      <c r="P90" s="1763"/>
      <c r="Q90" s="1763"/>
      <c r="R90" s="1763"/>
      <c r="S90" s="1763"/>
    </row>
    <row r="91" spans="1:19" ht="15.75" customHeight="1" outlineLevel="1">
      <c r="A91" s="1746"/>
      <c r="C91" s="1795"/>
      <c r="D91" s="1767"/>
      <c r="E91" s="1767"/>
      <c r="F91" s="1766"/>
      <c r="G91" s="1814"/>
      <c r="H91" s="1768"/>
      <c r="I91" s="1768"/>
      <c r="J91" s="1768"/>
      <c r="K91" s="1768"/>
      <c r="L91" s="1769"/>
      <c r="M91" s="1768"/>
      <c r="N91" s="1768"/>
      <c r="O91" s="1768"/>
      <c r="P91" s="1768"/>
      <c r="Q91" s="1768"/>
      <c r="R91" s="1768"/>
      <c r="S91" s="1768"/>
    </row>
    <row r="92" spans="1:19" ht="15.75" customHeight="1" outlineLevel="1">
      <c r="A92" s="1746"/>
      <c r="C92" s="1795"/>
      <c r="D92" s="1771"/>
      <c r="E92" s="1771"/>
      <c r="F92" s="1770"/>
      <c r="G92" s="1815"/>
      <c r="H92" s="1772"/>
      <c r="I92" s="1772"/>
      <c r="J92" s="1772"/>
      <c r="K92" s="1772"/>
      <c r="L92" s="1772"/>
      <c r="M92" s="1772"/>
      <c r="N92" s="1772"/>
      <c r="O92" s="1772"/>
      <c r="P92" s="1772"/>
      <c r="Q92" s="1772"/>
      <c r="R92" s="1772"/>
      <c r="S92" s="1772"/>
    </row>
    <row r="93" spans="1:19" ht="15.75" customHeight="1" outlineLevel="1">
      <c r="A93" s="1746"/>
      <c r="C93" s="1795"/>
      <c r="D93" s="1775"/>
      <c r="E93" s="1775"/>
      <c r="F93" s="1773"/>
      <c r="G93" s="1816"/>
      <c r="H93" s="1817"/>
      <c r="I93" s="1817"/>
      <c r="J93" s="1817"/>
      <c r="K93" s="1817"/>
      <c r="L93" s="1817"/>
      <c r="M93" s="1817"/>
      <c r="N93" s="1817"/>
      <c r="O93" s="1817"/>
      <c r="P93" s="1817"/>
      <c r="Q93" s="1817"/>
      <c r="R93" s="1817"/>
      <c r="S93" s="1817"/>
    </row>
    <row r="94" spans="1:19" ht="15.75" customHeight="1" outlineLevel="1">
      <c r="A94" s="1746"/>
      <c r="B94" s="1777"/>
      <c r="C94" s="1795"/>
      <c r="D94" s="1779"/>
      <c r="E94" s="1779"/>
      <c r="F94" s="1777"/>
      <c r="G94" s="1780"/>
      <c r="H94" s="1818"/>
      <c r="I94" s="1818"/>
      <c r="J94" s="1818"/>
      <c r="K94" s="1818"/>
      <c r="L94" s="1818"/>
      <c r="M94" s="1818"/>
      <c r="N94" s="1818"/>
      <c r="O94" s="1818"/>
      <c r="P94" s="1818"/>
      <c r="Q94" s="1818"/>
      <c r="R94" s="1818"/>
      <c r="S94" s="1818"/>
    </row>
    <row r="95" spans="1:19" s="1784" customFormat="1" ht="15.75" customHeight="1" outlineLevel="1">
      <c r="A95" s="1819"/>
      <c r="B95" s="1820"/>
      <c r="C95" s="1821"/>
      <c r="D95" s="1822"/>
      <c r="E95" s="1822"/>
      <c r="F95" s="1777"/>
      <c r="G95" s="1780"/>
      <c r="H95" s="1786"/>
      <c r="I95" s="1786"/>
      <c r="J95" s="1786"/>
      <c r="K95" s="1786"/>
      <c r="L95" s="1823"/>
      <c r="M95" s="1823"/>
      <c r="N95" s="1823"/>
      <c r="O95" s="1823"/>
      <c r="P95" s="1823"/>
      <c r="Q95" s="1823"/>
      <c r="R95" s="1823"/>
      <c r="S95" s="1823"/>
    </row>
    <row r="96" spans="1:19" ht="15.75" customHeight="1" outlineLevel="1">
      <c r="A96" s="1746"/>
      <c r="B96" s="1824"/>
      <c r="C96" s="1795"/>
      <c r="D96" s="1779"/>
      <c r="E96" s="1779"/>
      <c r="F96" s="1777"/>
      <c r="G96" s="1748"/>
      <c r="H96" s="1789"/>
      <c r="I96" s="1789"/>
      <c r="J96" s="1789"/>
      <c r="K96" s="1789"/>
      <c r="L96" s="1825"/>
      <c r="M96" s="1825"/>
      <c r="N96" s="1825"/>
      <c r="O96" s="1825"/>
      <c r="P96" s="1825"/>
      <c r="Q96" s="1825"/>
      <c r="R96" s="1825"/>
      <c r="S96" s="1825"/>
    </row>
    <row r="97" spans="1:19" ht="15.75" customHeight="1" outlineLevel="1">
      <c r="A97" s="1746"/>
      <c r="B97" s="1824"/>
      <c r="C97" s="1795"/>
      <c r="D97" s="1779"/>
      <c r="E97" s="1779"/>
      <c r="F97" s="1777"/>
      <c r="G97" s="1748"/>
      <c r="H97" s="1789"/>
      <c r="I97" s="1789"/>
      <c r="J97" s="1789"/>
      <c r="K97" s="1789"/>
      <c r="L97" s="1825"/>
      <c r="M97" s="1825"/>
      <c r="N97" s="1825"/>
      <c r="O97" s="1825"/>
      <c r="P97" s="1825"/>
      <c r="Q97" s="1825"/>
      <c r="R97" s="1825"/>
      <c r="S97" s="1825"/>
    </row>
    <row r="98" spans="1:19" ht="15.75" customHeight="1" outlineLevel="1">
      <c r="A98" s="1746"/>
      <c r="B98" s="1824"/>
      <c r="C98" s="1795"/>
      <c r="D98" s="1779"/>
      <c r="E98" s="1779"/>
      <c r="F98" s="1777"/>
      <c r="G98" s="1748"/>
      <c r="H98" s="1789"/>
      <c r="I98" s="1789"/>
      <c r="J98" s="1789"/>
      <c r="K98" s="1789"/>
      <c r="L98" s="1825"/>
      <c r="M98" s="1825"/>
      <c r="N98" s="1825"/>
      <c r="O98" s="1825"/>
      <c r="P98" s="1825"/>
      <c r="Q98" s="1825"/>
      <c r="R98" s="1825"/>
      <c r="S98" s="1825"/>
    </row>
    <row r="99" spans="1:19" ht="15.75" customHeight="1" outlineLevel="1">
      <c r="A99" s="1746"/>
      <c r="B99" s="1824"/>
      <c r="C99" s="1795"/>
      <c r="D99" s="1779"/>
      <c r="E99" s="1779"/>
      <c r="F99" s="1777"/>
      <c r="G99" s="1748"/>
      <c r="H99" s="1789"/>
      <c r="I99" s="1789"/>
      <c r="J99" s="1789"/>
      <c r="K99" s="1789"/>
      <c r="L99" s="1825"/>
      <c r="M99" s="1825"/>
      <c r="N99" s="1825"/>
      <c r="O99" s="1825"/>
      <c r="P99" s="1825"/>
      <c r="Q99" s="1825"/>
      <c r="R99" s="1825"/>
      <c r="S99" s="1825"/>
    </row>
    <row r="100" spans="1:19" ht="15.75" customHeight="1" outlineLevel="1">
      <c r="A100" s="1746"/>
      <c r="B100" s="1824"/>
      <c r="C100" s="1795"/>
      <c r="D100" s="1779"/>
      <c r="E100" s="1779"/>
      <c r="F100" s="1777"/>
      <c r="G100" s="1748"/>
      <c r="H100" s="1789"/>
      <c r="I100" s="1789"/>
      <c r="J100" s="1789"/>
      <c r="K100" s="1789"/>
      <c r="L100" s="1825"/>
      <c r="M100" s="1825"/>
      <c r="N100" s="1825"/>
      <c r="O100" s="1825"/>
      <c r="P100" s="1825"/>
      <c r="Q100" s="1825"/>
      <c r="R100" s="1825"/>
      <c r="S100" s="1825"/>
    </row>
    <row r="101" spans="1:19" ht="15.75" customHeight="1" outlineLevel="1">
      <c r="A101" s="1746"/>
      <c r="B101" s="1824"/>
      <c r="C101" s="1795"/>
      <c r="D101" s="1779"/>
      <c r="E101" s="1779"/>
      <c r="F101" s="1777"/>
      <c r="G101" s="1748"/>
      <c r="H101" s="1789"/>
      <c r="I101" s="1789"/>
      <c r="J101" s="1789"/>
      <c r="K101" s="1789"/>
      <c r="L101" s="1826"/>
      <c r="M101" s="1825"/>
      <c r="N101" s="1827"/>
      <c r="O101" s="1827"/>
      <c r="P101" s="1827"/>
      <c r="Q101" s="1827"/>
      <c r="R101" s="1827"/>
      <c r="S101" s="1827"/>
    </row>
    <row r="102" spans="1:19" ht="15.75" customHeight="1" outlineLevel="1">
      <c r="A102" s="1746"/>
      <c r="B102" s="1824"/>
      <c r="C102" s="1795"/>
      <c r="D102" s="1779"/>
      <c r="E102" s="1779"/>
      <c r="F102" s="1777"/>
      <c r="G102" s="1748"/>
      <c r="H102" s="1789"/>
      <c r="I102" s="1789"/>
      <c r="J102" s="1789"/>
      <c r="K102" s="1789"/>
      <c r="L102" s="1825"/>
      <c r="M102" s="1825"/>
      <c r="N102" s="1825"/>
      <c r="O102" s="1825"/>
      <c r="P102" s="1825"/>
      <c r="Q102" s="1825"/>
      <c r="R102" s="1825"/>
      <c r="S102" s="1825"/>
    </row>
    <row r="103" spans="1:19" ht="15.75" customHeight="1" outlineLevel="1">
      <c r="A103" s="1746"/>
      <c r="B103" s="1824"/>
      <c r="C103" s="1795"/>
      <c r="D103" s="1779"/>
      <c r="E103" s="1779"/>
      <c r="F103" s="1777"/>
      <c r="G103" s="1748"/>
      <c r="H103" s="1789"/>
      <c r="I103" s="1789"/>
      <c r="J103" s="1789"/>
      <c r="K103" s="1789"/>
      <c r="L103" s="1825"/>
      <c r="M103" s="1792"/>
      <c r="N103" s="1792"/>
      <c r="O103" s="1792"/>
      <c r="P103" s="1792"/>
      <c r="Q103" s="1792"/>
      <c r="R103" s="1792"/>
      <c r="S103" s="1792"/>
    </row>
    <row r="104" spans="1:19" ht="15.75" customHeight="1" outlineLevel="1">
      <c r="A104" s="1746"/>
      <c r="B104" s="1824"/>
      <c r="C104" s="1795"/>
      <c r="D104" s="1779"/>
      <c r="E104" s="1779"/>
      <c r="F104" s="1777"/>
      <c r="G104" s="1748"/>
      <c r="H104" s="1789"/>
      <c r="I104" s="1789"/>
      <c r="J104" s="1789"/>
      <c r="K104" s="1789"/>
      <c r="L104" s="1825"/>
      <c r="M104" s="1825"/>
      <c r="N104" s="1825"/>
      <c r="O104" s="1825"/>
      <c r="P104" s="1825"/>
      <c r="Q104" s="1825"/>
      <c r="R104" s="1825"/>
      <c r="S104" s="1825"/>
    </row>
    <row r="105" spans="1:19" ht="15.75" customHeight="1" outlineLevel="1">
      <c r="A105" s="1746"/>
      <c r="B105" s="1824"/>
      <c r="C105" s="1795"/>
      <c r="D105" s="1779"/>
      <c r="E105" s="1779"/>
      <c r="F105" s="1777"/>
      <c r="G105" s="1748"/>
      <c r="H105" s="1789"/>
      <c r="I105" s="1789"/>
      <c r="J105" s="1789"/>
      <c r="K105" s="1789"/>
      <c r="L105" s="1826"/>
      <c r="M105" s="1825"/>
      <c r="N105" s="1827"/>
      <c r="O105" s="1827"/>
      <c r="P105" s="1827"/>
      <c r="Q105" s="1827"/>
      <c r="R105" s="1827"/>
      <c r="S105" s="1827"/>
    </row>
    <row r="106" spans="1:19" ht="15.75" customHeight="1" outlineLevel="1">
      <c r="A106" s="1746"/>
      <c r="B106" s="1824"/>
      <c r="C106" s="1795"/>
      <c r="D106" s="1779"/>
      <c r="E106" s="1779"/>
      <c r="F106" s="1777"/>
      <c r="G106" s="1748"/>
      <c r="H106" s="1789"/>
      <c r="I106" s="1789"/>
      <c r="J106" s="1789"/>
      <c r="K106" s="1789"/>
      <c r="L106" s="1825"/>
      <c r="M106" s="1825"/>
      <c r="N106" s="1825"/>
      <c r="O106" s="1825"/>
      <c r="P106" s="1825"/>
      <c r="Q106" s="1825"/>
      <c r="R106" s="1825"/>
      <c r="S106" s="1825"/>
    </row>
    <row r="107" spans="1:19" ht="15.75" customHeight="1" outlineLevel="1">
      <c r="A107" s="1746"/>
      <c r="B107" s="1824"/>
      <c r="C107" s="1795"/>
      <c r="D107" s="1779"/>
      <c r="E107" s="1779"/>
      <c r="F107" s="1777"/>
      <c r="G107" s="1748"/>
      <c r="H107" s="1789"/>
      <c r="I107" s="1789"/>
      <c r="J107" s="1789"/>
      <c r="K107" s="1789"/>
      <c r="L107" s="1825"/>
      <c r="M107" s="1804"/>
      <c r="N107" s="1792"/>
      <c r="O107" s="1792"/>
      <c r="P107" s="1792"/>
      <c r="Q107" s="1792"/>
      <c r="R107" s="1792"/>
      <c r="S107" s="1792"/>
    </row>
    <row r="108" spans="1:19" ht="15.75" customHeight="1" outlineLevel="1">
      <c r="A108" s="1746"/>
      <c r="B108" s="1824"/>
      <c r="C108" s="1795"/>
      <c r="D108" s="1779"/>
      <c r="E108" s="1779"/>
      <c r="F108" s="1777"/>
      <c r="G108" s="1748"/>
      <c r="H108" s="1789"/>
      <c r="I108" s="1789"/>
      <c r="J108" s="1789"/>
      <c r="K108" s="1789"/>
      <c r="L108" s="1825"/>
      <c r="M108" s="1825"/>
      <c r="N108" s="1825"/>
      <c r="O108" s="1825"/>
      <c r="P108" s="1825"/>
      <c r="Q108" s="1825"/>
      <c r="R108" s="1825"/>
      <c r="S108" s="1825"/>
    </row>
    <row r="109" spans="1:19" s="1784" customFormat="1" ht="15.75" customHeight="1" outlineLevel="1">
      <c r="A109" s="1819"/>
      <c r="B109" s="1820"/>
      <c r="C109" s="1821"/>
      <c r="D109" s="1822"/>
      <c r="E109" s="1822"/>
      <c r="F109" s="1777"/>
      <c r="G109" s="1780"/>
      <c r="H109" s="1786"/>
      <c r="I109" s="1786"/>
      <c r="J109" s="1786"/>
      <c r="K109" s="1786"/>
      <c r="L109" s="1786"/>
      <c r="M109" s="1786"/>
      <c r="N109" s="1786"/>
      <c r="O109" s="1823"/>
      <c r="P109" s="1823"/>
      <c r="Q109" s="1823"/>
      <c r="R109" s="1823"/>
      <c r="S109" s="1823"/>
    </row>
    <row r="110" spans="1:19" ht="15.75" customHeight="1" outlineLevel="1">
      <c r="A110" s="1746"/>
      <c r="B110" s="1824"/>
      <c r="C110" s="1795"/>
      <c r="D110" s="1779"/>
      <c r="E110" s="1779"/>
      <c r="F110" s="1777"/>
      <c r="G110" s="1748"/>
      <c r="H110" s="1789"/>
      <c r="I110" s="1789"/>
      <c r="J110" s="1789"/>
      <c r="K110" s="1789"/>
      <c r="L110" s="1789"/>
      <c r="M110" s="1789"/>
      <c r="N110" s="1789"/>
      <c r="O110" s="1789"/>
      <c r="P110" s="1789"/>
      <c r="Q110" s="1789"/>
      <c r="R110" s="1789"/>
      <c r="S110" s="1789"/>
    </row>
    <row r="111" spans="1:19" ht="15.75" customHeight="1" outlineLevel="1">
      <c r="A111" s="1746"/>
      <c r="B111" s="1824"/>
      <c r="C111" s="1795"/>
      <c r="D111" s="1779"/>
      <c r="E111" s="1779"/>
      <c r="F111" s="1777"/>
      <c r="G111" s="1748"/>
      <c r="H111" s="1789"/>
      <c r="I111" s="1789"/>
      <c r="J111" s="1789"/>
      <c r="K111" s="1789"/>
      <c r="L111" s="1828"/>
      <c r="M111" s="1828"/>
      <c r="N111" s="1828"/>
      <c r="O111" s="1828"/>
      <c r="P111" s="1828"/>
      <c r="Q111" s="1828"/>
      <c r="R111" s="1828"/>
      <c r="S111" s="1828"/>
    </row>
    <row r="112" spans="1:19" ht="15.75" customHeight="1" outlineLevel="1">
      <c r="A112" s="1746"/>
      <c r="B112" s="1824"/>
      <c r="C112" s="1795"/>
      <c r="D112" s="1779"/>
      <c r="E112" s="1779"/>
      <c r="F112" s="1777"/>
      <c r="G112" s="1748"/>
      <c r="H112" s="1789"/>
      <c r="I112" s="1789"/>
      <c r="J112" s="1789"/>
      <c r="K112" s="1789"/>
      <c r="L112" s="1789"/>
      <c r="M112" s="1789"/>
      <c r="N112" s="1789"/>
      <c r="O112" s="1789"/>
      <c r="P112" s="1789"/>
      <c r="Q112" s="1789"/>
      <c r="R112" s="1789"/>
      <c r="S112" s="1789"/>
    </row>
    <row r="113" spans="1:19" ht="15.75" customHeight="1" outlineLevel="1">
      <c r="A113" s="1746"/>
      <c r="B113" s="1824"/>
      <c r="C113" s="1795"/>
      <c r="D113" s="1779"/>
      <c r="E113" s="1779"/>
      <c r="F113" s="1777"/>
      <c r="G113" s="1748"/>
      <c r="H113" s="1789"/>
      <c r="I113" s="1789"/>
      <c r="J113" s="1789"/>
      <c r="K113" s="1789"/>
      <c r="L113" s="1789"/>
      <c r="M113" s="1829"/>
      <c r="N113" s="1792"/>
      <c r="O113" s="1792"/>
      <c r="P113" s="1792"/>
      <c r="Q113" s="1792"/>
      <c r="R113" s="1792"/>
      <c r="S113" s="1792"/>
    </row>
    <row r="114" spans="1:19" ht="15.75" customHeight="1" outlineLevel="1">
      <c r="A114" s="1746"/>
      <c r="B114" s="1824"/>
      <c r="C114" s="1795"/>
      <c r="D114" s="1779"/>
      <c r="E114" s="1779"/>
      <c r="F114" s="1777"/>
      <c r="G114" s="1748"/>
      <c r="H114" s="1789"/>
      <c r="I114" s="1789"/>
      <c r="J114" s="1789"/>
      <c r="K114" s="1789"/>
      <c r="L114" s="1825"/>
      <c r="M114" s="1825"/>
      <c r="N114" s="1825"/>
      <c r="O114" s="1825"/>
      <c r="P114" s="1825"/>
      <c r="Q114" s="1825"/>
      <c r="R114" s="1825"/>
      <c r="S114" s="1825"/>
    </row>
    <row r="115" spans="1:19" ht="15.75" customHeight="1" outlineLevel="1">
      <c r="A115" s="1746"/>
      <c r="B115" s="1824"/>
      <c r="C115" s="1795"/>
      <c r="D115" s="1779"/>
      <c r="E115" s="1779"/>
      <c r="F115" s="1777"/>
      <c r="G115" s="1748"/>
      <c r="H115" s="1789"/>
      <c r="I115" s="1789"/>
      <c r="J115" s="1789"/>
      <c r="K115" s="1789"/>
      <c r="L115" s="1828"/>
      <c r="M115" s="1828"/>
      <c r="N115" s="1828"/>
      <c r="O115" s="1828"/>
      <c r="P115" s="1828"/>
      <c r="Q115" s="1828"/>
      <c r="R115" s="1828"/>
      <c r="S115" s="1828"/>
    </row>
    <row r="116" spans="1:19" ht="15.75" customHeight="1" outlineLevel="1">
      <c r="A116" s="1746"/>
      <c r="B116" s="1824"/>
      <c r="C116" s="1795"/>
      <c r="D116" s="1779"/>
      <c r="E116" s="1779"/>
      <c r="F116" s="1777"/>
      <c r="G116" s="1748"/>
      <c r="H116" s="1789"/>
      <c r="I116" s="1789"/>
      <c r="J116" s="1789"/>
      <c r="K116" s="1789"/>
      <c r="L116" s="1825"/>
      <c r="M116" s="1825"/>
      <c r="N116" s="1825"/>
      <c r="O116" s="1825"/>
      <c r="P116" s="1825"/>
      <c r="Q116" s="1825"/>
      <c r="R116" s="1825"/>
      <c r="S116" s="1825"/>
    </row>
    <row r="117" spans="1:19" ht="15.75" customHeight="1" outlineLevel="1">
      <c r="A117" s="1746"/>
      <c r="B117" s="1824"/>
      <c r="C117" s="1795"/>
      <c r="D117" s="1779"/>
      <c r="E117" s="1779"/>
      <c r="F117" s="1777"/>
      <c r="G117" s="1748"/>
      <c r="H117" s="1789"/>
      <c r="I117" s="1789"/>
      <c r="J117" s="1789"/>
      <c r="K117" s="1789"/>
      <c r="L117" s="1825"/>
      <c r="M117" s="1825"/>
      <c r="N117" s="1825"/>
      <c r="O117" s="1825"/>
      <c r="P117" s="1825"/>
      <c r="Q117" s="1825"/>
      <c r="R117" s="1825"/>
      <c r="S117" s="1825"/>
    </row>
    <row r="118" spans="1:19" ht="15.75" customHeight="1" outlineLevel="1">
      <c r="A118" s="1746"/>
      <c r="B118" s="1824"/>
      <c r="C118" s="1795"/>
      <c r="D118" s="1779"/>
      <c r="E118" s="1779"/>
      <c r="F118" s="1777"/>
      <c r="G118" s="1748"/>
      <c r="H118" s="1789"/>
      <c r="I118" s="1789"/>
      <c r="J118" s="1789"/>
      <c r="K118" s="1789"/>
      <c r="L118" s="1825"/>
      <c r="M118" s="1825"/>
      <c r="N118" s="1825"/>
      <c r="O118" s="1825"/>
      <c r="P118" s="1825"/>
      <c r="Q118" s="1825"/>
      <c r="R118" s="1825"/>
      <c r="S118" s="1825"/>
    </row>
    <row r="119" spans="1:19" ht="15.75" customHeight="1" outlineLevel="1">
      <c r="A119" s="1746"/>
      <c r="B119" s="1824"/>
      <c r="C119" s="1795"/>
      <c r="D119" s="1779"/>
      <c r="E119" s="1779"/>
      <c r="F119" s="1777"/>
      <c r="G119" s="1748"/>
      <c r="H119" s="1789"/>
      <c r="I119" s="1789"/>
      <c r="J119" s="1789"/>
      <c r="K119" s="1789"/>
      <c r="L119" s="1825"/>
      <c r="M119" s="1825"/>
      <c r="N119" s="1825"/>
      <c r="O119" s="1825"/>
      <c r="P119" s="1825"/>
      <c r="Q119" s="1825"/>
      <c r="R119" s="1825"/>
      <c r="S119" s="1825"/>
    </row>
    <row r="120" spans="1:19" ht="15.75" customHeight="1" outlineLevel="1">
      <c r="A120" s="1746"/>
      <c r="B120" s="1824"/>
      <c r="C120" s="1795"/>
      <c r="D120" s="1779"/>
      <c r="E120" s="1779"/>
      <c r="F120" s="1777"/>
      <c r="G120" s="1748"/>
      <c r="H120" s="1789"/>
      <c r="I120" s="1789"/>
      <c r="J120" s="1789"/>
      <c r="K120" s="1789"/>
      <c r="L120" s="1826"/>
      <c r="M120" s="1826"/>
      <c r="N120" s="1827"/>
      <c r="O120" s="1827"/>
      <c r="P120" s="1827"/>
      <c r="Q120" s="1827"/>
      <c r="R120" s="1827"/>
      <c r="S120" s="1827"/>
    </row>
    <row r="121" spans="1:19" ht="15.75" customHeight="1" outlineLevel="1">
      <c r="A121" s="1746"/>
      <c r="B121" s="1824"/>
      <c r="C121" s="1795"/>
      <c r="D121" s="1779"/>
      <c r="E121" s="1779"/>
      <c r="F121" s="1777"/>
      <c r="G121" s="1748"/>
      <c r="H121" s="1789"/>
      <c r="I121" s="1789"/>
      <c r="J121" s="1789"/>
      <c r="K121" s="1789"/>
      <c r="L121" s="1825"/>
      <c r="M121" s="1825"/>
      <c r="N121" s="1825"/>
      <c r="O121" s="1825"/>
      <c r="P121" s="1825"/>
      <c r="Q121" s="1825"/>
      <c r="R121" s="1825"/>
      <c r="S121" s="1825"/>
    </row>
    <row r="122" spans="1:19" ht="15.75" customHeight="1" outlineLevel="1">
      <c r="A122" s="1746"/>
      <c r="B122" s="1824"/>
      <c r="C122" s="1795"/>
      <c r="D122" s="1779"/>
      <c r="E122" s="1779"/>
      <c r="F122" s="1777"/>
      <c r="G122" s="1748"/>
      <c r="H122" s="1789"/>
      <c r="I122" s="1789"/>
      <c r="J122" s="1789"/>
      <c r="K122" s="1789"/>
      <c r="L122" s="1825"/>
      <c r="M122" s="1825"/>
      <c r="N122" s="1825"/>
      <c r="O122" s="1825"/>
      <c r="P122" s="1825"/>
      <c r="Q122" s="1825"/>
      <c r="R122" s="1825"/>
      <c r="S122" s="1825"/>
    </row>
    <row r="123" spans="1:19" ht="15.75" customHeight="1" outlineLevel="1">
      <c r="A123" s="1746"/>
      <c r="B123" s="1824"/>
      <c r="C123" s="1795"/>
      <c r="D123" s="1779"/>
      <c r="E123" s="1779"/>
      <c r="F123" s="1777"/>
      <c r="G123" s="1748"/>
      <c r="H123" s="1789"/>
      <c r="I123" s="1789"/>
      <c r="J123" s="1789"/>
      <c r="K123" s="1789"/>
      <c r="L123" s="1826"/>
      <c r="M123" s="1826"/>
      <c r="N123" s="1827"/>
      <c r="O123" s="1827"/>
      <c r="P123" s="1827"/>
      <c r="Q123" s="1827"/>
      <c r="R123" s="1827"/>
      <c r="S123" s="1827"/>
    </row>
    <row r="124" spans="1:19" ht="15.75" customHeight="1" outlineLevel="1">
      <c r="A124" s="1746"/>
      <c r="B124" s="1824"/>
      <c r="C124" s="1795"/>
      <c r="D124" s="1779"/>
      <c r="E124" s="1779"/>
      <c r="F124" s="1777"/>
      <c r="G124" s="1748"/>
      <c r="H124" s="1789"/>
      <c r="I124" s="1789"/>
      <c r="J124" s="1789"/>
      <c r="K124" s="1789"/>
      <c r="L124" s="1825"/>
      <c r="M124" s="1825"/>
      <c r="N124" s="1825"/>
      <c r="O124" s="1825"/>
      <c r="P124" s="1825"/>
      <c r="Q124" s="1825"/>
      <c r="R124" s="1825"/>
      <c r="S124" s="1825"/>
    </row>
    <row r="125" spans="1:19" s="1784" customFormat="1" ht="15.75" customHeight="1" outlineLevel="1">
      <c r="A125" s="1819"/>
      <c r="B125" s="1820"/>
      <c r="C125" s="1821"/>
      <c r="D125" s="1822"/>
      <c r="E125" s="1822"/>
      <c r="F125" s="1777"/>
      <c r="G125" s="1780"/>
      <c r="H125" s="1786"/>
      <c r="I125" s="1786"/>
      <c r="J125" s="1786"/>
      <c r="K125" s="1786"/>
      <c r="L125" s="1786"/>
      <c r="M125" s="1786"/>
      <c r="N125" s="1786"/>
      <c r="O125" s="1823"/>
      <c r="P125" s="1823"/>
      <c r="Q125" s="1823"/>
      <c r="R125" s="1823"/>
      <c r="S125" s="1823"/>
    </row>
    <row r="126" spans="1:19" ht="15.75" customHeight="1" outlineLevel="1">
      <c r="A126" s="1746"/>
      <c r="B126" s="1824"/>
      <c r="C126" s="1795"/>
      <c r="D126" s="1779"/>
      <c r="E126" s="1779"/>
      <c r="F126" s="1777"/>
      <c r="G126" s="1748"/>
      <c r="H126" s="1789"/>
      <c r="I126" s="1789"/>
      <c r="J126" s="1789"/>
      <c r="K126" s="1789"/>
      <c r="L126" s="1825"/>
      <c r="M126" s="1825"/>
      <c r="N126" s="1825"/>
      <c r="O126" s="1825"/>
      <c r="P126" s="1825"/>
      <c r="Q126" s="1825"/>
      <c r="R126" s="1825"/>
      <c r="S126" s="1825"/>
    </row>
    <row r="127" spans="1:19" ht="15.75" customHeight="1" outlineLevel="1">
      <c r="A127" s="1746"/>
      <c r="B127" s="1824"/>
      <c r="C127" s="1795"/>
      <c r="D127" s="1779"/>
      <c r="E127" s="1779"/>
      <c r="F127" s="1777"/>
      <c r="G127" s="1748"/>
      <c r="H127" s="1789"/>
      <c r="I127" s="1789"/>
      <c r="J127" s="1789"/>
      <c r="K127" s="1789"/>
      <c r="L127" s="1825"/>
      <c r="M127" s="1825"/>
      <c r="N127" s="1825"/>
      <c r="O127" s="1825"/>
      <c r="P127" s="1825"/>
      <c r="Q127" s="1825"/>
      <c r="R127" s="1825"/>
      <c r="S127" s="1825"/>
    </row>
    <row r="128" spans="1:19" ht="15.75" customHeight="1" outlineLevel="1">
      <c r="A128" s="1746"/>
      <c r="B128" s="1824"/>
      <c r="C128" s="1795"/>
      <c r="D128" s="1779"/>
      <c r="E128" s="1779"/>
      <c r="F128" s="1777"/>
      <c r="G128" s="1748"/>
      <c r="H128" s="1789"/>
      <c r="I128" s="1789"/>
      <c r="J128" s="1789"/>
      <c r="K128" s="1789"/>
      <c r="L128" s="1828"/>
      <c r="M128" s="1828"/>
      <c r="N128" s="1828"/>
      <c r="O128" s="1828"/>
      <c r="P128" s="1828"/>
      <c r="Q128" s="1828"/>
      <c r="R128" s="1828"/>
      <c r="S128" s="1828"/>
    </row>
    <row r="129" spans="1:19" ht="15.75" customHeight="1" outlineLevel="1">
      <c r="A129" s="1746"/>
      <c r="B129" s="1824"/>
      <c r="C129" s="1795"/>
      <c r="D129" s="1779"/>
      <c r="E129" s="1779"/>
      <c r="F129" s="1777"/>
      <c r="G129" s="1748"/>
      <c r="H129" s="1789"/>
      <c r="I129" s="1789"/>
      <c r="J129" s="1789"/>
      <c r="K129" s="1789"/>
      <c r="L129" s="1825"/>
      <c r="M129" s="1825"/>
      <c r="N129" s="1825"/>
      <c r="O129" s="1825"/>
      <c r="P129" s="1825"/>
      <c r="Q129" s="1825"/>
      <c r="R129" s="1825"/>
      <c r="S129" s="1825"/>
    </row>
    <row r="130" spans="1:19" ht="15.75" customHeight="1" outlineLevel="1">
      <c r="A130" s="1746"/>
      <c r="B130" s="1824"/>
      <c r="C130" s="1795"/>
      <c r="D130" s="1779"/>
      <c r="E130" s="1779"/>
      <c r="F130" s="1777"/>
      <c r="G130" s="1748"/>
      <c r="H130" s="1789"/>
      <c r="I130" s="1789"/>
      <c r="J130" s="1789"/>
      <c r="K130" s="1789"/>
      <c r="L130" s="1825"/>
      <c r="M130" s="1825"/>
      <c r="N130" s="1825"/>
      <c r="O130" s="1825"/>
      <c r="P130" s="1825"/>
      <c r="Q130" s="1825"/>
      <c r="R130" s="1825"/>
      <c r="S130" s="1825"/>
    </row>
    <row r="131" spans="1:19" ht="15.75" customHeight="1" outlineLevel="1">
      <c r="A131" s="1746"/>
      <c r="B131" s="1824"/>
      <c r="C131" s="1795"/>
      <c r="D131" s="1779"/>
      <c r="E131" s="1779"/>
      <c r="F131" s="1777"/>
      <c r="G131" s="1748"/>
      <c r="H131" s="1789"/>
      <c r="I131" s="1789"/>
      <c r="J131" s="1789"/>
      <c r="K131" s="1789"/>
      <c r="L131" s="1826"/>
      <c r="M131" s="1826"/>
      <c r="N131" s="1827"/>
      <c r="O131" s="1827"/>
      <c r="P131" s="1827"/>
      <c r="Q131" s="1827"/>
      <c r="R131" s="1827"/>
      <c r="S131" s="1827"/>
    </row>
    <row r="132" spans="1:19" ht="15.75" customHeight="1" outlineLevel="1">
      <c r="A132" s="1746"/>
      <c r="B132" s="1824"/>
      <c r="C132" s="1795"/>
      <c r="D132" s="1779"/>
      <c r="E132" s="1779"/>
      <c r="F132" s="1777"/>
      <c r="G132" s="1748"/>
      <c r="H132" s="1789"/>
      <c r="I132" s="1789"/>
      <c r="J132" s="1789"/>
      <c r="K132" s="1789"/>
      <c r="L132" s="1825"/>
      <c r="M132" s="1825"/>
      <c r="N132" s="1825"/>
      <c r="O132" s="1825"/>
      <c r="P132" s="1825"/>
      <c r="Q132" s="1825"/>
      <c r="R132" s="1825"/>
      <c r="S132" s="1825"/>
    </row>
    <row r="133" spans="1:19" ht="15.75" customHeight="1" outlineLevel="1">
      <c r="A133" s="1746"/>
      <c r="B133" s="1824"/>
      <c r="C133" s="1795"/>
      <c r="D133" s="1779"/>
      <c r="E133" s="1779"/>
      <c r="F133" s="1777"/>
      <c r="G133" s="1748"/>
      <c r="H133" s="1789"/>
      <c r="I133" s="1789"/>
      <c r="J133" s="1789"/>
      <c r="K133" s="1789"/>
      <c r="L133" s="1825"/>
      <c r="M133" s="1825"/>
      <c r="N133" s="1825"/>
      <c r="O133" s="1825"/>
      <c r="P133" s="1825"/>
      <c r="Q133" s="1825"/>
      <c r="R133" s="1825"/>
      <c r="S133" s="1825"/>
    </row>
    <row r="134" spans="1:19" ht="15.75" customHeight="1" outlineLevel="1">
      <c r="A134" s="1746"/>
      <c r="B134" s="1824"/>
      <c r="C134" s="1795"/>
      <c r="D134" s="1779"/>
      <c r="E134" s="1779"/>
      <c r="F134" s="1777"/>
      <c r="G134" s="1748"/>
      <c r="H134" s="1789"/>
      <c r="I134" s="1789"/>
      <c r="J134" s="1789"/>
      <c r="K134" s="1789"/>
      <c r="L134" s="1826"/>
      <c r="M134" s="1826"/>
      <c r="N134" s="1827"/>
      <c r="O134" s="1827"/>
      <c r="P134" s="1827"/>
      <c r="Q134" s="1827"/>
      <c r="R134" s="1827"/>
      <c r="S134" s="1827"/>
    </row>
    <row r="135" spans="1:19" ht="15.75" customHeight="1" outlineLevel="1">
      <c r="A135" s="1746"/>
      <c r="B135" s="1824"/>
      <c r="C135" s="1795"/>
      <c r="D135" s="1779"/>
      <c r="E135" s="1779"/>
      <c r="F135" s="1777"/>
      <c r="G135" s="1748"/>
      <c r="H135" s="1789"/>
      <c r="I135" s="1789"/>
      <c r="J135" s="1789"/>
      <c r="K135" s="1789"/>
      <c r="L135" s="1825"/>
      <c r="M135" s="1825"/>
      <c r="N135" s="1825"/>
      <c r="O135" s="1825"/>
      <c r="P135" s="1825"/>
      <c r="Q135" s="1825"/>
      <c r="R135" s="1825"/>
      <c r="S135" s="1825"/>
    </row>
    <row r="136" spans="1:19" s="1784" customFormat="1" ht="15.75" customHeight="1" outlineLevel="1">
      <c r="A136" s="1819"/>
      <c r="B136" s="1820"/>
      <c r="C136" s="1821"/>
      <c r="D136" s="1822"/>
      <c r="E136" s="1822"/>
      <c r="F136" s="1777"/>
      <c r="G136" s="1780"/>
      <c r="H136" s="1786"/>
      <c r="I136" s="1786"/>
      <c r="J136" s="1786"/>
      <c r="K136" s="1786"/>
      <c r="L136" s="1830"/>
      <c r="M136" s="1830"/>
      <c r="N136" s="1830"/>
      <c r="O136" s="1823"/>
      <c r="P136" s="1823"/>
      <c r="Q136" s="1823"/>
      <c r="R136" s="1823"/>
      <c r="S136" s="1823"/>
    </row>
    <row r="137" spans="1:19" ht="15.75" customHeight="1" outlineLevel="1">
      <c r="A137" s="1746"/>
      <c r="B137" s="1824"/>
      <c r="C137" s="1795"/>
      <c r="D137" s="1779"/>
      <c r="E137" s="1779"/>
      <c r="F137" s="1777"/>
      <c r="G137" s="1748"/>
      <c r="H137" s="1789"/>
      <c r="I137" s="1789"/>
      <c r="J137" s="1789"/>
      <c r="K137" s="1789"/>
      <c r="L137" s="1789"/>
      <c r="M137" s="1789"/>
      <c r="N137" s="1789"/>
      <c r="O137" s="1789"/>
      <c r="P137" s="1789"/>
      <c r="Q137" s="1789"/>
      <c r="R137" s="1789"/>
      <c r="S137" s="1789"/>
    </row>
    <row r="138" spans="1:19" ht="15.75" customHeight="1" outlineLevel="1">
      <c r="A138" s="1746"/>
      <c r="B138" s="1824"/>
      <c r="C138" s="1795"/>
      <c r="D138" s="1779"/>
      <c r="E138" s="1779"/>
      <c r="F138" s="1777"/>
      <c r="G138" s="1748"/>
      <c r="H138" s="1789"/>
      <c r="I138" s="1789"/>
      <c r="J138" s="1789"/>
      <c r="K138" s="1789"/>
      <c r="L138" s="1828"/>
      <c r="M138" s="1828"/>
      <c r="N138" s="1828"/>
      <c r="O138" s="1828"/>
      <c r="P138" s="1828"/>
      <c r="Q138" s="1828"/>
      <c r="R138" s="1828"/>
      <c r="S138" s="1828"/>
    </row>
    <row r="139" spans="1:19" ht="15.75" customHeight="1" outlineLevel="1">
      <c r="A139" s="1746"/>
      <c r="B139" s="1824"/>
      <c r="C139" s="1795"/>
      <c r="D139" s="1779"/>
      <c r="E139" s="1779"/>
      <c r="F139" s="1777"/>
      <c r="G139" s="1748"/>
      <c r="H139" s="1789"/>
      <c r="I139" s="1789"/>
      <c r="J139" s="1789"/>
      <c r="K139" s="1789"/>
      <c r="L139" s="1789"/>
      <c r="M139" s="1789"/>
      <c r="N139" s="1789"/>
      <c r="O139" s="1789"/>
      <c r="P139" s="1789"/>
      <c r="Q139" s="1789"/>
      <c r="R139" s="1789"/>
      <c r="S139" s="1789"/>
    </row>
    <row r="140" spans="1:19" ht="15.75" customHeight="1" outlineLevel="1">
      <c r="A140" s="1746"/>
      <c r="B140" s="1824"/>
      <c r="C140" s="1795"/>
      <c r="D140" s="1779"/>
      <c r="E140" s="1779"/>
      <c r="F140" s="1777"/>
      <c r="G140" s="1748"/>
      <c r="H140" s="1789"/>
      <c r="I140" s="1789"/>
      <c r="J140" s="1789"/>
      <c r="K140" s="1789"/>
      <c r="L140" s="1789"/>
      <c r="M140" s="1792"/>
      <c r="N140" s="1792"/>
      <c r="O140" s="1792"/>
      <c r="P140" s="1792"/>
      <c r="Q140" s="1792"/>
      <c r="R140" s="1792"/>
      <c r="S140" s="1792"/>
    </row>
    <row r="141" spans="1:19" ht="15.75" customHeight="1" outlineLevel="1">
      <c r="A141" s="1746"/>
      <c r="B141" s="1824"/>
      <c r="C141" s="1795"/>
      <c r="D141" s="1779"/>
      <c r="E141" s="1779"/>
      <c r="F141" s="1777"/>
      <c r="G141" s="1748"/>
      <c r="H141" s="1789"/>
      <c r="I141" s="1789"/>
      <c r="J141" s="1789"/>
      <c r="K141" s="1789"/>
      <c r="L141" s="1825"/>
      <c r="M141" s="1825"/>
      <c r="N141" s="1825"/>
      <c r="O141" s="1825"/>
      <c r="P141" s="1825"/>
      <c r="Q141" s="1825"/>
      <c r="R141" s="1825"/>
      <c r="S141" s="1825"/>
    </row>
    <row r="142" spans="1:19" ht="15.75" customHeight="1" outlineLevel="1">
      <c r="A142" s="1746"/>
      <c r="B142" s="1824"/>
      <c r="C142" s="1795"/>
      <c r="D142" s="1779"/>
      <c r="E142" s="1779"/>
      <c r="F142" s="1777"/>
      <c r="G142" s="1748"/>
      <c r="H142" s="1789"/>
      <c r="I142" s="1789"/>
      <c r="J142" s="1789"/>
      <c r="K142" s="1789"/>
      <c r="L142" s="1825"/>
      <c r="M142" s="1825"/>
      <c r="N142" s="1825"/>
      <c r="O142" s="1825"/>
      <c r="P142" s="1825"/>
      <c r="Q142" s="1825"/>
      <c r="R142" s="1825"/>
      <c r="S142" s="1825"/>
    </row>
    <row r="143" spans="1:19" ht="15.75" customHeight="1" outlineLevel="1">
      <c r="A143" s="1746"/>
      <c r="B143" s="1824"/>
      <c r="C143" s="1795"/>
      <c r="D143" s="1779"/>
      <c r="E143" s="1779"/>
      <c r="F143" s="1777"/>
      <c r="G143" s="1748"/>
      <c r="H143" s="1789"/>
      <c r="I143" s="1789"/>
      <c r="J143" s="1789"/>
      <c r="K143" s="1789"/>
      <c r="L143" s="1825"/>
      <c r="M143" s="1825"/>
      <c r="N143" s="1825"/>
      <c r="O143" s="1825"/>
      <c r="P143" s="1825"/>
      <c r="Q143" s="1825"/>
      <c r="R143" s="1825"/>
      <c r="S143" s="1825"/>
    </row>
    <row r="144" spans="1:19" ht="15.75" customHeight="1" outlineLevel="1">
      <c r="A144" s="1746"/>
      <c r="B144" s="1824"/>
      <c r="C144" s="1795"/>
      <c r="D144" s="1779"/>
      <c r="E144" s="1779"/>
      <c r="F144" s="1777"/>
      <c r="G144" s="1748"/>
      <c r="H144" s="1789"/>
      <c r="I144" s="1789"/>
      <c r="J144" s="1789"/>
      <c r="K144" s="1789"/>
      <c r="L144" s="1826"/>
      <c r="M144" s="1825"/>
      <c r="N144" s="1827"/>
      <c r="O144" s="1827"/>
      <c r="P144" s="1827"/>
      <c r="Q144" s="1827"/>
      <c r="R144" s="1827"/>
      <c r="S144" s="1827"/>
    </row>
    <row r="145" spans="1:19" ht="15.75" customHeight="1" outlineLevel="1">
      <c r="A145" s="1746"/>
      <c r="B145" s="1824"/>
      <c r="C145" s="1795"/>
      <c r="D145" s="1779"/>
      <c r="E145" s="1779"/>
      <c r="F145" s="1777"/>
      <c r="G145" s="1748"/>
      <c r="H145" s="1789"/>
      <c r="I145" s="1789"/>
      <c r="J145" s="1789"/>
      <c r="K145" s="1789"/>
      <c r="L145" s="1825"/>
      <c r="M145" s="1825"/>
      <c r="N145" s="1825"/>
      <c r="O145" s="1825"/>
      <c r="P145" s="1825"/>
      <c r="Q145" s="1825"/>
      <c r="R145" s="1825"/>
      <c r="S145" s="1825"/>
    </row>
    <row r="146" spans="1:19" ht="15.75" customHeight="1" outlineLevel="1">
      <c r="A146" s="1746"/>
      <c r="B146" s="1824"/>
      <c r="C146" s="1795"/>
      <c r="D146" s="1779"/>
      <c r="E146" s="1779"/>
      <c r="F146" s="1777"/>
      <c r="G146" s="1748"/>
      <c r="H146" s="1789"/>
      <c r="I146" s="1789"/>
      <c r="J146" s="1789"/>
      <c r="K146" s="1789"/>
      <c r="L146" s="1825"/>
      <c r="M146" s="1825"/>
      <c r="N146" s="1825"/>
      <c r="O146" s="1825"/>
      <c r="P146" s="1825"/>
      <c r="Q146" s="1825"/>
      <c r="R146" s="1825"/>
      <c r="S146" s="1825"/>
    </row>
    <row r="147" spans="1:19" ht="15.75" customHeight="1" outlineLevel="1">
      <c r="A147" s="1746"/>
      <c r="B147" s="1824"/>
      <c r="C147" s="1795"/>
      <c r="D147" s="1779"/>
      <c r="E147" s="1779"/>
      <c r="F147" s="1777"/>
      <c r="G147" s="1748"/>
      <c r="H147" s="1789"/>
      <c r="I147" s="1789"/>
      <c r="J147" s="1789"/>
      <c r="K147" s="1789"/>
      <c r="L147" s="1826"/>
      <c r="M147" s="1825"/>
      <c r="N147" s="1827"/>
      <c r="O147" s="1827"/>
      <c r="P147" s="1827"/>
      <c r="Q147" s="1827"/>
      <c r="R147" s="1827"/>
      <c r="S147" s="1827"/>
    </row>
    <row r="148" spans="1:19" ht="15.75" customHeight="1" outlineLevel="1">
      <c r="A148" s="1746"/>
      <c r="B148" s="1824"/>
      <c r="C148" s="1795"/>
      <c r="D148" s="1779"/>
      <c r="E148" s="1779"/>
      <c r="F148" s="1777"/>
      <c r="G148" s="1748"/>
      <c r="H148" s="1789"/>
      <c r="I148" s="1789"/>
      <c r="J148" s="1789"/>
      <c r="K148" s="1789"/>
      <c r="L148" s="1825"/>
      <c r="M148" s="1825"/>
      <c r="N148" s="1825"/>
      <c r="O148" s="1825"/>
      <c r="P148" s="1825"/>
      <c r="Q148" s="1825"/>
      <c r="R148" s="1825"/>
      <c r="S148" s="1825"/>
    </row>
    <row r="149" spans="1:19" ht="15.75" customHeight="1" outlineLevel="1">
      <c r="A149" s="1746"/>
      <c r="B149" s="1824"/>
      <c r="C149" s="1795"/>
      <c r="D149" s="1779"/>
      <c r="E149" s="1779"/>
      <c r="F149" s="1777"/>
      <c r="G149" s="1748"/>
      <c r="H149" s="1789"/>
      <c r="I149" s="1789"/>
      <c r="J149" s="1789"/>
      <c r="K149" s="1789"/>
      <c r="L149" s="1825"/>
      <c r="M149" s="1825"/>
      <c r="N149" s="1825"/>
      <c r="O149" s="1825"/>
      <c r="P149" s="1825"/>
      <c r="Q149" s="1825"/>
      <c r="R149" s="1825"/>
      <c r="S149" s="1825"/>
    </row>
    <row r="150" spans="1:19" s="1784" customFormat="1" ht="15.75" customHeight="1" outlineLevel="1">
      <c r="A150" s="1819"/>
      <c r="B150" s="1820"/>
      <c r="C150" s="1821"/>
      <c r="D150" s="1822"/>
      <c r="E150" s="1822"/>
      <c r="F150" s="1777"/>
      <c r="G150" s="1780"/>
      <c r="H150" s="1786"/>
      <c r="I150" s="1786"/>
      <c r="J150" s="1786"/>
      <c r="K150" s="1786"/>
      <c r="L150" s="1830"/>
      <c r="M150" s="1830"/>
      <c r="N150" s="1830"/>
      <c r="O150" s="1823"/>
      <c r="P150" s="1823"/>
      <c r="Q150" s="1823"/>
      <c r="R150" s="1823"/>
      <c r="S150" s="1823"/>
    </row>
    <row r="151" spans="1:19" s="1784" customFormat="1" ht="15.75" customHeight="1" outlineLevel="1">
      <c r="A151" s="1819"/>
      <c r="B151" s="1820"/>
      <c r="C151" s="1795"/>
      <c r="D151" s="1779"/>
      <c r="E151" s="1779"/>
      <c r="F151" s="1777"/>
      <c r="G151" s="1748"/>
      <c r="H151" s="1789"/>
      <c r="I151" s="1789"/>
      <c r="J151" s="1789"/>
      <c r="K151" s="1789"/>
      <c r="L151" s="1825"/>
      <c r="M151" s="1825"/>
      <c r="N151" s="1825"/>
      <c r="O151" s="1825"/>
      <c r="P151" s="1825"/>
      <c r="Q151" s="1825"/>
      <c r="R151" s="1825"/>
      <c r="S151" s="1825"/>
    </row>
    <row r="152" spans="1:19" s="1784" customFormat="1" ht="15.75" customHeight="1" outlineLevel="1">
      <c r="A152" s="1819"/>
      <c r="B152" s="1820"/>
      <c r="C152" s="1795"/>
      <c r="D152" s="1779"/>
      <c r="E152" s="1779"/>
      <c r="F152" s="1777"/>
      <c r="G152" s="1748"/>
      <c r="H152" s="1789"/>
      <c r="I152" s="1789"/>
      <c r="J152" s="1789"/>
      <c r="K152" s="1789"/>
      <c r="L152" s="1825"/>
      <c r="M152" s="1825"/>
      <c r="N152" s="1825"/>
      <c r="O152" s="1825"/>
      <c r="P152" s="1825"/>
      <c r="Q152" s="1825"/>
      <c r="R152" s="1825"/>
      <c r="S152" s="1825"/>
    </row>
    <row r="153" spans="1:19" s="1784" customFormat="1" ht="15.75" customHeight="1" outlineLevel="1">
      <c r="A153" s="1819"/>
      <c r="B153" s="1820"/>
      <c r="C153" s="1795"/>
      <c r="D153" s="1779"/>
      <c r="E153" s="1779"/>
      <c r="F153" s="1777"/>
      <c r="G153" s="1748"/>
      <c r="H153" s="1789"/>
      <c r="I153" s="1789"/>
      <c r="J153" s="1789"/>
      <c r="K153" s="1789"/>
      <c r="L153" s="1826"/>
      <c r="M153" s="1827"/>
      <c r="N153" s="1827"/>
      <c r="O153" s="1827"/>
      <c r="P153" s="1827"/>
      <c r="Q153" s="1827"/>
      <c r="R153" s="1827"/>
      <c r="S153" s="1827"/>
    </row>
    <row r="154" spans="1:19" s="1784" customFormat="1" ht="15.75" customHeight="1" outlineLevel="1">
      <c r="A154" s="1819"/>
      <c r="B154" s="1820"/>
      <c r="C154" s="1795"/>
      <c r="D154" s="1779"/>
      <c r="E154" s="1779"/>
      <c r="F154" s="1777"/>
      <c r="G154" s="1748"/>
      <c r="H154" s="1789"/>
      <c r="I154" s="1789"/>
      <c r="J154" s="1789"/>
      <c r="K154" s="1789"/>
      <c r="L154" s="1825"/>
      <c r="M154" s="1825"/>
      <c r="N154" s="1825"/>
      <c r="O154" s="1825"/>
      <c r="P154" s="1825"/>
      <c r="Q154" s="1825"/>
      <c r="R154" s="1825"/>
      <c r="S154" s="1825"/>
    </row>
    <row r="155" spans="1:19" s="1784" customFormat="1" ht="15.75" customHeight="1" outlineLevel="1">
      <c r="A155" s="1819"/>
      <c r="B155" s="1820"/>
      <c r="C155" s="1795"/>
      <c r="D155" s="1779"/>
      <c r="E155" s="1779"/>
      <c r="F155" s="1777"/>
      <c r="G155" s="1748"/>
      <c r="H155" s="1789"/>
      <c r="I155" s="1789"/>
      <c r="J155" s="1789"/>
      <c r="K155" s="1789"/>
      <c r="L155" s="1825"/>
      <c r="M155" s="1825"/>
      <c r="N155" s="1825"/>
      <c r="O155" s="1825"/>
      <c r="P155" s="1825"/>
      <c r="Q155" s="1825"/>
      <c r="R155" s="1825"/>
      <c r="S155" s="1825"/>
    </row>
    <row r="156" spans="1:19" s="1784" customFormat="1" ht="15.75" customHeight="1" outlineLevel="1">
      <c r="A156" s="1819"/>
      <c r="B156" s="1820"/>
      <c r="C156" s="1795"/>
      <c r="D156" s="1779"/>
      <c r="E156" s="1779"/>
      <c r="F156" s="1777"/>
      <c r="G156" s="1748"/>
      <c r="H156" s="1789"/>
      <c r="I156" s="1789"/>
      <c r="J156" s="1789"/>
      <c r="K156" s="1789"/>
      <c r="L156" s="1826"/>
      <c r="M156" s="1827"/>
      <c r="N156" s="1827"/>
      <c r="O156" s="1827"/>
      <c r="P156" s="1827"/>
      <c r="Q156" s="1827"/>
      <c r="R156" s="1827"/>
      <c r="S156" s="1827"/>
    </row>
    <row r="157" spans="1:19" s="1784" customFormat="1" ht="15.75" customHeight="1" outlineLevel="1">
      <c r="A157" s="1819"/>
      <c r="B157" s="1820"/>
      <c r="C157" s="1795"/>
      <c r="D157" s="1779"/>
      <c r="E157" s="1779"/>
      <c r="F157" s="1777"/>
      <c r="G157" s="1748"/>
      <c r="H157" s="1789"/>
      <c r="I157" s="1789"/>
      <c r="J157" s="1789"/>
      <c r="K157" s="1789"/>
      <c r="L157" s="1825"/>
      <c r="M157" s="1825"/>
      <c r="N157" s="1825"/>
      <c r="O157" s="1825"/>
      <c r="P157" s="1825"/>
      <c r="Q157" s="1825"/>
      <c r="R157" s="1825"/>
      <c r="S157" s="1825"/>
    </row>
    <row r="158" spans="1:19" s="1784" customFormat="1" ht="15.75" customHeight="1" outlineLevel="1">
      <c r="A158" s="1819"/>
      <c r="B158" s="1820"/>
      <c r="C158" s="1795"/>
      <c r="D158" s="1779"/>
      <c r="E158" s="1779"/>
      <c r="F158" s="1777"/>
      <c r="G158" s="1748"/>
      <c r="H158" s="1789"/>
      <c r="I158" s="1789"/>
      <c r="J158" s="1789"/>
      <c r="K158" s="1789"/>
      <c r="L158" s="1825"/>
      <c r="M158" s="1825"/>
      <c r="N158" s="1825"/>
      <c r="O158" s="1825"/>
      <c r="P158" s="1825"/>
      <c r="Q158" s="1825"/>
      <c r="R158" s="1825"/>
      <c r="S158" s="1825"/>
    </row>
    <row r="159" spans="1:19" s="1784" customFormat="1" ht="15.75" customHeight="1" outlineLevel="1">
      <c r="A159" s="1819"/>
      <c r="B159" s="1820"/>
      <c r="C159" s="1821"/>
      <c r="D159" s="1822"/>
      <c r="E159" s="1822"/>
      <c r="F159" s="1777"/>
      <c r="G159" s="1780"/>
      <c r="H159" s="1786"/>
      <c r="I159" s="1786"/>
      <c r="J159" s="1786"/>
      <c r="K159" s="1786"/>
      <c r="L159" s="1830"/>
      <c r="M159" s="1830"/>
      <c r="N159" s="1830"/>
      <c r="O159" s="1823"/>
      <c r="P159" s="1823"/>
      <c r="Q159" s="1823"/>
      <c r="R159" s="1823"/>
      <c r="S159" s="1823"/>
    </row>
    <row r="160" spans="1:19" s="1784" customFormat="1" ht="15.75" customHeight="1" outlineLevel="1">
      <c r="A160" s="1819"/>
      <c r="B160" s="1820"/>
      <c r="C160" s="1795"/>
      <c r="D160" s="1822"/>
      <c r="E160" s="1822"/>
      <c r="F160" s="1777"/>
      <c r="G160" s="1780"/>
      <c r="H160" s="1786"/>
      <c r="I160" s="1786"/>
      <c r="J160" s="1786"/>
      <c r="K160" s="1786"/>
      <c r="L160" s="1825"/>
      <c r="M160" s="1825"/>
      <c r="N160" s="1825"/>
      <c r="O160" s="1825"/>
      <c r="P160" s="1825"/>
      <c r="Q160" s="1825"/>
      <c r="R160" s="1825"/>
      <c r="S160" s="1825"/>
    </row>
    <row r="161" spans="1:19" s="1784" customFormat="1" ht="15.75" customHeight="1" outlineLevel="1">
      <c r="A161" s="1819"/>
      <c r="B161" s="1820"/>
      <c r="C161" s="1795"/>
      <c r="D161" s="1822"/>
      <c r="E161" s="1822"/>
      <c r="F161" s="1777"/>
      <c r="G161" s="1780"/>
      <c r="H161" s="1786"/>
      <c r="I161" s="1786"/>
      <c r="J161" s="1786"/>
      <c r="K161" s="1786"/>
      <c r="L161" s="1825"/>
      <c r="M161" s="1825"/>
      <c r="N161" s="1825"/>
      <c r="O161" s="1825"/>
      <c r="P161" s="1825"/>
      <c r="Q161" s="1825"/>
      <c r="R161" s="1825"/>
      <c r="S161" s="1825"/>
    </row>
    <row r="162" spans="1:19" s="1784" customFormat="1" ht="15.75" customHeight="1" outlineLevel="1">
      <c r="A162" s="1819"/>
      <c r="B162" s="1820"/>
      <c r="C162" s="1795"/>
      <c r="D162" s="1822"/>
      <c r="E162" s="1822"/>
      <c r="F162" s="1777"/>
      <c r="G162" s="1780"/>
      <c r="H162" s="1786"/>
      <c r="I162" s="1786"/>
      <c r="J162" s="1786"/>
      <c r="K162" s="1786"/>
      <c r="L162" s="1825"/>
      <c r="M162" s="1825"/>
      <c r="N162" s="1825"/>
      <c r="O162" s="1825"/>
      <c r="P162" s="1825"/>
      <c r="Q162" s="1825"/>
      <c r="R162" s="1825"/>
      <c r="S162" s="1825"/>
    </row>
    <row r="163" spans="1:19" s="1784" customFormat="1" ht="15.75" customHeight="1" outlineLevel="1">
      <c r="A163" s="1819"/>
      <c r="B163" s="1820"/>
      <c r="C163" s="1795"/>
      <c r="D163" s="1822"/>
      <c r="E163" s="1822"/>
      <c r="F163" s="1777"/>
      <c r="G163" s="1780"/>
      <c r="H163" s="1786"/>
      <c r="I163" s="1786"/>
      <c r="J163" s="1786"/>
      <c r="K163" s="1786"/>
      <c r="L163" s="1825"/>
      <c r="M163" s="1825"/>
      <c r="N163" s="1825"/>
      <c r="O163" s="1825"/>
      <c r="P163" s="1825"/>
      <c r="Q163" s="1825"/>
      <c r="R163" s="1825"/>
      <c r="S163" s="1825"/>
    </row>
    <row r="164" spans="1:19" s="1784" customFormat="1" ht="15.75" customHeight="1" outlineLevel="1">
      <c r="A164" s="1819"/>
      <c r="B164" s="1820"/>
      <c r="C164" s="1795"/>
      <c r="D164" s="1822"/>
      <c r="E164" s="1822"/>
      <c r="F164" s="1777"/>
      <c r="G164" s="1780"/>
      <c r="H164" s="1786"/>
      <c r="I164" s="1786"/>
      <c r="J164" s="1786"/>
      <c r="K164" s="1786"/>
      <c r="L164" s="1826"/>
      <c r="M164" s="1827"/>
      <c r="N164" s="1827"/>
      <c r="O164" s="1827"/>
      <c r="P164" s="1827"/>
      <c r="Q164" s="1827"/>
      <c r="R164" s="1827"/>
      <c r="S164" s="1827"/>
    </row>
    <row r="165" spans="1:19" s="1784" customFormat="1" ht="15.75" customHeight="1" outlineLevel="1">
      <c r="A165" s="1819"/>
      <c r="B165" s="1820"/>
      <c r="C165" s="1795"/>
      <c r="D165" s="1822"/>
      <c r="E165" s="1822"/>
      <c r="F165" s="1777"/>
      <c r="G165" s="1780"/>
      <c r="H165" s="1786"/>
      <c r="I165" s="1786"/>
      <c r="J165" s="1786"/>
      <c r="K165" s="1786"/>
      <c r="L165" s="1825"/>
      <c r="M165" s="1825"/>
      <c r="N165" s="1825"/>
      <c r="O165" s="1825"/>
      <c r="P165" s="1825"/>
      <c r="Q165" s="1825"/>
      <c r="R165" s="1825"/>
      <c r="S165" s="1825"/>
    </row>
    <row r="166" spans="1:19" s="1784" customFormat="1" ht="15.75" customHeight="1" outlineLevel="1">
      <c r="A166" s="1819"/>
      <c r="B166" s="1820"/>
      <c r="C166" s="1795"/>
      <c r="D166" s="1822"/>
      <c r="E166" s="1822"/>
      <c r="F166" s="1777"/>
      <c r="G166" s="1780"/>
      <c r="H166" s="1786"/>
      <c r="I166" s="1786"/>
      <c r="J166" s="1786"/>
      <c r="K166" s="1786"/>
      <c r="L166" s="1825"/>
      <c r="M166" s="1825"/>
      <c r="N166" s="1825"/>
      <c r="O166" s="1825"/>
      <c r="P166" s="1825"/>
      <c r="Q166" s="1825"/>
      <c r="R166" s="1825"/>
      <c r="S166" s="1825"/>
    </row>
    <row r="167" spans="1:19" s="1784" customFormat="1" ht="15.75" customHeight="1" outlineLevel="1">
      <c r="A167" s="1819"/>
      <c r="B167" s="1820"/>
      <c r="C167" s="1795"/>
      <c r="D167" s="1779"/>
      <c r="E167" s="1779"/>
      <c r="F167" s="1777"/>
      <c r="G167" s="1748"/>
      <c r="H167" s="1789"/>
      <c r="I167" s="1789"/>
      <c r="J167" s="1789"/>
      <c r="K167" s="1789"/>
      <c r="L167" s="1825"/>
      <c r="M167" s="1825"/>
      <c r="N167" s="1825"/>
      <c r="O167" s="1825"/>
      <c r="P167" s="1825"/>
      <c r="Q167" s="1825"/>
      <c r="R167" s="1825"/>
      <c r="S167" s="1825"/>
    </row>
    <row r="168" spans="1:19" s="1784" customFormat="1" ht="15.75" customHeight="1" outlineLevel="1">
      <c r="A168" s="1819"/>
      <c r="B168" s="1820"/>
      <c r="C168" s="1795"/>
      <c r="D168" s="1779"/>
      <c r="E168" s="1779"/>
      <c r="F168" s="1777"/>
      <c r="G168" s="1748"/>
      <c r="H168" s="1789"/>
      <c r="I168" s="1789"/>
      <c r="J168" s="1789"/>
      <c r="K168" s="1789"/>
      <c r="L168" s="1826"/>
      <c r="M168" s="1827"/>
      <c r="N168" s="1827"/>
      <c r="O168" s="1827"/>
      <c r="P168" s="1827"/>
      <c r="Q168" s="1827"/>
      <c r="R168" s="1827"/>
      <c r="S168" s="1827"/>
    </row>
    <row r="169" spans="1:19" s="1784" customFormat="1" ht="15.75" customHeight="1" outlineLevel="1">
      <c r="A169" s="1819"/>
      <c r="B169" s="1820"/>
      <c r="C169" s="1821"/>
      <c r="D169" s="1822"/>
      <c r="E169" s="1822"/>
      <c r="F169" s="1777"/>
      <c r="G169" s="1780"/>
      <c r="H169" s="1786"/>
      <c r="I169" s="1786"/>
      <c r="J169" s="1786"/>
      <c r="K169" s="1786"/>
      <c r="L169" s="1830"/>
      <c r="M169" s="1830"/>
      <c r="N169" s="1830"/>
      <c r="O169" s="1823"/>
      <c r="P169" s="1823"/>
      <c r="Q169" s="1823"/>
      <c r="R169" s="1823"/>
      <c r="S169" s="1823"/>
    </row>
    <row r="170" spans="1:19" s="1784" customFormat="1" ht="15.75" customHeight="1" outlineLevel="1">
      <c r="A170" s="1819"/>
      <c r="B170" s="1820"/>
      <c r="C170" s="1795"/>
      <c r="D170" s="1822"/>
      <c r="E170" s="1822"/>
      <c r="F170" s="1777"/>
      <c r="G170" s="1780"/>
      <c r="H170" s="1786"/>
      <c r="I170" s="1786"/>
      <c r="J170" s="1786"/>
      <c r="K170" s="1786"/>
      <c r="L170" s="1825"/>
      <c r="M170" s="1825"/>
      <c r="N170" s="1825"/>
      <c r="O170" s="1825"/>
      <c r="P170" s="1825"/>
      <c r="Q170" s="1825"/>
      <c r="R170" s="1825"/>
      <c r="S170" s="1825"/>
    </row>
    <row r="171" spans="1:19" s="1784" customFormat="1" ht="15.75" customHeight="1" outlineLevel="1">
      <c r="A171" s="1819"/>
      <c r="B171" s="1820"/>
      <c r="C171" s="1795"/>
      <c r="D171" s="1822"/>
      <c r="E171" s="1822"/>
      <c r="F171" s="1777"/>
      <c r="G171" s="1780"/>
      <c r="H171" s="1786"/>
      <c r="I171" s="1786"/>
      <c r="J171" s="1786"/>
      <c r="K171" s="1786"/>
      <c r="L171" s="1825"/>
      <c r="M171" s="1825"/>
      <c r="N171" s="1825"/>
      <c r="O171" s="1825"/>
      <c r="P171" s="1825"/>
      <c r="Q171" s="1825"/>
      <c r="R171" s="1825"/>
      <c r="S171" s="1825"/>
    </row>
    <row r="172" spans="1:19" s="1784" customFormat="1" ht="15.75" customHeight="1" outlineLevel="1">
      <c r="A172" s="1819"/>
      <c r="B172" s="1820"/>
      <c r="C172" s="1795"/>
      <c r="D172" s="1822"/>
      <c r="E172" s="1822"/>
      <c r="F172" s="1777"/>
      <c r="G172" s="1780"/>
      <c r="H172" s="1786"/>
      <c r="I172" s="1786"/>
      <c r="J172" s="1786"/>
      <c r="K172" s="1786"/>
      <c r="L172" s="1825"/>
      <c r="M172" s="1825"/>
      <c r="N172" s="1825"/>
      <c r="O172" s="1825"/>
      <c r="P172" s="1825"/>
      <c r="Q172" s="1825"/>
      <c r="R172" s="1825"/>
      <c r="S172" s="1825"/>
    </row>
    <row r="173" spans="1:19" s="1784" customFormat="1" ht="15.75" customHeight="1" outlineLevel="1">
      <c r="A173" s="1819"/>
      <c r="B173" s="1820"/>
      <c r="C173" s="1795"/>
      <c r="D173" s="1822"/>
      <c r="E173" s="1822"/>
      <c r="F173" s="1777"/>
      <c r="G173" s="1780"/>
      <c r="H173" s="1786"/>
      <c r="I173" s="1786"/>
      <c r="J173" s="1786"/>
      <c r="K173" s="1786"/>
      <c r="L173" s="1825"/>
      <c r="M173" s="1825"/>
      <c r="N173" s="1825"/>
      <c r="O173" s="1825"/>
      <c r="P173" s="1825"/>
      <c r="Q173" s="1825"/>
      <c r="R173" s="1825"/>
      <c r="S173" s="1825"/>
    </row>
    <row r="174" spans="1:19" s="1784" customFormat="1" ht="15.75" customHeight="1" outlineLevel="1">
      <c r="A174" s="1819"/>
      <c r="B174" s="1820"/>
      <c r="C174" s="1795"/>
      <c r="D174" s="1822"/>
      <c r="E174" s="1822"/>
      <c r="F174" s="1777"/>
      <c r="G174" s="1780"/>
      <c r="H174" s="1786"/>
      <c r="I174" s="1786"/>
      <c r="J174" s="1786"/>
      <c r="K174" s="1786"/>
      <c r="L174" s="1825"/>
      <c r="M174" s="1825"/>
      <c r="N174" s="1825"/>
      <c r="O174" s="1825"/>
      <c r="P174" s="1825"/>
      <c r="Q174" s="1825"/>
      <c r="R174" s="1825"/>
      <c r="S174" s="1825"/>
    </row>
    <row r="175" spans="1:19" s="1784" customFormat="1" ht="15.75" customHeight="1" outlineLevel="1">
      <c r="A175" s="1819"/>
      <c r="B175" s="1820"/>
      <c r="C175" s="1795"/>
      <c r="D175" s="1822"/>
      <c r="E175" s="1822"/>
      <c r="F175" s="1777"/>
      <c r="G175" s="1780"/>
      <c r="H175" s="1786"/>
      <c r="I175" s="1786"/>
      <c r="J175" s="1786"/>
      <c r="K175" s="1786"/>
      <c r="L175" s="1825"/>
      <c r="M175" s="1825"/>
      <c r="N175" s="1825"/>
      <c r="O175" s="1825"/>
      <c r="P175" s="1825"/>
      <c r="Q175" s="1825"/>
      <c r="R175" s="1825"/>
      <c r="S175" s="1825"/>
    </row>
    <row r="176" spans="1:19" s="1784" customFormat="1" ht="15.75" customHeight="1" outlineLevel="1">
      <c r="A176" s="1819"/>
      <c r="B176" s="1820"/>
      <c r="C176" s="1821"/>
      <c r="D176" s="1822"/>
      <c r="E176" s="1822"/>
      <c r="F176" s="1777"/>
      <c r="G176" s="1780"/>
      <c r="H176" s="1786"/>
      <c r="I176" s="1786"/>
      <c r="J176" s="1786"/>
      <c r="K176" s="1786"/>
      <c r="L176" s="1830"/>
      <c r="M176" s="1830"/>
      <c r="N176" s="1830"/>
      <c r="O176" s="1823"/>
      <c r="P176" s="1823"/>
      <c r="Q176" s="1823"/>
      <c r="R176" s="1823"/>
      <c r="S176" s="1823"/>
    </row>
    <row r="177" spans="1:19" s="1784" customFormat="1" ht="15.75" customHeight="1" outlineLevel="1">
      <c r="A177" s="1819"/>
      <c r="B177" s="1820"/>
      <c r="C177" s="1821"/>
      <c r="D177" s="1822"/>
      <c r="E177" s="1822"/>
      <c r="F177" s="1777"/>
      <c r="G177" s="1780"/>
      <c r="H177" s="1786"/>
      <c r="I177" s="1786"/>
      <c r="J177" s="1786"/>
      <c r="K177" s="1786"/>
      <c r="L177" s="1830"/>
      <c r="M177" s="1830"/>
      <c r="N177" s="1830"/>
      <c r="O177" s="1823"/>
      <c r="P177" s="1823"/>
      <c r="Q177" s="1823"/>
      <c r="R177" s="1823"/>
      <c r="S177" s="1823"/>
    </row>
    <row r="178" spans="1:19" s="1784" customFormat="1" ht="15.75" customHeight="1" outlineLevel="1">
      <c r="A178" s="1819"/>
      <c r="B178" s="1820"/>
      <c r="C178" s="1795"/>
      <c r="D178" s="1779"/>
      <c r="E178" s="1779"/>
      <c r="F178" s="1777"/>
      <c r="G178" s="1748"/>
      <c r="H178" s="1789"/>
      <c r="I178" s="1789"/>
      <c r="J178" s="1789"/>
      <c r="K178" s="1789"/>
      <c r="L178" s="1825"/>
      <c r="M178" s="1825"/>
      <c r="N178" s="1825"/>
      <c r="O178" s="1825"/>
      <c r="P178" s="1825"/>
      <c r="Q178" s="1825"/>
      <c r="R178" s="1825"/>
      <c r="S178" s="1825"/>
    </row>
    <row r="179" spans="1:19" s="1784" customFormat="1" ht="15.75" customHeight="1" outlineLevel="1">
      <c r="A179" s="1819"/>
      <c r="B179" s="1820"/>
      <c r="C179" s="1795"/>
      <c r="D179" s="1779"/>
      <c r="E179" s="1779"/>
      <c r="F179" s="1777"/>
      <c r="G179" s="1748"/>
      <c r="H179" s="1789"/>
      <c r="I179" s="1789"/>
      <c r="J179" s="1789"/>
      <c r="K179" s="1789"/>
      <c r="L179" s="1825"/>
      <c r="M179" s="1825"/>
      <c r="N179" s="1825"/>
      <c r="O179" s="1825"/>
      <c r="P179" s="1825"/>
      <c r="Q179" s="1825"/>
      <c r="R179" s="1825"/>
      <c r="S179" s="1825"/>
    </row>
    <row r="180" spans="1:19" s="1784" customFormat="1" ht="15.75" customHeight="1" outlineLevel="1">
      <c r="A180" s="1819"/>
      <c r="B180" s="1820"/>
      <c r="C180" s="1795"/>
      <c r="D180" s="1779"/>
      <c r="E180" s="1779"/>
      <c r="F180" s="1777"/>
      <c r="G180" s="1748"/>
      <c r="H180" s="1789"/>
      <c r="I180" s="1789"/>
      <c r="J180" s="1789"/>
      <c r="K180" s="1789"/>
      <c r="L180" s="1825"/>
      <c r="M180" s="1825"/>
      <c r="N180" s="1825"/>
      <c r="O180" s="1825"/>
      <c r="P180" s="1825"/>
      <c r="Q180" s="1825"/>
      <c r="R180" s="1825"/>
      <c r="S180" s="1825"/>
    </row>
    <row r="181" spans="1:19" s="1784" customFormat="1" ht="15.75" customHeight="1" outlineLevel="1">
      <c r="A181" s="1819"/>
      <c r="B181" s="1820"/>
      <c r="C181" s="1795"/>
      <c r="D181" s="1779"/>
      <c r="E181" s="1779"/>
      <c r="F181" s="1777"/>
      <c r="G181" s="1748"/>
      <c r="H181" s="1789"/>
      <c r="I181" s="1789"/>
      <c r="J181" s="1789"/>
      <c r="K181" s="1789"/>
      <c r="L181" s="1825"/>
      <c r="M181" s="1825"/>
      <c r="N181" s="1825"/>
      <c r="O181" s="1825"/>
      <c r="P181" s="1825"/>
      <c r="Q181" s="1825"/>
      <c r="R181" s="1825"/>
      <c r="S181" s="1825"/>
    </row>
    <row r="182" spans="1:19" s="1784" customFormat="1" ht="15.75" customHeight="1" outlineLevel="1">
      <c r="A182" s="1819"/>
      <c r="B182" s="1820"/>
      <c r="C182" s="1795"/>
      <c r="D182" s="1779"/>
      <c r="E182" s="1779"/>
      <c r="F182" s="1777"/>
      <c r="G182" s="1748"/>
      <c r="H182" s="1789"/>
      <c r="I182" s="1789"/>
      <c r="J182" s="1789"/>
      <c r="K182" s="1789"/>
      <c r="L182" s="1826"/>
      <c r="M182" s="1827"/>
      <c r="N182" s="1827"/>
      <c r="O182" s="1827"/>
      <c r="P182" s="1827"/>
      <c r="Q182" s="1827"/>
      <c r="R182" s="1827"/>
      <c r="S182" s="1827"/>
    </row>
    <row r="183" spans="1:19" s="1784" customFormat="1" ht="15.75" customHeight="1" outlineLevel="1">
      <c r="A183" s="1819"/>
      <c r="B183" s="1820"/>
      <c r="C183" s="1795"/>
      <c r="D183" s="1779"/>
      <c r="E183" s="1779"/>
      <c r="F183" s="1777"/>
      <c r="G183" s="1748"/>
      <c r="H183" s="1789"/>
      <c r="I183" s="1789"/>
      <c r="J183" s="1789"/>
      <c r="K183" s="1789"/>
      <c r="L183" s="1825"/>
      <c r="M183" s="1825"/>
      <c r="N183" s="1825"/>
      <c r="O183" s="1825"/>
      <c r="P183" s="1825"/>
      <c r="Q183" s="1825"/>
      <c r="R183" s="1825"/>
      <c r="S183" s="1825"/>
    </row>
    <row r="184" spans="1:19" s="1784" customFormat="1" ht="15.75" customHeight="1" outlineLevel="1">
      <c r="A184" s="1819"/>
      <c r="B184" s="1820"/>
      <c r="C184" s="1795"/>
      <c r="D184" s="1779"/>
      <c r="E184" s="1779"/>
      <c r="F184" s="1777"/>
      <c r="G184" s="1748"/>
      <c r="H184" s="1789"/>
      <c r="I184" s="1789"/>
      <c r="J184" s="1789"/>
      <c r="K184" s="1789"/>
      <c r="L184" s="1825"/>
      <c r="M184" s="1825"/>
      <c r="N184" s="1825"/>
      <c r="O184" s="1825"/>
      <c r="P184" s="1825"/>
      <c r="Q184" s="1825"/>
      <c r="R184" s="1825"/>
      <c r="S184" s="1825"/>
    </row>
    <row r="185" spans="1:19" ht="15.75" customHeight="1" outlineLevel="1">
      <c r="A185" s="1746"/>
      <c r="C185" s="1831"/>
      <c r="D185" s="1747"/>
      <c r="E185" s="1747"/>
      <c r="F185" s="1747"/>
      <c r="G185" s="1747"/>
      <c r="H185" s="1748"/>
      <c r="J185" s="1747"/>
      <c r="N185" s="1832"/>
      <c r="O185" s="1832"/>
      <c r="P185" s="1832"/>
      <c r="Q185" s="1832"/>
      <c r="R185" s="1832"/>
      <c r="S185" s="1832"/>
    </row>
    <row r="186" spans="1:19" ht="15.75" customHeight="1" outlineLevel="1">
      <c r="A186" s="1746"/>
      <c r="D186" s="1747"/>
      <c r="E186" s="1747"/>
      <c r="F186" s="1747"/>
      <c r="G186" s="1747"/>
      <c r="H186" s="1748"/>
      <c r="J186" s="1747"/>
      <c r="N186" s="1833"/>
      <c r="O186" s="1833"/>
      <c r="P186" s="1833"/>
      <c r="Q186" s="1833"/>
      <c r="R186" s="1833"/>
      <c r="S186" s="1833"/>
    </row>
    <row r="187" spans="1:19" ht="15.75" customHeight="1" outlineLevel="1">
      <c r="A187" s="1746"/>
      <c r="C187" s="1795"/>
      <c r="D187" s="1747"/>
      <c r="E187" s="1747"/>
      <c r="F187" s="1747"/>
      <c r="G187" s="1747"/>
      <c r="H187" s="1748"/>
      <c r="J187" s="1747"/>
      <c r="N187" s="1749"/>
      <c r="O187" s="1749"/>
      <c r="P187" s="1749"/>
      <c r="Q187" s="1749"/>
      <c r="R187" s="1749"/>
      <c r="S187" s="1749"/>
    </row>
    <row r="188" spans="1:19" ht="15.75" customHeight="1" outlineLevel="1">
      <c r="A188" s="1746"/>
      <c r="C188" s="1795"/>
      <c r="D188" s="1747"/>
      <c r="E188" s="1747"/>
      <c r="F188" s="1747"/>
      <c r="G188" s="1747"/>
      <c r="H188" s="1748"/>
      <c r="J188" s="1747"/>
      <c r="N188" s="1749"/>
      <c r="O188" s="1749"/>
      <c r="P188" s="1749"/>
      <c r="Q188" s="1749"/>
      <c r="R188" s="1749"/>
      <c r="S188" s="1749"/>
    </row>
    <row r="189" spans="1:19" ht="27" customHeight="1" outlineLevel="1">
      <c r="A189" s="1746"/>
      <c r="C189" s="1795"/>
      <c r="G189" s="354"/>
      <c r="L189" s="354"/>
    </row>
    <row r="190" spans="1:19" ht="3" customHeight="1" outlineLevel="1">
      <c r="A190" s="1746"/>
      <c r="C190" s="1795"/>
      <c r="D190" s="1757"/>
      <c r="E190" s="1757"/>
      <c r="F190" s="1757"/>
      <c r="G190" s="1757"/>
      <c r="H190" s="1758"/>
      <c r="I190" s="1757"/>
      <c r="J190" s="1757"/>
      <c r="K190" s="1757"/>
      <c r="L190" s="1757"/>
      <c r="M190" s="1757"/>
      <c r="N190" s="1757"/>
      <c r="O190" s="1757"/>
      <c r="P190" s="1757"/>
      <c r="Q190" s="1757"/>
      <c r="R190" s="1757"/>
      <c r="S190" s="1757"/>
    </row>
    <row r="191" spans="1:19" ht="15.75" customHeight="1" outlineLevel="1">
      <c r="A191" s="1746"/>
      <c r="C191" s="1795"/>
      <c r="G191" s="354"/>
      <c r="H191" s="1759"/>
      <c r="I191" s="1760"/>
      <c r="J191" s="1760"/>
      <c r="K191" s="1760"/>
      <c r="L191" s="1760"/>
      <c r="M191" s="1760"/>
      <c r="N191" s="1760"/>
      <c r="O191" s="1760"/>
      <c r="P191" s="1760"/>
      <c r="Q191" s="1760"/>
      <c r="R191" s="1760"/>
      <c r="S191" s="1760"/>
    </row>
    <row r="192" spans="1:19" ht="15.75" customHeight="1" outlineLevel="1">
      <c r="A192" s="1746"/>
      <c r="C192" s="1795"/>
      <c r="D192" s="1762"/>
      <c r="E192" s="1762"/>
      <c r="F192" s="1762"/>
      <c r="G192" s="1762"/>
      <c r="H192" s="1759"/>
      <c r="I192" s="1763"/>
      <c r="J192" s="1763"/>
      <c r="K192" s="1763"/>
      <c r="L192" s="1764"/>
      <c r="M192" s="1763"/>
      <c r="N192" s="1764"/>
      <c r="O192" s="1764"/>
      <c r="P192" s="1764"/>
      <c r="Q192" s="1764"/>
      <c r="R192" s="1764"/>
      <c r="S192" s="1764"/>
    </row>
    <row r="193" spans="2:19" ht="15.75" customHeight="1" outlineLevel="1">
      <c r="B193" s="1749"/>
      <c r="C193" s="1795"/>
      <c r="D193" s="1767"/>
      <c r="E193" s="1767"/>
      <c r="F193" s="1767"/>
      <c r="G193" s="1834"/>
      <c r="H193" s="1768"/>
      <c r="I193" s="1768"/>
      <c r="J193" s="1768"/>
      <c r="K193" s="1768"/>
      <c r="L193" s="1769"/>
      <c r="M193" s="1768"/>
      <c r="N193" s="1768"/>
      <c r="O193" s="1768"/>
      <c r="P193" s="1768"/>
      <c r="Q193" s="1768"/>
      <c r="R193" s="1768"/>
      <c r="S193" s="1768"/>
    </row>
    <row r="194" spans="2:19" ht="15.75" customHeight="1" outlineLevel="1">
      <c r="B194" s="1749"/>
      <c r="C194" s="1795"/>
      <c r="D194" s="1771"/>
      <c r="E194" s="1771"/>
      <c r="F194" s="1771"/>
      <c r="G194" s="1815"/>
      <c r="H194" s="1772"/>
      <c r="I194" s="1772"/>
      <c r="J194" s="1772"/>
      <c r="K194" s="1772"/>
      <c r="L194" s="1772"/>
      <c r="M194" s="1772"/>
      <c r="N194" s="1772"/>
      <c r="O194" s="1772"/>
      <c r="P194" s="1772"/>
      <c r="Q194" s="1772"/>
      <c r="R194" s="1772"/>
      <c r="S194" s="1772"/>
    </row>
    <row r="195" spans="2:19" ht="15.75" customHeight="1" outlineLevel="1">
      <c r="B195" s="1749"/>
      <c r="C195" s="1795"/>
      <c r="D195" s="1835"/>
      <c r="E195" s="1835"/>
      <c r="F195" s="1835"/>
      <c r="G195" s="1816"/>
      <c r="H195" s="1836"/>
      <c r="I195" s="1836"/>
      <c r="J195" s="1836"/>
      <c r="K195" s="1836"/>
      <c r="L195" s="1836"/>
      <c r="M195" s="1836"/>
      <c r="N195" s="1836"/>
      <c r="O195" s="1836"/>
      <c r="P195" s="1836"/>
      <c r="Q195" s="1836"/>
      <c r="R195" s="1836"/>
      <c r="S195" s="1836"/>
    </row>
    <row r="196" spans="2:19" ht="15.75" customHeight="1" outlineLevel="1">
      <c r="B196" s="1749"/>
      <c r="C196" s="1795"/>
      <c r="D196" s="1837"/>
      <c r="E196" s="1779"/>
      <c r="F196" s="1779"/>
      <c r="G196" s="1780"/>
      <c r="H196" s="1780"/>
      <c r="I196" s="1818"/>
      <c r="J196" s="1818"/>
      <c r="K196" s="1818"/>
      <c r="L196" s="1818"/>
      <c r="M196" s="1818"/>
      <c r="N196" s="1818"/>
      <c r="O196" s="1818"/>
      <c r="P196" s="1818"/>
      <c r="Q196" s="1818"/>
      <c r="R196" s="1818"/>
      <c r="S196" s="1818"/>
    </row>
    <row r="197" spans="2:19" ht="15.75" customHeight="1" outlineLevel="1">
      <c r="B197" s="1748"/>
      <c r="C197" s="1821"/>
      <c r="D197" s="1778"/>
      <c r="E197" s="1779"/>
      <c r="F197" s="1779"/>
      <c r="G197" s="1748"/>
      <c r="H197" s="1789"/>
      <c r="I197" s="1789"/>
      <c r="J197" s="1789"/>
      <c r="K197" s="1789"/>
      <c r="L197" s="1789"/>
      <c r="M197" s="1789"/>
      <c r="N197" s="1789"/>
      <c r="O197" s="1789"/>
      <c r="P197" s="1789"/>
      <c r="Q197" s="1789"/>
      <c r="R197" s="1789"/>
      <c r="S197" s="1789"/>
    </row>
    <row r="198" spans="2:19" ht="15.75" customHeight="1" outlineLevel="1">
      <c r="B198" s="1748"/>
      <c r="C198" s="1795"/>
      <c r="D198" s="1778"/>
      <c r="E198" s="1779"/>
      <c r="F198" s="1779"/>
      <c r="G198" s="1748"/>
      <c r="H198" s="1748"/>
      <c r="I198" s="1789"/>
      <c r="J198" s="1789"/>
      <c r="K198" s="1789"/>
      <c r="L198" s="1789"/>
      <c r="M198" s="1789"/>
      <c r="N198" s="1789"/>
      <c r="O198" s="1789"/>
      <c r="P198" s="1789"/>
      <c r="Q198" s="1789"/>
      <c r="R198" s="1789"/>
      <c r="S198" s="1789"/>
    </row>
    <row r="199" spans="2:19" ht="7.5" customHeight="1" outlineLevel="1">
      <c r="B199" s="1748"/>
      <c r="C199" s="1795"/>
      <c r="D199" s="1778"/>
      <c r="E199" s="1779"/>
      <c r="F199" s="1779"/>
      <c r="G199" s="1748"/>
      <c r="H199" s="1789"/>
      <c r="I199" s="1789"/>
      <c r="J199" s="1789"/>
      <c r="K199" s="1789"/>
      <c r="L199" s="1789"/>
      <c r="M199" s="1789"/>
      <c r="N199" s="1789"/>
      <c r="O199" s="1789"/>
      <c r="P199" s="1789"/>
      <c r="Q199" s="1789"/>
      <c r="R199" s="1789"/>
      <c r="S199" s="1789"/>
    </row>
    <row r="200" spans="2:19" ht="15.75" customHeight="1" outlineLevel="1">
      <c r="B200" s="1748"/>
      <c r="C200" s="1795"/>
      <c r="D200" s="1838"/>
      <c r="E200" s="1838"/>
      <c r="F200" s="1838"/>
      <c r="G200" s="1748"/>
      <c r="H200" s="1748"/>
      <c r="I200" s="1839"/>
      <c r="J200" s="1840"/>
      <c r="K200" s="1839"/>
      <c r="L200" s="1839"/>
      <c r="M200" s="1839"/>
      <c r="N200" s="1839"/>
      <c r="O200" s="1839"/>
      <c r="P200" s="1839"/>
      <c r="Q200" s="1839"/>
      <c r="R200" s="1839"/>
      <c r="S200" s="1839"/>
    </row>
    <row r="201" spans="2:19" ht="7.5" customHeight="1" outlineLevel="1">
      <c r="B201" s="1748"/>
      <c r="C201" s="1795"/>
      <c r="D201" s="1838"/>
      <c r="E201" s="1838"/>
      <c r="F201" s="1838"/>
      <c r="G201" s="1748"/>
      <c r="H201" s="1839"/>
      <c r="I201" s="1839"/>
      <c r="J201" s="1839"/>
      <c r="K201" s="1839"/>
      <c r="L201" s="1839"/>
      <c r="M201" s="1839"/>
      <c r="N201" s="1832"/>
      <c r="O201" s="1832"/>
      <c r="P201" s="1832"/>
      <c r="Q201" s="1832"/>
      <c r="R201" s="1832"/>
      <c r="S201" s="1832"/>
    </row>
    <row r="202" spans="2:19" ht="15.75" customHeight="1" outlineLevel="1">
      <c r="B202" s="1748"/>
      <c r="C202" s="1795"/>
      <c r="D202" s="1778"/>
      <c r="E202" s="1779"/>
      <c r="F202" s="1779"/>
      <c r="G202" s="1748"/>
      <c r="H202" s="1748"/>
      <c r="I202" s="1841"/>
      <c r="J202" s="1841"/>
      <c r="K202" s="1841"/>
      <c r="L202" s="1839"/>
      <c r="M202" s="1839"/>
      <c r="N202" s="1839"/>
      <c r="O202" s="1839"/>
      <c r="P202" s="1839"/>
      <c r="Q202" s="1839"/>
      <c r="R202" s="1839"/>
      <c r="S202" s="1839"/>
    </row>
    <row r="203" spans="2:19" ht="7.5" customHeight="1" outlineLevel="1">
      <c r="B203" s="1748"/>
      <c r="C203" s="1795"/>
      <c r="D203" s="1838"/>
      <c r="E203" s="1838"/>
      <c r="F203" s="1838"/>
      <c r="G203" s="1748"/>
      <c r="H203" s="1839"/>
      <c r="I203" s="1839"/>
      <c r="J203" s="1839"/>
      <c r="K203" s="1839"/>
      <c r="L203" s="1839"/>
      <c r="M203" s="1839"/>
      <c r="N203" s="1749"/>
      <c r="O203" s="1749"/>
      <c r="P203" s="1749"/>
      <c r="Q203" s="1749"/>
      <c r="R203" s="1749"/>
      <c r="S203" s="1749"/>
    </row>
    <row r="204" spans="2:19" ht="15.75" customHeight="1" outlineLevel="1">
      <c r="B204" s="1748"/>
      <c r="C204" s="1795"/>
      <c r="D204" s="1838"/>
      <c r="E204" s="1838"/>
      <c r="F204" s="1838"/>
      <c r="G204" s="1748"/>
      <c r="H204" s="1789"/>
      <c r="I204" s="1789"/>
      <c r="J204" s="1789"/>
      <c r="K204" s="1839"/>
      <c r="L204" s="1839"/>
      <c r="M204" s="1839"/>
      <c r="N204" s="1839"/>
      <c r="O204" s="1839"/>
      <c r="P204" s="1839"/>
      <c r="Q204" s="1839"/>
      <c r="R204" s="1839"/>
      <c r="S204" s="1839"/>
    </row>
    <row r="205" spans="2:19" ht="6.75" customHeight="1" outlineLevel="1">
      <c r="B205" s="1748"/>
      <c r="C205" s="1795"/>
      <c r="D205" s="1838"/>
      <c r="E205" s="1838"/>
      <c r="F205" s="1838"/>
      <c r="G205" s="1748"/>
      <c r="H205" s="1789"/>
      <c r="I205" s="1789"/>
      <c r="J205" s="1789"/>
      <c r="K205" s="1839"/>
      <c r="L205" s="1839"/>
      <c r="M205" s="1838"/>
      <c r="N205" s="1749"/>
      <c r="O205" s="1749"/>
      <c r="P205" s="1749"/>
      <c r="Q205" s="1749"/>
      <c r="R205" s="1749"/>
      <c r="S205" s="1749"/>
    </row>
    <row r="206" spans="2:19" ht="15.75" customHeight="1" outlineLevel="1">
      <c r="B206" s="1748"/>
      <c r="C206" s="1795"/>
      <c r="D206" s="1838"/>
      <c r="E206" s="1838"/>
      <c r="F206" s="1838"/>
      <c r="G206" s="1748"/>
      <c r="H206" s="1789"/>
      <c r="I206" s="1789"/>
      <c r="J206" s="1789"/>
      <c r="K206" s="1839"/>
      <c r="L206" s="1792"/>
      <c r="M206" s="1792"/>
      <c r="N206" s="1792"/>
      <c r="O206" s="1792"/>
      <c r="P206" s="1792"/>
      <c r="Q206" s="1792"/>
      <c r="R206" s="1792"/>
      <c r="S206" s="1792"/>
    </row>
    <row r="207" spans="2:19" ht="15.75" customHeight="1" outlineLevel="1">
      <c r="B207" s="1748"/>
      <c r="C207" s="1821"/>
      <c r="D207" s="1838"/>
      <c r="E207" s="1838"/>
      <c r="F207" s="1838"/>
      <c r="G207" s="1748"/>
      <c r="H207" s="1789"/>
      <c r="I207" s="1789"/>
      <c r="J207" s="1789"/>
      <c r="K207" s="1839"/>
      <c r="L207" s="1839"/>
      <c r="M207" s="1838"/>
      <c r="N207" s="1749"/>
      <c r="O207" s="1749"/>
      <c r="P207" s="1749"/>
      <c r="Q207" s="1749"/>
      <c r="R207" s="1749"/>
      <c r="S207" s="1749"/>
    </row>
    <row r="208" spans="2:19" ht="15.75" customHeight="1" outlineLevel="1">
      <c r="B208" s="1748"/>
      <c r="C208" s="1795"/>
      <c r="D208" s="1778"/>
      <c r="E208" s="1779"/>
      <c r="F208" s="1779"/>
      <c r="G208" s="1748"/>
      <c r="H208" s="1748"/>
      <c r="I208" s="1789"/>
      <c r="J208" s="1789"/>
      <c r="K208" s="1789"/>
      <c r="L208" s="1789"/>
      <c r="M208" s="1789"/>
      <c r="N208" s="1789"/>
      <c r="O208" s="1789"/>
      <c r="P208" s="1789"/>
      <c r="Q208" s="1789"/>
      <c r="R208" s="1789"/>
      <c r="S208" s="1789"/>
    </row>
    <row r="209" spans="2:19" ht="7.5" customHeight="1" outlineLevel="1">
      <c r="B209" s="1748"/>
      <c r="C209" s="1795"/>
      <c r="D209" s="1778"/>
      <c r="E209" s="1779"/>
      <c r="F209" s="1779"/>
      <c r="G209" s="1748"/>
      <c r="H209" s="1789"/>
      <c r="I209" s="1789"/>
      <c r="J209" s="1789"/>
      <c r="K209" s="1789"/>
      <c r="L209" s="1789"/>
      <c r="M209" s="1789"/>
      <c r="N209" s="1789"/>
      <c r="O209" s="1789"/>
      <c r="P209" s="1789"/>
      <c r="Q209" s="1789"/>
      <c r="R209" s="1789"/>
      <c r="S209" s="1789"/>
    </row>
    <row r="210" spans="2:19" ht="15.75" customHeight="1" outlineLevel="1">
      <c r="B210" s="1748"/>
      <c r="C210" s="1795"/>
      <c r="D210" s="1838"/>
      <c r="E210" s="1838"/>
      <c r="F210" s="1838"/>
      <c r="G210" s="1748"/>
      <c r="H210" s="1748"/>
      <c r="I210" s="1839"/>
      <c r="J210" s="1840"/>
      <c r="K210" s="1839"/>
      <c r="L210" s="1839"/>
      <c r="M210" s="1839"/>
      <c r="N210" s="1839"/>
      <c r="O210" s="1839"/>
      <c r="P210" s="1839"/>
      <c r="Q210" s="1839"/>
      <c r="R210" s="1839"/>
      <c r="S210" s="1839"/>
    </row>
    <row r="211" spans="2:19" ht="7.5" customHeight="1" outlineLevel="1">
      <c r="B211" s="1748"/>
      <c r="C211" s="1795"/>
      <c r="D211" s="1838"/>
      <c r="E211" s="1838"/>
      <c r="F211" s="1838"/>
      <c r="G211" s="1748"/>
      <c r="H211" s="1839"/>
      <c r="I211" s="1839"/>
      <c r="J211" s="1839"/>
      <c r="K211" s="1839"/>
      <c r="L211" s="1839"/>
      <c r="M211" s="1839"/>
      <c r="N211" s="1832"/>
      <c r="O211" s="1832"/>
      <c r="P211" s="1832"/>
      <c r="Q211" s="1832"/>
      <c r="R211" s="1832"/>
      <c r="S211" s="1832"/>
    </row>
    <row r="212" spans="2:19" ht="15.75" customHeight="1" outlineLevel="1">
      <c r="B212" s="1748"/>
      <c r="C212" s="1795"/>
      <c r="D212" s="1778"/>
      <c r="E212" s="1779"/>
      <c r="F212" s="1779"/>
      <c r="G212" s="1748"/>
      <c r="H212" s="1748"/>
      <c r="I212" s="1841"/>
      <c r="J212" s="1841"/>
      <c r="K212" s="1841"/>
      <c r="L212" s="1839"/>
      <c r="M212" s="1839"/>
      <c r="N212" s="1839"/>
      <c r="O212" s="1839"/>
      <c r="P212" s="1839"/>
      <c r="Q212" s="1839"/>
      <c r="R212" s="1839"/>
      <c r="S212" s="1839"/>
    </row>
    <row r="213" spans="2:19" ht="7.5" customHeight="1" outlineLevel="1">
      <c r="B213" s="1748"/>
      <c r="C213" s="1795"/>
      <c r="D213" s="1838"/>
      <c r="E213" s="1838"/>
      <c r="F213" s="1838"/>
      <c r="G213" s="1748"/>
      <c r="H213" s="1839"/>
      <c r="I213" s="1839"/>
      <c r="J213" s="1839"/>
      <c r="K213" s="1839"/>
      <c r="L213" s="1839"/>
      <c r="M213" s="1839"/>
      <c r="N213" s="1749"/>
      <c r="O213" s="1749"/>
      <c r="P213" s="1749"/>
      <c r="Q213" s="1749"/>
      <c r="R213" s="1749"/>
      <c r="S213" s="1749"/>
    </row>
    <row r="214" spans="2:19" ht="15.75" customHeight="1" outlineLevel="1">
      <c r="B214" s="1748"/>
      <c r="C214" s="1795"/>
      <c r="D214" s="1838"/>
      <c r="E214" s="1838"/>
      <c r="F214" s="1838"/>
      <c r="G214" s="1748"/>
      <c r="H214" s="1789"/>
      <c r="I214" s="1789"/>
      <c r="J214" s="1789"/>
      <c r="K214" s="1839"/>
      <c r="L214" s="1839"/>
      <c r="M214" s="1839"/>
      <c r="N214" s="1839"/>
      <c r="O214" s="1839"/>
      <c r="P214" s="1839"/>
      <c r="Q214" s="1839"/>
      <c r="R214" s="1839"/>
      <c r="S214" s="1839"/>
    </row>
    <row r="215" spans="2:19" ht="9" customHeight="1" outlineLevel="1">
      <c r="B215" s="1748"/>
      <c r="C215" s="1795"/>
      <c r="D215" s="1838"/>
      <c r="E215" s="1838"/>
      <c r="F215" s="1838"/>
      <c r="G215" s="1748"/>
      <c r="H215" s="1789"/>
      <c r="I215" s="1789"/>
      <c r="J215" s="1789"/>
      <c r="K215" s="1839"/>
      <c r="L215" s="1839"/>
      <c r="M215" s="1838"/>
      <c r="N215" s="1749"/>
      <c r="O215" s="1749"/>
      <c r="P215" s="1749"/>
      <c r="Q215" s="1749"/>
      <c r="R215" s="1749"/>
      <c r="S215" s="1749"/>
    </row>
    <row r="216" spans="2:19" ht="15.75" customHeight="1" outlineLevel="1">
      <c r="B216" s="1748"/>
      <c r="C216" s="1795"/>
      <c r="D216" s="1838"/>
      <c r="E216" s="1838"/>
      <c r="F216" s="1838"/>
      <c r="G216" s="1748"/>
      <c r="H216" s="1789"/>
      <c r="I216" s="1789"/>
      <c r="J216" s="1789"/>
      <c r="K216" s="1839"/>
      <c r="L216" s="1792"/>
      <c r="M216" s="1792"/>
      <c r="N216" s="1792"/>
      <c r="O216" s="1792"/>
      <c r="P216" s="1792"/>
      <c r="Q216" s="1792"/>
      <c r="R216" s="1792"/>
      <c r="S216" s="1792"/>
    </row>
    <row r="217" spans="2:19" ht="15.75" customHeight="1" outlineLevel="1">
      <c r="B217" s="1748"/>
      <c r="C217" s="1821"/>
      <c r="D217" s="1838"/>
      <c r="E217" s="1838"/>
      <c r="F217" s="1838"/>
      <c r="G217" s="1748"/>
      <c r="H217" s="1789"/>
      <c r="I217" s="1789"/>
      <c r="J217" s="1789"/>
      <c r="K217" s="1839"/>
      <c r="L217" s="1839"/>
      <c r="M217" s="1838"/>
      <c r="N217" s="1749"/>
      <c r="O217" s="1749"/>
      <c r="P217" s="1749"/>
      <c r="Q217" s="1749"/>
      <c r="R217" s="1749"/>
      <c r="S217" s="1749"/>
    </row>
    <row r="218" spans="2:19" ht="15.75" customHeight="1" outlineLevel="1">
      <c r="B218" s="1748"/>
      <c r="C218" s="1795"/>
      <c r="D218" s="1778"/>
      <c r="E218" s="1779"/>
      <c r="F218" s="1779"/>
      <c r="G218" s="1748"/>
      <c r="H218" s="1748"/>
      <c r="I218" s="1789"/>
      <c r="J218" s="1789"/>
      <c r="K218" s="1789"/>
      <c r="L218" s="1789"/>
      <c r="M218" s="1789"/>
      <c r="N218" s="1789"/>
      <c r="O218" s="1789"/>
      <c r="P218" s="1789"/>
      <c r="Q218" s="1789"/>
      <c r="R218" s="1789"/>
      <c r="S218" s="1789"/>
    </row>
    <row r="219" spans="2:19" ht="7.5" customHeight="1" outlineLevel="1">
      <c r="B219" s="1748"/>
      <c r="C219" s="1795"/>
      <c r="D219" s="1778"/>
      <c r="E219" s="1779"/>
      <c r="F219" s="1779"/>
      <c r="G219" s="1748"/>
      <c r="H219" s="1789"/>
      <c r="I219" s="1789"/>
      <c r="J219" s="1789"/>
      <c r="K219" s="1789"/>
      <c r="L219" s="1789"/>
      <c r="M219" s="1789"/>
      <c r="N219" s="1789"/>
      <c r="O219" s="1789"/>
      <c r="P219" s="1789"/>
      <c r="Q219" s="1789"/>
      <c r="R219" s="1789"/>
      <c r="S219" s="1789"/>
    </row>
    <row r="220" spans="2:19" ht="15.75" customHeight="1" outlineLevel="1">
      <c r="B220" s="1748"/>
      <c r="C220" s="1795"/>
      <c r="D220" s="1838"/>
      <c r="E220" s="1838"/>
      <c r="F220" s="1838"/>
      <c r="G220" s="1748"/>
      <c r="H220" s="1748"/>
      <c r="I220" s="1839"/>
      <c r="J220" s="1840"/>
      <c r="K220" s="1839"/>
      <c r="L220" s="1839"/>
      <c r="M220" s="1839"/>
      <c r="N220" s="1839"/>
      <c r="O220" s="1839"/>
      <c r="P220" s="1839"/>
      <c r="Q220" s="1839"/>
      <c r="R220" s="1839"/>
      <c r="S220" s="1839"/>
    </row>
    <row r="221" spans="2:19" ht="7.5" customHeight="1" outlineLevel="1">
      <c r="B221" s="1748"/>
      <c r="C221" s="1795"/>
      <c r="D221" s="1838"/>
      <c r="E221" s="1838"/>
      <c r="F221" s="1838"/>
      <c r="G221" s="1748"/>
      <c r="H221" s="1839"/>
      <c r="I221" s="1839"/>
      <c r="J221" s="1839"/>
      <c r="K221" s="1839"/>
      <c r="L221" s="1839"/>
      <c r="M221" s="1839"/>
      <c r="N221" s="1832"/>
      <c r="O221" s="1832"/>
      <c r="P221" s="1832"/>
      <c r="Q221" s="1832"/>
      <c r="R221" s="1832"/>
      <c r="S221" s="1832"/>
    </row>
    <row r="222" spans="2:19" ht="15.75" customHeight="1" outlineLevel="1">
      <c r="B222" s="1748"/>
      <c r="C222" s="1795"/>
      <c r="D222" s="1778"/>
      <c r="E222" s="1779"/>
      <c r="F222" s="1779"/>
      <c r="G222" s="1748"/>
      <c r="H222" s="1748"/>
      <c r="I222" s="1841"/>
      <c r="J222" s="1841"/>
      <c r="K222" s="1841"/>
      <c r="L222" s="1839"/>
      <c r="M222" s="1839"/>
      <c r="N222" s="1839"/>
      <c r="O222" s="1839"/>
      <c r="P222" s="1839"/>
      <c r="Q222" s="1839"/>
      <c r="R222" s="1839"/>
      <c r="S222" s="1839"/>
    </row>
    <row r="223" spans="2:19" ht="7.5" customHeight="1" outlineLevel="1">
      <c r="B223" s="1748"/>
      <c r="C223" s="1795"/>
      <c r="D223" s="1838"/>
      <c r="E223" s="1838"/>
      <c r="F223" s="1838"/>
      <c r="G223" s="1748"/>
      <c r="H223" s="1839"/>
      <c r="I223" s="1839"/>
      <c r="J223" s="1839"/>
      <c r="K223" s="1839"/>
      <c r="L223" s="1839"/>
      <c r="M223" s="1839"/>
      <c r="N223" s="1749"/>
      <c r="O223" s="1749"/>
      <c r="P223" s="1749"/>
      <c r="Q223" s="1749"/>
      <c r="R223" s="1749"/>
      <c r="S223" s="1749"/>
    </row>
    <row r="224" spans="2:19" ht="15.75" customHeight="1" outlineLevel="1">
      <c r="B224" s="1748"/>
      <c r="C224" s="1795"/>
      <c r="D224" s="1838"/>
      <c r="E224" s="1838"/>
      <c r="F224" s="1838"/>
      <c r="G224" s="1748"/>
      <c r="H224" s="1789"/>
      <c r="I224" s="1789"/>
      <c r="J224" s="1789"/>
      <c r="K224" s="1839"/>
      <c r="L224" s="1839"/>
      <c r="M224" s="1839"/>
      <c r="N224" s="1839"/>
      <c r="O224" s="1839"/>
      <c r="P224" s="1839"/>
      <c r="Q224" s="1839"/>
      <c r="R224" s="1839"/>
      <c r="S224" s="1839"/>
    </row>
    <row r="225" spans="2:19" ht="6.75" customHeight="1" outlineLevel="1">
      <c r="B225" s="1748"/>
      <c r="C225" s="1795"/>
      <c r="D225" s="1838"/>
      <c r="E225" s="1838"/>
      <c r="F225" s="1838"/>
      <c r="G225" s="1748"/>
      <c r="H225" s="1789"/>
      <c r="I225" s="1789"/>
      <c r="J225" s="1789"/>
      <c r="K225" s="1839"/>
      <c r="L225" s="1839"/>
      <c r="M225" s="1838"/>
      <c r="N225" s="1749"/>
      <c r="O225" s="1749"/>
      <c r="P225" s="1749"/>
      <c r="Q225" s="1749"/>
      <c r="R225" s="1749"/>
      <c r="S225" s="1749"/>
    </row>
    <row r="226" spans="2:19" ht="15.75" customHeight="1" outlineLevel="1">
      <c r="B226" s="1748"/>
      <c r="C226" s="1795"/>
      <c r="D226" s="1838"/>
      <c r="E226" s="1838"/>
      <c r="F226" s="1838"/>
      <c r="G226" s="1748"/>
      <c r="H226" s="1789"/>
      <c r="I226" s="1789"/>
      <c r="J226" s="1789"/>
      <c r="K226" s="1839"/>
      <c r="L226" s="1792"/>
      <c r="M226" s="1792"/>
      <c r="N226" s="1792"/>
      <c r="O226" s="1792"/>
      <c r="P226" s="1792"/>
      <c r="Q226" s="1792"/>
      <c r="R226" s="1792"/>
      <c r="S226" s="1792"/>
    </row>
    <row r="227" spans="2:19" ht="15.75" customHeight="1" outlineLevel="1">
      <c r="B227" s="1748"/>
      <c r="C227" s="1821"/>
      <c r="D227" s="1838"/>
      <c r="E227" s="1838"/>
      <c r="F227" s="1838"/>
      <c r="G227" s="1748"/>
      <c r="H227" s="1789"/>
      <c r="I227" s="1789"/>
      <c r="J227" s="1789"/>
      <c r="K227" s="1839"/>
      <c r="L227" s="1839"/>
      <c r="M227" s="1838"/>
      <c r="N227" s="1749"/>
      <c r="O227" s="1749"/>
      <c r="P227" s="1749"/>
      <c r="Q227" s="1749"/>
      <c r="R227" s="1749"/>
      <c r="S227" s="1749"/>
    </row>
    <row r="228" spans="2:19" ht="15.75" customHeight="1" outlineLevel="1">
      <c r="B228" s="1748"/>
      <c r="C228" s="1795"/>
      <c r="D228" s="1778"/>
      <c r="E228" s="1779"/>
      <c r="F228" s="1779"/>
      <c r="G228" s="1748"/>
      <c r="H228" s="1748"/>
      <c r="I228" s="1789"/>
      <c r="J228" s="1789"/>
      <c r="K228" s="1789"/>
      <c r="L228" s="1789"/>
      <c r="M228" s="1789"/>
      <c r="N228" s="1789"/>
      <c r="O228" s="1789"/>
      <c r="P228" s="1789"/>
      <c r="Q228" s="1789"/>
      <c r="R228" s="1789"/>
      <c r="S228" s="1789"/>
    </row>
    <row r="229" spans="2:19" ht="7.5" customHeight="1" outlineLevel="1">
      <c r="B229" s="1748"/>
      <c r="C229" s="1795"/>
      <c r="D229" s="1778"/>
      <c r="E229" s="1779"/>
      <c r="F229" s="1779"/>
      <c r="G229" s="1748"/>
      <c r="H229" s="1789"/>
      <c r="I229" s="1789"/>
      <c r="J229" s="1789"/>
      <c r="K229" s="1789"/>
      <c r="L229" s="1789"/>
      <c r="M229" s="1789"/>
      <c r="N229" s="1789"/>
      <c r="O229" s="1789"/>
      <c r="P229" s="1789"/>
      <c r="Q229" s="1789"/>
      <c r="R229" s="1789"/>
      <c r="S229" s="1789"/>
    </row>
    <row r="230" spans="2:19" ht="15.75" customHeight="1" outlineLevel="1">
      <c r="B230" s="1748"/>
      <c r="C230" s="1795"/>
      <c r="D230" s="1838"/>
      <c r="E230" s="1838"/>
      <c r="F230" s="1838"/>
      <c r="G230" s="1748"/>
      <c r="H230" s="1748"/>
      <c r="I230" s="1839"/>
      <c r="J230" s="1840"/>
      <c r="K230" s="1839"/>
      <c r="L230" s="1839"/>
      <c r="M230" s="1839"/>
      <c r="N230" s="1839"/>
      <c r="O230" s="1839"/>
      <c r="P230" s="1839"/>
      <c r="Q230" s="1839"/>
      <c r="R230" s="1839"/>
      <c r="S230" s="1839"/>
    </row>
    <row r="231" spans="2:19" ht="7.5" customHeight="1" outlineLevel="1">
      <c r="B231" s="1748"/>
      <c r="C231" s="1795"/>
      <c r="D231" s="1838"/>
      <c r="E231" s="1838"/>
      <c r="F231" s="1838"/>
      <c r="G231" s="1748"/>
      <c r="H231" s="1839"/>
      <c r="I231" s="1839"/>
      <c r="J231" s="1839"/>
      <c r="K231" s="1839"/>
      <c r="L231" s="1839"/>
      <c r="M231" s="1839"/>
      <c r="N231" s="1832"/>
      <c r="O231" s="1832"/>
      <c r="P231" s="1832"/>
      <c r="Q231" s="1832"/>
      <c r="R231" s="1832"/>
      <c r="S231" s="1832"/>
    </row>
    <row r="232" spans="2:19" ht="15.75" customHeight="1" outlineLevel="1">
      <c r="B232" s="1748"/>
      <c r="C232" s="1795"/>
      <c r="D232" s="1778"/>
      <c r="E232" s="1779"/>
      <c r="F232" s="1779"/>
      <c r="G232" s="1748"/>
      <c r="H232" s="1748"/>
      <c r="I232" s="1841"/>
      <c r="J232" s="1841"/>
      <c r="K232" s="1841"/>
      <c r="L232" s="1839"/>
      <c r="M232" s="1839"/>
      <c r="N232" s="1839"/>
      <c r="O232" s="1839"/>
      <c r="P232" s="1839"/>
      <c r="Q232" s="1839"/>
      <c r="R232" s="1839"/>
      <c r="S232" s="1839"/>
    </row>
    <row r="233" spans="2:19" ht="7.5" customHeight="1" outlineLevel="1">
      <c r="B233" s="1748"/>
      <c r="C233" s="1795"/>
      <c r="D233" s="1838"/>
      <c r="E233" s="1838"/>
      <c r="F233" s="1838"/>
      <c r="G233" s="1748"/>
      <c r="H233" s="1839"/>
      <c r="I233" s="1839"/>
      <c r="J233" s="1839"/>
      <c r="K233" s="1839"/>
      <c r="L233" s="1839"/>
      <c r="M233" s="1839"/>
      <c r="N233" s="1749"/>
      <c r="O233" s="1749"/>
      <c r="P233" s="1749"/>
      <c r="Q233" s="1749"/>
      <c r="R233" s="1749"/>
      <c r="S233" s="1749"/>
    </row>
    <row r="234" spans="2:19" ht="15.75" customHeight="1" outlineLevel="1">
      <c r="B234" s="1748"/>
      <c r="C234" s="1795"/>
      <c r="D234" s="1838"/>
      <c r="E234" s="1838"/>
      <c r="F234" s="1838"/>
      <c r="G234" s="1748"/>
      <c r="H234" s="1789"/>
      <c r="I234" s="1789"/>
      <c r="J234" s="1789"/>
      <c r="K234" s="1839"/>
      <c r="L234" s="1839"/>
      <c r="M234" s="1839"/>
      <c r="N234" s="1839"/>
      <c r="O234" s="1839"/>
      <c r="P234" s="1839"/>
      <c r="Q234" s="1839"/>
      <c r="R234" s="1839"/>
      <c r="S234" s="1839"/>
    </row>
    <row r="235" spans="2:19" ht="6.75" customHeight="1" outlineLevel="1">
      <c r="B235" s="1748"/>
      <c r="C235" s="1795"/>
      <c r="D235" s="1838"/>
      <c r="E235" s="1838"/>
      <c r="F235" s="1838"/>
      <c r="G235" s="1748"/>
      <c r="H235" s="1789"/>
      <c r="I235" s="1789"/>
      <c r="J235" s="1789"/>
      <c r="K235" s="1839"/>
      <c r="L235" s="1839"/>
      <c r="M235" s="1838"/>
      <c r="N235" s="1749"/>
      <c r="O235" s="1749"/>
      <c r="P235" s="1749"/>
      <c r="Q235" s="1749"/>
      <c r="R235" s="1749"/>
      <c r="S235" s="1749"/>
    </row>
    <row r="236" spans="2:19" ht="15.75" customHeight="1" outlineLevel="1">
      <c r="B236" s="1748"/>
      <c r="C236" s="1795"/>
      <c r="D236" s="1838"/>
      <c r="E236" s="1838"/>
      <c r="F236" s="1838"/>
      <c r="G236" s="1748"/>
      <c r="H236" s="1789"/>
      <c r="I236" s="1789"/>
      <c r="J236" s="1789"/>
      <c r="K236" s="1839"/>
      <c r="L236" s="1792"/>
      <c r="M236" s="1792"/>
      <c r="N236" s="1792"/>
      <c r="O236" s="1792"/>
      <c r="P236" s="1792"/>
      <c r="Q236" s="1792"/>
      <c r="R236" s="1792"/>
      <c r="S236" s="1792"/>
    </row>
    <row r="237" spans="2:19" ht="15.75" customHeight="1" outlineLevel="1">
      <c r="B237" s="1748"/>
      <c r="C237" s="1821"/>
      <c r="D237" s="1838"/>
      <c r="E237" s="1838"/>
      <c r="F237" s="1838"/>
      <c r="G237" s="1748"/>
      <c r="H237" s="1789"/>
      <c r="I237" s="1789"/>
      <c r="J237" s="1789"/>
      <c r="K237" s="1839"/>
      <c r="L237" s="1839"/>
      <c r="M237" s="1838"/>
      <c r="N237" s="1749"/>
      <c r="O237" s="1749"/>
      <c r="P237" s="1749"/>
      <c r="Q237" s="1749"/>
      <c r="R237" s="1749"/>
      <c r="S237" s="1749"/>
    </row>
    <row r="238" spans="2:19" ht="15.75" customHeight="1" outlineLevel="1">
      <c r="B238" s="1748"/>
      <c r="C238" s="1795"/>
      <c r="D238" s="1778"/>
      <c r="E238" s="1779"/>
      <c r="F238" s="1779"/>
      <c r="G238" s="1748"/>
      <c r="H238" s="1748"/>
      <c r="I238" s="1789"/>
      <c r="J238" s="1789"/>
      <c r="K238" s="1789"/>
      <c r="L238" s="1789"/>
      <c r="M238" s="1789"/>
      <c r="N238" s="1789"/>
      <c r="O238" s="1789"/>
      <c r="P238" s="1789"/>
      <c r="Q238" s="1789"/>
      <c r="R238" s="1789"/>
      <c r="S238" s="1789"/>
    </row>
    <row r="239" spans="2:19" ht="7.5" customHeight="1" outlineLevel="1">
      <c r="B239" s="1748"/>
      <c r="C239" s="1795"/>
      <c r="D239" s="1778"/>
      <c r="E239" s="1779"/>
      <c r="F239" s="1779"/>
      <c r="G239" s="1748"/>
      <c r="H239" s="1789"/>
      <c r="I239" s="1789"/>
      <c r="J239" s="1789"/>
      <c r="K239" s="1789"/>
      <c r="L239" s="1789"/>
      <c r="M239" s="1789"/>
      <c r="N239" s="1789"/>
      <c r="O239" s="1789"/>
      <c r="P239" s="1789"/>
      <c r="Q239" s="1789"/>
      <c r="R239" s="1789"/>
      <c r="S239" s="1789"/>
    </row>
    <row r="240" spans="2:19" ht="15.75" customHeight="1" outlineLevel="1">
      <c r="B240" s="1748"/>
      <c r="C240" s="1795"/>
      <c r="D240" s="1838"/>
      <c r="E240" s="1838"/>
      <c r="F240" s="1838"/>
      <c r="G240" s="1748"/>
      <c r="H240" s="1748"/>
      <c r="I240" s="1839"/>
      <c r="J240" s="1840"/>
      <c r="K240" s="1839"/>
      <c r="L240" s="1839"/>
      <c r="M240" s="1839"/>
      <c r="N240" s="1839"/>
      <c r="O240" s="1839"/>
      <c r="P240" s="1839"/>
      <c r="Q240" s="1839"/>
      <c r="R240" s="1839"/>
      <c r="S240" s="1839"/>
    </row>
    <row r="241" spans="2:19" outlineLevel="1">
      <c r="B241" s="1748"/>
      <c r="C241" s="1795"/>
      <c r="D241" s="1838"/>
      <c r="E241" s="1838"/>
      <c r="F241" s="1838"/>
      <c r="G241" s="1748"/>
      <c r="H241" s="1839"/>
      <c r="I241" s="1839"/>
      <c r="J241" s="1839"/>
      <c r="K241" s="1839"/>
      <c r="L241" s="1839"/>
      <c r="M241" s="1839"/>
      <c r="N241" s="1832"/>
      <c r="O241" s="1832"/>
      <c r="P241" s="1832"/>
      <c r="Q241" s="1832"/>
      <c r="R241" s="1832"/>
      <c r="S241" s="1832"/>
    </row>
    <row r="242" spans="2:19" ht="15.75" customHeight="1" outlineLevel="1">
      <c r="B242" s="1748"/>
      <c r="C242" s="1795"/>
      <c r="D242" s="1778"/>
      <c r="E242" s="1779"/>
      <c r="F242" s="1779"/>
      <c r="G242" s="1748"/>
      <c r="H242" s="1748"/>
      <c r="I242" s="1841"/>
      <c r="J242" s="1841"/>
      <c r="K242" s="1841"/>
      <c r="L242" s="1839"/>
      <c r="M242" s="1839"/>
      <c r="N242" s="1839"/>
      <c r="O242" s="1839"/>
      <c r="P242" s="1839"/>
      <c r="Q242" s="1839"/>
      <c r="R242" s="1839"/>
      <c r="S242" s="1839"/>
    </row>
    <row r="243" spans="2:19" ht="7.5" customHeight="1" outlineLevel="1">
      <c r="B243" s="1748"/>
      <c r="C243" s="1795"/>
      <c r="D243" s="1838"/>
      <c r="E243" s="1838"/>
      <c r="F243" s="1838"/>
      <c r="G243" s="1748"/>
      <c r="H243" s="1839"/>
      <c r="I243" s="1839"/>
      <c r="J243" s="1839"/>
      <c r="K243" s="1839"/>
      <c r="L243" s="1839"/>
      <c r="M243" s="1839"/>
      <c r="N243" s="1749"/>
      <c r="O243" s="1749"/>
      <c r="P243" s="1749"/>
      <c r="Q243" s="1749"/>
      <c r="R243" s="1749"/>
      <c r="S243" s="1749"/>
    </row>
    <row r="244" spans="2:19" ht="15.75" customHeight="1" outlineLevel="1">
      <c r="B244" s="1748"/>
      <c r="C244" s="1795"/>
      <c r="D244" s="1838"/>
      <c r="E244" s="1838"/>
      <c r="F244" s="1838"/>
      <c r="G244" s="1748"/>
      <c r="H244" s="1789"/>
      <c r="I244" s="1789"/>
      <c r="J244" s="1789"/>
      <c r="K244" s="1839"/>
      <c r="L244" s="1839"/>
      <c r="M244" s="1839"/>
      <c r="N244" s="1839"/>
      <c r="O244" s="1839"/>
      <c r="P244" s="1839"/>
      <c r="Q244" s="1839"/>
      <c r="R244" s="1839"/>
      <c r="S244" s="1839"/>
    </row>
    <row r="245" spans="2:19" ht="6.75" customHeight="1" outlineLevel="1">
      <c r="B245" s="1748"/>
      <c r="C245" s="1795"/>
      <c r="D245" s="1838"/>
      <c r="E245" s="1838"/>
      <c r="F245" s="1838"/>
      <c r="G245" s="1748"/>
      <c r="H245" s="1789"/>
      <c r="I245" s="1789"/>
      <c r="J245" s="1789"/>
      <c r="K245" s="1839"/>
      <c r="L245" s="1839"/>
      <c r="M245" s="1838"/>
      <c r="N245" s="1749"/>
      <c r="O245" s="1749"/>
      <c r="P245" s="1749"/>
      <c r="Q245" s="1749"/>
      <c r="R245" s="1749"/>
      <c r="S245" s="1749"/>
    </row>
    <row r="246" spans="2:19" ht="15.75" customHeight="1" outlineLevel="1">
      <c r="B246" s="1748"/>
      <c r="C246" s="1795"/>
      <c r="D246" s="1838"/>
      <c r="E246" s="1838"/>
      <c r="F246" s="1838"/>
      <c r="G246" s="1748"/>
      <c r="H246" s="1789"/>
      <c r="I246" s="1789"/>
      <c r="J246" s="1789"/>
      <c r="K246" s="1839"/>
      <c r="L246" s="1792"/>
      <c r="M246" s="1792"/>
      <c r="N246" s="1792"/>
      <c r="O246" s="1792"/>
      <c r="P246" s="1792"/>
      <c r="Q246" s="1792"/>
      <c r="R246" s="1792"/>
      <c r="S246" s="1792"/>
    </row>
    <row r="247" spans="2:19" ht="15.75" customHeight="1" outlineLevel="1">
      <c r="B247" s="1748"/>
      <c r="C247" s="1821"/>
      <c r="D247" s="1838"/>
      <c r="E247" s="1838"/>
      <c r="F247" s="1838"/>
      <c r="G247" s="1748"/>
      <c r="H247" s="1789"/>
      <c r="I247" s="1789"/>
      <c r="J247" s="1789"/>
      <c r="K247" s="1839"/>
      <c r="L247" s="1839"/>
      <c r="M247" s="1838"/>
      <c r="N247" s="1749"/>
      <c r="O247" s="1749"/>
      <c r="P247" s="1749"/>
      <c r="Q247" s="1749"/>
      <c r="R247" s="1749"/>
      <c r="S247" s="1749"/>
    </row>
    <row r="248" spans="2:19" ht="15.75" customHeight="1" outlineLevel="1">
      <c r="B248" s="1748"/>
      <c r="C248" s="1795"/>
      <c r="D248" s="1778"/>
      <c r="E248" s="1779"/>
      <c r="F248" s="1779"/>
      <c r="G248" s="1748"/>
      <c r="H248" s="1748"/>
      <c r="I248" s="1789"/>
      <c r="J248" s="1789"/>
      <c r="K248" s="1789"/>
      <c r="L248" s="1789"/>
      <c r="M248" s="1789"/>
      <c r="N248" s="1789"/>
      <c r="O248" s="1789"/>
      <c r="P248" s="1789"/>
      <c r="Q248" s="1789"/>
      <c r="R248" s="1789"/>
      <c r="S248" s="1789"/>
    </row>
    <row r="249" spans="2:19" ht="7.5" customHeight="1" outlineLevel="1">
      <c r="B249" s="1748"/>
      <c r="C249" s="1795"/>
      <c r="D249" s="1778"/>
      <c r="E249" s="1779"/>
      <c r="F249" s="1779"/>
      <c r="G249" s="1748"/>
      <c r="H249" s="1789"/>
      <c r="I249" s="1789"/>
      <c r="J249" s="1789"/>
      <c r="K249" s="1789"/>
      <c r="L249" s="1789"/>
      <c r="M249" s="1789"/>
      <c r="N249" s="1789"/>
      <c r="O249" s="1789"/>
      <c r="P249" s="1789"/>
      <c r="Q249" s="1789"/>
      <c r="R249" s="1789"/>
      <c r="S249" s="1789"/>
    </row>
    <row r="250" spans="2:19" ht="15.75" customHeight="1" outlineLevel="1">
      <c r="B250" s="1748"/>
      <c r="C250" s="1795"/>
      <c r="D250" s="1838"/>
      <c r="E250" s="1838"/>
      <c r="F250" s="1838"/>
      <c r="G250" s="1748"/>
      <c r="H250" s="1748"/>
      <c r="I250" s="1839"/>
      <c r="J250" s="1840"/>
      <c r="K250" s="1839"/>
      <c r="L250" s="1839"/>
      <c r="M250" s="1839"/>
      <c r="N250" s="1839"/>
      <c r="O250" s="1839"/>
      <c r="P250" s="1839"/>
      <c r="Q250" s="1839"/>
      <c r="R250" s="1839"/>
      <c r="S250" s="1839"/>
    </row>
    <row r="251" spans="2:19" outlineLevel="1">
      <c r="B251" s="1748"/>
      <c r="C251" s="1795"/>
      <c r="D251" s="1838"/>
      <c r="E251" s="1838"/>
      <c r="F251" s="1838"/>
      <c r="G251" s="1748"/>
      <c r="H251" s="1839"/>
      <c r="I251" s="1839"/>
      <c r="J251" s="1839"/>
      <c r="K251" s="1839"/>
      <c r="L251" s="1839"/>
      <c r="M251" s="1839"/>
      <c r="N251" s="1832"/>
      <c r="O251" s="1832"/>
      <c r="P251" s="1832"/>
      <c r="Q251" s="1832"/>
      <c r="R251" s="1832"/>
      <c r="S251" s="1832"/>
    </row>
    <row r="252" spans="2:19" ht="15.75" customHeight="1" outlineLevel="1">
      <c r="B252" s="1748"/>
      <c r="C252" s="1795"/>
      <c r="D252" s="1778"/>
      <c r="E252" s="1779"/>
      <c r="F252" s="1779"/>
      <c r="G252" s="1748"/>
      <c r="H252" s="1748"/>
      <c r="I252" s="1841"/>
      <c r="J252" s="1841"/>
      <c r="K252" s="1841"/>
      <c r="L252" s="1839"/>
      <c r="M252" s="1839"/>
      <c r="N252" s="1839"/>
      <c r="O252" s="1839"/>
      <c r="P252" s="1839"/>
      <c r="Q252" s="1839"/>
      <c r="R252" s="1839"/>
      <c r="S252" s="1839"/>
    </row>
    <row r="253" spans="2:19" outlineLevel="1">
      <c r="B253" s="1748"/>
      <c r="C253" s="1795"/>
      <c r="D253" s="1838"/>
      <c r="E253" s="1838"/>
      <c r="F253" s="1838"/>
      <c r="G253" s="1748"/>
      <c r="H253" s="1839"/>
      <c r="I253" s="1839"/>
      <c r="J253" s="1839"/>
      <c r="K253" s="1839"/>
      <c r="L253" s="1839"/>
      <c r="M253" s="1839"/>
      <c r="N253" s="1749"/>
      <c r="O253" s="1749"/>
      <c r="P253" s="1749"/>
      <c r="Q253" s="1749"/>
      <c r="R253" s="1749"/>
      <c r="S253" s="1749"/>
    </row>
    <row r="254" spans="2:19" ht="15.75" customHeight="1" outlineLevel="1">
      <c r="B254" s="1748"/>
      <c r="C254" s="1795"/>
      <c r="D254" s="1838"/>
      <c r="E254" s="1838"/>
      <c r="F254" s="1838"/>
      <c r="G254" s="1748"/>
      <c r="H254" s="1789"/>
      <c r="I254" s="1789"/>
      <c r="J254" s="1789"/>
      <c r="K254" s="1839"/>
      <c r="L254" s="1839"/>
      <c r="M254" s="1839"/>
      <c r="N254" s="1839"/>
      <c r="O254" s="1839"/>
      <c r="P254" s="1839"/>
      <c r="Q254" s="1839"/>
      <c r="R254" s="1839"/>
      <c r="S254" s="1839"/>
    </row>
    <row r="255" spans="2:19" ht="6.75" customHeight="1" outlineLevel="1">
      <c r="B255" s="1748"/>
      <c r="C255" s="1795"/>
      <c r="D255" s="1838"/>
      <c r="E255" s="1838"/>
      <c r="F255" s="1838"/>
      <c r="G255" s="1748"/>
      <c r="H255" s="1789"/>
      <c r="I255" s="1789"/>
      <c r="J255" s="1789"/>
      <c r="K255" s="1839"/>
      <c r="L255" s="1839"/>
      <c r="M255" s="1838"/>
      <c r="N255" s="1749"/>
      <c r="O255" s="1749"/>
      <c r="P255" s="1749"/>
      <c r="Q255" s="1749"/>
      <c r="R255" s="1749"/>
      <c r="S255" s="1749"/>
    </row>
    <row r="256" spans="2:19" ht="15.75" customHeight="1" outlineLevel="1">
      <c r="B256" s="1748"/>
      <c r="C256" s="1795"/>
      <c r="D256" s="1838"/>
      <c r="E256" s="1838"/>
      <c r="F256" s="1838"/>
      <c r="G256" s="1748"/>
      <c r="H256" s="1789"/>
      <c r="I256" s="1789"/>
      <c r="J256" s="1789"/>
      <c r="K256" s="1839"/>
      <c r="L256" s="1792"/>
      <c r="M256" s="1792"/>
      <c r="N256" s="1792"/>
      <c r="O256" s="1792"/>
      <c r="P256" s="1792"/>
      <c r="Q256" s="1792"/>
      <c r="R256" s="1792"/>
      <c r="S256" s="1792"/>
    </row>
    <row r="257" spans="2:19" ht="15.75" customHeight="1" outlineLevel="1">
      <c r="B257" s="1748"/>
      <c r="C257" s="1821"/>
      <c r="D257" s="1838"/>
      <c r="E257" s="1838"/>
      <c r="F257" s="1838"/>
      <c r="G257" s="1748"/>
      <c r="H257" s="1789"/>
      <c r="I257" s="1789"/>
      <c r="J257" s="1789"/>
      <c r="K257" s="1839"/>
      <c r="L257" s="1839"/>
      <c r="M257" s="1839"/>
      <c r="N257" s="1839"/>
      <c r="O257" s="1839"/>
      <c r="P257" s="1839"/>
      <c r="Q257" s="1839"/>
      <c r="R257" s="1839"/>
      <c r="S257" s="1839"/>
    </row>
    <row r="258" spans="2:19" ht="15.75" customHeight="1" outlineLevel="1">
      <c r="B258" s="1748"/>
      <c r="C258" s="1795"/>
      <c r="D258" s="1838"/>
      <c r="E258" s="1838"/>
      <c r="F258" s="1838"/>
      <c r="G258" s="1748"/>
      <c r="H258" s="1789"/>
      <c r="I258" s="1789"/>
      <c r="J258" s="1789"/>
      <c r="K258" s="1839"/>
      <c r="L258" s="1839"/>
      <c r="M258" s="1789"/>
      <c r="N258" s="1839"/>
      <c r="O258" s="1839"/>
      <c r="P258" s="1839"/>
      <c r="Q258" s="1839"/>
      <c r="R258" s="1839"/>
      <c r="S258" s="1839"/>
    </row>
    <row r="259" spans="2:19" ht="15.75" customHeight="1" outlineLevel="1">
      <c r="B259" s="1748"/>
      <c r="C259" s="1795"/>
      <c r="D259" s="1838"/>
      <c r="E259" s="1838"/>
      <c r="F259" s="1838"/>
      <c r="G259" s="1748"/>
      <c r="H259" s="1789"/>
      <c r="I259" s="1789"/>
      <c r="J259" s="1789"/>
      <c r="K259" s="1839"/>
      <c r="L259" s="1839"/>
      <c r="M259" s="1839"/>
      <c r="N259" s="1839"/>
      <c r="O259" s="1839"/>
      <c r="P259" s="1839"/>
      <c r="Q259" s="1839"/>
      <c r="R259" s="1839"/>
      <c r="S259" s="1839"/>
    </row>
    <row r="260" spans="2:19" ht="15.75" customHeight="1" outlineLevel="1">
      <c r="B260" s="1748"/>
      <c r="C260" s="1795"/>
      <c r="D260" s="1838"/>
      <c r="E260" s="1838"/>
      <c r="F260" s="1838"/>
      <c r="G260" s="1748"/>
      <c r="H260" s="1789"/>
      <c r="I260" s="1789"/>
      <c r="J260" s="1789"/>
      <c r="K260" s="1839"/>
      <c r="L260" s="1839"/>
      <c r="M260" s="1839"/>
      <c r="N260" s="1839"/>
      <c r="O260" s="1839"/>
      <c r="P260" s="1839"/>
      <c r="Q260" s="1839"/>
      <c r="R260" s="1839"/>
      <c r="S260" s="1839"/>
    </row>
    <row r="261" spans="2:19" ht="15.75" customHeight="1" outlineLevel="1">
      <c r="B261" s="1748"/>
      <c r="C261" s="1795"/>
      <c r="D261" s="1838"/>
      <c r="E261" s="1838"/>
      <c r="F261" s="1838"/>
      <c r="G261" s="1748"/>
      <c r="H261" s="1789"/>
      <c r="I261" s="1789"/>
      <c r="J261" s="1789"/>
      <c r="K261" s="1839"/>
      <c r="L261" s="1839"/>
      <c r="M261" s="1839"/>
      <c r="N261" s="1839"/>
      <c r="O261" s="1839"/>
      <c r="P261" s="1839"/>
      <c r="Q261" s="1839"/>
      <c r="R261" s="1839"/>
      <c r="S261" s="1839"/>
    </row>
    <row r="262" spans="2:19" ht="15.75" customHeight="1" outlineLevel="1">
      <c r="B262" s="1748"/>
      <c r="C262" s="1795"/>
      <c r="D262" s="1838"/>
      <c r="E262" s="1838"/>
      <c r="F262" s="1838"/>
      <c r="G262" s="1748"/>
      <c r="H262" s="1789"/>
      <c r="I262" s="1789"/>
      <c r="J262" s="1789"/>
      <c r="K262" s="1839"/>
      <c r="L262" s="1839"/>
      <c r="M262" s="1839"/>
      <c r="N262" s="1839"/>
      <c r="O262" s="1839"/>
      <c r="P262" s="1839"/>
      <c r="Q262" s="1839"/>
      <c r="R262" s="1839"/>
      <c r="S262" s="1839"/>
    </row>
    <row r="263" spans="2:19" ht="15.75" customHeight="1" outlineLevel="1">
      <c r="B263" s="1748"/>
      <c r="C263" s="1795"/>
      <c r="D263" s="1838"/>
      <c r="E263" s="1838"/>
      <c r="F263" s="1838"/>
      <c r="G263" s="1748"/>
      <c r="H263" s="1789"/>
      <c r="I263" s="1789"/>
      <c r="J263" s="1789"/>
      <c r="K263" s="1839"/>
      <c r="L263" s="1839"/>
      <c r="M263" s="1839"/>
      <c r="N263" s="1839"/>
      <c r="O263" s="1839"/>
      <c r="P263" s="1839"/>
      <c r="Q263" s="1839"/>
      <c r="R263" s="1839"/>
      <c r="S263" s="1839"/>
    </row>
    <row r="264" spans="2:19" ht="15.75" customHeight="1" outlineLevel="1">
      <c r="B264" s="1748"/>
      <c r="C264" s="1795"/>
      <c r="D264" s="1838"/>
      <c r="E264" s="1838"/>
      <c r="F264" s="1838"/>
      <c r="G264" s="1748"/>
      <c r="H264" s="1789"/>
      <c r="I264" s="1789"/>
      <c r="J264" s="1789"/>
      <c r="K264" s="1839"/>
      <c r="L264" s="1839"/>
      <c r="M264" s="1839"/>
      <c r="N264" s="1839"/>
      <c r="O264" s="1839"/>
      <c r="P264" s="1839"/>
      <c r="Q264" s="1839"/>
      <c r="R264" s="1839"/>
      <c r="S264" s="1839"/>
    </row>
    <row r="265" spans="2:19" ht="15.75" customHeight="1" outlineLevel="1">
      <c r="B265" s="1748"/>
      <c r="C265" s="1795"/>
      <c r="D265" s="1838"/>
      <c r="E265" s="1838"/>
      <c r="F265" s="1838"/>
      <c r="G265" s="1748"/>
      <c r="H265" s="1789"/>
      <c r="I265" s="1789"/>
      <c r="J265" s="1789"/>
      <c r="K265" s="1839"/>
      <c r="L265" s="1749"/>
      <c r="M265" s="1839"/>
      <c r="N265" s="1749"/>
      <c r="O265" s="1749"/>
      <c r="P265" s="1749"/>
      <c r="Q265" s="1749"/>
      <c r="R265" s="1749"/>
      <c r="S265" s="1749"/>
    </row>
    <row r="266" spans="2:19" ht="15.75" customHeight="1" outlineLevel="1">
      <c r="B266" s="1748"/>
      <c r="C266" s="1795"/>
      <c r="D266" s="1838"/>
      <c r="E266" s="1838"/>
      <c r="F266" s="1838"/>
      <c r="G266" s="1748"/>
      <c r="H266" s="1789"/>
      <c r="I266" s="1789"/>
      <c r="J266" s="1789"/>
      <c r="K266" s="1839"/>
      <c r="L266" s="1839"/>
      <c r="M266" s="1839"/>
      <c r="N266" s="1839"/>
      <c r="O266" s="1839"/>
      <c r="P266" s="1839"/>
      <c r="Q266" s="1839"/>
      <c r="R266" s="1839"/>
      <c r="S266" s="1839"/>
    </row>
    <row r="267" spans="2:19" ht="15.75" customHeight="1" outlineLevel="1">
      <c r="B267" s="1748"/>
      <c r="C267" s="1821"/>
      <c r="D267" s="1838"/>
      <c r="E267" s="1838"/>
      <c r="F267" s="1838"/>
      <c r="G267" s="1748"/>
      <c r="H267" s="1789"/>
      <c r="I267" s="1789"/>
      <c r="J267" s="1789"/>
      <c r="K267" s="1839"/>
      <c r="L267" s="1839"/>
      <c r="M267" s="1839"/>
      <c r="N267" s="1839"/>
      <c r="O267" s="1839"/>
      <c r="P267" s="1839"/>
      <c r="Q267" s="1839"/>
      <c r="R267" s="1839"/>
      <c r="S267" s="1839"/>
    </row>
    <row r="268" spans="2:19" ht="15.75" customHeight="1" outlineLevel="1">
      <c r="B268" s="1748"/>
      <c r="C268" s="1821"/>
      <c r="D268" s="1838"/>
      <c r="E268" s="1838"/>
      <c r="F268" s="1838"/>
      <c r="G268" s="1748"/>
      <c r="H268" s="1789"/>
      <c r="I268" s="1789"/>
      <c r="J268" s="1789"/>
      <c r="K268" s="1839"/>
      <c r="L268" s="1839"/>
      <c r="M268" s="1839"/>
      <c r="N268" s="1839"/>
      <c r="O268" s="1839"/>
      <c r="P268" s="1839"/>
      <c r="Q268" s="1839"/>
      <c r="R268" s="1839"/>
      <c r="S268" s="1839"/>
    </row>
    <row r="269" spans="2:19" ht="15.75" customHeight="1" outlineLevel="1">
      <c r="B269" s="1748"/>
      <c r="C269" s="1821"/>
      <c r="D269" s="1838"/>
      <c r="E269" s="1838"/>
      <c r="F269" s="1838"/>
      <c r="G269" s="1748"/>
      <c r="H269" s="1789"/>
      <c r="I269" s="1789"/>
      <c r="J269" s="1789"/>
      <c r="K269" s="1839"/>
      <c r="L269" s="1839"/>
      <c r="M269" s="1838"/>
      <c r="N269" s="1749"/>
      <c r="O269" s="1749"/>
      <c r="P269" s="1749"/>
      <c r="Q269" s="1749"/>
      <c r="R269" s="1749"/>
      <c r="S269" s="1749"/>
    </row>
    <row r="270" spans="2:19" ht="15.75" customHeight="1" outlineLevel="1">
      <c r="B270" s="1748"/>
      <c r="C270" s="1795"/>
      <c r="D270" s="1778"/>
      <c r="E270" s="1779"/>
      <c r="F270" s="1779"/>
      <c r="G270" s="1748"/>
      <c r="H270" s="1748"/>
      <c r="I270" s="1789"/>
      <c r="J270" s="1789"/>
      <c r="K270" s="1789"/>
      <c r="L270" s="1789"/>
      <c r="M270" s="1789"/>
      <c r="N270" s="1789"/>
      <c r="O270" s="1789"/>
      <c r="P270" s="1789"/>
      <c r="Q270" s="1789"/>
      <c r="R270" s="1789"/>
      <c r="S270" s="1789"/>
    </row>
    <row r="271" spans="2:19" ht="7.5" customHeight="1" outlineLevel="1">
      <c r="B271" s="1748"/>
      <c r="C271" s="1795"/>
      <c r="D271" s="1778"/>
      <c r="E271" s="1779"/>
      <c r="F271" s="1779"/>
      <c r="G271" s="1748"/>
      <c r="H271" s="1789"/>
      <c r="I271" s="1789"/>
      <c r="J271" s="1789"/>
      <c r="K271" s="1789"/>
      <c r="L271" s="1789"/>
      <c r="M271" s="1789"/>
      <c r="N271" s="1789"/>
      <c r="O271" s="1789"/>
      <c r="P271" s="1789"/>
      <c r="Q271" s="1789"/>
      <c r="R271" s="1789"/>
      <c r="S271" s="1789"/>
    </row>
    <row r="272" spans="2:19" ht="15.75" customHeight="1" outlineLevel="1">
      <c r="B272" s="1748"/>
      <c r="C272" s="1795"/>
      <c r="D272" s="1838"/>
      <c r="E272" s="1838"/>
      <c r="F272" s="1838"/>
      <c r="G272" s="1748"/>
      <c r="H272" s="1748"/>
      <c r="I272" s="1839"/>
      <c r="J272" s="1840"/>
      <c r="K272" s="1839"/>
      <c r="L272" s="1839"/>
      <c r="M272" s="1839"/>
      <c r="N272" s="1839"/>
      <c r="O272" s="1839"/>
      <c r="P272" s="1839"/>
      <c r="Q272" s="1839"/>
      <c r="R272" s="1839"/>
      <c r="S272" s="1839"/>
    </row>
    <row r="273" spans="1:19" ht="7.5" customHeight="1" outlineLevel="1">
      <c r="B273" s="1748"/>
      <c r="C273" s="1795"/>
      <c r="D273" s="1838"/>
      <c r="E273" s="1838"/>
      <c r="F273" s="1838"/>
      <c r="G273" s="1748"/>
      <c r="H273" s="1839"/>
      <c r="I273" s="1839"/>
      <c r="J273" s="1839"/>
      <c r="K273" s="1839"/>
      <c r="L273" s="1839"/>
      <c r="M273" s="1839"/>
      <c r="N273" s="1832"/>
      <c r="O273" s="1832"/>
      <c r="P273" s="1832"/>
      <c r="Q273" s="1832"/>
      <c r="R273" s="1832"/>
      <c r="S273" s="1832"/>
    </row>
    <row r="274" spans="1:19" ht="15.75" customHeight="1" outlineLevel="1">
      <c r="B274" s="1748"/>
      <c r="C274" s="1795"/>
      <c r="D274" s="1838"/>
      <c r="E274" s="1838"/>
      <c r="F274" s="1838"/>
      <c r="G274" s="1748"/>
      <c r="H274" s="1789"/>
      <c r="I274" s="1789"/>
      <c r="J274" s="1789"/>
      <c r="K274" s="1839"/>
      <c r="L274" s="1839"/>
      <c r="M274" s="1839"/>
      <c r="N274" s="1839"/>
      <c r="O274" s="1839"/>
      <c r="P274" s="1839"/>
      <c r="Q274" s="1839"/>
      <c r="R274" s="1839"/>
      <c r="S274" s="1839"/>
    </row>
    <row r="275" spans="1:19" ht="6.75" customHeight="1" outlineLevel="1">
      <c r="B275" s="1748"/>
      <c r="C275" s="1795"/>
      <c r="D275" s="1838"/>
      <c r="E275" s="1838"/>
      <c r="F275" s="1838"/>
      <c r="G275" s="1748"/>
      <c r="H275" s="1789"/>
      <c r="I275" s="1789"/>
      <c r="J275" s="1789"/>
      <c r="K275" s="1839"/>
      <c r="L275" s="1839"/>
      <c r="M275" s="1838"/>
      <c r="N275" s="1749"/>
      <c r="O275" s="1749"/>
      <c r="P275" s="1749"/>
      <c r="Q275" s="1749"/>
      <c r="R275" s="1749"/>
      <c r="S275" s="1749"/>
    </row>
    <row r="276" spans="1:19" ht="15.75" customHeight="1" outlineLevel="1">
      <c r="B276" s="1748"/>
      <c r="C276" s="1795"/>
      <c r="D276" s="1838"/>
      <c r="E276" s="1838"/>
      <c r="F276" s="1838"/>
      <c r="G276" s="1748"/>
      <c r="H276" s="1789"/>
      <c r="I276" s="1789"/>
      <c r="J276" s="1789"/>
      <c r="K276" s="1839"/>
      <c r="L276" s="1792"/>
      <c r="M276" s="1792"/>
      <c r="N276" s="1792"/>
      <c r="O276" s="1792"/>
      <c r="P276" s="1792"/>
      <c r="Q276" s="1792"/>
      <c r="R276" s="1792"/>
      <c r="S276" s="1792"/>
    </row>
    <row r="277" spans="1:19" ht="15.75" customHeight="1">
      <c r="A277" s="1746"/>
      <c r="C277" s="1795"/>
      <c r="D277" s="1747"/>
      <c r="E277" s="1747"/>
      <c r="F277" s="1747"/>
      <c r="G277" s="1747"/>
      <c r="H277" s="1748"/>
      <c r="J277" s="1747"/>
      <c r="L277" s="1842"/>
      <c r="M277" s="1842"/>
      <c r="N277" s="1842"/>
      <c r="O277" s="1842"/>
      <c r="P277" s="1842"/>
      <c r="Q277" s="1842"/>
      <c r="R277" s="1842"/>
      <c r="S277" s="1842"/>
    </row>
    <row r="278" spans="1:19" ht="15.75" customHeight="1">
      <c r="A278" s="1746"/>
      <c r="C278" s="1787"/>
      <c r="D278" s="1747"/>
      <c r="E278" s="1747"/>
      <c r="F278" s="1747"/>
      <c r="G278" s="1747"/>
      <c r="H278" s="1748"/>
      <c r="J278" s="1747"/>
      <c r="N278" s="1749"/>
      <c r="O278" s="1749"/>
      <c r="P278" s="1749"/>
      <c r="Q278" s="1749"/>
      <c r="R278" s="1749"/>
      <c r="S278" s="1749"/>
    </row>
    <row r="279" spans="1:19" ht="15.75" customHeight="1">
      <c r="A279" s="1746"/>
      <c r="C279" s="1750"/>
      <c r="D279" s="1747"/>
      <c r="E279" s="1747"/>
      <c r="F279" s="1747"/>
      <c r="G279" s="1747"/>
      <c r="H279" s="1748"/>
      <c r="J279" s="1747"/>
      <c r="N279" s="1749"/>
      <c r="O279" s="1749"/>
      <c r="P279" s="1749"/>
      <c r="Q279" s="1749"/>
      <c r="R279" s="1749"/>
      <c r="S279" s="1749"/>
    </row>
    <row r="280" spans="1:19" ht="15.75" customHeight="1">
      <c r="A280" s="1746"/>
      <c r="C280" s="1750"/>
      <c r="D280" s="1747"/>
      <c r="E280" s="1747"/>
      <c r="F280" s="1747"/>
      <c r="G280" s="1747"/>
      <c r="H280" s="1748"/>
      <c r="J280" s="1747"/>
      <c r="N280" s="1749"/>
      <c r="O280" s="1749"/>
      <c r="P280" s="1749"/>
      <c r="Q280" s="1749"/>
      <c r="R280" s="1749"/>
      <c r="S280" s="1749"/>
    </row>
    <row r="281" spans="1:19" ht="27" customHeight="1">
      <c r="A281" s="1746"/>
      <c r="C281" s="1751"/>
      <c r="G281" s="354"/>
      <c r="L281" s="354"/>
    </row>
    <row r="282" spans="1:19" ht="3" customHeight="1">
      <c r="A282" s="1746"/>
      <c r="C282" s="1756"/>
      <c r="D282" s="1757"/>
      <c r="E282" s="1757"/>
      <c r="F282" s="1757"/>
      <c r="G282" s="1757"/>
      <c r="H282" s="1758"/>
      <c r="I282" s="1757"/>
      <c r="J282" s="1757"/>
      <c r="K282" s="1757"/>
      <c r="L282" s="1757"/>
      <c r="M282" s="1757"/>
      <c r="N282" s="1757"/>
      <c r="O282" s="1757"/>
      <c r="P282" s="1757"/>
      <c r="Q282" s="1757"/>
      <c r="R282" s="1757"/>
      <c r="S282" s="1757"/>
    </row>
    <row r="283" spans="1:19" ht="6.75" customHeight="1">
      <c r="A283" s="1746"/>
      <c r="G283" s="354"/>
      <c r="H283" s="1759"/>
      <c r="I283" s="1760"/>
      <c r="J283" s="1760"/>
      <c r="K283" s="1760"/>
      <c r="L283" s="1760"/>
      <c r="M283" s="1760"/>
      <c r="N283" s="1760"/>
      <c r="O283" s="1760"/>
      <c r="P283" s="1760"/>
      <c r="Q283" s="1760"/>
      <c r="R283" s="1760"/>
      <c r="S283" s="1760"/>
    </row>
    <row r="284" spans="1:19" ht="9" customHeight="1">
      <c r="A284" s="1746"/>
      <c r="C284" s="1761"/>
      <c r="D284" s="1762"/>
      <c r="E284" s="1762"/>
      <c r="F284" s="1762"/>
      <c r="G284" s="1762"/>
      <c r="H284" s="1759"/>
      <c r="I284" s="1763"/>
      <c r="J284" s="1763"/>
      <c r="K284" s="1763"/>
      <c r="L284" s="1764"/>
      <c r="M284" s="1763"/>
      <c r="N284" s="1764"/>
      <c r="O284" s="1764"/>
      <c r="P284" s="1764"/>
      <c r="Q284" s="1764"/>
      <c r="R284" s="1764"/>
      <c r="S284" s="1764"/>
    </row>
    <row r="285" spans="1:19">
      <c r="B285" s="1749"/>
      <c r="C285" s="1843"/>
      <c r="D285" s="1767"/>
      <c r="E285" s="1767"/>
      <c r="F285" s="1767"/>
      <c r="G285" s="1834"/>
      <c r="H285" s="1768"/>
      <c r="I285" s="1768"/>
      <c r="J285" s="1768"/>
      <c r="K285" s="1768"/>
      <c r="L285" s="1769"/>
      <c r="M285" s="1769"/>
      <c r="N285" s="1769"/>
      <c r="O285" s="1769"/>
      <c r="P285" s="1769"/>
      <c r="Q285" s="1769"/>
      <c r="R285" s="1769"/>
      <c r="S285" s="1769"/>
    </row>
    <row r="286" spans="1:19">
      <c r="B286" s="1749"/>
      <c r="C286" s="1844"/>
      <c r="D286" s="1771"/>
      <c r="E286" s="1771"/>
      <c r="F286" s="1771"/>
      <c r="G286" s="1815"/>
      <c r="H286" s="1772"/>
      <c r="I286" s="1772"/>
      <c r="J286" s="1772"/>
      <c r="K286" s="1772"/>
      <c r="L286" s="1772"/>
      <c r="M286" s="1772"/>
      <c r="N286" s="1772"/>
      <c r="O286" s="1772"/>
      <c r="P286" s="1772"/>
      <c r="Q286" s="1772"/>
      <c r="R286" s="1772"/>
      <c r="S286" s="1772"/>
    </row>
    <row r="287" spans="1:19">
      <c r="B287" s="1749"/>
      <c r="C287" s="1845"/>
      <c r="D287" s="1835"/>
      <c r="E287" s="1835"/>
      <c r="F287" s="1835"/>
      <c r="G287" s="1816"/>
      <c r="H287" s="1836"/>
      <c r="I287" s="1836"/>
      <c r="J287" s="1836"/>
      <c r="K287" s="1836"/>
      <c r="L287" s="1836"/>
      <c r="M287" s="1836"/>
      <c r="N287" s="1836"/>
      <c r="O287" s="1836"/>
      <c r="P287" s="1836"/>
      <c r="Q287" s="1836"/>
      <c r="R287" s="1836"/>
      <c r="S287" s="1836"/>
    </row>
    <row r="288" spans="1:19" ht="9" customHeight="1">
      <c r="B288" s="1749"/>
      <c r="C288" s="1837"/>
      <c r="D288" s="1837"/>
      <c r="E288" s="1779"/>
      <c r="F288" s="1779"/>
      <c r="G288" s="1780"/>
      <c r="H288" s="1780"/>
      <c r="I288" s="1818"/>
      <c r="J288" s="1818"/>
      <c r="K288" s="1818"/>
      <c r="L288" s="1818"/>
      <c r="M288" s="1818"/>
      <c r="N288" s="1818"/>
      <c r="O288" s="1818"/>
      <c r="P288" s="1818"/>
      <c r="Q288" s="1818"/>
      <c r="R288" s="1818"/>
      <c r="S288" s="1818"/>
    </row>
    <row r="289" spans="2:19" ht="15.75" customHeight="1">
      <c r="B289" s="1748"/>
      <c r="C289" s="1778"/>
      <c r="D289" s="1778"/>
      <c r="E289" s="1779"/>
      <c r="F289" s="1779"/>
      <c r="G289" s="1748"/>
      <c r="H289" s="1789"/>
      <c r="I289" s="1789"/>
      <c r="J289" s="1789"/>
      <c r="K289" s="1789"/>
      <c r="L289" s="1789"/>
      <c r="M289" s="1789"/>
      <c r="N289" s="1789"/>
      <c r="O289" s="1789"/>
      <c r="P289" s="1789"/>
      <c r="Q289" s="1789"/>
      <c r="R289" s="1789"/>
      <c r="S289" s="1789"/>
    </row>
    <row r="290" spans="2:19" ht="6" customHeight="1">
      <c r="B290" s="1748"/>
      <c r="C290" s="1778"/>
      <c r="D290" s="1778"/>
      <c r="E290" s="1779"/>
      <c r="F290" s="1779"/>
      <c r="G290" s="1748"/>
      <c r="H290" s="1748"/>
      <c r="I290" s="1789"/>
      <c r="J290" s="1789"/>
      <c r="K290" s="1789"/>
      <c r="L290" s="1789"/>
      <c r="M290" s="1838"/>
      <c r="N290" s="1749"/>
      <c r="O290" s="1749"/>
      <c r="P290" s="1749"/>
      <c r="Q290" s="1749"/>
      <c r="R290" s="1749"/>
      <c r="S290" s="1749"/>
    </row>
    <row r="291" spans="2:19" ht="15.75" customHeight="1">
      <c r="B291" s="1748"/>
      <c r="C291" s="1778"/>
      <c r="D291" s="1778"/>
      <c r="E291" s="1779"/>
      <c r="F291" s="1779"/>
      <c r="G291" s="1748"/>
      <c r="H291" s="1789"/>
      <c r="I291" s="1789"/>
      <c r="J291" s="1789"/>
      <c r="K291" s="1789"/>
      <c r="L291" s="1789"/>
      <c r="M291" s="1789"/>
      <c r="N291" s="1789"/>
      <c r="O291" s="1789"/>
      <c r="P291" s="1789"/>
      <c r="Q291" s="1789"/>
      <c r="R291" s="1789"/>
      <c r="S291" s="1789"/>
    </row>
    <row r="292" spans="2:19" ht="15.75" customHeight="1">
      <c r="B292" s="1748"/>
      <c r="C292" s="1778"/>
      <c r="D292" s="1778"/>
      <c r="E292" s="1779"/>
      <c r="F292" s="1779"/>
      <c r="G292" s="1748"/>
      <c r="H292" s="1789"/>
      <c r="I292" s="1789"/>
      <c r="J292" s="1789"/>
      <c r="K292" s="1789"/>
      <c r="L292" s="1839"/>
      <c r="M292" s="1839"/>
      <c r="N292" s="1839"/>
      <c r="O292" s="1839"/>
      <c r="P292" s="1839"/>
      <c r="Q292" s="1839"/>
      <c r="R292" s="1839"/>
      <c r="S292" s="1839"/>
    </row>
    <row r="293" spans="2:19" ht="17.25" customHeight="1">
      <c r="B293" s="1748"/>
      <c r="C293" s="1778"/>
      <c r="D293" s="1838"/>
      <c r="E293" s="1838"/>
      <c r="F293" s="1838"/>
      <c r="G293" s="1748"/>
      <c r="H293" s="1748"/>
      <c r="I293" s="1839"/>
      <c r="J293" s="1840"/>
      <c r="K293" s="1839"/>
      <c r="L293" s="1839"/>
      <c r="M293" s="1839"/>
      <c r="N293" s="1749"/>
      <c r="O293" s="1749"/>
      <c r="P293" s="1749"/>
      <c r="Q293" s="1749"/>
      <c r="R293" s="1749"/>
      <c r="S293" s="1749"/>
    </row>
    <row r="294" spans="2:19" ht="15.75" customHeight="1">
      <c r="B294" s="1748"/>
      <c r="C294" s="1778"/>
      <c r="D294" s="1838"/>
      <c r="E294" s="1838"/>
      <c r="F294" s="1838"/>
      <c r="G294" s="1748"/>
      <c r="H294" s="1839"/>
      <c r="I294" s="1839"/>
      <c r="J294" s="1839"/>
      <c r="K294" s="1839"/>
      <c r="L294" s="1839"/>
      <c r="M294" s="1839"/>
      <c r="N294" s="1839"/>
      <c r="O294" s="1839"/>
      <c r="P294" s="1839"/>
      <c r="Q294" s="1839"/>
      <c r="R294" s="1839"/>
      <c r="S294" s="1839"/>
    </row>
    <row r="295" spans="2:19" ht="6.75" customHeight="1">
      <c r="B295" s="1748"/>
      <c r="C295" s="1778"/>
      <c r="D295" s="1838"/>
      <c r="E295" s="1838"/>
      <c r="F295" s="1838"/>
      <c r="G295" s="1748"/>
      <c r="H295" s="1839"/>
      <c r="I295" s="1839"/>
      <c r="J295" s="1839"/>
      <c r="K295" s="1839"/>
      <c r="L295" s="1839"/>
      <c r="M295" s="1839"/>
      <c r="N295" s="1839"/>
      <c r="O295" s="1839"/>
      <c r="P295" s="1839"/>
      <c r="Q295" s="1839"/>
      <c r="R295" s="1839"/>
      <c r="S295" s="1839"/>
    </row>
    <row r="296" spans="2:19" ht="15.75" customHeight="1">
      <c r="B296" s="1748"/>
      <c r="C296" s="1778"/>
      <c r="D296" s="1838"/>
      <c r="E296" s="1838"/>
      <c r="F296" s="1838"/>
      <c r="G296" s="1748"/>
      <c r="H296" s="1839"/>
      <c r="I296" s="1839"/>
      <c r="J296" s="1839"/>
      <c r="K296" s="1839"/>
      <c r="L296" s="1839"/>
      <c r="M296" s="1839"/>
      <c r="N296" s="1839"/>
      <c r="O296" s="1839"/>
      <c r="P296" s="1839"/>
      <c r="Q296" s="1839"/>
      <c r="R296" s="1839"/>
      <c r="S296" s="1839"/>
    </row>
    <row r="297" spans="2:19" ht="15.75" customHeight="1">
      <c r="B297" s="1748"/>
      <c r="C297" s="1846"/>
      <c r="D297" s="1838"/>
      <c r="E297" s="1838"/>
      <c r="F297" s="1838"/>
      <c r="G297" s="1748"/>
      <c r="H297" s="1789"/>
      <c r="I297" s="1789"/>
      <c r="J297" s="1789"/>
      <c r="K297" s="1839"/>
      <c r="L297" s="1839"/>
      <c r="M297" s="1839"/>
      <c r="N297" s="1839"/>
      <c r="O297" s="1839"/>
      <c r="P297" s="1839"/>
      <c r="Q297" s="1839"/>
      <c r="R297" s="1839"/>
      <c r="S297" s="1839"/>
    </row>
    <row r="298" spans="2:19" ht="15.75" customHeight="1">
      <c r="B298" s="1748"/>
      <c r="C298" s="1846"/>
      <c r="D298" s="1838"/>
      <c r="E298" s="1838"/>
      <c r="F298" s="1838"/>
      <c r="G298" s="1748"/>
      <c r="H298" s="1789"/>
      <c r="I298" s="1789"/>
      <c r="J298" s="1789"/>
      <c r="K298" s="1839"/>
      <c r="L298" s="1839"/>
      <c r="M298" s="1839"/>
      <c r="N298" s="1839"/>
      <c r="O298" s="1839"/>
      <c r="P298" s="1839"/>
      <c r="Q298" s="1839"/>
      <c r="R298" s="1839"/>
      <c r="S298" s="1839"/>
    </row>
    <row r="299" spans="2:19" ht="15.75" customHeight="1">
      <c r="B299" s="1748"/>
      <c r="C299" s="1847"/>
      <c r="D299" s="1838"/>
      <c r="E299" s="1838"/>
      <c r="F299" s="1838"/>
      <c r="G299" s="1748"/>
      <c r="H299" s="1789"/>
      <c r="I299" s="1789"/>
      <c r="J299" s="1789"/>
      <c r="K299" s="1839"/>
      <c r="L299" s="1839"/>
      <c r="M299" s="1839"/>
      <c r="N299" s="1839"/>
      <c r="O299" s="1839"/>
      <c r="P299" s="1839"/>
      <c r="Q299" s="1839"/>
      <c r="R299" s="1839"/>
      <c r="S299" s="1839"/>
    </row>
    <row r="300" spans="2:19" ht="15.75" customHeight="1">
      <c r="B300" s="1748"/>
      <c r="C300" s="1846"/>
      <c r="D300" s="1838"/>
      <c r="E300" s="1838"/>
      <c r="F300" s="1838"/>
      <c r="G300" s="1748"/>
      <c r="H300" s="1789"/>
      <c r="I300" s="1789"/>
      <c r="J300" s="1789"/>
      <c r="K300" s="1839"/>
      <c r="L300" s="1839"/>
      <c r="M300" s="1839"/>
      <c r="N300" s="1839"/>
      <c r="O300" s="1839"/>
      <c r="P300" s="1839"/>
      <c r="Q300" s="1839"/>
      <c r="R300" s="1839"/>
      <c r="S300" s="1839"/>
    </row>
    <row r="301" spans="2:19" ht="15.75" customHeight="1">
      <c r="B301" s="1748"/>
      <c r="C301" s="1846"/>
      <c r="D301" s="1838"/>
      <c r="E301" s="1838"/>
      <c r="F301" s="1838"/>
      <c r="G301" s="1748"/>
      <c r="H301" s="1789"/>
      <c r="I301" s="1789"/>
      <c r="J301" s="1789"/>
      <c r="K301" s="1839"/>
      <c r="L301" s="1839"/>
      <c r="M301" s="1839"/>
      <c r="N301" s="1839"/>
      <c r="O301" s="1839"/>
      <c r="P301" s="1839"/>
      <c r="Q301" s="1839"/>
      <c r="R301" s="1839"/>
      <c r="S301" s="1839"/>
    </row>
    <row r="302" spans="2:19" ht="15.75" customHeight="1">
      <c r="B302" s="1748"/>
      <c r="C302" s="1846"/>
      <c r="D302" s="1838"/>
      <c r="E302" s="1838"/>
      <c r="F302" s="1838"/>
      <c r="G302" s="1748"/>
      <c r="H302" s="1789"/>
      <c r="I302" s="1789"/>
      <c r="J302" s="1789"/>
      <c r="K302" s="1839"/>
      <c r="L302" s="1839"/>
      <c r="M302" s="1839"/>
      <c r="N302" s="1839"/>
      <c r="O302" s="1839"/>
      <c r="P302" s="1839"/>
      <c r="Q302" s="1839"/>
      <c r="R302" s="1839"/>
      <c r="S302" s="1839"/>
    </row>
    <row r="303" spans="2:19" ht="15.75" customHeight="1">
      <c r="B303" s="1778"/>
      <c r="C303" s="1778"/>
      <c r="D303" s="1778"/>
      <c r="E303" s="1779"/>
      <c r="F303" s="1779"/>
      <c r="G303" s="1748"/>
      <c r="H303" s="1748"/>
      <c r="I303" s="1841"/>
      <c r="J303" s="1841"/>
      <c r="K303" s="1841"/>
      <c r="L303" s="1839"/>
      <c r="M303" s="1839"/>
      <c r="N303" s="1839"/>
      <c r="O303" s="1839"/>
      <c r="P303" s="1749"/>
      <c r="Q303" s="1749"/>
      <c r="R303" s="1749"/>
      <c r="S303" s="1749"/>
    </row>
    <row r="304" spans="2:19" ht="15.75" customHeight="1">
      <c r="B304" s="1748"/>
      <c r="C304" s="1778"/>
      <c r="D304" s="1838"/>
      <c r="E304" s="1838"/>
      <c r="F304" s="1838"/>
      <c r="G304" s="1748"/>
      <c r="H304" s="1839"/>
      <c r="I304" s="1839"/>
      <c r="J304" s="1839"/>
      <c r="K304" s="1839"/>
      <c r="L304" s="1839"/>
      <c r="M304" s="1839"/>
      <c r="N304" s="1839"/>
      <c r="O304" s="1839"/>
      <c r="P304" s="1839"/>
      <c r="Q304" s="1839"/>
      <c r="R304" s="1839"/>
      <c r="S304" s="1839"/>
    </row>
    <row r="305" spans="2:19" ht="6" customHeight="1">
      <c r="B305" s="1748"/>
      <c r="C305" s="1778"/>
      <c r="D305" s="1778"/>
      <c r="E305" s="1779"/>
      <c r="F305" s="1779"/>
      <c r="G305" s="1748"/>
      <c r="H305" s="1748"/>
      <c r="I305" s="1841"/>
      <c r="J305" s="1841"/>
      <c r="K305" s="1841"/>
      <c r="L305" s="1841"/>
      <c r="M305" s="1838"/>
      <c r="N305" s="1749"/>
      <c r="O305" s="1749"/>
      <c r="P305" s="1749"/>
      <c r="Q305" s="1749"/>
      <c r="R305" s="1749"/>
      <c r="S305" s="1749"/>
    </row>
    <row r="306" spans="2:19" ht="15.75" customHeight="1">
      <c r="B306" s="1748"/>
      <c r="C306" s="1778"/>
      <c r="D306" s="1778"/>
      <c r="E306" s="1779"/>
      <c r="F306" s="1779"/>
      <c r="G306" s="1748"/>
      <c r="H306" s="1789"/>
      <c r="I306" s="1789"/>
      <c r="J306" s="1839"/>
      <c r="K306" s="1839"/>
      <c r="L306" s="1839"/>
      <c r="M306" s="1839"/>
      <c r="N306" s="1839"/>
      <c r="O306" s="1839"/>
      <c r="P306" s="1839"/>
      <c r="Q306" s="1839"/>
      <c r="R306" s="1839"/>
      <c r="S306" s="1839"/>
    </row>
    <row r="307" spans="2:19" ht="6.75" customHeight="1">
      <c r="B307" s="1748"/>
      <c r="C307" s="1778"/>
      <c r="D307" s="1778"/>
      <c r="E307" s="1779"/>
      <c r="F307" s="1779"/>
      <c r="G307" s="1748"/>
      <c r="H307" s="1748"/>
      <c r="I307" s="1839"/>
      <c r="J307" s="1839"/>
      <c r="K307" s="1839"/>
      <c r="L307" s="1839"/>
      <c r="M307" s="1838"/>
      <c r="N307" s="1749"/>
      <c r="O307" s="1749"/>
      <c r="P307" s="1749"/>
      <c r="Q307" s="1749"/>
      <c r="R307" s="1749"/>
      <c r="S307" s="1749"/>
    </row>
    <row r="308" spans="2:19" ht="15.75" customHeight="1">
      <c r="B308" s="1748"/>
      <c r="C308" s="1778"/>
      <c r="D308" s="1778"/>
      <c r="E308" s="1779"/>
      <c r="F308" s="1779"/>
      <c r="G308" s="1748"/>
      <c r="H308" s="1839"/>
      <c r="I308" s="1839"/>
      <c r="J308" s="1839"/>
      <c r="K308" s="1839"/>
      <c r="L308" s="1839"/>
      <c r="M308" s="1839"/>
      <c r="N308" s="1839"/>
      <c r="O308" s="1839"/>
      <c r="P308" s="1839"/>
      <c r="Q308" s="1839"/>
      <c r="R308" s="1839"/>
      <c r="S308" s="1839"/>
    </row>
    <row r="309" spans="2:19" ht="6" customHeight="1">
      <c r="B309" s="1748"/>
      <c r="C309" s="1778"/>
      <c r="D309" s="1837"/>
      <c r="E309" s="1779"/>
      <c r="F309" s="1779"/>
      <c r="G309" s="1748"/>
      <c r="H309" s="1748"/>
      <c r="I309" s="1818"/>
      <c r="J309" s="1818"/>
      <c r="K309" s="1848"/>
      <c r="L309" s="1818"/>
      <c r="M309" s="1838"/>
      <c r="N309" s="1749"/>
      <c r="O309" s="1749"/>
      <c r="P309" s="1749"/>
      <c r="Q309" s="1749"/>
      <c r="R309" s="1749"/>
      <c r="S309" s="1749"/>
    </row>
    <row r="310" spans="2:19" ht="15.75" customHeight="1">
      <c r="B310" s="1748"/>
      <c r="C310" s="1847"/>
      <c r="D310" s="1837"/>
      <c r="E310" s="1779"/>
      <c r="F310" s="1779"/>
      <c r="G310" s="1748"/>
      <c r="H310" s="1789"/>
      <c r="I310" s="1789"/>
      <c r="J310" s="1839"/>
      <c r="K310" s="1839"/>
      <c r="L310" s="1839"/>
      <c r="M310" s="1839"/>
      <c r="N310" s="1839"/>
      <c r="O310" s="1839"/>
      <c r="P310" s="1839"/>
      <c r="Q310" s="1839"/>
      <c r="R310" s="1839"/>
      <c r="S310" s="1839"/>
    </row>
    <row r="311" spans="2:19" ht="15.75" customHeight="1">
      <c r="B311" s="1748"/>
      <c r="C311" s="1847"/>
      <c r="D311" s="1837"/>
      <c r="E311" s="1779"/>
      <c r="F311" s="1779"/>
      <c r="G311" s="1748"/>
      <c r="H311" s="1789"/>
      <c r="I311" s="1789"/>
      <c r="J311" s="1839"/>
      <c r="K311" s="1839"/>
      <c r="L311" s="1839"/>
      <c r="M311" s="1839"/>
      <c r="N311" s="1839"/>
      <c r="O311" s="1839"/>
      <c r="P311" s="1839"/>
      <c r="Q311" s="1839"/>
      <c r="R311" s="1839"/>
      <c r="S311" s="1839"/>
    </row>
    <row r="312" spans="2:19" ht="12.75" customHeight="1">
      <c r="B312" s="1849"/>
      <c r="C312" s="1778"/>
      <c r="D312" s="1837"/>
      <c r="E312" s="1779"/>
      <c r="F312" s="1779"/>
      <c r="G312" s="1748"/>
      <c r="H312" s="1748"/>
      <c r="I312" s="1818"/>
      <c r="J312" s="1818"/>
      <c r="K312" s="1848"/>
      <c r="L312" s="1839"/>
      <c r="M312" s="1839"/>
      <c r="N312" s="1839"/>
      <c r="O312" s="1839"/>
      <c r="P312" s="1749"/>
      <c r="Q312" s="1749"/>
      <c r="R312" s="1749"/>
      <c r="S312" s="1749"/>
    </row>
    <row r="313" spans="2:19" ht="15.75" customHeight="1">
      <c r="B313" s="1748"/>
      <c r="C313" s="1778"/>
      <c r="D313" s="1837"/>
      <c r="E313" s="1779"/>
      <c r="F313" s="1779"/>
      <c r="G313" s="1748"/>
      <c r="H313" s="1839"/>
      <c r="I313" s="1839"/>
      <c r="J313" s="1839"/>
      <c r="K313" s="1839"/>
      <c r="L313" s="1839"/>
      <c r="M313" s="1839"/>
      <c r="N313" s="1839"/>
      <c r="O313" s="1839"/>
      <c r="P313" s="1839"/>
      <c r="Q313" s="1839"/>
      <c r="R313" s="1839"/>
      <c r="S313" s="1839"/>
    </row>
    <row r="314" spans="2:19" ht="7.5" customHeight="1">
      <c r="B314" s="1748"/>
      <c r="C314" s="1778"/>
      <c r="D314" s="1837"/>
      <c r="E314" s="1779"/>
      <c r="F314" s="1779"/>
      <c r="G314" s="1748"/>
      <c r="H314" s="1748"/>
      <c r="I314" s="1818"/>
      <c r="J314" s="1818"/>
      <c r="K314" s="1848"/>
      <c r="L314" s="1818"/>
      <c r="M314" s="1838"/>
      <c r="N314" s="1749"/>
      <c r="O314" s="1749"/>
      <c r="P314" s="1749"/>
      <c r="Q314" s="1749"/>
      <c r="R314" s="1749"/>
      <c r="S314" s="1749"/>
    </row>
    <row r="315" spans="2:19" ht="15.75" customHeight="1">
      <c r="B315" s="1748"/>
      <c r="C315" s="1778"/>
      <c r="D315" s="1838"/>
      <c r="E315" s="1838"/>
      <c r="F315" s="1838"/>
      <c r="G315" s="1748"/>
      <c r="H315" s="1839"/>
      <c r="I315" s="1839"/>
      <c r="J315" s="1839"/>
      <c r="K315" s="1839"/>
      <c r="L315" s="1839"/>
      <c r="M315" s="1839"/>
      <c r="N315" s="1839"/>
      <c r="O315" s="1839"/>
      <c r="P315" s="1839"/>
      <c r="Q315" s="1839"/>
      <c r="R315" s="1839"/>
      <c r="S315" s="1839"/>
    </row>
    <row r="316" spans="2:19" ht="15.75" customHeight="1">
      <c r="B316" s="1748"/>
      <c r="C316" s="1847"/>
      <c r="D316" s="1838"/>
      <c r="E316" s="1838"/>
      <c r="F316" s="1838"/>
      <c r="G316" s="1748"/>
      <c r="H316" s="1789"/>
      <c r="I316" s="1789"/>
      <c r="J316" s="1789"/>
      <c r="K316" s="1839"/>
      <c r="L316" s="1839"/>
      <c r="M316" s="1839"/>
      <c r="N316" s="1839"/>
      <c r="O316" s="1839"/>
      <c r="P316" s="1839"/>
      <c r="Q316" s="1839"/>
      <c r="R316" s="1839"/>
      <c r="S316" s="1839"/>
    </row>
    <row r="317" spans="2:19" ht="15.75" customHeight="1">
      <c r="B317" s="1748"/>
      <c r="C317" s="1847"/>
      <c r="D317" s="1838"/>
      <c r="E317" s="1838"/>
      <c r="F317" s="1838"/>
      <c r="G317" s="1748"/>
      <c r="H317" s="1789"/>
      <c r="I317" s="1789"/>
      <c r="J317" s="1789"/>
      <c r="K317" s="1789"/>
      <c r="L317" s="1789"/>
      <c r="M317" s="1839"/>
      <c r="N317" s="1789"/>
      <c r="O317" s="1789"/>
      <c r="P317" s="1789"/>
      <c r="Q317" s="1789"/>
      <c r="R317" s="1789"/>
      <c r="S317" s="1789"/>
    </row>
    <row r="318" spans="2:19" ht="6.75" customHeight="1">
      <c r="B318" s="1748"/>
      <c r="C318" s="1778"/>
      <c r="D318" s="1838"/>
      <c r="E318" s="1838"/>
      <c r="F318" s="1838"/>
      <c r="G318" s="1850"/>
      <c r="H318" s="1850"/>
      <c r="I318" s="1839"/>
      <c r="J318" s="1839"/>
      <c r="K318" s="1839"/>
      <c r="L318" s="1839"/>
      <c r="M318" s="1838"/>
      <c r="N318" s="1749"/>
      <c r="O318" s="1749"/>
      <c r="P318" s="1749"/>
      <c r="Q318" s="1749"/>
      <c r="R318" s="1749"/>
      <c r="S318" s="1749"/>
    </row>
    <row r="319" spans="2:19" ht="15.75" customHeight="1">
      <c r="B319" s="1748"/>
      <c r="C319" s="1774"/>
      <c r="D319" s="1851"/>
      <c r="E319" s="1851"/>
      <c r="F319" s="1851"/>
      <c r="G319" s="1852"/>
      <c r="H319" s="1853"/>
      <c r="I319" s="1853"/>
      <c r="J319" s="1853"/>
      <c r="K319" s="1853"/>
      <c r="L319" s="1853"/>
      <c r="M319" s="1853"/>
      <c r="N319" s="1853"/>
      <c r="O319" s="1853"/>
      <c r="P319" s="1853"/>
      <c r="Q319" s="1853"/>
      <c r="R319" s="1853"/>
      <c r="S319" s="1853"/>
    </row>
    <row r="320" spans="2:19" ht="15.75" customHeight="1">
      <c r="B320" s="1748"/>
      <c r="C320" s="1778"/>
      <c r="D320" s="1838"/>
      <c r="E320" s="1838"/>
      <c r="F320" s="1838"/>
      <c r="G320" s="1748"/>
      <c r="H320" s="1748"/>
      <c r="I320" s="1839"/>
      <c r="J320" s="1839"/>
      <c r="K320" s="1839"/>
      <c r="L320" s="1839"/>
      <c r="M320" s="1760"/>
      <c r="N320" s="1749"/>
      <c r="O320" s="1749"/>
      <c r="P320" s="1749"/>
      <c r="Q320" s="1749"/>
      <c r="R320" s="1749"/>
      <c r="S320" s="1749"/>
    </row>
    <row r="321" spans="2:19" ht="15.75" customHeight="1">
      <c r="B321" s="1748"/>
      <c r="C321" s="1778"/>
      <c r="D321" s="1838"/>
      <c r="E321" s="1838"/>
      <c r="F321" s="1838"/>
      <c r="G321" s="1748"/>
      <c r="H321" s="1748"/>
      <c r="I321" s="1839"/>
      <c r="J321" s="1839"/>
      <c r="K321" s="1839"/>
      <c r="L321" s="1839"/>
      <c r="M321" s="1760"/>
      <c r="N321" s="1749"/>
      <c r="O321" s="1749"/>
      <c r="P321" s="1749"/>
      <c r="Q321" s="1749"/>
      <c r="R321" s="1749"/>
      <c r="S321" s="1749"/>
    </row>
    <row r="322" spans="2:19" ht="15.75" customHeight="1">
      <c r="B322" s="1748"/>
      <c r="C322" s="1778"/>
      <c r="D322" s="1838"/>
      <c r="E322" s="1838"/>
      <c r="F322" s="1838"/>
      <c r="G322" s="1748"/>
      <c r="H322" s="1748"/>
      <c r="I322" s="1839"/>
      <c r="J322" s="1839"/>
      <c r="K322" s="1839"/>
      <c r="L322" s="1839"/>
      <c r="M322" s="1760"/>
      <c r="N322" s="1749"/>
      <c r="O322" s="1749"/>
      <c r="P322" s="1749"/>
      <c r="Q322" s="1749"/>
      <c r="R322" s="1749"/>
      <c r="S322" s="1749"/>
    </row>
    <row r="323" spans="2:19" ht="15.75" customHeight="1">
      <c r="B323" s="1748"/>
      <c r="C323" s="1778"/>
      <c r="D323" s="1838"/>
      <c r="E323" s="1838"/>
      <c r="F323" s="1838"/>
      <c r="G323" s="1748"/>
      <c r="H323" s="1748"/>
      <c r="I323" s="1839"/>
      <c r="J323" s="1839"/>
      <c r="K323" s="1839"/>
      <c r="L323" s="1839"/>
      <c r="M323" s="1760"/>
      <c r="N323" s="1749"/>
      <c r="O323" s="1749"/>
      <c r="P323" s="1749"/>
      <c r="Q323" s="1749"/>
      <c r="R323" s="1749"/>
      <c r="S323" s="1749"/>
    </row>
    <row r="324" spans="2:19" ht="27" customHeight="1" outlineLevel="1">
      <c r="B324" s="1854"/>
      <c r="C324" s="1751"/>
      <c r="G324" s="354"/>
      <c r="H324" s="1811"/>
      <c r="I324" s="1811"/>
      <c r="J324" s="1811"/>
      <c r="K324" s="1811"/>
      <c r="L324" s="1811"/>
      <c r="M324" s="1810"/>
      <c r="N324" s="1811"/>
      <c r="O324" s="1811"/>
      <c r="P324" s="1811"/>
      <c r="Q324" s="1811"/>
      <c r="R324" s="1811"/>
      <c r="S324" s="1811"/>
    </row>
    <row r="325" spans="2:19" ht="3" customHeight="1" outlineLevel="1">
      <c r="B325" s="1854"/>
      <c r="C325" s="1756"/>
      <c r="D325" s="1757"/>
      <c r="E325" s="1757"/>
      <c r="F325" s="1757"/>
      <c r="G325" s="1757"/>
      <c r="H325" s="1813"/>
      <c r="I325" s="1813"/>
      <c r="J325" s="1813"/>
      <c r="K325" s="1813"/>
      <c r="L325" s="1813"/>
      <c r="M325" s="1813"/>
      <c r="N325" s="1813"/>
      <c r="O325" s="1813"/>
      <c r="P325" s="1813"/>
      <c r="Q325" s="1813"/>
      <c r="R325" s="1813"/>
      <c r="S325" s="1813"/>
    </row>
    <row r="326" spans="2:19" ht="15.75" customHeight="1" outlineLevel="1">
      <c r="B326" s="1854"/>
      <c r="G326" s="354"/>
      <c r="H326" s="1811"/>
      <c r="I326" s="1811"/>
      <c r="J326" s="1811"/>
      <c r="K326" s="1811"/>
      <c r="L326" s="1811"/>
      <c r="M326" s="1810"/>
      <c r="N326" s="1811"/>
      <c r="O326" s="1811"/>
      <c r="P326" s="1811"/>
      <c r="Q326" s="1811"/>
      <c r="R326" s="1811"/>
      <c r="S326" s="1811"/>
    </row>
    <row r="327" spans="2:19" ht="15.75" customHeight="1" outlineLevel="1">
      <c r="B327" s="1854"/>
      <c r="C327" s="1761"/>
      <c r="D327" s="1762"/>
      <c r="E327" s="1762"/>
      <c r="F327" s="1762"/>
      <c r="G327" s="1762"/>
      <c r="H327" s="1763"/>
      <c r="I327" s="1763"/>
      <c r="J327" s="1763"/>
      <c r="K327" s="1763"/>
      <c r="L327" s="1764"/>
      <c r="M327" s="1763"/>
      <c r="N327" s="1764"/>
      <c r="O327" s="1764"/>
      <c r="P327" s="1764"/>
      <c r="Q327" s="1764"/>
      <c r="R327" s="1764"/>
      <c r="S327" s="1764"/>
    </row>
    <row r="328" spans="2:19" ht="15.75" customHeight="1" outlineLevel="1">
      <c r="B328" s="1749"/>
      <c r="C328" s="1843"/>
      <c r="D328" s="1767"/>
      <c r="E328" s="1767"/>
      <c r="F328" s="1767"/>
      <c r="G328" s="1834"/>
      <c r="H328" s="1768"/>
      <c r="I328" s="1768"/>
      <c r="J328" s="1768"/>
      <c r="K328" s="1768"/>
      <c r="L328" s="1768"/>
      <c r="M328" s="1768"/>
      <c r="N328" s="1768"/>
      <c r="O328" s="1768"/>
      <c r="P328" s="1768"/>
      <c r="Q328" s="1768"/>
      <c r="R328" s="1768"/>
      <c r="S328" s="1768"/>
    </row>
    <row r="329" spans="2:19" ht="15.75" customHeight="1" outlineLevel="1">
      <c r="B329" s="1855"/>
      <c r="C329" s="1844"/>
      <c r="D329" s="1771"/>
      <c r="E329" s="1771"/>
      <c r="F329" s="1771"/>
      <c r="G329" s="1815"/>
      <c r="H329" s="1772"/>
      <c r="I329" s="1772"/>
      <c r="J329" s="1772"/>
      <c r="K329" s="1772"/>
      <c r="L329" s="1772"/>
      <c r="M329" s="1772"/>
      <c r="N329" s="1772"/>
      <c r="O329" s="1772"/>
      <c r="P329" s="1772"/>
      <c r="Q329" s="1772"/>
      <c r="R329" s="1772"/>
      <c r="S329" s="1772"/>
    </row>
    <row r="330" spans="2:19" ht="15.75" customHeight="1" outlineLevel="1">
      <c r="B330" s="1752"/>
      <c r="C330" s="1856"/>
      <c r="D330" s="1774"/>
      <c r="E330" s="1775"/>
      <c r="F330" s="1775"/>
      <c r="G330" s="1816"/>
      <c r="H330" s="1817"/>
      <c r="I330" s="1817"/>
      <c r="J330" s="1817"/>
      <c r="K330" s="1817"/>
      <c r="L330" s="1817"/>
      <c r="M330" s="1817"/>
      <c r="N330" s="1817"/>
      <c r="O330" s="1817"/>
      <c r="P330" s="1817"/>
      <c r="Q330" s="1817"/>
      <c r="R330" s="1817"/>
      <c r="S330" s="1817"/>
    </row>
    <row r="331" spans="2:19" ht="15.75" customHeight="1" outlineLevel="1">
      <c r="B331" s="1752"/>
      <c r="C331" s="1778"/>
      <c r="D331" s="1778"/>
      <c r="E331" s="1779"/>
      <c r="F331" s="1778"/>
      <c r="G331" s="1748"/>
      <c r="H331" s="1748"/>
      <c r="I331" s="1778"/>
      <c r="J331" s="1857"/>
      <c r="K331" s="1857"/>
      <c r="L331" s="1857"/>
      <c r="M331" s="1857"/>
      <c r="N331" s="1857"/>
      <c r="O331" s="1857"/>
      <c r="P331" s="1857"/>
      <c r="Q331" s="1857"/>
      <c r="R331" s="1857"/>
      <c r="S331" s="1857"/>
    </row>
    <row r="332" spans="2:19" ht="15.75" customHeight="1" outlineLevel="1">
      <c r="B332" s="1752"/>
      <c r="C332" s="1778"/>
      <c r="D332" s="1838"/>
      <c r="E332" s="1858"/>
      <c r="F332" s="1859"/>
      <c r="G332" s="1860"/>
      <c r="H332" s="1860"/>
      <c r="I332" s="1861"/>
      <c r="J332" s="1840"/>
      <c r="K332" s="1840"/>
      <c r="L332" s="1840"/>
      <c r="M332" s="1838"/>
      <c r="N332" s="1749"/>
      <c r="O332" s="1749"/>
      <c r="P332" s="1749"/>
      <c r="Q332" s="1749"/>
      <c r="R332" s="1749"/>
      <c r="S332" s="1749"/>
    </row>
    <row r="333" spans="2:19" ht="15.75" customHeight="1" outlineLevel="1">
      <c r="B333" s="1752"/>
      <c r="C333" s="1847"/>
      <c r="D333" s="1838"/>
      <c r="E333" s="1858"/>
      <c r="F333" s="1859"/>
      <c r="G333" s="1862"/>
      <c r="H333" s="1863"/>
      <c r="I333" s="1863"/>
      <c r="J333" s="1863"/>
      <c r="K333" s="1863"/>
      <c r="L333" s="1863"/>
      <c r="M333" s="1863"/>
      <c r="N333" s="1863"/>
      <c r="O333" s="1863"/>
      <c r="P333" s="1863"/>
      <c r="Q333" s="1863"/>
      <c r="R333" s="1863"/>
      <c r="S333" s="1863"/>
    </row>
    <row r="334" spans="2:19" ht="15.75" customHeight="1" outlineLevel="1">
      <c r="B334" s="1752"/>
      <c r="C334" s="1847"/>
      <c r="D334" s="1838"/>
      <c r="E334" s="1858"/>
      <c r="F334" s="1859"/>
      <c r="G334" s="1860"/>
      <c r="H334" s="1860"/>
      <c r="I334" s="1778"/>
      <c r="J334" s="1840"/>
      <c r="K334" s="1863"/>
      <c r="L334" s="1840"/>
      <c r="M334" s="1840"/>
      <c r="N334" s="1840"/>
      <c r="O334" s="1840"/>
      <c r="P334" s="1840"/>
      <c r="Q334" s="1840"/>
      <c r="R334" s="1840"/>
      <c r="S334" s="1840"/>
    </row>
    <row r="335" spans="2:19" ht="15.75" customHeight="1" outlineLevel="1">
      <c r="B335" s="1752"/>
      <c r="C335" s="1847"/>
      <c r="D335" s="1778"/>
      <c r="E335" s="1864"/>
      <c r="F335" s="1831"/>
      <c r="G335" s="1862"/>
      <c r="H335" s="1863"/>
      <c r="I335" s="1863"/>
      <c r="J335" s="1863"/>
      <c r="K335" s="1863"/>
      <c r="L335" s="1863"/>
      <c r="M335" s="1863"/>
      <c r="N335" s="1863"/>
      <c r="O335" s="1863"/>
      <c r="P335" s="1863"/>
      <c r="Q335" s="1863"/>
      <c r="R335" s="1863"/>
      <c r="S335" s="1863"/>
    </row>
    <row r="336" spans="2:19" ht="15.75" customHeight="1" outlineLevel="1">
      <c r="B336" s="1865"/>
      <c r="C336" s="1847"/>
      <c r="D336" s="1778"/>
      <c r="E336" s="1779"/>
      <c r="F336" s="1829"/>
      <c r="G336" s="1862"/>
      <c r="H336" s="1862"/>
      <c r="I336" s="1840"/>
      <c r="J336" s="1863"/>
      <c r="K336" s="1840"/>
      <c r="L336" s="1840"/>
      <c r="M336" s="1840"/>
      <c r="N336" s="1840"/>
      <c r="O336" s="1840"/>
      <c r="P336" s="1840"/>
      <c r="Q336" s="1840"/>
      <c r="R336" s="1840"/>
      <c r="S336" s="1840"/>
    </row>
    <row r="337" spans="2:19" ht="15.75" customHeight="1" outlineLevel="1">
      <c r="B337" s="1865"/>
      <c r="C337" s="1847"/>
      <c r="D337" s="1778"/>
      <c r="E337" s="1779"/>
      <c r="F337" s="1778"/>
      <c r="G337" s="1862"/>
      <c r="H337" s="1863"/>
      <c r="I337" s="1863"/>
      <c r="J337" s="1863"/>
      <c r="K337" s="1863"/>
      <c r="L337" s="1863"/>
      <c r="M337" s="1863"/>
      <c r="N337" s="1863"/>
      <c r="O337" s="1863"/>
      <c r="P337" s="1863"/>
      <c r="Q337" s="1863"/>
      <c r="R337" s="1863"/>
      <c r="S337" s="1863"/>
    </row>
    <row r="338" spans="2:19" ht="15.75" customHeight="1" outlineLevel="1">
      <c r="B338" s="1752"/>
      <c r="C338" s="1847"/>
      <c r="D338" s="1838"/>
      <c r="E338" s="1858"/>
      <c r="F338" s="1859"/>
      <c r="G338" s="1862"/>
      <c r="H338" s="1863"/>
      <c r="I338" s="1863"/>
      <c r="J338" s="1863"/>
      <c r="K338" s="1863"/>
      <c r="L338" s="1863"/>
      <c r="M338" s="1863"/>
      <c r="N338" s="1863"/>
      <c r="O338" s="1863"/>
      <c r="P338" s="1863"/>
      <c r="Q338" s="1863"/>
      <c r="R338" s="1863"/>
      <c r="S338" s="1863"/>
    </row>
    <row r="339" spans="2:19" ht="15.75" customHeight="1" outlineLevel="1">
      <c r="B339" s="1752"/>
      <c r="C339" s="1847"/>
      <c r="D339" s="1778"/>
      <c r="E339" s="1858"/>
      <c r="F339" s="1829"/>
      <c r="G339" s="1862"/>
      <c r="H339" s="1863"/>
      <c r="I339" s="1863"/>
      <c r="J339" s="1863"/>
      <c r="K339" s="1863"/>
      <c r="L339" s="1863"/>
      <c r="M339" s="1863"/>
      <c r="N339" s="1863"/>
      <c r="O339" s="1863"/>
      <c r="P339" s="1863"/>
      <c r="Q339" s="1863"/>
      <c r="R339" s="1863"/>
      <c r="S339" s="1863"/>
    </row>
    <row r="340" spans="2:19" ht="15.75" customHeight="1" outlineLevel="1">
      <c r="B340" s="1752"/>
      <c r="C340" s="1778"/>
      <c r="D340" s="1778"/>
      <c r="E340" s="1779"/>
      <c r="F340" s="1829"/>
      <c r="G340" s="1862"/>
      <c r="H340" s="1862"/>
      <c r="I340" s="1840"/>
      <c r="J340" s="1840"/>
      <c r="K340" s="1840"/>
      <c r="L340" s="1840"/>
      <c r="M340" s="1840"/>
      <c r="N340" s="1840"/>
      <c r="O340" s="1840"/>
      <c r="P340" s="1840"/>
      <c r="Q340" s="1840"/>
      <c r="R340" s="1840"/>
      <c r="S340" s="1840"/>
    </row>
    <row r="341" spans="2:19" ht="15.75" customHeight="1" outlineLevel="1">
      <c r="B341" s="1752"/>
      <c r="C341" s="1778"/>
      <c r="D341" s="1838"/>
      <c r="E341" s="1858"/>
      <c r="F341" s="1859"/>
      <c r="G341" s="1860"/>
      <c r="H341" s="1860"/>
      <c r="I341" s="1866"/>
      <c r="J341" s="1867"/>
      <c r="K341" s="1867"/>
      <c r="L341" s="1867"/>
      <c r="M341" s="1867"/>
      <c r="N341" s="1867"/>
      <c r="O341" s="1867"/>
      <c r="P341" s="1867"/>
      <c r="Q341" s="1867"/>
      <c r="R341" s="1867"/>
      <c r="S341" s="1867"/>
    </row>
    <row r="342" spans="2:19" ht="15.75" customHeight="1" outlineLevel="1">
      <c r="B342" s="1752"/>
      <c r="C342" s="1847"/>
      <c r="D342" s="1778"/>
      <c r="E342" s="1864"/>
      <c r="F342" s="1831"/>
      <c r="G342" s="1862"/>
      <c r="H342" s="1862"/>
      <c r="I342" s="1863"/>
      <c r="J342" s="1863"/>
      <c r="K342" s="1863"/>
      <c r="L342" s="1863"/>
      <c r="M342" s="1863"/>
      <c r="N342" s="1863"/>
      <c r="O342" s="1863"/>
      <c r="P342" s="1863"/>
      <c r="Q342" s="1863"/>
      <c r="R342" s="1863"/>
      <c r="S342" s="1863"/>
    </row>
    <row r="343" spans="2:19" ht="15.75" customHeight="1" outlineLevel="1">
      <c r="B343" s="1752"/>
      <c r="C343" s="1847"/>
      <c r="D343" s="1778"/>
      <c r="E343" s="1864"/>
      <c r="F343" s="1831"/>
      <c r="G343" s="1862"/>
      <c r="H343" s="1862"/>
      <c r="I343" s="1863"/>
      <c r="J343" s="1863"/>
      <c r="K343" s="1863"/>
      <c r="L343" s="1863"/>
      <c r="M343" s="1863"/>
      <c r="N343" s="1863"/>
      <c r="O343" s="1863"/>
      <c r="P343" s="1863"/>
      <c r="Q343" s="1863"/>
      <c r="R343" s="1863"/>
      <c r="S343" s="1863"/>
    </row>
    <row r="344" spans="2:19" ht="15.75" customHeight="1" outlineLevel="1">
      <c r="B344" s="1752"/>
      <c r="C344" s="1847"/>
      <c r="D344" s="1778"/>
      <c r="E344" s="1864"/>
      <c r="F344" s="1831"/>
      <c r="G344" s="1862"/>
      <c r="H344" s="1862"/>
      <c r="I344" s="1863"/>
      <c r="J344" s="1863"/>
      <c r="K344" s="1863"/>
      <c r="L344" s="1863"/>
      <c r="M344" s="1863"/>
      <c r="N344" s="1863"/>
      <c r="O344" s="1863"/>
      <c r="P344" s="1863"/>
      <c r="Q344" s="1863"/>
      <c r="R344" s="1863"/>
      <c r="S344" s="1863"/>
    </row>
    <row r="345" spans="2:19" ht="15.75" customHeight="1" outlineLevel="1">
      <c r="B345" s="1749"/>
      <c r="C345" s="1847"/>
      <c r="D345" s="1778"/>
      <c r="E345" s="1779"/>
      <c r="F345" s="1831"/>
      <c r="G345" s="1862"/>
      <c r="H345" s="1862"/>
      <c r="I345" s="1863"/>
      <c r="J345" s="1863"/>
      <c r="K345" s="1863"/>
      <c r="L345" s="1863"/>
      <c r="M345" s="1863"/>
      <c r="N345" s="1863"/>
      <c r="O345" s="1863"/>
      <c r="P345" s="1863"/>
      <c r="Q345" s="1863"/>
      <c r="R345" s="1863"/>
      <c r="S345" s="1863"/>
    </row>
    <row r="346" spans="2:19" ht="15.75" customHeight="1" outlineLevel="1">
      <c r="B346" s="1752"/>
      <c r="C346" s="1847"/>
      <c r="D346" s="1778"/>
      <c r="E346" s="1864"/>
      <c r="F346" s="1831"/>
      <c r="G346" s="1862"/>
      <c r="H346" s="1862"/>
      <c r="I346" s="1863"/>
      <c r="J346" s="1863"/>
      <c r="K346" s="1863"/>
      <c r="L346" s="1863"/>
      <c r="M346" s="1863"/>
      <c r="N346" s="1863"/>
      <c r="O346" s="1863"/>
      <c r="P346" s="1863"/>
      <c r="Q346" s="1863"/>
      <c r="R346" s="1863"/>
      <c r="S346" s="1863"/>
    </row>
    <row r="347" spans="2:19" ht="15.75" customHeight="1" outlineLevel="1">
      <c r="B347" s="1865"/>
      <c r="C347" s="1847"/>
      <c r="D347" s="1778"/>
      <c r="E347" s="1864"/>
      <c r="F347" s="1831"/>
      <c r="G347" s="1862"/>
      <c r="H347" s="1862"/>
      <c r="I347" s="1863"/>
      <c r="J347" s="1863"/>
      <c r="K347" s="1863"/>
      <c r="L347" s="1863"/>
      <c r="M347" s="1863"/>
      <c r="N347" s="1863"/>
      <c r="O347" s="1863"/>
      <c r="P347" s="1863"/>
      <c r="Q347" s="1863"/>
      <c r="R347" s="1863"/>
      <c r="S347" s="1863"/>
    </row>
    <row r="348" spans="2:19" ht="15.75" customHeight="1" outlineLevel="1">
      <c r="B348" s="1752"/>
      <c r="C348" s="1849"/>
      <c r="D348" s="1778"/>
      <c r="E348" s="1864"/>
      <c r="F348" s="1831"/>
      <c r="G348" s="1868"/>
      <c r="H348" s="1868"/>
      <c r="I348" s="1840"/>
      <c r="J348" s="1831"/>
      <c r="K348" s="1831"/>
      <c r="L348" s="1831"/>
      <c r="M348" s="1838"/>
      <c r="N348" s="1749"/>
      <c r="O348" s="1749"/>
      <c r="P348" s="1749"/>
      <c r="Q348" s="1749"/>
      <c r="R348" s="1749"/>
      <c r="S348" s="1749"/>
    </row>
    <row r="349" spans="2:19" ht="15.75" customHeight="1" outlineLevel="1">
      <c r="B349" s="1752"/>
      <c r="C349" s="1849"/>
      <c r="D349" s="1778"/>
      <c r="E349" s="1779"/>
      <c r="F349" s="1778"/>
      <c r="G349" s="1862"/>
      <c r="H349" s="1862"/>
      <c r="I349" s="1869"/>
      <c r="J349" s="1869"/>
      <c r="K349" s="1869"/>
      <c r="L349" s="1869"/>
      <c r="M349" s="1869"/>
      <c r="N349" s="1869"/>
      <c r="O349" s="1869"/>
      <c r="P349" s="1869"/>
      <c r="Q349" s="1869"/>
      <c r="R349" s="1869"/>
      <c r="S349" s="1869"/>
    </row>
    <row r="350" spans="2:19" ht="15.75" customHeight="1" outlineLevel="1">
      <c r="B350" s="1752"/>
      <c r="C350" s="1849"/>
      <c r="D350" s="1778"/>
      <c r="E350" s="1864"/>
      <c r="F350" s="1831"/>
      <c r="G350" s="1862"/>
      <c r="H350" s="1862"/>
      <c r="I350" s="1869"/>
      <c r="J350" s="1869"/>
      <c r="K350" s="1869"/>
      <c r="L350" s="1869"/>
      <c r="M350" s="1869"/>
      <c r="N350" s="1869"/>
      <c r="O350" s="1869"/>
      <c r="P350" s="1869"/>
      <c r="Q350" s="1869"/>
      <c r="R350" s="1869"/>
      <c r="S350" s="1869"/>
    </row>
    <row r="351" spans="2:19" ht="15.75" customHeight="1" outlineLevel="1">
      <c r="B351" s="1748"/>
      <c r="C351" s="1778"/>
      <c r="D351" s="1778"/>
      <c r="E351" s="1779"/>
      <c r="F351" s="1831"/>
      <c r="G351" s="1868"/>
      <c r="H351" s="1868"/>
      <c r="I351" s="1840"/>
      <c r="J351" s="1840"/>
      <c r="K351" s="1840"/>
      <c r="L351" s="1840"/>
      <c r="M351" s="1838"/>
      <c r="N351" s="1749"/>
      <c r="O351" s="1749"/>
      <c r="P351" s="1749"/>
      <c r="Q351" s="1749"/>
      <c r="R351" s="1749"/>
      <c r="S351" s="1749"/>
    </row>
    <row r="352" spans="2:19" ht="15.75" customHeight="1" outlineLevel="1">
      <c r="B352" s="1748"/>
      <c r="C352" s="1778"/>
      <c r="D352" s="1778"/>
      <c r="E352" s="1779"/>
      <c r="F352" s="1778"/>
      <c r="G352" s="1748"/>
      <c r="H352" s="1748"/>
      <c r="I352" s="1840"/>
      <c r="J352" s="1840"/>
      <c r="K352" s="1840"/>
      <c r="L352" s="1840"/>
      <c r="M352" s="1838"/>
      <c r="N352" s="1749"/>
      <c r="O352" s="1749"/>
      <c r="P352" s="1749"/>
      <c r="Q352" s="1749"/>
      <c r="R352" s="1749"/>
      <c r="S352" s="1749"/>
    </row>
    <row r="353" spans="2:19" ht="15.75" customHeight="1" outlineLevel="1">
      <c r="B353" s="1748"/>
      <c r="C353" s="1778"/>
      <c r="D353" s="1778"/>
      <c r="E353" s="1779"/>
      <c r="F353" s="1778"/>
      <c r="G353" s="1748"/>
      <c r="H353" s="1748"/>
      <c r="I353" s="1840"/>
      <c r="J353" s="1840"/>
      <c r="K353" s="1840"/>
      <c r="L353" s="1840"/>
      <c r="M353" s="1838"/>
      <c r="N353" s="1749"/>
      <c r="O353" s="1749"/>
      <c r="P353" s="1749"/>
      <c r="Q353" s="1749"/>
      <c r="R353" s="1749"/>
      <c r="S353" s="1749"/>
    </row>
    <row r="354" spans="2:19" ht="15.75" customHeight="1" outlineLevel="1">
      <c r="B354" s="1748"/>
      <c r="C354" s="1778"/>
      <c r="D354" s="1778"/>
      <c r="E354" s="1779"/>
      <c r="F354" s="1778"/>
      <c r="G354" s="1748"/>
      <c r="H354" s="1748"/>
      <c r="I354" s="1840"/>
      <c r="J354" s="1840"/>
      <c r="K354" s="1870"/>
      <c r="L354" s="1840"/>
      <c r="M354" s="1838"/>
      <c r="N354" s="1749"/>
      <c r="O354" s="1749"/>
      <c r="P354" s="1749"/>
      <c r="Q354" s="1749"/>
      <c r="R354" s="1749"/>
      <c r="S354" s="1749"/>
    </row>
    <row r="355" spans="2:19" ht="15.75" customHeight="1" outlineLevel="1">
      <c r="B355" s="1748"/>
      <c r="C355" s="1778"/>
      <c r="D355" s="1778"/>
      <c r="E355" s="1779"/>
      <c r="F355" s="1778"/>
      <c r="G355" s="1748"/>
      <c r="H355" s="1748"/>
      <c r="I355" s="1840"/>
      <c r="J355" s="1840"/>
      <c r="K355" s="1840"/>
      <c r="L355" s="1840"/>
      <c r="M355" s="1838"/>
      <c r="N355" s="1749"/>
      <c r="O355" s="1749"/>
      <c r="P355" s="1749"/>
      <c r="Q355" s="1749"/>
      <c r="R355" s="1749"/>
      <c r="S355" s="1749"/>
    </row>
    <row r="356" spans="2:19" ht="27" customHeight="1" outlineLevel="1">
      <c r="B356" s="1865"/>
      <c r="C356" s="1871"/>
      <c r="I356" s="1872"/>
      <c r="J356" s="1873"/>
      <c r="K356" s="1874"/>
      <c r="L356" s="1875"/>
      <c r="M356" s="1876"/>
      <c r="N356" s="1875"/>
      <c r="O356" s="1875"/>
      <c r="P356" s="1875"/>
      <c r="Q356" s="1875"/>
      <c r="R356" s="1875"/>
      <c r="S356" s="1875"/>
    </row>
    <row r="357" spans="2:19" ht="3" customHeight="1" outlineLevel="1">
      <c r="B357" s="1865"/>
      <c r="C357" s="1877"/>
      <c r="D357" s="1877"/>
      <c r="E357" s="1877"/>
      <c r="F357" s="1877"/>
      <c r="G357" s="1758"/>
      <c r="H357" s="1758"/>
      <c r="I357" s="1877"/>
      <c r="J357" s="1877"/>
      <c r="K357" s="1877"/>
      <c r="L357" s="1877"/>
      <c r="M357" s="1877"/>
      <c r="N357" s="1877"/>
      <c r="O357" s="1877"/>
      <c r="P357" s="1877"/>
      <c r="Q357" s="1877"/>
      <c r="R357" s="1877"/>
      <c r="S357" s="1877"/>
    </row>
    <row r="358" spans="2:19" ht="15.75" customHeight="1" outlineLevel="1">
      <c r="B358" s="1865"/>
      <c r="C358" s="354"/>
      <c r="I358" s="1872"/>
      <c r="J358" s="1873"/>
      <c r="K358" s="1874"/>
      <c r="L358" s="1875"/>
      <c r="M358" s="1876"/>
      <c r="N358" s="1875"/>
      <c r="O358" s="1875"/>
      <c r="P358" s="1875"/>
      <c r="Q358" s="1875"/>
      <c r="R358" s="1875"/>
      <c r="S358" s="1875"/>
    </row>
    <row r="359" spans="2:19" ht="15.75" customHeight="1" outlineLevel="1">
      <c r="B359" s="1749"/>
      <c r="C359" s="1794"/>
      <c r="I359" s="1872"/>
      <c r="J359" s="1872"/>
      <c r="K359" s="1876"/>
      <c r="L359" s="1878"/>
      <c r="M359" s="1876"/>
      <c r="N359" s="1878"/>
      <c r="O359" s="1878"/>
      <c r="P359" s="1878"/>
      <c r="Q359" s="1878"/>
      <c r="R359" s="1878"/>
      <c r="S359" s="1878"/>
    </row>
    <row r="360" spans="2:19" ht="15.75" customHeight="1" outlineLevel="1">
      <c r="B360" s="1749"/>
      <c r="C360" s="1843"/>
      <c r="D360" s="1767"/>
      <c r="E360" s="1767"/>
      <c r="F360" s="1767"/>
      <c r="G360" s="1834"/>
      <c r="H360" s="1768"/>
      <c r="I360" s="1768"/>
      <c r="J360" s="1768"/>
      <c r="K360" s="1768"/>
      <c r="L360" s="1768"/>
      <c r="M360" s="1768"/>
      <c r="N360" s="1768"/>
      <c r="O360" s="1768"/>
      <c r="P360" s="1768"/>
      <c r="Q360" s="1768"/>
      <c r="R360" s="1768"/>
      <c r="S360" s="1768"/>
    </row>
    <row r="361" spans="2:19" ht="15.75" customHeight="1" outlineLevel="1">
      <c r="B361" s="1749"/>
      <c r="C361" s="1844"/>
      <c r="D361" s="1771"/>
      <c r="E361" s="1771"/>
      <c r="F361" s="1771"/>
      <c r="G361" s="1815"/>
      <c r="H361" s="1772"/>
      <c r="I361" s="1772"/>
      <c r="J361" s="1772"/>
      <c r="K361" s="1772"/>
      <c r="L361" s="1772"/>
      <c r="M361" s="1772"/>
      <c r="N361" s="1772"/>
      <c r="O361" s="1772"/>
      <c r="P361" s="1772"/>
      <c r="Q361" s="1772"/>
      <c r="R361" s="1772"/>
      <c r="S361" s="1772"/>
    </row>
    <row r="362" spans="2:19" ht="15.75" customHeight="1" outlineLevel="1">
      <c r="B362" s="1749"/>
      <c r="C362" s="1856"/>
      <c r="D362" s="1774"/>
      <c r="E362" s="1775"/>
      <c r="F362" s="1775"/>
      <c r="G362" s="1816"/>
      <c r="H362" s="1817"/>
      <c r="I362" s="1817"/>
      <c r="J362" s="1817"/>
      <c r="K362" s="1817"/>
      <c r="L362" s="1817"/>
      <c r="M362" s="1817"/>
      <c r="N362" s="1817"/>
      <c r="O362" s="1817"/>
      <c r="P362" s="1817"/>
      <c r="Q362" s="1817"/>
      <c r="R362" s="1817"/>
      <c r="S362" s="1817"/>
    </row>
    <row r="363" spans="2:19" ht="15.75" customHeight="1" outlineLevel="1">
      <c r="B363" s="1749"/>
      <c r="C363" s="1778"/>
      <c r="D363" s="1778"/>
      <c r="E363" s="1879"/>
      <c r="F363" s="1831"/>
      <c r="G363" s="1868"/>
      <c r="H363" s="1868"/>
      <c r="I363" s="1778"/>
      <c r="J363" s="1778"/>
      <c r="K363" s="1831"/>
      <c r="L363" s="1831"/>
      <c r="M363" s="1831"/>
      <c r="N363" s="1831"/>
      <c r="O363" s="1831"/>
      <c r="P363" s="1831"/>
      <c r="Q363" s="1831"/>
      <c r="R363" s="1831"/>
      <c r="S363" s="1831"/>
    </row>
    <row r="364" spans="2:19" ht="15.75" customHeight="1" outlineLevel="1">
      <c r="B364" s="1749"/>
      <c r="C364" s="1880"/>
      <c r="D364" s="1838"/>
      <c r="E364" s="1859"/>
      <c r="F364" s="1859"/>
      <c r="G364" s="1860"/>
      <c r="H364" s="1860"/>
      <c r="I364" s="1778"/>
      <c r="J364" s="1778"/>
      <c r="K364" s="1881"/>
      <c r="L364" s="1881"/>
      <c r="M364" s="1881"/>
      <c r="N364" s="1881"/>
      <c r="O364" s="1881"/>
      <c r="P364" s="1881"/>
      <c r="Q364" s="1881"/>
      <c r="R364" s="1881"/>
      <c r="S364" s="1881"/>
    </row>
    <row r="365" spans="2:19" ht="15.75" customHeight="1" outlineLevel="1">
      <c r="B365" s="1749"/>
      <c r="C365" s="1778"/>
      <c r="D365" s="1838"/>
      <c r="E365" s="1779"/>
      <c r="F365" s="1779"/>
      <c r="G365" s="1748"/>
      <c r="H365" s="1831"/>
      <c r="I365" s="1831"/>
      <c r="J365" s="1831"/>
      <c r="K365" s="1831"/>
      <c r="L365" s="1831"/>
      <c r="M365" s="1831"/>
      <c r="N365" s="1831"/>
      <c r="O365" s="1831"/>
      <c r="P365" s="1831"/>
      <c r="Q365" s="1831"/>
      <c r="R365" s="1831"/>
      <c r="S365" s="1831"/>
    </row>
    <row r="366" spans="2:19" ht="15.75" customHeight="1" outlineLevel="1">
      <c r="B366" s="1749"/>
      <c r="C366" s="1778"/>
      <c r="D366" s="1778"/>
      <c r="E366" s="1778"/>
      <c r="F366" s="1778"/>
      <c r="G366" s="1748"/>
      <c r="H366" s="1831"/>
      <c r="I366" s="1831"/>
      <c r="J366" s="1831"/>
      <c r="K366" s="1831"/>
      <c r="L366" s="1831"/>
      <c r="M366" s="1831"/>
      <c r="N366" s="1831"/>
      <c r="O366" s="1831"/>
      <c r="P366" s="1831"/>
      <c r="Q366" s="1831"/>
      <c r="R366" s="1831"/>
      <c r="S366" s="1831"/>
    </row>
    <row r="367" spans="2:19" ht="15.75" customHeight="1" outlineLevel="1">
      <c r="B367" s="1749"/>
      <c r="C367" s="1882"/>
      <c r="D367" s="1778"/>
      <c r="E367" s="1879"/>
      <c r="F367" s="1831"/>
      <c r="G367" s="1748"/>
      <c r="H367" s="1831"/>
      <c r="I367" s="1831"/>
      <c r="J367" s="1831"/>
      <c r="K367" s="1831"/>
      <c r="L367" s="1831"/>
      <c r="M367" s="1831"/>
      <c r="N367" s="1831"/>
      <c r="O367" s="1831"/>
      <c r="P367" s="1831"/>
      <c r="Q367" s="1831"/>
      <c r="R367" s="1831"/>
      <c r="S367" s="1831"/>
    </row>
    <row r="368" spans="2:19" ht="15.75" customHeight="1" outlineLevel="1">
      <c r="B368" s="1749"/>
      <c r="C368" s="1882"/>
      <c r="D368" s="1778"/>
      <c r="E368" s="1879"/>
      <c r="F368" s="1831"/>
      <c r="G368" s="1748"/>
      <c r="H368" s="1831"/>
      <c r="I368" s="1831"/>
      <c r="J368" s="1831"/>
      <c r="K368" s="1831"/>
      <c r="L368" s="1831"/>
      <c r="M368" s="1831"/>
      <c r="N368" s="1831"/>
      <c r="O368" s="1831"/>
      <c r="P368" s="1831"/>
      <c r="Q368" s="1831"/>
      <c r="R368" s="1831"/>
      <c r="S368" s="1831"/>
    </row>
    <row r="369" spans="2:19" ht="15.75" customHeight="1" outlineLevel="1">
      <c r="B369" s="1749"/>
      <c r="C369" s="1778"/>
      <c r="D369" s="1778"/>
      <c r="E369" s="1879"/>
      <c r="F369" s="1831"/>
      <c r="G369" s="1748"/>
      <c r="H369" s="1831"/>
      <c r="I369" s="1831"/>
      <c r="J369" s="1831"/>
      <c r="K369" s="1831"/>
      <c r="L369" s="1831"/>
      <c r="M369" s="1831"/>
      <c r="N369" s="1831"/>
      <c r="O369" s="1831"/>
      <c r="P369" s="1831"/>
      <c r="Q369" s="1831"/>
      <c r="R369" s="1831"/>
      <c r="S369" s="1831"/>
    </row>
    <row r="370" spans="2:19" ht="15.75" customHeight="1" outlineLevel="1">
      <c r="B370" s="1749"/>
      <c r="C370" s="1778"/>
      <c r="D370" s="1778"/>
      <c r="E370" s="1879"/>
      <c r="F370" s="1831"/>
      <c r="G370" s="1748"/>
      <c r="H370" s="1831"/>
      <c r="I370" s="1831"/>
      <c r="J370" s="1831"/>
      <c r="K370" s="1831"/>
      <c r="L370" s="1831"/>
      <c r="M370" s="1831"/>
      <c r="N370" s="1831"/>
      <c r="O370" s="1831"/>
      <c r="P370" s="1831"/>
      <c r="Q370" s="1831"/>
      <c r="R370" s="1831"/>
      <c r="S370" s="1831"/>
    </row>
    <row r="371" spans="2:19" ht="15.75" customHeight="1" outlineLevel="1">
      <c r="B371" s="1749"/>
      <c r="C371" s="1778"/>
      <c r="D371" s="1778"/>
      <c r="E371" s="1879"/>
      <c r="F371" s="1831"/>
      <c r="G371" s="1748"/>
      <c r="H371" s="1831"/>
      <c r="I371" s="1831"/>
      <c r="J371" s="1831"/>
      <c r="K371" s="1831"/>
      <c r="L371" s="1831"/>
      <c r="M371" s="1831"/>
      <c r="N371" s="1831"/>
      <c r="O371" s="1831"/>
      <c r="P371" s="1831"/>
      <c r="Q371" s="1831"/>
      <c r="R371" s="1831"/>
      <c r="S371" s="1831"/>
    </row>
    <row r="372" spans="2:19" ht="15.75" customHeight="1" outlineLevel="1">
      <c r="B372" s="1749"/>
      <c r="C372" s="1778"/>
      <c r="D372" s="1778"/>
      <c r="E372" s="1879"/>
      <c r="F372" s="1831"/>
      <c r="G372" s="1748"/>
      <c r="H372" s="1831"/>
      <c r="I372" s="1831"/>
      <c r="J372" s="1831"/>
      <c r="K372" s="1831"/>
      <c r="L372" s="1831"/>
      <c r="M372" s="1831"/>
      <c r="N372" s="1831"/>
      <c r="O372" s="1831"/>
      <c r="P372" s="1831"/>
      <c r="Q372" s="1831"/>
      <c r="R372" s="1831"/>
      <c r="S372" s="1831"/>
    </row>
    <row r="373" spans="2:19" ht="15.75" customHeight="1" outlineLevel="1">
      <c r="B373" s="1749"/>
      <c r="C373" s="1778"/>
      <c r="D373" s="1778"/>
      <c r="E373" s="1879"/>
      <c r="F373" s="1831"/>
      <c r="G373" s="1748"/>
      <c r="H373" s="1831"/>
      <c r="I373" s="1831"/>
      <c r="J373" s="1831"/>
      <c r="K373" s="1831"/>
      <c r="L373" s="1831"/>
      <c r="M373" s="1831"/>
      <c r="N373" s="1831"/>
      <c r="O373" s="1831"/>
      <c r="P373" s="1831"/>
      <c r="Q373" s="1831"/>
      <c r="R373" s="1831"/>
      <c r="S373" s="1831"/>
    </row>
    <row r="374" spans="2:19" ht="15.75" customHeight="1" outlineLevel="1">
      <c r="B374" s="1749"/>
      <c r="C374" s="1778"/>
      <c r="D374" s="1778"/>
      <c r="E374" s="1778"/>
      <c r="F374" s="1778"/>
      <c r="G374" s="1748"/>
      <c r="H374" s="1831"/>
      <c r="I374" s="1831"/>
      <c r="J374" s="1831"/>
      <c r="K374" s="1831"/>
      <c r="L374" s="1831"/>
      <c r="M374" s="1831"/>
      <c r="N374" s="1831"/>
      <c r="O374" s="1831"/>
      <c r="P374" s="1831"/>
      <c r="Q374" s="1831"/>
      <c r="R374" s="1831"/>
      <c r="S374" s="1831"/>
    </row>
    <row r="375" spans="2:19" ht="15.75" customHeight="1" outlineLevel="1">
      <c r="B375" s="1749"/>
      <c r="C375" s="1778"/>
      <c r="D375" s="1778"/>
      <c r="E375" s="1879"/>
      <c r="F375" s="1831"/>
      <c r="G375" s="1748"/>
      <c r="H375" s="1831"/>
      <c r="I375" s="1831"/>
      <c r="J375" s="1831"/>
      <c r="K375" s="1831"/>
      <c r="L375" s="1831"/>
      <c r="M375" s="1831"/>
      <c r="N375" s="1831"/>
      <c r="O375" s="1831"/>
      <c r="P375" s="1831"/>
      <c r="Q375" s="1831"/>
      <c r="R375" s="1831"/>
      <c r="S375" s="1831"/>
    </row>
    <row r="376" spans="2:19" ht="15.75" customHeight="1" outlineLevel="1">
      <c r="B376" s="1749"/>
      <c r="C376" s="1778"/>
      <c r="D376" s="1778"/>
      <c r="E376" s="1879"/>
      <c r="F376" s="1831"/>
      <c r="G376" s="1748"/>
      <c r="H376" s="1831"/>
      <c r="I376" s="1831"/>
      <c r="J376" s="1831"/>
      <c r="K376" s="1831"/>
      <c r="L376" s="1831"/>
      <c r="M376" s="1831"/>
      <c r="N376" s="1831"/>
      <c r="O376" s="1831"/>
      <c r="P376" s="1831"/>
      <c r="Q376" s="1831"/>
      <c r="R376" s="1831"/>
      <c r="S376" s="1831"/>
    </row>
    <row r="377" spans="2:19" ht="15.75" customHeight="1" outlineLevel="1">
      <c r="B377" s="1749"/>
      <c r="C377" s="1778"/>
      <c r="D377" s="1778"/>
      <c r="E377" s="1879"/>
      <c r="F377" s="1831"/>
      <c r="G377" s="1748"/>
      <c r="H377" s="1831"/>
      <c r="I377" s="1831"/>
      <c r="J377" s="1831"/>
      <c r="K377" s="1831"/>
      <c r="L377" s="1831"/>
      <c r="M377" s="1831"/>
      <c r="N377" s="1831"/>
      <c r="O377" s="1831"/>
      <c r="P377" s="1831"/>
      <c r="Q377" s="1831"/>
      <c r="R377" s="1831"/>
      <c r="S377" s="1831"/>
    </row>
    <row r="378" spans="2:19" ht="15.75" customHeight="1" outlineLevel="1">
      <c r="B378" s="1749"/>
      <c r="C378" s="1778"/>
      <c r="D378" s="1778"/>
      <c r="E378" s="1879"/>
      <c r="F378" s="1831"/>
      <c r="G378" s="1748"/>
      <c r="H378" s="1831"/>
      <c r="I378" s="1831"/>
      <c r="J378" s="1831"/>
      <c r="K378" s="1831"/>
      <c r="L378" s="1831"/>
      <c r="M378" s="1831"/>
      <c r="N378" s="1831"/>
      <c r="O378" s="1831"/>
      <c r="P378" s="1831"/>
      <c r="Q378" s="1831"/>
      <c r="R378" s="1831"/>
      <c r="S378" s="1831"/>
    </row>
    <row r="379" spans="2:19" ht="15.75" customHeight="1" outlineLevel="1">
      <c r="B379" s="1749"/>
      <c r="C379" s="1778"/>
      <c r="D379" s="1778"/>
      <c r="E379" s="1879"/>
      <c r="F379" s="1831"/>
      <c r="G379" s="1748"/>
      <c r="H379" s="1831"/>
      <c r="I379" s="1831"/>
      <c r="J379" s="1831"/>
      <c r="K379" s="1831"/>
      <c r="L379" s="1831"/>
      <c r="M379" s="1831"/>
      <c r="N379" s="1831"/>
      <c r="O379" s="1831"/>
      <c r="P379" s="1831"/>
      <c r="Q379" s="1831"/>
      <c r="R379" s="1831"/>
      <c r="S379" s="1831"/>
    </row>
    <row r="380" spans="2:19" ht="15.75" customHeight="1" outlineLevel="1">
      <c r="B380" s="1749"/>
      <c r="C380" s="1883"/>
      <c r="D380" s="1778"/>
      <c r="E380" s="1778"/>
      <c r="F380" s="1778"/>
      <c r="G380" s="1748"/>
      <c r="H380" s="1831"/>
      <c r="I380" s="1831"/>
      <c r="J380" s="1831"/>
      <c r="K380" s="1831"/>
      <c r="L380" s="1831"/>
      <c r="M380" s="1831"/>
      <c r="N380" s="1831"/>
      <c r="O380" s="1831"/>
      <c r="P380" s="1831"/>
      <c r="Q380" s="1831"/>
      <c r="R380" s="1831"/>
      <c r="S380" s="1831"/>
    </row>
    <row r="381" spans="2:19" ht="15.75" customHeight="1" outlineLevel="1">
      <c r="B381" s="1749"/>
      <c r="C381" s="1880"/>
      <c r="D381" s="1778"/>
      <c r="E381" s="1778"/>
      <c r="F381" s="1778"/>
      <c r="G381" s="1748"/>
      <c r="H381" s="1831"/>
      <c r="I381" s="1831"/>
      <c r="J381" s="1831"/>
      <c r="K381" s="1831"/>
      <c r="L381" s="1831"/>
      <c r="M381" s="1831"/>
      <c r="N381" s="1831"/>
      <c r="O381" s="1831"/>
      <c r="P381" s="1831"/>
      <c r="Q381" s="1831"/>
      <c r="R381" s="1831"/>
      <c r="S381" s="1831"/>
    </row>
    <row r="382" spans="2:19" ht="15.75" customHeight="1" outlineLevel="1">
      <c r="B382" s="1749"/>
      <c r="C382" s="1778"/>
      <c r="D382" s="1778"/>
      <c r="E382" s="1778"/>
      <c r="F382" s="1778"/>
      <c r="G382" s="1748"/>
      <c r="H382" s="1831"/>
      <c r="I382" s="1831"/>
      <c r="J382" s="1831"/>
      <c r="K382" s="1831"/>
      <c r="L382" s="1831"/>
      <c r="M382" s="1831"/>
      <c r="N382" s="1831"/>
      <c r="O382" s="1831"/>
      <c r="P382" s="1831"/>
      <c r="Q382" s="1831"/>
      <c r="R382" s="1831"/>
      <c r="S382" s="1831"/>
    </row>
    <row r="383" spans="2:19" ht="15.75" customHeight="1" outlineLevel="1">
      <c r="B383" s="1749"/>
      <c r="C383" s="1882"/>
      <c r="D383" s="1778"/>
      <c r="E383" s="1879"/>
      <c r="F383" s="1831"/>
      <c r="G383" s="1748"/>
      <c r="H383" s="1831"/>
      <c r="I383" s="1831"/>
      <c r="J383" s="1831"/>
      <c r="K383" s="1831"/>
      <c r="L383" s="1831"/>
      <c r="M383" s="1831"/>
      <c r="N383" s="1831"/>
      <c r="O383" s="1831"/>
      <c r="P383" s="1831"/>
      <c r="Q383" s="1831"/>
      <c r="R383" s="1831"/>
      <c r="S383" s="1831"/>
    </row>
    <row r="384" spans="2:19" ht="15.75" customHeight="1" outlineLevel="1">
      <c r="B384" s="1749"/>
      <c r="C384" s="1882"/>
      <c r="D384" s="1778"/>
      <c r="E384" s="1879"/>
      <c r="F384" s="1831"/>
      <c r="G384" s="1748"/>
      <c r="H384" s="1831"/>
      <c r="I384" s="1831"/>
      <c r="J384" s="1831"/>
      <c r="K384" s="1831"/>
      <c r="L384" s="1831"/>
      <c r="M384" s="1831"/>
      <c r="N384" s="1831"/>
      <c r="O384" s="1831"/>
      <c r="P384" s="1831"/>
      <c r="Q384" s="1831"/>
      <c r="R384" s="1831"/>
      <c r="S384" s="1831"/>
    </row>
    <row r="385" spans="1:19" ht="15.75" customHeight="1" outlineLevel="1">
      <c r="B385" s="1749"/>
      <c r="C385" s="1778"/>
      <c r="D385" s="1778"/>
      <c r="E385" s="1879"/>
      <c r="F385" s="1831"/>
      <c r="G385" s="1748"/>
      <c r="H385" s="1831"/>
      <c r="I385" s="1831"/>
      <c r="J385" s="1831"/>
      <c r="K385" s="1831"/>
      <c r="L385" s="1831"/>
      <c r="M385" s="1831"/>
      <c r="N385" s="1831"/>
      <c r="O385" s="1831"/>
      <c r="P385" s="1831"/>
      <c r="Q385" s="1831"/>
      <c r="R385" s="1831"/>
      <c r="S385" s="1831"/>
    </row>
    <row r="386" spans="1:19" ht="15.75" customHeight="1" outlineLevel="1">
      <c r="B386" s="1749"/>
      <c r="C386" s="1778"/>
      <c r="D386" s="1778"/>
      <c r="E386" s="1879"/>
      <c r="F386" s="1831"/>
      <c r="G386" s="1748"/>
      <c r="H386" s="1831"/>
      <c r="I386" s="1831"/>
      <c r="J386" s="1831"/>
      <c r="K386" s="1831"/>
      <c r="L386" s="1831"/>
      <c r="M386" s="1831"/>
      <c r="N386" s="1831"/>
      <c r="O386" s="1831"/>
      <c r="P386" s="1831"/>
      <c r="Q386" s="1831"/>
      <c r="R386" s="1831"/>
      <c r="S386" s="1831"/>
    </row>
    <row r="387" spans="1:19" ht="15.75" customHeight="1" outlineLevel="1">
      <c r="B387" s="1749"/>
      <c r="C387" s="1778"/>
      <c r="D387" s="1778"/>
      <c r="E387" s="1778"/>
      <c r="F387" s="1778"/>
      <c r="G387" s="1748"/>
      <c r="H387" s="1831"/>
      <c r="I387" s="1831"/>
      <c r="J387" s="1831"/>
      <c r="K387" s="1831"/>
      <c r="L387" s="1831"/>
      <c r="M387" s="1831"/>
      <c r="N387" s="1831"/>
      <c r="O387" s="1831"/>
      <c r="P387" s="1831"/>
      <c r="Q387" s="1831"/>
      <c r="R387" s="1831"/>
      <c r="S387" s="1831"/>
    </row>
    <row r="388" spans="1:19" ht="15.75" customHeight="1" outlineLevel="1">
      <c r="B388" s="1749"/>
      <c r="C388" s="1778"/>
      <c r="D388" s="1778"/>
      <c r="E388" s="1778"/>
      <c r="F388" s="1778"/>
      <c r="G388" s="1748"/>
      <c r="H388" s="1831"/>
      <c r="I388" s="1831"/>
      <c r="J388" s="1831"/>
      <c r="K388" s="1831"/>
      <c r="L388" s="1831"/>
      <c r="M388" s="1831"/>
      <c r="N388" s="1831"/>
      <c r="O388" s="1831"/>
      <c r="P388" s="1831"/>
      <c r="Q388" s="1831"/>
      <c r="R388" s="1831"/>
      <c r="S388" s="1831"/>
    </row>
    <row r="389" spans="1:19" ht="15.75" customHeight="1" outlineLevel="1">
      <c r="B389" s="1749"/>
      <c r="C389" s="1778"/>
      <c r="D389" s="1778"/>
      <c r="E389" s="1879"/>
      <c r="F389" s="1831"/>
      <c r="G389" s="1748"/>
      <c r="H389" s="1831"/>
      <c r="I389" s="1831"/>
      <c r="J389" s="1831"/>
      <c r="K389" s="1831"/>
      <c r="L389" s="1831"/>
      <c r="M389" s="1831"/>
      <c r="N389" s="1831"/>
      <c r="O389" s="1831"/>
      <c r="P389" s="1831"/>
      <c r="Q389" s="1831"/>
      <c r="R389" s="1831"/>
      <c r="S389" s="1831"/>
    </row>
    <row r="390" spans="1:19" ht="15.75" customHeight="1" outlineLevel="1">
      <c r="B390" s="1749"/>
      <c r="C390" s="1778"/>
      <c r="D390" s="1778"/>
      <c r="E390" s="1879"/>
      <c r="F390" s="1831"/>
      <c r="G390" s="1748"/>
      <c r="H390" s="1831"/>
      <c r="I390" s="1831"/>
      <c r="J390" s="1831"/>
      <c r="K390" s="1831"/>
      <c r="L390" s="1831"/>
      <c r="M390" s="1831"/>
      <c r="N390" s="1831"/>
      <c r="O390" s="1831"/>
      <c r="P390" s="1831"/>
      <c r="Q390" s="1831"/>
      <c r="R390" s="1831"/>
      <c r="S390" s="1831"/>
    </row>
    <row r="391" spans="1:19" ht="15.75" customHeight="1" outlineLevel="1">
      <c r="B391" s="1749"/>
      <c r="C391" s="1778"/>
      <c r="D391" s="1778"/>
      <c r="E391" s="1778"/>
      <c r="F391" s="1778"/>
      <c r="G391" s="1748"/>
      <c r="H391" s="1831"/>
      <c r="I391" s="1831"/>
      <c r="J391" s="1831"/>
      <c r="K391" s="1831"/>
      <c r="L391" s="1831"/>
      <c r="M391" s="1831"/>
      <c r="N391" s="1831"/>
      <c r="O391" s="1831"/>
      <c r="P391" s="1831"/>
      <c r="Q391" s="1831"/>
      <c r="R391" s="1831"/>
      <c r="S391" s="1831"/>
    </row>
    <row r="392" spans="1:19" ht="15.75" customHeight="1" outlineLevel="1">
      <c r="B392" s="1749"/>
      <c r="C392" s="1778"/>
      <c r="D392" s="1778"/>
      <c r="E392" s="1778"/>
      <c r="F392" s="1778"/>
      <c r="G392" s="1748"/>
      <c r="H392" s="1831"/>
      <c r="I392" s="1831"/>
      <c r="J392" s="1831"/>
      <c r="K392" s="1831"/>
      <c r="L392" s="1831"/>
      <c r="M392" s="1831"/>
      <c r="N392" s="1831"/>
      <c r="O392" s="1831"/>
      <c r="P392" s="1831"/>
      <c r="Q392" s="1831"/>
      <c r="R392" s="1831"/>
      <c r="S392" s="1831"/>
    </row>
    <row r="393" spans="1:19" ht="15.75" customHeight="1" outlineLevel="1">
      <c r="B393" s="1749"/>
      <c r="C393" s="1883"/>
      <c r="D393" s="1778"/>
      <c r="E393" s="1879"/>
      <c r="F393" s="1831"/>
      <c r="G393" s="1748"/>
      <c r="H393" s="1831"/>
      <c r="I393" s="1831"/>
      <c r="J393" s="1831"/>
      <c r="K393" s="1831"/>
      <c r="L393" s="1831"/>
      <c r="M393" s="1831"/>
      <c r="N393" s="1831"/>
      <c r="O393" s="1831"/>
      <c r="P393" s="1831"/>
      <c r="Q393" s="1831"/>
      <c r="R393" s="1831"/>
      <c r="S393" s="1831"/>
    </row>
    <row r="394" spans="1:19" ht="15.75" customHeight="1" outlineLevel="1">
      <c r="B394" s="1749"/>
      <c r="C394" s="1778"/>
      <c r="D394" s="1778"/>
      <c r="E394" s="1778"/>
      <c r="F394" s="1778"/>
      <c r="G394" s="1748"/>
      <c r="H394" s="1831"/>
      <c r="I394" s="1831"/>
      <c r="J394" s="1831"/>
      <c r="K394" s="1831"/>
      <c r="L394" s="1831"/>
      <c r="M394" s="1831"/>
      <c r="N394" s="1831"/>
      <c r="O394" s="1831"/>
      <c r="P394" s="1831"/>
      <c r="Q394" s="1831"/>
      <c r="R394" s="1831"/>
      <c r="S394" s="1831"/>
    </row>
    <row r="395" spans="1:19" ht="15.75" customHeight="1" outlineLevel="1">
      <c r="B395" s="1749"/>
      <c r="C395" s="1778"/>
      <c r="D395" s="1778"/>
      <c r="E395" s="1879"/>
      <c r="F395" s="1831"/>
      <c r="G395" s="1868"/>
      <c r="H395" s="1831"/>
      <c r="I395" s="1831"/>
      <c r="J395" s="1831"/>
      <c r="K395" s="1831"/>
      <c r="L395" s="1831"/>
      <c r="M395" s="1831"/>
      <c r="N395" s="1831"/>
      <c r="O395" s="1831"/>
      <c r="P395" s="1831"/>
      <c r="Q395" s="1831"/>
      <c r="R395" s="1831"/>
      <c r="S395" s="1831"/>
    </row>
    <row r="396" spans="1:19" ht="15.75" customHeight="1" outlineLevel="1">
      <c r="B396" s="1749"/>
      <c r="C396" s="1774"/>
      <c r="D396" s="1774"/>
      <c r="E396" s="1884"/>
      <c r="F396" s="1885"/>
      <c r="G396" s="1852"/>
      <c r="H396" s="1885"/>
      <c r="I396" s="1885"/>
      <c r="J396" s="1885"/>
      <c r="K396" s="1885"/>
      <c r="L396" s="1885"/>
      <c r="M396" s="1885"/>
      <c r="N396" s="1885"/>
      <c r="O396" s="1885"/>
      <c r="P396" s="1885"/>
      <c r="Q396" s="1885"/>
      <c r="R396" s="1885"/>
      <c r="S396" s="1885"/>
    </row>
    <row r="397" spans="1:19" ht="15.75" customHeight="1" outlineLevel="1">
      <c r="B397" s="1749"/>
      <c r="C397" s="1886"/>
      <c r="D397" s="1778"/>
      <c r="E397" s="1879"/>
      <c r="F397" s="1831"/>
      <c r="G397" s="1868"/>
      <c r="H397" s="1868"/>
      <c r="I397" s="1778"/>
      <c r="J397" s="1778"/>
      <c r="K397" s="1778"/>
      <c r="L397" s="1778"/>
      <c r="M397" s="1778"/>
      <c r="N397" s="1778"/>
      <c r="O397" s="1778"/>
      <c r="P397" s="1778"/>
      <c r="Q397" s="1778"/>
      <c r="R397" s="1778"/>
      <c r="S397" s="1778"/>
    </row>
    <row r="398" spans="1:19" s="1892" customFormat="1" ht="15.75" customHeight="1" outlineLevel="1">
      <c r="A398" s="1887"/>
      <c r="B398" s="1888"/>
      <c r="C398" s="1889"/>
      <c r="D398" s="1890"/>
      <c r="E398" s="1890"/>
      <c r="F398" s="1890"/>
      <c r="G398" s="1890"/>
      <c r="H398" s="1891"/>
      <c r="I398" s="1891"/>
      <c r="J398" s="1891"/>
      <c r="K398" s="1891"/>
      <c r="L398" s="1891"/>
      <c r="M398" s="1891"/>
      <c r="N398" s="1891"/>
      <c r="O398" s="1891"/>
      <c r="P398" s="1891"/>
      <c r="Q398" s="1891"/>
      <c r="R398" s="1891"/>
      <c r="S398" s="1891"/>
    </row>
    <row r="399" spans="1:19" ht="15.75" customHeight="1" outlineLevel="1">
      <c r="B399" s="1749"/>
      <c r="C399" s="1873"/>
      <c r="D399" s="1873"/>
      <c r="E399" s="1873"/>
      <c r="F399" s="1873"/>
      <c r="H399" s="1891"/>
      <c r="I399" s="1872"/>
      <c r="J399" s="1873"/>
      <c r="K399" s="1873"/>
      <c r="L399" s="1893"/>
      <c r="M399" s="1894"/>
      <c r="N399" s="1893"/>
      <c r="O399" s="1893"/>
      <c r="P399" s="1893"/>
      <c r="Q399" s="1893"/>
      <c r="R399" s="1893"/>
      <c r="S399" s="1893"/>
    </row>
    <row r="400" spans="1:19" ht="15.75" customHeight="1" outlineLevel="1">
      <c r="B400" s="1749"/>
      <c r="C400" s="354"/>
      <c r="D400" s="1865"/>
      <c r="E400" s="1865"/>
      <c r="F400" s="1865"/>
      <c r="G400" s="1748"/>
      <c r="H400" s="1748"/>
      <c r="I400" s="1895"/>
      <c r="J400" s="1895"/>
      <c r="K400" s="1895"/>
      <c r="L400" s="1895"/>
      <c r="M400" s="1896"/>
      <c r="N400" s="1895"/>
      <c r="O400" s="1895"/>
      <c r="P400" s="1895"/>
      <c r="Q400" s="1895"/>
      <c r="R400" s="1895"/>
      <c r="S400" s="1895"/>
    </row>
    <row r="401" spans="2:19" ht="15.75" customHeight="1" outlineLevel="1">
      <c r="B401" s="1749"/>
      <c r="C401" s="354"/>
      <c r="D401" s="1778"/>
      <c r="E401" s="1778"/>
      <c r="F401" s="1778"/>
      <c r="G401" s="1748"/>
      <c r="H401" s="1748"/>
      <c r="I401" s="1895"/>
      <c r="J401" s="1895"/>
      <c r="K401" s="1895"/>
      <c r="L401" s="1895"/>
      <c r="M401" s="1896"/>
      <c r="N401" s="1895"/>
      <c r="O401" s="1895"/>
      <c r="P401" s="1895"/>
      <c r="Q401" s="1895"/>
      <c r="R401" s="1895"/>
      <c r="S401" s="1895"/>
    </row>
    <row r="402" spans="2:19" ht="15.75" customHeight="1" outlineLevel="1">
      <c r="B402" s="1749"/>
      <c r="C402" s="354"/>
      <c r="G402" s="354"/>
      <c r="H402" s="354"/>
      <c r="I402" s="354"/>
      <c r="L402" s="354"/>
      <c r="M402" s="1838"/>
      <c r="N402" s="1749"/>
      <c r="O402" s="1749"/>
      <c r="P402" s="1749"/>
      <c r="Q402" s="1749"/>
      <c r="R402" s="1749"/>
      <c r="S402" s="1749"/>
    </row>
    <row r="403" spans="2:19" ht="15.75" customHeight="1" outlineLevel="1">
      <c r="B403" s="1865"/>
      <c r="C403" s="1872"/>
      <c r="D403" s="1872"/>
      <c r="E403" s="1872"/>
      <c r="F403" s="1872"/>
      <c r="G403" s="1748"/>
      <c r="H403" s="1748"/>
      <c r="I403" s="1872"/>
      <c r="J403" s="1872"/>
      <c r="K403" s="1894"/>
      <c r="L403" s="1788"/>
      <c r="M403" s="1787"/>
      <c r="N403" s="1788"/>
      <c r="O403" s="1788"/>
      <c r="P403" s="1788"/>
      <c r="Q403" s="1788"/>
      <c r="R403" s="1788"/>
      <c r="S403" s="1788"/>
    </row>
    <row r="404" spans="2:19" ht="15.75" customHeight="1">
      <c r="B404" s="1749"/>
      <c r="C404" s="354"/>
      <c r="I404" s="1872"/>
      <c r="J404" s="1873"/>
      <c r="K404" s="1874"/>
      <c r="L404" s="1875"/>
      <c r="M404" s="1838"/>
      <c r="N404" s="1897"/>
      <c r="O404" s="1897"/>
      <c r="P404" s="1897"/>
      <c r="Q404" s="1897"/>
      <c r="R404" s="1897"/>
      <c r="S404" s="1897"/>
    </row>
    <row r="405" spans="2:19" ht="15.75" customHeight="1">
      <c r="B405" s="1865"/>
      <c r="C405" s="1872"/>
      <c r="D405" s="1872"/>
      <c r="E405" s="1872"/>
      <c r="F405" s="1872"/>
      <c r="G405" s="1748"/>
      <c r="H405" s="1748"/>
      <c r="I405" s="1872"/>
      <c r="J405" s="1872"/>
      <c r="K405" s="1894"/>
      <c r="L405" s="1894"/>
      <c r="M405" s="1838"/>
      <c r="N405" s="1749"/>
      <c r="O405" s="1749"/>
      <c r="P405" s="1749"/>
      <c r="Q405" s="1749"/>
      <c r="R405" s="1749"/>
      <c r="S405" s="1749"/>
    </row>
    <row r="406" spans="2:19" ht="27">
      <c r="B406" s="1865"/>
      <c r="C406" s="1871"/>
      <c r="I406" s="1872"/>
      <c r="J406" s="1873"/>
      <c r="K406" s="1874"/>
      <c r="L406" s="1875"/>
      <c r="M406" s="1876"/>
      <c r="N406" s="1875"/>
      <c r="O406" s="1875"/>
      <c r="P406" s="1875"/>
      <c r="Q406" s="1875"/>
      <c r="R406" s="1875"/>
      <c r="S406" s="1875"/>
    </row>
    <row r="407" spans="2:19" ht="3" customHeight="1">
      <c r="B407" s="1865"/>
      <c r="C407" s="1877"/>
      <c r="D407" s="1877"/>
      <c r="E407" s="1877"/>
      <c r="F407" s="1877"/>
      <c r="G407" s="1758"/>
      <c r="H407" s="1758"/>
      <c r="I407" s="1877"/>
      <c r="J407" s="1877"/>
      <c r="K407" s="1877"/>
      <c r="L407" s="1877"/>
      <c r="M407" s="1877"/>
      <c r="N407" s="1877"/>
      <c r="O407" s="1877"/>
      <c r="P407" s="1877"/>
      <c r="Q407" s="1877"/>
      <c r="R407" s="1877"/>
      <c r="S407" s="1877"/>
    </row>
    <row r="408" spans="2:19" ht="9.75" customHeight="1">
      <c r="B408" s="1865"/>
      <c r="C408" s="354"/>
      <c r="I408" s="1872"/>
      <c r="J408" s="1873"/>
      <c r="K408" s="1874"/>
      <c r="L408" s="1875"/>
      <c r="M408" s="1876"/>
      <c r="N408" s="1875"/>
      <c r="O408" s="1875"/>
      <c r="P408" s="1875"/>
      <c r="Q408" s="1875"/>
      <c r="R408" s="1875"/>
      <c r="S408" s="1875"/>
    </row>
    <row r="409" spans="2:19" ht="12" customHeight="1">
      <c r="B409" s="1749"/>
      <c r="C409" s="1794"/>
      <c r="I409" s="1872"/>
      <c r="J409" s="1872"/>
      <c r="K409" s="1876"/>
      <c r="L409" s="1878"/>
      <c r="M409" s="1876"/>
      <c r="N409" s="1878"/>
      <c r="O409" s="1878"/>
      <c r="P409" s="1878"/>
      <c r="Q409" s="1878"/>
      <c r="R409" s="1878"/>
      <c r="S409" s="1878"/>
    </row>
    <row r="410" spans="2:19">
      <c r="B410" s="1749"/>
      <c r="C410" s="1843"/>
      <c r="D410" s="1767"/>
      <c r="E410" s="1767"/>
      <c r="F410" s="1767"/>
      <c r="G410" s="1834"/>
      <c r="H410" s="1768"/>
      <c r="I410" s="1768"/>
      <c r="J410" s="1768"/>
      <c r="K410" s="1768"/>
      <c r="L410" s="1769"/>
      <c r="M410" s="1769"/>
      <c r="N410" s="1769"/>
      <c r="O410" s="1769"/>
      <c r="P410" s="1769"/>
      <c r="Q410" s="1769"/>
      <c r="R410" s="1769"/>
      <c r="S410" s="1769"/>
    </row>
    <row r="411" spans="2:19">
      <c r="B411" s="1749"/>
      <c r="C411" s="1844"/>
      <c r="D411" s="1771"/>
      <c r="E411" s="1771"/>
      <c r="F411" s="1771"/>
      <c r="G411" s="1815"/>
      <c r="H411" s="1772"/>
      <c r="I411" s="1772"/>
      <c r="J411" s="1772"/>
      <c r="K411" s="1772"/>
      <c r="L411" s="1772"/>
      <c r="M411" s="1772"/>
      <c r="N411" s="1772"/>
      <c r="O411" s="1772"/>
      <c r="P411" s="1772"/>
      <c r="Q411" s="1772"/>
      <c r="R411" s="1772"/>
      <c r="S411" s="1772"/>
    </row>
    <row r="412" spans="2:19">
      <c r="B412" s="1749"/>
      <c r="C412" s="1856"/>
      <c r="D412" s="1774"/>
      <c r="E412" s="1775"/>
      <c r="F412" s="1775"/>
      <c r="G412" s="1816"/>
      <c r="H412" s="1817"/>
      <c r="I412" s="1817"/>
      <c r="J412" s="1817"/>
      <c r="K412" s="1817"/>
      <c r="L412" s="1817"/>
      <c r="M412" s="1817"/>
      <c r="N412" s="1817"/>
      <c r="O412" s="1817"/>
      <c r="P412" s="1817"/>
      <c r="Q412" s="1817"/>
      <c r="R412" s="1817"/>
      <c r="S412" s="1817"/>
    </row>
    <row r="413" spans="2:19" ht="6" customHeight="1">
      <c r="B413" s="1865"/>
      <c r="C413" s="1778"/>
      <c r="D413" s="1778"/>
      <c r="E413" s="1778"/>
      <c r="F413" s="1778"/>
      <c r="G413" s="1748"/>
      <c r="H413" s="1748"/>
      <c r="I413" s="1778"/>
      <c r="J413" s="1778"/>
      <c r="K413" s="1869"/>
      <c r="L413" s="1869"/>
      <c r="M413" s="1869"/>
      <c r="N413" s="1869"/>
      <c r="O413" s="1869"/>
      <c r="P413" s="1869"/>
      <c r="Q413" s="1869"/>
      <c r="R413" s="1869"/>
      <c r="S413" s="1869"/>
    </row>
    <row r="414" spans="2:19" ht="15.75" customHeight="1">
      <c r="B414" s="1749"/>
      <c r="C414" s="1777"/>
      <c r="D414" s="1778"/>
      <c r="E414" s="1778"/>
      <c r="F414" s="1778"/>
      <c r="G414" s="1748"/>
      <c r="H414" s="1748"/>
      <c r="I414" s="1778"/>
      <c r="J414" s="1778"/>
      <c r="K414" s="1778"/>
      <c r="L414" s="1778"/>
      <c r="M414" s="1838"/>
      <c r="N414" s="1749"/>
      <c r="O414" s="1749"/>
      <c r="P414" s="1749"/>
      <c r="Q414" s="1749"/>
      <c r="R414" s="1749"/>
      <c r="S414" s="1749"/>
    </row>
    <row r="415" spans="2:19" ht="15.75" customHeight="1">
      <c r="B415" s="1749"/>
      <c r="C415" s="1882"/>
      <c r="D415" s="1778"/>
      <c r="E415" s="1879"/>
      <c r="F415" s="1831"/>
      <c r="G415" s="1748"/>
      <c r="H415" s="1840"/>
      <c r="I415" s="1840"/>
      <c r="J415" s="1840"/>
      <c r="K415" s="1840"/>
      <c r="L415" s="1840"/>
      <c r="M415" s="1840"/>
      <c r="N415" s="1840"/>
      <c r="O415" s="1840"/>
      <c r="P415" s="1840"/>
      <c r="Q415" s="1840"/>
      <c r="R415" s="1840"/>
      <c r="S415" s="1840"/>
    </row>
    <row r="416" spans="2:19" ht="15.75" customHeight="1">
      <c r="B416" s="1749"/>
      <c r="C416" s="1882"/>
      <c r="D416" s="1778"/>
      <c r="E416" s="1879"/>
      <c r="F416" s="1831"/>
      <c r="G416" s="1748"/>
      <c r="H416" s="1748"/>
      <c r="I416" s="1840"/>
      <c r="J416" s="1840"/>
      <c r="K416" s="1840"/>
      <c r="L416" s="1840"/>
      <c r="M416" s="1840"/>
      <c r="N416" s="1840"/>
      <c r="O416" s="1840"/>
      <c r="P416" s="1840"/>
      <c r="Q416" s="1840"/>
      <c r="R416" s="1840"/>
      <c r="S416" s="1840"/>
    </row>
    <row r="417" spans="1:19" ht="15.75" customHeight="1">
      <c r="B417" s="1749"/>
      <c r="C417" s="1882"/>
      <c r="D417" s="1778"/>
      <c r="E417" s="1879"/>
      <c r="F417" s="1831"/>
      <c r="G417" s="1748"/>
      <c r="H417" s="1748"/>
      <c r="I417" s="1840"/>
      <c r="J417" s="1840"/>
      <c r="K417" s="1840"/>
      <c r="L417" s="1840"/>
      <c r="M417" s="1840"/>
      <c r="N417" s="1840"/>
      <c r="O417" s="1840"/>
      <c r="P417" s="1840"/>
      <c r="Q417" s="1840"/>
      <c r="R417" s="1840"/>
      <c r="S417" s="1840"/>
    </row>
    <row r="418" spans="1:19" ht="15.75" customHeight="1">
      <c r="B418" s="1749"/>
      <c r="C418" s="1882"/>
      <c r="D418" s="1778"/>
      <c r="E418" s="1778"/>
      <c r="F418" s="1778"/>
      <c r="G418" s="1748"/>
      <c r="H418" s="1748"/>
      <c r="I418" s="1840"/>
      <c r="J418" s="1840"/>
      <c r="K418" s="1840"/>
      <c r="L418" s="1840"/>
      <c r="M418" s="1840"/>
      <c r="N418" s="1840"/>
      <c r="O418" s="1840"/>
      <c r="P418" s="1840"/>
      <c r="Q418" s="1840"/>
      <c r="R418" s="1840"/>
      <c r="S418" s="1840"/>
    </row>
    <row r="419" spans="1:19" ht="15.75" customHeight="1">
      <c r="B419" s="1749"/>
      <c r="C419" s="1849"/>
      <c r="D419" s="1778"/>
      <c r="E419" s="1879"/>
      <c r="F419" s="1831"/>
      <c r="G419" s="1748"/>
      <c r="H419" s="1748"/>
      <c r="I419" s="1831"/>
      <c r="J419" s="1831"/>
      <c r="K419" s="1831"/>
      <c r="L419" s="1831"/>
      <c r="M419" s="1831"/>
      <c r="N419" s="1831"/>
      <c r="O419" s="1831"/>
      <c r="P419" s="1831"/>
      <c r="Q419" s="1831"/>
      <c r="R419" s="1831"/>
      <c r="S419" s="1831"/>
    </row>
    <row r="420" spans="1:19" ht="15.75" customHeight="1">
      <c r="B420" s="1749"/>
      <c r="C420" s="1882"/>
      <c r="D420" s="1778"/>
      <c r="E420" s="1778"/>
      <c r="F420" s="1778"/>
      <c r="G420" s="1748"/>
      <c r="H420" s="1748"/>
      <c r="I420" s="1840"/>
      <c r="J420" s="1840"/>
      <c r="K420" s="1840"/>
      <c r="L420" s="1840"/>
      <c r="M420" s="1840"/>
      <c r="N420" s="1840"/>
      <c r="O420" s="1840"/>
      <c r="P420" s="1840"/>
      <c r="Q420" s="1840"/>
      <c r="R420" s="1840"/>
      <c r="S420" s="1840"/>
    </row>
    <row r="421" spans="1:19" ht="15.75" customHeight="1">
      <c r="B421" s="1749"/>
      <c r="C421" s="1882"/>
      <c r="D421" s="1778"/>
      <c r="E421" s="1778"/>
      <c r="F421" s="1778"/>
      <c r="G421" s="1748"/>
      <c r="H421" s="1748"/>
      <c r="I421" s="1840"/>
      <c r="J421" s="1840"/>
      <c r="K421" s="1840"/>
      <c r="L421" s="1840"/>
      <c r="M421" s="1840"/>
      <c r="N421" s="1840"/>
      <c r="O421" s="1840"/>
      <c r="P421" s="1840"/>
      <c r="Q421" s="1840"/>
      <c r="R421" s="1840"/>
      <c r="S421" s="1840"/>
    </row>
    <row r="422" spans="1:19" ht="15.75" customHeight="1">
      <c r="B422" s="1749"/>
      <c r="C422" s="1882"/>
      <c r="D422" s="1837"/>
      <c r="E422" s="1898"/>
      <c r="F422" s="1899"/>
      <c r="G422" s="1748"/>
      <c r="H422" s="1748"/>
      <c r="I422" s="1840"/>
      <c r="J422" s="1840"/>
      <c r="K422" s="1840"/>
      <c r="L422" s="1840"/>
      <c r="M422" s="1840"/>
      <c r="N422" s="1840"/>
      <c r="O422" s="1840"/>
      <c r="P422" s="1840"/>
      <c r="Q422" s="1840"/>
      <c r="R422" s="1840"/>
      <c r="S422" s="1840"/>
    </row>
    <row r="423" spans="1:19" s="1784" customFormat="1" ht="15.75" customHeight="1">
      <c r="A423" s="354"/>
      <c r="B423" s="1900"/>
      <c r="C423" s="1777"/>
      <c r="D423" s="1837"/>
      <c r="E423" s="1837"/>
      <c r="F423" s="1837"/>
      <c r="G423" s="1780"/>
      <c r="H423" s="1780"/>
      <c r="I423" s="1901"/>
      <c r="J423" s="1901"/>
      <c r="K423" s="1901"/>
      <c r="L423" s="1901"/>
      <c r="M423" s="1901"/>
      <c r="N423" s="1901"/>
      <c r="O423" s="1901"/>
      <c r="P423" s="1901"/>
      <c r="Q423" s="1901"/>
      <c r="R423" s="1901"/>
      <c r="S423" s="1901"/>
    </row>
    <row r="424" spans="1:19" ht="9" customHeight="1">
      <c r="B424" s="1749"/>
      <c r="C424" s="1778"/>
      <c r="D424" s="1778"/>
      <c r="E424" s="1778"/>
      <c r="F424" s="1778"/>
      <c r="G424" s="1748"/>
      <c r="H424" s="1748"/>
      <c r="I424" s="1778"/>
      <c r="J424" s="1778"/>
      <c r="K424" s="1778"/>
      <c r="L424" s="1778"/>
      <c r="M424" s="1778"/>
      <c r="N424" s="1778"/>
      <c r="O424" s="1778"/>
      <c r="P424" s="1778"/>
      <c r="Q424" s="1778"/>
      <c r="R424" s="1778"/>
      <c r="S424" s="1778"/>
    </row>
    <row r="425" spans="1:19" ht="15.75" customHeight="1">
      <c r="B425" s="1749"/>
      <c r="C425" s="1777"/>
      <c r="D425" s="1838"/>
      <c r="E425" s="1838"/>
      <c r="F425" s="1838"/>
      <c r="G425" s="1748"/>
      <c r="H425" s="1748"/>
      <c r="I425" s="1840"/>
      <c r="J425" s="1840"/>
      <c r="K425" s="1840"/>
      <c r="L425" s="1840"/>
      <c r="M425" s="1840"/>
      <c r="N425" s="1840"/>
      <c r="O425" s="1840"/>
      <c r="P425" s="1840"/>
      <c r="Q425" s="1840"/>
      <c r="R425" s="1840"/>
      <c r="S425" s="1840"/>
    </row>
    <row r="426" spans="1:19" ht="15.75" customHeight="1">
      <c r="B426" s="1749"/>
      <c r="C426" s="1882"/>
      <c r="D426" s="1838"/>
      <c r="E426" s="1838"/>
      <c r="F426" s="1838"/>
      <c r="G426" s="1748"/>
      <c r="H426" s="1748"/>
      <c r="I426" s="1840"/>
      <c r="J426" s="1840"/>
      <c r="K426" s="1840"/>
      <c r="L426" s="1840"/>
      <c r="M426" s="1840"/>
      <c r="N426" s="1840"/>
      <c r="O426" s="1840"/>
      <c r="P426" s="1840"/>
      <c r="Q426" s="1840"/>
      <c r="R426" s="1840"/>
      <c r="S426" s="1840"/>
    </row>
    <row r="427" spans="1:19" ht="15.75" customHeight="1" outlineLevel="1">
      <c r="B427" s="1749"/>
      <c r="C427" s="1882"/>
      <c r="D427" s="1838"/>
      <c r="E427" s="1838"/>
      <c r="F427" s="1838"/>
      <c r="G427" s="1748"/>
      <c r="H427" s="1748"/>
      <c r="I427" s="1840"/>
      <c r="J427" s="1840"/>
      <c r="K427" s="1840"/>
      <c r="L427" s="1840"/>
      <c r="M427" s="1840"/>
      <c r="N427" s="1840"/>
      <c r="O427" s="1840"/>
      <c r="P427" s="1840"/>
      <c r="Q427" s="1840"/>
      <c r="R427" s="1840"/>
      <c r="S427" s="1840"/>
    </row>
    <row r="428" spans="1:19" ht="15.75" customHeight="1" outlineLevel="1">
      <c r="B428" s="1749"/>
      <c r="C428" s="1882"/>
      <c r="D428" s="1778"/>
      <c r="E428" s="1778"/>
      <c r="F428" s="1778"/>
      <c r="G428" s="1748"/>
      <c r="H428" s="1748"/>
      <c r="I428" s="1839"/>
      <c r="J428" s="1839"/>
      <c r="K428" s="1839"/>
      <c r="L428" s="1839"/>
      <c r="M428" s="1839"/>
      <c r="N428" s="1839"/>
      <c r="O428" s="1840"/>
      <c r="P428" s="1839"/>
      <c r="Q428" s="1839"/>
      <c r="R428" s="1839"/>
      <c r="S428" s="1839"/>
    </row>
    <row r="429" spans="1:19" ht="15.75" customHeight="1" outlineLevel="1">
      <c r="B429" s="1749"/>
      <c r="C429" s="1882"/>
      <c r="D429" s="1778"/>
      <c r="E429" s="1778"/>
      <c r="F429" s="1778"/>
      <c r="G429" s="1748"/>
      <c r="H429" s="1748"/>
      <c r="I429" s="1839"/>
      <c r="J429" s="1839"/>
      <c r="K429" s="1839"/>
      <c r="L429" s="1839"/>
      <c r="M429" s="1839"/>
      <c r="N429" s="1839"/>
      <c r="O429" s="1840"/>
      <c r="P429" s="1839"/>
      <c r="Q429" s="1839"/>
      <c r="R429" s="1839"/>
      <c r="S429" s="1839"/>
    </row>
    <row r="430" spans="1:19" s="1784" customFormat="1" ht="15.75" customHeight="1">
      <c r="A430" s="354"/>
      <c r="B430" s="1900"/>
      <c r="C430" s="1777"/>
      <c r="D430" s="1837"/>
      <c r="E430" s="1837"/>
      <c r="F430" s="1837"/>
      <c r="G430" s="1780"/>
      <c r="H430" s="1780"/>
      <c r="I430" s="1901"/>
      <c r="J430" s="1901"/>
      <c r="K430" s="1901"/>
      <c r="L430" s="1901"/>
      <c r="M430" s="1901"/>
      <c r="N430" s="1901"/>
      <c r="O430" s="1901"/>
      <c r="P430" s="1901"/>
      <c r="Q430" s="1901"/>
      <c r="R430" s="1901"/>
      <c r="S430" s="1901"/>
    </row>
    <row r="431" spans="1:19" ht="4.5" customHeight="1">
      <c r="B431" s="1749"/>
      <c r="C431" s="1778"/>
      <c r="D431" s="1778"/>
      <c r="E431" s="1778"/>
      <c r="F431" s="1778"/>
      <c r="G431" s="1748"/>
      <c r="H431" s="1748"/>
      <c r="I431" s="1840"/>
      <c r="J431" s="1840"/>
      <c r="K431" s="1840"/>
      <c r="L431" s="1840"/>
      <c r="M431" s="1840"/>
      <c r="N431" s="1840"/>
      <c r="O431" s="1840"/>
      <c r="P431" s="1840"/>
      <c r="Q431" s="1840"/>
      <c r="R431" s="1840"/>
      <c r="S431" s="1840"/>
    </row>
    <row r="432" spans="1:19" s="1784" customFormat="1" ht="15.75" customHeight="1">
      <c r="A432" s="354"/>
      <c r="B432" s="1900"/>
      <c r="C432" s="1777"/>
      <c r="D432" s="1837"/>
      <c r="E432" s="1837"/>
      <c r="F432" s="1837"/>
      <c r="G432" s="1780"/>
      <c r="H432" s="1780"/>
      <c r="I432" s="1901"/>
      <c r="J432" s="1901"/>
      <c r="K432" s="1901"/>
      <c r="L432" s="1901"/>
      <c r="M432" s="1901"/>
      <c r="N432" s="1901"/>
      <c r="O432" s="1901"/>
      <c r="P432" s="1901"/>
      <c r="Q432" s="1901"/>
      <c r="R432" s="1901"/>
      <c r="S432" s="1901"/>
    </row>
    <row r="433" spans="1:19" ht="9" customHeight="1">
      <c r="B433" s="1749"/>
      <c r="C433" s="1777"/>
      <c r="D433" s="1859"/>
      <c r="E433" s="1859"/>
      <c r="F433" s="1859"/>
      <c r="G433" s="1860"/>
      <c r="H433" s="1860"/>
      <c r="I433" s="1840"/>
      <c r="J433" s="1840"/>
      <c r="K433" s="1840"/>
      <c r="L433" s="1840"/>
      <c r="M433" s="1840"/>
      <c r="N433" s="1840"/>
      <c r="O433" s="1840"/>
      <c r="P433" s="1840"/>
      <c r="Q433" s="1840"/>
      <c r="R433" s="1840"/>
      <c r="S433" s="1840"/>
    </row>
    <row r="434" spans="1:19" ht="15.75" customHeight="1" outlineLevel="1">
      <c r="B434" s="1749"/>
      <c r="C434" s="1778"/>
      <c r="D434" s="1778"/>
      <c r="E434" s="1778"/>
      <c r="F434" s="1778"/>
      <c r="G434" s="1748"/>
      <c r="H434" s="1748"/>
      <c r="I434" s="1840"/>
      <c r="J434" s="1840"/>
      <c r="K434" s="1840"/>
      <c r="L434" s="1840"/>
      <c r="M434" s="1840"/>
      <c r="N434" s="1840"/>
      <c r="O434" s="1840"/>
      <c r="P434" s="1840"/>
      <c r="Q434" s="1840"/>
      <c r="R434" s="1840"/>
      <c r="S434" s="1840"/>
    </row>
    <row r="435" spans="1:19" ht="15.75" customHeight="1" outlineLevel="1">
      <c r="B435" s="1749"/>
      <c r="C435" s="1778"/>
      <c r="D435" s="1778"/>
      <c r="E435" s="1778"/>
      <c r="F435" s="1778"/>
      <c r="G435" s="1748"/>
      <c r="H435" s="1748"/>
      <c r="I435" s="1778"/>
      <c r="J435" s="1778"/>
      <c r="K435" s="1778"/>
      <c r="L435" s="1778"/>
      <c r="M435" s="1778"/>
      <c r="N435" s="1778"/>
      <c r="O435" s="1778"/>
      <c r="P435" s="1778"/>
      <c r="Q435" s="1778"/>
      <c r="R435" s="1778"/>
      <c r="S435" s="1778"/>
    </row>
    <row r="436" spans="1:19" ht="15.75" customHeight="1">
      <c r="B436" s="1749"/>
      <c r="C436" s="1777"/>
      <c r="D436" s="1838"/>
      <c r="E436" s="1779"/>
      <c r="F436" s="1779"/>
      <c r="G436" s="1748"/>
      <c r="H436" s="1748"/>
      <c r="I436" s="1840"/>
      <c r="J436" s="1840"/>
      <c r="K436" s="1840"/>
      <c r="L436" s="1840"/>
      <c r="M436" s="1840"/>
      <c r="N436" s="1840"/>
      <c r="O436" s="1840"/>
      <c r="P436" s="1840"/>
      <c r="Q436" s="1840"/>
      <c r="R436" s="1840"/>
      <c r="S436" s="1840"/>
    </row>
    <row r="437" spans="1:19" ht="15.75" customHeight="1">
      <c r="B437" s="1749"/>
      <c r="C437" s="1847"/>
      <c r="D437" s="1778"/>
      <c r="E437" s="1778"/>
      <c r="F437" s="1778"/>
      <c r="G437" s="1748"/>
      <c r="H437" s="1748"/>
      <c r="I437" s="1840"/>
      <c r="J437" s="1840"/>
      <c r="K437" s="1840"/>
      <c r="L437" s="1840"/>
      <c r="M437" s="1840"/>
      <c r="N437" s="1840"/>
      <c r="O437" s="1840"/>
      <c r="P437" s="1840"/>
      <c r="Q437" s="1840"/>
      <c r="R437" s="1840"/>
      <c r="S437" s="1840"/>
    </row>
    <row r="438" spans="1:19" ht="15.75" customHeight="1">
      <c r="B438" s="1749"/>
      <c r="C438" s="1847"/>
      <c r="D438" s="1778"/>
      <c r="E438" s="1778"/>
      <c r="F438" s="1778"/>
      <c r="G438" s="1748"/>
      <c r="H438" s="1748"/>
      <c r="I438" s="1840"/>
      <c r="J438" s="1840"/>
      <c r="K438" s="1840"/>
      <c r="L438" s="1840"/>
      <c r="M438" s="1840"/>
      <c r="N438" s="1840"/>
      <c r="O438" s="1840"/>
      <c r="P438" s="1840"/>
      <c r="Q438" s="1840"/>
      <c r="R438" s="1840"/>
      <c r="S438" s="1840"/>
    </row>
    <row r="439" spans="1:19" ht="15.75" customHeight="1" outlineLevel="1">
      <c r="B439" s="1749"/>
      <c r="C439" s="1847"/>
      <c r="D439" s="1778"/>
      <c r="E439" s="1778"/>
      <c r="F439" s="1778"/>
      <c r="G439" s="1748"/>
      <c r="H439" s="1748"/>
      <c r="I439" s="1840"/>
      <c r="J439" s="1840"/>
      <c r="K439" s="1840"/>
      <c r="L439" s="1840"/>
      <c r="M439" s="1840"/>
      <c r="N439" s="1840"/>
      <c r="O439" s="1840"/>
      <c r="P439" s="1840"/>
      <c r="Q439" s="1840"/>
      <c r="R439" s="1840"/>
      <c r="S439" s="1840"/>
    </row>
    <row r="440" spans="1:19" ht="15.75" customHeight="1">
      <c r="B440" s="1749"/>
      <c r="C440" s="1847"/>
      <c r="D440" s="1778"/>
      <c r="E440" s="1778"/>
      <c r="F440" s="1778"/>
      <c r="G440" s="1748"/>
      <c r="H440" s="1748"/>
      <c r="I440" s="1840"/>
      <c r="J440" s="1840"/>
      <c r="K440" s="1840"/>
      <c r="L440" s="1840"/>
      <c r="M440" s="1840"/>
      <c r="N440" s="1840"/>
      <c r="O440" s="1840"/>
      <c r="P440" s="1840"/>
      <c r="Q440" s="1840"/>
      <c r="R440" s="1840"/>
      <c r="S440" s="1840"/>
    </row>
    <row r="441" spans="1:19" ht="15.75" customHeight="1" outlineLevel="1">
      <c r="B441" s="1749"/>
      <c r="C441" s="1847"/>
      <c r="D441" s="1778"/>
      <c r="E441" s="1778"/>
      <c r="F441" s="1778"/>
      <c r="G441" s="1748"/>
      <c r="H441" s="1748"/>
      <c r="I441" s="1840"/>
      <c r="J441" s="1840"/>
      <c r="K441" s="1840"/>
      <c r="L441" s="1840"/>
      <c r="M441" s="1840"/>
      <c r="N441" s="1840"/>
      <c r="O441" s="1840"/>
      <c r="P441" s="1840"/>
      <c r="Q441" s="1840"/>
      <c r="R441" s="1840"/>
      <c r="S441" s="1840"/>
    </row>
    <row r="442" spans="1:19" ht="15.75" customHeight="1" outlineLevel="1">
      <c r="B442" s="1749"/>
      <c r="C442" s="1847"/>
      <c r="D442" s="1778"/>
      <c r="E442" s="1778"/>
      <c r="F442" s="1778"/>
      <c r="G442" s="1748"/>
      <c r="H442" s="1748"/>
      <c r="I442" s="1840"/>
      <c r="J442" s="1840"/>
      <c r="K442" s="1840"/>
      <c r="L442" s="1840"/>
      <c r="M442" s="1840"/>
      <c r="N442" s="1840"/>
      <c r="O442" s="1840"/>
      <c r="P442" s="1840"/>
      <c r="Q442" s="1840"/>
      <c r="R442" s="1840"/>
      <c r="S442" s="1840"/>
    </row>
    <row r="443" spans="1:19" ht="15.75" customHeight="1" outlineLevel="1">
      <c r="B443" s="1749"/>
      <c r="C443" s="1847"/>
      <c r="D443" s="1778"/>
      <c r="E443" s="1778"/>
      <c r="F443" s="1778"/>
      <c r="G443" s="1748"/>
      <c r="H443" s="1748"/>
      <c r="I443" s="1840"/>
      <c r="J443" s="1840"/>
      <c r="K443" s="1840"/>
      <c r="L443" s="1840"/>
      <c r="M443" s="1840"/>
      <c r="N443" s="1840"/>
      <c r="O443" s="1840"/>
      <c r="P443" s="1840"/>
      <c r="Q443" s="1840"/>
      <c r="R443" s="1840"/>
      <c r="S443" s="1840"/>
    </row>
    <row r="444" spans="1:19" s="1784" customFormat="1" ht="15.75" customHeight="1">
      <c r="A444" s="354"/>
      <c r="B444" s="1900"/>
      <c r="C444" s="1777"/>
      <c r="D444" s="1837"/>
      <c r="E444" s="1902"/>
      <c r="F444" s="1902"/>
      <c r="G444" s="1780"/>
      <c r="H444" s="1780"/>
      <c r="I444" s="1901"/>
      <c r="J444" s="1901"/>
      <c r="K444" s="1901"/>
      <c r="L444" s="1901"/>
      <c r="M444" s="1901"/>
      <c r="N444" s="1901"/>
      <c r="O444" s="1901"/>
      <c r="P444" s="1901"/>
      <c r="Q444" s="1901"/>
      <c r="R444" s="1901"/>
      <c r="S444" s="1901"/>
    </row>
    <row r="445" spans="1:19" ht="7.5" customHeight="1">
      <c r="B445" s="1749"/>
      <c r="C445" s="1778"/>
      <c r="D445" s="1778"/>
      <c r="E445" s="1869"/>
      <c r="F445" s="1869"/>
      <c r="G445" s="1903"/>
      <c r="H445" s="1903"/>
      <c r="I445" s="1840"/>
      <c r="J445" s="1840"/>
      <c r="K445" s="1840"/>
      <c r="L445" s="1840"/>
      <c r="M445" s="1840"/>
      <c r="N445" s="1840"/>
      <c r="O445" s="1840"/>
      <c r="P445" s="1840"/>
      <c r="Q445" s="1840"/>
      <c r="R445" s="1840"/>
      <c r="S445" s="1840"/>
    </row>
    <row r="446" spans="1:19" ht="15.75" customHeight="1">
      <c r="B446" s="1865"/>
      <c r="C446" s="1777"/>
      <c r="D446" s="1778"/>
      <c r="E446" s="1869"/>
      <c r="F446" s="1869"/>
      <c r="G446" s="1748"/>
      <c r="H446" s="1748"/>
      <c r="I446" s="1840"/>
      <c r="J446" s="1840"/>
      <c r="K446" s="1840"/>
      <c r="L446" s="1840"/>
      <c r="M446" s="1840"/>
      <c r="N446" s="1840"/>
      <c r="O446" s="1840"/>
      <c r="P446" s="1840"/>
      <c r="Q446" s="1840"/>
      <c r="R446" s="1840"/>
      <c r="S446" s="1840"/>
    </row>
    <row r="447" spans="1:19" ht="15.75" customHeight="1">
      <c r="B447" s="1865"/>
      <c r="C447" s="1778"/>
      <c r="D447" s="1838"/>
      <c r="E447" s="1904"/>
      <c r="F447" s="1869"/>
      <c r="G447" s="1903"/>
      <c r="H447" s="1903"/>
      <c r="I447" s="1840"/>
      <c r="J447" s="1840"/>
      <c r="K447" s="1840"/>
      <c r="L447" s="1840"/>
      <c r="M447" s="1840"/>
      <c r="N447" s="1840"/>
      <c r="O447" s="1840"/>
      <c r="P447" s="1840"/>
      <c r="Q447" s="1840"/>
      <c r="R447" s="1840"/>
      <c r="S447" s="1840"/>
    </row>
    <row r="448" spans="1:19" ht="15.75" customHeight="1" outlineLevel="1">
      <c r="B448" s="1865"/>
      <c r="C448" s="1849"/>
      <c r="D448" s="1778"/>
      <c r="E448" s="1778"/>
      <c r="F448" s="1778"/>
      <c r="G448" s="1748"/>
      <c r="H448" s="1748"/>
      <c r="I448" s="1840"/>
      <c r="J448" s="1905"/>
      <c r="K448" s="1840"/>
      <c r="L448" s="1840"/>
      <c r="M448" s="1840"/>
      <c r="N448" s="1840"/>
      <c r="O448" s="1840"/>
      <c r="P448" s="1840"/>
      <c r="Q448" s="1840"/>
      <c r="R448" s="1840"/>
      <c r="S448" s="1840"/>
    </row>
    <row r="449" spans="2:19" ht="15.75" customHeight="1" outlineLevel="1">
      <c r="B449" s="1865"/>
      <c r="C449" s="1906"/>
      <c r="D449" s="1774"/>
      <c r="E449" s="1774"/>
      <c r="F449" s="1774"/>
      <c r="G449" s="1852"/>
      <c r="H449" s="1852"/>
      <c r="I449" s="1907"/>
      <c r="J449" s="1907"/>
      <c r="K449" s="1907"/>
      <c r="L449" s="1907"/>
      <c r="M449" s="1907"/>
      <c r="N449" s="1907"/>
      <c r="O449" s="1907"/>
      <c r="P449" s="1907"/>
      <c r="Q449" s="1907"/>
      <c r="R449" s="1907"/>
      <c r="S449" s="1907"/>
    </row>
    <row r="450" spans="2:19" ht="15.75" customHeight="1" outlineLevel="1">
      <c r="B450" s="1865"/>
      <c r="C450" s="1849"/>
      <c r="D450" s="1778"/>
      <c r="E450" s="1778"/>
      <c r="F450" s="1778"/>
      <c r="G450" s="1748"/>
      <c r="H450" s="1748"/>
      <c r="I450" s="1840"/>
      <c r="J450" s="1840"/>
      <c r="K450" s="1840"/>
      <c r="L450" s="1840"/>
      <c r="M450" s="1840"/>
      <c r="N450" s="1840"/>
      <c r="O450" s="1840"/>
      <c r="P450" s="1840"/>
      <c r="Q450" s="1840"/>
      <c r="R450" s="1840"/>
      <c r="S450" s="1840"/>
    </row>
    <row r="451" spans="2:19" ht="15.75" customHeight="1" outlineLevel="1">
      <c r="B451" s="1865"/>
      <c r="C451" s="1849"/>
      <c r="D451" s="1778"/>
      <c r="E451" s="1778"/>
      <c r="F451" s="1778"/>
      <c r="G451" s="1748"/>
      <c r="H451" s="1748"/>
      <c r="I451" s="1840"/>
      <c r="J451" s="1840"/>
      <c r="K451" s="1840"/>
      <c r="L451" s="1840"/>
      <c r="M451" s="1838"/>
      <c r="N451" s="1749"/>
      <c r="O451" s="1840"/>
      <c r="P451" s="1749"/>
      <c r="Q451" s="1749"/>
      <c r="R451" s="1749"/>
      <c r="S451" s="1749"/>
    </row>
    <row r="452" spans="2:19" ht="15.75" customHeight="1" outlineLevel="1">
      <c r="B452" s="1865"/>
      <c r="C452" s="1873"/>
      <c r="D452" s="1873"/>
      <c r="E452" s="1873"/>
      <c r="F452" s="1873"/>
      <c r="I452" s="1872"/>
      <c r="J452" s="1873"/>
      <c r="K452" s="1893"/>
      <c r="L452" s="1893"/>
      <c r="M452" s="1838"/>
      <c r="N452" s="1749"/>
      <c r="O452" s="1749"/>
      <c r="P452" s="1749"/>
      <c r="Q452" s="1749"/>
      <c r="R452" s="1749"/>
      <c r="S452" s="1749"/>
    </row>
    <row r="453" spans="2:19" ht="15.75" customHeight="1" outlineLevel="1">
      <c r="B453" s="1865"/>
      <c r="C453" s="1873"/>
      <c r="D453" s="1873"/>
      <c r="E453" s="1873"/>
      <c r="F453" s="1873"/>
      <c r="I453" s="1872"/>
      <c r="J453" s="1873"/>
      <c r="K453" s="1893"/>
      <c r="L453" s="1893"/>
      <c r="M453" s="1838"/>
      <c r="N453" s="1749"/>
      <c r="O453" s="1749"/>
      <c r="P453" s="1749"/>
      <c r="Q453" s="1749"/>
      <c r="R453" s="1749"/>
      <c r="S453" s="1749"/>
    </row>
    <row r="454" spans="2:19" ht="15.75" customHeight="1" outlineLevel="1">
      <c r="B454" s="1865"/>
      <c r="C454" s="1873"/>
      <c r="D454" s="1873"/>
      <c r="E454" s="1873"/>
      <c r="F454" s="1873"/>
      <c r="I454" s="1872"/>
      <c r="J454" s="1873"/>
      <c r="K454" s="1893"/>
      <c r="L454" s="1893"/>
      <c r="M454" s="1838"/>
      <c r="N454" s="1749"/>
      <c r="O454" s="1749"/>
      <c r="P454" s="1749"/>
      <c r="Q454" s="1749"/>
      <c r="R454" s="1749"/>
      <c r="S454" s="1749"/>
    </row>
    <row r="455" spans="2:19" ht="27" outlineLevel="1">
      <c r="B455" s="1865"/>
      <c r="C455" s="1871"/>
      <c r="I455" s="1872"/>
      <c r="J455" s="1873"/>
      <c r="K455" s="1874"/>
      <c r="L455" s="1875"/>
      <c r="M455" s="1876"/>
      <c r="N455" s="1875"/>
      <c r="O455" s="1875"/>
      <c r="P455" s="1875"/>
      <c r="Q455" s="1875"/>
      <c r="R455" s="1875"/>
      <c r="S455" s="1875"/>
    </row>
    <row r="456" spans="2:19" ht="3" customHeight="1" outlineLevel="1">
      <c r="B456" s="1865"/>
      <c r="C456" s="1877"/>
      <c r="D456" s="1877"/>
      <c r="E456" s="1877"/>
      <c r="F456" s="1877"/>
      <c r="G456" s="1758"/>
      <c r="H456" s="1758"/>
      <c r="I456" s="1877"/>
      <c r="J456" s="1877"/>
      <c r="K456" s="1877"/>
      <c r="L456" s="1877"/>
      <c r="M456" s="1877"/>
      <c r="N456" s="1877"/>
      <c r="O456" s="1877"/>
      <c r="P456" s="1877"/>
      <c r="Q456" s="1877"/>
      <c r="R456" s="1877"/>
      <c r="S456" s="1877"/>
    </row>
    <row r="457" spans="2:19" ht="15.75" customHeight="1" outlineLevel="1">
      <c r="B457" s="1865"/>
      <c r="C457" s="354"/>
      <c r="I457" s="1872"/>
      <c r="J457" s="1873"/>
      <c r="K457" s="1874"/>
      <c r="L457" s="1875"/>
      <c r="M457" s="1876"/>
      <c r="N457" s="1875"/>
      <c r="O457" s="1875"/>
      <c r="P457" s="1875"/>
      <c r="Q457" s="1875"/>
      <c r="R457" s="1875"/>
      <c r="S457" s="1875"/>
    </row>
    <row r="458" spans="2:19" ht="15.75" customHeight="1" outlineLevel="1">
      <c r="B458" s="1749"/>
      <c r="C458" s="1794"/>
      <c r="I458" s="1872"/>
      <c r="J458" s="1872"/>
      <c r="K458" s="1876"/>
      <c r="L458" s="1878"/>
      <c r="M458" s="1876"/>
      <c r="N458" s="1878"/>
      <c r="O458" s="1878"/>
      <c r="P458" s="1878"/>
      <c r="Q458" s="1878"/>
      <c r="R458" s="1878"/>
      <c r="S458" s="1878"/>
    </row>
    <row r="459" spans="2:19" ht="15.75" customHeight="1" outlineLevel="1">
      <c r="B459" s="1749"/>
      <c r="C459" s="1843"/>
      <c r="D459" s="1767"/>
      <c r="E459" s="1767"/>
      <c r="F459" s="1767"/>
      <c r="G459" s="1834"/>
      <c r="H459" s="1768"/>
      <c r="I459" s="1768"/>
      <c r="J459" s="1768"/>
      <c r="K459" s="1768"/>
      <c r="L459" s="1768"/>
      <c r="M459" s="1768"/>
      <c r="N459" s="1768"/>
      <c r="O459" s="1768"/>
      <c r="P459" s="1768"/>
      <c r="Q459" s="1768"/>
      <c r="R459" s="1768"/>
      <c r="S459" s="1768"/>
    </row>
    <row r="460" spans="2:19" ht="15.75" customHeight="1" outlineLevel="1">
      <c r="B460" s="1749"/>
      <c r="C460" s="1844"/>
      <c r="D460" s="1771"/>
      <c r="E460" s="1771"/>
      <c r="F460" s="1771"/>
      <c r="G460" s="1815"/>
      <c r="H460" s="1772"/>
      <c r="I460" s="1772"/>
      <c r="J460" s="1772"/>
      <c r="K460" s="1772"/>
      <c r="L460" s="1772"/>
      <c r="M460" s="1772"/>
      <c r="N460" s="1772"/>
      <c r="O460" s="1772"/>
      <c r="P460" s="1772"/>
      <c r="Q460" s="1772"/>
      <c r="R460" s="1772"/>
      <c r="S460" s="1772"/>
    </row>
    <row r="461" spans="2:19" ht="15.75" customHeight="1" outlineLevel="1">
      <c r="B461" s="1778"/>
      <c r="C461" s="1856"/>
      <c r="D461" s="1774"/>
      <c r="E461" s="1775"/>
      <c r="F461" s="1775"/>
      <c r="G461" s="1816"/>
      <c r="H461" s="1817"/>
      <c r="I461" s="1817"/>
      <c r="J461" s="1817"/>
      <c r="K461" s="1817"/>
      <c r="L461" s="1817"/>
      <c r="M461" s="1817"/>
      <c r="N461" s="1817"/>
      <c r="O461" s="1817"/>
      <c r="P461" s="1817"/>
      <c r="Q461" s="1817"/>
      <c r="R461" s="1817"/>
      <c r="S461" s="1817"/>
    </row>
    <row r="462" spans="2:19" ht="15.75" customHeight="1" outlineLevel="1">
      <c r="B462" s="1749"/>
      <c r="C462" s="1778"/>
      <c r="D462" s="1778"/>
      <c r="E462" s="1778"/>
      <c r="F462" s="1778"/>
      <c r="G462" s="1748"/>
      <c r="H462" s="1748"/>
      <c r="I462" s="1778"/>
      <c r="J462" s="1869"/>
      <c r="K462" s="1869"/>
      <c r="L462" s="1869"/>
      <c r="M462" s="1869"/>
      <c r="N462" s="1869"/>
      <c r="O462" s="1869"/>
      <c r="P462" s="1869"/>
      <c r="Q462" s="1869"/>
      <c r="R462" s="1869"/>
      <c r="S462" s="1869"/>
    </row>
    <row r="463" spans="2:19" ht="15.75" customHeight="1" outlineLevel="1">
      <c r="B463" s="1749"/>
      <c r="C463" s="1778"/>
      <c r="D463" s="1838"/>
      <c r="E463" s="1904"/>
      <c r="F463" s="1869"/>
      <c r="G463" s="1748"/>
      <c r="H463" s="1831"/>
      <c r="I463" s="1831"/>
      <c r="J463" s="1831"/>
      <c r="K463" s="1831"/>
      <c r="L463" s="1831"/>
      <c r="M463" s="1831"/>
      <c r="N463" s="1831"/>
      <c r="O463" s="1831"/>
      <c r="P463" s="1831"/>
      <c r="Q463" s="1831"/>
      <c r="R463" s="1831"/>
      <c r="S463" s="1831"/>
    </row>
    <row r="464" spans="2:19" ht="15.75" customHeight="1" outlineLevel="1">
      <c r="B464" s="1749"/>
      <c r="C464" s="1778"/>
      <c r="D464" s="1838"/>
      <c r="E464" s="1838"/>
      <c r="F464" s="1838"/>
      <c r="G464" s="1748"/>
      <c r="H464" s="1831"/>
      <c r="I464" s="1831"/>
      <c r="J464" s="1831"/>
      <c r="K464" s="1831"/>
      <c r="L464" s="1831"/>
      <c r="M464" s="1831"/>
      <c r="N464" s="1831"/>
      <c r="O464" s="1831"/>
      <c r="P464" s="1831"/>
      <c r="Q464" s="1831"/>
      <c r="R464" s="1831"/>
      <c r="S464" s="1831"/>
    </row>
    <row r="465" spans="2:19" ht="15.75" customHeight="1" outlineLevel="1">
      <c r="B465" s="1749"/>
      <c r="C465" s="1908"/>
      <c r="D465" s="1838"/>
      <c r="E465" s="1838"/>
      <c r="F465" s="1838"/>
      <c r="G465" s="1748"/>
      <c r="H465" s="1748"/>
      <c r="I465" s="1838"/>
      <c r="J465" s="1838"/>
      <c r="K465" s="1838"/>
      <c r="L465" s="1838"/>
      <c r="M465" s="1838"/>
      <c r="N465" s="1838"/>
      <c r="O465" s="1838"/>
      <c r="P465" s="1838"/>
      <c r="Q465" s="1838"/>
      <c r="R465" s="1838"/>
      <c r="S465" s="1838"/>
    </row>
    <row r="466" spans="2:19" ht="15.75" customHeight="1" outlineLevel="1">
      <c r="B466" s="1749"/>
      <c r="C466" s="1837"/>
      <c r="D466" s="1822"/>
      <c r="E466" s="1822"/>
      <c r="F466" s="1822"/>
      <c r="G466" s="1780"/>
      <c r="H466" s="1780"/>
      <c r="I466" s="1822"/>
      <c r="J466" s="1822"/>
      <c r="K466" s="1909"/>
      <c r="L466" s="1909"/>
      <c r="M466" s="1909"/>
      <c r="N466" s="1909"/>
      <c r="O466" s="1909"/>
      <c r="P466" s="1909"/>
      <c r="Q466" s="1909"/>
      <c r="R466" s="1909"/>
      <c r="S466" s="1909"/>
    </row>
    <row r="467" spans="2:19" ht="15.75" customHeight="1" outlineLevel="1">
      <c r="B467" s="1749"/>
      <c r="C467" s="1847"/>
      <c r="D467" s="1822"/>
      <c r="E467" s="1910"/>
      <c r="F467" s="1911"/>
      <c r="G467" s="1748"/>
      <c r="H467" s="1912"/>
      <c r="I467" s="1912"/>
      <c r="J467" s="1912"/>
      <c r="K467" s="1912"/>
      <c r="L467" s="1912"/>
      <c r="M467" s="1912"/>
      <c r="N467" s="1912"/>
      <c r="O467" s="1912"/>
      <c r="P467" s="1912"/>
      <c r="Q467" s="1912"/>
      <c r="R467" s="1912"/>
      <c r="S467" s="1912"/>
    </row>
    <row r="468" spans="2:19" ht="15.75" customHeight="1" outlineLevel="1">
      <c r="B468" s="1749"/>
      <c r="C468" s="1847"/>
      <c r="D468" s="1838"/>
      <c r="E468" s="1904"/>
      <c r="F468" s="1869"/>
      <c r="G468" s="1748"/>
      <c r="H468" s="1869"/>
      <c r="I468" s="1869"/>
      <c r="J468" s="1869"/>
      <c r="K468" s="1869"/>
      <c r="L468" s="1869"/>
      <c r="M468" s="1869"/>
      <c r="N468" s="1869"/>
      <c r="O468" s="1869"/>
      <c r="P468" s="1869"/>
      <c r="Q468" s="1869"/>
      <c r="R468" s="1869"/>
      <c r="S468" s="1869"/>
    </row>
    <row r="469" spans="2:19" ht="15.75" customHeight="1" outlineLevel="1">
      <c r="B469" s="1749"/>
      <c r="C469" s="1847"/>
      <c r="D469" s="1778"/>
      <c r="E469" s="1778"/>
      <c r="F469" s="1778"/>
      <c r="G469" s="1748"/>
      <c r="H469" s="1869"/>
      <c r="I469" s="1869"/>
      <c r="J469" s="1869"/>
      <c r="K469" s="1869"/>
      <c r="L469" s="1869"/>
      <c r="M469" s="1869"/>
      <c r="N469" s="1869"/>
      <c r="O469" s="1869"/>
      <c r="P469" s="1869"/>
      <c r="Q469" s="1869"/>
      <c r="R469" s="1869"/>
      <c r="S469" s="1869"/>
    </row>
    <row r="470" spans="2:19" ht="15.75" customHeight="1" outlineLevel="1">
      <c r="B470" s="1749"/>
      <c r="C470" s="1847"/>
      <c r="D470" s="1778"/>
      <c r="E470" s="1778"/>
      <c r="F470" s="1778"/>
      <c r="G470" s="1748"/>
      <c r="H470" s="1866"/>
      <c r="I470" s="1866"/>
      <c r="J470" s="1866"/>
      <c r="K470" s="1866"/>
      <c r="L470" s="1866"/>
      <c r="M470" s="1866"/>
      <c r="N470" s="1866"/>
      <c r="O470" s="1866"/>
      <c r="P470" s="1866"/>
      <c r="Q470" s="1866"/>
      <c r="R470" s="1866"/>
      <c r="S470" s="1866"/>
    </row>
    <row r="471" spans="2:19" ht="15.75" customHeight="1" outlineLevel="1">
      <c r="B471" s="1749"/>
      <c r="C471" s="1847"/>
      <c r="D471" s="1778"/>
      <c r="E471" s="1778"/>
      <c r="F471" s="1778"/>
      <c r="G471" s="1748"/>
      <c r="H471" s="1831"/>
      <c r="I471" s="1831"/>
      <c r="J471" s="1913"/>
      <c r="K471" s="1913"/>
      <c r="L471" s="1913"/>
      <c r="M471" s="1913"/>
      <c r="N471" s="1913"/>
      <c r="O471" s="1913"/>
      <c r="P471" s="1913"/>
      <c r="Q471" s="1913"/>
      <c r="R471" s="1913"/>
      <c r="S471" s="1913"/>
    </row>
    <row r="472" spans="2:19" ht="15.75" customHeight="1" outlineLevel="1">
      <c r="B472" s="1749"/>
      <c r="C472" s="1847"/>
      <c r="D472" s="1838"/>
      <c r="E472" s="1904"/>
      <c r="F472" s="1869"/>
      <c r="G472" s="1748"/>
      <c r="H472" s="1914"/>
      <c r="I472" s="1914"/>
      <c r="J472" s="1913"/>
      <c r="K472" s="1913"/>
      <c r="L472" s="1913"/>
      <c r="M472" s="1913"/>
      <c r="N472" s="1913"/>
      <c r="O472" s="1913"/>
      <c r="P472" s="1913"/>
      <c r="Q472" s="1913"/>
      <c r="R472" s="1913"/>
      <c r="S472" s="1913"/>
    </row>
    <row r="473" spans="2:19" ht="15.75" customHeight="1" outlineLevel="1">
      <c r="B473" s="1838"/>
      <c r="C473" s="1847"/>
      <c r="D473" s="1778"/>
      <c r="E473" s="1778"/>
      <c r="F473" s="1778"/>
      <c r="G473" s="1748"/>
      <c r="H473" s="1914"/>
      <c r="I473" s="1914"/>
      <c r="J473" s="1913"/>
      <c r="K473" s="1913"/>
      <c r="L473" s="1913"/>
      <c r="M473" s="1913"/>
      <c r="N473" s="1913"/>
      <c r="O473" s="1913"/>
      <c r="P473" s="1913"/>
      <c r="Q473" s="1913"/>
      <c r="R473" s="1913"/>
      <c r="S473" s="1913"/>
    </row>
    <row r="474" spans="2:19" ht="15.75" customHeight="1" outlineLevel="1">
      <c r="B474" s="1838"/>
      <c r="C474" s="1847"/>
      <c r="D474" s="1778"/>
      <c r="E474" s="1778"/>
      <c r="F474" s="1778"/>
      <c r="G474" s="1748"/>
      <c r="H474" s="1914"/>
      <c r="I474" s="1914"/>
      <c r="J474" s="1914"/>
      <c r="K474" s="1914"/>
      <c r="L474" s="1914"/>
      <c r="M474" s="1914"/>
      <c r="N474" s="1914"/>
      <c r="O474" s="1914"/>
      <c r="P474" s="1914"/>
      <c r="Q474" s="1914"/>
      <c r="R474" s="1914"/>
      <c r="S474" s="1914"/>
    </row>
    <row r="475" spans="2:19" ht="15.75" customHeight="1" outlineLevel="1">
      <c r="B475" s="1838"/>
      <c r="C475" s="1824"/>
      <c r="D475" s="1865"/>
      <c r="E475" s="1865"/>
      <c r="F475" s="1865"/>
      <c r="I475" s="1778"/>
      <c r="J475" s="1778"/>
      <c r="K475" s="1778"/>
      <c r="L475" s="1778"/>
      <c r="M475" s="1778"/>
      <c r="N475" s="1778"/>
      <c r="O475" s="1778"/>
      <c r="P475" s="1778"/>
      <c r="Q475" s="1778"/>
      <c r="R475" s="1778"/>
      <c r="S475" s="1778"/>
    </row>
    <row r="476" spans="2:19" ht="15.75" customHeight="1" outlineLevel="1">
      <c r="B476" s="1838"/>
      <c r="C476" s="1837"/>
      <c r="D476" s="1838"/>
      <c r="E476" s="1904"/>
      <c r="F476" s="1869"/>
      <c r="G476" s="1903"/>
      <c r="H476" s="1903"/>
      <c r="I476" s="1778"/>
      <c r="J476" s="1778"/>
      <c r="K476" s="1913"/>
      <c r="L476" s="1913"/>
      <c r="M476" s="1913"/>
      <c r="N476" s="1913"/>
      <c r="O476" s="1913"/>
      <c r="P476" s="1913"/>
      <c r="Q476" s="1913"/>
      <c r="R476" s="1913"/>
      <c r="S476" s="1913"/>
    </row>
    <row r="477" spans="2:19" ht="15.75" customHeight="1" outlineLevel="1">
      <c r="B477" s="1838"/>
      <c r="C477" s="1790"/>
      <c r="D477" s="1778"/>
      <c r="E477" s="1869"/>
      <c r="F477" s="1869"/>
      <c r="G477" s="1748"/>
      <c r="H477" s="1913"/>
      <c r="I477" s="1913"/>
      <c r="J477" s="1913"/>
      <c r="K477" s="1913"/>
      <c r="L477" s="1913"/>
      <c r="M477" s="1913"/>
      <c r="N477" s="1913"/>
      <c r="O477" s="1913"/>
      <c r="P477" s="1913"/>
      <c r="Q477" s="1913"/>
      <c r="R477" s="1913"/>
      <c r="S477" s="1913"/>
    </row>
    <row r="478" spans="2:19" ht="15.75" customHeight="1" outlineLevel="1">
      <c r="B478" s="1838"/>
      <c r="C478" s="1790"/>
      <c r="D478" s="1838"/>
      <c r="E478" s="1838"/>
      <c r="F478" s="1838"/>
      <c r="G478" s="1748"/>
      <c r="H478" s="1913"/>
      <c r="I478" s="1913"/>
      <c r="J478" s="1831"/>
      <c r="K478" s="1831"/>
      <c r="L478" s="1831"/>
      <c r="M478" s="1831"/>
      <c r="N478" s="1831"/>
      <c r="O478" s="1831"/>
      <c r="P478" s="1831"/>
      <c r="Q478" s="1831"/>
      <c r="R478" s="1831"/>
      <c r="S478" s="1831"/>
    </row>
    <row r="479" spans="2:19" ht="15.75" customHeight="1" outlineLevel="1">
      <c r="B479" s="1749"/>
      <c r="C479" s="1790"/>
      <c r="D479" s="1838"/>
      <c r="E479" s="1859"/>
      <c r="F479" s="1859"/>
      <c r="G479" s="1748"/>
      <c r="H479" s="1831"/>
      <c r="I479" s="1831"/>
      <c r="J479" s="1831"/>
      <c r="K479" s="1831"/>
      <c r="L479" s="1831"/>
      <c r="M479" s="1831"/>
      <c r="N479" s="1831"/>
      <c r="O479" s="1831"/>
      <c r="P479" s="1831"/>
      <c r="Q479" s="1831"/>
      <c r="R479" s="1831"/>
      <c r="S479" s="1831"/>
    </row>
    <row r="480" spans="2:19" ht="15.75" customHeight="1" outlineLevel="1">
      <c r="B480" s="1778"/>
      <c r="C480" s="1847"/>
      <c r="D480" s="1838"/>
      <c r="E480" s="1838"/>
      <c r="F480" s="1838"/>
      <c r="G480" s="1748"/>
      <c r="H480" s="1913"/>
      <c r="I480" s="1913"/>
      <c r="J480" s="1913"/>
      <c r="K480" s="1913"/>
      <c r="L480" s="1913"/>
      <c r="M480" s="1913"/>
      <c r="N480" s="1913"/>
      <c r="O480" s="1913"/>
      <c r="P480" s="1913"/>
      <c r="Q480" s="1913"/>
      <c r="R480" s="1913"/>
      <c r="S480" s="1913"/>
    </row>
    <row r="481" spans="2:19" ht="15.75" customHeight="1" outlineLevel="1">
      <c r="B481" s="1778"/>
      <c r="C481" s="1790"/>
      <c r="D481" s="1778"/>
      <c r="E481" s="1778"/>
      <c r="F481" s="1778"/>
      <c r="G481" s="1748"/>
      <c r="H481" s="1913"/>
      <c r="I481" s="1913"/>
      <c r="J481" s="1913"/>
      <c r="K481" s="1913"/>
      <c r="L481" s="1913"/>
      <c r="M481" s="1913"/>
      <c r="N481" s="1913"/>
      <c r="O481" s="1913"/>
      <c r="P481" s="1913"/>
      <c r="Q481" s="1913"/>
      <c r="R481" s="1913"/>
      <c r="S481" s="1913"/>
    </row>
    <row r="482" spans="2:19" ht="15.75" customHeight="1" outlineLevel="1">
      <c r="B482" s="1778"/>
      <c r="C482" s="1847"/>
      <c r="D482" s="1778"/>
      <c r="E482" s="1778"/>
      <c r="F482" s="1778"/>
      <c r="G482" s="1748"/>
      <c r="H482" s="1831"/>
      <c r="I482" s="1831"/>
      <c r="J482" s="1831"/>
      <c r="K482" s="1831"/>
      <c r="L482" s="1831"/>
      <c r="M482" s="1831"/>
      <c r="N482" s="1831"/>
      <c r="O482" s="1831"/>
      <c r="P482" s="1831"/>
      <c r="Q482" s="1831"/>
      <c r="R482" s="1831"/>
      <c r="S482" s="1831"/>
    </row>
    <row r="483" spans="2:19" ht="15.75" customHeight="1" outlineLevel="1">
      <c r="B483" s="1749"/>
      <c r="C483" s="1824"/>
      <c r="D483" s="1865"/>
      <c r="E483" s="1865"/>
      <c r="F483" s="1865"/>
      <c r="I483" s="1778"/>
      <c r="J483" s="1778"/>
      <c r="K483" s="1915"/>
      <c r="L483" s="1915"/>
      <c r="M483" s="1915"/>
      <c r="N483" s="1915"/>
      <c r="O483" s="1915"/>
      <c r="P483" s="1915"/>
      <c r="Q483" s="1915"/>
      <c r="R483" s="1915"/>
      <c r="S483" s="1915"/>
    </row>
    <row r="484" spans="2:19" ht="15.75" customHeight="1" outlineLevel="1">
      <c r="B484" s="1778"/>
      <c r="C484" s="1837"/>
      <c r="D484" s="1778"/>
      <c r="E484" s="1778"/>
      <c r="F484" s="1778"/>
      <c r="G484" s="1748"/>
      <c r="H484" s="1913"/>
      <c r="I484" s="1913"/>
      <c r="J484" s="1913"/>
      <c r="K484" s="1913"/>
      <c r="L484" s="1913"/>
      <c r="M484" s="1913"/>
      <c r="N484" s="1913"/>
      <c r="O484" s="1913"/>
      <c r="P484" s="1913"/>
      <c r="Q484" s="1913"/>
      <c r="R484" s="1913"/>
      <c r="S484" s="1913"/>
    </row>
    <row r="485" spans="2:19" ht="15.75" customHeight="1" outlineLevel="1">
      <c r="B485" s="1778"/>
      <c r="C485" s="1837"/>
      <c r="D485" s="1778"/>
      <c r="E485" s="1778"/>
      <c r="F485" s="1778"/>
      <c r="G485" s="1748"/>
      <c r="H485" s="1748"/>
      <c r="I485" s="1913"/>
      <c r="J485" s="1913"/>
      <c r="K485" s="1913"/>
      <c r="L485" s="1913"/>
      <c r="M485" s="1913"/>
      <c r="N485" s="1913"/>
      <c r="O485" s="1913"/>
      <c r="P485" s="1913"/>
      <c r="Q485" s="1913"/>
      <c r="R485" s="1913"/>
      <c r="S485" s="1913"/>
    </row>
    <row r="486" spans="2:19" ht="15.75" customHeight="1" outlineLevel="1">
      <c r="B486" s="1778"/>
      <c r="C486" s="1847"/>
      <c r="D486" s="1838"/>
      <c r="E486" s="1904"/>
      <c r="F486" s="1869"/>
      <c r="G486" s="1748"/>
      <c r="H486" s="1869"/>
      <c r="I486" s="1869"/>
      <c r="J486" s="1869"/>
      <c r="K486" s="1804"/>
      <c r="L486" s="1804"/>
      <c r="M486" s="1804"/>
      <c r="N486" s="1804"/>
      <c r="O486" s="1804"/>
      <c r="P486" s="1804"/>
      <c r="Q486" s="1804"/>
      <c r="R486" s="1804"/>
      <c r="S486" s="1804"/>
    </row>
    <row r="487" spans="2:19" ht="15.75" customHeight="1" outlineLevel="1">
      <c r="B487" s="1778"/>
      <c r="C487" s="1847"/>
      <c r="D487" s="1838"/>
      <c r="E487" s="1804"/>
      <c r="F487" s="1869"/>
      <c r="G487" s="1748"/>
      <c r="H487" s="1869"/>
      <c r="I487" s="1869"/>
      <c r="J487" s="1869"/>
      <c r="K487" s="1804"/>
      <c r="L487" s="1804"/>
      <c r="M487" s="1804"/>
      <c r="N487" s="1804"/>
      <c r="O487" s="1804"/>
      <c r="P487" s="1804"/>
      <c r="Q487" s="1804"/>
      <c r="R487" s="1804"/>
      <c r="S487" s="1804"/>
    </row>
    <row r="488" spans="2:19" ht="15.75" customHeight="1" outlineLevel="1">
      <c r="B488" s="1778"/>
      <c r="C488" s="1847"/>
      <c r="D488" s="1838"/>
      <c r="E488" s="1838"/>
      <c r="F488" s="1869"/>
      <c r="G488" s="1748"/>
      <c r="H488" s="1869"/>
      <c r="I488" s="1869"/>
      <c r="J488" s="1869"/>
      <c r="K488" s="1804"/>
      <c r="L488" s="1804"/>
      <c r="M488" s="1804"/>
      <c r="N488" s="1804"/>
      <c r="O488" s="1804"/>
      <c r="P488" s="1804"/>
      <c r="Q488" s="1804"/>
      <c r="R488" s="1804"/>
      <c r="S488" s="1804"/>
    </row>
    <row r="489" spans="2:19" ht="15.75" customHeight="1" outlineLevel="1">
      <c r="B489" s="1778"/>
      <c r="C489" s="1847"/>
      <c r="D489" s="1778"/>
      <c r="E489" s="1778"/>
      <c r="F489" s="1778"/>
      <c r="G489" s="1748"/>
      <c r="H489" s="1869"/>
      <c r="I489" s="1869"/>
      <c r="J489" s="1869"/>
      <c r="K489" s="1804"/>
      <c r="L489" s="1804"/>
      <c r="M489" s="1804"/>
      <c r="N489" s="1804"/>
      <c r="O489" s="1804"/>
      <c r="P489" s="1804"/>
      <c r="Q489" s="1804"/>
      <c r="R489" s="1804"/>
      <c r="S489" s="1804"/>
    </row>
    <row r="490" spans="2:19" ht="15.75" customHeight="1" outlineLevel="1">
      <c r="B490" s="1778"/>
      <c r="C490" s="1847"/>
      <c r="D490" s="1838"/>
      <c r="E490" s="1838"/>
      <c r="F490" s="1869"/>
      <c r="G490" s="1748"/>
      <c r="H490" s="1869"/>
      <c r="I490" s="1869"/>
      <c r="J490" s="1869"/>
      <c r="K490" s="1804"/>
      <c r="L490" s="1804"/>
      <c r="M490" s="1804"/>
      <c r="N490" s="1804"/>
      <c r="O490" s="1804"/>
      <c r="P490" s="1804"/>
      <c r="Q490" s="1804"/>
      <c r="R490" s="1804"/>
      <c r="S490" s="1804"/>
    </row>
    <row r="491" spans="2:19" ht="15.75" customHeight="1" outlineLevel="1">
      <c r="B491" s="1778"/>
      <c r="C491" s="1778"/>
      <c r="D491" s="1838"/>
      <c r="E491" s="1838"/>
      <c r="F491" s="1838"/>
      <c r="G491" s="1748"/>
      <c r="H491" s="1748"/>
      <c r="I491" s="1778"/>
      <c r="J491" s="1778"/>
      <c r="K491" s="1787"/>
      <c r="L491" s="1789"/>
      <c r="M491" s="1789"/>
      <c r="N491" s="1789"/>
      <c r="O491" s="1789"/>
      <c r="P491" s="1789"/>
      <c r="Q491" s="1789"/>
      <c r="R491" s="1789"/>
      <c r="S491" s="1789"/>
    </row>
    <row r="492" spans="2:19" ht="15.75" customHeight="1" outlineLevel="1">
      <c r="B492" s="1778"/>
      <c r="C492" s="1847"/>
      <c r="D492" s="1838"/>
      <c r="E492" s="1838"/>
      <c r="F492" s="1838"/>
      <c r="G492" s="1748"/>
      <c r="H492" s="1913"/>
      <c r="I492" s="1913"/>
      <c r="J492" s="1913"/>
      <c r="K492" s="1913"/>
      <c r="L492" s="1913"/>
      <c r="M492" s="1913"/>
      <c r="N492" s="1913"/>
      <c r="O492" s="1913"/>
      <c r="P492" s="1913"/>
      <c r="Q492" s="1913"/>
      <c r="R492" s="1913"/>
      <c r="S492" s="1913"/>
    </row>
    <row r="493" spans="2:19" ht="15.75" customHeight="1" outlineLevel="1">
      <c r="B493" s="1749"/>
      <c r="C493" s="1847"/>
      <c r="D493" s="1838"/>
      <c r="E493" s="1838"/>
      <c r="F493" s="1838"/>
      <c r="G493" s="1748"/>
      <c r="H493" s="1913"/>
      <c r="I493" s="1913"/>
      <c r="J493" s="1913"/>
      <c r="K493" s="1913"/>
      <c r="L493" s="1913"/>
      <c r="M493" s="1913"/>
      <c r="N493" s="1913"/>
      <c r="O493" s="1913"/>
      <c r="P493" s="1913"/>
      <c r="Q493" s="1913"/>
      <c r="R493" s="1913"/>
      <c r="S493" s="1913"/>
    </row>
    <row r="494" spans="2:19" ht="15.75" customHeight="1" outlineLevel="1">
      <c r="B494" s="1749"/>
      <c r="C494" s="1847"/>
      <c r="D494" s="1838"/>
      <c r="E494" s="1838"/>
      <c r="F494" s="1838"/>
      <c r="G494" s="1748"/>
      <c r="H494" s="1913"/>
      <c r="I494" s="1913"/>
      <c r="J494" s="1913"/>
      <c r="K494" s="1913"/>
      <c r="L494" s="1913"/>
      <c r="M494" s="1913"/>
      <c r="N494" s="1913"/>
      <c r="O494" s="1913"/>
      <c r="P494" s="1913"/>
      <c r="Q494" s="1913"/>
      <c r="R494" s="1913"/>
      <c r="S494" s="1913"/>
    </row>
    <row r="495" spans="2:19" ht="15.75" customHeight="1" outlineLevel="1">
      <c r="B495" s="1749"/>
      <c r="C495" s="1778"/>
      <c r="D495" s="1778"/>
      <c r="E495" s="1778"/>
      <c r="F495" s="1778"/>
      <c r="G495" s="1748"/>
      <c r="H495" s="1913"/>
      <c r="I495" s="1913"/>
      <c r="J495" s="1913"/>
      <c r="K495" s="1913"/>
      <c r="L495" s="1913"/>
      <c r="M495" s="1913"/>
      <c r="N495" s="1913"/>
      <c r="O495" s="1913"/>
      <c r="P495" s="1913"/>
      <c r="Q495" s="1913"/>
      <c r="R495" s="1913"/>
      <c r="S495" s="1913"/>
    </row>
    <row r="496" spans="2:19" ht="15.75" customHeight="1" outlineLevel="1">
      <c r="B496" s="1749"/>
      <c r="C496" s="1890"/>
      <c r="D496" s="1838"/>
      <c r="E496" s="1838"/>
      <c r="F496" s="1838"/>
      <c r="G496" s="1748"/>
      <c r="H496" s="1748"/>
      <c r="I496" s="1913"/>
      <c r="J496" s="1913"/>
      <c r="K496" s="1913"/>
      <c r="L496" s="1913"/>
      <c r="M496" s="1913"/>
      <c r="N496" s="1913"/>
      <c r="O496" s="1913"/>
      <c r="P496" s="1913"/>
      <c r="Q496" s="1913"/>
      <c r="R496" s="1913"/>
      <c r="S496" s="1913"/>
    </row>
    <row r="497" spans="2:19" ht="15.75" customHeight="1" outlineLevel="1">
      <c r="B497" s="1749"/>
      <c r="C497" s="1847"/>
      <c r="D497" s="1838"/>
      <c r="E497" s="1859"/>
      <c r="F497" s="1859"/>
      <c r="G497" s="1748"/>
      <c r="H497" s="1913"/>
      <c r="I497" s="1913"/>
      <c r="J497" s="1913"/>
      <c r="K497" s="1913"/>
      <c r="L497" s="1913"/>
      <c r="M497" s="1913"/>
      <c r="N497" s="1913"/>
      <c r="O497" s="1913"/>
      <c r="P497" s="1913"/>
      <c r="Q497" s="1913"/>
      <c r="R497" s="1913"/>
      <c r="S497" s="1913"/>
    </row>
    <row r="498" spans="2:19" ht="15.75" customHeight="1" outlineLevel="1">
      <c r="B498" s="1749"/>
      <c r="C498" s="1847"/>
      <c r="D498" s="1838"/>
      <c r="E498" s="1779"/>
      <c r="F498" s="1858"/>
      <c r="G498" s="1748"/>
      <c r="H498" s="1913"/>
      <c r="I498" s="1913"/>
      <c r="J498" s="1913"/>
      <c r="K498" s="1913"/>
      <c r="L498" s="1913"/>
      <c r="M498" s="1913"/>
      <c r="N498" s="1913"/>
      <c r="O498" s="1913"/>
      <c r="P498" s="1913"/>
      <c r="Q498" s="1913"/>
      <c r="R498" s="1913"/>
      <c r="S498" s="1913"/>
    </row>
    <row r="499" spans="2:19" ht="15.75" customHeight="1" outlineLevel="1">
      <c r="B499" s="1865"/>
      <c r="C499" s="1778"/>
      <c r="D499" s="1849"/>
      <c r="E499" s="1916"/>
      <c r="F499" s="1904"/>
      <c r="G499" s="1917"/>
      <c r="H499" s="1913"/>
      <c r="I499" s="1913"/>
      <c r="J499" s="1913"/>
      <c r="K499" s="1913"/>
      <c r="L499" s="1913"/>
      <c r="M499" s="1913"/>
      <c r="N499" s="1913"/>
      <c r="O499" s="1913"/>
      <c r="P499" s="1913"/>
      <c r="Q499" s="1913"/>
      <c r="R499" s="1913"/>
      <c r="S499" s="1913"/>
    </row>
    <row r="500" spans="2:19" ht="15.75" customHeight="1" outlineLevel="1">
      <c r="B500" s="1865"/>
      <c r="C500" s="1890"/>
      <c r="D500" s="1849"/>
      <c r="E500" s="1916"/>
      <c r="F500" s="1789"/>
      <c r="G500" s="1748"/>
      <c r="H500" s="1748"/>
      <c r="I500" s="1913"/>
      <c r="J500" s="1913"/>
      <c r="K500" s="1913"/>
      <c r="L500" s="1913"/>
      <c r="M500" s="1913"/>
      <c r="N500" s="1913"/>
      <c r="O500" s="1913"/>
      <c r="P500" s="1913"/>
      <c r="Q500" s="1913"/>
      <c r="R500" s="1913"/>
      <c r="S500" s="1913"/>
    </row>
    <row r="501" spans="2:19" ht="15.75" customHeight="1" outlineLevel="1">
      <c r="B501" s="1865"/>
      <c r="C501" s="1847"/>
      <c r="D501" s="1913"/>
      <c r="E501" s="1913"/>
      <c r="F501" s="1913"/>
      <c r="G501" s="1913"/>
      <c r="H501" s="1913"/>
      <c r="I501" s="1913"/>
      <c r="J501" s="1913"/>
      <c r="K501" s="1913"/>
      <c r="L501" s="1913"/>
      <c r="M501" s="1913"/>
      <c r="N501" s="1913"/>
      <c r="O501" s="1913"/>
      <c r="P501" s="1913"/>
      <c r="Q501" s="1913"/>
      <c r="R501" s="1913"/>
      <c r="S501" s="1913"/>
    </row>
    <row r="502" spans="2:19" ht="15.75" customHeight="1">
      <c r="B502" s="1778"/>
      <c r="C502" s="1847"/>
      <c r="D502" s="1778"/>
      <c r="E502" s="1778"/>
      <c r="F502" s="1778"/>
      <c r="G502" s="1748"/>
      <c r="H502" s="1748"/>
      <c r="I502" s="1778"/>
      <c r="J502" s="1778"/>
      <c r="K502" s="1918"/>
      <c r="L502" s="1918"/>
      <c r="M502" s="1838"/>
      <c r="N502" s="1749"/>
      <c r="O502" s="1749"/>
      <c r="P502" s="1749"/>
      <c r="Q502" s="1749"/>
      <c r="R502" s="1749"/>
      <c r="S502" s="1749"/>
    </row>
    <row r="503" spans="2:19" ht="15.75" customHeight="1">
      <c r="B503" s="1749"/>
      <c r="C503" s="354"/>
      <c r="I503" s="1872"/>
      <c r="J503" s="1873"/>
      <c r="K503" s="1874"/>
      <c r="L503" s="1875"/>
      <c r="M503" s="1838"/>
      <c r="N503" s="1897"/>
      <c r="O503" s="1897"/>
      <c r="P503" s="1897"/>
      <c r="Q503" s="1897"/>
      <c r="R503" s="1897"/>
      <c r="S503" s="1897"/>
    </row>
    <row r="504" spans="2:19" ht="15.75" customHeight="1">
      <c r="B504" s="1865"/>
      <c r="C504" s="1873"/>
      <c r="D504" s="1873"/>
      <c r="E504" s="1873"/>
      <c r="F504" s="1873"/>
      <c r="I504" s="1872"/>
      <c r="J504" s="1873"/>
      <c r="K504" s="1893"/>
      <c r="L504" s="1893"/>
      <c r="M504" s="1838"/>
      <c r="N504" s="1749"/>
      <c r="O504" s="1749"/>
      <c r="P504" s="1749"/>
      <c r="Q504" s="1749"/>
      <c r="R504" s="1749"/>
      <c r="S504" s="1749"/>
    </row>
    <row r="505" spans="2:19" ht="27" outlineLevel="1">
      <c r="B505" s="1865"/>
      <c r="C505" s="1871"/>
      <c r="I505" s="1872"/>
      <c r="J505" s="1873"/>
      <c r="K505" s="1874"/>
      <c r="L505" s="1875"/>
      <c r="M505" s="1876"/>
      <c r="N505" s="1875"/>
      <c r="O505" s="1875"/>
      <c r="P505" s="1875"/>
      <c r="Q505" s="1875"/>
      <c r="R505" s="1875"/>
      <c r="S505" s="1875"/>
    </row>
    <row r="506" spans="2:19" ht="3" customHeight="1" outlineLevel="1">
      <c r="B506" s="1865"/>
      <c r="C506" s="1877"/>
      <c r="D506" s="1877"/>
      <c r="E506" s="1877"/>
      <c r="F506" s="1877"/>
      <c r="G506" s="1758"/>
      <c r="H506" s="1758"/>
      <c r="I506" s="1877"/>
      <c r="J506" s="1877"/>
      <c r="K506" s="1877"/>
      <c r="L506" s="1877"/>
      <c r="M506" s="1877"/>
      <c r="N506" s="1877"/>
      <c r="O506" s="1877"/>
      <c r="P506" s="1877"/>
      <c r="Q506" s="1877"/>
      <c r="R506" s="1877"/>
      <c r="S506" s="1877"/>
    </row>
    <row r="507" spans="2:19" ht="15.75" customHeight="1" outlineLevel="1">
      <c r="B507" s="1865"/>
      <c r="C507" s="354"/>
      <c r="I507" s="1872"/>
      <c r="J507" s="1873"/>
      <c r="K507" s="1874"/>
      <c r="L507" s="1875"/>
      <c r="M507" s="1876"/>
      <c r="N507" s="1875"/>
      <c r="O507" s="1875"/>
      <c r="P507" s="1875"/>
      <c r="Q507" s="1875"/>
      <c r="R507" s="1875"/>
      <c r="S507" s="1875"/>
    </row>
    <row r="508" spans="2:19" ht="15.75" customHeight="1" outlineLevel="1">
      <c r="B508" s="1865"/>
      <c r="C508" s="1794"/>
      <c r="I508" s="1872"/>
      <c r="J508" s="1919"/>
      <c r="K508" s="1920"/>
      <c r="L508" s="1921"/>
      <c r="M508" s="1920"/>
      <c r="N508" s="1921"/>
      <c r="O508" s="1921"/>
      <c r="P508" s="1921"/>
      <c r="Q508" s="1921"/>
      <c r="R508" s="1921"/>
      <c r="S508" s="1921"/>
    </row>
    <row r="509" spans="2:19" ht="15.75" customHeight="1" outlineLevel="1">
      <c r="B509" s="1865"/>
      <c r="C509" s="1843"/>
      <c r="D509" s="1767"/>
      <c r="E509" s="1767"/>
      <c r="F509" s="1767"/>
      <c r="G509" s="1834"/>
      <c r="H509" s="1768"/>
      <c r="I509" s="1768"/>
      <c r="J509" s="1768"/>
      <c r="K509" s="1768"/>
      <c r="L509" s="1769"/>
      <c r="M509" s="1769"/>
      <c r="N509" s="1769"/>
      <c r="O509" s="1769"/>
      <c r="P509" s="1769"/>
      <c r="Q509" s="1769"/>
      <c r="R509" s="1769"/>
      <c r="S509" s="1769"/>
    </row>
    <row r="510" spans="2:19" ht="15.75" customHeight="1" outlineLevel="1">
      <c r="B510" s="1865"/>
      <c r="C510" s="1844"/>
      <c r="D510" s="1771"/>
      <c r="E510" s="1771"/>
      <c r="F510" s="1771"/>
      <c r="G510" s="1815"/>
      <c r="H510" s="1772"/>
      <c r="I510" s="1772"/>
      <c r="J510" s="1772"/>
      <c r="K510" s="1772"/>
      <c r="L510" s="1772"/>
      <c r="M510" s="1772"/>
      <c r="N510" s="1772"/>
      <c r="O510" s="1772"/>
      <c r="P510" s="1772"/>
      <c r="Q510" s="1772"/>
      <c r="R510" s="1772"/>
      <c r="S510" s="1772"/>
    </row>
    <row r="511" spans="2:19" ht="15.75" customHeight="1" outlineLevel="1">
      <c r="B511" s="1865"/>
      <c r="C511" s="1856"/>
      <c r="D511" s="1774"/>
      <c r="E511" s="1775"/>
      <c r="F511" s="1775"/>
      <c r="G511" s="1816"/>
      <c r="H511" s="1817"/>
      <c r="I511" s="1817"/>
      <c r="J511" s="1817"/>
      <c r="K511" s="1817"/>
      <c r="L511" s="1817"/>
      <c r="M511" s="1817"/>
      <c r="N511" s="1817"/>
      <c r="O511" s="1817"/>
      <c r="P511" s="1817"/>
      <c r="Q511" s="1817"/>
      <c r="R511" s="1817"/>
      <c r="S511" s="1817"/>
    </row>
    <row r="512" spans="2:19" ht="15.75" customHeight="1" outlineLevel="1">
      <c r="B512" s="1865"/>
      <c r="C512" s="1922"/>
      <c r="D512" s="1922"/>
      <c r="E512" s="1922"/>
      <c r="F512" s="1922"/>
      <c r="G512" s="1780"/>
      <c r="H512" s="1780"/>
      <c r="I512" s="1879"/>
      <c r="J512" s="1857"/>
      <c r="K512" s="1857"/>
      <c r="L512" s="1857"/>
      <c r="M512" s="1838"/>
      <c r="N512" s="1749"/>
      <c r="O512" s="1749"/>
      <c r="P512" s="1749"/>
      <c r="Q512" s="1749"/>
      <c r="R512" s="1749"/>
      <c r="S512" s="1749"/>
    </row>
    <row r="513" spans="2:19" ht="15.75" customHeight="1" outlineLevel="1">
      <c r="B513" s="1749"/>
      <c r="C513" s="1778"/>
      <c r="D513" s="1778"/>
      <c r="E513" s="1778"/>
      <c r="F513" s="1778"/>
      <c r="G513" s="1748"/>
      <c r="H513" s="1913"/>
      <c r="I513" s="1913"/>
      <c r="J513" s="1913"/>
      <c r="K513" s="1913"/>
      <c r="L513" s="1913"/>
      <c r="M513" s="1913"/>
      <c r="N513" s="1913"/>
      <c r="O513" s="1913"/>
      <c r="P513" s="1913"/>
      <c r="Q513" s="1913"/>
      <c r="R513" s="1913"/>
      <c r="S513" s="1913"/>
    </row>
    <row r="514" spans="2:19" ht="15.75" customHeight="1" outlineLevel="1">
      <c r="B514" s="1749"/>
      <c r="C514" s="1778"/>
      <c r="D514" s="1778"/>
      <c r="E514" s="1778"/>
      <c r="F514" s="1778"/>
      <c r="G514" s="1748"/>
      <c r="H514" s="1839"/>
      <c r="I514" s="1839"/>
      <c r="J514" s="1839"/>
      <c r="K514" s="1839"/>
      <c r="L514" s="1839"/>
      <c r="M514" s="1839"/>
      <c r="N514" s="1839"/>
      <c r="O514" s="1839"/>
      <c r="P514" s="1839"/>
      <c r="Q514" s="1839"/>
      <c r="R514" s="1839"/>
      <c r="S514" s="1839"/>
    </row>
    <row r="515" spans="2:19" ht="15.75" customHeight="1" outlineLevel="1">
      <c r="B515" s="1749"/>
      <c r="C515" s="1778"/>
      <c r="D515" s="1778"/>
      <c r="E515" s="1778"/>
      <c r="F515" s="1778"/>
      <c r="G515" s="1748"/>
      <c r="H515" s="1863"/>
      <c r="I515" s="1923"/>
      <c r="J515" s="1923"/>
      <c r="K515" s="1863"/>
      <c r="L515" s="1863"/>
      <c r="M515" s="1863"/>
      <c r="N515" s="1863"/>
      <c r="O515" s="1863"/>
      <c r="P515" s="1863"/>
      <c r="Q515" s="1863"/>
      <c r="R515" s="1863"/>
      <c r="S515" s="1863"/>
    </row>
    <row r="516" spans="2:19" ht="7.5" customHeight="1" outlineLevel="1">
      <c r="B516" s="1865"/>
      <c r="C516" s="1778"/>
      <c r="D516" s="1778"/>
      <c r="E516" s="1778"/>
      <c r="F516" s="1778"/>
      <c r="G516" s="1748"/>
      <c r="H516" s="1748"/>
      <c r="I516" s="1870"/>
      <c r="J516" s="1831"/>
      <c r="K516" s="1831"/>
      <c r="L516" s="1831"/>
      <c r="M516" s="1838"/>
      <c r="N516" s="1749"/>
      <c r="O516" s="1749"/>
      <c r="P516" s="1749"/>
      <c r="Q516" s="1749"/>
      <c r="R516" s="1749"/>
      <c r="S516" s="1749"/>
    </row>
    <row r="517" spans="2:19" ht="15.75" customHeight="1" outlineLevel="1">
      <c r="B517" s="1865"/>
      <c r="C517" s="1865"/>
      <c r="D517" s="1865"/>
      <c r="E517" s="1778"/>
      <c r="F517" s="1778"/>
      <c r="G517" s="1748"/>
      <c r="H517" s="1748"/>
      <c r="I517" s="1831"/>
      <c r="J517" s="1924"/>
      <c r="K517" s="1924"/>
      <c r="L517" s="1924"/>
      <c r="M517" s="1831"/>
      <c r="N517" s="1924"/>
      <c r="O517" s="1924"/>
      <c r="P517" s="1924"/>
      <c r="Q517" s="1924"/>
      <c r="R517" s="1924"/>
      <c r="S517" s="1924"/>
    </row>
    <row r="518" spans="2:19" ht="15.75" customHeight="1" outlineLevel="2">
      <c r="B518" s="1865"/>
      <c r="C518" s="1824"/>
      <c r="D518" s="1865"/>
      <c r="E518" s="1778"/>
      <c r="F518" s="1778"/>
      <c r="G518" s="1748"/>
      <c r="H518" s="1748"/>
      <c r="I518" s="1913"/>
      <c r="J518" s="1913"/>
      <c r="K518" s="1913"/>
      <c r="L518" s="1913"/>
      <c r="M518" s="1913"/>
      <c r="N518" s="1913"/>
      <c r="O518" s="1913"/>
      <c r="P518" s="1913"/>
      <c r="Q518" s="1913"/>
      <c r="R518" s="1913"/>
      <c r="S518" s="1913"/>
    </row>
    <row r="519" spans="2:19" ht="15.75" customHeight="1" outlineLevel="1">
      <c r="B519" s="1865"/>
      <c r="C519" s="1824"/>
      <c r="D519" s="1865"/>
      <c r="E519" s="1778"/>
      <c r="F519" s="1778"/>
      <c r="G519" s="1748"/>
      <c r="H519" s="1748"/>
      <c r="I519" s="1831"/>
      <c r="J519" s="1831"/>
      <c r="K519" s="1831"/>
      <c r="L519" s="1831"/>
      <c r="M519" s="1831"/>
      <c r="N519" s="1831"/>
      <c r="O519" s="1831"/>
      <c r="P519" s="1831"/>
      <c r="Q519" s="1831"/>
      <c r="R519" s="1831"/>
      <c r="S519" s="1831"/>
    </row>
    <row r="520" spans="2:19" ht="15.75" customHeight="1" outlineLevel="2">
      <c r="B520" s="1865"/>
      <c r="C520" s="1824"/>
      <c r="D520" s="1865"/>
      <c r="E520" s="1778"/>
      <c r="F520" s="1778"/>
      <c r="G520" s="1748"/>
      <c r="H520" s="1748"/>
      <c r="I520" s="1831"/>
      <c r="J520" s="1839"/>
      <c r="K520" s="1839"/>
      <c r="L520" s="1839"/>
      <c r="M520" s="1839"/>
      <c r="N520" s="1839"/>
      <c r="O520" s="1839"/>
      <c r="P520" s="1839"/>
      <c r="Q520" s="1839"/>
      <c r="R520" s="1839"/>
      <c r="S520" s="1839"/>
    </row>
    <row r="521" spans="2:19" ht="15.75" customHeight="1" outlineLevel="1">
      <c r="B521" s="1865"/>
      <c r="C521" s="1865"/>
      <c r="D521" s="1831"/>
      <c r="E521" s="1831"/>
      <c r="F521" s="1831"/>
      <c r="G521" s="1831"/>
      <c r="H521" s="1831"/>
      <c r="I521" s="1831"/>
      <c r="J521" s="1831"/>
      <c r="K521" s="1831"/>
      <c r="L521" s="1831"/>
      <c r="M521" s="1831"/>
      <c r="N521" s="1831"/>
      <c r="O521" s="1831"/>
      <c r="P521" s="1831"/>
      <c r="Q521" s="1831"/>
      <c r="R521" s="1831"/>
      <c r="S521" s="1831"/>
    </row>
    <row r="522" spans="2:19" ht="6.75" customHeight="1" outlineLevel="1">
      <c r="B522" s="1865"/>
      <c r="C522" s="1865"/>
      <c r="D522" s="1865"/>
      <c r="E522" s="1778"/>
      <c r="F522" s="1857"/>
      <c r="G522" s="1748"/>
      <c r="H522" s="1748"/>
      <c r="I522" s="1831"/>
      <c r="J522" s="1831"/>
      <c r="K522" s="1831"/>
      <c r="L522" s="1831"/>
      <c r="M522" s="1838"/>
      <c r="N522" s="1749"/>
      <c r="O522" s="1749"/>
      <c r="P522" s="1749"/>
      <c r="Q522" s="1749"/>
      <c r="R522" s="1749"/>
      <c r="S522" s="1749"/>
    </row>
    <row r="523" spans="2:19" ht="15.75" customHeight="1" outlineLevel="1">
      <c r="B523" s="1865"/>
      <c r="C523" s="1865"/>
      <c r="D523" s="1865"/>
      <c r="E523" s="1778"/>
      <c r="F523" s="1778"/>
      <c r="G523" s="1748"/>
      <c r="H523" s="1748"/>
      <c r="I523" s="1831"/>
      <c r="J523" s="1924"/>
      <c r="K523" s="1924"/>
      <c r="L523" s="1924"/>
      <c r="M523" s="1831"/>
      <c r="N523" s="1924"/>
      <c r="O523" s="1924"/>
      <c r="P523" s="1924"/>
      <c r="Q523" s="1924"/>
      <c r="R523" s="1924"/>
      <c r="S523" s="1924"/>
    </row>
    <row r="524" spans="2:19" ht="15.75" customHeight="1" outlineLevel="1">
      <c r="B524" s="1865"/>
      <c r="C524" s="1824"/>
      <c r="D524" s="1865"/>
      <c r="E524" s="1778"/>
      <c r="F524" s="1778"/>
      <c r="G524" s="1748"/>
      <c r="H524" s="1748"/>
      <c r="I524" s="1913"/>
      <c r="J524" s="1913"/>
      <c r="K524" s="1913"/>
      <c r="L524" s="1913"/>
      <c r="M524" s="1913"/>
      <c r="N524" s="1913"/>
      <c r="O524" s="1913"/>
      <c r="P524" s="1913"/>
      <c r="Q524" s="1913"/>
      <c r="R524" s="1913"/>
      <c r="S524" s="1913"/>
    </row>
    <row r="525" spans="2:19" ht="15.75" customHeight="1" outlineLevel="1">
      <c r="B525" s="1865"/>
      <c r="C525" s="1824"/>
      <c r="D525" s="1865"/>
      <c r="E525" s="1778"/>
      <c r="F525" s="1778"/>
      <c r="G525" s="1748"/>
      <c r="H525" s="1748"/>
      <c r="I525" s="1831"/>
      <c r="J525" s="1913"/>
      <c r="K525" s="1831"/>
      <c r="L525" s="1831"/>
      <c r="M525" s="1831"/>
      <c r="N525" s="1831"/>
      <c r="O525" s="1831"/>
      <c r="P525" s="1831"/>
      <c r="Q525" s="1831"/>
      <c r="R525" s="1831"/>
      <c r="S525" s="1831"/>
    </row>
    <row r="526" spans="2:19" ht="15.75" customHeight="1" outlineLevel="1">
      <c r="B526" s="1865"/>
      <c r="C526" s="1824"/>
      <c r="D526" s="1865"/>
      <c r="E526" s="1778"/>
      <c r="F526" s="1778"/>
      <c r="G526" s="1748"/>
      <c r="H526" s="1748"/>
      <c r="I526" s="1831"/>
      <c r="J526" s="1839"/>
      <c r="K526" s="1839"/>
      <c r="L526" s="1839"/>
      <c r="M526" s="1839"/>
      <c r="N526" s="1839"/>
      <c r="O526" s="1839"/>
      <c r="P526" s="1839"/>
      <c r="Q526" s="1839"/>
      <c r="R526" s="1839"/>
      <c r="S526" s="1839"/>
    </row>
    <row r="527" spans="2:19" ht="15.75" customHeight="1" outlineLevel="1">
      <c r="B527" s="1865"/>
      <c r="C527" s="1865"/>
      <c r="D527" s="1865"/>
      <c r="E527" s="1778"/>
      <c r="F527" s="1778"/>
      <c r="G527" s="1748"/>
      <c r="H527" s="1831"/>
      <c r="I527" s="1831"/>
      <c r="J527" s="1831"/>
      <c r="K527" s="1831"/>
      <c r="L527" s="1831"/>
      <c r="M527" s="1831"/>
      <c r="N527" s="1831"/>
      <c r="O527" s="1831"/>
      <c r="P527" s="1831"/>
      <c r="Q527" s="1831"/>
      <c r="R527" s="1831"/>
      <c r="S527" s="1831"/>
    </row>
    <row r="528" spans="2:19" ht="15.75" customHeight="1" outlineLevel="1">
      <c r="B528" s="1865"/>
      <c r="C528" s="1865"/>
      <c r="D528" s="1865"/>
      <c r="E528" s="1778"/>
      <c r="F528" s="1857"/>
      <c r="G528" s="1748"/>
      <c r="H528" s="1748"/>
      <c r="I528" s="1831"/>
      <c r="J528" s="1831"/>
      <c r="K528" s="1831"/>
      <c r="L528" s="1831"/>
      <c r="M528" s="1838"/>
      <c r="N528" s="1749"/>
      <c r="O528" s="1749"/>
      <c r="P528" s="1749"/>
      <c r="Q528" s="1749"/>
      <c r="R528" s="1749"/>
      <c r="S528" s="1749"/>
    </row>
    <row r="529" spans="2:19" ht="15.75" customHeight="1" outlineLevel="2">
      <c r="C529" s="1865"/>
      <c r="D529" s="1865"/>
      <c r="E529" s="1831"/>
      <c r="F529" s="1857"/>
      <c r="G529" s="1748"/>
      <c r="H529" s="1831"/>
      <c r="I529" s="1873"/>
      <c r="J529" s="1831"/>
      <c r="K529" s="1831"/>
      <c r="L529" s="1831"/>
      <c r="M529" s="1838"/>
      <c r="N529" s="1749"/>
      <c r="O529" s="1749"/>
      <c r="P529" s="1749"/>
      <c r="Q529" s="1749"/>
      <c r="R529" s="1749"/>
      <c r="S529" s="1749"/>
    </row>
    <row r="530" spans="2:19" ht="15.75" customHeight="1" outlineLevel="2">
      <c r="C530" s="1824"/>
      <c r="D530" s="1865"/>
      <c r="E530" s="1925"/>
      <c r="F530" s="1831"/>
      <c r="G530" s="1831"/>
      <c r="H530" s="1831"/>
      <c r="I530" s="1831"/>
      <c r="J530" s="1831"/>
      <c r="K530" s="1831"/>
      <c r="L530" s="1831"/>
      <c r="M530" s="1831"/>
      <c r="N530" s="1831"/>
      <c r="O530" s="1831"/>
      <c r="P530" s="1831"/>
      <c r="Q530" s="1831"/>
      <c r="R530" s="1831"/>
      <c r="S530" s="1831"/>
    </row>
    <row r="531" spans="2:19" ht="15.75" customHeight="1" outlineLevel="2">
      <c r="C531" s="1824"/>
      <c r="D531" s="1865"/>
      <c r="E531" s="1925"/>
      <c r="F531" s="1831"/>
      <c r="G531" s="1831"/>
      <c r="H531" s="1831"/>
      <c r="I531" s="1831"/>
      <c r="J531" s="1831"/>
      <c r="K531" s="1831"/>
      <c r="L531" s="1831"/>
      <c r="M531" s="1831"/>
      <c r="N531" s="1831"/>
      <c r="O531" s="1831"/>
      <c r="P531" s="1831"/>
      <c r="Q531" s="1831"/>
      <c r="R531" s="1831"/>
      <c r="S531" s="1831"/>
    </row>
    <row r="532" spans="2:19" ht="15.75" customHeight="1" outlineLevel="2">
      <c r="C532" s="1824"/>
      <c r="F532" s="1857"/>
      <c r="G532" s="1868"/>
      <c r="H532" s="1748"/>
      <c r="I532" s="354"/>
      <c r="L532" s="354"/>
      <c r="M532" s="1838"/>
      <c r="N532" s="1749"/>
      <c r="O532" s="1749"/>
      <c r="P532" s="1749"/>
      <c r="Q532" s="1749"/>
      <c r="R532" s="1749"/>
      <c r="S532" s="1749"/>
    </row>
    <row r="533" spans="2:19" ht="15.75" customHeight="1" outlineLevel="2">
      <c r="B533" s="1865"/>
      <c r="C533" s="1865"/>
      <c r="D533" s="1865"/>
      <c r="E533" s="1865"/>
      <c r="F533" s="1924"/>
      <c r="G533" s="1809"/>
      <c r="H533" s="1809"/>
      <c r="I533" s="1879"/>
      <c r="J533" s="1873"/>
      <c r="K533" s="1831"/>
      <c r="L533" s="1831"/>
      <c r="M533" s="1838"/>
      <c r="N533" s="1749"/>
      <c r="O533" s="1749"/>
      <c r="P533" s="1749"/>
      <c r="Q533" s="1749"/>
      <c r="R533" s="1749"/>
      <c r="S533" s="1749"/>
    </row>
    <row r="534" spans="2:19" ht="15.75" customHeight="1" outlineLevel="2">
      <c r="B534" s="1865"/>
      <c r="C534" s="1824"/>
      <c r="D534" s="1865"/>
      <c r="E534" s="1865"/>
      <c r="F534" s="1926"/>
      <c r="G534" s="354"/>
      <c r="H534" s="1831"/>
      <c r="I534" s="1868"/>
      <c r="J534" s="1831"/>
      <c r="K534" s="1873"/>
      <c r="L534" s="1893"/>
      <c r="M534" s="1838"/>
      <c r="N534" s="1749"/>
      <c r="O534" s="1749"/>
      <c r="P534" s="1749"/>
      <c r="Q534" s="1749"/>
      <c r="R534" s="1749"/>
      <c r="S534" s="1749"/>
    </row>
    <row r="535" spans="2:19" ht="15.75" customHeight="1" outlineLevel="2">
      <c r="B535" s="1865"/>
      <c r="C535" s="1824"/>
      <c r="D535" s="1865"/>
      <c r="E535" s="1927"/>
      <c r="F535" s="1924"/>
      <c r="G535" s="354"/>
      <c r="H535" s="1789"/>
      <c r="I535" s="1831"/>
      <c r="J535" s="1831"/>
      <c r="K535" s="1831"/>
      <c r="L535" s="1831"/>
      <c r="M535" s="1838"/>
      <c r="N535" s="1749"/>
      <c r="O535" s="1749"/>
      <c r="P535" s="1749"/>
      <c r="Q535" s="1749"/>
      <c r="R535" s="1749"/>
      <c r="S535" s="1749"/>
    </row>
    <row r="536" spans="2:19" ht="15.75" customHeight="1" outlineLevel="2">
      <c r="B536" s="1865"/>
      <c r="C536" s="1865"/>
      <c r="D536" s="1865"/>
      <c r="E536" s="1927"/>
      <c r="F536" s="1924"/>
      <c r="G536" s="354"/>
      <c r="H536" s="1789"/>
      <c r="I536" s="1868"/>
      <c r="J536" s="1831"/>
      <c r="K536" s="1831"/>
      <c r="L536" s="1831"/>
      <c r="M536" s="1831"/>
      <c r="N536" s="1831"/>
      <c r="O536" s="1831"/>
      <c r="P536" s="1831"/>
      <c r="Q536" s="1831"/>
      <c r="R536" s="1831"/>
      <c r="S536" s="1831"/>
    </row>
    <row r="537" spans="2:19" ht="15.75" customHeight="1" outlineLevel="2">
      <c r="B537" s="1865"/>
      <c r="C537" s="1865"/>
      <c r="D537" s="1928"/>
      <c r="E537" s="1927"/>
      <c r="F537" s="1924"/>
      <c r="G537" s="354"/>
      <c r="H537" s="1789"/>
      <c r="I537" s="1868"/>
      <c r="J537" s="1831"/>
      <c r="K537" s="1831"/>
      <c r="L537" s="1831"/>
      <c r="M537" s="1831"/>
      <c r="N537" s="1831"/>
      <c r="O537" s="1831"/>
      <c r="P537" s="1831"/>
      <c r="Q537" s="1831"/>
      <c r="R537" s="1831"/>
      <c r="S537" s="1831"/>
    </row>
    <row r="538" spans="2:19" ht="15.75" customHeight="1" outlineLevel="2">
      <c r="B538" s="1865"/>
      <c r="C538" s="1865"/>
      <c r="D538" s="1929"/>
      <c r="E538" s="1927"/>
      <c r="F538" s="1924"/>
      <c r="G538" s="354"/>
      <c r="H538" s="1789"/>
      <c r="I538" s="1868"/>
      <c r="J538" s="1831"/>
      <c r="K538" s="1831"/>
      <c r="L538" s="1831"/>
      <c r="M538" s="1831"/>
      <c r="N538" s="1831"/>
      <c r="O538" s="1831"/>
      <c r="P538" s="1831"/>
      <c r="Q538" s="1831"/>
      <c r="R538" s="1831"/>
      <c r="S538" s="1831"/>
    </row>
    <row r="539" spans="2:19" ht="15.75" customHeight="1" outlineLevel="2">
      <c r="B539" s="1865"/>
      <c r="C539" s="1865"/>
      <c r="D539" s="1865"/>
      <c r="E539" s="1927"/>
      <c r="F539" s="1924"/>
      <c r="G539" s="354"/>
      <c r="H539" s="1789"/>
      <c r="I539" s="1868"/>
      <c r="J539" s="1831"/>
      <c r="K539" s="1831"/>
      <c r="L539" s="1831"/>
      <c r="M539" s="1838"/>
      <c r="N539" s="1831"/>
      <c r="O539" s="1831"/>
      <c r="P539" s="1831"/>
      <c r="Q539" s="1831"/>
      <c r="R539" s="1831"/>
      <c r="S539" s="1831"/>
    </row>
    <row r="540" spans="2:19" ht="15.75" customHeight="1" outlineLevel="2">
      <c r="B540" s="1865"/>
      <c r="C540" s="1865"/>
      <c r="D540" s="1865"/>
      <c r="E540" s="1927"/>
      <c r="F540" s="1924"/>
      <c r="G540" s="354"/>
      <c r="H540" s="1789"/>
      <c r="I540" s="1868"/>
      <c r="J540" s="1831"/>
      <c r="K540" s="1831"/>
      <c r="L540" s="1831"/>
      <c r="M540" s="1838"/>
      <c r="N540" s="1749"/>
      <c r="O540" s="1831"/>
      <c r="P540" s="1831"/>
      <c r="Q540" s="1831"/>
      <c r="R540" s="1831"/>
      <c r="S540" s="1831"/>
    </row>
    <row r="541" spans="2:19" ht="15.75" customHeight="1" outlineLevel="2">
      <c r="B541" s="1865"/>
      <c r="C541" s="1873"/>
      <c r="D541" s="1873"/>
      <c r="E541" s="1927"/>
      <c r="F541" s="1924"/>
      <c r="G541" s="354"/>
      <c r="H541" s="1789"/>
      <c r="I541" s="1868"/>
      <c r="L541" s="354"/>
      <c r="M541" s="1838"/>
      <c r="N541" s="1749"/>
      <c r="O541" s="1749"/>
      <c r="P541" s="1831"/>
      <c r="Q541" s="1831"/>
      <c r="R541" s="1831"/>
      <c r="S541" s="1831"/>
    </row>
    <row r="542" spans="2:19" ht="15.75" customHeight="1" outlineLevel="2">
      <c r="B542" s="1865"/>
      <c r="C542" s="1873"/>
      <c r="D542" s="1873"/>
      <c r="E542" s="1927"/>
      <c r="F542" s="1930"/>
      <c r="G542" s="354"/>
      <c r="H542" s="1789"/>
      <c r="I542" s="1868"/>
      <c r="L542" s="354"/>
      <c r="M542" s="1838"/>
      <c r="N542" s="1749"/>
      <c r="O542" s="1749"/>
      <c r="P542" s="1831"/>
      <c r="Q542" s="1831"/>
      <c r="R542" s="1831"/>
      <c r="S542" s="1831"/>
    </row>
    <row r="543" spans="2:19" ht="15.75" customHeight="1" outlineLevel="2">
      <c r="B543" s="1865"/>
      <c r="C543" s="1873"/>
      <c r="D543" s="1873"/>
      <c r="E543" s="1927"/>
      <c r="F543" s="1930"/>
      <c r="G543" s="354"/>
      <c r="H543" s="1789"/>
      <c r="I543" s="1868"/>
      <c r="L543" s="354"/>
      <c r="M543" s="1838"/>
      <c r="N543" s="1749"/>
      <c r="O543" s="1749"/>
      <c r="P543" s="1831"/>
      <c r="Q543" s="1831"/>
      <c r="R543" s="1831"/>
      <c r="S543" s="1831"/>
    </row>
    <row r="544" spans="2:19" ht="15.75" customHeight="1" outlineLevel="2">
      <c r="B544" s="1865"/>
      <c r="C544" s="1865"/>
      <c r="D544" s="1865"/>
      <c r="E544" s="1865"/>
      <c r="F544" s="1865"/>
      <c r="G544" s="1748"/>
      <c r="H544" s="1839"/>
      <c r="I544" s="1839"/>
      <c r="J544" s="1839"/>
      <c r="K544" s="1839"/>
      <c r="L544" s="1839"/>
      <c r="M544" s="1839"/>
      <c r="N544" s="1839"/>
      <c r="O544" s="1839"/>
      <c r="P544" s="1839"/>
      <c r="Q544" s="1839"/>
      <c r="R544" s="1839"/>
      <c r="S544" s="1839"/>
    </row>
    <row r="545" spans="2:19" ht="15.75" customHeight="1" outlineLevel="2">
      <c r="B545" s="1865"/>
      <c r="C545" s="1865"/>
      <c r="D545" s="1865"/>
      <c r="E545" s="1865"/>
      <c r="F545" s="1865"/>
      <c r="I545" s="1778"/>
      <c r="J545" s="1865"/>
      <c r="K545" s="1925"/>
      <c r="L545" s="1925"/>
      <c r="M545" s="1838"/>
      <c r="N545" s="1749"/>
      <c r="O545" s="1749"/>
      <c r="P545" s="1749"/>
      <c r="Q545" s="1749"/>
      <c r="R545" s="1749"/>
      <c r="S545" s="1749"/>
    </row>
    <row r="546" spans="2:19" ht="15.75" customHeight="1" outlineLevel="2">
      <c r="B546" s="1865"/>
      <c r="C546" s="1865"/>
      <c r="D546" s="1865"/>
      <c r="E546" s="1865"/>
      <c r="F546" s="1865"/>
      <c r="I546" s="1778"/>
      <c r="J546" s="1865"/>
      <c r="K546" s="1925"/>
      <c r="L546" s="1925"/>
      <c r="M546" s="1838"/>
      <c r="N546" s="1749"/>
      <c r="O546" s="1749"/>
      <c r="P546" s="1749"/>
      <c r="Q546" s="1749"/>
      <c r="R546" s="1749"/>
      <c r="S546" s="1749"/>
    </row>
    <row r="547" spans="2:19" ht="15.75" customHeight="1" outlineLevel="2">
      <c r="B547" s="1865"/>
      <c r="C547" s="1865"/>
      <c r="D547" s="1865"/>
      <c r="E547" s="1865"/>
      <c r="F547" s="1865"/>
      <c r="I547" s="1778"/>
      <c r="J547" s="1865"/>
      <c r="K547" s="1925"/>
      <c r="L547" s="1925"/>
      <c r="M547" s="1838"/>
      <c r="N547" s="1749"/>
      <c r="O547" s="1749"/>
      <c r="P547" s="1749"/>
      <c r="Q547" s="1749"/>
      <c r="R547" s="1749"/>
      <c r="S547" s="1749"/>
    </row>
    <row r="548" spans="2:19" ht="15.75" customHeight="1" outlineLevel="2">
      <c r="B548" s="1865"/>
      <c r="C548" s="1865"/>
      <c r="D548" s="1865"/>
      <c r="E548" s="1865"/>
      <c r="F548" s="1865"/>
      <c r="I548" s="1778"/>
      <c r="J548" s="1865"/>
      <c r="K548" s="1925"/>
      <c r="L548" s="1925"/>
      <c r="M548" s="1838"/>
      <c r="N548" s="1749"/>
      <c r="O548" s="1749"/>
      <c r="P548" s="1749"/>
      <c r="Q548" s="1749"/>
      <c r="R548" s="1749"/>
      <c r="S548" s="1749"/>
    </row>
    <row r="549" spans="2:19" ht="15.75" customHeight="1" outlineLevel="2">
      <c r="B549" s="1865"/>
      <c r="C549" s="1865"/>
      <c r="D549" s="1865"/>
      <c r="E549" s="1865"/>
      <c r="F549" s="1865"/>
      <c r="I549" s="1778"/>
      <c r="J549" s="1865"/>
      <c r="K549" s="1925"/>
      <c r="L549" s="1925"/>
      <c r="M549" s="1838"/>
      <c r="N549" s="1749"/>
      <c r="O549" s="1749"/>
      <c r="P549" s="1749"/>
      <c r="Q549" s="1749"/>
      <c r="R549" s="1749"/>
      <c r="S549" s="1749"/>
    </row>
    <row r="550" spans="2:19" ht="15.75" customHeight="1" outlineLevel="2">
      <c r="B550" s="1749"/>
      <c r="C550" s="354"/>
      <c r="I550" s="1872"/>
      <c r="J550" s="1873"/>
      <c r="K550" s="1874"/>
      <c r="L550" s="1875"/>
      <c r="M550" s="1838"/>
      <c r="N550" s="1897"/>
      <c r="O550" s="1897"/>
      <c r="P550" s="1897"/>
      <c r="Q550" s="1897"/>
      <c r="R550" s="1897"/>
      <c r="S550" s="1897"/>
    </row>
    <row r="551" spans="2:19" ht="15.75" customHeight="1" outlineLevel="2">
      <c r="B551" s="1865"/>
      <c r="C551" s="1865"/>
      <c r="D551" s="1865"/>
      <c r="E551" s="1865"/>
      <c r="F551" s="1865"/>
      <c r="I551" s="1931"/>
      <c r="J551" s="1924"/>
      <c r="K551" s="1932"/>
      <c r="L551" s="1932"/>
      <c r="M551" s="1838"/>
      <c r="N551" s="1749"/>
      <c r="O551" s="1749"/>
      <c r="P551" s="1749"/>
      <c r="Q551" s="1749"/>
      <c r="R551" s="1749"/>
      <c r="S551" s="1749"/>
    </row>
    <row r="552" spans="2:19" ht="27" outlineLevel="2">
      <c r="B552" s="1865"/>
      <c r="C552" s="1871"/>
      <c r="I552" s="1872"/>
      <c r="J552" s="1873"/>
      <c r="K552" s="1874"/>
      <c r="L552" s="1875"/>
      <c r="M552" s="1876"/>
      <c r="N552" s="1875"/>
      <c r="O552" s="1875"/>
      <c r="P552" s="1875"/>
      <c r="Q552" s="1875"/>
      <c r="R552" s="1875"/>
      <c r="S552" s="1875"/>
    </row>
    <row r="553" spans="2:19" ht="3" customHeight="1" outlineLevel="2">
      <c r="B553" s="1865"/>
      <c r="C553" s="1877"/>
      <c r="D553" s="1877"/>
      <c r="E553" s="1877"/>
      <c r="F553" s="1877"/>
      <c r="G553" s="1758"/>
      <c r="H553" s="1758"/>
      <c r="I553" s="1877"/>
      <c r="J553" s="1877"/>
      <c r="K553" s="1877"/>
      <c r="L553" s="1877"/>
      <c r="M553" s="1877"/>
      <c r="N553" s="1877"/>
      <c r="O553" s="1877"/>
      <c r="P553" s="1877"/>
      <c r="Q553" s="1877"/>
      <c r="R553" s="1877"/>
      <c r="S553" s="1877"/>
    </row>
    <row r="554" spans="2:19" ht="15.75" customHeight="1" outlineLevel="2">
      <c r="B554" s="1865"/>
      <c r="C554" s="354"/>
      <c r="I554" s="1872"/>
      <c r="J554" s="1873"/>
      <c r="K554" s="1874"/>
      <c r="L554" s="1875"/>
      <c r="M554" s="1876"/>
      <c r="N554" s="1875"/>
      <c r="O554" s="1875"/>
      <c r="P554" s="1875"/>
      <c r="Q554" s="1875"/>
      <c r="R554" s="1875"/>
      <c r="S554" s="1875"/>
    </row>
    <row r="555" spans="2:19" ht="15.75" customHeight="1" outlineLevel="2">
      <c r="B555" s="1865"/>
      <c r="C555" s="1933"/>
      <c r="D555" s="1762"/>
      <c r="E555" s="1762"/>
      <c r="F555" s="1762"/>
      <c r="G555" s="1852"/>
      <c r="H555" s="1852"/>
      <c r="I555" s="1919"/>
      <c r="J555" s="1919"/>
      <c r="K555" s="1920"/>
      <c r="L555" s="1921"/>
      <c r="M555" s="1920"/>
      <c r="N555" s="1921"/>
      <c r="O555" s="1921"/>
      <c r="P555" s="1921"/>
      <c r="Q555" s="1921"/>
      <c r="R555" s="1921"/>
      <c r="S555" s="1921"/>
    </row>
    <row r="556" spans="2:19" ht="15.75" customHeight="1" outlineLevel="2">
      <c r="B556" s="1865"/>
      <c r="C556" s="1837"/>
      <c r="D556" s="1872"/>
      <c r="E556" s="1872"/>
      <c r="F556" s="1872"/>
      <c r="G556" s="1748"/>
      <c r="H556" s="1768"/>
      <c r="I556" s="1768"/>
      <c r="J556" s="1768"/>
      <c r="K556" s="1768"/>
      <c r="L556" s="1768"/>
      <c r="M556" s="1768"/>
      <c r="N556" s="1768"/>
      <c r="O556" s="1768"/>
      <c r="P556" s="1768"/>
      <c r="Q556" s="1768"/>
      <c r="R556" s="1768"/>
      <c r="S556" s="1768"/>
    </row>
    <row r="557" spans="2:19" ht="15.75" customHeight="1" outlineLevel="2">
      <c r="B557" s="1865"/>
      <c r="C557" s="1844"/>
      <c r="D557" s="1771"/>
      <c r="E557" s="1771"/>
      <c r="F557" s="1771"/>
      <c r="G557" s="1815"/>
      <c r="H557" s="1772"/>
      <c r="I557" s="1772"/>
      <c r="J557" s="1772"/>
      <c r="K557" s="1772"/>
      <c r="L557" s="1772"/>
      <c r="M557" s="1772"/>
      <c r="N557" s="1772"/>
      <c r="O557" s="1772"/>
      <c r="P557" s="1772"/>
      <c r="Q557" s="1772"/>
      <c r="R557" s="1772"/>
      <c r="S557" s="1772"/>
    </row>
    <row r="558" spans="2:19" ht="15.75" customHeight="1" outlineLevel="2">
      <c r="B558" s="1865"/>
      <c r="C558" s="1856"/>
      <c r="D558" s="1774"/>
      <c r="E558" s="1775"/>
      <c r="F558" s="1775"/>
      <c r="G558" s="1816"/>
      <c r="H558" s="1817"/>
      <c r="I558" s="1817"/>
      <c r="J558" s="1817"/>
      <c r="K558" s="1817"/>
      <c r="L558" s="1817"/>
      <c r="M558" s="1817"/>
      <c r="N558" s="1817"/>
      <c r="O558" s="1817"/>
      <c r="P558" s="1817"/>
      <c r="Q558" s="1817"/>
      <c r="R558" s="1817"/>
      <c r="S558" s="1817"/>
    </row>
    <row r="559" spans="2:19" ht="15.75" customHeight="1" outlineLevel="2">
      <c r="B559" s="1865"/>
      <c r="C559" s="1873"/>
      <c r="D559" s="1873"/>
      <c r="E559" s="1873"/>
      <c r="F559" s="1873"/>
      <c r="I559" s="1872"/>
      <c r="J559" s="1873"/>
      <c r="K559" s="1873"/>
      <c r="L559" s="1893"/>
      <c r="M559" s="1838"/>
      <c r="N559" s="1749"/>
      <c r="O559" s="1749"/>
      <c r="P559" s="1749"/>
      <c r="Q559" s="1749"/>
      <c r="R559" s="1749"/>
      <c r="S559" s="1749"/>
    </row>
    <row r="560" spans="2:19" ht="15.75" customHeight="1" outlineLevel="2">
      <c r="B560" s="1865"/>
      <c r="C560" s="1778"/>
      <c r="D560" s="1778"/>
      <c r="E560" s="1778"/>
      <c r="F560" s="1778"/>
      <c r="G560" s="1748"/>
      <c r="H560" s="1748"/>
      <c r="I560" s="1831"/>
      <c r="J560" s="1934"/>
      <c r="K560" s="1924"/>
      <c r="L560" s="1924"/>
      <c r="M560" s="1831"/>
      <c r="N560" s="1924"/>
      <c r="O560" s="1924"/>
      <c r="P560" s="1924"/>
      <c r="Q560" s="1924"/>
      <c r="R560" s="1924"/>
      <c r="S560" s="1924"/>
    </row>
    <row r="561" spans="2:19" ht="15.75" customHeight="1" outlineLevel="2">
      <c r="B561" s="1865"/>
      <c r="C561" s="1847"/>
      <c r="D561" s="1873"/>
      <c r="E561" s="1778"/>
      <c r="F561" s="1778"/>
      <c r="G561" s="1748"/>
      <c r="H561" s="1748"/>
      <c r="I561" s="1831"/>
      <c r="J561" s="1831"/>
      <c r="K561" s="1831"/>
      <c r="L561" s="1831"/>
      <c r="M561" s="1831"/>
      <c r="N561" s="1831"/>
      <c r="O561" s="1831"/>
      <c r="P561" s="1831"/>
      <c r="Q561" s="1831"/>
      <c r="R561" s="1831"/>
      <c r="S561" s="1831"/>
    </row>
    <row r="562" spans="2:19" ht="15.75" customHeight="1" outlineLevel="2">
      <c r="B562" s="1865"/>
      <c r="C562" s="1847"/>
      <c r="D562" s="1873"/>
      <c r="E562" s="1778"/>
      <c r="F562" s="1778"/>
      <c r="G562" s="1748"/>
      <c r="H562" s="1748"/>
      <c r="I562" s="1831"/>
      <c r="J562" s="1839"/>
      <c r="K562" s="1839"/>
      <c r="L562" s="1839"/>
      <c r="M562" s="1839"/>
      <c r="N562" s="1839"/>
      <c r="O562" s="1839"/>
      <c r="P562" s="1839"/>
      <c r="Q562" s="1839"/>
      <c r="R562" s="1839"/>
      <c r="S562" s="1839"/>
    </row>
    <row r="563" spans="2:19" ht="15.75" customHeight="1" outlineLevel="2">
      <c r="B563" s="1865"/>
      <c r="C563" s="1847"/>
      <c r="D563" s="1873"/>
      <c r="E563" s="1778"/>
      <c r="F563" s="1778"/>
      <c r="G563" s="1748"/>
      <c r="H563" s="1748"/>
      <c r="I563" s="1831"/>
      <c r="J563" s="1789"/>
      <c r="K563" s="1789"/>
      <c r="L563" s="1789"/>
      <c r="M563" s="1789"/>
      <c r="N563" s="1789"/>
      <c r="O563" s="1789"/>
      <c r="P563" s="1789"/>
      <c r="Q563" s="1789"/>
      <c r="R563" s="1789"/>
      <c r="S563" s="1789"/>
    </row>
    <row r="564" spans="2:19" ht="15.75" customHeight="1" outlineLevel="2">
      <c r="B564" s="1865"/>
      <c r="C564" s="1847"/>
      <c r="D564" s="1873"/>
      <c r="E564" s="1778"/>
      <c r="F564" s="1778"/>
      <c r="G564" s="1748"/>
      <c r="H564" s="1748"/>
      <c r="I564" s="1831"/>
      <c r="J564" s="1831"/>
      <c r="K564" s="1924"/>
      <c r="L564" s="1924"/>
      <c r="M564" s="1831"/>
      <c r="N564" s="1924"/>
      <c r="O564" s="1924"/>
      <c r="P564" s="1924"/>
      <c r="Q564" s="1924"/>
      <c r="R564" s="1924"/>
      <c r="S564" s="1924"/>
    </row>
    <row r="565" spans="2:19" ht="15.75" customHeight="1" outlineLevel="2">
      <c r="B565" s="1865"/>
      <c r="C565" s="1847"/>
      <c r="D565" s="1873"/>
      <c r="E565" s="1778"/>
      <c r="F565" s="1778"/>
      <c r="G565" s="1748"/>
      <c r="H565" s="1748"/>
      <c r="I565" s="354"/>
      <c r="J565" s="1839"/>
      <c r="K565" s="1839"/>
      <c r="L565" s="1839"/>
      <c r="M565" s="1839"/>
      <c r="N565" s="1839"/>
      <c r="O565" s="1839"/>
      <c r="P565" s="1839"/>
      <c r="Q565" s="1839"/>
      <c r="R565" s="1839"/>
      <c r="S565" s="1839"/>
    </row>
    <row r="566" spans="2:19" ht="15.75" customHeight="1" outlineLevel="2">
      <c r="B566" s="1865"/>
      <c r="C566" s="1847"/>
      <c r="D566" s="1873"/>
      <c r="E566" s="1778"/>
      <c r="F566" s="1778"/>
      <c r="G566" s="1748"/>
      <c r="H566" s="1748"/>
      <c r="I566" s="1831"/>
      <c r="J566" s="1831"/>
      <c r="K566" s="1924"/>
      <c r="L566" s="1924"/>
      <c r="M566" s="1831"/>
      <c r="N566" s="1924"/>
      <c r="O566" s="1924"/>
      <c r="P566" s="1924"/>
      <c r="Q566" s="1924"/>
      <c r="R566" s="1924"/>
      <c r="S566" s="1924"/>
    </row>
    <row r="567" spans="2:19" ht="15.75" customHeight="1" outlineLevel="2">
      <c r="B567" s="1865"/>
      <c r="C567" s="1847"/>
      <c r="D567" s="1873"/>
      <c r="E567" s="1778"/>
      <c r="F567" s="1778"/>
      <c r="G567" s="1748"/>
      <c r="H567" s="1748"/>
      <c r="I567" s="1831"/>
      <c r="J567" s="1839"/>
      <c r="K567" s="1839"/>
      <c r="L567" s="1839"/>
      <c r="M567" s="1839"/>
      <c r="N567" s="1839"/>
      <c r="O567" s="1839"/>
      <c r="P567" s="1839"/>
      <c r="Q567" s="1839"/>
      <c r="R567" s="1839"/>
      <c r="S567" s="1839"/>
    </row>
    <row r="568" spans="2:19" ht="15.75" customHeight="1" outlineLevel="2">
      <c r="B568" s="1865"/>
      <c r="C568" s="1778"/>
      <c r="D568" s="1778"/>
      <c r="E568" s="1778"/>
      <c r="F568" s="1778"/>
      <c r="G568" s="1748"/>
      <c r="H568" s="1831"/>
      <c r="I568" s="1831"/>
      <c r="J568" s="1831"/>
      <c r="K568" s="1831"/>
      <c r="L568" s="1831"/>
      <c r="M568" s="1831"/>
      <c r="N568" s="1831"/>
      <c r="O568" s="1831"/>
      <c r="P568" s="1831"/>
      <c r="Q568" s="1831"/>
      <c r="R568" s="1831"/>
      <c r="S568" s="1831"/>
    </row>
    <row r="569" spans="2:19" ht="15.75" customHeight="1" outlineLevel="2">
      <c r="B569" s="1865"/>
      <c r="C569" s="1873"/>
      <c r="D569" s="1873"/>
      <c r="E569" s="1873"/>
      <c r="F569" s="1873"/>
      <c r="J569" s="1872"/>
      <c r="K569" s="1873"/>
      <c r="L569" s="1893"/>
      <c r="M569" s="1838"/>
      <c r="N569" s="1749"/>
      <c r="O569" s="1749"/>
      <c r="P569" s="1749"/>
      <c r="Q569" s="1749"/>
      <c r="R569" s="1749"/>
      <c r="S569" s="1749"/>
    </row>
    <row r="570" spans="2:19" ht="15.75" customHeight="1" outlineLevel="2">
      <c r="B570" s="1865"/>
      <c r="C570" s="1778"/>
      <c r="D570" s="1778"/>
      <c r="E570" s="1778"/>
      <c r="F570" s="1778"/>
      <c r="G570" s="1748"/>
      <c r="H570" s="1748"/>
      <c r="I570" s="1748"/>
      <c r="J570" s="1789"/>
      <c r="K570" s="1789"/>
      <c r="L570" s="1789"/>
      <c r="M570" s="1838"/>
      <c r="N570" s="1749"/>
      <c r="O570" s="1749"/>
      <c r="P570" s="1749"/>
      <c r="Q570" s="1749"/>
      <c r="R570" s="1749"/>
      <c r="S570" s="1749"/>
    </row>
    <row r="571" spans="2:19" ht="15.75" customHeight="1" outlineLevel="2">
      <c r="B571" s="1865"/>
      <c r="C571" s="1847"/>
      <c r="D571" s="1873"/>
      <c r="E571" s="1778"/>
      <c r="F571" s="1778"/>
      <c r="G571" s="1748"/>
      <c r="H571" s="1759"/>
      <c r="I571" s="1759"/>
      <c r="J571" s="1839"/>
      <c r="K571" s="1831"/>
      <c r="L571" s="1831"/>
      <c r="M571" s="1831"/>
      <c r="N571" s="1831"/>
      <c r="O571" s="1831"/>
      <c r="P571" s="1831"/>
      <c r="Q571" s="1831"/>
      <c r="R571" s="1831"/>
      <c r="S571" s="1831"/>
    </row>
    <row r="572" spans="2:19" ht="15.75" customHeight="1" outlineLevel="2">
      <c r="B572" s="1865"/>
      <c r="C572" s="1847"/>
      <c r="D572" s="1873"/>
      <c r="E572" s="1778"/>
      <c r="F572" s="1778"/>
      <c r="G572" s="1748"/>
      <c r="H572" s="1759"/>
      <c r="I572" s="1759"/>
      <c r="J572" s="1839"/>
      <c r="K572" s="1839"/>
      <c r="L572" s="1839"/>
      <c r="M572" s="1839"/>
      <c r="N572" s="1839"/>
      <c r="O572" s="1839"/>
      <c r="P572" s="1839"/>
      <c r="Q572" s="1839"/>
      <c r="R572" s="1839"/>
      <c r="S572" s="1839"/>
    </row>
    <row r="573" spans="2:19" ht="15.75" customHeight="1" outlineLevel="2">
      <c r="B573" s="1865"/>
      <c r="C573" s="1847"/>
      <c r="D573" s="1873"/>
      <c r="E573" s="1778"/>
      <c r="F573" s="1778"/>
      <c r="G573" s="1748"/>
      <c r="H573" s="1759"/>
      <c r="I573" s="1759"/>
      <c r="J573" s="1839"/>
      <c r="K573" s="1839"/>
      <c r="L573" s="1839"/>
      <c r="M573" s="1839"/>
      <c r="N573" s="1839"/>
      <c r="O573" s="1839"/>
      <c r="P573" s="1839"/>
      <c r="Q573" s="1839"/>
      <c r="R573" s="1839"/>
      <c r="S573" s="1839"/>
    </row>
    <row r="574" spans="2:19" ht="15.75" customHeight="1" outlineLevel="2">
      <c r="B574" s="1865"/>
      <c r="C574" s="1847"/>
      <c r="D574" s="1873"/>
      <c r="E574" s="1778"/>
      <c r="F574" s="1778"/>
      <c r="G574" s="1748"/>
      <c r="H574" s="1759"/>
      <c r="I574" s="1759"/>
      <c r="J574" s="1831"/>
      <c r="K574" s="1831"/>
      <c r="L574" s="1831"/>
      <c r="M574" s="1831"/>
      <c r="N574" s="1831"/>
      <c r="O574" s="1831"/>
      <c r="P574" s="1831"/>
      <c r="Q574" s="1831"/>
      <c r="R574" s="1831"/>
      <c r="S574" s="1831"/>
    </row>
    <row r="575" spans="2:19" ht="15.75" customHeight="1" outlineLevel="2">
      <c r="B575" s="1865"/>
      <c r="C575" s="1873"/>
      <c r="D575" s="1873"/>
      <c r="E575" s="1873"/>
      <c r="F575" s="1873"/>
      <c r="I575" s="1752"/>
      <c r="J575" s="1872"/>
      <c r="K575" s="1873"/>
      <c r="L575" s="1873"/>
      <c r="M575" s="1838"/>
      <c r="N575" s="1749"/>
      <c r="O575" s="1749"/>
      <c r="P575" s="1749"/>
      <c r="Q575" s="1749"/>
      <c r="R575" s="1749"/>
      <c r="S575" s="1749"/>
    </row>
    <row r="576" spans="2:19" ht="15.75" customHeight="1" outlineLevel="2">
      <c r="B576" s="1865"/>
      <c r="C576" s="1778"/>
      <c r="D576" s="1778"/>
      <c r="E576" s="1778"/>
      <c r="F576" s="1778"/>
      <c r="G576" s="1748"/>
      <c r="H576" s="1748"/>
      <c r="I576" s="1748"/>
      <c r="J576" s="1778"/>
      <c r="K576" s="1779"/>
      <c r="L576" s="1779"/>
      <c r="M576" s="1838"/>
      <c r="N576" s="1749"/>
      <c r="O576" s="1749"/>
      <c r="P576" s="1749"/>
      <c r="Q576" s="1749"/>
      <c r="R576" s="1749"/>
      <c r="S576" s="1749"/>
    </row>
    <row r="577" spans="2:19" ht="15.75" customHeight="1" outlineLevel="2">
      <c r="B577" s="1865"/>
      <c r="C577" s="1847"/>
      <c r="D577" s="1778"/>
      <c r="E577" s="1778"/>
      <c r="F577" s="1778"/>
      <c r="G577" s="1748"/>
      <c r="H577" s="1748"/>
      <c r="I577" s="1748"/>
      <c r="J577" s="1831"/>
      <c r="K577" s="1831"/>
      <c r="L577" s="1831"/>
      <c r="M577" s="1831"/>
      <c r="N577" s="1831"/>
      <c r="O577" s="1831"/>
      <c r="P577" s="1831"/>
      <c r="Q577" s="1831"/>
      <c r="R577" s="1831"/>
      <c r="S577" s="1831"/>
    </row>
    <row r="578" spans="2:19" ht="15.75" customHeight="1" outlineLevel="2">
      <c r="B578" s="1865"/>
      <c r="C578" s="1847"/>
      <c r="D578" s="1873"/>
      <c r="E578" s="1778"/>
      <c r="F578" s="1778"/>
      <c r="G578" s="1748"/>
      <c r="H578" s="1748"/>
      <c r="I578" s="1748"/>
      <c r="J578" s="1935"/>
      <c r="K578" s="1935"/>
      <c r="L578" s="1935"/>
      <c r="M578" s="1935"/>
      <c r="N578" s="1935"/>
      <c r="O578" s="1935"/>
      <c r="P578" s="1935"/>
      <c r="Q578" s="1935"/>
      <c r="R578" s="1935"/>
      <c r="S578" s="1935"/>
    </row>
    <row r="579" spans="2:19" ht="15.75" customHeight="1" outlineLevel="2">
      <c r="B579" s="1865"/>
      <c r="C579" s="1847"/>
      <c r="D579" s="1873"/>
      <c r="E579" s="1778"/>
      <c r="F579" s="1778"/>
      <c r="G579" s="1748"/>
      <c r="H579" s="1748"/>
      <c r="I579" s="1748"/>
      <c r="J579" s="1831"/>
      <c r="K579" s="1831"/>
      <c r="L579" s="1831"/>
      <c r="M579" s="1831"/>
      <c r="N579" s="1831"/>
      <c r="O579" s="1831"/>
      <c r="P579" s="1831"/>
      <c r="Q579" s="1831"/>
      <c r="R579" s="1831"/>
      <c r="S579" s="1831"/>
    </row>
    <row r="580" spans="2:19" ht="15.75" customHeight="1" outlineLevel="2">
      <c r="B580" s="1865"/>
      <c r="C580" s="1847"/>
      <c r="D580" s="1873"/>
      <c r="E580" s="1778"/>
      <c r="F580" s="1778"/>
      <c r="G580" s="1748"/>
      <c r="H580" s="1748"/>
      <c r="I580" s="1748"/>
      <c r="J580" s="1839"/>
      <c r="K580" s="1839"/>
      <c r="L580" s="1839"/>
      <c r="M580" s="1839"/>
      <c r="N580" s="1839"/>
      <c r="O580" s="1839"/>
      <c r="P580" s="1839"/>
      <c r="Q580" s="1839"/>
      <c r="R580" s="1839"/>
      <c r="S580" s="1839"/>
    </row>
    <row r="581" spans="2:19" ht="15.75" customHeight="1" outlineLevel="2">
      <c r="B581" s="1865"/>
      <c r="C581" s="1847"/>
      <c r="D581" s="1873"/>
      <c r="E581" s="1778"/>
      <c r="F581" s="1778"/>
      <c r="G581" s="1748"/>
      <c r="H581" s="1748"/>
      <c r="I581" s="1748"/>
      <c r="J581" s="1831"/>
      <c r="K581" s="1831"/>
      <c r="L581" s="1831"/>
      <c r="M581" s="1831"/>
      <c r="N581" s="1831"/>
      <c r="O581" s="1831"/>
      <c r="P581" s="1831"/>
      <c r="Q581" s="1831"/>
      <c r="R581" s="1831"/>
      <c r="S581" s="1831"/>
    </row>
    <row r="582" spans="2:19" ht="15.75" customHeight="1" outlineLevel="2">
      <c r="B582" s="1865"/>
      <c r="C582" s="1873"/>
      <c r="D582" s="1873"/>
      <c r="E582" s="1873"/>
      <c r="F582" s="1873"/>
      <c r="G582" s="1748"/>
      <c r="H582" s="1748"/>
      <c r="I582" s="1748"/>
      <c r="J582" s="1872"/>
      <c r="K582" s="1873"/>
      <c r="L582" s="1893"/>
      <c r="M582" s="1838"/>
      <c r="N582" s="1749"/>
      <c r="O582" s="1749"/>
      <c r="P582" s="1749"/>
      <c r="Q582" s="1749"/>
      <c r="R582" s="1749"/>
      <c r="S582" s="1749"/>
    </row>
    <row r="583" spans="2:19" ht="15.75" customHeight="1" outlineLevel="2">
      <c r="B583" s="1865"/>
      <c r="C583" s="1778"/>
      <c r="D583" s="1778"/>
      <c r="E583" s="1778"/>
      <c r="F583" s="1778"/>
      <c r="G583" s="1748"/>
      <c r="H583" s="1748"/>
      <c r="I583" s="1748"/>
      <c r="J583" s="1778"/>
      <c r="K583" s="1779"/>
      <c r="L583" s="1779"/>
      <c r="M583" s="1838"/>
      <c r="N583" s="1749"/>
      <c r="O583" s="1749"/>
      <c r="P583" s="1749"/>
      <c r="Q583" s="1749"/>
      <c r="R583" s="1749"/>
      <c r="S583" s="1749"/>
    </row>
    <row r="584" spans="2:19" ht="15.75" customHeight="1" outlineLevel="2">
      <c r="B584" s="1865"/>
      <c r="C584" s="1847"/>
      <c r="D584" s="1873"/>
      <c r="E584" s="1778"/>
      <c r="F584" s="1778"/>
      <c r="G584" s="1748"/>
      <c r="H584" s="1748"/>
      <c r="I584" s="1748"/>
      <c r="J584" s="1839"/>
      <c r="K584" s="1839"/>
      <c r="L584" s="1839"/>
      <c r="M584" s="1839"/>
      <c r="N584" s="1839"/>
      <c r="O584" s="1839"/>
      <c r="P584" s="1839"/>
      <c r="Q584" s="1839"/>
      <c r="R584" s="1839"/>
      <c r="S584" s="1839"/>
    </row>
    <row r="585" spans="2:19" ht="15.75" customHeight="1" outlineLevel="2">
      <c r="B585" s="1865"/>
      <c r="C585" s="1847"/>
      <c r="D585" s="1873"/>
      <c r="E585" s="1778"/>
      <c r="F585" s="1778"/>
      <c r="G585" s="1748"/>
      <c r="H585" s="1748"/>
      <c r="I585" s="1748"/>
      <c r="J585" s="1839"/>
      <c r="K585" s="1839"/>
      <c r="L585" s="1839"/>
      <c r="M585" s="1839"/>
      <c r="N585" s="1839"/>
      <c r="O585" s="1839"/>
      <c r="P585" s="1839"/>
      <c r="Q585" s="1839"/>
      <c r="R585" s="1839"/>
      <c r="S585" s="1839"/>
    </row>
    <row r="586" spans="2:19" ht="15.75" customHeight="1" outlineLevel="2">
      <c r="B586" s="1865"/>
      <c r="C586" s="1847"/>
      <c r="D586" s="1873"/>
      <c r="E586" s="1778"/>
      <c r="F586" s="1778"/>
      <c r="G586" s="1748"/>
      <c r="H586" s="1748"/>
      <c r="I586" s="1748"/>
      <c r="J586" s="1831"/>
      <c r="K586" s="1831"/>
      <c r="L586" s="1831"/>
      <c r="M586" s="1831"/>
      <c r="N586" s="1831"/>
      <c r="O586" s="1831"/>
      <c r="P586" s="1831"/>
      <c r="Q586" s="1831"/>
      <c r="R586" s="1831"/>
      <c r="S586" s="1831"/>
    </row>
    <row r="587" spans="2:19" ht="15.75" customHeight="1" outlineLevel="2">
      <c r="B587" s="1865"/>
      <c r="C587" s="1873"/>
      <c r="D587" s="1873"/>
      <c r="E587" s="1873"/>
      <c r="F587" s="1873"/>
      <c r="I587" s="1752"/>
      <c r="J587" s="1872"/>
      <c r="K587" s="1873"/>
      <c r="L587" s="1893"/>
      <c r="M587" s="1838"/>
      <c r="N587" s="1749"/>
      <c r="O587" s="1749"/>
      <c r="P587" s="1749"/>
      <c r="Q587" s="1749"/>
      <c r="R587" s="1749"/>
      <c r="S587" s="1749"/>
    </row>
    <row r="588" spans="2:19" ht="15.75" customHeight="1" outlineLevel="2">
      <c r="B588" s="1865"/>
      <c r="C588" s="1778"/>
      <c r="D588" s="1778"/>
      <c r="E588" s="1778"/>
      <c r="F588" s="1778"/>
      <c r="G588" s="1748"/>
      <c r="H588" s="1748"/>
      <c r="I588" s="1748"/>
      <c r="J588" s="1778"/>
      <c r="K588" s="1779"/>
      <c r="L588" s="1779"/>
      <c r="M588" s="1838"/>
      <c r="N588" s="1749"/>
      <c r="O588" s="1749"/>
      <c r="P588" s="1749"/>
      <c r="Q588" s="1749"/>
      <c r="R588" s="1749"/>
      <c r="S588" s="1749"/>
    </row>
    <row r="589" spans="2:19" ht="15.75" customHeight="1" outlineLevel="2">
      <c r="B589" s="1865"/>
      <c r="C589" s="1847"/>
      <c r="D589" s="1873"/>
      <c r="E589" s="1778"/>
      <c r="F589" s="1778"/>
      <c r="G589" s="1748"/>
      <c r="H589" s="1748"/>
      <c r="I589" s="1748"/>
      <c r="J589" s="1934"/>
      <c r="K589" s="1831"/>
      <c r="L589" s="1831"/>
      <c r="M589" s="1831"/>
      <c r="N589" s="1831"/>
      <c r="O589" s="1831"/>
      <c r="P589" s="1831"/>
      <c r="Q589" s="1831"/>
      <c r="R589" s="1831"/>
      <c r="S589" s="1831"/>
    </row>
    <row r="590" spans="2:19" ht="15.75" customHeight="1" outlineLevel="2">
      <c r="B590" s="1865"/>
      <c r="C590" s="1847"/>
      <c r="D590" s="1873"/>
      <c r="E590" s="1778"/>
      <c r="F590" s="1778"/>
      <c r="G590" s="1748"/>
      <c r="H590" s="1748"/>
      <c r="I590" s="1748"/>
      <c r="J590" s="1831"/>
      <c r="K590" s="1831"/>
      <c r="L590" s="1831"/>
      <c r="M590" s="1831"/>
      <c r="N590" s="1831"/>
      <c r="O590" s="1831"/>
      <c r="P590" s="1831"/>
      <c r="Q590" s="1831"/>
      <c r="R590" s="1831"/>
      <c r="S590" s="1831"/>
    </row>
    <row r="591" spans="2:19" ht="15.75" customHeight="1" outlineLevel="2">
      <c r="B591" s="1865"/>
      <c r="C591" s="1847"/>
      <c r="D591" s="1873"/>
      <c r="E591" s="1778"/>
      <c r="F591" s="1778"/>
      <c r="G591" s="1748"/>
      <c r="H591" s="1748"/>
      <c r="I591" s="1748"/>
      <c r="J591" s="1831"/>
      <c r="K591" s="1831"/>
      <c r="L591" s="1831"/>
      <c r="M591" s="1831"/>
      <c r="N591" s="1831"/>
      <c r="O591" s="1831"/>
      <c r="P591" s="1831"/>
      <c r="Q591" s="1831"/>
      <c r="R591" s="1831"/>
      <c r="S591" s="1831"/>
    </row>
    <row r="592" spans="2:19" ht="15.75" customHeight="1" outlineLevel="2">
      <c r="B592" s="1865"/>
      <c r="C592" s="1847"/>
      <c r="D592" s="1873"/>
      <c r="E592" s="1778"/>
      <c r="F592" s="1778"/>
      <c r="G592" s="1748"/>
      <c r="H592" s="1748"/>
      <c r="I592" s="1748"/>
      <c r="J592" s="1936"/>
      <c r="K592" s="1936"/>
      <c r="L592" s="1936"/>
      <c r="M592" s="1936"/>
      <c r="N592" s="1936"/>
      <c r="O592" s="1936"/>
      <c r="P592" s="1936"/>
      <c r="Q592" s="1936"/>
      <c r="R592" s="1936"/>
      <c r="S592" s="1936"/>
    </row>
    <row r="593" spans="2:19" ht="15.75" customHeight="1" outlineLevel="2">
      <c r="B593" s="1865"/>
      <c r="C593" s="1873"/>
      <c r="D593" s="1873"/>
      <c r="E593" s="1873"/>
      <c r="F593" s="1873"/>
      <c r="I593" s="1752"/>
      <c r="J593" s="1872"/>
      <c r="K593" s="1873"/>
      <c r="L593" s="1893"/>
      <c r="M593" s="1838"/>
      <c r="N593" s="1749"/>
      <c r="O593" s="1749"/>
      <c r="P593" s="1749"/>
      <c r="Q593" s="1749"/>
      <c r="R593" s="1749"/>
      <c r="S593" s="1749"/>
    </row>
    <row r="594" spans="2:19" ht="15.75" customHeight="1" outlineLevel="2">
      <c r="B594" s="1865"/>
      <c r="C594" s="1778"/>
      <c r="D594" s="1778"/>
      <c r="E594" s="1778"/>
      <c r="F594" s="1778"/>
      <c r="G594" s="1748"/>
      <c r="H594" s="1748"/>
      <c r="I594" s="1748"/>
      <c r="J594" s="1831"/>
      <c r="K594" s="1831"/>
      <c r="L594" s="1831"/>
      <c r="M594" s="1831"/>
      <c r="N594" s="1831"/>
      <c r="O594" s="1831"/>
      <c r="P594" s="1831"/>
      <c r="Q594" s="1831"/>
      <c r="R594" s="1831"/>
      <c r="S594" s="1831"/>
    </row>
    <row r="595" spans="2:19" ht="15.75" customHeight="1" outlineLevel="2">
      <c r="B595" s="1865"/>
      <c r="C595" s="1778"/>
      <c r="D595" s="1865"/>
      <c r="E595" s="1865"/>
      <c r="F595" s="1865"/>
      <c r="G595" s="1748"/>
      <c r="H595" s="1748"/>
      <c r="I595" s="1748"/>
      <c r="J595" s="1778"/>
      <c r="K595" s="1778"/>
      <c r="L595" s="1839"/>
      <c r="M595" s="1839"/>
      <c r="N595" s="1839"/>
      <c r="O595" s="1839"/>
      <c r="P595" s="1839"/>
      <c r="Q595" s="1839"/>
      <c r="R595" s="1839"/>
      <c r="S595" s="1839"/>
    </row>
    <row r="596" spans="2:19" ht="15.75" customHeight="1" outlineLevel="2">
      <c r="B596" s="1865"/>
      <c r="C596" s="1778"/>
      <c r="D596" s="1865"/>
      <c r="E596" s="1865"/>
      <c r="F596" s="1865"/>
      <c r="G596" s="1748"/>
      <c r="H596" s="1748"/>
      <c r="I596" s="1748"/>
      <c r="J596" s="1869"/>
      <c r="K596" s="1937"/>
      <c r="L596" s="1937"/>
      <c r="M596" s="1869"/>
      <c r="N596" s="1749"/>
      <c r="O596" s="1749"/>
      <c r="P596" s="1749"/>
      <c r="Q596" s="1749"/>
      <c r="R596" s="1749"/>
      <c r="S596" s="1749"/>
    </row>
    <row r="597" spans="2:19" ht="15.75" customHeight="1" outlineLevel="1">
      <c r="B597" s="1865"/>
      <c r="C597" s="1778"/>
      <c r="D597" s="1865"/>
      <c r="E597" s="1865"/>
      <c r="F597" s="1865"/>
      <c r="G597" s="1748"/>
      <c r="H597" s="1748"/>
      <c r="I597" s="1869"/>
      <c r="J597" s="1937"/>
      <c r="K597" s="1937"/>
      <c r="L597" s="1937"/>
      <c r="M597" s="1838"/>
      <c r="N597" s="1749"/>
      <c r="O597" s="1749"/>
      <c r="P597" s="1749"/>
      <c r="Q597" s="1749"/>
      <c r="R597" s="1749"/>
      <c r="S597" s="1749"/>
    </row>
    <row r="598" spans="2:19" ht="15.75" customHeight="1" outlineLevel="1">
      <c r="B598" s="1865"/>
      <c r="C598" s="1865"/>
      <c r="D598" s="1865"/>
      <c r="E598" s="1865"/>
      <c r="F598" s="1865"/>
      <c r="I598" s="1778"/>
      <c r="J598" s="1865"/>
      <c r="K598" s="1925"/>
      <c r="L598" s="1925"/>
      <c r="M598" s="1838"/>
      <c r="N598" s="1749"/>
      <c r="O598" s="1749"/>
      <c r="P598" s="1749"/>
      <c r="Q598" s="1749"/>
      <c r="R598" s="1749"/>
      <c r="S598" s="1749"/>
    </row>
    <row r="599" spans="2:19" ht="15.75" customHeight="1" outlineLevel="1">
      <c r="B599" s="1865"/>
      <c r="C599" s="1865"/>
      <c r="D599" s="1865"/>
      <c r="E599" s="1865"/>
      <c r="F599" s="1865"/>
      <c r="I599" s="1778"/>
      <c r="J599" s="1865"/>
      <c r="K599" s="1925"/>
      <c r="L599" s="1925"/>
      <c r="M599" s="1838"/>
      <c r="N599" s="1749"/>
      <c r="O599" s="1749"/>
      <c r="P599" s="1749"/>
      <c r="Q599" s="1749"/>
      <c r="R599" s="1749"/>
      <c r="S599" s="1749"/>
    </row>
    <row r="600" spans="2:19" ht="15.75" customHeight="1" outlineLevel="1">
      <c r="B600" s="1749"/>
      <c r="C600" s="354"/>
      <c r="I600" s="1872"/>
      <c r="J600" s="1873"/>
      <c r="K600" s="1874"/>
      <c r="L600" s="1875"/>
      <c r="M600" s="1838"/>
      <c r="N600" s="1897"/>
      <c r="O600" s="1897"/>
      <c r="P600" s="1897"/>
      <c r="Q600" s="1897"/>
      <c r="R600" s="1897"/>
      <c r="S600" s="1897"/>
    </row>
    <row r="601" spans="2:19" ht="15.75" customHeight="1" outlineLevel="1">
      <c r="B601" s="1865"/>
      <c r="C601" s="1873"/>
      <c r="D601" s="1873"/>
      <c r="E601" s="1873"/>
      <c r="F601" s="1873"/>
      <c r="I601" s="1872"/>
      <c r="J601" s="1873"/>
      <c r="K601" s="1893"/>
      <c r="L601" s="1893"/>
      <c r="M601" s="1838"/>
      <c r="N601" s="1749"/>
      <c r="O601" s="1749"/>
      <c r="P601" s="1749"/>
      <c r="Q601" s="1749"/>
      <c r="R601" s="1749"/>
      <c r="S601" s="1749"/>
    </row>
    <row r="602" spans="2:19" ht="27" outlineLevel="1">
      <c r="B602" s="1865"/>
      <c r="C602" s="1751"/>
      <c r="I602" s="1872"/>
      <c r="J602" s="1873"/>
      <c r="K602" s="1874"/>
      <c r="L602" s="1875"/>
      <c r="M602" s="1876"/>
      <c r="N602" s="1875"/>
      <c r="O602" s="1875"/>
      <c r="P602" s="1875"/>
      <c r="Q602" s="1875"/>
      <c r="R602" s="1875"/>
      <c r="S602" s="1875"/>
    </row>
    <row r="603" spans="2:19" ht="3" customHeight="1" outlineLevel="1">
      <c r="B603" s="1865"/>
      <c r="C603" s="1756"/>
      <c r="D603" s="1877"/>
      <c r="E603" s="1877"/>
      <c r="F603" s="1877"/>
      <c r="G603" s="1758"/>
      <c r="H603" s="1758"/>
      <c r="I603" s="1877"/>
      <c r="J603" s="1877"/>
      <c r="K603" s="1877"/>
      <c r="L603" s="1877"/>
      <c r="M603" s="1877"/>
      <c r="N603" s="1877"/>
      <c r="O603" s="1877"/>
      <c r="P603" s="1877"/>
      <c r="Q603" s="1877"/>
      <c r="R603" s="1877"/>
      <c r="S603" s="1877"/>
    </row>
    <row r="604" spans="2:19" ht="15.75" customHeight="1" outlineLevel="1">
      <c r="B604" s="1865"/>
      <c r="I604" s="1872"/>
      <c r="J604" s="1873"/>
      <c r="K604" s="1874"/>
      <c r="L604" s="1875"/>
      <c r="M604" s="1876"/>
      <c r="N604" s="1875"/>
      <c r="O604" s="1875"/>
      <c r="P604" s="1875"/>
      <c r="Q604" s="1875"/>
      <c r="R604" s="1875"/>
      <c r="S604" s="1875"/>
    </row>
    <row r="605" spans="2:19" ht="15.75" customHeight="1" outlineLevel="1">
      <c r="B605" s="1865"/>
      <c r="C605" s="1761"/>
      <c r="I605" s="1872"/>
      <c r="J605" s="1919"/>
      <c r="K605" s="1920"/>
      <c r="L605" s="1921"/>
      <c r="M605" s="1920"/>
      <c r="N605" s="1921"/>
      <c r="O605" s="1921"/>
      <c r="P605" s="1921"/>
      <c r="Q605" s="1921"/>
      <c r="R605" s="1921"/>
      <c r="S605" s="1921"/>
    </row>
    <row r="606" spans="2:19" ht="15.75" customHeight="1" outlineLevel="1">
      <c r="B606" s="1865"/>
      <c r="C606" s="1843"/>
      <c r="D606" s="1767"/>
      <c r="E606" s="1767"/>
      <c r="F606" s="1767"/>
      <c r="G606" s="1834"/>
      <c r="H606" s="1768"/>
      <c r="I606" s="1768"/>
      <c r="J606" s="1768"/>
      <c r="K606" s="1768"/>
      <c r="L606" s="1769"/>
      <c r="M606" s="1769"/>
      <c r="N606" s="1769"/>
      <c r="O606" s="1769"/>
      <c r="P606" s="1769"/>
      <c r="Q606" s="1769"/>
      <c r="R606" s="1769"/>
      <c r="S606" s="1769"/>
    </row>
    <row r="607" spans="2:19" ht="15.75" customHeight="1" outlineLevel="1">
      <c r="B607" s="1865"/>
      <c r="C607" s="1844"/>
      <c r="D607" s="1771"/>
      <c r="E607" s="1771"/>
      <c r="F607" s="1771"/>
      <c r="G607" s="1815"/>
      <c r="H607" s="1772"/>
      <c r="I607" s="1772"/>
      <c r="J607" s="1772"/>
      <c r="K607" s="1772"/>
      <c r="L607" s="1772"/>
      <c r="M607" s="1772"/>
      <c r="N607" s="1772"/>
      <c r="O607" s="1772"/>
      <c r="P607" s="1772"/>
      <c r="Q607" s="1772"/>
      <c r="R607" s="1772"/>
      <c r="S607" s="1772"/>
    </row>
    <row r="608" spans="2:19" ht="15.75" customHeight="1" outlineLevel="1">
      <c r="B608" s="1865"/>
      <c r="C608" s="1856"/>
      <c r="D608" s="1774"/>
      <c r="E608" s="1775"/>
      <c r="F608" s="1775"/>
      <c r="G608" s="1816"/>
      <c r="H608" s="1817"/>
      <c r="I608" s="1817"/>
      <c r="J608" s="1817"/>
      <c r="K608" s="1817"/>
      <c r="L608" s="1817"/>
      <c r="M608" s="1817"/>
      <c r="N608" s="1817"/>
      <c r="O608" s="1817"/>
      <c r="P608" s="1817"/>
      <c r="Q608" s="1817"/>
      <c r="R608" s="1817"/>
      <c r="S608" s="1817"/>
    </row>
    <row r="609" spans="2:19" ht="15.75" customHeight="1" outlineLevel="1">
      <c r="B609" s="1865"/>
      <c r="C609" s="1873"/>
      <c r="D609" s="1873"/>
      <c r="E609" s="1873"/>
      <c r="F609" s="1873"/>
      <c r="I609" s="1872"/>
      <c r="J609" s="1873"/>
      <c r="K609" s="1873"/>
      <c r="L609" s="1893"/>
      <c r="M609" s="1838"/>
      <c r="N609" s="1749"/>
      <c r="O609" s="1749"/>
      <c r="P609" s="1749"/>
      <c r="Q609" s="1749"/>
      <c r="R609" s="1749"/>
      <c r="S609" s="1749"/>
    </row>
    <row r="610" spans="2:19" ht="15.75" customHeight="1" outlineLevel="1">
      <c r="B610" s="1865"/>
      <c r="C610" s="1831"/>
      <c r="D610" s="1831"/>
      <c r="E610" s="1831"/>
      <c r="F610" s="1831"/>
      <c r="G610" s="1748"/>
      <c r="H610" s="1748"/>
      <c r="I610" s="1831"/>
      <c r="J610" s="1831"/>
      <c r="K610" s="1831"/>
      <c r="L610" s="1831"/>
      <c r="M610" s="1831"/>
      <c r="N610" s="1831"/>
      <c r="O610" s="1831"/>
      <c r="P610" s="1831"/>
      <c r="Q610" s="1831"/>
      <c r="R610" s="1831"/>
      <c r="S610" s="1831"/>
    </row>
    <row r="611" spans="2:19" ht="15.75" customHeight="1" outlineLevel="2">
      <c r="B611" s="1865"/>
      <c r="C611" s="1831"/>
      <c r="D611" s="1831"/>
      <c r="E611" s="1831"/>
      <c r="F611" s="1831"/>
      <c r="G611" s="1748"/>
      <c r="H611" s="1748"/>
      <c r="I611" s="1831"/>
      <c r="J611" s="1831"/>
      <c r="K611" s="1831"/>
      <c r="L611" s="1831"/>
      <c r="M611" s="1831"/>
      <c r="N611" s="1831"/>
      <c r="O611" s="1831"/>
      <c r="P611" s="1831"/>
      <c r="Q611" s="1831"/>
      <c r="R611" s="1831"/>
      <c r="S611" s="1831"/>
    </row>
    <row r="612" spans="2:19" ht="15.75" customHeight="1" outlineLevel="1">
      <c r="B612" s="1865"/>
      <c r="C612" s="1831"/>
      <c r="D612" s="1831"/>
      <c r="E612" s="1831"/>
      <c r="F612" s="1831"/>
      <c r="G612" s="1748"/>
      <c r="H612" s="1748"/>
      <c r="I612" s="1831"/>
      <c r="J612" s="1831"/>
      <c r="K612" s="1831"/>
      <c r="L612" s="1831"/>
      <c r="M612" s="1831"/>
      <c r="N612" s="1831"/>
      <c r="O612" s="1831"/>
      <c r="P612" s="1831"/>
      <c r="Q612" s="1831"/>
      <c r="R612" s="1831"/>
      <c r="S612" s="1831"/>
    </row>
    <row r="613" spans="2:19" ht="15.75" customHeight="1" outlineLevel="1">
      <c r="B613" s="1865"/>
      <c r="C613" s="1831"/>
      <c r="D613" s="1831"/>
      <c r="E613" s="1831"/>
      <c r="F613" s="1831"/>
      <c r="G613" s="1748"/>
      <c r="H613" s="1748"/>
      <c r="I613" s="1831"/>
      <c r="J613" s="1831"/>
      <c r="K613" s="1831"/>
      <c r="L613" s="1831"/>
      <c r="M613" s="1831"/>
      <c r="N613" s="1831"/>
      <c r="O613" s="1831"/>
      <c r="P613" s="1831"/>
      <c r="Q613" s="1831"/>
      <c r="R613" s="1831"/>
      <c r="S613" s="1831"/>
    </row>
    <row r="614" spans="2:19" ht="15.75" customHeight="1" outlineLevel="1">
      <c r="B614" s="1865"/>
      <c r="C614" s="1831"/>
      <c r="D614" s="1831"/>
      <c r="E614" s="1831"/>
      <c r="F614" s="1831"/>
      <c r="G614" s="1748"/>
      <c r="H614" s="1748"/>
      <c r="I614" s="1831"/>
      <c r="J614" s="1831"/>
      <c r="K614" s="1831"/>
      <c r="L614" s="1831"/>
      <c r="M614" s="1831"/>
      <c r="N614" s="1831"/>
      <c r="O614" s="1831"/>
      <c r="P614" s="1831"/>
      <c r="Q614" s="1831"/>
      <c r="R614" s="1831"/>
      <c r="S614" s="1831"/>
    </row>
    <row r="615" spans="2:19" ht="15.75" customHeight="1" outlineLevel="1">
      <c r="B615" s="1865"/>
      <c r="C615" s="1831"/>
      <c r="D615" s="1831"/>
      <c r="E615" s="1831"/>
      <c r="F615" s="1831"/>
      <c r="G615" s="1748"/>
      <c r="H615" s="1748"/>
      <c r="I615" s="1839"/>
      <c r="J615" s="1839"/>
      <c r="K615" s="1839"/>
      <c r="L615" s="1839"/>
      <c r="M615" s="1839"/>
      <c r="N615" s="1839"/>
      <c r="O615" s="1839"/>
      <c r="P615" s="1839"/>
      <c r="Q615" s="1839"/>
      <c r="R615" s="1839"/>
      <c r="S615" s="1839"/>
    </row>
    <row r="616" spans="2:19" ht="15.75" customHeight="1" outlineLevel="1">
      <c r="B616" s="1865"/>
      <c r="C616" s="1899"/>
      <c r="D616" s="1831"/>
      <c r="E616" s="1831"/>
      <c r="F616" s="1831"/>
      <c r="G616" s="1748"/>
      <c r="H616" s="1748"/>
      <c r="I616" s="1938"/>
      <c r="J616" s="1938"/>
      <c r="K616" s="1938"/>
      <c r="L616" s="1938"/>
      <c r="M616" s="1938"/>
      <c r="N616" s="1938"/>
      <c r="O616" s="1938"/>
      <c r="P616" s="1938"/>
      <c r="Q616" s="1938"/>
      <c r="R616" s="1938"/>
      <c r="S616" s="1938"/>
    </row>
    <row r="617" spans="2:19" ht="4.5" customHeight="1" outlineLevel="1">
      <c r="B617" s="1865"/>
      <c r="C617" s="1831"/>
      <c r="D617" s="1831"/>
      <c r="E617" s="1831"/>
      <c r="F617" s="1831"/>
      <c r="G617" s="1868"/>
      <c r="H617" s="1868"/>
      <c r="I617" s="1831"/>
      <c r="J617" s="1831"/>
      <c r="K617" s="1831"/>
      <c r="L617" s="1789"/>
      <c r="M617" s="1789"/>
      <c r="N617" s="1789"/>
      <c r="O617" s="1789"/>
      <c r="P617" s="1789"/>
      <c r="Q617" s="1789"/>
      <c r="R617" s="1789"/>
      <c r="S617" s="1789"/>
    </row>
    <row r="618" spans="2:19" ht="15.75" customHeight="1" outlineLevel="1">
      <c r="B618" s="1865"/>
      <c r="C618" s="1749"/>
      <c r="D618" s="1831"/>
      <c r="E618" s="1831"/>
      <c r="F618" s="1831"/>
      <c r="G618" s="1868"/>
      <c r="H618" s="1868"/>
      <c r="I618" s="1831"/>
      <c r="J618" s="1831"/>
      <c r="K618" s="1831"/>
      <c r="L618" s="1789"/>
      <c r="M618" s="1789"/>
      <c r="N618" s="1789"/>
      <c r="O618" s="1789"/>
      <c r="P618" s="1789"/>
      <c r="Q618" s="1789"/>
      <c r="R618" s="1789"/>
      <c r="S618" s="1789"/>
    </row>
    <row r="619" spans="2:19" ht="15.75" customHeight="1" outlineLevel="1">
      <c r="B619" s="1865"/>
      <c r="C619" s="1824"/>
      <c r="D619" s="1831"/>
      <c r="E619" s="1831"/>
      <c r="F619" s="1831"/>
      <c r="G619" s="1748"/>
      <c r="H619" s="1748"/>
      <c r="I619" s="1831"/>
      <c r="J619" s="1934"/>
      <c r="K619" s="1831"/>
      <c r="L619" s="1831"/>
      <c r="M619" s="1831"/>
      <c r="N619" s="1831"/>
      <c r="O619" s="1831"/>
      <c r="P619" s="1831"/>
      <c r="Q619" s="1831"/>
      <c r="R619" s="1831"/>
      <c r="S619" s="1831"/>
    </row>
    <row r="620" spans="2:19" ht="15.75" customHeight="1" outlineLevel="1">
      <c r="B620" s="1865"/>
      <c r="C620" s="1824"/>
      <c r="D620" s="1831"/>
      <c r="E620" s="1831"/>
      <c r="F620" s="1831"/>
      <c r="G620" s="1748"/>
      <c r="H620" s="1748"/>
      <c r="I620" s="1831"/>
      <c r="J620" s="1831"/>
      <c r="K620" s="1831"/>
      <c r="L620" s="1789"/>
      <c r="M620" s="1789"/>
      <c r="N620" s="1789"/>
      <c r="O620" s="1789"/>
      <c r="P620" s="1789"/>
      <c r="Q620" s="1789"/>
      <c r="R620" s="1789"/>
      <c r="S620" s="1789"/>
    </row>
    <row r="621" spans="2:19" ht="15.75" customHeight="1" outlineLevel="1">
      <c r="B621" s="1865"/>
      <c r="C621" s="1824"/>
      <c r="D621" s="1831"/>
      <c r="E621" s="1831"/>
      <c r="F621" s="1831"/>
      <c r="G621" s="1748"/>
      <c r="H621" s="1748"/>
      <c r="I621" s="1831"/>
      <c r="J621" s="1831"/>
      <c r="K621" s="1831"/>
      <c r="L621" s="1831"/>
      <c r="M621" s="1831"/>
      <c r="N621" s="1831"/>
      <c r="O621" s="1831"/>
      <c r="P621" s="1831"/>
      <c r="Q621" s="1831"/>
      <c r="R621" s="1831"/>
      <c r="S621" s="1831"/>
    </row>
    <row r="622" spans="2:19" ht="15.75" customHeight="1" outlineLevel="1">
      <c r="B622" s="1865"/>
      <c r="C622" s="1824"/>
      <c r="D622" s="1831"/>
      <c r="E622" s="1831"/>
      <c r="F622" s="1831"/>
      <c r="G622" s="1748"/>
      <c r="H622" s="1748"/>
      <c r="I622" s="1831"/>
      <c r="J622" s="1831"/>
      <c r="K622" s="1831"/>
      <c r="L622" s="1831"/>
      <c r="M622" s="1831"/>
      <c r="N622" s="1831"/>
      <c r="O622" s="1831"/>
      <c r="P622" s="1831"/>
      <c r="Q622" s="1831"/>
      <c r="R622" s="1831"/>
      <c r="S622" s="1831"/>
    </row>
    <row r="623" spans="2:19" ht="15.75" customHeight="1" outlineLevel="1">
      <c r="B623" s="1865"/>
      <c r="C623" s="1749"/>
      <c r="D623" s="1831"/>
      <c r="E623" s="1831"/>
      <c r="F623" s="1831"/>
      <c r="G623" s="1748"/>
      <c r="H623" s="1748"/>
      <c r="I623" s="1831"/>
      <c r="J623" s="1831"/>
      <c r="K623" s="1831"/>
      <c r="L623" s="1789"/>
      <c r="M623" s="1789"/>
      <c r="N623" s="1789"/>
      <c r="O623" s="1789"/>
      <c r="P623" s="1789"/>
      <c r="Q623" s="1789"/>
      <c r="R623" s="1789"/>
      <c r="S623" s="1789"/>
    </row>
    <row r="624" spans="2:19" ht="4.5" customHeight="1" outlineLevel="1">
      <c r="B624" s="1865"/>
      <c r="C624" s="1873"/>
      <c r="D624" s="1873"/>
      <c r="E624" s="1873"/>
      <c r="F624" s="1873"/>
      <c r="I624" s="1872"/>
      <c r="J624" s="1873"/>
      <c r="K624" s="1873"/>
      <c r="L624" s="1893"/>
      <c r="M624" s="1838"/>
      <c r="N624" s="1749"/>
      <c r="O624" s="1749"/>
      <c r="P624" s="1749"/>
      <c r="Q624" s="1749"/>
      <c r="R624" s="1749"/>
      <c r="S624" s="1749"/>
    </row>
    <row r="625" spans="2:19" ht="15.75" customHeight="1" outlineLevel="1">
      <c r="B625" s="1865"/>
      <c r="C625" s="1749"/>
      <c r="D625" s="1831"/>
      <c r="E625" s="1831"/>
      <c r="F625" s="1831"/>
      <c r="G625" s="1748"/>
      <c r="H625" s="1748"/>
      <c r="I625" s="1831"/>
      <c r="J625" s="1831"/>
      <c r="K625" s="1831"/>
      <c r="L625" s="1789"/>
      <c r="M625" s="1838"/>
      <c r="N625" s="1749"/>
      <c r="O625" s="1749"/>
      <c r="P625" s="1749"/>
      <c r="Q625" s="1749"/>
      <c r="R625" s="1749"/>
      <c r="S625" s="1749"/>
    </row>
    <row r="626" spans="2:19" ht="15.75" customHeight="1" outlineLevel="1">
      <c r="B626" s="1778"/>
      <c r="C626" s="1824"/>
      <c r="D626" s="1831"/>
      <c r="E626" s="1831"/>
      <c r="F626" s="1831"/>
      <c r="G626" s="1748"/>
      <c r="H626" s="1748"/>
      <c r="I626" s="1839"/>
      <c r="J626" s="1839"/>
      <c r="K626" s="1839"/>
      <c r="L626" s="1839"/>
      <c r="M626" s="1839"/>
      <c r="N626" s="1839"/>
      <c r="O626" s="1839"/>
      <c r="P626" s="1839"/>
      <c r="Q626" s="1839"/>
      <c r="R626" s="1839"/>
      <c r="S626" s="1839"/>
    </row>
    <row r="627" spans="2:19" ht="15.75" customHeight="1" outlineLevel="1">
      <c r="B627" s="1778"/>
      <c r="C627" s="1824"/>
      <c r="D627" s="1831"/>
      <c r="E627" s="1831"/>
      <c r="F627" s="1831"/>
      <c r="G627" s="1748"/>
      <c r="H627" s="1748"/>
      <c r="I627" s="1839"/>
      <c r="J627" s="1839"/>
      <c r="K627" s="1839"/>
      <c r="L627" s="1839"/>
      <c r="M627" s="1839"/>
      <c r="N627" s="1839"/>
      <c r="O627" s="1749"/>
      <c r="P627" s="1749"/>
      <c r="Q627" s="1839"/>
      <c r="R627" s="1839"/>
      <c r="S627" s="1839"/>
    </row>
    <row r="628" spans="2:19" ht="15.75" customHeight="1" outlineLevel="1">
      <c r="B628" s="1778"/>
      <c r="C628" s="1824"/>
      <c r="D628" s="1831"/>
      <c r="E628" s="1831"/>
      <c r="F628" s="1831"/>
      <c r="G628" s="1748"/>
      <c r="H628" s="1748"/>
      <c r="I628" s="1839"/>
      <c r="J628" s="1839"/>
      <c r="K628" s="1839"/>
      <c r="L628" s="1839"/>
      <c r="M628" s="1839"/>
      <c r="N628" s="1839"/>
      <c r="O628" s="1839"/>
      <c r="P628" s="1839"/>
      <c r="Q628" s="1839"/>
      <c r="R628" s="1839"/>
      <c r="S628" s="1839"/>
    </row>
    <row r="629" spans="2:19" ht="15.75" customHeight="1" outlineLevel="1">
      <c r="B629" s="1778"/>
      <c r="C629" s="1824"/>
      <c r="D629" s="1831"/>
      <c r="E629" s="1831"/>
      <c r="F629" s="1831"/>
      <c r="G629" s="1748"/>
      <c r="H629" s="1748"/>
      <c r="I629" s="1839"/>
      <c r="J629" s="1839"/>
      <c r="K629" s="1839"/>
      <c r="L629" s="1839"/>
      <c r="M629" s="1839"/>
      <c r="N629" s="1839"/>
      <c r="O629" s="1839"/>
      <c r="P629" s="1839"/>
      <c r="Q629" s="1839"/>
      <c r="R629" s="1839"/>
      <c r="S629" s="1839"/>
    </row>
    <row r="630" spans="2:19" ht="15.75" customHeight="1" outlineLevel="1">
      <c r="B630" s="1778"/>
      <c r="C630" s="1749"/>
      <c r="D630" s="1789"/>
      <c r="E630" s="1789"/>
      <c r="F630" s="1789"/>
      <c r="G630" s="1789"/>
      <c r="H630" s="1789"/>
      <c r="I630" s="1789"/>
      <c r="J630" s="1789"/>
      <c r="K630" s="1789"/>
      <c r="L630" s="1789"/>
      <c r="M630" s="1789"/>
      <c r="N630" s="1789"/>
      <c r="O630" s="1789"/>
      <c r="P630" s="1789"/>
      <c r="Q630" s="1789"/>
      <c r="R630" s="1789"/>
      <c r="S630" s="1789"/>
    </row>
    <row r="631" spans="2:19" ht="6" customHeight="1" outlineLevel="1">
      <c r="B631" s="1778"/>
      <c r="C631" s="1873"/>
      <c r="D631" s="1873"/>
      <c r="E631" s="1873"/>
      <c r="F631" s="1873"/>
      <c r="I631" s="1872"/>
      <c r="J631" s="1873"/>
      <c r="K631" s="1873"/>
      <c r="L631" s="1893"/>
      <c r="M631" s="1838"/>
      <c r="N631" s="1749"/>
      <c r="O631" s="1749"/>
      <c r="P631" s="1749"/>
      <c r="Q631" s="1749"/>
      <c r="R631" s="1749"/>
      <c r="S631" s="1749"/>
    </row>
    <row r="632" spans="2:19" ht="15.75" customHeight="1" outlineLevel="1">
      <c r="B632" s="1865"/>
      <c r="C632" s="1749"/>
      <c r="D632" s="1831"/>
      <c r="E632" s="1831"/>
      <c r="F632" s="1831"/>
      <c r="G632" s="1748"/>
      <c r="H632" s="1748"/>
      <c r="I632" s="1831"/>
      <c r="J632" s="1831"/>
      <c r="K632" s="1831"/>
      <c r="L632" s="1831"/>
      <c r="M632" s="1831"/>
      <c r="N632" s="1831"/>
      <c r="O632" s="1831"/>
      <c r="P632" s="1831"/>
      <c r="Q632" s="1831"/>
      <c r="R632" s="1831"/>
      <c r="S632" s="1831"/>
    </row>
    <row r="633" spans="2:19" ht="6.75" customHeight="1" outlineLevel="1">
      <c r="B633" s="1778"/>
      <c r="C633" s="1873"/>
      <c r="D633" s="1899"/>
      <c r="E633" s="1899"/>
      <c r="F633" s="1899"/>
      <c r="G633" s="1939"/>
      <c r="H633" s="1939"/>
      <c r="I633" s="1899"/>
      <c r="J633" s="1831"/>
      <c r="K633" s="1831"/>
      <c r="L633" s="1831"/>
      <c r="M633" s="1831"/>
      <c r="N633" s="1831"/>
      <c r="O633" s="1831"/>
      <c r="P633" s="1831"/>
      <c r="Q633" s="1831"/>
      <c r="R633" s="1831"/>
      <c r="S633" s="1831"/>
    </row>
    <row r="634" spans="2:19" ht="15.75" customHeight="1" outlineLevel="1">
      <c r="B634" s="1865"/>
      <c r="C634" s="1749"/>
      <c r="D634" s="1899"/>
      <c r="E634" s="1899"/>
      <c r="F634" s="1899"/>
      <c r="G634" s="1939"/>
      <c r="H634" s="1939"/>
      <c r="I634" s="1899"/>
      <c r="J634" s="1831"/>
      <c r="K634" s="1831"/>
      <c r="L634" s="1831"/>
      <c r="M634" s="1831"/>
      <c r="N634" s="1831"/>
      <c r="O634" s="1831"/>
      <c r="P634" s="1831"/>
      <c r="Q634" s="1831"/>
      <c r="R634" s="1831"/>
      <c r="S634" s="1831"/>
    </row>
    <row r="635" spans="2:19" ht="15.75" customHeight="1" outlineLevel="1">
      <c r="B635" s="1865"/>
      <c r="C635" s="1824"/>
      <c r="D635" s="1789"/>
      <c r="E635" s="1787"/>
      <c r="F635" s="1831"/>
      <c r="G635" s="1748"/>
      <c r="H635" s="1748"/>
      <c r="I635" s="1857"/>
      <c r="J635" s="1857"/>
      <c r="K635" s="1857"/>
      <c r="L635" s="1857"/>
      <c r="M635" s="1857"/>
      <c r="N635" s="1857"/>
      <c r="O635" s="1857"/>
      <c r="P635" s="1857"/>
      <c r="Q635" s="1857"/>
      <c r="R635" s="1857"/>
      <c r="S635" s="1857"/>
    </row>
    <row r="636" spans="2:19" ht="15.75" customHeight="1" outlineLevel="1">
      <c r="B636" s="1865"/>
      <c r="C636" s="1824"/>
      <c r="D636" s="1831"/>
      <c r="E636" s="1831"/>
      <c r="F636" s="1831"/>
      <c r="G636" s="1748"/>
      <c r="H636" s="1748"/>
      <c r="I636" s="1857"/>
      <c r="J636" s="1857"/>
      <c r="K636" s="1857"/>
      <c r="L636" s="1857"/>
      <c r="M636" s="1839"/>
      <c r="N636" s="1857"/>
      <c r="O636" s="1857"/>
      <c r="P636" s="1857"/>
      <c r="Q636" s="1857"/>
      <c r="R636" s="1857"/>
      <c r="S636" s="1857"/>
    </row>
    <row r="637" spans="2:19" ht="15.75" customHeight="1" outlineLevel="1">
      <c r="B637" s="1865"/>
      <c r="C637" s="1824"/>
      <c r="D637" s="1831"/>
      <c r="E637" s="1831"/>
      <c r="F637" s="1831"/>
      <c r="G637" s="1748"/>
      <c r="H637" s="1748"/>
      <c r="I637" s="1940"/>
      <c r="J637" s="1940"/>
      <c r="K637" s="1940"/>
      <c r="L637" s="1940"/>
      <c r="M637" s="1940"/>
      <c r="N637" s="1940"/>
      <c r="O637" s="1940"/>
      <c r="P637" s="1940"/>
      <c r="Q637" s="1940"/>
      <c r="R637" s="1940"/>
      <c r="S637" s="1940"/>
    </row>
    <row r="638" spans="2:19" ht="9" customHeight="1" outlineLevel="1">
      <c r="B638" s="1865"/>
      <c r="C638" s="1873"/>
      <c r="D638" s="1831"/>
      <c r="E638" s="1831"/>
      <c r="F638" s="1831"/>
      <c r="G638" s="1748"/>
      <c r="H638" s="1748"/>
      <c r="I638" s="1831"/>
      <c r="J638" s="1831"/>
      <c r="K638" s="1831"/>
      <c r="L638" s="1831"/>
      <c r="M638" s="1831"/>
      <c r="N638" s="1831"/>
      <c r="O638" s="1831"/>
      <c r="P638" s="1831"/>
      <c r="Q638" s="1831"/>
      <c r="R638" s="1831"/>
      <c r="S638" s="1831"/>
    </row>
    <row r="639" spans="2:19" ht="15.75" customHeight="1" outlineLevel="1">
      <c r="B639" s="1865"/>
      <c r="C639" s="1749"/>
      <c r="D639" s="1941"/>
      <c r="E639" s="1941"/>
      <c r="F639" s="1941"/>
      <c r="G639" s="1941"/>
      <c r="H639" s="1941"/>
      <c r="I639" s="1941"/>
      <c r="J639" s="1941"/>
      <c r="K639" s="1941"/>
      <c r="L639" s="1941"/>
      <c r="M639" s="1857"/>
      <c r="N639" s="1941"/>
      <c r="O639" s="1941"/>
      <c r="P639" s="1941"/>
      <c r="Q639" s="1941"/>
      <c r="R639" s="1941"/>
      <c r="S639" s="1941"/>
    </row>
    <row r="640" spans="2:19" ht="15.75" customHeight="1" outlineLevel="2">
      <c r="B640" s="1865"/>
      <c r="C640" s="1749"/>
      <c r="D640" s="1831"/>
      <c r="E640" s="1831"/>
      <c r="F640" s="1831"/>
      <c r="G640" s="1748"/>
      <c r="H640" s="1748"/>
      <c r="I640" s="1831"/>
      <c r="J640" s="1831"/>
      <c r="K640" s="1831"/>
      <c r="L640" s="1831"/>
      <c r="M640" s="1831"/>
      <c r="N640" s="1831"/>
      <c r="O640" s="1831"/>
      <c r="P640" s="1831"/>
      <c r="Q640" s="1831"/>
      <c r="R640" s="1831"/>
      <c r="S640" s="1831"/>
    </row>
    <row r="641" spans="2:19" ht="15.75" customHeight="1" outlineLevel="2">
      <c r="B641" s="1865"/>
      <c r="C641" s="1749"/>
      <c r="D641" s="1831"/>
      <c r="E641" s="1831"/>
      <c r="F641" s="1831"/>
      <c r="G641" s="1748"/>
      <c r="H641" s="1748"/>
      <c r="I641" s="1941"/>
      <c r="J641" s="1941"/>
      <c r="K641" s="1941"/>
      <c r="L641" s="1941"/>
      <c r="M641" s="1857"/>
      <c r="N641" s="1941"/>
      <c r="O641" s="1941"/>
      <c r="P641" s="1941"/>
      <c r="Q641" s="1941"/>
      <c r="R641" s="1941"/>
      <c r="S641" s="1941"/>
    </row>
    <row r="642" spans="2:19" ht="15.75" customHeight="1" outlineLevel="2">
      <c r="B642" s="1865"/>
      <c r="C642" s="1749"/>
      <c r="D642" s="1857"/>
      <c r="E642" s="1857"/>
      <c r="F642" s="1857"/>
      <c r="G642" s="1857"/>
      <c r="H642" s="1857"/>
      <c r="I642" s="1857"/>
      <c r="J642" s="1857"/>
      <c r="K642" s="1857"/>
      <c r="L642" s="1857"/>
      <c r="M642" s="1857"/>
      <c r="N642" s="1857"/>
      <c r="O642" s="1857"/>
      <c r="P642" s="1857"/>
      <c r="Q642" s="1857"/>
      <c r="R642" s="1857"/>
      <c r="S642" s="1857"/>
    </row>
    <row r="643" spans="2:19" ht="15.75" customHeight="1" outlineLevel="1">
      <c r="B643" s="1865"/>
      <c r="C643" s="1873"/>
      <c r="D643" s="1873"/>
      <c r="E643" s="1873"/>
      <c r="F643" s="1873"/>
      <c r="I643" s="1872"/>
      <c r="J643" s="1873"/>
      <c r="K643" s="1873"/>
      <c r="L643" s="1893"/>
      <c r="M643" s="1838"/>
      <c r="N643" s="1749"/>
      <c r="O643" s="1749"/>
      <c r="P643" s="1749"/>
      <c r="Q643" s="1749"/>
      <c r="R643" s="1749"/>
      <c r="S643" s="1749"/>
    </row>
    <row r="644" spans="2:19" ht="15.75" customHeight="1" outlineLevel="1">
      <c r="B644" s="1865"/>
      <c r="C644" s="1873"/>
      <c r="D644" s="1873"/>
      <c r="E644" s="1873"/>
      <c r="F644" s="1873"/>
      <c r="I644" s="1872"/>
      <c r="J644" s="1873"/>
      <c r="K644" s="1873"/>
      <c r="L644" s="1893"/>
      <c r="M644" s="1838"/>
      <c r="N644" s="1749"/>
      <c r="O644" s="1749"/>
      <c r="P644" s="1749"/>
      <c r="Q644" s="1749"/>
      <c r="R644" s="1749"/>
      <c r="S644" s="1749"/>
    </row>
    <row r="645" spans="2:19" ht="15.75" customHeight="1" outlineLevel="1">
      <c r="B645" s="1865"/>
      <c r="C645" s="1873"/>
      <c r="D645" s="1873"/>
      <c r="E645" s="1873"/>
      <c r="F645" s="1873"/>
      <c r="I645" s="1872"/>
      <c r="J645" s="1873"/>
      <c r="K645" s="1873"/>
      <c r="L645" s="1893"/>
      <c r="M645" s="1838"/>
      <c r="N645" s="1749"/>
      <c r="O645" s="1749"/>
      <c r="P645" s="1749"/>
      <c r="Q645" s="1749"/>
      <c r="R645" s="1749"/>
      <c r="S645" s="1749"/>
    </row>
    <row r="646" spans="2:19" ht="15.75" customHeight="1" outlineLevel="1">
      <c r="B646" s="1865"/>
      <c r="C646" s="1873"/>
      <c r="D646" s="1873"/>
      <c r="E646" s="1873"/>
      <c r="F646" s="1873"/>
      <c r="I646" s="1872"/>
      <c r="J646" s="1873"/>
      <c r="K646" s="1873"/>
      <c r="L646" s="1893"/>
      <c r="M646" s="1838"/>
      <c r="N646" s="1749"/>
      <c r="O646" s="1749"/>
      <c r="P646" s="1749"/>
      <c r="Q646" s="1749"/>
      <c r="R646" s="1749"/>
      <c r="S646" s="1749"/>
    </row>
    <row r="647" spans="2:19" ht="15.75" customHeight="1">
      <c r="B647" s="1865"/>
      <c r="C647" s="1873"/>
      <c r="D647" s="1873"/>
      <c r="E647" s="1873"/>
      <c r="F647" s="1873"/>
      <c r="I647" s="1872"/>
      <c r="J647" s="1873"/>
      <c r="K647" s="1873"/>
      <c r="L647" s="1893"/>
      <c r="M647" s="1838"/>
      <c r="N647" s="1749"/>
      <c r="O647" s="1749"/>
      <c r="P647" s="1749"/>
      <c r="Q647" s="1749"/>
      <c r="R647" s="1749"/>
      <c r="S647" s="1749"/>
    </row>
    <row r="648" spans="2:19" ht="27" outlineLevel="2">
      <c r="B648" s="1865"/>
      <c r="C648" s="1871"/>
      <c r="I648" s="1872"/>
      <c r="J648" s="1873"/>
      <c r="K648" s="1874"/>
      <c r="L648" s="1875"/>
      <c r="M648" s="1876"/>
      <c r="N648" s="1875"/>
      <c r="O648" s="1875"/>
      <c r="P648" s="1875"/>
      <c r="Q648" s="1875"/>
      <c r="R648" s="1875"/>
      <c r="S648" s="1875"/>
    </row>
    <row r="649" spans="2:19" ht="3" customHeight="1" outlineLevel="2">
      <c r="B649" s="1865"/>
      <c r="C649" s="1877"/>
      <c r="D649" s="1877"/>
      <c r="E649" s="1877"/>
      <c r="F649" s="1877"/>
      <c r="G649" s="1758"/>
      <c r="H649" s="1758"/>
      <c r="I649" s="1877"/>
      <c r="J649" s="1877"/>
      <c r="K649" s="1877"/>
      <c r="L649" s="1877"/>
      <c r="M649" s="1877"/>
      <c r="N649" s="1877"/>
      <c r="O649" s="1877"/>
      <c r="P649" s="1877"/>
      <c r="Q649" s="1877"/>
      <c r="R649" s="1877"/>
      <c r="S649" s="1877"/>
    </row>
    <row r="650" spans="2:19" ht="15.75" customHeight="1" outlineLevel="2">
      <c r="B650" s="1865"/>
      <c r="C650" s="354"/>
      <c r="I650" s="1872"/>
      <c r="J650" s="1873"/>
      <c r="K650" s="1874"/>
      <c r="L650" s="1875"/>
      <c r="M650" s="1876"/>
      <c r="N650" s="1875"/>
      <c r="O650" s="1875"/>
      <c r="P650" s="1875"/>
      <c r="Q650" s="1875"/>
      <c r="R650" s="1875"/>
      <c r="S650" s="1875"/>
    </row>
    <row r="651" spans="2:19" ht="15.75" customHeight="1" outlineLevel="2">
      <c r="B651" s="1865"/>
      <c r="C651" s="1794"/>
      <c r="I651" s="1872"/>
      <c r="J651" s="1919"/>
      <c r="K651" s="1920"/>
      <c r="L651" s="1921"/>
      <c r="M651" s="1920"/>
      <c r="N651" s="1921"/>
      <c r="O651" s="1921"/>
      <c r="P651" s="1921"/>
      <c r="Q651" s="1921"/>
      <c r="R651" s="1921"/>
      <c r="S651" s="1921"/>
    </row>
    <row r="652" spans="2:19" ht="15.75" customHeight="1" outlineLevel="2">
      <c r="B652" s="1865"/>
      <c r="C652" s="1843"/>
      <c r="D652" s="1767"/>
      <c r="E652" s="1767"/>
      <c r="F652" s="1767"/>
      <c r="G652" s="1834"/>
      <c r="H652" s="1768"/>
      <c r="I652" s="1768"/>
      <c r="J652" s="1768"/>
      <c r="K652" s="1768"/>
      <c r="L652" s="1768"/>
      <c r="M652" s="1768"/>
      <c r="N652" s="1768"/>
      <c r="O652" s="1768"/>
      <c r="P652" s="1768"/>
      <c r="Q652" s="1768"/>
      <c r="R652" s="1768"/>
      <c r="S652" s="1768"/>
    </row>
    <row r="653" spans="2:19" ht="15.75" customHeight="1" outlineLevel="2">
      <c r="B653" s="1865"/>
      <c r="C653" s="1844"/>
      <c r="D653" s="1771"/>
      <c r="E653" s="1771"/>
      <c r="F653" s="1771"/>
      <c r="G653" s="1815"/>
      <c r="H653" s="1772"/>
      <c r="I653" s="1772"/>
      <c r="J653" s="1772"/>
      <c r="K653" s="1772"/>
      <c r="L653" s="1772"/>
      <c r="M653" s="1772"/>
      <c r="N653" s="1772"/>
      <c r="O653" s="1772"/>
      <c r="P653" s="1772"/>
      <c r="Q653" s="1772"/>
      <c r="R653" s="1772"/>
      <c r="S653" s="1772"/>
    </row>
    <row r="654" spans="2:19" ht="15.75" customHeight="1" outlineLevel="2">
      <c r="B654" s="1865"/>
      <c r="C654" s="1856"/>
      <c r="D654" s="1774"/>
      <c r="E654" s="1775"/>
      <c r="F654" s="1775"/>
      <c r="G654" s="1816"/>
      <c r="H654" s="1817"/>
      <c r="I654" s="1817"/>
      <c r="J654" s="1817"/>
      <c r="K654" s="1772"/>
      <c r="L654" s="1772"/>
      <c r="M654" s="1772"/>
      <c r="N654" s="1772"/>
      <c r="O654" s="1772"/>
      <c r="P654" s="1772"/>
      <c r="Q654" s="1772"/>
      <c r="R654" s="1772"/>
      <c r="S654" s="1772"/>
    </row>
    <row r="655" spans="2:19" ht="15.75" customHeight="1" outlineLevel="2">
      <c r="B655" s="1865"/>
      <c r="C655" s="1767"/>
      <c r="D655" s="1767"/>
      <c r="E655" s="1767"/>
      <c r="F655" s="1767"/>
      <c r="I655" s="1767"/>
      <c r="J655" s="1767"/>
      <c r="K655" s="1767"/>
      <c r="L655" s="1942"/>
      <c r="M655" s="1767"/>
      <c r="N655" s="1942"/>
      <c r="O655" s="1942"/>
      <c r="P655" s="1942"/>
      <c r="Q655" s="1942"/>
      <c r="R655" s="1942"/>
      <c r="S655" s="1942"/>
    </row>
    <row r="656" spans="2:19" ht="15.75" customHeight="1" outlineLevel="2">
      <c r="B656" s="1865"/>
      <c r="C656" s="1749"/>
      <c r="D656" s="1872"/>
      <c r="E656" s="1872"/>
      <c r="F656" s="1872"/>
      <c r="G656" s="1748"/>
      <c r="H656" s="1748"/>
      <c r="I656" s="1872"/>
      <c r="J656" s="1872"/>
      <c r="K656" s="1872"/>
      <c r="L656" s="1894"/>
      <c r="M656" s="1838"/>
      <c r="N656" s="1749"/>
      <c r="O656" s="1749"/>
      <c r="P656" s="1749"/>
      <c r="Q656" s="1749"/>
      <c r="R656" s="1749"/>
      <c r="S656" s="1749"/>
    </row>
    <row r="657" spans="2:19" ht="15.75" customHeight="1" outlineLevel="2">
      <c r="B657" s="1865"/>
      <c r="C657" s="1824"/>
      <c r="D657" s="1778"/>
      <c r="E657" s="1778"/>
      <c r="F657" s="1778"/>
      <c r="G657" s="1748"/>
      <c r="H657" s="1748"/>
      <c r="I657" s="1831"/>
      <c r="J657" s="1831"/>
      <c r="K657" s="1831"/>
      <c r="L657" s="1831"/>
      <c r="M657" s="1831"/>
      <c r="N657" s="1831"/>
      <c r="O657" s="1831"/>
      <c r="P657" s="1831"/>
      <c r="Q657" s="1831"/>
      <c r="R657" s="1831"/>
      <c r="S657" s="1831"/>
    </row>
    <row r="658" spans="2:19" ht="15.75" customHeight="1" outlineLevel="2">
      <c r="B658" s="1865"/>
      <c r="C658" s="1824"/>
      <c r="D658" s="1778"/>
      <c r="E658" s="1778"/>
      <c r="F658" s="1778"/>
      <c r="G658" s="1748"/>
      <c r="H658" s="1748"/>
      <c r="I658" s="1831"/>
      <c r="J658" s="1831"/>
      <c r="K658" s="1831"/>
      <c r="L658" s="1831"/>
      <c r="M658" s="1831"/>
      <c r="N658" s="1831"/>
      <c r="O658" s="1831"/>
      <c r="P658" s="1831"/>
      <c r="Q658" s="1831"/>
      <c r="R658" s="1831"/>
      <c r="S658" s="1831"/>
    </row>
    <row r="659" spans="2:19" ht="15.75" customHeight="1" outlineLevel="2">
      <c r="B659" s="1865"/>
      <c r="C659" s="1824"/>
      <c r="D659" s="1778"/>
      <c r="E659" s="1778"/>
      <c r="F659" s="1778"/>
      <c r="G659" s="1748"/>
      <c r="H659" s="1748"/>
      <c r="I659" s="1831"/>
      <c r="J659" s="1831"/>
      <c r="K659" s="1831"/>
      <c r="L659" s="1831"/>
      <c r="M659" s="1831"/>
      <c r="N659" s="1831"/>
      <c r="O659" s="1831"/>
      <c r="P659" s="1831"/>
      <c r="Q659" s="1831"/>
      <c r="R659" s="1831"/>
      <c r="S659" s="1831"/>
    </row>
    <row r="660" spans="2:19" ht="15.75" customHeight="1" outlineLevel="2">
      <c r="B660" s="1865"/>
      <c r="C660" s="1824"/>
      <c r="D660" s="1778"/>
      <c r="E660" s="1778"/>
      <c r="F660" s="1778"/>
      <c r="G660" s="1748"/>
      <c r="H660" s="1748"/>
      <c r="I660" s="1831"/>
      <c r="J660" s="1831"/>
      <c r="K660" s="1831"/>
      <c r="L660" s="1831"/>
      <c r="M660" s="1831"/>
      <c r="N660" s="1831"/>
      <c r="O660" s="1831"/>
      <c r="P660" s="1831"/>
      <c r="Q660" s="1831"/>
      <c r="R660" s="1831"/>
      <c r="S660" s="1831"/>
    </row>
    <row r="661" spans="2:19" ht="15.75" customHeight="1" outlineLevel="2">
      <c r="B661" s="1865"/>
      <c r="C661" s="1824"/>
      <c r="D661" s="1778"/>
      <c r="E661" s="1778"/>
      <c r="F661" s="1778"/>
      <c r="G661" s="1748"/>
      <c r="H661" s="1748"/>
      <c r="I661" s="1831"/>
      <c r="J661" s="1831"/>
      <c r="K661" s="1831"/>
      <c r="L661" s="1831"/>
      <c r="M661" s="1831"/>
      <c r="N661" s="1831"/>
      <c r="O661" s="1831"/>
      <c r="P661" s="1831"/>
      <c r="Q661" s="1831"/>
      <c r="R661" s="1831"/>
      <c r="S661" s="1831"/>
    </row>
    <row r="662" spans="2:19" ht="15.75" customHeight="1" outlineLevel="2">
      <c r="B662" s="1865"/>
      <c r="C662" s="1824"/>
      <c r="D662" s="1778"/>
      <c r="E662" s="1778"/>
      <c r="F662" s="1778"/>
      <c r="G662" s="1748"/>
      <c r="H662" s="1748"/>
      <c r="I662" s="1831"/>
      <c r="J662" s="1831"/>
      <c r="K662" s="1831"/>
      <c r="L662" s="1831"/>
      <c r="M662" s="1831"/>
      <c r="N662" s="1831"/>
      <c r="O662" s="1831"/>
      <c r="P662" s="1831"/>
      <c r="Q662" s="1831"/>
      <c r="R662" s="1831"/>
      <c r="S662" s="1831"/>
    </row>
    <row r="663" spans="2:19" ht="15.75" customHeight="1" outlineLevel="2">
      <c r="B663" s="1865"/>
      <c r="C663" s="1873"/>
      <c r="D663" s="1873"/>
      <c r="E663" s="1873"/>
      <c r="F663" s="1873"/>
      <c r="G663" s="1748"/>
      <c r="H663" s="1748"/>
      <c r="I663" s="1872"/>
      <c r="J663" s="1873"/>
      <c r="K663" s="1873"/>
      <c r="L663" s="1873"/>
      <c r="M663" s="1872"/>
      <c r="N663" s="1873"/>
      <c r="O663" s="1873"/>
      <c r="P663" s="1873"/>
      <c r="Q663" s="1873"/>
      <c r="R663" s="1873"/>
      <c r="S663" s="1873"/>
    </row>
    <row r="664" spans="2:19" ht="15.75" customHeight="1" outlineLevel="2">
      <c r="B664" s="1865"/>
      <c r="C664" s="1749"/>
      <c r="D664" s="1778"/>
      <c r="E664" s="1778"/>
      <c r="F664" s="1778"/>
      <c r="G664" s="1748"/>
      <c r="H664" s="1748"/>
      <c r="I664" s="1778"/>
      <c r="J664" s="1778"/>
      <c r="K664" s="1778"/>
      <c r="L664" s="1779"/>
      <c r="M664" s="1779"/>
      <c r="N664" s="1779"/>
      <c r="O664" s="1779"/>
      <c r="P664" s="1779"/>
      <c r="Q664" s="1779"/>
      <c r="R664" s="1779"/>
      <c r="S664" s="1779"/>
    </row>
    <row r="665" spans="2:19" ht="15.75" customHeight="1" outlineLevel="2">
      <c r="B665" s="1865"/>
      <c r="C665" s="1824"/>
      <c r="D665" s="1778"/>
      <c r="E665" s="1778"/>
      <c r="F665" s="1778"/>
      <c r="G665" s="1748"/>
      <c r="H665" s="1748"/>
      <c r="I665" s="1805"/>
      <c r="J665" s="1804"/>
      <c r="K665" s="1804"/>
      <c r="L665" s="1804"/>
      <c r="M665" s="1804"/>
      <c r="N665" s="1804"/>
      <c r="O665" s="1804"/>
      <c r="P665" s="1804"/>
      <c r="Q665" s="1804"/>
      <c r="R665" s="1804"/>
      <c r="S665" s="1804"/>
    </row>
    <row r="666" spans="2:19" ht="15.75" customHeight="1" outlineLevel="2">
      <c r="B666" s="1865"/>
      <c r="C666" s="1824"/>
      <c r="D666" s="1778"/>
      <c r="E666" s="1778"/>
      <c r="F666" s="1778"/>
      <c r="G666" s="1748"/>
      <c r="H666" s="1748"/>
      <c r="I666" s="1804"/>
      <c r="J666" s="1804"/>
      <c r="K666" s="1804"/>
      <c r="L666" s="1804"/>
      <c r="M666" s="1869"/>
      <c r="N666" s="1804"/>
      <c r="O666" s="1804"/>
      <c r="P666" s="1804"/>
      <c r="Q666" s="1804"/>
      <c r="R666" s="1804"/>
      <c r="S666" s="1804"/>
    </row>
    <row r="667" spans="2:19" ht="15.75" customHeight="1" outlineLevel="2">
      <c r="B667" s="1865"/>
      <c r="C667" s="1824"/>
      <c r="D667" s="1778"/>
      <c r="E667" s="1778"/>
      <c r="F667" s="1778"/>
      <c r="G667" s="1748"/>
      <c r="H667" s="1748"/>
      <c r="I667" s="1804"/>
      <c r="J667" s="1804"/>
      <c r="K667" s="1869"/>
      <c r="L667" s="1869"/>
      <c r="M667" s="1869"/>
      <c r="N667" s="1869"/>
      <c r="O667" s="1869"/>
      <c r="P667" s="1869"/>
      <c r="Q667" s="1869"/>
      <c r="R667" s="1869"/>
      <c r="S667" s="1869"/>
    </row>
    <row r="668" spans="2:19" ht="15.75" customHeight="1" outlineLevel="2">
      <c r="B668" s="1865"/>
      <c r="C668" s="1824"/>
      <c r="D668" s="1778"/>
      <c r="E668" s="1778"/>
      <c r="F668" s="1778"/>
      <c r="G668" s="1748"/>
      <c r="H668" s="1748"/>
      <c r="I668" s="1804"/>
      <c r="J668" s="1804"/>
      <c r="K668" s="1869"/>
      <c r="L668" s="1869"/>
      <c r="M668" s="1869"/>
      <c r="N668" s="1869"/>
      <c r="O668" s="1869"/>
      <c r="P668" s="1869"/>
      <c r="Q668" s="1869"/>
      <c r="R668" s="1869"/>
      <c r="S668" s="1869"/>
    </row>
    <row r="669" spans="2:19" ht="15.75" customHeight="1" outlineLevel="2">
      <c r="B669" s="1865"/>
      <c r="C669" s="1824"/>
      <c r="D669" s="1778"/>
      <c r="E669" s="1778"/>
      <c r="F669" s="1778"/>
      <c r="G669" s="1748"/>
      <c r="H669" s="1748"/>
      <c r="I669" s="1869"/>
      <c r="J669" s="1869"/>
      <c r="K669" s="1869"/>
      <c r="L669" s="1804"/>
      <c r="M669" s="1804"/>
      <c r="N669" s="1804"/>
      <c r="O669" s="1804"/>
      <c r="P669" s="1804"/>
      <c r="Q669" s="1804"/>
      <c r="R669" s="1804"/>
      <c r="S669" s="1804"/>
    </row>
    <row r="670" spans="2:19" ht="15.75" customHeight="1" outlineLevel="2">
      <c r="B670" s="1865"/>
      <c r="C670" s="1824"/>
      <c r="D670" s="1778"/>
      <c r="E670" s="1778"/>
      <c r="F670" s="1778"/>
      <c r="G670" s="1748"/>
      <c r="H670" s="1748"/>
      <c r="I670" s="1869"/>
      <c r="J670" s="1869"/>
      <c r="K670" s="1869"/>
      <c r="L670" s="1869"/>
      <c r="M670" s="1869"/>
      <c r="N670" s="1869"/>
      <c r="O670" s="1869"/>
      <c r="P670" s="1869"/>
      <c r="Q670" s="1869"/>
      <c r="R670" s="1869"/>
      <c r="S670" s="1869"/>
    </row>
    <row r="671" spans="2:19" ht="15.75" customHeight="1" outlineLevel="2">
      <c r="B671" s="1865"/>
      <c r="C671" s="1873"/>
      <c r="D671" s="1873"/>
      <c r="E671" s="1873"/>
      <c r="F671" s="1873"/>
      <c r="G671" s="1748"/>
      <c r="H671" s="1748"/>
      <c r="I671" s="1872"/>
      <c r="J671" s="1873"/>
      <c r="K671" s="1873"/>
      <c r="L671" s="1873"/>
      <c r="M671" s="1872"/>
      <c r="N671" s="1873"/>
      <c r="O671" s="1873"/>
      <c r="P671" s="1873"/>
      <c r="Q671" s="1873"/>
      <c r="R671" s="1873"/>
      <c r="S671" s="1873"/>
    </row>
    <row r="672" spans="2:19" ht="15.75" customHeight="1" outlineLevel="2">
      <c r="B672" s="1865"/>
      <c r="C672" s="1749"/>
      <c r="D672" s="1778"/>
      <c r="E672" s="1778"/>
      <c r="F672" s="1778"/>
      <c r="G672" s="1748"/>
      <c r="H672" s="1748"/>
      <c r="I672" s="1778"/>
      <c r="J672" s="1943"/>
      <c r="K672" s="1944"/>
      <c r="L672" s="1944"/>
      <c r="M672" s="1944"/>
      <c r="N672" s="1944"/>
      <c r="O672" s="1944"/>
      <c r="P672" s="1944"/>
      <c r="Q672" s="1944"/>
      <c r="R672" s="1944"/>
      <c r="S672" s="1944"/>
    </row>
    <row r="673" spans="2:19" ht="15.75" customHeight="1" outlineLevel="2">
      <c r="B673" s="1865"/>
      <c r="C673" s="1824"/>
      <c r="D673" s="1778"/>
      <c r="E673" s="1778"/>
      <c r="F673" s="1778"/>
      <c r="G673" s="1748"/>
      <c r="H673" s="1748"/>
      <c r="I673" s="1839"/>
      <c r="J673" s="1839"/>
      <c r="K673" s="1839"/>
      <c r="L673" s="1839"/>
      <c r="M673" s="1839"/>
      <c r="N673" s="1839"/>
      <c r="O673" s="1839"/>
      <c r="P673" s="1839"/>
      <c r="Q673" s="1839"/>
      <c r="R673" s="1839"/>
      <c r="S673" s="1839"/>
    </row>
    <row r="674" spans="2:19" ht="15.75" customHeight="1" outlineLevel="2">
      <c r="B674" s="1865"/>
      <c r="C674" s="1824"/>
      <c r="D674" s="1778"/>
      <c r="E674" s="1778"/>
      <c r="F674" s="1778"/>
      <c r="G674" s="1748"/>
      <c r="H674" s="1748"/>
      <c r="I674" s="1839"/>
      <c r="J674" s="1839"/>
      <c r="K674" s="1839"/>
      <c r="L674" s="1839"/>
      <c r="M674" s="1839"/>
      <c r="N674" s="1839"/>
      <c r="O674" s="1839"/>
      <c r="P674" s="1839"/>
      <c r="Q674" s="1839"/>
      <c r="R674" s="1839"/>
      <c r="S674" s="1839"/>
    </row>
    <row r="675" spans="2:19" ht="15.75" customHeight="1" outlineLevel="2">
      <c r="B675" s="1865"/>
      <c r="C675" s="1824"/>
      <c r="D675" s="1778"/>
      <c r="E675" s="1778"/>
      <c r="F675" s="1778"/>
      <c r="G675" s="1748"/>
      <c r="H675" s="1748"/>
      <c r="I675" s="1839"/>
      <c r="J675" s="1839"/>
      <c r="K675" s="1839"/>
      <c r="L675" s="1839"/>
      <c r="M675" s="1839"/>
      <c r="N675" s="1839"/>
      <c r="O675" s="1839"/>
      <c r="P675" s="1839"/>
      <c r="Q675" s="1839"/>
      <c r="R675" s="1839"/>
      <c r="S675" s="1839"/>
    </row>
    <row r="676" spans="2:19" ht="15.75" customHeight="1" outlineLevel="2">
      <c r="B676" s="1865"/>
      <c r="C676" s="1824"/>
      <c r="D676" s="1778"/>
      <c r="E676" s="1778"/>
      <c r="F676" s="1778"/>
      <c r="G676" s="1748"/>
      <c r="H676" s="1748"/>
      <c r="I676" s="1839"/>
      <c r="J676" s="1839"/>
      <c r="K676" s="1839"/>
      <c r="L676" s="1839"/>
      <c r="M676" s="1839"/>
      <c r="N676" s="1839"/>
      <c r="O676" s="1839"/>
      <c r="P676" s="1839"/>
      <c r="Q676" s="1839"/>
      <c r="R676" s="1839"/>
      <c r="S676" s="1839"/>
    </row>
    <row r="677" spans="2:19" ht="15.75" customHeight="1" outlineLevel="2">
      <c r="B677" s="1865"/>
      <c r="C677" s="1824"/>
      <c r="D677" s="1778"/>
      <c r="E677" s="1778"/>
      <c r="F677" s="1778"/>
      <c r="G677" s="1748"/>
      <c r="H677" s="1748"/>
      <c r="I677" s="1839"/>
      <c r="J677" s="1839"/>
      <c r="K677" s="1839"/>
      <c r="L677" s="1839"/>
      <c r="M677" s="1839"/>
      <c r="N677" s="1839"/>
      <c r="O677" s="1839"/>
      <c r="P677" s="1839"/>
      <c r="Q677" s="1839"/>
      <c r="R677" s="1839"/>
      <c r="S677" s="1839"/>
    </row>
    <row r="678" spans="2:19" ht="15.75" customHeight="1" outlineLevel="2">
      <c r="B678" s="1865"/>
      <c r="C678" s="1824"/>
      <c r="D678" s="1778"/>
      <c r="E678" s="1778"/>
      <c r="F678" s="1778"/>
      <c r="G678" s="1748"/>
      <c r="H678" s="1748"/>
      <c r="I678" s="1831"/>
      <c r="J678" s="1831"/>
      <c r="K678" s="1831"/>
      <c r="L678" s="1831"/>
      <c r="M678" s="1831"/>
      <c r="N678" s="1831"/>
      <c r="O678" s="1831"/>
      <c r="P678" s="1831"/>
      <c r="Q678" s="1831"/>
      <c r="R678" s="1831"/>
      <c r="S678" s="1831"/>
    </row>
    <row r="679" spans="2:19" ht="15.75" customHeight="1" outlineLevel="2">
      <c r="B679" s="1865"/>
      <c r="C679" s="1873"/>
      <c r="D679" s="1873"/>
      <c r="E679" s="1873"/>
      <c r="F679" s="1873"/>
      <c r="G679" s="1748"/>
      <c r="H679" s="1748"/>
      <c r="I679" s="1872"/>
      <c r="J679" s="1873"/>
      <c r="K679" s="1873"/>
      <c r="L679" s="1873"/>
      <c r="M679" s="1872"/>
      <c r="N679" s="1873"/>
      <c r="O679" s="1873"/>
      <c r="P679" s="1873"/>
      <c r="Q679" s="1873"/>
      <c r="R679" s="1873"/>
      <c r="S679" s="1873"/>
    </row>
    <row r="680" spans="2:19" ht="15.75" customHeight="1" outlineLevel="2">
      <c r="B680" s="1865"/>
      <c r="C680" s="1945"/>
      <c r="D680" s="1778"/>
      <c r="E680" s="1778"/>
      <c r="F680" s="1778"/>
      <c r="G680" s="1748"/>
      <c r="H680" s="1748"/>
      <c r="I680" s="1839"/>
      <c r="J680" s="1839"/>
      <c r="K680" s="1839"/>
      <c r="L680" s="1839"/>
      <c r="M680" s="1839"/>
      <c r="N680" s="1839"/>
      <c r="O680" s="1839"/>
      <c r="P680" s="1839"/>
      <c r="Q680" s="1839"/>
      <c r="R680" s="1839"/>
      <c r="S680" s="1839"/>
    </row>
    <row r="681" spans="2:19" ht="15.75" customHeight="1" outlineLevel="2">
      <c r="B681" s="1865"/>
      <c r="C681" s="1873"/>
      <c r="D681" s="1873"/>
      <c r="E681" s="1873"/>
      <c r="F681" s="1873"/>
      <c r="G681" s="1748"/>
      <c r="H681" s="1748"/>
      <c r="I681" s="1872"/>
      <c r="J681" s="1873"/>
      <c r="K681" s="1873"/>
      <c r="L681" s="1873"/>
      <c r="M681" s="1872"/>
      <c r="N681" s="1873"/>
      <c r="O681" s="1873"/>
      <c r="P681" s="1873"/>
      <c r="Q681" s="1873"/>
      <c r="R681" s="1873"/>
      <c r="S681" s="1873"/>
    </row>
    <row r="682" spans="2:19" ht="15.75" customHeight="1" outlineLevel="2">
      <c r="B682" s="1865"/>
      <c r="C682" s="1945"/>
      <c r="D682" s="1778"/>
      <c r="E682" s="1778"/>
      <c r="F682" s="1778"/>
      <c r="G682" s="1748"/>
      <c r="H682" s="1748"/>
      <c r="I682" s="1831"/>
      <c r="J682" s="1831"/>
      <c r="K682" s="1831"/>
      <c r="L682" s="1831"/>
      <c r="M682" s="1831"/>
      <c r="N682" s="1831"/>
      <c r="O682" s="1831"/>
      <c r="P682" s="1831"/>
      <c r="Q682" s="1831"/>
      <c r="R682" s="1831"/>
      <c r="S682" s="1831"/>
    </row>
    <row r="683" spans="2:19" ht="15.75" customHeight="1" outlineLevel="2">
      <c r="B683" s="1865"/>
      <c r="C683" s="1873"/>
      <c r="D683" s="1778"/>
      <c r="E683" s="1778"/>
      <c r="F683" s="1778"/>
      <c r="G683" s="1748"/>
      <c r="H683" s="1748"/>
      <c r="I683" s="1778"/>
      <c r="J683" s="1778"/>
      <c r="K683" s="1779"/>
      <c r="L683" s="1779"/>
      <c r="M683" s="1779"/>
      <c r="N683" s="1779"/>
      <c r="O683" s="1779"/>
      <c r="P683" s="1779"/>
      <c r="Q683" s="1779"/>
      <c r="R683" s="1779"/>
      <c r="S683" s="1779"/>
    </row>
    <row r="684" spans="2:19" ht="15.75" customHeight="1" outlineLevel="2">
      <c r="B684" s="1865"/>
      <c r="C684" s="1749"/>
      <c r="D684" s="1778"/>
      <c r="E684" s="1778"/>
      <c r="F684" s="1778"/>
      <c r="G684" s="1748"/>
      <c r="H684" s="1748"/>
      <c r="I684" s="1839"/>
      <c r="J684" s="1839"/>
      <c r="K684" s="1839"/>
      <c r="L684" s="1839"/>
      <c r="M684" s="1839"/>
      <c r="N684" s="1839"/>
      <c r="O684" s="1839"/>
      <c r="P684" s="1839"/>
      <c r="Q684" s="1839"/>
      <c r="R684" s="1839"/>
      <c r="S684" s="1839"/>
    </row>
    <row r="685" spans="2:19" ht="15.75" customHeight="1" outlineLevel="2">
      <c r="B685" s="1865"/>
      <c r="C685" s="1749"/>
      <c r="D685" s="1778"/>
      <c r="E685" s="1778"/>
      <c r="F685" s="1778"/>
      <c r="G685" s="1748"/>
      <c r="H685" s="1748"/>
      <c r="I685" s="1839"/>
      <c r="J685" s="1839"/>
      <c r="K685" s="1839"/>
      <c r="L685" s="1839"/>
      <c r="M685" s="1839"/>
      <c r="N685" s="1839"/>
      <c r="O685" s="1839"/>
      <c r="P685" s="1839"/>
      <c r="Q685" s="1839"/>
      <c r="R685" s="1839"/>
      <c r="S685" s="1839"/>
    </row>
    <row r="686" spans="2:19" ht="15.75" customHeight="1" outlineLevel="2">
      <c r="B686" s="1865"/>
      <c r="C686" s="1945"/>
      <c r="D686" s="1778"/>
      <c r="E686" s="1778"/>
      <c r="F686" s="1778"/>
      <c r="G686" s="1748"/>
      <c r="H686" s="1748"/>
      <c r="I686" s="1831"/>
      <c r="J686" s="1831"/>
      <c r="K686" s="1831"/>
      <c r="L686" s="1831"/>
      <c r="M686" s="1831"/>
      <c r="N686" s="1831"/>
      <c r="O686" s="1831"/>
      <c r="P686" s="1831"/>
      <c r="Q686" s="1831"/>
      <c r="R686" s="1831"/>
      <c r="S686" s="1831"/>
    </row>
    <row r="687" spans="2:19" ht="15.75" customHeight="1" outlineLevel="1">
      <c r="B687" s="1865"/>
      <c r="C687" s="1873"/>
      <c r="D687" s="1873"/>
      <c r="E687" s="1873"/>
      <c r="F687" s="1873"/>
      <c r="I687" s="1872"/>
      <c r="J687" s="1873"/>
      <c r="K687" s="1873"/>
      <c r="L687" s="1873"/>
      <c r="M687" s="1838"/>
      <c r="N687" s="1749"/>
      <c r="O687" s="1749"/>
      <c r="P687" s="1749"/>
      <c r="Q687" s="1749"/>
      <c r="R687" s="1749"/>
      <c r="S687" s="1749"/>
    </row>
    <row r="688" spans="2:19" ht="15.75" customHeight="1" outlineLevel="1">
      <c r="B688" s="1865"/>
      <c r="C688" s="1873"/>
      <c r="D688" s="1873"/>
      <c r="E688" s="1873"/>
      <c r="F688" s="1873"/>
      <c r="I688" s="1872"/>
      <c r="J688" s="1873"/>
      <c r="K688" s="1873"/>
      <c r="L688" s="1893"/>
      <c r="M688" s="1838"/>
      <c r="N688" s="1749"/>
      <c r="O688" s="1749"/>
      <c r="P688" s="1749"/>
      <c r="Q688" s="1749"/>
      <c r="R688" s="1749"/>
      <c r="S688" s="1749"/>
    </row>
    <row r="689" spans="13:19" outlineLevel="1">
      <c r="M689" s="1808"/>
      <c r="N689" s="1808"/>
      <c r="O689" s="1808"/>
      <c r="P689" s="1808"/>
      <c r="Q689" s="1808"/>
      <c r="R689" s="1808"/>
      <c r="S689" s="1808"/>
    </row>
    <row r="690" spans="13:19">
      <c r="M690" s="1808"/>
      <c r="N690" s="1808"/>
      <c r="O690" s="1808"/>
      <c r="P690" s="1808"/>
      <c r="Q690" s="1808"/>
      <c r="R690" s="1808"/>
      <c r="S690" s="1808"/>
    </row>
  </sheetData>
  <conditionalFormatting sqref="I340:I341">
    <cfRule type="cellIs" dxfId="3" priority="2" stopIfTrue="1" operator="notEqual">
      <formula>1</formula>
    </cfRule>
  </conditionalFormatting>
  <printOptions horizontalCentered="1"/>
  <pageMargins left="0.23622047244094491" right="0.35433070866141736" top="0.23622047244094491" bottom="1.6535433070866143" header="0.23622047244094491" footer="1.6535433070866143"/>
  <pageSetup paperSize="9" scale="10" fitToHeight="2" orientation="landscape" r:id="rId1"/>
  <headerFooter alignWithMargins="0"/>
  <rowBreaks count="5" manualBreakCount="5">
    <brk id="403" min="1" max="17" man="1"/>
    <brk id="452" min="1" max="17" man="1"/>
    <brk id="502" min="1" max="17" man="1"/>
    <brk id="549" min="1" max="18" man="1"/>
    <brk id="599" min="1" max="17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  <pageSetUpPr fitToPage="1"/>
  </sheetPr>
  <dimension ref="A1:U932"/>
  <sheetViews>
    <sheetView showGridLines="0" topLeftCell="B588" zoomScale="74" zoomScaleNormal="74" zoomScaleSheetLayoutView="85" workbookViewId="0">
      <selection activeCell="C615" sqref="C615"/>
    </sheetView>
  </sheetViews>
  <sheetFormatPr defaultRowHeight="12.75" outlineLevelRow="2" outlineLevelCol="2"/>
  <cols>
    <col min="1" max="1" width="4.140625" style="169" bestFit="1" customWidth="1"/>
    <col min="2" max="2" width="2.85546875" style="169" customWidth="1"/>
    <col min="3" max="3" width="4.140625" style="295" customWidth="1"/>
    <col min="4" max="4" width="42.5703125" style="169" customWidth="1"/>
    <col min="5" max="5" width="47.28515625" style="169" hidden="1" customWidth="1" outlineLevel="2"/>
    <col min="6" max="6" width="38.5703125" style="169" hidden="1" customWidth="1" outlineLevel="2"/>
    <col min="7" max="7" width="9.42578125" style="298" hidden="1" customWidth="1" outlineLevel="1" collapsed="1"/>
    <col min="8" max="8" width="27.5703125" style="298" hidden="1" customWidth="1" outlineLevel="1"/>
    <col min="9" max="9" width="11.7109375" style="168" hidden="1" customWidth="1" outlineLevel="1"/>
    <col min="10" max="10" width="13.85546875" style="169" hidden="1" customWidth="1" outlineLevel="1"/>
    <col min="11" max="11" width="14.5703125" style="169" hidden="1" customWidth="1" outlineLevel="1" collapsed="1"/>
    <col min="12" max="12" width="18.7109375" style="168" hidden="1" customWidth="1" outlineLevel="1"/>
    <col min="13" max="13" width="15.42578125" style="427" hidden="1" customWidth="1" outlineLevel="1"/>
    <col min="14" max="14" width="15.42578125" style="169" hidden="1" customWidth="1" outlineLevel="1" collapsed="1"/>
    <col min="15" max="15" width="16.7109375" style="169" customWidth="1" collapsed="1"/>
    <col min="16" max="19" width="16.7109375" style="169" customWidth="1"/>
    <col min="20" max="56" width="11.7109375" style="169" customWidth="1"/>
    <col min="57" max="16384" width="9.140625" style="169"/>
  </cols>
  <sheetData>
    <row r="1" spans="1:21" ht="15.75" customHeight="1">
      <c r="A1" s="295"/>
      <c r="E1" s="168"/>
      <c r="F1" s="168"/>
      <c r="G1" s="168"/>
      <c r="H1" s="167"/>
      <c r="J1" s="168"/>
      <c r="N1" s="214"/>
      <c r="O1" s="214"/>
      <c r="P1" s="214"/>
      <c r="Q1" s="214"/>
      <c r="R1" s="214"/>
      <c r="S1" s="214"/>
    </row>
    <row r="2" spans="1:21" ht="15.75" customHeight="1">
      <c r="A2" s="295"/>
      <c r="B2" s="168"/>
      <c r="C2" s="296"/>
      <c r="D2" s="168"/>
      <c r="E2" s="168"/>
      <c r="F2" s="168"/>
      <c r="G2" s="168"/>
      <c r="H2" s="167"/>
      <c r="J2" s="168"/>
      <c r="K2" s="168"/>
      <c r="M2" s="168"/>
      <c r="N2" s="215"/>
      <c r="O2" s="215"/>
      <c r="P2" s="215"/>
      <c r="Q2" s="215"/>
      <c r="R2" s="215"/>
      <c r="S2" s="215"/>
      <c r="T2" s="168"/>
      <c r="U2" s="168"/>
    </row>
    <row r="3" spans="1:21" ht="27">
      <c r="A3" s="295"/>
      <c r="B3" s="168"/>
      <c r="C3" s="733" t="s">
        <v>297</v>
      </c>
      <c r="D3" s="168"/>
      <c r="E3" s="168"/>
      <c r="F3" s="168"/>
      <c r="G3" s="168"/>
      <c r="H3" s="167"/>
      <c r="J3" s="168"/>
      <c r="K3" s="168"/>
      <c r="M3" s="168"/>
      <c r="N3" s="734"/>
      <c r="O3" s="704"/>
      <c r="P3" s="727"/>
      <c r="Q3" s="168"/>
      <c r="R3" s="168"/>
      <c r="S3" s="168"/>
      <c r="T3" s="168"/>
      <c r="U3" s="168"/>
    </row>
    <row r="4" spans="1:21" ht="15.75" customHeight="1">
      <c r="A4" s="295"/>
      <c r="B4" s="168"/>
      <c r="C4" s="299"/>
      <c r="D4" s="170"/>
      <c r="E4" s="170"/>
      <c r="F4" s="170"/>
      <c r="G4" s="170"/>
      <c r="H4" s="300"/>
      <c r="I4" s="170"/>
      <c r="J4" s="170"/>
      <c r="K4" s="170"/>
      <c r="L4" s="170"/>
      <c r="M4" s="170"/>
      <c r="N4" s="170"/>
      <c r="O4" s="170"/>
      <c r="P4" s="170"/>
      <c r="Q4" s="170"/>
      <c r="R4" s="170"/>
      <c r="S4" s="170"/>
      <c r="T4" s="168"/>
      <c r="U4" s="168"/>
    </row>
    <row r="5" spans="1:21" ht="9" customHeight="1">
      <c r="A5" s="295"/>
      <c r="B5" s="168"/>
      <c r="C5" s="601"/>
      <c r="D5" s="168"/>
      <c r="E5" s="168"/>
      <c r="F5" s="168"/>
      <c r="G5" s="168"/>
      <c r="H5" s="301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68"/>
      <c r="U5" s="168"/>
    </row>
    <row r="6" spans="1:21" ht="15.75" customHeight="1">
      <c r="A6" s="295"/>
      <c r="B6" s="168"/>
      <c r="C6" s="302" t="s">
        <v>168</v>
      </c>
      <c r="D6" s="303"/>
      <c r="E6" s="303"/>
      <c r="F6" s="303"/>
      <c r="G6" s="303"/>
      <c r="H6" s="301"/>
      <c r="I6" s="172"/>
      <c r="J6" s="172"/>
      <c r="K6" s="172"/>
      <c r="L6" s="173"/>
      <c r="M6" s="171"/>
      <c r="N6" s="304"/>
      <c r="O6" s="304"/>
      <c r="P6" s="304"/>
      <c r="Q6" s="304"/>
      <c r="R6" s="304"/>
      <c r="S6" s="304"/>
      <c r="T6" s="168"/>
      <c r="U6" s="168"/>
    </row>
    <row r="7" spans="1:21" ht="15.75" customHeight="1">
      <c r="A7" s="295"/>
      <c r="B7" s="168"/>
      <c r="C7" s="603"/>
      <c r="D7" s="233"/>
      <c r="E7" s="233"/>
      <c r="F7" s="233"/>
      <c r="G7" s="603"/>
      <c r="H7" s="174">
        <v>0</v>
      </c>
      <c r="I7" s="174">
        <v>0</v>
      </c>
      <c r="J7" s="174">
        <v>1</v>
      </c>
      <c r="K7" s="174">
        <v>2</v>
      </c>
      <c r="L7" s="175">
        <v>3</v>
      </c>
      <c r="M7" s="175">
        <v>4</v>
      </c>
      <c r="N7" s="175">
        <v>5</v>
      </c>
      <c r="O7" s="175">
        <v>6</v>
      </c>
      <c r="P7" s="175">
        <v>7</v>
      </c>
      <c r="Q7" s="175">
        <v>8</v>
      </c>
      <c r="R7" s="175">
        <v>9</v>
      </c>
      <c r="S7" s="175">
        <v>10</v>
      </c>
      <c r="T7" s="168"/>
      <c r="U7" s="168"/>
    </row>
    <row r="8" spans="1:21" ht="15.75" customHeight="1">
      <c r="A8" s="295"/>
      <c r="B8" s="168"/>
      <c r="C8" s="604"/>
      <c r="D8" s="234"/>
      <c r="E8" s="234"/>
      <c r="F8" s="234"/>
      <c r="G8" s="604"/>
      <c r="H8" s="176"/>
      <c r="I8" s="176"/>
      <c r="J8" s="176"/>
      <c r="K8" s="176"/>
      <c r="L8" s="176"/>
      <c r="M8" s="176"/>
      <c r="N8" s="176"/>
      <c r="O8" s="176"/>
      <c r="P8" s="176"/>
      <c r="Q8" s="176"/>
      <c r="R8" s="176"/>
      <c r="S8" s="176"/>
      <c r="T8" s="168"/>
      <c r="U8" s="168"/>
    </row>
    <row r="9" spans="1:21" ht="15.75" customHeight="1">
      <c r="A9" s="295"/>
      <c r="B9" s="168"/>
      <c r="C9" s="177"/>
      <c r="D9" s="260"/>
      <c r="E9" s="235"/>
      <c r="F9" s="235"/>
      <c r="G9" s="177"/>
      <c r="H9" s="178" t="s">
        <v>499</v>
      </c>
      <c r="I9" s="178" t="s">
        <v>499</v>
      </c>
      <c r="J9" s="178" t="s">
        <v>499</v>
      </c>
      <c r="K9" s="178" t="s">
        <v>499</v>
      </c>
      <c r="L9" s="178" t="s">
        <v>499</v>
      </c>
      <c r="M9" s="178" t="s">
        <v>499</v>
      </c>
      <c r="N9" s="178" t="s">
        <v>499</v>
      </c>
      <c r="O9" s="178" t="s">
        <v>499</v>
      </c>
      <c r="P9" s="178" t="s">
        <v>499</v>
      </c>
      <c r="Q9" s="178" t="s">
        <v>499</v>
      </c>
      <c r="R9" s="178" t="s">
        <v>499</v>
      </c>
      <c r="S9" s="178" t="s">
        <v>499</v>
      </c>
      <c r="T9" s="168"/>
      <c r="U9" s="168"/>
    </row>
    <row r="10" spans="1:21" ht="15.75" customHeight="1">
      <c r="A10" s="295"/>
      <c r="B10" s="168"/>
      <c r="C10" s="186"/>
      <c r="D10" s="242"/>
      <c r="E10" s="249"/>
      <c r="F10" s="249"/>
      <c r="G10" s="186"/>
      <c r="H10" s="305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68"/>
      <c r="U10" s="168"/>
    </row>
    <row r="11" spans="1:21" ht="15.75" customHeight="1">
      <c r="A11" s="295"/>
      <c r="B11" s="168"/>
      <c r="C11" s="186" t="s">
        <v>298</v>
      </c>
      <c r="D11" s="312"/>
      <c r="E11" s="312"/>
      <c r="F11" s="312"/>
      <c r="G11" s="313"/>
      <c r="H11" s="305"/>
      <c r="I11" s="309"/>
      <c r="J11" s="309">
        <f>J291</f>
        <v>97784557.768117622</v>
      </c>
      <c r="K11" s="309">
        <v>184171706.44189069</v>
      </c>
      <c r="L11" s="309">
        <f>SUM(L12:L23)</f>
        <v>257537896.93182153</v>
      </c>
      <c r="M11" s="309">
        <f t="shared" ref="M11:S11" si="0">SUM(M12:M24)</f>
        <v>124292390.33752751</v>
      </c>
      <c r="N11" s="309">
        <f t="shared" si="0"/>
        <v>131741207.71214579</v>
      </c>
      <c r="O11" s="309">
        <f t="shared" si="0"/>
        <v>38342638.134463273</v>
      </c>
      <c r="P11" s="309">
        <f t="shared" si="0"/>
        <v>0</v>
      </c>
      <c r="Q11" s="309">
        <f t="shared" si="0"/>
        <v>0</v>
      </c>
      <c r="R11" s="309">
        <f t="shared" si="0"/>
        <v>0</v>
      </c>
      <c r="S11" s="309">
        <f t="shared" si="0"/>
        <v>0</v>
      </c>
      <c r="T11" s="168"/>
      <c r="U11" s="168"/>
    </row>
    <row r="12" spans="1:21" ht="15.75" customHeight="1" outlineLevel="1">
      <c r="A12" s="295"/>
      <c r="B12" s="168"/>
      <c r="C12" s="222" t="s">
        <v>67</v>
      </c>
      <c r="D12" s="222"/>
      <c r="E12" s="222"/>
      <c r="F12" s="222"/>
      <c r="G12" s="168"/>
      <c r="H12" s="167"/>
      <c r="I12" s="272"/>
      <c r="J12" s="272"/>
      <c r="K12" s="272"/>
      <c r="L12" s="272">
        <f t="shared" ref="L12:R12" si="1">L31*L45</f>
        <v>62642282.886564769</v>
      </c>
      <c r="M12" s="272">
        <f t="shared" si="1"/>
        <v>23049211.853720047</v>
      </c>
      <c r="N12" s="272">
        <f t="shared" si="1"/>
        <v>18380866.77631579</v>
      </c>
      <c r="O12" s="272">
        <f>O31*O45</f>
        <v>7742761.2994350288</v>
      </c>
      <c r="P12" s="272">
        <f t="shared" si="1"/>
        <v>0</v>
      </c>
      <c r="Q12" s="272">
        <f t="shared" si="1"/>
        <v>0</v>
      </c>
      <c r="R12" s="272">
        <f t="shared" si="1"/>
        <v>0</v>
      </c>
      <c r="S12" s="272">
        <f>S31*S45</f>
        <v>0</v>
      </c>
      <c r="T12" s="168"/>
      <c r="U12" s="168"/>
    </row>
    <row r="13" spans="1:21" ht="15.75" customHeight="1" outlineLevel="1">
      <c r="A13" s="295"/>
      <c r="B13" s="168"/>
      <c r="C13" s="222" t="s">
        <v>68</v>
      </c>
      <c r="D13" s="222"/>
      <c r="E13" s="222"/>
      <c r="F13" s="222"/>
      <c r="G13" s="168"/>
      <c r="H13" s="167"/>
      <c r="I13" s="272"/>
      <c r="J13" s="272"/>
      <c r="K13" s="272"/>
      <c r="L13" s="272">
        <f>L32*L47</f>
        <v>38602052.965534993</v>
      </c>
      <c r="M13" s="272">
        <f>M32*M47</f>
        <v>31300479.192938212</v>
      </c>
      <c r="N13" s="272">
        <f t="shared" ref="N13:Q14" si="2">N32*N47</f>
        <v>36058727.434210524</v>
      </c>
      <c r="O13" s="272">
        <f t="shared" si="2"/>
        <v>12136257.062146893</v>
      </c>
      <c r="P13" s="272">
        <f t="shared" si="2"/>
        <v>0</v>
      </c>
      <c r="Q13" s="272">
        <f t="shared" si="2"/>
        <v>0</v>
      </c>
      <c r="R13" s="272">
        <f>R32*R47</f>
        <v>0</v>
      </c>
      <c r="S13" s="272">
        <f>S32*S47</f>
        <v>0</v>
      </c>
      <c r="T13" s="168"/>
      <c r="U13" s="168"/>
    </row>
    <row r="14" spans="1:21" ht="15.75" customHeight="1" outlineLevel="1">
      <c r="A14" s="295"/>
      <c r="B14" s="168"/>
      <c r="C14" s="222" t="s">
        <v>69</v>
      </c>
      <c r="D14" s="222"/>
      <c r="E14" s="222"/>
      <c r="F14" s="222"/>
      <c r="G14" s="168"/>
      <c r="H14" s="167"/>
      <c r="I14" s="272"/>
      <c r="J14" s="272"/>
      <c r="K14" s="272"/>
      <c r="L14" s="272">
        <f>L33*L48</f>
        <v>117322635.27760001</v>
      </c>
      <c r="M14" s="272">
        <f>M33*M48</f>
        <v>46746779.810499996</v>
      </c>
      <c r="N14" s="272">
        <f t="shared" si="2"/>
        <v>42217518.224909998</v>
      </c>
      <c r="O14" s="272">
        <f t="shared" si="2"/>
        <v>5596727.3999999994</v>
      </c>
      <c r="P14" s="272">
        <f t="shared" si="2"/>
        <v>0</v>
      </c>
      <c r="Q14" s="272">
        <f t="shared" si="2"/>
        <v>0</v>
      </c>
      <c r="R14" s="272">
        <f>R33*R48</f>
        <v>0</v>
      </c>
      <c r="S14" s="272">
        <f>S33*S48</f>
        <v>0</v>
      </c>
      <c r="T14" s="168"/>
      <c r="U14" s="168"/>
    </row>
    <row r="15" spans="1:21" ht="15.75" customHeight="1" outlineLevel="1">
      <c r="A15" s="295"/>
      <c r="B15" s="168"/>
      <c r="C15" s="222" t="s">
        <v>70</v>
      </c>
      <c r="D15" s="222"/>
      <c r="E15" s="222"/>
      <c r="F15" s="222"/>
      <c r="G15" s="168"/>
      <c r="H15" s="167"/>
      <c r="I15" s="272"/>
      <c r="J15" s="272"/>
      <c r="K15" s="272"/>
      <c r="L15" s="272">
        <f>L34*L50</f>
        <v>357779.08286403859</v>
      </c>
      <c r="M15" s="272">
        <f>M34*M50</f>
        <v>223549.81084489281</v>
      </c>
      <c r="N15" s="272">
        <f t="shared" ref="N15:Q16" si="3">N34*N50</f>
        <v>2653376.9736842108</v>
      </c>
      <c r="O15" s="272">
        <f t="shared" si="3"/>
        <v>829209.03954802267</v>
      </c>
      <c r="P15" s="272">
        <f t="shared" si="3"/>
        <v>0</v>
      </c>
      <c r="Q15" s="272">
        <f t="shared" si="3"/>
        <v>0</v>
      </c>
      <c r="R15" s="272">
        <f>R34*R50</f>
        <v>0</v>
      </c>
      <c r="S15" s="272">
        <f>S34*S50</f>
        <v>0</v>
      </c>
      <c r="T15" s="168"/>
      <c r="U15" s="168"/>
    </row>
    <row r="16" spans="1:21" ht="15.75" customHeight="1" outlineLevel="1">
      <c r="A16" s="295"/>
      <c r="B16" s="168"/>
      <c r="C16" s="222" t="s">
        <v>71</v>
      </c>
      <c r="D16" s="222"/>
      <c r="E16" s="222"/>
      <c r="F16" s="222"/>
      <c r="G16" s="168"/>
      <c r="H16" s="167"/>
      <c r="I16" s="272"/>
      <c r="J16" s="272"/>
      <c r="K16" s="272"/>
      <c r="L16" s="272">
        <f>L35*L51</f>
        <v>12461890.070600001</v>
      </c>
      <c r="M16" s="272">
        <f>M35*M51</f>
        <v>6445371.9199999999</v>
      </c>
      <c r="N16" s="272">
        <f>N35*N51</f>
        <v>29251912.134660002</v>
      </c>
      <c r="O16" s="272">
        <f t="shared" si="3"/>
        <v>10403666.666666668</v>
      </c>
      <c r="P16" s="272">
        <f t="shared" si="3"/>
        <v>0</v>
      </c>
      <c r="Q16" s="272">
        <f t="shared" si="3"/>
        <v>0</v>
      </c>
      <c r="R16" s="272">
        <f>R35*R51</f>
        <v>0</v>
      </c>
      <c r="S16" s="272">
        <f>S35*S51</f>
        <v>0</v>
      </c>
      <c r="T16" s="168"/>
      <c r="U16" s="168"/>
    </row>
    <row r="17" spans="1:21" ht="15.75" customHeight="1" outlineLevel="1">
      <c r="A17" s="295"/>
      <c r="B17" s="168"/>
      <c r="C17" s="222" t="s">
        <v>54</v>
      </c>
      <c r="D17" s="222"/>
      <c r="E17" s="222"/>
      <c r="F17" s="222"/>
      <c r="G17" s="168"/>
      <c r="H17" s="167"/>
      <c r="I17" s="272"/>
      <c r="J17" s="272"/>
      <c r="K17" s="272"/>
      <c r="L17" s="272">
        <f t="shared" ref="L17:S19" si="4">L36*L53</f>
        <v>4759386.1013676589</v>
      </c>
      <c r="M17" s="272">
        <f t="shared" si="4"/>
        <v>1956154.5397225725</v>
      </c>
      <c r="N17" s="272">
        <f t="shared" si="4"/>
        <v>0</v>
      </c>
      <c r="O17" s="272">
        <f t="shared" si="4"/>
        <v>0</v>
      </c>
      <c r="P17" s="272">
        <f t="shared" si="4"/>
        <v>0</v>
      </c>
      <c r="Q17" s="272">
        <f t="shared" si="4"/>
        <v>0</v>
      </c>
      <c r="R17" s="272">
        <f t="shared" si="4"/>
        <v>0</v>
      </c>
      <c r="S17" s="272">
        <f t="shared" si="4"/>
        <v>0</v>
      </c>
      <c r="T17" s="168"/>
      <c r="U17" s="168"/>
    </row>
    <row r="18" spans="1:21" ht="15.75" customHeight="1" outlineLevel="1">
      <c r="A18" s="295"/>
      <c r="B18" s="168"/>
      <c r="C18" s="222" t="s">
        <v>55</v>
      </c>
      <c r="D18" s="222"/>
      <c r="E18" s="222"/>
      <c r="F18" s="222"/>
      <c r="G18" s="168"/>
      <c r="H18" s="167"/>
      <c r="I18" s="272"/>
      <c r="J18" s="272"/>
      <c r="K18" s="272"/>
      <c r="L18" s="272">
        <f t="shared" si="4"/>
        <v>16378441.531200001</v>
      </c>
      <c r="M18" s="272">
        <f t="shared" si="4"/>
        <v>7592602.5795999998</v>
      </c>
      <c r="N18" s="272">
        <f t="shared" si="4"/>
        <v>0</v>
      </c>
      <c r="O18" s="272">
        <f t="shared" si="4"/>
        <v>0</v>
      </c>
      <c r="P18" s="272">
        <f t="shared" si="4"/>
        <v>0</v>
      </c>
      <c r="Q18" s="272">
        <f t="shared" si="4"/>
        <v>0</v>
      </c>
      <c r="R18" s="272">
        <f t="shared" si="4"/>
        <v>0</v>
      </c>
      <c r="S18" s="272">
        <f t="shared" si="4"/>
        <v>0</v>
      </c>
      <c r="T18" s="168"/>
      <c r="U18" s="168"/>
    </row>
    <row r="19" spans="1:21" ht="15.75" customHeight="1" outlineLevel="1">
      <c r="A19" s="295"/>
      <c r="B19" s="168"/>
      <c r="C19" s="222" t="s">
        <v>56</v>
      </c>
      <c r="D19" s="222"/>
      <c r="E19" s="222"/>
      <c r="F19" s="222"/>
      <c r="G19" s="168"/>
      <c r="H19" s="167"/>
      <c r="I19" s="272"/>
      <c r="J19" s="272"/>
      <c r="K19" s="272"/>
      <c r="L19" s="272">
        <f>L38*L55</f>
        <v>196567.68704746585</v>
      </c>
      <c r="M19" s="272">
        <f>M38*M53</f>
        <v>453780.35277427494</v>
      </c>
      <c r="N19" s="272">
        <f>N38*N55</f>
        <v>1925725.5762600002</v>
      </c>
      <c r="O19" s="272">
        <f t="shared" si="4"/>
        <v>0</v>
      </c>
      <c r="P19" s="272">
        <f t="shared" si="4"/>
        <v>0</v>
      </c>
      <c r="Q19" s="272">
        <f t="shared" si="4"/>
        <v>0</v>
      </c>
      <c r="R19" s="272">
        <f t="shared" si="4"/>
        <v>0</v>
      </c>
      <c r="S19" s="272">
        <f t="shared" si="4"/>
        <v>0</v>
      </c>
      <c r="T19" s="168"/>
      <c r="U19" s="168"/>
    </row>
    <row r="20" spans="1:21" ht="15.75" customHeight="1" outlineLevel="1">
      <c r="A20" s="295"/>
      <c r="B20" s="168"/>
      <c r="C20" s="222" t="s">
        <v>655</v>
      </c>
      <c r="D20" s="222"/>
      <c r="E20" s="222"/>
      <c r="F20" s="222"/>
      <c r="G20" s="168"/>
      <c r="H20" s="167"/>
      <c r="I20" s="272"/>
      <c r="J20" s="272"/>
      <c r="K20" s="272"/>
      <c r="L20" s="272">
        <f t="shared" ref="L20:R20" si="5">L39*L57</f>
        <v>3774958.648431215</v>
      </c>
      <c r="M20" s="272">
        <f t="shared" si="5"/>
        <v>3618322.8247162672</v>
      </c>
      <c r="N20" s="272">
        <f t="shared" si="5"/>
        <v>0</v>
      </c>
      <c r="O20" s="272">
        <f t="shared" si="5"/>
        <v>0</v>
      </c>
      <c r="P20" s="272">
        <f t="shared" si="5"/>
        <v>0</v>
      </c>
      <c r="Q20" s="272">
        <f t="shared" si="5"/>
        <v>0</v>
      </c>
      <c r="R20" s="272">
        <f t="shared" si="5"/>
        <v>0</v>
      </c>
      <c r="S20" s="272">
        <f>S39*S57</f>
        <v>0</v>
      </c>
      <c r="T20" s="168"/>
      <c r="U20" s="168"/>
    </row>
    <row r="21" spans="1:21" ht="15.75" customHeight="1" outlineLevel="1">
      <c r="A21" s="295"/>
      <c r="B21" s="168"/>
      <c r="C21" s="222" t="s">
        <v>57</v>
      </c>
      <c r="D21" s="222"/>
      <c r="E21" s="222"/>
      <c r="F21" s="222"/>
      <c r="G21" s="168"/>
      <c r="H21" s="167"/>
      <c r="I21" s="272"/>
      <c r="J21" s="272"/>
      <c r="K21" s="272"/>
      <c r="L21" s="272">
        <f>L59*L40</f>
        <v>519862.61625100567</v>
      </c>
      <c r="M21" s="272">
        <f>M59*M40</f>
        <v>766918.03278688528</v>
      </c>
      <c r="N21" s="272">
        <f t="shared" ref="N21:S23" si="6">N59*N40</f>
        <v>859406.25</v>
      </c>
      <c r="O21" s="272">
        <f t="shared" si="6"/>
        <v>403750</v>
      </c>
      <c r="P21" s="272">
        <f t="shared" si="6"/>
        <v>0</v>
      </c>
      <c r="Q21" s="272">
        <f t="shared" si="6"/>
        <v>0</v>
      </c>
      <c r="R21" s="272">
        <f t="shared" si="6"/>
        <v>0</v>
      </c>
      <c r="S21" s="272">
        <f t="shared" si="6"/>
        <v>0</v>
      </c>
      <c r="T21" s="168"/>
      <c r="U21" s="168"/>
    </row>
    <row r="22" spans="1:21" ht="15.75" customHeight="1" outlineLevel="1">
      <c r="A22" s="295"/>
      <c r="B22" s="168"/>
      <c r="C22" s="222" t="s">
        <v>58</v>
      </c>
      <c r="D22" s="222"/>
      <c r="E22" s="222"/>
      <c r="F22" s="222"/>
      <c r="G22" s="168"/>
      <c r="H22" s="167"/>
      <c r="I22" s="272"/>
      <c r="J22" s="272"/>
      <c r="K22" s="272"/>
      <c r="L22" s="272">
        <f t="shared" ref="L22:N23" si="7">L60*L41</f>
        <v>155423.37087691072</v>
      </c>
      <c r="M22" s="272">
        <f>M60*M41</f>
        <v>0</v>
      </c>
      <c r="N22" s="272">
        <f t="shared" si="7"/>
        <v>0</v>
      </c>
      <c r="O22" s="272">
        <f t="shared" si="6"/>
        <v>0</v>
      </c>
      <c r="P22" s="272">
        <f t="shared" si="6"/>
        <v>0</v>
      </c>
      <c r="Q22" s="272">
        <f t="shared" si="6"/>
        <v>0</v>
      </c>
      <c r="R22" s="272">
        <f t="shared" si="6"/>
        <v>0</v>
      </c>
      <c r="S22" s="272">
        <f t="shared" si="6"/>
        <v>0</v>
      </c>
      <c r="T22" s="168"/>
      <c r="U22" s="168"/>
    </row>
    <row r="23" spans="1:21" ht="15.75" customHeight="1" outlineLevel="1">
      <c r="A23" s="295"/>
      <c r="B23" s="168"/>
      <c r="C23" s="222" t="s">
        <v>62</v>
      </c>
      <c r="D23" s="222"/>
      <c r="E23" s="222"/>
      <c r="F23" s="222"/>
      <c r="G23" s="168"/>
      <c r="H23" s="167"/>
      <c r="I23" s="272"/>
      <c r="J23" s="272"/>
      <c r="K23" s="272"/>
      <c r="L23" s="272">
        <f>L61*L42</f>
        <v>366616.69348350767</v>
      </c>
      <c r="M23" s="272">
        <f>M61*M42</f>
        <v>774433.79571248428</v>
      </c>
      <c r="N23" s="272">
        <f t="shared" si="7"/>
        <v>50187.500000000007</v>
      </c>
      <c r="O23" s="272">
        <f t="shared" si="6"/>
        <v>0</v>
      </c>
      <c r="P23" s="272">
        <f t="shared" si="6"/>
        <v>0</v>
      </c>
      <c r="Q23" s="272">
        <f t="shared" si="6"/>
        <v>0</v>
      </c>
      <c r="R23" s="272">
        <f t="shared" si="6"/>
        <v>0</v>
      </c>
      <c r="S23" s="272">
        <f t="shared" si="6"/>
        <v>0</v>
      </c>
      <c r="T23" s="168"/>
      <c r="U23" s="168"/>
    </row>
    <row r="24" spans="1:21" ht="15.75" customHeight="1">
      <c r="A24" s="295"/>
      <c r="B24" s="168"/>
      <c r="C24" s="310" t="s">
        <v>685</v>
      </c>
      <c r="D24" s="222"/>
      <c r="E24" s="222"/>
      <c r="F24" s="222"/>
      <c r="G24" s="168"/>
      <c r="H24" s="167"/>
      <c r="I24" s="317"/>
      <c r="J24" s="311"/>
      <c r="K24" s="311"/>
      <c r="L24" s="311"/>
      <c r="M24" s="272">
        <v>1364785.6242118538</v>
      </c>
      <c r="N24" s="272">
        <v>343486.84210526315</v>
      </c>
      <c r="O24" s="272">
        <v>1230266.6666666667</v>
      </c>
      <c r="P24" s="272"/>
      <c r="Q24" s="272"/>
      <c r="R24" s="272"/>
      <c r="S24" s="272"/>
      <c r="T24" s="168"/>
      <c r="U24" s="168"/>
    </row>
    <row r="25" spans="1:21" ht="15.75" customHeight="1">
      <c r="A25" s="295"/>
      <c r="B25" s="168"/>
      <c r="C25" s="186" t="s">
        <v>299</v>
      </c>
      <c r="D25" s="312"/>
      <c r="E25" s="312"/>
      <c r="F25" s="312"/>
      <c r="G25" s="313"/>
      <c r="H25" s="305"/>
      <c r="I25" s="309"/>
      <c r="J25" s="309"/>
      <c r="K25" s="309">
        <v>-403531.96</v>
      </c>
      <c r="L25" s="309">
        <f>-((L48-L65)*L33+(L51-L66)*L35+(L54-L67)*L37)*1.5%</f>
        <v>-2029741.3433910003</v>
      </c>
      <c r="M25" s="309">
        <f>-((M48-M65)*M33+(M51-M66)*M35+(M54-M67)*M37)*1.2%</f>
        <v>-680139.41700120002</v>
      </c>
      <c r="N25" s="309">
        <f t="shared" ref="N25:S25" si="8">-((N48-N65)*N33+(N51-N66)*N35+(N54-N67)*N37)*0.7%</f>
        <v>-429899.37572903995</v>
      </c>
      <c r="O25" s="309">
        <f t="shared" si="8"/>
        <v>-94031.781549999985</v>
      </c>
      <c r="P25" s="309">
        <f t="shared" si="8"/>
        <v>0</v>
      </c>
      <c r="Q25" s="309">
        <f t="shared" si="8"/>
        <v>0</v>
      </c>
      <c r="R25" s="309">
        <f t="shared" si="8"/>
        <v>0</v>
      </c>
      <c r="S25" s="309">
        <f t="shared" si="8"/>
        <v>0</v>
      </c>
      <c r="T25" s="168"/>
      <c r="U25" s="168"/>
    </row>
    <row r="26" spans="1:21" ht="15.75" customHeight="1">
      <c r="A26" s="295"/>
      <c r="B26" s="168"/>
      <c r="C26" s="186" t="s">
        <v>331</v>
      </c>
      <c r="D26" s="312"/>
      <c r="E26" s="312"/>
      <c r="F26" s="312"/>
      <c r="G26" s="313"/>
      <c r="H26" s="305"/>
      <c r="I26" s="309"/>
      <c r="J26" s="309">
        <v>-0.04</v>
      </c>
      <c r="K26" s="309">
        <v>-8555331.5199999996</v>
      </c>
      <c r="L26" s="309">
        <f t="shared" ref="L26:R26" si="9">-(L33*L65+L35*L66+L37*L67)</f>
        <v>-10846877.32</v>
      </c>
      <c r="M26" s="309">
        <f>-(M33*M65+M35*M66+M37*M67)</f>
        <v>-4106469.56</v>
      </c>
      <c r="N26" s="309">
        <f>-(N33*N65+N35*N66+N38*N67)</f>
        <v>-10142112.43637</v>
      </c>
      <c r="O26" s="309">
        <f>-(O33*O65+O35*O66+O37*O67)</f>
        <v>-2567282.4166666665</v>
      </c>
      <c r="P26" s="309">
        <f t="shared" si="9"/>
        <v>0</v>
      </c>
      <c r="Q26" s="309">
        <f t="shared" si="9"/>
        <v>0</v>
      </c>
      <c r="R26" s="309">
        <f t="shared" si="9"/>
        <v>0</v>
      </c>
      <c r="S26" s="309">
        <f>-(S33*S65+S35*S66+S37*S67)</f>
        <v>0</v>
      </c>
      <c r="T26" s="168"/>
      <c r="U26" s="168"/>
    </row>
    <row r="27" spans="1:21" ht="23.25" customHeight="1">
      <c r="A27" s="295"/>
      <c r="B27" s="168"/>
      <c r="C27" s="310"/>
      <c r="D27" s="222"/>
      <c r="E27" s="222"/>
      <c r="F27" s="222"/>
      <c r="G27" s="168"/>
      <c r="H27" s="167"/>
      <c r="I27" s="311"/>
      <c r="J27" s="311"/>
      <c r="K27" s="311"/>
      <c r="L27" s="311"/>
      <c r="M27" s="309"/>
      <c r="N27" s="309"/>
      <c r="O27" s="309"/>
      <c r="P27" s="168"/>
      <c r="Q27" s="168"/>
      <c r="R27" s="168"/>
      <c r="S27" s="168"/>
      <c r="T27" s="168"/>
      <c r="U27" s="168"/>
    </row>
    <row r="28" spans="1:21" ht="15.75" customHeight="1">
      <c r="A28" s="295"/>
      <c r="B28" s="168"/>
      <c r="C28" s="186" t="s">
        <v>332</v>
      </c>
      <c r="D28" s="312"/>
      <c r="E28" s="312"/>
      <c r="F28" s="312"/>
      <c r="G28" s="313"/>
      <c r="H28" s="305"/>
      <c r="I28" s="309">
        <v>0</v>
      </c>
      <c r="J28" s="309">
        <v>-0.04</v>
      </c>
      <c r="K28" s="309">
        <v>175212842.96189067</v>
      </c>
      <c r="L28" s="309">
        <f t="shared" ref="L28:R28" si="10">L11+L25+L26</f>
        <v>244661278.26843053</v>
      </c>
      <c r="M28" s="309">
        <f t="shared" si="10"/>
        <v>119505781.36052631</v>
      </c>
      <c r="N28" s="309">
        <f t="shared" si="10"/>
        <v>121169195.90004675</v>
      </c>
      <c r="O28" s="309">
        <f t="shared" si="10"/>
        <v>35681323.936246611</v>
      </c>
      <c r="P28" s="309">
        <f t="shared" si="10"/>
        <v>0</v>
      </c>
      <c r="Q28" s="309">
        <f t="shared" si="10"/>
        <v>0</v>
      </c>
      <c r="R28" s="309">
        <f t="shared" si="10"/>
        <v>0</v>
      </c>
      <c r="S28" s="309">
        <f>S11+S25+S26</f>
        <v>0</v>
      </c>
      <c r="T28" s="168"/>
      <c r="U28" s="168"/>
    </row>
    <row r="29" spans="1:21" ht="9" customHeight="1">
      <c r="A29" s="295"/>
      <c r="B29" s="168"/>
      <c r="C29" s="222"/>
      <c r="D29" s="222"/>
      <c r="E29" s="222"/>
      <c r="F29" s="222"/>
      <c r="G29" s="168"/>
      <c r="H29" s="167"/>
      <c r="I29" s="272"/>
      <c r="J29" s="272"/>
      <c r="K29" s="272"/>
      <c r="L29" s="272"/>
      <c r="M29" s="168"/>
      <c r="N29" s="168"/>
      <c r="O29" s="168"/>
      <c r="P29" s="168"/>
      <c r="Q29" s="168"/>
      <c r="R29" s="168"/>
      <c r="S29" s="168"/>
      <c r="T29" s="168"/>
      <c r="U29" s="168"/>
    </row>
    <row r="30" spans="1:21" ht="15.75" customHeight="1">
      <c r="A30" s="295"/>
      <c r="B30" s="168"/>
      <c r="C30" s="186" t="s">
        <v>333</v>
      </c>
      <c r="D30" s="222"/>
      <c r="E30" s="222"/>
      <c r="F30" s="222"/>
      <c r="G30" s="168"/>
      <c r="H30" s="167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168"/>
      <c r="U30" s="168"/>
    </row>
    <row r="31" spans="1:21" ht="15.75" customHeight="1">
      <c r="A31" s="295"/>
      <c r="B31" s="168"/>
      <c r="C31" s="314" t="s">
        <v>336</v>
      </c>
      <c r="D31" s="222"/>
      <c r="E31" s="222"/>
      <c r="F31" s="222"/>
      <c r="G31" s="168"/>
      <c r="H31" s="167"/>
      <c r="I31" s="272"/>
      <c r="J31" s="272"/>
      <c r="K31" s="222">
        <v>377282</v>
      </c>
      <c r="L31" s="717">
        <v>427852</v>
      </c>
      <c r="M31" s="315">
        <f>270055+75744</f>
        <v>345799</v>
      </c>
      <c r="N31" s="315">
        <v>286553</v>
      </c>
      <c r="O31" s="315">
        <f>5/12*268500</f>
        <v>111875</v>
      </c>
      <c r="P31" s="315"/>
      <c r="Q31" s="315"/>
      <c r="R31" s="315"/>
      <c r="S31" s="315"/>
      <c r="T31" s="168"/>
      <c r="U31" s="168"/>
    </row>
    <row r="32" spans="1:21" ht="15.75" customHeight="1" outlineLevel="1">
      <c r="A32" s="295"/>
      <c r="B32" s="168"/>
      <c r="C32" s="314" t="s">
        <v>45</v>
      </c>
      <c r="D32" s="222"/>
      <c r="E32" s="222"/>
      <c r="F32" s="222"/>
      <c r="G32" s="168"/>
      <c r="H32" s="167"/>
      <c r="I32" s="272"/>
      <c r="J32" s="272"/>
      <c r="K32" s="222">
        <v>43160</v>
      </c>
      <c r="L32" s="717">
        <f>135670-L33</f>
        <v>34207.039999999994</v>
      </c>
      <c r="M32" s="315">
        <v>39175</v>
      </c>
      <c r="N32" s="315">
        <v>43162</v>
      </c>
      <c r="O32" s="315">
        <f>5/12*32700</f>
        <v>13625</v>
      </c>
      <c r="P32" s="315"/>
      <c r="Q32" s="315"/>
      <c r="R32" s="315"/>
      <c r="S32" s="315"/>
      <c r="T32" s="168"/>
      <c r="U32" s="168"/>
    </row>
    <row r="33" spans="1:21" ht="15.75" customHeight="1" outlineLevel="1">
      <c r="A33" s="295"/>
      <c r="B33" s="168"/>
      <c r="C33" s="314" t="s">
        <v>46</v>
      </c>
      <c r="D33" s="222"/>
      <c r="E33" s="222"/>
      <c r="F33" s="222"/>
      <c r="G33" s="168"/>
      <c r="H33" s="167"/>
      <c r="I33" s="272"/>
      <c r="J33" s="272"/>
      <c r="K33" s="222">
        <v>76489</v>
      </c>
      <c r="L33" s="717">
        <v>101462.96</v>
      </c>
      <c r="M33" s="315">
        <v>52363.85</v>
      </c>
      <c r="N33" s="315">
        <f>85380-31921.833</f>
        <v>53458.167000000001</v>
      </c>
      <c r="O33" s="315">
        <v>6498</v>
      </c>
      <c r="P33" s="315"/>
      <c r="Q33" s="315"/>
      <c r="R33" s="315"/>
      <c r="S33" s="315"/>
      <c r="T33" s="168"/>
      <c r="U33" s="168"/>
    </row>
    <row r="34" spans="1:21" ht="15.75" customHeight="1" outlineLevel="1">
      <c r="A34" s="295"/>
      <c r="B34" s="168"/>
      <c r="C34" s="314" t="s">
        <v>47</v>
      </c>
      <c r="D34" s="222"/>
      <c r="E34" s="222"/>
      <c r="F34" s="222"/>
      <c r="G34" s="168"/>
      <c r="H34" s="167"/>
      <c r="I34" s="272"/>
      <c r="J34" s="272"/>
      <c r="K34" s="222">
        <v>2045</v>
      </c>
      <c r="L34" s="717">
        <f>643+151</f>
        <v>794</v>
      </c>
      <c r="M34" s="315">
        <f>50+469</f>
        <v>519</v>
      </c>
      <c r="N34" s="315">
        <v>6236</v>
      </c>
      <c r="O34" s="315">
        <f>5/12*3900</f>
        <v>1625</v>
      </c>
      <c r="P34" s="315"/>
      <c r="Q34" s="315"/>
      <c r="R34" s="315"/>
      <c r="S34" s="315"/>
      <c r="T34" s="168"/>
      <c r="U34" s="168"/>
    </row>
    <row r="35" spans="1:21" ht="15.75" customHeight="1" outlineLevel="1">
      <c r="A35" s="295"/>
      <c r="B35" s="168"/>
      <c r="C35" s="314" t="s">
        <v>48</v>
      </c>
      <c r="D35" s="222"/>
      <c r="E35" s="222"/>
      <c r="F35" s="222"/>
      <c r="G35" s="168"/>
      <c r="H35" s="167"/>
      <c r="I35" s="634"/>
      <c r="J35" s="311"/>
      <c r="K35" s="222">
        <v>60550</v>
      </c>
      <c r="L35" s="717">
        <v>29203.22</v>
      </c>
      <c r="M35" s="315">
        <f>12734+474</f>
        <v>13208</v>
      </c>
      <c r="N35" s="315">
        <v>79029.319000000003</v>
      </c>
      <c r="O35" s="315">
        <f>5/12*67850</f>
        <v>28270.833333333336</v>
      </c>
      <c r="P35" s="315"/>
      <c r="Q35" s="315"/>
      <c r="R35" s="315"/>
      <c r="S35" s="315"/>
      <c r="T35" s="168"/>
      <c r="U35" s="168"/>
    </row>
    <row r="36" spans="1:21" ht="15.75" customHeight="1" outlineLevel="1">
      <c r="A36" s="295"/>
      <c r="B36" s="168"/>
      <c r="C36" s="314" t="s">
        <v>49</v>
      </c>
      <c r="D36" s="222"/>
      <c r="E36" s="222"/>
      <c r="F36" s="222"/>
      <c r="G36" s="168"/>
      <c r="H36" s="167"/>
      <c r="I36" s="718"/>
      <c r="J36" s="718"/>
      <c r="K36" s="222">
        <v>953</v>
      </c>
      <c r="L36" s="717">
        <v>7851</v>
      </c>
      <c r="M36" s="315">
        <v>2718</v>
      </c>
      <c r="N36" s="315">
        <v>0</v>
      </c>
      <c r="O36" s="315">
        <v>0</v>
      </c>
      <c r="P36" s="315">
        <f t="shared" ref="P36:S39" si="11">O36</f>
        <v>0</v>
      </c>
      <c r="Q36" s="315">
        <f t="shared" si="11"/>
        <v>0</v>
      </c>
      <c r="R36" s="315">
        <f t="shared" si="11"/>
        <v>0</v>
      </c>
      <c r="S36" s="315">
        <f t="shared" si="11"/>
        <v>0</v>
      </c>
      <c r="T36" s="168"/>
      <c r="U36" s="168"/>
    </row>
    <row r="37" spans="1:21" ht="15.75" customHeight="1" outlineLevel="1">
      <c r="A37" s="295"/>
      <c r="B37" s="168"/>
      <c r="C37" s="314" t="s">
        <v>50</v>
      </c>
      <c r="D37" s="222"/>
      <c r="E37" s="222"/>
      <c r="F37" s="222"/>
      <c r="G37" s="168"/>
      <c r="H37" s="167"/>
      <c r="I37" s="719"/>
      <c r="J37" s="720"/>
      <c r="K37" s="222">
        <v>34118</v>
      </c>
      <c r="L37" s="717">
        <v>22106.74</v>
      </c>
      <c r="M37" s="315">
        <v>7809.07</v>
      </c>
      <c r="N37" s="315">
        <v>0</v>
      </c>
      <c r="O37" s="315">
        <v>0</v>
      </c>
      <c r="P37" s="315">
        <f t="shared" si="11"/>
        <v>0</v>
      </c>
      <c r="Q37" s="315">
        <f t="shared" si="11"/>
        <v>0</v>
      </c>
      <c r="R37" s="315">
        <f t="shared" si="11"/>
        <v>0</v>
      </c>
      <c r="S37" s="315">
        <f t="shared" si="11"/>
        <v>0</v>
      </c>
      <c r="T37" s="168"/>
      <c r="U37" s="168"/>
    </row>
    <row r="38" spans="1:21" ht="15.75" customHeight="1" outlineLevel="1">
      <c r="A38" s="295"/>
      <c r="B38" s="168"/>
      <c r="C38" s="314" t="s">
        <v>684</v>
      </c>
      <c r="D38" s="222"/>
      <c r="E38" s="222"/>
      <c r="F38" s="222"/>
      <c r="G38" s="168"/>
      <c r="H38" s="167"/>
      <c r="I38" s="719"/>
      <c r="J38" s="720"/>
      <c r="K38" s="222">
        <v>10198</v>
      </c>
      <c r="L38" s="717">
        <v>570</v>
      </c>
      <c r="M38" s="315">
        <v>630.51</v>
      </c>
      <c r="N38" s="315">
        <v>2508.0430000000001</v>
      </c>
      <c r="O38" s="315">
        <v>0</v>
      </c>
      <c r="P38" s="315">
        <f t="shared" si="11"/>
        <v>0</v>
      </c>
      <c r="Q38" s="315">
        <f t="shared" si="11"/>
        <v>0</v>
      </c>
      <c r="R38" s="315">
        <f t="shared" si="11"/>
        <v>0</v>
      </c>
      <c r="S38" s="315">
        <f t="shared" si="11"/>
        <v>0</v>
      </c>
      <c r="T38" s="168"/>
      <c r="U38" s="168"/>
    </row>
    <row r="39" spans="1:21" ht="15.75" customHeight="1">
      <c r="A39" s="295"/>
      <c r="B39" s="168"/>
      <c r="C39" s="314" t="s">
        <v>672</v>
      </c>
      <c r="D39" s="222"/>
      <c r="E39" s="222"/>
      <c r="F39" s="222"/>
      <c r="G39" s="168"/>
      <c r="H39" s="167"/>
      <c r="I39" s="634"/>
      <c r="J39" s="311"/>
      <c r="K39" s="222">
        <v>86945</v>
      </c>
      <c r="L39" s="717">
        <v>16338</v>
      </c>
      <c r="M39" s="315">
        <v>17456</v>
      </c>
      <c r="N39" s="315"/>
      <c r="O39" s="315">
        <v>0</v>
      </c>
      <c r="P39" s="315">
        <f t="shared" si="11"/>
        <v>0</v>
      </c>
      <c r="Q39" s="315">
        <f t="shared" si="11"/>
        <v>0</v>
      </c>
      <c r="R39" s="315">
        <f t="shared" si="11"/>
        <v>0</v>
      </c>
      <c r="S39" s="315">
        <f t="shared" si="11"/>
        <v>0</v>
      </c>
      <c r="T39" s="168"/>
      <c r="U39" s="168"/>
    </row>
    <row r="40" spans="1:21" ht="15.75" customHeight="1" outlineLevel="1">
      <c r="A40" s="295"/>
      <c r="B40" s="168"/>
      <c r="C40" s="314" t="s">
        <v>52</v>
      </c>
      <c r="D40" s="222"/>
      <c r="E40" s="222"/>
      <c r="F40" s="222"/>
      <c r="G40" s="168"/>
      <c r="H40" s="167"/>
      <c r="I40" s="311"/>
      <c r="J40" s="311"/>
      <c r="K40" s="222"/>
      <c r="L40" s="717">
        <v>4784</v>
      </c>
      <c r="M40" s="315">
        <v>9360</v>
      </c>
      <c r="N40" s="315">
        <v>9167</v>
      </c>
      <c r="O40" s="315">
        <f>5/12*10200</f>
        <v>4250</v>
      </c>
      <c r="P40" s="315"/>
      <c r="Q40" s="315"/>
      <c r="R40" s="315"/>
      <c r="S40" s="315"/>
      <c r="T40" s="168"/>
      <c r="U40" s="168"/>
    </row>
    <row r="41" spans="1:21" ht="15.75" customHeight="1" outlineLevel="1">
      <c r="A41" s="295"/>
      <c r="B41" s="168"/>
      <c r="C41" s="314" t="s">
        <v>53</v>
      </c>
      <c r="D41" s="222"/>
      <c r="E41" s="222"/>
      <c r="F41" s="222"/>
      <c r="G41" s="168"/>
      <c r="H41" s="167"/>
      <c r="I41" s="311"/>
      <c r="J41" s="311"/>
      <c r="K41" s="222">
        <v>407</v>
      </c>
      <c r="L41" s="717">
        <f>95+80</f>
        <v>175</v>
      </c>
      <c r="M41" s="315">
        <v>0</v>
      </c>
      <c r="N41" s="315">
        <v>0</v>
      </c>
      <c r="O41" s="315">
        <v>0</v>
      </c>
      <c r="P41" s="315"/>
      <c r="Q41" s="315"/>
      <c r="R41" s="315"/>
      <c r="S41" s="315"/>
      <c r="T41" s="168"/>
      <c r="U41" s="168"/>
    </row>
    <row r="42" spans="1:21" ht="15.75" customHeight="1" outlineLevel="1">
      <c r="A42" s="295"/>
      <c r="B42" s="168"/>
      <c r="C42" s="314" t="s">
        <v>63</v>
      </c>
      <c r="D42" s="222"/>
      <c r="E42" s="222"/>
      <c r="F42" s="222"/>
      <c r="G42" s="168"/>
      <c r="H42" s="167"/>
      <c r="I42" s="311"/>
      <c r="J42" s="311"/>
      <c r="K42" s="222">
        <v>10704</v>
      </c>
      <c r="L42" s="717">
        <v>3451</v>
      </c>
      <c r="M42" s="315">
        <v>14282</v>
      </c>
      <c r="N42" s="315">
        <v>1387</v>
      </c>
      <c r="O42" s="315">
        <v>0</v>
      </c>
      <c r="P42" s="315">
        <f>O42</f>
        <v>0</v>
      </c>
      <c r="Q42" s="315">
        <f>P42</f>
        <v>0</v>
      </c>
      <c r="R42" s="315">
        <f>Q42</f>
        <v>0</v>
      </c>
      <c r="S42" s="315">
        <f>R42</f>
        <v>0</v>
      </c>
      <c r="T42" s="168"/>
      <c r="U42" s="168"/>
    </row>
    <row r="43" spans="1:21" ht="15.75" customHeight="1">
      <c r="A43" s="295"/>
      <c r="B43" s="168"/>
      <c r="C43" s="314" t="s">
        <v>334</v>
      </c>
      <c r="D43" s="222"/>
      <c r="E43" s="222"/>
      <c r="F43" s="222"/>
      <c r="G43" s="168"/>
      <c r="H43" s="167"/>
      <c r="I43" s="311"/>
      <c r="J43" s="311"/>
      <c r="K43" s="311"/>
      <c r="L43" s="316">
        <f t="shared" ref="L43:Q43" si="12">L32+L33</f>
        <v>135670</v>
      </c>
      <c r="M43" s="316">
        <f t="shared" si="12"/>
        <v>91538.85</v>
      </c>
      <c r="N43" s="316">
        <f t="shared" si="12"/>
        <v>96620.167000000001</v>
      </c>
      <c r="O43" s="316">
        <f t="shared" si="12"/>
        <v>20123</v>
      </c>
      <c r="P43" s="316">
        <f t="shared" si="12"/>
        <v>0</v>
      </c>
      <c r="Q43" s="316">
        <f t="shared" si="12"/>
        <v>0</v>
      </c>
      <c r="R43" s="316">
        <f>R32+R33</f>
        <v>0</v>
      </c>
      <c r="S43" s="316">
        <f>S32+S33</f>
        <v>0</v>
      </c>
      <c r="T43" s="168"/>
      <c r="U43" s="168"/>
    </row>
    <row r="44" spans="1:21" ht="15.75" customHeight="1" outlineLevel="1">
      <c r="A44" s="295"/>
      <c r="B44" s="168"/>
      <c r="C44" s="186" t="s">
        <v>44</v>
      </c>
      <c r="D44" s="222"/>
      <c r="E44" s="222"/>
      <c r="F44" s="222"/>
      <c r="G44" s="168"/>
      <c r="H44" s="167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168"/>
      <c r="U44" s="168"/>
    </row>
    <row r="45" spans="1:21" ht="15.75" customHeight="1" outlineLevel="1">
      <c r="A45" s="295"/>
      <c r="B45" s="168"/>
      <c r="C45" s="314" t="s">
        <v>40</v>
      </c>
      <c r="D45" s="222"/>
      <c r="E45" s="222"/>
      <c r="F45" s="222"/>
      <c r="G45" s="168"/>
      <c r="H45" s="167"/>
      <c r="I45" s="272"/>
      <c r="J45" s="272"/>
      <c r="K45" s="272"/>
      <c r="L45" s="317">
        <v>146.41110217216414</v>
      </c>
      <c r="M45" s="317">
        <v>66.654940742223218</v>
      </c>
      <c r="N45" s="317">
        <v>64.14473684210526</v>
      </c>
      <c r="O45" s="317">
        <v>69.209039548022602</v>
      </c>
      <c r="P45" s="317"/>
      <c r="Q45" s="317"/>
      <c r="R45" s="317"/>
      <c r="S45" s="317"/>
      <c r="T45" s="168"/>
      <c r="U45" s="168"/>
    </row>
    <row r="46" spans="1:21" ht="15.75" customHeight="1" outlineLevel="1">
      <c r="A46" s="295"/>
      <c r="B46" s="168"/>
      <c r="C46" s="314" t="s">
        <v>59</v>
      </c>
      <c r="D46" s="222"/>
      <c r="E46" s="222"/>
      <c r="F46" s="222"/>
      <c r="G46" s="168"/>
      <c r="H46" s="167"/>
      <c r="I46" s="272"/>
      <c r="J46" s="272"/>
      <c r="K46" s="272"/>
      <c r="L46" s="272"/>
      <c r="M46" s="311">
        <f>M45/L45-1</f>
        <v>-0.54474121324594638</v>
      </c>
      <c r="N46" s="311">
        <f>N45/M45-1</f>
        <v>-3.7659682420628782E-2</v>
      </c>
      <c r="O46" s="311">
        <f>O45/N45-1</f>
        <v>7.8951180646096075E-2</v>
      </c>
      <c r="P46" s="311"/>
      <c r="Q46" s="311"/>
      <c r="R46" s="311"/>
      <c r="S46" s="311"/>
      <c r="T46" s="168"/>
      <c r="U46" s="168"/>
    </row>
    <row r="47" spans="1:21" ht="15.75" customHeight="1" outlineLevel="1">
      <c r="A47" s="295"/>
      <c r="B47" s="168"/>
      <c r="C47" s="314" t="s">
        <v>39</v>
      </c>
      <c r="D47" s="222"/>
      <c r="E47" s="222"/>
      <c r="F47" s="222"/>
      <c r="G47" s="168"/>
      <c r="H47" s="167"/>
      <c r="I47" s="293"/>
      <c r="J47" s="293"/>
      <c r="K47" s="293"/>
      <c r="L47" s="317">
        <v>1128.4827031375705</v>
      </c>
      <c r="M47" s="317">
        <v>798.99117276166464</v>
      </c>
      <c r="N47" s="317">
        <v>835.4276315789474</v>
      </c>
      <c r="O47" s="317">
        <v>890.73446327683621</v>
      </c>
      <c r="P47" s="317"/>
      <c r="Q47" s="317"/>
      <c r="R47" s="317"/>
      <c r="S47" s="317"/>
      <c r="T47" s="168"/>
      <c r="U47" s="168"/>
    </row>
    <row r="48" spans="1:21" ht="15.75" customHeight="1" outlineLevel="1">
      <c r="A48" s="295"/>
      <c r="B48" s="168"/>
      <c r="C48" s="314" t="s">
        <v>41</v>
      </c>
      <c r="D48" s="222"/>
      <c r="E48" s="222"/>
      <c r="F48" s="222"/>
      <c r="G48" s="168"/>
      <c r="H48" s="167"/>
      <c r="I48" s="311"/>
      <c r="J48" s="311"/>
      <c r="K48" s="318"/>
      <c r="L48" s="317">
        <v>1156.31</v>
      </c>
      <c r="M48" s="317">
        <v>892.73</v>
      </c>
      <c r="N48" s="317">
        <v>789.73</v>
      </c>
      <c r="O48" s="317">
        <v>861.3</v>
      </c>
      <c r="P48" s="317"/>
      <c r="Q48" s="317"/>
      <c r="R48" s="317"/>
      <c r="S48" s="317"/>
      <c r="T48" s="168"/>
      <c r="U48" s="168"/>
    </row>
    <row r="49" spans="1:21" ht="15.75" customHeight="1" outlineLevel="1">
      <c r="A49" s="295"/>
      <c r="B49" s="168"/>
      <c r="C49" s="314" t="s">
        <v>60</v>
      </c>
      <c r="D49" s="222"/>
      <c r="E49" s="222"/>
      <c r="F49" s="222"/>
      <c r="G49" s="168"/>
      <c r="H49" s="167"/>
      <c r="I49" s="311"/>
      <c r="J49" s="311"/>
      <c r="K49" s="318"/>
      <c r="L49" s="311">
        <v>0</v>
      </c>
      <c r="M49" s="311">
        <f>M48/L48-1</f>
        <v>-0.22794925236312058</v>
      </c>
      <c r="N49" s="311">
        <f>N48/M48-1</f>
        <v>-0.11537642960357553</v>
      </c>
      <c r="O49" s="311">
        <f>O48/N48-1</f>
        <v>9.0625910121180597E-2</v>
      </c>
      <c r="P49" s="311"/>
      <c r="Q49" s="311"/>
      <c r="R49" s="311"/>
      <c r="S49" s="311"/>
      <c r="T49" s="168"/>
      <c r="U49" s="168"/>
    </row>
    <row r="50" spans="1:21" ht="15.75" customHeight="1" outlineLevel="1">
      <c r="A50" s="295"/>
      <c r="B50" s="168"/>
      <c r="C50" s="314" t="s">
        <v>42</v>
      </c>
      <c r="D50" s="222"/>
      <c r="E50" s="222"/>
      <c r="F50" s="222"/>
      <c r="G50" s="168"/>
      <c r="H50" s="167"/>
      <c r="I50" s="317"/>
      <c r="J50" s="317"/>
      <c r="K50" s="317"/>
      <c r="L50" s="317">
        <v>450.60337892196299</v>
      </c>
      <c r="M50" s="317">
        <v>430.73181280326168</v>
      </c>
      <c r="N50" s="317">
        <v>425.49342105263162</v>
      </c>
      <c r="O50" s="317">
        <v>510.28248587570624</v>
      </c>
      <c r="P50" s="317"/>
      <c r="Q50" s="317"/>
      <c r="R50" s="317"/>
      <c r="S50" s="317"/>
      <c r="T50" s="168"/>
      <c r="U50" s="168"/>
    </row>
    <row r="51" spans="1:21" ht="15.75" customHeight="1" outlineLevel="1">
      <c r="A51" s="295"/>
      <c r="B51" s="168"/>
      <c r="C51" s="314" t="s">
        <v>43</v>
      </c>
      <c r="D51" s="222"/>
      <c r="E51" s="222"/>
      <c r="F51" s="222"/>
      <c r="G51" s="168"/>
      <c r="H51" s="167"/>
      <c r="I51" s="317"/>
      <c r="J51" s="317"/>
      <c r="K51" s="317"/>
      <c r="L51" s="317">
        <v>426.73</v>
      </c>
      <c r="M51" s="317">
        <v>487.99</v>
      </c>
      <c r="N51" s="317">
        <v>370.14</v>
      </c>
      <c r="O51" s="317">
        <v>368</v>
      </c>
      <c r="P51" s="317"/>
      <c r="Q51" s="317"/>
      <c r="R51" s="317"/>
      <c r="S51" s="317"/>
      <c r="T51" s="168"/>
      <c r="U51" s="168"/>
    </row>
    <row r="52" spans="1:21" ht="15.75" customHeight="1" outlineLevel="1">
      <c r="A52" s="295"/>
      <c r="B52" s="168"/>
      <c r="C52" s="314" t="s">
        <v>61</v>
      </c>
      <c r="D52" s="222"/>
      <c r="E52" s="222"/>
      <c r="F52" s="222"/>
      <c r="G52" s="168"/>
      <c r="H52" s="167"/>
      <c r="I52" s="317"/>
      <c r="J52" s="317"/>
      <c r="K52" s="317"/>
      <c r="L52" s="311">
        <v>0</v>
      </c>
      <c r="M52" s="311">
        <f>M51/L51-1</f>
        <v>0.14355681578515678</v>
      </c>
      <c r="N52" s="311">
        <f>N51/M51-1</f>
        <v>-0.24150085042726288</v>
      </c>
      <c r="O52" s="311">
        <f>O51/N51-1</f>
        <v>-5.7815961528070448E-3</v>
      </c>
      <c r="P52" s="311"/>
      <c r="Q52" s="311"/>
      <c r="R52" s="311"/>
      <c r="S52" s="311"/>
      <c r="T52" s="168"/>
      <c r="U52" s="168"/>
    </row>
    <row r="53" spans="1:21" ht="15.75" customHeight="1" outlineLevel="1">
      <c r="A53" s="295"/>
      <c r="B53" s="168"/>
      <c r="C53" s="314" t="s">
        <v>54</v>
      </c>
      <c r="D53" s="222"/>
      <c r="E53" s="222"/>
      <c r="F53" s="222"/>
      <c r="G53" s="168"/>
      <c r="H53" s="167"/>
      <c r="I53" s="319"/>
      <c r="J53" s="319"/>
      <c r="K53" s="317"/>
      <c r="L53" s="317">
        <v>606.21399839098956</v>
      </c>
      <c r="M53" s="317">
        <v>719.70365699873901</v>
      </c>
      <c r="N53" s="317">
        <v>827.30032894736848</v>
      </c>
      <c r="O53" s="317">
        <v>0</v>
      </c>
      <c r="P53" s="317"/>
      <c r="Q53" s="317"/>
      <c r="R53" s="317"/>
      <c r="S53" s="317"/>
      <c r="T53" s="168"/>
      <c r="U53" s="168"/>
    </row>
    <row r="54" spans="1:21" ht="15.75" customHeight="1" outlineLevel="1">
      <c r="A54" s="295"/>
      <c r="B54" s="168"/>
      <c r="C54" s="314" t="s">
        <v>55</v>
      </c>
      <c r="D54" s="222"/>
      <c r="E54" s="222"/>
      <c r="F54" s="222"/>
      <c r="G54" s="168"/>
      <c r="H54" s="167"/>
      <c r="I54" s="319"/>
      <c r="J54" s="319"/>
      <c r="K54" s="317"/>
      <c r="L54" s="317">
        <v>740.88</v>
      </c>
      <c r="M54" s="317">
        <v>972.28</v>
      </c>
      <c r="N54" s="317">
        <v>775.77</v>
      </c>
      <c r="O54" s="317">
        <v>0</v>
      </c>
      <c r="P54" s="317">
        <f>O54</f>
        <v>0</v>
      </c>
      <c r="Q54" s="317">
        <f>P54</f>
        <v>0</v>
      </c>
      <c r="R54" s="317">
        <f>Q54</f>
        <v>0</v>
      </c>
      <c r="S54" s="317">
        <f>R54</f>
        <v>0</v>
      </c>
      <c r="T54" s="168"/>
      <c r="U54" s="168"/>
    </row>
    <row r="55" spans="1:21" ht="15.75" customHeight="1" outlineLevel="1">
      <c r="A55" s="295"/>
      <c r="B55" s="168"/>
      <c r="C55" s="314" t="s">
        <v>681</v>
      </c>
      <c r="D55" s="222"/>
      <c r="E55" s="222"/>
      <c r="F55" s="222"/>
      <c r="G55" s="168"/>
      <c r="H55" s="167"/>
      <c r="I55" s="719"/>
      <c r="J55" s="317"/>
      <c r="K55" s="317"/>
      <c r="L55" s="317">
        <v>344.85559131134357</v>
      </c>
      <c r="M55" s="317">
        <v>905.2</v>
      </c>
      <c r="N55" s="317">
        <v>767.82</v>
      </c>
      <c r="O55" s="317">
        <v>0</v>
      </c>
      <c r="P55" s="317">
        <f>O55*(1+P$56)</f>
        <v>0</v>
      </c>
      <c r="Q55" s="317">
        <f>P55*(1+Q$56)</f>
        <v>0</v>
      </c>
      <c r="R55" s="317">
        <f>Q55*(1+R$56)</f>
        <v>0</v>
      </c>
      <c r="S55" s="317">
        <f>R55*(1+S$56)</f>
        <v>0</v>
      </c>
      <c r="T55" s="168"/>
      <c r="U55" s="168"/>
    </row>
    <row r="56" spans="1:21" ht="15.75" customHeight="1" outlineLevel="1">
      <c r="A56" s="295"/>
      <c r="B56" s="168"/>
      <c r="C56" s="314" t="s">
        <v>64</v>
      </c>
      <c r="D56" s="222"/>
      <c r="E56" s="222"/>
      <c r="F56" s="222"/>
      <c r="G56" s="168"/>
      <c r="H56" s="167"/>
      <c r="I56" s="719"/>
      <c r="J56" s="317"/>
      <c r="K56" s="317"/>
      <c r="L56" s="317"/>
      <c r="M56" s="311"/>
      <c r="N56" s="311">
        <f>N55/M55-1</f>
        <v>-0.15176756517896595</v>
      </c>
      <c r="O56" s="311"/>
      <c r="P56" s="311"/>
      <c r="Q56" s="311"/>
      <c r="R56" s="311"/>
      <c r="S56" s="311"/>
      <c r="T56" s="168"/>
      <c r="U56" s="168"/>
    </row>
    <row r="57" spans="1:21" ht="15.75" customHeight="1" outlineLevel="1">
      <c r="A57" s="295"/>
      <c r="B57" s="168"/>
      <c r="C57" s="314" t="s">
        <v>655</v>
      </c>
      <c r="D57" s="222"/>
      <c r="E57" s="222"/>
      <c r="F57" s="222"/>
      <c r="G57" s="168"/>
      <c r="H57" s="167"/>
      <c r="I57" s="272"/>
      <c r="J57" s="272"/>
      <c r="K57" s="272"/>
      <c r="L57" s="317">
        <v>231.05390185036202</v>
      </c>
      <c r="M57" s="317">
        <v>207.28247162673392</v>
      </c>
      <c r="N57" s="317">
        <v>210.78782894736844</v>
      </c>
      <c r="O57" s="317">
        <v>0</v>
      </c>
      <c r="P57" s="317">
        <f>O57*(1+P58)</f>
        <v>0</v>
      </c>
      <c r="Q57" s="317">
        <f>P57*(1+Q58)</f>
        <v>0</v>
      </c>
      <c r="R57" s="317">
        <f>Q57*(1+R58)</f>
        <v>0</v>
      </c>
      <c r="S57" s="317">
        <f>R57*(1+S58)</f>
        <v>0</v>
      </c>
      <c r="T57" s="168"/>
      <c r="U57" s="168"/>
    </row>
    <row r="58" spans="1:21" ht="15.75" customHeight="1" outlineLevel="1">
      <c r="A58" s="295"/>
      <c r="B58" s="168"/>
      <c r="C58" s="314" t="s">
        <v>65</v>
      </c>
      <c r="D58" s="222"/>
      <c r="E58" s="222"/>
      <c r="F58" s="222"/>
      <c r="G58" s="168"/>
      <c r="H58" s="167"/>
      <c r="I58" s="272"/>
      <c r="J58" s="272"/>
      <c r="K58" s="272"/>
      <c r="L58" s="272"/>
      <c r="M58" s="311">
        <f>M57/L57-1</f>
        <v>-0.1028826175764963</v>
      </c>
      <c r="N58" s="311">
        <f>N57/M57-1</f>
        <v>1.6911016609965968E-2</v>
      </c>
      <c r="O58" s="311"/>
      <c r="P58" s="311"/>
      <c r="Q58" s="311"/>
      <c r="R58" s="311"/>
      <c r="S58" s="311"/>
      <c r="T58" s="168"/>
      <c r="U58" s="168"/>
    </row>
    <row r="59" spans="1:21" ht="15.75" customHeight="1" outlineLevel="1">
      <c r="A59" s="295"/>
      <c r="B59" s="168"/>
      <c r="C59" s="314" t="s">
        <v>57</v>
      </c>
      <c r="D59" s="168"/>
      <c r="E59" s="168"/>
      <c r="F59" s="168"/>
      <c r="G59" s="168"/>
      <c r="H59" s="167"/>
      <c r="J59" s="168"/>
      <c r="K59" s="168"/>
      <c r="L59" s="317">
        <v>108.66693483507643</v>
      </c>
      <c r="M59" s="320">
        <v>81.935687263556119</v>
      </c>
      <c r="N59" s="317">
        <v>93.75</v>
      </c>
      <c r="O59" s="317">
        <v>95</v>
      </c>
      <c r="P59" s="320"/>
      <c r="Q59" s="320"/>
      <c r="R59" s="320"/>
      <c r="S59" s="320"/>
      <c r="T59" s="168"/>
      <c r="U59" s="168"/>
    </row>
    <row r="60" spans="1:21" ht="15.75" customHeight="1" outlineLevel="1">
      <c r="A60" s="295"/>
      <c r="B60" s="168"/>
      <c r="C60" s="314" t="s">
        <v>58</v>
      </c>
      <c r="D60" s="168"/>
      <c r="E60" s="168"/>
      <c r="F60" s="168"/>
      <c r="G60" s="168"/>
      <c r="H60" s="167"/>
      <c r="J60" s="168"/>
      <c r="K60" s="168"/>
      <c r="L60" s="317">
        <v>888.13354786806121</v>
      </c>
      <c r="M60" s="320">
        <v>279.97512437810946</v>
      </c>
      <c r="N60" s="317">
        <v>65.789473684210535</v>
      </c>
      <c r="O60" s="317"/>
      <c r="P60" s="320"/>
      <c r="Q60" s="320"/>
      <c r="R60" s="320"/>
      <c r="S60" s="320"/>
      <c r="T60" s="168"/>
      <c r="U60" s="168"/>
    </row>
    <row r="61" spans="1:21" ht="15.75" customHeight="1" outlineLevel="1">
      <c r="A61" s="295"/>
      <c r="B61" s="168"/>
      <c r="C61" s="314" t="s">
        <v>62</v>
      </c>
      <c r="D61" s="168"/>
      <c r="E61" s="168"/>
      <c r="F61" s="168"/>
      <c r="G61" s="168"/>
      <c r="H61" s="167"/>
      <c r="J61" s="168"/>
      <c r="K61" s="168"/>
      <c r="L61" s="317">
        <v>106.23491552695093</v>
      </c>
      <c r="M61" s="320">
        <v>54.224464060529634</v>
      </c>
      <c r="N61" s="317">
        <v>36.184210526315795</v>
      </c>
      <c r="O61" s="317"/>
      <c r="P61" s="320"/>
      <c r="Q61" s="320"/>
      <c r="R61" s="320"/>
      <c r="S61" s="320"/>
      <c r="T61" s="168"/>
      <c r="U61" s="168"/>
    </row>
    <row r="62" spans="1:21" ht="15.75" customHeight="1" outlineLevel="1">
      <c r="A62" s="295"/>
      <c r="B62" s="168"/>
      <c r="C62" s="314" t="s">
        <v>66</v>
      </c>
      <c r="D62" s="168"/>
      <c r="E62" s="168"/>
      <c r="F62" s="168"/>
      <c r="G62" s="168"/>
      <c r="H62" s="167"/>
      <c r="J62" s="168"/>
      <c r="K62" s="168"/>
      <c r="M62" s="311"/>
      <c r="N62" s="311"/>
      <c r="O62" s="311"/>
      <c r="P62" s="311"/>
      <c r="Q62" s="311"/>
      <c r="R62" s="311"/>
      <c r="S62" s="311"/>
      <c r="T62" s="168"/>
      <c r="U62" s="168"/>
    </row>
    <row r="63" spans="1:21" ht="15.75" customHeight="1" outlineLevel="1">
      <c r="A63" s="295"/>
      <c r="B63" s="168"/>
      <c r="C63" s="314"/>
      <c r="D63" s="168"/>
      <c r="E63" s="168"/>
      <c r="F63" s="168"/>
      <c r="G63" s="168"/>
      <c r="H63" s="167"/>
      <c r="J63" s="168"/>
      <c r="K63" s="168"/>
      <c r="M63" s="168"/>
      <c r="N63" s="215"/>
      <c r="O63" s="215"/>
      <c r="P63" s="215"/>
      <c r="Q63" s="215"/>
      <c r="R63" s="215"/>
      <c r="S63" s="215"/>
      <c r="T63" s="168"/>
      <c r="U63" s="168"/>
    </row>
    <row r="64" spans="1:21" ht="15.75" customHeight="1" outlineLevel="1">
      <c r="A64" s="295"/>
      <c r="B64" s="168"/>
      <c r="C64" s="186" t="s">
        <v>650</v>
      </c>
      <c r="D64" s="168"/>
      <c r="E64" s="168"/>
      <c r="F64" s="168"/>
      <c r="G64" s="168"/>
      <c r="H64" s="167"/>
      <c r="J64" s="168"/>
      <c r="K64" s="168"/>
      <c r="M64" s="321"/>
      <c r="N64" s="215"/>
      <c r="O64" s="215"/>
      <c r="P64" s="215"/>
      <c r="Q64" s="215"/>
      <c r="R64" s="215"/>
      <c r="S64" s="215"/>
      <c r="T64" s="168"/>
      <c r="U64" s="168"/>
    </row>
    <row r="65" spans="1:21" ht="15.75" customHeight="1" outlineLevel="1">
      <c r="A65" s="295"/>
      <c r="B65" s="168"/>
      <c r="C65" s="314" t="s">
        <v>69</v>
      </c>
      <c r="D65" s="168"/>
      <c r="E65" s="168"/>
      <c r="F65" s="168"/>
      <c r="G65" s="168"/>
      <c r="H65" s="167"/>
      <c r="J65" s="168"/>
      <c r="K65" s="168"/>
      <c r="L65" s="317">
        <v>71</v>
      </c>
      <c r="M65" s="320">
        <f>2512715.56/M33</f>
        <v>47.985691655598281</v>
      </c>
      <c r="N65" s="320">
        <v>62.54</v>
      </c>
      <c r="O65" s="320">
        <v>64</v>
      </c>
      <c r="P65" s="320"/>
      <c r="Q65" s="320"/>
      <c r="R65" s="320"/>
      <c r="S65" s="320"/>
      <c r="T65" s="168"/>
      <c r="U65" s="168"/>
    </row>
    <row r="66" spans="1:21" ht="15.75" customHeight="1" outlineLevel="1">
      <c r="A66" s="295"/>
      <c r="B66" s="168"/>
      <c r="C66" s="314" t="s">
        <v>71</v>
      </c>
      <c r="D66" s="168"/>
      <c r="E66" s="168"/>
      <c r="F66" s="168"/>
      <c r="G66" s="168"/>
      <c r="H66" s="167"/>
      <c r="J66" s="168"/>
      <c r="K66" s="168"/>
      <c r="L66" s="317">
        <v>71</v>
      </c>
      <c r="M66" s="320">
        <f>1126026/M35</f>
        <v>85.253331314354938</v>
      </c>
      <c r="N66" s="320">
        <v>84.93</v>
      </c>
      <c r="O66" s="320">
        <v>76.099999999999994</v>
      </c>
      <c r="P66" s="320"/>
      <c r="Q66" s="320"/>
      <c r="R66" s="320"/>
      <c r="S66" s="320"/>
      <c r="T66" s="168"/>
      <c r="U66" s="168"/>
    </row>
    <row r="67" spans="1:21" ht="15.75" customHeight="1" outlineLevel="1">
      <c r="A67" s="295"/>
      <c r="B67" s="168"/>
      <c r="C67" s="314" t="s">
        <v>55</v>
      </c>
      <c r="D67" s="168"/>
      <c r="E67" s="168"/>
      <c r="F67" s="168"/>
      <c r="G67" s="168"/>
      <c r="H67" s="167"/>
      <c r="J67" s="168"/>
      <c r="K67" s="168"/>
      <c r="L67" s="317">
        <v>71</v>
      </c>
      <c r="M67" s="320">
        <f>467728/M37</f>
        <v>59.895480511763886</v>
      </c>
      <c r="N67" s="320">
        <v>34.64</v>
      </c>
      <c r="O67" s="320">
        <v>30.6</v>
      </c>
      <c r="P67" s="320"/>
      <c r="Q67" s="320"/>
      <c r="R67" s="320"/>
      <c r="S67" s="320"/>
      <c r="T67" s="168"/>
      <c r="U67" s="168"/>
    </row>
    <row r="68" spans="1:21" ht="15.75" customHeight="1" outlineLevel="1">
      <c r="A68" s="295"/>
      <c r="B68" s="168"/>
      <c r="C68" s="314" t="s">
        <v>72</v>
      </c>
      <c r="D68" s="168"/>
      <c r="E68" s="168"/>
      <c r="F68" s="168"/>
      <c r="G68" s="168"/>
      <c r="H68" s="167"/>
      <c r="J68" s="168"/>
      <c r="K68" s="168"/>
      <c r="L68" s="311">
        <v>0</v>
      </c>
      <c r="M68" s="311"/>
      <c r="N68" s="311"/>
      <c r="O68" s="311"/>
      <c r="P68" s="311"/>
      <c r="Q68" s="311"/>
      <c r="R68" s="311"/>
      <c r="S68" s="311"/>
      <c r="T68" s="168"/>
      <c r="U68" s="168"/>
    </row>
    <row r="69" spans="1:21" ht="15.75" customHeight="1" outlineLevel="1">
      <c r="A69" s="295"/>
      <c r="B69" s="168"/>
      <c r="C69" s="314"/>
      <c r="D69" s="168"/>
      <c r="E69" s="168"/>
      <c r="F69" s="168"/>
      <c r="G69" s="168"/>
      <c r="H69" s="167"/>
      <c r="J69" s="168"/>
      <c r="K69" s="168"/>
      <c r="M69" s="168"/>
      <c r="N69" s="215"/>
      <c r="O69" s="215"/>
      <c r="P69" s="215"/>
      <c r="Q69" s="215"/>
      <c r="R69" s="215"/>
      <c r="S69" s="215"/>
      <c r="T69" s="168"/>
      <c r="U69" s="168"/>
    </row>
    <row r="70" spans="1:21" ht="15.75" customHeight="1" outlineLevel="1">
      <c r="A70" s="295"/>
      <c r="B70" s="168"/>
      <c r="C70" s="186" t="s">
        <v>670</v>
      </c>
      <c r="D70" s="168"/>
      <c r="E70" s="168"/>
      <c r="F70" s="168"/>
      <c r="G70" s="168"/>
      <c r="H70" s="167"/>
      <c r="J70" s="168"/>
      <c r="K70" s="168"/>
      <c r="M70" s="321"/>
      <c r="N70" s="215"/>
      <c r="O70" s="215"/>
      <c r="P70" s="215"/>
      <c r="Q70" s="215"/>
      <c r="R70" s="215"/>
      <c r="S70" s="215"/>
      <c r="T70" s="168"/>
      <c r="U70" s="168"/>
    </row>
    <row r="71" spans="1:21" ht="15.75" customHeight="1" outlineLevel="1">
      <c r="A71" s="295"/>
      <c r="B71" s="168"/>
      <c r="C71" s="314" t="s">
        <v>40</v>
      </c>
      <c r="D71" s="222"/>
      <c r="E71" s="222"/>
      <c r="F71" s="222"/>
      <c r="G71" s="168"/>
      <c r="H71" s="167"/>
      <c r="I71" s="272"/>
      <c r="J71" s="272"/>
      <c r="K71" s="272"/>
      <c r="L71" s="317">
        <v>1.3</v>
      </c>
      <c r="M71" s="317">
        <v>1.3</v>
      </c>
      <c r="N71" s="317">
        <v>5.4131578947368428</v>
      </c>
      <c r="O71" s="317">
        <v>6.2738500000000004</v>
      </c>
      <c r="P71" s="317"/>
      <c r="Q71" s="317"/>
      <c r="R71" s="317"/>
      <c r="S71" s="317"/>
      <c r="T71" s="168"/>
      <c r="U71" s="168"/>
    </row>
    <row r="72" spans="1:21" ht="15.75" customHeight="1" outlineLevel="1">
      <c r="A72" s="295"/>
      <c r="B72" s="168"/>
      <c r="C72" s="314" t="s">
        <v>39</v>
      </c>
      <c r="D72" s="222"/>
      <c r="E72" s="222"/>
      <c r="F72" s="222"/>
      <c r="G72" s="168"/>
      <c r="H72" s="167"/>
      <c r="I72" s="293"/>
      <c r="J72" s="293"/>
      <c r="K72" s="293"/>
      <c r="L72" s="317">
        <v>41.24</v>
      </c>
      <c r="M72" s="317">
        <v>41.24</v>
      </c>
      <c r="N72" s="317">
        <v>42.829605263157895</v>
      </c>
      <c r="O72" s="317">
        <v>49.639512499999995</v>
      </c>
      <c r="P72" s="317"/>
      <c r="Q72" s="317"/>
      <c r="R72" s="317"/>
      <c r="S72" s="317"/>
      <c r="T72" s="168"/>
      <c r="U72" s="168"/>
    </row>
    <row r="73" spans="1:21" ht="15.75" customHeight="1" outlineLevel="1">
      <c r="A73" s="295"/>
      <c r="B73" s="168"/>
      <c r="C73" s="314" t="s">
        <v>42</v>
      </c>
      <c r="D73" s="222"/>
      <c r="E73" s="222"/>
      <c r="F73" s="222"/>
      <c r="G73" s="168"/>
      <c r="H73" s="167"/>
      <c r="I73" s="317"/>
      <c r="J73" s="317"/>
      <c r="K73" s="317"/>
      <c r="L73" s="317">
        <v>33.25</v>
      </c>
      <c r="M73" s="317">
        <v>33.25</v>
      </c>
      <c r="N73" s="317">
        <v>27.987828947368424</v>
      </c>
      <c r="O73" s="317">
        <v>32.437893750000001</v>
      </c>
      <c r="P73" s="317"/>
      <c r="Q73" s="317"/>
      <c r="R73" s="317"/>
      <c r="S73" s="317"/>
      <c r="T73" s="168"/>
      <c r="U73" s="168"/>
    </row>
    <row r="74" spans="1:21" ht="15.75" customHeight="1" outlineLevel="1">
      <c r="A74" s="295"/>
      <c r="B74" s="168"/>
      <c r="C74" s="314" t="s">
        <v>54</v>
      </c>
      <c r="D74" s="222"/>
      <c r="E74" s="222"/>
      <c r="F74" s="222"/>
      <c r="G74" s="168"/>
      <c r="H74" s="167"/>
      <c r="I74" s="319"/>
      <c r="J74" s="319"/>
      <c r="K74" s="317"/>
      <c r="L74" s="317">
        <v>63</v>
      </c>
      <c r="M74" s="317">
        <v>63</v>
      </c>
      <c r="N74" s="317"/>
      <c r="O74" s="317">
        <v>0</v>
      </c>
      <c r="P74" s="317">
        <f>O74*(1+$P$79)</f>
        <v>0</v>
      </c>
      <c r="Q74" s="317">
        <f t="shared" ref="Q74:S76" si="13">P74*(1+$Q$79)</f>
        <v>0</v>
      </c>
      <c r="R74" s="317">
        <f t="shared" si="13"/>
        <v>0</v>
      </c>
      <c r="S74" s="317">
        <f t="shared" si="13"/>
        <v>0</v>
      </c>
      <c r="T74" s="168"/>
      <c r="U74" s="168"/>
    </row>
    <row r="75" spans="1:21" ht="15.75" customHeight="1" outlineLevel="1">
      <c r="A75" s="295"/>
      <c r="B75" s="168"/>
      <c r="C75" s="314" t="s">
        <v>56</v>
      </c>
      <c r="D75" s="222"/>
      <c r="E75" s="222"/>
      <c r="F75" s="222"/>
      <c r="G75" s="168"/>
      <c r="H75" s="167"/>
      <c r="I75" s="719"/>
      <c r="J75" s="317"/>
      <c r="K75" s="317"/>
      <c r="L75" s="317">
        <v>87</v>
      </c>
      <c r="M75" s="317">
        <f>7394.19/M38</f>
        <v>11.727315982300043</v>
      </c>
      <c r="N75" s="317">
        <v>80.924342105263165</v>
      </c>
      <c r="O75" s="317">
        <v>0</v>
      </c>
      <c r="P75" s="317">
        <f>O75*(1+$P$79)</f>
        <v>0</v>
      </c>
      <c r="Q75" s="317">
        <f t="shared" si="13"/>
        <v>0</v>
      </c>
      <c r="R75" s="317">
        <f t="shared" si="13"/>
        <v>0</v>
      </c>
      <c r="S75" s="317">
        <f t="shared" si="13"/>
        <v>0</v>
      </c>
      <c r="T75" s="168"/>
      <c r="U75" s="168"/>
    </row>
    <row r="76" spans="1:21" ht="15.75" customHeight="1" outlineLevel="1">
      <c r="A76" s="295"/>
      <c r="B76" s="168"/>
      <c r="C76" s="314" t="s">
        <v>654</v>
      </c>
      <c r="D76" s="222"/>
      <c r="E76" s="222"/>
      <c r="F76" s="222"/>
      <c r="G76" s="168"/>
      <c r="H76" s="167"/>
      <c r="I76" s="272"/>
      <c r="J76" s="272"/>
      <c r="K76" s="272"/>
      <c r="L76" s="317">
        <v>0.7</v>
      </c>
      <c r="M76" s="317">
        <v>0.7</v>
      </c>
      <c r="N76" s="317"/>
      <c r="O76" s="317">
        <v>0</v>
      </c>
      <c r="P76" s="317">
        <f>O76*(1+$P$79)</f>
        <v>0</v>
      </c>
      <c r="Q76" s="317">
        <f t="shared" si="13"/>
        <v>0</v>
      </c>
      <c r="R76" s="317">
        <f t="shared" si="13"/>
        <v>0</v>
      </c>
      <c r="S76" s="317">
        <f t="shared" si="13"/>
        <v>0</v>
      </c>
      <c r="T76" s="168"/>
      <c r="U76" s="168"/>
    </row>
    <row r="77" spans="1:21" ht="15.75" customHeight="1" outlineLevel="1">
      <c r="A77" s="295"/>
      <c r="B77" s="168"/>
      <c r="C77" s="314" t="s">
        <v>701</v>
      </c>
      <c r="D77" s="222"/>
      <c r="E77" s="222"/>
      <c r="F77" s="222"/>
      <c r="G77" s="168"/>
      <c r="H77" s="167"/>
      <c r="I77" s="272"/>
      <c r="J77" s="272"/>
      <c r="K77" s="272"/>
      <c r="L77" s="317"/>
      <c r="M77" s="317"/>
      <c r="N77" s="317">
        <v>15.694407894736843</v>
      </c>
      <c r="O77" s="317"/>
      <c r="P77" s="317"/>
      <c r="Q77" s="317"/>
      <c r="R77" s="317"/>
      <c r="S77" s="317"/>
      <c r="T77" s="168"/>
      <c r="U77" s="168"/>
    </row>
    <row r="78" spans="1:21" ht="15.75" customHeight="1" outlineLevel="1">
      <c r="A78" s="295"/>
      <c r="B78" s="168"/>
      <c r="C78" s="314"/>
      <c r="D78" s="222"/>
      <c r="E78" s="222"/>
      <c r="F78" s="222"/>
      <c r="G78" s="168"/>
      <c r="H78" s="167"/>
      <c r="I78" s="272"/>
      <c r="J78" s="272"/>
      <c r="K78" s="272"/>
      <c r="L78" s="317"/>
      <c r="M78" s="317"/>
      <c r="N78" s="317"/>
      <c r="O78" s="317"/>
      <c r="P78" s="317"/>
      <c r="Q78" s="317"/>
      <c r="R78" s="317"/>
      <c r="S78" s="317"/>
      <c r="T78" s="168"/>
      <c r="U78" s="168"/>
    </row>
    <row r="79" spans="1:21" ht="15.75" customHeight="1" outlineLevel="1">
      <c r="A79" s="295"/>
      <c r="B79" s="168"/>
      <c r="C79" s="314" t="s">
        <v>660</v>
      </c>
      <c r="D79" s="168"/>
      <c r="E79" s="168"/>
      <c r="F79" s="168"/>
      <c r="G79" s="168"/>
      <c r="H79" s="167"/>
      <c r="J79" s="168"/>
      <c r="K79" s="168"/>
      <c r="M79" s="311"/>
      <c r="N79" s="311"/>
      <c r="O79" s="311"/>
      <c r="P79" s="311"/>
      <c r="Q79" s="311"/>
      <c r="R79" s="311"/>
      <c r="S79" s="311"/>
      <c r="T79" s="168"/>
      <c r="U79" s="168"/>
    </row>
    <row r="80" spans="1:21" ht="15.75" customHeight="1" outlineLevel="1">
      <c r="A80" s="295"/>
      <c r="B80" s="168"/>
      <c r="C80" s="314"/>
      <c r="D80" s="168"/>
      <c r="E80" s="168"/>
      <c r="F80" s="168"/>
      <c r="G80" s="168"/>
      <c r="H80" s="167"/>
      <c r="J80" s="168"/>
      <c r="K80" s="168"/>
      <c r="M80" s="168"/>
      <c r="N80" s="215"/>
      <c r="O80" s="735"/>
      <c r="P80" s="215"/>
      <c r="Q80" s="215"/>
      <c r="R80" s="215"/>
      <c r="S80" s="215"/>
      <c r="T80" s="168"/>
      <c r="U80" s="168"/>
    </row>
    <row r="81" spans="1:21" ht="15.75" customHeight="1" outlineLevel="1">
      <c r="A81" s="295"/>
      <c r="B81" s="168"/>
      <c r="C81" s="314"/>
      <c r="D81" s="168"/>
      <c r="E81" s="168"/>
      <c r="F81" s="168"/>
      <c r="G81" s="168"/>
      <c r="H81" s="167"/>
      <c r="J81" s="168"/>
      <c r="K81" s="168"/>
      <c r="M81" s="168"/>
      <c r="N81" s="215"/>
      <c r="O81" s="215"/>
      <c r="P81" s="215"/>
      <c r="Q81" s="215"/>
      <c r="R81" s="215"/>
      <c r="S81" s="215"/>
      <c r="T81" s="168"/>
      <c r="U81" s="168"/>
    </row>
    <row r="82" spans="1:21" ht="15.75" customHeight="1" outlineLevel="1">
      <c r="A82" s="295"/>
      <c r="B82" s="168"/>
      <c r="C82" s="314"/>
      <c r="D82" s="168"/>
      <c r="E82" s="168"/>
      <c r="F82" s="168"/>
      <c r="G82" s="168"/>
      <c r="H82" s="167"/>
      <c r="J82" s="168"/>
      <c r="K82" s="168"/>
      <c r="L82" s="317"/>
      <c r="M82" s="168"/>
      <c r="N82" s="215"/>
      <c r="O82" s="735"/>
      <c r="P82" s="215"/>
      <c r="Q82" s="215"/>
      <c r="R82" s="215"/>
      <c r="S82" s="215"/>
      <c r="T82" s="168"/>
      <c r="U82" s="168"/>
    </row>
    <row r="83" spans="1:21" ht="15.75" customHeight="1" outlineLevel="1">
      <c r="A83" s="295"/>
      <c r="B83" s="168"/>
      <c r="C83" s="314"/>
      <c r="D83" s="168"/>
      <c r="E83" s="168"/>
      <c r="F83" s="168"/>
      <c r="G83" s="168"/>
      <c r="H83" s="167"/>
      <c r="J83" s="168"/>
      <c r="K83" s="168"/>
      <c r="M83" s="168"/>
      <c r="N83" s="215"/>
      <c r="O83" s="215"/>
      <c r="P83" s="215"/>
      <c r="Q83" s="215"/>
      <c r="R83" s="215"/>
      <c r="S83" s="215"/>
      <c r="T83" s="168"/>
      <c r="U83" s="168"/>
    </row>
    <row r="84" spans="1:21" ht="15.75" customHeight="1" outlineLevel="1">
      <c r="A84" s="295"/>
      <c r="B84" s="168"/>
      <c r="C84" s="314"/>
      <c r="D84" s="168"/>
      <c r="E84" s="168"/>
      <c r="F84" s="168"/>
      <c r="G84" s="168"/>
      <c r="H84" s="167"/>
      <c r="J84" s="168"/>
      <c r="K84" s="168"/>
      <c r="M84" s="168"/>
      <c r="N84" s="215"/>
      <c r="O84" s="215"/>
      <c r="P84" s="215"/>
      <c r="Q84" s="215"/>
      <c r="R84" s="215"/>
      <c r="S84" s="215"/>
      <c r="T84" s="168"/>
      <c r="U84" s="168"/>
    </row>
    <row r="85" spans="1:21" ht="15.75" customHeight="1" outlineLevel="1">
      <c r="A85" s="295"/>
      <c r="B85" s="168"/>
      <c r="C85" s="314"/>
      <c r="D85" s="168"/>
      <c r="E85" s="168"/>
      <c r="F85" s="168"/>
      <c r="G85" s="168"/>
      <c r="H85" s="167"/>
      <c r="J85" s="168"/>
      <c r="K85" s="168"/>
      <c r="M85" s="168"/>
      <c r="N85" s="215"/>
      <c r="O85" s="215"/>
      <c r="P85" s="215"/>
      <c r="Q85" s="215"/>
      <c r="R85" s="215"/>
      <c r="S85" s="215"/>
      <c r="T85" s="168"/>
      <c r="U85" s="168"/>
    </row>
    <row r="86" spans="1:21" ht="15.75" customHeight="1" outlineLevel="1">
      <c r="A86" s="295"/>
      <c r="B86" s="168"/>
      <c r="C86" s="314"/>
      <c r="D86" s="168"/>
      <c r="E86" s="168"/>
      <c r="F86" s="168"/>
      <c r="G86" s="168"/>
      <c r="H86" s="167"/>
      <c r="J86" s="168"/>
      <c r="K86" s="168"/>
      <c r="M86" s="168"/>
      <c r="N86" s="215"/>
      <c r="O86" s="215"/>
      <c r="P86" s="215"/>
      <c r="Q86" s="215"/>
      <c r="R86" s="215"/>
      <c r="S86" s="215"/>
      <c r="T86" s="168"/>
      <c r="U86" s="168"/>
    </row>
    <row r="87" spans="1:21" ht="15.75" customHeight="1" outlineLevel="1">
      <c r="A87" s="295"/>
      <c r="B87" s="168"/>
      <c r="C87" s="314"/>
      <c r="D87" s="168"/>
      <c r="E87" s="168"/>
      <c r="F87" s="168"/>
      <c r="G87" s="168"/>
      <c r="H87" s="167"/>
      <c r="J87" s="168"/>
      <c r="K87" s="168"/>
      <c r="M87" s="168"/>
      <c r="N87" s="215"/>
      <c r="O87" s="215"/>
      <c r="P87" s="215"/>
      <c r="Q87" s="215"/>
      <c r="R87" s="215"/>
      <c r="S87" s="215"/>
      <c r="T87" s="168"/>
      <c r="U87" s="168"/>
    </row>
    <row r="88" spans="1:21" ht="15.75" customHeight="1" outlineLevel="1">
      <c r="A88" s="295"/>
      <c r="B88" s="168"/>
      <c r="C88" s="314"/>
      <c r="D88" s="168"/>
      <c r="E88" s="168"/>
      <c r="F88" s="168"/>
      <c r="G88" s="168"/>
      <c r="H88" s="167"/>
      <c r="J88" s="168"/>
      <c r="K88" s="168"/>
      <c r="M88" s="168"/>
      <c r="N88" s="215"/>
      <c r="O88" s="215"/>
      <c r="P88" s="215"/>
      <c r="Q88" s="215"/>
      <c r="R88" s="215"/>
      <c r="S88" s="215"/>
      <c r="T88" s="168"/>
      <c r="U88" s="168"/>
    </row>
    <row r="89" spans="1:21" outlineLevel="1">
      <c r="A89" s="295"/>
      <c r="B89" s="168"/>
      <c r="C89" s="314" t="s">
        <v>502</v>
      </c>
      <c r="D89" s="168"/>
      <c r="E89" s="168"/>
      <c r="F89" s="168"/>
      <c r="G89" s="365"/>
      <c r="H89" s="323"/>
      <c r="I89" s="323"/>
      <c r="J89" s="323"/>
      <c r="K89" s="323"/>
      <c r="L89" s="323"/>
      <c r="M89" s="323"/>
      <c r="N89" s="323"/>
      <c r="O89" s="323"/>
      <c r="P89" s="323"/>
      <c r="Q89" s="323"/>
      <c r="R89" s="323"/>
      <c r="S89" s="323"/>
      <c r="T89" s="168"/>
      <c r="U89" s="168"/>
    </row>
    <row r="90" spans="1:21" ht="15.75" customHeight="1" outlineLevel="1">
      <c r="A90" s="295"/>
      <c r="B90" s="168"/>
      <c r="C90" s="314"/>
      <c r="D90" s="170"/>
      <c r="E90" s="170"/>
      <c r="F90" s="170"/>
      <c r="G90" s="324"/>
      <c r="H90" s="212"/>
      <c r="I90" s="212"/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168"/>
      <c r="U90" s="168"/>
    </row>
    <row r="91" spans="1:21" ht="15.75" customHeight="1" outlineLevel="1">
      <c r="A91" s="295"/>
      <c r="B91" s="168"/>
      <c r="C91" s="314"/>
      <c r="D91" s="168"/>
      <c r="E91" s="168"/>
      <c r="F91" s="168"/>
      <c r="G91" s="365"/>
      <c r="H91" s="323"/>
      <c r="I91" s="323"/>
      <c r="J91" s="323"/>
      <c r="K91" s="323"/>
      <c r="L91" s="323"/>
      <c r="M91" s="323"/>
      <c r="N91" s="323"/>
      <c r="O91" s="323"/>
      <c r="P91" s="323"/>
      <c r="Q91" s="323"/>
      <c r="R91" s="323"/>
      <c r="S91" s="323"/>
      <c r="T91" s="168"/>
      <c r="U91" s="168"/>
    </row>
    <row r="92" spans="1:21" ht="15.75" customHeight="1" outlineLevel="1">
      <c r="A92" s="295"/>
      <c r="B92" s="168"/>
      <c r="C92" s="314" t="s">
        <v>502</v>
      </c>
      <c r="D92" s="303"/>
      <c r="E92" s="303"/>
      <c r="F92" s="303"/>
      <c r="G92" s="301"/>
      <c r="H92" s="172"/>
      <c r="I92" s="172"/>
      <c r="J92" s="172"/>
      <c r="K92" s="173"/>
      <c r="L92" s="171"/>
      <c r="M92" s="304"/>
      <c r="N92" s="172"/>
      <c r="O92" s="172"/>
      <c r="P92" s="172"/>
      <c r="Q92" s="172"/>
      <c r="R92" s="172"/>
      <c r="S92" s="172"/>
      <c r="T92" s="168"/>
      <c r="U92" s="168"/>
    </row>
    <row r="93" spans="1:21" ht="15.75" customHeight="1" outlineLevel="1">
      <c r="A93" s="295"/>
      <c r="B93" s="168"/>
      <c r="C93" s="314"/>
      <c r="D93" s="233"/>
      <c r="E93" s="233"/>
      <c r="F93" s="603"/>
      <c r="G93" s="721"/>
      <c r="H93" s="174"/>
      <c r="I93" s="174">
        <v>0</v>
      </c>
      <c r="J93" s="174">
        <v>1</v>
      </c>
      <c r="K93" s="174">
        <v>2</v>
      </c>
      <c r="L93" s="175">
        <f>L7</f>
        <v>3</v>
      </c>
      <c r="M93" s="174">
        <v>4</v>
      </c>
      <c r="N93" s="174">
        <v>5</v>
      </c>
      <c r="O93" s="174">
        <f t="shared" ref="O93:Q93" si="14">O7</f>
        <v>6</v>
      </c>
      <c r="P93" s="174">
        <f t="shared" si="14"/>
        <v>7</v>
      </c>
      <c r="Q93" s="174">
        <f t="shared" si="14"/>
        <v>8</v>
      </c>
      <c r="R93" s="174">
        <f>R7</f>
        <v>9</v>
      </c>
      <c r="S93" s="174">
        <f>S7</f>
        <v>10</v>
      </c>
      <c r="T93" s="168"/>
      <c r="U93" s="168"/>
    </row>
    <row r="94" spans="1:21" ht="15.75" customHeight="1" outlineLevel="1">
      <c r="A94" s="295"/>
      <c r="B94" s="168"/>
      <c r="C94" s="314"/>
      <c r="D94" s="234"/>
      <c r="E94" s="234"/>
      <c r="F94" s="604"/>
      <c r="G94" s="325"/>
      <c r="H94" s="176"/>
      <c r="I94" s="176"/>
      <c r="J94" s="176"/>
      <c r="K94" s="176"/>
      <c r="L94" s="176"/>
      <c r="M94" s="176"/>
      <c r="N94" s="176"/>
      <c r="O94" s="176"/>
      <c r="P94" s="176"/>
      <c r="Q94" s="176"/>
      <c r="R94" s="176"/>
      <c r="S94" s="176"/>
      <c r="T94" s="168"/>
      <c r="U94" s="168"/>
    </row>
    <row r="95" spans="1:21" ht="15.75" customHeight="1" outlineLevel="1">
      <c r="A95" s="295"/>
      <c r="B95" s="168"/>
      <c r="C95" s="314"/>
      <c r="D95" s="235"/>
      <c r="E95" s="235"/>
      <c r="F95" s="177"/>
      <c r="G95" s="326"/>
      <c r="H95" s="213"/>
      <c r="I95" s="213" t="s">
        <v>499</v>
      </c>
      <c r="J95" s="213" t="s">
        <v>499</v>
      </c>
      <c r="K95" s="213" t="s">
        <v>499</v>
      </c>
      <c r="L95" s="213" t="s">
        <v>499</v>
      </c>
      <c r="M95" s="213" t="s">
        <v>499</v>
      </c>
      <c r="N95" s="213" t="s">
        <v>499</v>
      </c>
      <c r="O95" s="213" t="s">
        <v>499</v>
      </c>
      <c r="P95" s="213" t="s">
        <v>499</v>
      </c>
      <c r="Q95" s="213" t="s">
        <v>499</v>
      </c>
      <c r="R95" s="213" t="s">
        <v>499</v>
      </c>
      <c r="S95" s="213" t="s">
        <v>499</v>
      </c>
      <c r="T95" s="168"/>
      <c r="U95" s="168"/>
    </row>
    <row r="96" spans="1:21" ht="15.75" customHeight="1" outlineLevel="1">
      <c r="A96" s="295"/>
      <c r="B96" s="186"/>
      <c r="C96" s="314"/>
      <c r="D96" s="249"/>
      <c r="E96" s="249"/>
      <c r="F96" s="186"/>
      <c r="G96" s="305"/>
      <c r="H96" s="327"/>
      <c r="I96" s="327"/>
      <c r="J96" s="327"/>
      <c r="K96" s="327"/>
      <c r="L96" s="327"/>
      <c r="M96" s="327"/>
      <c r="N96" s="327"/>
      <c r="O96" s="327"/>
      <c r="P96" s="327"/>
      <c r="Q96" s="327"/>
      <c r="R96" s="327"/>
      <c r="S96" s="327"/>
      <c r="T96" s="168"/>
      <c r="U96" s="168"/>
    </row>
    <row r="97" spans="1:21" s="308" customFormat="1" ht="15.75" customHeight="1" outlineLevel="1">
      <c r="A97" s="722"/>
      <c r="B97" s="736"/>
      <c r="C97" s="728" t="s">
        <v>73</v>
      </c>
      <c r="D97" s="262"/>
      <c r="E97" s="262"/>
      <c r="F97" s="186"/>
      <c r="G97" s="305"/>
      <c r="H97" s="309"/>
      <c r="I97" s="309"/>
      <c r="J97" s="309"/>
      <c r="K97" s="309"/>
      <c r="L97" s="729">
        <f t="shared" ref="L97:R97" si="15">L98+L99+L100+L101+L102+L106+L110</f>
        <v>80.74790545974146</v>
      </c>
      <c r="M97" s="729">
        <f t="shared" si="15"/>
        <v>60.731223203026481</v>
      </c>
      <c r="N97" s="729">
        <f>N98+N99+N100+N101+N102+N106+N110</f>
        <v>67.595031460676822</v>
      </c>
      <c r="O97" s="729">
        <f>O98+O99+O100+O101+O102+O106+O110</f>
        <v>70.773282128817527</v>
      </c>
      <c r="P97" s="729">
        <f t="shared" si="15"/>
        <v>0</v>
      </c>
      <c r="Q97" s="729">
        <f t="shared" si="15"/>
        <v>0</v>
      </c>
      <c r="R97" s="729">
        <f t="shared" si="15"/>
        <v>0</v>
      </c>
      <c r="S97" s="729">
        <f>S98+S99+S100+S101+S102+S106+S110</f>
        <v>0</v>
      </c>
      <c r="T97" s="313"/>
      <c r="U97" s="313"/>
    </row>
    <row r="98" spans="1:21" ht="15.75" customHeight="1" outlineLevel="2">
      <c r="A98" s="295"/>
      <c r="B98" s="353"/>
      <c r="C98" s="314" t="s">
        <v>82</v>
      </c>
      <c r="D98" s="249"/>
      <c r="E98" s="249"/>
      <c r="F98" s="186"/>
      <c r="G98" s="167"/>
      <c r="H98" s="272"/>
      <c r="I98" s="272"/>
      <c r="J98" s="272"/>
      <c r="K98" s="272"/>
      <c r="L98" s="332">
        <v>71.87</v>
      </c>
      <c r="M98" s="332">
        <v>51.697036569987389</v>
      </c>
      <c r="N98" s="332">
        <v>57.220537550841144</v>
      </c>
      <c r="O98" s="332">
        <v>59.835740795484192</v>
      </c>
      <c r="P98" s="332"/>
      <c r="Q98" s="332"/>
      <c r="R98" s="332"/>
      <c r="S98" s="332"/>
      <c r="T98" s="168"/>
      <c r="U98" s="168"/>
    </row>
    <row r="99" spans="1:21" ht="15.75" customHeight="1" outlineLevel="2">
      <c r="A99" s="295"/>
      <c r="B99" s="353"/>
      <c r="C99" s="314" t="s">
        <v>83</v>
      </c>
      <c r="D99" s="249"/>
      <c r="E99" s="249"/>
      <c r="F99" s="186"/>
      <c r="G99" s="167"/>
      <c r="H99" s="272"/>
      <c r="I99" s="272"/>
      <c r="J99" s="272"/>
      <c r="K99" s="272"/>
      <c r="L99" s="332">
        <v>0.21</v>
      </c>
      <c r="M99" s="332">
        <v>0.3401639344262295</v>
      </c>
      <c r="N99" s="332">
        <v>0.42194611676089699</v>
      </c>
      <c r="O99" s="332">
        <v>0.44733333333333331</v>
      </c>
      <c r="P99" s="332"/>
      <c r="Q99" s="332"/>
      <c r="R99" s="332"/>
      <c r="S99" s="332"/>
      <c r="T99" s="168"/>
      <c r="U99" s="168"/>
    </row>
    <row r="100" spans="1:21" ht="15.75" customHeight="1" outlineLevel="2">
      <c r="A100" s="295"/>
      <c r="B100" s="353"/>
      <c r="C100" s="314" t="s">
        <v>84</v>
      </c>
      <c r="D100" s="249"/>
      <c r="E100" s="249"/>
      <c r="F100" s="186"/>
      <c r="G100" s="167"/>
      <c r="H100" s="272"/>
      <c r="I100" s="272"/>
      <c r="J100" s="272"/>
      <c r="K100" s="272"/>
      <c r="L100" s="332">
        <v>0.65</v>
      </c>
      <c r="M100" s="332">
        <v>0.55422446406052961</v>
      </c>
      <c r="N100" s="332">
        <v>0.80684157242285959</v>
      </c>
      <c r="O100" s="332">
        <v>1.085</v>
      </c>
      <c r="P100" s="332"/>
      <c r="Q100" s="332"/>
      <c r="R100" s="332"/>
      <c r="S100" s="332"/>
      <c r="T100" s="168"/>
      <c r="U100" s="168"/>
    </row>
    <row r="101" spans="1:21" ht="15.75" customHeight="1" outlineLevel="2">
      <c r="A101" s="295"/>
      <c r="B101" s="353"/>
      <c r="C101" s="314" t="s">
        <v>85</v>
      </c>
      <c r="D101" s="249"/>
      <c r="E101" s="249"/>
      <c r="F101" s="186"/>
      <c r="G101" s="167"/>
      <c r="H101" s="272"/>
      <c r="I101" s="272"/>
      <c r="J101" s="272"/>
      <c r="K101" s="272"/>
      <c r="L101" s="332">
        <v>0.57999999999999996</v>
      </c>
      <c r="M101" s="332">
        <v>1.7966582597730141</v>
      </c>
      <c r="N101" s="332">
        <v>1.9649230673274518</v>
      </c>
      <c r="O101" s="332">
        <v>1.5960000000000001</v>
      </c>
      <c r="P101" s="332"/>
      <c r="Q101" s="332"/>
      <c r="R101" s="332"/>
      <c r="S101" s="332"/>
      <c r="T101" s="168"/>
      <c r="U101" s="168"/>
    </row>
    <row r="102" spans="1:21" ht="15.75" customHeight="1" outlineLevel="2">
      <c r="A102" s="295"/>
      <c r="B102" s="353"/>
      <c r="C102" s="314" t="s">
        <v>86</v>
      </c>
      <c r="D102" s="249"/>
      <c r="E102" s="249"/>
      <c r="F102" s="186"/>
      <c r="G102" s="167"/>
      <c r="H102" s="272"/>
      <c r="I102" s="272"/>
      <c r="J102" s="272"/>
      <c r="K102" s="272"/>
      <c r="L102" s="332">
        <f>L103*L104</f>
        <v>3.5879054597414672</v>
      </c>
      <c r="M102" s="332">
        <f>M103*M104</f>
        <v>2.7466708701134928</v>
      </c>
      <c r="N102" s="332">
        <f>N103*N104</f>
        <v>2.9719974243556369</v>
      </c>
      <c r="O102" s="332">
        <f>O103*O104</f>
        <v>3.4092079999999996</v>
      </c>
      <c r="P102" s="332"/>
      <c r="Q102" s="332"/>
      <c r="R102" s="332"/>
      <c r="S102" s="332"/>
      <c r="T102" s="168"/>
      <c r="U102" s="168"/>
    </row>
    <row r="103" spans="1:21" ht="15.75" customHeight="1" outlineLevel="2">
      <c r="A103" s="295"/>
      <c r="B103" s="353"/>
      <c r="C103" s="314" t="s">
        <v>89</v>
      </c>
      <c r="D103" s="249"/>
      <c r="E103" s="249"/>
      <c r="F103" s="186"/>
      <c r="G103" s="167"/>
      <c r="H103" s="272"/>
      <c r="I103" s="272"/>
      <c r="J103" s="272"/>
      <c r="K103" s="272"/>
      <c r="L103" s="723">
        <v>6.4000000000000001E-2</v>
      </c>
      <c r="M103" s="332">
        <v>4.3999999999999997E-2</v>
      </c>
      <c r="N103" s="333">
        <v>4.3632708188147941E-2</v>
      </c>
      <c r="O103" s="332">
        <v>4.3999999999999997E-2</v>
      </c>
      <c r="P103" s="333"/>
      <c r="Q103" s="333"/>
      <c r="R103" s="333"/>
      <c r="S103" s="333"/>
      <c r="T103" s="168"/>
      <c r="U103" s="168"/>
    </row>
    <row r="104" spans="1:21" ht="15.75" customHeight="1" outlineLevel="2">
      <c r="A104" s="295"/>
      <c r="B104" s="353"/>
      <c r="C104" s="314" t="s">
        <v>90</v>
      </c>
      <c r="D104" s="249"/>
      <c r="E104" s="249"/>
      <c r="F104" s="186"/>
      <c r="G104" s="167"/>
      <c r="H104" s="272"/>
      <c r="I104" s="272"/>
      <c r="J104" s="272"/>
      <c r="K104" s="272"/>
      <c r="L104" s="332">
        <v>56.061022808460422</v>
      </c>
      <c r="M104" s="332">
        <v>62.424337957124841</v>
      </c>
      <c r="N104" s="332">
        <v>68.113980263157899</v>
      </c>
      <c r="O104" s="332">
        <v>77.481999999999999</v>
      </c>
      <c r="P104" s="332"/>
      <c r="Q104" s="332"/>
      <c r="R104" s="332"/>
      <c r="S104" s="332"/>
      <c r="T104" s="168"/>
      <c r="U104" s="168"/>
    </row>
    <row r="105" spans="1:21" ht="15.75" customHeight="1" outlineLevel="2">
      <c r="A105" s="295"/>
      <c r="B105" s="353"/>
      <c r="C105" s="314" t="s">
        <v>93</v>
      </c>
      <c r="D105" s="249"/>
      <c r="E105" s="249"/>
      <c r="F105" s="186"/>
      <c r="G105" s="167"/>
      <c r="H105" s="272"/>
      <c r="I105" s="272"/>
      <c r="J105" s="272"/>
      <c r="K105" s="272"/>
      <c r="L105" s="332"/>
      <c r="M105" s="311"/>
      <c r="N105" s="311"/>
      <c r="O105" s="311"/>
      <c r="P105" s="311"/>
      <c r="Q105" s="311"/>
      <c r="R105" s="311"/>
      <c r="S105" s="311"/>
      <c r="T105" s="168"/>
      <c r="U105" s="168"/>
    </row>
    <row r="106" spans="1:21" ht="15.75" customHeight="1" outlineLevel="2">
      <c r="A106" s="295"/>
      <c r="B106" s="353"/>
      <c r="C106" s="314" t="s">
        <v>87</v>
      </c>
      <c r="D106" s="249"/>
      <c r="E106" s="249"/>
      <c r="F106" s="186"/>
      <c r="G106" s="167"/>
      <c r="H106" s="272"/>
      <c r="I106" s="272"/>
      <c r="J106" s="272"/>
      <c r="K106" s="272"/>
      <c r="L106" s="332">
        <f>L107*L108</f>
        <v>0</v>
      </c>
      <c r="M106" s="332">
        <f>M107*M108</f>
        <v>0</v>
      </c>
      <c r="N106" s="332">
        <f>N107*N108</f>
        <v>0</v>
      </c>
      <c r="O106" s="332">
        <f>O107*O108</f>
        <v>0</v>
      </c>
      <c r="P106" s="332"/>
      <c r="Q106" s="332"/>
      <c r="R106" s="332"/>
      <c r="S106" s="332"/>
      <c r="T106" s="168"/>
      <c r="U106" s="168"/>
    </row>
    <row r="107" spans="1:21" ht="15.75" customHeight="1" outlineLevel="2">
      <c r="A107" s="295"/>
      <c r="B107" s="353"/>
      <c r="C107" s="314" t="s">
        <v>91</v>
      </c>
      <c r="D107" s="249"/>
      <c r="E107" s="249"/>
      <c r="F107" s="186"/>
      <c r="G107" s="167"/>
      <c r="H107" s="272"/>
      <c r="I107" s="272"/>
      <c r="J107" s="272"/>
      <c r="K107" s="272"/>
      <c r="L107" s="723">
        <v>0</v>
      </c>
      <c r="M107" s="332">
        <v>0</v>
      </c>
      <c r="N107" s="333">
        <f>M107</f>
        <v>0</v>
      </c>
      <c r="O107" s="332">
        <v>0</v>
      </c>
      <c r="P107" s="333"/>
      <c r="Q107" s="333"/>
      <c r="R107" s="333"/>
      <c r="S107" s="333"/>
      <c r="T107" s="168"/>
      <c r="U107" s="168"/>
    </row>
    <row r="108" spans="1:21" ht="15.75" customHeight="1" outlineLevel="2">
      <c r="A108" s="295"/>
      <c r="B108" s="353"/>
      <c r="C108" s="314" t="s">
        <v>92</v>
      </c>
      <c r="D108" s="249"/>
      <c r="E108" s="249"/>
      <c r="F108" s="186"/>
      <c r="G108" s="167"/>
      <c r="H108" s="272"/>
      <c r="I108" s="272"/>
      <c r="J108" s="272"/>
      <c r="K108" s="272"/>
      <c r="L108" s="332">
        <v>70.89814745224497</v>
      </c>
      <c r="M108" s="332">
        <v>68.420870113493066</v>
      </c>
      <c r="N108" s="332">
        <v>83.154407894736835</v>
      </c>
      <c r="O108" s="332">
        <v>90.146666666666675</v>
      </c>
      <c r="P108" s="332"/>
      <c r="Q108" s="332"/>
      <c r="R108" s="332"/>
      <c r="S108" s="332"/>
      <c r="T108" s="168"/>
      <c r="U108" s="168"/>
    </row>
    <row r="109" spans="1:21" ht="15.75" customHeight="1" outlineLevel="2">
      <c r="A109" s="295"/>
      <c r="B109" s="353"/>
      <c r="C109" s="314" t="s">
        <v>94</v>
      </c>
      <c r="D109" s="249"/>
      <c r="E109" s="249"/>
      <c r="F109" s="186"/>
      <c r="G109" s="167"/>
      <c r="H109" s="272"/>
      <c r="I109" s="272"/>
      <c r="J109" s="272"/>
      <c r="K109" s="272"/>
      <c r="L109" s="332"/>
      <c r="M109" s="293"/>
      <c r="N109" s="311"/>
      <c r="O109" s="293"/>
      <c r="P109" s="311"/>
      <c r="Q109" s="311"/>
      <c r="R109" s="311"/>
      <c r="S109" s="311"/>
      <c r="T109" s="168"/>
      <c r="U109" s="168"/>
    </row>
    <row r="110" spans="1:21" ht="15.75" customHeight="1" outlineLevel="2">
      <c r="A110" s="295"/>
      <c r="B110" s="353"/>
      <c r="C110" s="314" t="s">
        <v>88</v>
      </c>
      <c r="D110" s="249"/>
      <c r="E110" s="249"/>
      <c r="F110" s="186"/>
      <c r="G110" s="167"/>
      <c r="H110" s="272"/>
      <c r="I110" s="272"/>
      <c r="J110" s="272"/>
      <c r="K110" s="272"/>
      <c r="L110" s="332">
        <v>3.85</v>
      </c>
      <c r="M110" s="332">
        <v>3.5964691046658261</v>
      </c>
      <c r="N110" s="332">
        <v>4.2087857289688309</v>
      </c>
      <c r="O110" s="332">
        <v>4.4000000000000004</v>
      </c>
      <c r="P110" s="332"/>
      <c r="Q110" s="332"/>
      <c r="R110" s="332"/>
      <c r="S110" s="332"/>
      <c r="T110" s="168"/>
      <c r="U110" s="168"/>
    </row>
    <row r="111" spans="1:21" s="308" customFormat="1" ht="15.75" customHeight="1" outlineLevel="1">
      <c r="A111" s="722"/>
      <c r="B111" s="736"/>
      <c r="C111" s="728" t="s">
        <v>74</v>
      </c>
      <c r="D111" s="262"/>
      <c r="E111" s="262"/>
      <c r="F111" s="186"/>
      <c r="G111" s="305"/>
      <c r="H111" s="309"/>
      <c r="I111" s="309"/>
      <c r="J111" s="309"/>
      <c r="K111" s="309"/>
      <c r="L111" s="309">
        <f>L112+L118+L119+L120+L121+L124+L126+L116+L123</f>
        <v>700.8668750896976</v>
      </c>
      <c r="M111" s="309">
        <f t="shared" ref="M111:R111" si="16">M112+M118+M119+M120+M121+M124+M126+M116+M123</f>
        <v>546.54112446406054</v>
      </c>
      <c r="N111" s="309">
        <f t="shared" si="16"/>
        <v>573.82695137578321</v>
      </c>
      <c r="O111" s="309">
        <f t="shared" si="16"/>
        <v>590.80679305535068</v>
      </c>
      <c r="P111" s="309">
        <f t="shared" si="16"/>
        <v>0</v>
      </c>
      <c r="Q111" s="309">
        <f t="shared" si="16"/>
        <v>0</v>
      </c>
      <c r="R111" s="309">
        <f t="shared" si="16"/>
        <v>0</v>
      </c>
      <c r="S111" s="309">
        <f>S112+S118+S119+S120+S121+S124+S126+S116+S123</f>
        <v>0</v>
      </c>
      <c r="T111" s="313"/>
      <c r="U111" s="313"/>
    </row>
    <row r="112" spans="1:21" ht="15.75" customHeight="1" outlineLevel="2">
      <c r="A112" s="295"/>
      <c r="B112" s="353"/>
      <c r="C112" s="314" t="s">
        <v>95</v>
      </c>
      <c r="D112" s="249"/>
      <c r="E112" s="249"/>
      <c r="F112" s="186"/>
      <c r="G112" s="167"/>
      <c r="H112" s="272"/>
      <c r="I112" s="272"/>
      <c r="J112" s="272"/>
      <c r="K112" s="272"/>
      <c r="L112" s="272">
        <f>L113*L114</f>
        <v>260.83272474737714</v>
      </c>
      <c r="M112" s="272">
        <f>M113*M114</f>
        <v>202.81272761664567</v>
      </c>
      <c r="N112" s="272">
        <f>N113*N114</f>
        <v>234.59132535832904</v>
      </c>
      <c r="O112" s="272">
        <f>O113*O114</f>
        <v>240.10830720000001</v>
      </c>
      <c r="P112" s="272"/>
      <c r="Q112" s="272"/>
      <c r="R112" s="272"/>
      <c r="S112" s="272"/>
      <c r="T112" s="168"/>
      <c r="U112" s="168"/>
    </row>
    <row r="113" spans="1:21" ht="15.75" customHeight="1" outlineLevel="2">
      <c r="A113" s="295"/>
      <c r="B113" s="353"/>
      <c r="C113" s="314" t="s">
        <v>96</v>
      </c>
      <c r="D113" s="249"/>
      <c r="E113" s="249"/>
      <c r="F113" s="186"/>
      <c r="G113" s="167"/>
      <c r="H113" s="272"/>
      <c r="I113" s="272"/>
      <c r="J113" s="272"/>
      <c r="K113" s="272"/>
      <c r="L113" s="334">
        <f>227350/136285</f>
        <v>1.66819532597131</v>
      </c>
      <c r="M113" s="334">
        <v>1.667</v>
      </c>
      <c r="N113" s="334">
        <v>1.6874460140973493</v>
      </c>
      <c r="O113" s="334">
        <v>1.6704000000000001</v>
      </c>
      <c r="P113" s="334"/>
      <c r="Q113" s="334"/>
      <c r="R113" s="334"/>
      <c r="S113" s="334"/>
      <c r="T113" s="168"/>
      <c r="U113" s="168"/>
    </row>
    <row r="114" spans="1:21" ht="15.75" customHeight="1" outlineLevel="2">
      <c r="A114" s="295"/>
      <c r="B114" s="353"/>
      <c r="C114" s="314" t="s">
        <v>97</v>
      </c>
      <c r="D114" s="249"/>
      <c r="E114" s="249"/>
      <c r="F114" s="186"/>
      <c r="G114" s="167"/>
      <c r="H114" s="272"/>
      <c r="I114" s="272"/>
      <c r="J114" s="272"/>
      <c r="K114" s="272"/>
      <c r="L114" s="272">
        <v>156.35622560895666</v>
      </c>
      <c r="M114" s="272">
        <v>121.66330390920555</v>
      </c>
      <c r="N114" s="272">
        <v>139.02152922137597</v>
      </c>
      <c r="O114" s="272">
        <v>143.74299999999999</v>
      </c>
      <c r="P114" s="272"/>
      <c r="Q114" s="272"/>
      <c r="R114" s="272"/>
      <c r="S114" s="272"/>
      <c r="T114" s="168"/>
      <c r="U114" s="168"/>
    </row>
    <row r="115" spans="1:21" ht="15.75" customHeight="1" outlineLevel="2">
      <c r="A115" s="295"/>
      <c r="B115" s="353"/>
      <c r="C115" s="314" t="s">
        <v>98</v>
      </c>
      <c r="D115" s="249"/>
      <c r="E115" s="249"/>
      <c r="F115" s="186"/>
      <c r="G115" s="167"/>
      <c r="H115" s="272"/>
      <c r="I115" s="272"/>
      <c r="J115" s="272"/>
      <c r="K115" s="272"/>
      <c r="L115" s="272"/>
      <c r="M115" s="335"/>
      <c r="N115" s="335"/>
      <c r="O115" s="335"/>
      <c r="P115" s="311"/>
      <c r="Q115" s="311"/>
      <c r="R115" s="311"/>
      <c r="S115" s="311"/>
      <c r="T115" s="168"/>
      <c r="U115" s="168"/>
    </row>
    <row r="116" spans="1:21" ht="15.75" customHeight="1" outlineLevel="2">
      <c r="A116" s="295"/>
      <c r="B116" s="353"/>
      <c r="C116" s="314" t="s">
        <v>100</v>
      </c>
      <c r="D116" s="249"/>
      <c r="E116" s="249"/>
      <c r="F116" s="186"/>
      <c r="G116" s="167"/>
      <c r="H116" s="272"/>
      <c r="I116" s="272"/>
      <c r="J116" s="272"/>
      <c r="K116" s="272"/>
      <c r="L116" s="332">
        <f>L117*L179</f>
        <v>130.65500902460209</v>
      </c>
      <c r="M116" s="332">
        <f>M117*M179</f>
        <v>35.624094514501891</v>
      </c>
      <c r="N116" s="332">
        <v>47.27741502580524</v>
      </c>
      <c r="O116" s="332">
        <f>O117*O179</f>
        <v>49.021647722666671</v>
      </c>
      <c r="P116" s="332"/>
      <c r="Q116" s="332"/>
      <c r="R116" s="332"/>
      <c r="S116" s="332"/>
      <c r="T116" s="168"/>
      <c r="U116" s="168"/>
    </row>
    <row r="117" spans="1:21" ht="15.75" customHeight="1" outlineLevel="2">
      <c r="A117" s="295"/>
      <c r="B117" s="353"/>
      <c r="C117" s="314" t="s">
        <v>101</v>
      </c>
      <c r="D117" s="249"/>
      <c r="E117" s="249"/>
      <c r="F117" s="186"/>
      <c r="G117" s="167"/>
      <c r="H117" s="272"/>
      <c r="I117" s="272"/>
      <c r="J117" s="272"/>
      <c r="K117" s="272"/>
      <c r="L117" s="334">
        <f>181569/136285</f>
        <v>1.3322742781670764</v>
      </c>
      <c r="M117" s="334">
        <v>1.41</v>
      </c>
      <c r="N117" s="334">
        <v>1.4940273733552039</v>
      </c>
      <c r="O117" s="334">
        <v>1.4656</v>
      </c>
      <c r="P117" s="334"/>
      <c r="Q117" s="334"/>
      <c r="R117" s="334"/>
      <c r="S117" s="334"/>
      <c r="T117" s="168"/>
      <c r="U117" s="168"/>
    </row>
    <row r="118" spans="1:21" ht="15.75" customHeight="1" outlineLevel="2">
      <c r="A118" s="295"/>
      <c r="B118" s="353"/>
      <c r="C118" s="314" t="s">
        <v>99</v>
      </c>
      <c r="D118" s="249"/>
      <c r="E118" s="249"/>
      <c r="F118" s="186"/>
      <c r="G118" s="167"/>
      <c r="H118" s="272"/>
      <c r="I118" s="272"/>
      <c r="J118" s="272"/>
      <c r="K118" s="272"/>
      <c r="L118" s="332">
        <f>187.06</f>
        <v>187.06</v>
      </c>
      <c r="M118" s="332">
        <v>184.12515762925602</v>
      </c>
      <c r="N118" s="272">
        <v>174.20944038168082</v>
      </c>
      <c r="O118" s="332">
        <v>172.09297202468298</v>
      </c>
      <c r="P118" s="332"/>
      <c r="Q118" s="332"/>
      <c r="R118" s="332"/>
      <c r="S118" s="332"/>
      <c r="T118" s="168"/>
      <c r="U118" s="168"/>
    </row>
    <row r="119" spans="1:21" ht="15.75" customHeight="1" outlineLevel="2">
      <c r="A119" s="295"/>
      <c r="B119" s="353"/>
      <c r="C119" s="314" t="s">
        <v>83</v>
      </c>
      <c r="D119" s="249"/>
      <c r="E119" s="249"/>
      <c r="F119" s="186"/>
      <c r="G119" s="167"/>
      <c r="H119" s="272"/>
      <c r="I119" s="272"/>
      <c r="J119" s="272"/>
      <c r="K119" s="272"/>
      <c r="L119" s="332">
        <v>5.1086082059533391</v>
      </c>
      <c r="M119" s="332">
        <v>3.6116015132408577</v>
      </c>
      <c r="N119" s="332">
        <v>3.4582933243773581</v>
      </c>
      <c r="O119" s="332">
        <v>5.3473333333333333</v>
      </c>
      <c r="P119" s="332"/>
      <c r="Q119" s="332"/>
      <c r="R119" s="332"/>
      <c r="S119" s="332"/>
      <c r="T119" s="168"/>
      <c r="U119" s="168"/>
    </row>
    <row r="120" spans="1:21" ht="15.75" customHeight="1" outlineLevel="2">
      <c r="A120" s="295"/>
      <c r="B120" s="353"/>
      <c r="C120" s="314" t="s">
        <v>84</v>
      </c>
      <c r="D120" s="249"/>
      <c r="E120" s="249"/>
      <c r="F120" s="186"/>
      <c r="G120" s="167"/>
      <c r="H120" s="272"/>
      <c r="I120" s="272"/>
      <c r="J120" s="272"/>
      <c r="K120" s="272"/>
      <c r="L120" s="332">
        <v>20.497462681355689</v>
      </c>
      <c r="M120" s="332">
        <v>19.129255989911726</v>
      </c>
      <c r="N120" s="332">
        <v>16.213476936145504</v>
      </c>
      <c r="O120" s="332">
        <v>19.288999999999998</v>
      </c>
      <c r="P120" s="332"/>
      <c r="Q120" s="332"/>
      <c r="R120" s="332"/>
      <c r="S120" s="332"/>
      <c r="T120" s="168"/>
      <c r="U120" s="168"/>
    </row>
    <row r="121" spans="1:21" ht="15.75" customHeight="1" outlineLevel="2">
      <c r="A121" s="295"/>
      <c r="B121" s="353"/>
      <c r="C121" s="314" t="s">
        <v>86</v>
      </c>
      <c r="D121" s="249"/>
      <c r="E121" s="249"/>
      <c r="F121" s="186"/>
      <c r="G121" s="167"/>
      <c r="H121" s="272"/>
      <c r="I121" s="272"/>
      <c r="J121" s="272"/>
      <c r="K121" s="272"/>
      <c r="L121" s="332">
        <f>L122*L104</f>
        <v>16.590623853768395</v>
      </c>
      <c r="M121" s="332">
        <f>M122*M104</f>
        <v>17.790936317780577</v>
      </c>
      <c r="N121" s="332">
        <f>N122*N104</f>
        <v>19.131124132774591</v>
      </c>
      <c r="O121" s="332">
        <f>O122*O104</f>
        <v>22.035880799999997</v>
      </c>
      <c r="P121" s="332"/>
      <c r="Q121" s="332"/>
      <c r="R121" s="332"/>
      <c r="S121" s="332"/>
      <c r="T121" s="168"/>
      <c r="U121" s="168"/>
    </row>
    <row r="122" spans="1:21" ht="15.75" customHeight="1" outlineLevel="2">
      <c r="A122" s="295"/>
      <c r="B122" s="353"/>
      <c r="C122" s="314" t="s">
        <v>89</v>
      </c>
      <c r="D122" s="249"/>
      <c r="E122" s="249"/>
      <c r="F122" s="186"/>
      <c r="G122" s="167"/>
      <c r="H122" s="272"/>
      <c r="I122" s="272"/>
      <c r="J122" s="272"/>
      <c r="K122" s="272"/>
      <c r="L122" s="723">
        <f>40332/136285</f>
        <v>0.29593865795942326</v>
      </c>
      <c r="M122" s="723">
        <f>0.285</f>
        <v>0.28499999999999998</v>
      </c>
      <c r="N122" s="333">
        <v>0.28086927322205552</v>
      </c>
      <c r="O122" s="723">
        <f>0.2844</f>
        <v>0.28439999999999999</v>
      </c>
      <c r="P122" s="333"/>
      <c r="Q122" s="333"/>
      <c r="R122" s="333"/>
      <c r="S122" s="333"/>
      <c r="T122" s="168"/>
      <c r="U122" s="168"/>
    </row>
    <row r="123" spans="1:21" ht="15.75" customHeight="1" outlineLevel="2">
      <c r="A123" s="295"/>
      <c r="B123" s="353"/>
      <c r="C123" s="314" t="s">
        <v>85</v>
      </c>
      <c r="D123" s="249"/>
      <c r="E123" s="249"/>
      <c r="F123" s="186"/>
      <c r="G123" s="167"/>
      <c r="H123" s="272"/>
      <c r="I123" s="272"/>
      <c r="J123" s="272"/>
      <c r="K123" s="272"/>
      <c r="L123" s="332">
        <v>15.769113876317645</v>
      </c>
      <c r="M123" s="332">
        <v>15.938209331651956</v>
      </c>
      <c r="N123" s="332">
        <v>16.530153385884372</v>
      </c>
      <c r="O123" s="332">
        <v>14.381486666666664</v>
      </c>
      <c r="P123" s="332"/>
      <c r="Q123" s="332"/>
      <c r="R123" s="332"/>
      <c r="S123" s="332"/>
      <c r="T123" s="168"/>
      <c r="U123" s="168"/>
    </row>
    <row r="124" spans="1:21" ht="15.75" customHeight="1" outlineLevel="2">
      <c r="A124" s="295"/>
      <c r="B124" s="353"/>
      <c r="C124" s="314" t="s">
        <v>87</v>
      </c>
      <c r="D124" s="249"/>
      <c r="E124" s="249"/>
      <c r="F124" s="186"/>
      <c r="G124" s="167"/>
      <c r="H124" s="272"/>
      <c r="I124" s="272"/>
      <c r="J124" s="272"/>
      <c r="K124" s="272"/>
      <c r="L124" s="332">
        <f>L125*L108</f>
        <v>27.113332700323259</v>
      </c>
      <c r="M124" s="332">
        <f>M125*M108</f>
        <v>26.478876733921819</v>
      </c>
      <c r="N124" s="332">
        <f>N125*N108</f>
        <v>30.154933602305714</v>
      </c>
      <c r="O124" s="332">
        <f>O125*O108</f>
        <v>32.452800000000003</v>
      </c>
      <c r="P124" s="332"/>
      <c r="Q124" s="332"/>
      <c r="R124" s="332"/>
      <c r="S124" s="332"/>
      <c r="T124" s="168"/>
      <c r="U124" s="168"/>
    </row>
    <row r="125" spans="1:21" ht="15.75" customHeight="1" outlineLevel="2">
      <c r="A125" s="295"/>
      <c r="B125" s="353"/>
      <c r="C125" s="314" t="s">
        <v>91</v>
      </c>
      <c r="D125" s="249"/>
      <c r="E125" s="249"/>
      <c r="F125" s="186"/>
      <c r="G125" s="167"/>
      <c r="H125" s="272"/>
      <c r="I125" s="272"/>
      <c r="J125" s="272"/>
      <c r="K125" s="272"/>
      <c r="L125" s="723">
        <f>52119/136285</f>
        <v>0.38242653263381882</v>
      </c>
      <c r="M125" s="723">
        <v>0.38700000000000001</v>
      </c>
      <c r="N125" s="333">
        <v>0.36263782480993817</v>
      </c>
      <c r="O125" s="723">
        <v>0.36</v>
      </c>
      <c r="P125" s="333"/>
      <c r="Q125" s="333"/>
      <c r="R125" s="333"/>
      <c r="S125" s="333"/>
      <c r="T125" s="168"/>
      <c r="U125" s="168"/>
    </row>
    <row r="126" spans="1:21" ht="15.75" customHeight="1" outlineLevel="2">
      <c r="A126" s="295"/>
      <c r="B126" s="353"/>
      <c r="C126" s="314" t="s">
        <v>88</v>
      </c>
      <c r="D126" s="249"/>
      <c r="E126" s="249"/>
      <c r="F126" s="186"/>
      <c r="G126" s="167"/>
      <c r="H126" s="272"/>
      <c r="I126" s="272"/>
      <c r="J126" s="272"/>
      <c r="K126" s="272"/>
      <c r="L126" s="332">
        <v>37.24</v>
      </c>
      <c r="M126" s="332">
        <v>41.030264817150062</v>
      </c>
      <c r="N126" s="332">
        <v>32.260789228480625</v>
      </c>
      <c r="O126" s="332">
        <v>36.077365308001099</v>
      </c>
      <c r="P126" s="332"/>
      <c r="Q126" s="332"/>
      <c r="R126" s="332"/>
      <c r="S126" s="332"/>
      <c r="T126" s="168"/>
      <c r="U126" s="168"/>
    </row>
    <row r="127" spans="1:21" s="308" customFormat="1" ht="15.75" customHeight="1" outlineLevel="1">
      <c r="A127" s="722"/>
      <c r="B127" s="736"/>
      <c r="C127" s="728" t="s">
        <v>75</v>
      </c>
      <c r="D127" s="262"/>
      <c r="E127" s="262"/>
      <c r="F127" s="186"/>
      <c r="G127" s="305"/>
      <c r="H127" s="309"/>
      <c r="I127" s="309"/>
      <c r="J127" s="309"/>
      <c r="K127" s="309"/>
      <c r="L127" s="309">
        <f>L128+L131+L132+L135+L134+L137+L129</f>
        <v>178.81551611093371</v>
      </c>
      <c r="M127" s="309">
        <f>M128+M131+M132+M135+M134+M137+M129</f>
        <v>101.36690585196872</v>
      </c>
      <c r="N127" s="309">
        <f>N128+N131+N132+N135+N134+N137+N129</f>
        <v>96.60887083970232</v>
      </c>
      <c r="O127" s="309">
        <f>O128+O131+O132+O135+O134+O137+O129</f>
        <v>103.57539114151216</v>
      </c>
      <c r="P127" s="729">
        <v>0</v>
      </c>
      <c r="Q127" s="729">
        <v>0</v>
      </c>
      <c r="R127" s="729">
        <v>0</v>
      </c>
      <c r="S127" s="729">
        <v>0</v>
      </c>
      <c r="T127" s="313"/>
      <c r="U127" s="313"/>
    </row>
    <row r="128" spans="1:21" ht="15.75" customHeight="1" outlineLevel="2">
      <c r="A128" s="295"/>
      <c r="B128" s="353"/>
      <c r="C128" s="314" t="s">
        <v>82</v>
      </c>
      <c r="D128" s="249"/>
      <c r="E128" s="249"/>
      <c r="F128" s="186"/>
      <c r="G128" s="167"/>
      <c r="H128" s="272"/>
      <c r="I128" s="272"/>
      <c r="J128" s="272"/>
      <c r="K128" s="272"/>
      <c r="L128" s="332">
        <v>58.2</v>
      </c>
      <c r="M128" s="332">
        <v>35.731499375637945</v>
      </c>
      <c r="N128" s="332">
        <v>32.168191510620282</v>
      </c>
      <c r="O128" s="332">
        <v>35.086110964749324</v>
      </c>
      <c r="P128" s="332"/>
      <c r="Q128" s="332"/>
      <c r="R128" s="332"/>
      <c r="S128" s="332"/>
      <c r="T128" s="168"/>
      <c r="U128" s="168"/>
    </row>
    <row r="129" spans="1:21" ht="15.75" customHeight="1" outlineLevel="2">
      <c r="A129" s="295"/>
      <c r="B129" s="353"/>
      <c r="C129" s="314" t="s">
        <v>100</v>
      </c>
      <c r="D129" s="249"/>
      <c r="E129" s="249"/>
      <c r="F129" s="186"/>
      <c r="G129" s="167"/>
      <c r="H129" s="272"/>
      <c r="I129" s="272"/>
      <c r="J129" s="272"/>
      <c r="K129" s="272"/>
      <c r="L129" s="332">
        <f>L130*L179</f>
        <v>33.717155235143785</v>
      </c>
      <c r="M129" s="332">
        <f>M130*M179</f>
        <v>12.685050902669614</v>
      </c>
      <c r="N129" s="332">
        <v>19.601914248551051</v>
      </c>
      <c r="O129" s="332">
        <f>O130*O179</f>
        <v>15.720643033333333</v>
      </c>
      <c r="P129" s="332"/>
      <c r="Q129" s="332"/>
      <c r="R129" s="332"/>
      <c r="S129" s="332"/>
      <c r="T129" s="168"/>
      <c r="U129" s="168"/>
    </row>
    <row r="130" spans="1:21" ht="15.75" customHeight="1" outlineLevel="2">
      <c r="A130" s="295"/>
      <c r="B130" s="353"/>
      <c r="C130" s="314" t="s">
        <v>101</v>
      </c>
      <c r="D130" s="249"/>
      <c r="E130" s="249"/>
      <c r="F130" s="186"/>
      <c r="G130" s="167"/>
      <c r="H130" s="272"/>
      <c r="I130" s="272"/>
      <c r="J130" s="272"/>
      <c r="K130" s="272"/>
      <c r="L130" s="334">
        <v>0.34381</v>
      </c>
      <c r="M130" s="334">
        <f>(0.522*13203)/13727</f>
        <v>0.50207372331900635</v>
      </c>
      <c r="N130" s="334">
        <v>0.48634428052491063</v>
      </c>
      <c r="O130" s="334">
        <v>0.47</v>
      </c>
      <c r="P130" s="334"/>
      <c r="Q130" s="334"/>
      <c r="R130" s="334"/>
      <c r="S130" s="334"/>
      <c r="T130" s="168"/>
      <c r="U130" s="168"/>
    </row>
    <row r="131" spans="1:21" ht="15.75" customHeight="1" outlineLevel="2">
      <c r="A131" s="295"/>
      <c r="B131" s="353"/>
      <c r="C131" s="314" t="s">
        <v>84</v>
      </c>
      <c r="D131" s="249"/>
      <c r="E131" s="249"/>
      <c r="F131" s="186"/>
      <c r="G131" s="167"/>
      <c r="H131" s="272"/>
      <c r="I131" s="272"/>
      <c r="J131" s="272"/>
      <c r="K131" s="272"/>
      <c r="L131" s="332">
        <v>21.08</v>
      </c>
      <c r="M131" s="332">
        <v>12.806750068967824</v>
      </c>
      <c r="N131" s="332">
        <v>6.9285408879504171</v>
      </c>
      <c r="O131" s="332">
        <v>8.6729625083540061</v>
      </c>
      <c r="P131" s="332"/>
      <c r="Q131" s="332"/>
      <c r="R131" s="332"/>
      <c r="S131" s="332"/>
      <c r="T131" s="168"/>
      <c r="U131" s="168"/>
    </row>
    <row r="132" spans="1:21" ht="15.75" customHeight="1" outlineLevel="2">
      <c r="A132" s="295"/>
      <c r="B132" s="353"/>
      <c r="C132" s="314" t="s">
        <v>86</v>
      </c>
      <c r="D132" s="249"/>
      <c r="E132" s="249"/>
      <c r="F132" s="186"/>
      <c r="G132" s="167"/>
      <c r="H132" s="272"/>
      <c r="I132" s="272"/>
      <c r="J132" s="272"/>
      <c r="K132" s="272"/>
      <c r="L132" s="332">
        <f>L133*L104</f>
        <v>4.2107434231434624</v>
      </c>
      <c r="M132" s="332">
        <f>M133*M104</f>
        <v>4.8614811998720135</v>
      </c>
      <c r="N132" s="332">
        <f>N133*N104</f>
        <v>3.9711259874507974</v>
      </c>
      <c r="O132" s="332">
        <f>O133*O104</f>
        <v>4.6489199999999995</v>
      </c>
      <c r="P132" s="332"/>
      <c r="Q132" s="332"/>
      <c r="R132" s="332"/>
      <c r="S132" s="332"/>
      <c r="T132" s="168"/>
      <c r="U132" s="168"/>
    </row>
    <row r="133" spans="1:21" ht="15.75" customHeight="1" outlineLevel="2">
      <c r="A133" s="295"/>
      <c r="B133" s="353"/>
      <c r="C133" s="314" t="s">
        <v>89</v>
      </c>
      <c r="D133" s="249"/>
      <c r="E133" s="249"/>
      <c r="F133" s="186"/>
      <c r="G133" s="167"/>
      <c r="H133" s="272"/>
      <c r="I133" s="272"/>
      <c r="J133" s="272"/>
      <c r="K133" s="272"/>
      <c r="L133" s="723">
        <v>7.5109999999999996E-2</v>
      </c>
      <c r="M133" s="723">
        <f>(0.1*524+0.077*13203)/13727</f>
        <v>7.7877977708166388E-2</v>
      </c>
      <c r="N133" s="333">
        <v>5.8301188274541865E-2</v>
      </c>
      <c r="O133" s="723">
        <v>0.06</v>
      </c>
      <c r="P133" s="333"/>
      <c r="Q133" s="333"/>
      <c r="R133" s="333"/>
      <c r="S133" s="333"/>
      <c r="T133" s="168"/>
      <c r="U133" s="168"/>
    </row>
    <row r="134" spans="1:21" ht="15.75" customHeight="1" outlineLevel="2">
      <c r="A134" s="295"/>
      <c r="B134" s="353"/>
      <c r="C134" s="314" t="s">
        <v>85</v>
      </c>
      <c r="D134" s="249"/>
      <c r="E134" s="249"/>
      <c r="F134" s="186"/>
      <c r="G134" s="167"/>
      <c r="H134" s="272"/>
      <c r="I134" s="272"/>
      <c r="J134" s="272"/>
      <c r="K134" s="272"/>
      <c r="L134" s="332">
        <v>14.71</v>
      </c>
      <c r="M134" s="332">
        <v>7.9237153864435035</v>
      </c>
      <c r="N134" s="332">
        <v>7.6131624346030717</v>
      </c>
      <c r="O134" s="332">
        <v>7.3879999999999999</v>
      </c>
      <c r="P134" s="332"/>
      <c r="Q134" s="332"/>
      <c r="R134" s="332"/>
      <c r="S134" s="332"/>
      <c r="T134" s="168"/>
      <c r="U134" s="168"/>
    </row>
    <row r="135" spans="1:21" ht="15.75" customHeight="1" outlineLevel="2">
      <c r="A135" s="295"/>
      <c r="B135" s="353"/>
      <c r="C135" s="314" t="s">
        <v>87</v>
      </c>
      <c r="D135" s="249"/>
      <c r="E135" s="249"/>
      <c r="F135" s="186"/>
      <c r="G135" s="167"/>
      <c r="H135" s="272"/>
      <c r="I135" s="272"/>
      <c r="J135" s="272"/>
      <c r="K135" s="272"/>
      <c r="L135" s="332">
        <f>L136*L108</f>
        <v>14.257617452646464</v>
      </c>
      <c r="M135" s="332">
        <f>M136*M108</f>
        <v>7.8438219825876798</v>
      </c>
      <c r="N135" s="332">
        <f>N136*N108</f>
        <v>9.5986874917095939</v>
      </c>
      <c r="O135" s="332">
        <f>O136*O108</f>
        <v>9.9161333333333346</v>
      </c>
      <c r="P135" s="332"/>
      <c r="Q135" s="332"/>
      <c r="R135" s="332"/>
      <c r="S135" s="332"/>
      <c r="T135" s="168"/>
      <c r="U135" s="168"/>
    </row>
    <row r="136" spans="1:21" ht="15.75" customHeight="1" outlineLevel="2">
      <c r="A136" s="295"/>
      <c r="B136" s="353"/>
      <c r="C136" s="314" t="s">
        <v>91</v>
      </c>
      <c r="D136" s="249"/>
      <c r="E136" s="249"/>
      <c r="F136" s="186"/>
      <c r="G136" s="167"/>
      <c r="H136" s="272"/>
      <c r="I136" s="272"/>
      <c r="J136" s="272"/>
      <c r="K136" s="272"/>
      <c r="L136" s="723">
        <v>0.2011</v>
      </c>
      <c r="M136" s="723">
        <f>(0.03*524+0.118*13203)/13727</f>
        <v>0.11464078094266773</v>
      </c>
      <c r="N136" s="333">
        <v>0.1154320947587089</v>
      </c>
      <c r="O136" s="723">
        <v>0.11</v>
      </c>
      <c r="P136" s="333"/>
      <c r="Q136" s="333"/>
      <c r="R136" s="333"/>
      <c r="S136" s="333"/>
      <c r="T136" s="168"/>
      <c r="U136" s="168"/>
    </row>
    <row r="137" spans="1:21" ht="15.75" customHeight="1" outlineLevel="2">
      <c r="A137" s="295"/>
      <c r="B137" s="353"/>
      <c r="C137" s="314" t="s">
        <v>88</v>
      </c>
      <c r="D137" s="249"/>
      <c r="E137" s="249"/>
      <c r="F137" s="186"/>
      <c r="G137" s="167"/>
      <c r="H137" s="272"/>
      <c r="I137" s="272"/>
      <c r="J137" s="272"/>
      <c r="K137" s="272"/>
      <c r="L137" s="332">
        <v>32.64</v>
      </c>
      <c r="M137" s="332">
        <v>19.514586935790152</v>
      </c>
      <c r="N137" s="332">
        <v>16.727248278817108</v>
      </c>
      <c r="O137" s="332">
        <v>22.14262130174216</v>
      </c>
      <c r="P137" s="332"/>
      <c r="Q137" s="332"/>
      <c r="R137" s="332"/>
      <c r="S137" s="332"/>
      <c r="T137" s="168"/>
      <c r="U137" s="168"/>
    </row>
    <row r="138" spans="1:21" s="308" customFormat="1" ht="15.75" customHeight="1" outlineLevel="1">
      <c r="A138" s="722"/>
      <c r="B138" s="736"/>
      <c r="C138" s="728" t="s">
        <v>76</v>
      </c>
      <c r="D138" s="262"/>
      <c r="E138" s="262"/>
      <c r="F138" s="186"/>
      <c r="G138" s="305"/>
      <c r="H138" s="309"/>
      <c r="I138" s="309"/>
      <c r="J138" s="309"/>
      <c r="K138" s="309"/>
      <c r="L138" s="724">
        <f t="shared" ref="L138:R138" si="17">L139+L143+L144+L145+L147+L148+L150+L151</f>
        <v>320.20984678574104</v>
      </c>
      <c r="M138" s="724">
        <f>M139+M143+M144+M145+M147+M148+M150+M151</f>
        <v>726.06667150063049</v>
      </c>
      <c r="N138" s="724">
        <f t="shared" si="17"/>
        <v>0</v>
      </c>
      <c r="O138" s="724">
        <f>O139+O143+O144+O145+O147+O148+O150+O151</f>
        <v>0</v>
      </c>
      <c r="P138" s="724">
        <f t="shared" si="17"/>
        <v>0</v>
      </c>
      <c r="Q138" s="724">
        <f t="shared" si="17"/>
        <v>0</v>
      </c>
      <c r="R138" s="724">
        <f t="shared" si="17"/>
        <v>0</v>
      </c>
      <c r="S138" s="724">
        <f>S139+S143+S144+S145+S147+S148+S150+S151</f>
        <v>0</v>
      </c>
      <c r="T138" s="313"/>
      <c r="U138" s="313"/>
    </row>
    <row r="139" spans="1:21" ht="15.75" customHeight="1" outlineLevel="2">
      <c r="A139" s="295"/>
      <c r="B139" s="353"/>
      <c r="C139" s="314" t="s">
        <v>102</v>
      </c>
      <c r="D139" s="249"/>
      <c r="E139" s="249"/>
      <c r="F139" s="186"/>
      <c r="G139" s="167"/>
      <c r="H139" s="272"/>
      <c r="I139" s="272"/>
      <c r="J139" s="272"/>
      <c r="K139" s="272"/>
      <c r="L139" s="272">
        <f t="shared" ref="L139:R139" si="18">L140*L141</f>
        <v>173.90018503620271</v>
      </c>
      <c r="M139" s="272">
        <f t="shared" si="18"/>
        <v>487.48246437578814</v>
      </c>
      <c r="N139" s="272">
        <f t="shared" si="18"/>
        <v>0</v>
      </c>
      <c r="O139" s="272">
        <v>0</v>
      </c>
      <c r="P139" s="272">
        <f t="shared" si="18"/>
        <v>0</v>
      </c>
      <c r="Q139" s="272">
        <f t="shared" si="18"/>
        <v>0</v>
      </c>
      <c r="R139" s="272">
        <f t="shared" si="18"/>
        <v>0</v>
      </c>
      <c r="S139" s="272">
        <f>S140*S141</f>
        <v>0</v>
      </c>
      <c r="T139" s="168"/>
      <c r="U139" s="168"/>
    </row>
    <row r="140" spans="1:21" ht="15.75" customHeight="1" outlineLevel="2">
      <c r="A140" s="295"/>
      <c r="B140" s="353"/>
      <c r="C140" s="314" t="s">
        <v>103</v>
      </c>
      <c r="D140" s="249"/>
      <c r="E140" s="249"/>
      <c r="F140" s="186"/>
      <c r="G140" s="167"/>
      <c r="H140" s="272"/>
      <c r="I140" s="272"/>
      <c r="J140" s="272"/>
      <c r="K140" s="272"/>
      <c r="L140" s="334">
        <v>8.66</v>
      </c>
      <c r="M140" s="334">
        <f>16.607</f>
        <v>16.606999999999999</v>
      </c>
      <c r="N140" s="334"/>
      <c r="O140" s="334">
        <v>0</v>
      </c>
      <c r="P140" s="334">
        <f>O140</f>
        <v>0</v>
      </c>
      <c r="Q140" s="334">
        <f>P140</f>
        <v>0</v>
      </c>
      <c r="R140" s="334">
        <f>Q140</f>
        <v>0</v>
      </c>
      <c r="S140" s="334">
        <f>R140</f>
        <v>0</v>
      </c>
      <c r="T140" s="168"/>
      <c r="U140" s="168"/>
    </row>
    <row r="141" spans="1:21" ht="15.75" customHeight="1" outlineLevel="2">
      <c r="A141" s="295"/>
      <c r="B141" s="353"/>
      <c r="C141" s="314" t="s">
        <v>104</v>
      </c>
      <c r="D141" s="249"/>
      <c r="E141" s="249"/>
      <c r="F141" s="186"/>
      <c r="G141" s="167"/>
      <c r="H141" s="272"/>
      <c r="I141" s="272"/>
      <c r="J141" s="272"/>
      <c r="K141" s="272"/>
      <c r="L141" s="272">
        <v>20.08085277554304</v>
      </c>
      <c r="M141" s="272">
        <v>29.354035308953343</v>
      </c>
      <c r="N141" s="272"/>
      <c r="O141" s="272">
        <v>0</v>
      </c>
      <c r="P141" s="272">
        <f>O141*(1+P142)</f>
        <v>0</v>
      </c>
      <c r="Q141" s="272">
        <f>P141*(1+Q142)</f>
        <v>0</v>
      </c>
      <c r="R141" s="272">
        <f>Q141*(1+R142)</f>
        <v>0</v>
      </c>
      <c r="S141" s="272">
        <f>R141*(1+S142)</f>
        <v>0</v>
      </c>
      <c r="T141" s="168"/>
      <c r="U141" s="168"/>
    </row>
    <row r="142" spans="1:21" ht="15.75" customHeight="1" outlineLevel="2">
      <c r="A142" s="295"/>
      <c r="B142" s="353"/>
      <c r="C142" s="314" t="s">
        <v>105</v>
      </c>
      <c r="D142" s="249"/>
      <c r="E142" s="249"/>
      <c r="F142" s="186"/>
      <c r="G142" s="167"/>
      <c r="H142" s="272"/>
      <c r="I142" s="272"/>
      <c r="J142" s="272"/>
      <c r="K142" s="272"/>
      <c r="L142" s="272"/>
      <c r="M142" s="311">
        <f>M141/L141-1</f>
        <v>0.46179226734356305</v>
      </c>
      <c r="N142" s="311"/>
      <c r="O142" s="311">
        <v>0</v>
      </c>
      <c r="P142" s="311">
        <v>0</v>
      </c>
      <c r="Q142" s="311">
        <v>0</v>
      </c>
      <c r="R142" s="311">
        <v>0</v>
      </c>
      <c r="S142" s="311">
        <v>0</v>
      </c>
      <c r="T142" s="168"/>
      <c r="U142" s="168"/>
    </row>
    <row r="143" spans="1:21" ht="15.75" customHeight="1" outlineLevel="2">
      <c r="A143" s="295"/>
      <c r="B143" s="353"/>
      <c r="C143" s="314" t="s">
        <v>106</v>
      </c>
      <c r="D143" s="249"/>
      <c r="E143" s="249"/>
      <c r="F143" s="186"/>
      <c r="G143" s="167"/>
      <c r="H143" s="272"/>
      <c r="I143" s="272"/>
      <c r="J143" s="272"/>
      <c r="K143" s="272"/>
      <c r="L143" s="332">
        <f>-32.5</f>
        <v>-32.5</v>
      </c>
      <c r="M143" s="332">
        <v>-58.307061790668349</v>
      </c>
      <c r="N143" s="332"/>
      <c r="O143" s="332">
        <v>0</v>
      </c>
      <c r="P143" s="332">
        <f>O143*P188</f>
        <v>0</v>
      </c>
      <c r="Q143" s="332">
        <f>P143*Q188</f>
        <v>0</v>
      </c>
      <c r="R143" s="332">
        <f>Q143*R188</f>
        <v>0</v>
      </c>
      <c r="S143" s="332">
        <f>R143*S188</f>
        <v>0</v>
      </c>
      <c r="T143" s="168"/>
      <c r="U143" s="168"/>
    </row>
    <row r="144" spans="1:21" ht="15.75" customHeight="1" outlineLevel="2">
      <c r="A144" s="295"/>
      <c r="B144" s="353"/>
      <c r="C144" s="314" t="s">
        <v>99</v>
      </c>
      <c r="D144" s="249"/>
      <c r="E144" s="249"/>
      <c r="F144" s="186"/>
      <c r="G144" s="167"/>
      <c r="H144" s="272"/>
      <c r="I144" s="272"/>
      <c r="J144" s="272"/>
      <c r="K144" s="272"/>
      <c r="L144" s="332">
        <v>0.89700000000000002</v>
      </c>
      <c r="M144" s="332">
        <v>4.453026481715006</v>
      </c>
      <c r="N144" s="332"/>
      <c r="O144" s="332">
        <v>0</v>
      </c>
      <c r="P144" s="332">
        <f>O144*P188</f>
        <v>0</v>
      </c>
      <c r="Q144" s="332">
        <f>P144*Q188</f>
        <v>0</v>
      </c>
      <c r="R144" s="332">
        <f>Q144*R188</f>
        <v>0</v>
      </c>
      <c r="S144" s="332">
        <f>R144*S188</f>
        <v>0</v>
      </c>
      <c r="T144" s="168"/>
      <c r="U144" s="168"/>
    </row>
    <row r="145" spans="1:21" ht="15.75" customHeight="1" outlineLevel="2">
      <c r="A145" s="295"/>
      <c r="B145" s="353"/>
      <c r="C145" s="314" t="s">
        <v>86</v>
      </c>
      <c r="D145" s="249"/>
      <c r="E145" s="249"/>
      <c r="F145" s="186"/>
      <c r="G145" s="167"/>
      <c r="H145" s="272"/>
      <c r="I145" s="272"/>
      <c r="J145" s="272"/>
      <c r="K145" s="272"/>
      <c r="L145" s="332">
        <f t="shared" ref="L145:R145" si="19">L146*L104</f>
        <v>15.99589163793801</v>
      </c>
      <c r="M145" s="332">
        <f t="shared" si="19"/>
        <v>50.938259773013868</v>
      </c>
      <c r="N145" s="332">
        <f>N146*N104</f>
        <v>0</v>
      </c>
      <c r="O145" s="332">
        <v>0</v>
      </c>
      <c r="P145" s="332">
        <f t="shared" si="19"/>
        <v>0</v>
      </c>
      <c r="Q145" s="332">
        <f t="shared" si="19"/>
        <v>0</v>
      </c>
      <c r="R145" s="332">
        <f t="shared" si="19"/>
        <v>0</v>
      </c>
      <c r="S145" s="332">
        <f>S146*S104</f>
        <v>0</v>
      </c>
      <c r="T145" s="168"/>
      <c r="U145" s="168"/>
    </row>
    <row r="146" spans="1:21" ht="15.75" customHeight="1" outlineLevel="2">
      <c r="A146" s="295"/>
      <c r="B146" s="353"/>
      <c r="C146" s="314" t="s">
        <v>89</v>
      </c>
      <c r="D146" s="249"/>
      <c r="E146" s="249"/>
      <c r="F146" s="186"/>
      <c r="G146" s="167"/>
      <c r="H146" s="272"/>
      <c r="I146" s="272"/>
      <c r="J146" s="272"/>
      <c r="K146" s="272"/>
      <c r="L146" s="723">
        <v>0.28532999999999997</v>
      </c>
      <c r="M146" s="332">
        <f>0.816</f>
        <v>0.81599999999999995</v>
      </c>
      <c r="N146" s="333"/>
      <c r="O146" s="333">
        <v>0</v>
      </c>
      <c r="P146" s="333">
        <f>O146</f>
        <v>0</v>
      </c>
      <c r="Q146" s="333">
        <f>P146</f>
        <v>0</v>
      </c>
      <c r="R146" s="333">
        <f>Q146</f>
        <v>0</v>
      </c>
      <c r="S146" s="333">
        <f>R146</f>
        <v>0</v>
      </c>
      <c r="T146" s="168"/>
      <c r="U146" s="168"/>
    </row>
    <row r="147" spans="1:21" ht="15.75" customHeight="1" outlineLevel="2">
      <c r="A147" s="295"/>
      <c r="B147" s="353"/>
      <c r="C147" s="314" t="s">
        <v>85</v>
      </c>
      <c r="D147" s="249"/>
      <c r="E147" s="249"/>
      <c r="F147" s="186"/>
      <c r="G147" s="167"/>
      <c r="H147" s="272"/>
      <c r="I147" s="272"/>
      <c r="J147" s="272"/>
      <c r="K147" s="272"/>
      <c r="L147" s="332">
        <v>99.66</v>
      </c>
      <c r="M147" s="332">
        <v>152.08480453972257</v>
      </c>
      <c r="N147" s="332"/>
      <c r="O147" s="332">
        <v>0</v>
      </c>
      <c r="P147" s="332">
        <f>O147*P188</f>
        <v>0</v>
      </c>
      <c r="Q147" s="332">
        <f>P147*Q188</f>
        <v>0</v>
      </c>
      <c r="R147" s="332">
        <f>Q147*R188</f>
        <v>0</v>
      </c>
      <c r="S147" s="332">
        <f>R147*S188</f>
        <v>0</v>
      </c>
      <c r="T147" s="168"/>
      <c r="U147" s="168"/>
    </row>
    <row r="148" spans="1:21" ht="15.75" customHeight="1" outlineLevel="2">
      <c r="A148" s="295"/>
      <c r="B148" s="353"/>
      <c r="C148" s="314" t="s">
        <v>87</v>
      </c>
      <c r="D148" s="249"/>
      <c r="E148" s="249"/>
      <c r="F148" s="186"/>
      <c r="G148" s="167"/>
      <c r="H148" s="272"/>
      <c r="I148" s="272"/>
      <c r="J148" s="272"/>
      <c r="K148" s="272"/>
      <c r="L148" s="332">
        <f>L149*L108</f>
        <v>7.4967701116003829</v>
      </c>
      <c r="M148" s="332">
        <f>M149*M108</f>
        <v>6.4999826607818409</v>
      </c>
      <c r="N148" s="332">
        <f>N149*N104</f>
        <v>0</v>
      </c>
      <c r="O148" s="332">
        <v>0</v>
      </c>
      <c r="P148" s="332">
        <f>P149*P121</f>
        <v>0</v>
      </c>
      <c r="Q148" s="332">
        <f>Q149*Q121</f>
        <v>0</v>
      </c>
      <c r="R148" s="332">
        <f>R149*R121</f>
        <v>0</v>
      </c>
      <c r="S148" s="332">
        <f>S149*S121</f>
        <v>0</v>
      </c>
      <c r="T148" s="168"/>
      <c r="U148" s="168"/>
    </row>
    <row r="149" spans="1:21" ht="15.75" customHeight="1" outlineLevel="2">
      <c r="A149" s="295"/>
      <c r="B149" s="353"/>
      <c r="C149" s="314" t="s">
        <v>91</v>
      </c>
      <c r="D149" s="249"/>
      <c r="E149" s="249"/>
      <c r="F149" s="186"/>
      <c r="G149" s="167"/>
      <c r="H149" s="272"/>
      <c r="I149" s="272"/>
      <c r="J149" s="272"/>
      <c r="K149" s="272"/>
      <c r="L149" s="723">
        <v>0.10574</v>
      </c>
      <c r="M149" s="332">
        <v>9.5000000000000001E-2</v>
      </c>
      <c r="N149" s="333"/>
      <c r="O149" s="333">
        <v>0</v>
      </c>
      <c r="P149" s="333">
        <f>O149</f>
        <v>0</v>
      </c>
      <c r="Q149" s="333">
        <f>P149</f>
        <v>0</v>
      </c>
      <c r="R149" s="333">
        <f>Q149</f>
        <v>0</v>
      </c>
      <c r="S149" s="333">
        <f>R149</f>
        <v>0</v>
      </c>
      <c r="T149" s="168"/>
      <c r="U149" s="168"/>
    </row>
    <row r="150" spans="1:21" ht="15.75" customHeight="1" outlineLevel="2">
      <c r="A150" s="295"/>
      <c r="B150" s="353"/>
      <c r="C150" s="314" t="s">
        <v>84</v>
      </c>
      <c r="D150" s="249"/>
      <c r="E150" s="249"/>
      <c r="F150" s="186"/>
      <c r="G150" s="167"/>
      <c r="H150" s="272"/>
      <c r="I150" s="272"/>
      <c r="J150" s="272"/>
      <c r="K150" s="272"/>
      <c r="L150" s="332">
        <v>17.86</v>
      </c>
      <c r="M150" s="332">
        <v>26.138083228247165</v>
      </c>
      <c r="N150" s="332"/>
      <c r="O150" s="332">
        <v>0</v>
      </c>
      <c r="P150" s="332">
        <f>O150*P188</f>
        <v>0</v>
      </c>
      <c r="Q150" s="332">
        <f>P150*Q188</f>
        <v>0</v>
      </c>
      <c r="R150" s="332">
        <f>Q150*R188</f>
        <v>0</v>
      </c>
      <c r="S150" s="332">
        <f>R150*S188</f>
        <v>0</v>
      </c>
      <c r="T150" s="168"/>
      <c r="U150" s="168"/>
    </row>
    <row r="151" spans="1:21" ht="15.75" customHeight="1" outlineLevel="2">
      <c r="A151" s="295"/>
      <c r="B151" s="353"/>
      <c r="C151" s="314" t="s">
        <v>88</v>
      </c>
      <c r="D151" s="249"/>
      <c r="E151" s="249"/>
      <c r="F151" s="186"/>
      <c r="G151" s="167"/>
      <c r="H151" s="272"/>
      <c r="I151" s="272"/>
      <c r="J151" s="272"/>
      <c r="K151" s="272"/>
      <c r="L151" s="332">
        <v>36.9</v>
      </c>
      <c r="M151" s="332">
        <v>56.777112232030269</v>
      </c>
      <c r="N151" s="332"/>
      <c r="O151" s="332">
        <v>0</v>
      </c>
      <c r="P151" s="332">
        <f>O151*P188</f>
        <v>0</v>
      </c>
      <c r="Q151" s="332">
        <f>P151*Q188</f>
        <v>0</v>
      </c>
      <c r="R151" s="332">
        <f>Q151*R188</f>
        <v>0</v>
      </c>
      <c r="S151" s="332">
        <f>R151*S188</f>
        <v>0</v>
      </c>
      <c r="T151" s="168"/>
      <c r="U151" s="168"/>
    </row>
    <row r="152" spans="1:21" s="308" customFormat="1" ht="15.75" customHeight="1" outlineLevel="1">
      <c r="A152" s="722"/>
      <c r="B152" s="736"/>
      <c r="C152" s="728" t="s">
        <v>77</v>
      </c>
      <c r="D152" s="262"/>
      <c r="E152" s="262"/>
      <c r="F152" s="186"/>
      <c r="G152" s="305"/>
      <c r="H152" s="309"/>
      <c r="I152" s="309"/>
      <c r="J152" s="309"/>
      <c r="K152" s="309"/>
      <c r="L152" s="724">
        <f t="shared" ref="L152:R152" si="20">L153+L154+L156+L157+L159+L160</f>
        <v>574.10122390415484</v>
      </c>
      <c r="M152" s="724">
        <f t="shared" si="20"/>
        <v>125.11622950819672</v>
      </c>
      <c r="N152" s="724">
        <f t="shared" si="20"/>
        <v>122.179560527156</v>
      </c>
      <c r="O152" s="724">
        <f t="shared" si="20"/>
        <v>0</v>
      </c>
      <c r="P152" s="724">
        <f t="shared" si="20"/>
        <v>0</v>
      </c>
      <c r="Q152" s="724">
        <f t="shared" si="20"/>
        <v>0</v>
      </c>
      <c r="R152" s="724">
        <f t="shared" si="20"/>
        <v>0</v>
      </c>
      <c r="S152" s="724">
        <f>S153+S154+S156+S157+S159+S160</f>
        <v>0</v>
      </c>
      <c r="T152" s="313"/>
      <c r="U152" s="313"/>
    </row>
    <row r="153" spans="1:21" s="308" customFormat="1" ht="15.75" customHeight="1" outlineLevel="2">
      <c r="A153" s="722"/>
      <c r="B153" s="736"/>
      <c r="C153" s="314" t="s">
        <v>82</v>
      </c>
      <c r="D153" s="249"/>
      <c r="E153" s="249"/>
      <c r="F153" s="186"/>
      <c r="G153" s="167"/>
      <c r="H153" s="272"/>
      <c r="I153" s="272"/>
      <c r="J153" s="272"/>
      <c r="K153" s="272"/>
      <c r="L153" s="332">
        <f>90.83-66.51</f>
        <v>24.319999999999993</v>
      </c>
      <c r="M153" s="332">
        <v>30.829445145018916</v>
      </c>
      <c r="N153" s="332">
        <v>37.482228995277026</v>
      </c>
      <c r="O153" s="332">
        <v>0</v>
      </c>
      <c r="P153" s="332">
        <f>O153*P188</f>
        <v>0</v>
      </c>
      <c r="Q153" s="332">
        <f>P153*Q188</f>
        <v>0</v>
      </c>
      <c r="R153" s="332">
        <f>Q153*R188</f>
        <v>0</v>
      </c>
      <c r="S153" s="332">
        <f>R153*S188</f>
        <v>0</v>
      </c>
      <c r="T153" s="313"/>
      <c r="U153" s="313"/>
    </row>
    <row r="154" spans="1:21" s="308" customFormat="1" ht="15.75" customHeight="1" outlineLevel="2">
      <c r="A154" s="722"/>
      <c r="B154" s="736"/>
      <c r="C154" s="314" t="s">
        <v>86</v>
      </c>
      <c r="D154" s="249"/>
      <c r="E154" s="249"/>
      <c r="F154" s="186"/>
      <c r="G154" s="167"/>
      <c r="H154" s="272"/>
      <c r="I154" s="272"/>
      <c r="J154" s="272"/>
      <c r="K154" s="272"/>
      <c r="L154" s="332">
        <f t="shared" ref="L154:R154" si="21">L155*L104</f>
        <v>4.5039425724317104</v>
      </c>
      <c r="M154" s="332">
        <f>M155*M104</f>
        <v>4.9315226986128629</v>
      </c>
      <c r="N154" s="332">
        <f t="shared" si="21"/>
        <v>4.7121596126709555</v>
      </c>
      <c r="O154" s="332">
        <v>0</v>
      </c>
      <c r="P154" s="332">
        <f t="shared" si="21"/>
        <v>0</v>
      </c>
      <c r="Q154" s="332">
        <f t="shared" si="21"/>
        <v>0</v>
      </c>
      <c r="R154" s="332">
        <f t="shared" si="21"/>
        <v>0</v>
      </c>
      <c r="S154" s="332">
        <f>S155*S104</f>
        <v>0</v>
      </c>
      <c r="T154" s="313"/>
      <c r="U154" s="313"/>
    </row>
    <row r="155" spans="1:21" s="308" customFormat="1" ht="15.75" customHeight="1" outlineLevel="2">
      <c r="A155" s="722"/>
      <c r="B155" s="736"/>
      <c r="C155" s="314" t="s">
        <v>89</v>
      </c>
      <c r="D155" s="249"/>
      <c r="E155" s="249"/>
      <c r="F155" s="186"/>
      <c r="G155" s="167"/>
      <c r="H155" s="272"/>
      <c r="I155" s="272"/>
      <c r="J155" s="272"/>
      <c r="K155" s="272"/>
      <c r="L155" s="723">
        <v>8.0339999999999995E-2</v>
      </c>
      <c r="M155" s="333">
        <v>7.9000000000000001E-2</v>
      </c>
      <c r="N155" s="333">
        <v>6.9180505888300159E-2</v>
      </c>
      <c r="O155" s="333">
        <v>0</v>
      </c>
      <c r="P155" s="333">
        <f>O155</f>
        <v>0</v>
      </c>
      <c r="Q155" s="333">
        <f>P155</f>
        <v>0</v>
      </c>
      <c r="R155" s="333">
        <f>Q155</f>
        <v>0</v>
      </c>
      <c r="S155" s="333">
        <f>R155</f>
        <v>0</v>
      </c>
      <c r="T155" s="313"/>
      <c r="U155" s="313"/>
    </row>
    <row r="156" spans="1:21" s="308" customFormat="1" ht="15.75" customHeight="1" outlineLevel="2">
      <c r="A156" s="722"/>
      <c r="B156" s="736"/>
      <c r="C156" s="314" t="s">
        <v>85</v>
      </c>
      <c r="D156" s="249"/>
      <c r="E156" s="249"/>
      <c r="F156" s="186"/>
      <c r="G156" s="167"/>
      <c r="H156" s="272"/>
      <c r="I156" s="272"/>
      <c r="J156" s="272"/>
      <c r="K156" s="272"/>
      <c r="L156" s="332">
        <v>125.02</v>
      </c>
      <c r="M156" s="332">
        <v>35.992118537200511</v>
      </c>
      <c r="N156" s="332">
        <v>34.524079318940281</v>
      </c>
      <c r="O156" s="332">
        <v>0</v>
      </c>
      <c r="P156" s="332">
        <f>O156*P188</f>
        <v>0</v>
      </c>
      <c r="Q156" s="332">
        <f>P156*Q188</f>
        <v>0</v>
      </c>
      <c r="R156" s="332">
        <f>Q156*R188</f>
        <v>0</v>
      </c>
      <c r="S156" s="332">
        <f>R156*S188</f>
        <v>0</v>
      </c>
      <c r="T156" s="313"/>
      <c r="U156" s="313"/>
    </row>
    <row r="157" spans="1:21" s="308" customFormat="1" ht="15.75" customHeight="1" outlineLevel="2">
      <c r="A157" s="722"/>
      <c r="B157" s="736"/>
      <c r="C157" s="314" t="s">
        <v>87</v>
      </c>
      <c r="D157" s="249"/>
      <c r="E157" s="249"/>
      <c r="F157" s="186"/>
      <c r="G157" s="167"/>
      <c r="H157" s="272"/>
      <c r="I157" s="272"/>
      <c r="J157" s="272"/>
      <c r="K157" s="272"/>
      <c r="L157" s="332">
        <f t="shared" ref="L157:R157" si="22">L158*L108</f>
        <v>15.257281331723117</v>
      </c>
      <c r="M157" s="332">
        <f t="shared" si="22"/>
        <v>12.999965321563682</v>
      </c>
      <c r="N157" s="332">
        <f t="shared" si="22"/>
        <v>16.62089768506485</v>
      </c>
      <c r="O157" s="332">
        <v>0</v>
      </c>
      <c r="P157" s="332">
        <f t="shared" si="22"/>
        <v>0</v>
      </c>
      <c r="Q157" s="332">
        <f t="shared" si="22"/>
        <v>0</v>
      </c>
      <c r="R157" s="332">
        <f t="shared" si="22"/>
        <v>0</v>
      </c>
      <c r="S157" s="332">
        <f>S158*S108</f>
        <v>0</v>
      </c>
      <c r="T157" s="313"/>
      <c r="U157" s="313"/>
    </row>
    <row r="158" spans="1:21" s="308" customFormat="1" ht="15.75" customHeight="1" outlineLevel="2">
      <c r="A158" s="722"/>
      <c r="B158" s="736"/>
      <c r="C158" s="314" t="s">
        <v>91</v>
      </c>
      <c r="D158" s="249"/>
      <c r="E158" s="249"/>
      <c r="F158" s="186"/>
      <c r="G158" s="167"/>
      <c r="H158" s="272"/>
      <c r="I158" s="272"/>
      <c r="J158" s="272"/>
      <c r="K158" s="272"/>
      <c r="L158" s="723">
        <v>0.2152</v>
      </c>
      <c r="M158" s="333">
        <v>0.19</v>
      </c>
      <c r="N158" s="333">
        <v>0.19987993548225183</v>
      </c>
      <c r="O158" s="333">
        <v>0</v>
      </c>
      <c r="P158" s="333">
        <f>O158</f>
        <v>0</v>
      </c>
      <c r="Q158" s="333">
        <f>P158</f>
        <v>0</v>
      </c>
      <c r="R158" s="333">
        <f>Q158</f>
        <v>0</v>
      </c>
      <c r="S158" s="333">
        <f>R158</f>
        <v>0</v>
      </c>
      <c r="T158" s="313"/>
      <c r="U158" s="313"/>
    </row>
    <row r="159" spans="1:21" s="308" customFormat="1" ht="15.75" customHeight="1" outlineLevel="2">
      <c r="A159" s="722"/>
      <c r="B159" s="736"/>
      <c r="C159" s="314" t="s">
        <v>84</v>
      </c>
      <c r="D159" s="249"/>
      <c r="E159" s="249"/>
      <c r="F159" s="186"/>
      <c r="G159" s="167"/>
      <c r="H159" s="272"/>
      <c r="I159" s="272"/>
      <c r="J159" s="272"/>
      <c r="K159" s="272"/>
      <c r="L159" s="332">
        <v>160.15</v>
      </c>
      <c r="M159" s="332">
        <v>12.449558638083229</v>
      </c>
      <c r="N159" s="332">
        <v>7.3273242299468038</v>
      </c>
      <c r="O159" s="332">
        <v>0</v>
      </c>
      <c r="P159" s="332">
        <f>O159*P188</f>
        <v>0</v>
      </c>
      <c r="Q159" s="332">
        <f>P159*Q188</f>
        <v>0</v>
      </c>
      <c r="R159" s="332">
        <f>Q159*R188</f>
        <v>0</v>
      </c>
      <c r="S159" s="332">
        <f>R159*S188</f>
        <v>0</v>
      </c>
      <c r="T159" s="313"/>
      <c r="U159" s="313"/>
    </row>
    <row r="160" spans="1:21" s="308" customFormat="1" ht="15.75" customHeight="1" outlineLevel="2">
      <c r="A160" s="722"/>
      <c r="B160" s="736"/>
      <c r="C160" s="314" t="s">
        <v>88</v>
      </c>
      <c r="D160" s="249"/>
      <c r="E160" s="249"/>
      <c r="F160" s="186"/>
      <c r="G160" s="167"/>
      <c r="H160" s="272"/>
      <c r="I160" s="272"/>
      <c r="J160" s="272"/>
      <c r="K160" s="272"/>
      <c r="L160" s="332">
        <v>244.85</v>
      </c>
      <c r="M160" s="332">
        <v>27.913619167717528</v>
      </c>
      <c r="N160" s="332">
        <v>21.512870685256086</v>
      </c>
      <c r="O160" s="332">
        <v>0</v>
      </c>
      <c r="P160" s="332">
        <f>O160*P188</f>
        <v>0</v>
      </c>
      <c r="Q160" s="332">
        <f>P160*Q188</f>
        <v>0</v>
      </c>
      <c r="R160" s="332">
        <f>Q160*R188</f>
        <v>0</v>
      </c>
      <c r="S160" s="332">
        <f>R160*S188</f>
        <v>0</v>
      </c>
      <c r="T160" s="313"/>
      <c r="U160" s="313"/>
    </row>
    <row r="161" spans="1:21" s="308" customFormat="1" ht="15.75" customHeight="1" outlineLevel="1">
      <c r="A161" s="722"/>
      <c r="B161" s="736"/>
      <c r="C161" s="728" t="s">
        <v>78</v>
      </c>
      <c r="D161" s="262"/>
      <c r="E161" s="262"/>
      <c r="F161" s="186"/>
      <c r="G161" s="305"/>
      <c r="H161" s="309"/>
      <c r="I161" s="309"/>
      <c r="J161" s="309"/>
      <c r="K161" s="309"/>
      <c r="L161" s="724">
        <f t="shared" ref="L161:R161" si="23">L162+L164+L165+L167+L168+L169+L163</f>
        <v>181.16296182106214</v>
      </c>
      <c r="M161" s="724">
        <f>M162+M164+M165+M167+M168+M169+M163</f>
        <v>188.01090384615378</v>
      </c>
      <c r="N161" s="724">
        <f t="shared" si="23"/>
        <v>0</v>
      </c>
      <c r="O161" s="724">
        <f t="shared" si="23"/>
        <v>0</v>
      </c>
      <c r="P161" s="724">
        <f t="shared" si="23"/>
        <v>0</v>
      </c>
      <c r="Q161" s="724">
        <f t="shared" si="23"/>
        <v>0</v>
      </c>
      <c r="R161" s="724">
        <f t="shared" si="23"/>
        <v>0</v>
      </c>
      <c r="S161" s="724">
        <f>S162+S164+S165+S167+S168+S169+S163</f>
        <v>0</v>
      </c>
      <c r="T161" s="313"/>
      <c r="U161" s="313"/>
    </row>
    <row r="162" spans="1:21" s="308" customFormat="1" ht="15.75" customHeight="1" outlineLevel="2">
      <c r="A162" s="722"/>
      <c r="B162" s="736"/>
      <c r="C162" s="314" t="s">
        <v>82</v>
      </c>
      <c r="D162" s="262"/>
      <c r="E162" s="262"/>
      <c r="F162" s="186"/>
      <c r="G162" s="305"/>
      <c r="H162" s="309"/>
      <c r="I162" s="309"/>
      <c r="J162" s="309"/>
      <c r="K162" s="309"/>
      <c r="L162" s="332">
        <f>11943/24.86</f>
        <v>480.41029766693487</v>
      </c>
      <c r="M162" s="332">
        <v>271.12232030264818</v>
      </c>
      <c r="N162" s="332"/>
      <c r="O162" s="332">
        <v>0</v>
      </c>
      <c r="P162" s="332">
        <f>O162*P188</f>
        <v>0</v>
      </c>
      <c r="Q162" s="332">
        <f>P162*Q188</f>
        <v>0</v>
      </c>
      <c r="R162" s="332">
        <f>Q162*R188</f>
        <v>0</v>
      </c>
      <c r="S162" s="332">
        <f>R162*S188</f>
        <v>0</v>
      </c>
      <c r="T162" s="313"/>
      <c r="U162" s="313"/>
    </row>
    <row r="163" spans="1:21" s="308" customFormat="1" ht="15.75" customHeight="1" outlineLevel="2">
      <c r="A163" s="722"/>
      <c r="B163" s="736"/>
      <c r="C163" s="314" t="s">
        <v>665</v>
      </c>
      <c r="D163" s="262"/>
      <c r="E163" s="262"/>
      <c r="F163" s="186"/>
      <c r="G163" s="305"/>
      <c r="H163" s="309"/>
      <c r="I163" s="309"/>
      <c r="J163" s="309"/>
      <c r="K163" s="309"/>
      <c r="L163" s="332">
        <f>-18332/24.86</f>
        <v>-737.40949316170554</v>
      </c>
      <c r="M163" s="332">
        <v>-267.51986128625475</v>
      </c>
      <c r="N163" s="332"/>
      <c r="O163" s="332">
        <v>0</v>
      </c>
      <c r="P163" s="332">
        <f>O163*P188</f>
        <v>0</v>
      </c>
      <c r="Q163" s="332">
        <f>P163*Q188</f>
        <v>0</v>
      </c>
      <c r="R163" s="332">
        <f>Q163*R188</f>
        <v>0</v>
      </c>
      <c r="S163" s="332">
        <f>R163*S188</f>
        <v>0</v>
      </c>
      <c r="T163" s="313"/>
      <c r="U163" s="313"/>
    </row>
    <row r="164" spans="1:21" s="308" customFormat="1" ht="15.75" customHeight="1" outlineLevel="2">
      <c r="A164" s="722"/>
      <c r="B164" s="736"/>
      <c r="C164" s="314" t="s">
        <v>84</v>
      </c>
      <c r="D164" s="262"/>
      <c r="E164" s="262"/>
      <c r="F164" s="186"/>
      <c r="G164" s="305"/>
      <c r="H164" s="309"/>
      <c r="I164" s="309"/>
      <c r="J164" s="309"/>
      <c r="K164" s="309"/>
      <c r="L164" s="332">
        <f>1081/24.86</f>
        <v>43.48350764279968</v>
      </c>
      <c r="M164" s="332">
        <v>15.926860025220682</v>
      </c>
      <c r="N164" s="332"/>
      <c r="O164" s="332">
        <v>0</v>
      </c>
      <c r="P164" s="332">
        <f>O164*P188</f>
        <v>0</v>
      </c>
      <c r="Q164" s="332">
        <f>P164*Q188</f>
        <v>0</v>
      </c>
      <c r="R164" s="332">
        <f>Q164*R188</f>
        <v>0</v>
      </c>
      <c r="S164" s="332">
        <f>R164*S188</f>
        <v>0</v>
      </c>
      <c r="T164" s="313"/>
      <c r="U164" s="313"/>
    </row>
    <row r="165" spans="1:21" s="308" customFormat="1" ht="15.75" customHeight="1" outlineLevel="2">
      <c r="A165" s="722"/>
      <c r="B165" s="736"/>
      <c r="C165" s="314" t="s">
        <v>86</v>
      </c>
      <c r="D165" s="262"/>
      <c r="E165" s="262"/>
      <c r="F165" s="186"/>
      <c r="G165" s="305"/>
      <c r="H165" s="309"/>
      <c r="I165" s="309"/>
      <c r="J165" s="309"/>
      <c r="K165" s="309"/>
      <c r="L165" s="332">
        <f>L166*L104*82%</f>
        <v>64.792350224303277</v>
      </c>
      <c r="M165" s="332">
        <f t="shared" ref="M165:R165" si="24">M166*M104</f>
        <v>25.781251576292558</v>
      </c>
      <c r="N165" s="332">
        <f t="shared" si="24"/>
        <v>0</v>
      </c>
      <c r="O165" s="332">
        <v>0</v>
      </c>
      <c r="P165" s="332">
        <f t="shared" si="24"/>
        <v>0</v>
      </c>
      <c r="Q165" s="332">
        <f t="shared" si="24"/>
        <v>0</v>
      </c>
      <c r="R165" s="332">
        <f t="shared" si="24"/>
        <v>0</v>
      </c>
      <c r="S165" s="332">
        <f>S166*S104</f>
        <v>0</v>
      </c>
      <c r="T165" s="313"/>
      <c r="U165" s="313"/>
    </row>
    <row r="166" spans="1:21" s="308" customFormat="1" ht="15.75" customHeight="1" outlineLevel="2">
      <c r="A166" s="722"/>
      <c r="B166" s="736"/>
      <c r="C166" s="314" t="s">
        <v>89</v>
      </c>
      <c r="D166" s="262"/>
      <c r="E166" s="262"/>
      <c r="F166" s="186"/>
      <c r="G166" s="305"/>
      <c r="H166" s="309"/>
      <c r="I166" s="309"/>
      <c r="J166" s="309"/>
      <c r="K166" s="309"/>
      <c r="L166" s="723">
        <f>23005/16322</f>
        <v>1.4094473716456317</v>
      </c>
      <c r="M166" s="333">
        <v>0.41299999999999998</v>
      </c>
      <c r="N166" s="333"/>
      <c r="O166" s="333">
        <v>0</v>
      </c>
      <c r="P166" s="333">
        <f>O166</f>
        <v>0</v>
      </c>
      <c r="Q166" s="333">
        <f>P166</f>
        <v>0</v>
      </c>
      <c r="R166" s="333">
        <f>Q166</f>
        <v>0</v>
      </c>
      <c r="S166" s="333">
        <f>R166</f>
        <v>0</v>
      </c>
      <c r="T166" s="313"/>
      <c r="U166" s="313"/>
    </row>
    <row r="167" spans="1:21" s="308" customFormat="1" ht="15.75" customHeight="1" outlineLevel="2">
      <c r="A167" s="722"/>
      <c r="B167" s="736"/>
      <c r="C167" s="314" t="s">
        <v>85</v>
      </c>
      <c r="D167" s="262"/>
      <c r="E167" s="262"/>
      <c r="F167" s="186"/>
      <c r="G167" s="305"/>
      <c r="H167" s="309"/>
      <c r="I167" s="309"/>
      <c r="J167" s="309"/>
      <c r="K167" s="309"/>
      <c r="L167" s="332">
        <f>(5635+152)/24.86</f>
        <v>232.78358809332261</v>
      </c>
      <c r="M167" s="332">
        <v>112.41204287515762</v>
      </c>
      <c r="N167" s="332"/>
      <c r="O167" s="332">
        <v>0</v>
      </c>
      <c r="P167" s="332">
        <f>O167*P188</f>
        <v>0</v>
      </c>
      <c r="Q167" s="332">
        <f>P167*Q188</f>
        <v>0</v>
      </c>
      <c r="R167" s="332">
        <f>Q167*R188</f>
        <v>0</v>
      </c>
      <c r="S167" s="332">
        <f>R167*S188</f>
        <v>0</v>
      </c>
      <c r="T167" s="313"/>
      <c r="U167" s="313"/>
    </row>
    <row r="168" spans="1:21" s="308" customFormat="1" ht="15.75" customHeight="1" outlineLevel="2">
      <c r="A168" s="722"/>
      <c r="B168" s="736"/>
      <c r="C168" s="314" t="s">
        <v>88</v>
      </c>
      <c r="D168" s="262"/>
      <c r="E168" s="262"/>
      <c r="F168" s="186"/>
      <c r="G168" s="305"/>
      <c r="H168" s="309"/>
      <c r="I168" s="309"/>
      <c r="J168" s="309"/>
      <c r="K168" s="309"/>
      <c r="L168" s="332">
        <f>2225/24.86</f>
        <v>89.501206757843931</v>
      </c>
      <c r="M168" s="332">
        <v>27.072509457755359</v>
      </c>
      <c r="N168" s="332"/>
      <c r="O168" s="332">
        <v>0</v>
      </c>
      <c r="P168" s="332">
        <f>O168*P188</f>
        <v>0</v>
      </c>
      <c r="Q168" s="332">
        <f>P168*Q188</f>
        <v>0</v>
      </c>
      <c r="R168" s="332">
        <f>Q168*R188</f>
        <v>0</v>
      </c>
      <c r="S168" s="332">
        <f>R168*S188</f>
        <v>0</v>
      </c>
      <c r="T168" s="313"/>
      <c r="U168" s="313"/>
    </row>
    <row r="169" spans="1:21" s="308" customFormat="1" ht="15.75" customHeight="1" outlineLevel="2">
      <c r="A169" s="722"/>
      <c r="B169" s="736"/>
      <c r="C169" s="314" t="s">
        <v>87</v>
      </c>
      <c r="D169" s="249"/>
      <c r="E169" s="249"/>
      <c r="F169" s="186"/>
      <c r="G169" s="167"/>
      <c r="H169" s="272"/>
      <c r="I169" s="272"/>
      <c r="J169" s="272"/>
      <c r="K169" s="272"/>
      <c r="L169" s="332">
        <f t="shared" ref="L169:R169" si="25">L170*L108</f>
        <v>7.6015045975633315</v>
      </c>
      <c r="M169" s="332">
        <f>M170*M108</f>
        <v>3.215780895334174</v>
      </c>
      <c r="N169" s="332">
        <f t="shared" si="25"/>
        <v>0</v>
      </c>
      <c r="O169" s="332">
        <v>0</v>
      </c>
      <c r="P169" s="332">
        <f t="shared" si="25"/>
        <v>0</v>
      </c>
      <c r="Q169" s="332">
        <f t="shared" si="25"/>
        <v>0</v>
      </c>
      <c r="R169" s="332">
        <f t="shared" si="25"/>
        <v>0</v>
      </c>
      <c r="S169" s="332">
        <f>S170*S108</f>
        <v>0</v>
      </c>
      <c r="T169" s="313"/>
      <c r="U169" s="313"/>
    </row>
    <row r="170" spans="1:21" s="308" customFormat="1" ht="15.75" customHeight="1" outlineLevel="2">
      <c r="A170" s="722"/>
      <c r="B170" s="736"/>
      <c r="C170" s="314" t="s">
        <v>91</v>
      </c>
      <c r="D170" s="249"/>
      <c r="E170" s="249"/>
      <c r="F170" s="186"/>
      <c r="G170" s="167"/>
      <c r="H170" s="272"/>
      <c r="I170" s="272"/>
      <c r="J170" s="272"/>
      <c r="K170" s="272"/>
      <c r="L170" s="723">
        <f>1750/16322</f>
        <v>0.10721725278764857</v>
      </c>
      <c r="M170" s="333">
        <v>4.7E-2</v>
      </c>
      <c r="N170" s="333"/>
      <c r="O170" s="333">
        <f>N170</f>
        <v>0</v>
      </c>
      <c r="P170" s="333">
        <f>O170</f>
        <v>0</v>
      </c>
      <c r="Q170" s="333">
        <f>P170</f>
        <v>0</v>
      </c>
      <c r="R170" s="333">
        <f>Q170</f>
        <v>0</v>
      </c>
      <c r="S170" s="333">
        <f>R170</f>
        <v>0</v>
      </c>
      <c r="T170" s="313"/>
      <c r="U170" s="313"/>
    </row>
    <row r="171" spans="1:21" s="308" customFormat="1" ht="15.75" customHeight="1" outlineLevel="1">
      <c r="A171" s="722"/>
      <c r="B171" s="736"/>
      <c r="C171" s="728" t="s">
        <v>79</v>
      </c>
      <c r="D171" s="262"/>
      <c r="E171" s="262"/>
      <c r="F171" s="186"/>
      <c r="G171" s="305"/>
      <c r="H171" s="309"/>
      <c r="I171" s="309"/>
      <c r="J171" s="309"/>
      <c r="K171" s="309"/>
      <c r="L171" s="724">
        <f>L172+L173+L176+L177</f>
        <v>78.801287208366858</v>
      </c>
      <c r="M171" s="724">
        <f t="shared" ref="M171:R171" si="26">M172+M173+M176+M177+M174</f>
        <v>63.784142496847423</v>
      </c>
      <c r="N171" s="724">
        <f t="shared" si="26"/>
        <v>64.674449982548836</v>
      </c>
      <c r="O171" s="724">
        <f>O172+O173+O176+O177+O174</f>
        <v>64.146883467356645</v>
      </c>
      <c r="P171" s="724">
        <f t="shared" si="26"/>
        <v>0</v>
      </c>
      <c r="Q171" s="724">
        <f t="shared" si="26"/>
        <v>0</v>
      </c>
      <c r="R171" s="724">
        <f t="shared" si="26"/>
        <v>0</v>
      </c>
      <c r="S171" s="724">
        <f>S172+S173+S176+S177+S174</f>
        <v>0</v>
      </c>
      <c r="T171" s="313"/>
      <c r="U171" s="313"/>
    </row>
    <row r="172" spans="1:21" s="308" customFormat="1" ht="15.75" customHeight="1" outlineLevel="2">
      <c r="A172" s="722"/>
      <c r="B172" s="736"/>
      <c r="C172" s="314" t="s">
        <v>82</v>
      </c>
      <c r="D172" s="262"/>
      <c r="E172" s="262"/>
      <c r="F172" s="186"/>
      <c r="G172" s="305"/>
      <c r="H172" s="309"/>
      <c r="I172" s="309"/>
      <c r="J172" s="309"/>
      <c r="K172" s="309"/>
      <c r="L172" s="332">
        <f>1622/24.86</f>
        <v>65.24537409493162</v>
      </c>
      <c r="M172" s="332">
        <v>50.879571248423709</v>
      </c>
      <c r="N172" s="332">
        <v>52.827035607244476</v>
      </c>
      <c r="O172" s="332">
        <v>53.528692561889116</v>
      </c>
      <c r="P172" s="332">
        <f>O172*P188</f>
        <v>0</v>
      </c>
      <c r="Q172" s="332">
        <f>P172*Q188</f>
        <v>0</v>
      </c>
      <c r="R172" s="332">
        <f>Q172*R188</f>
        <v>0</v>
      </c>
      <c r="S172" s="332">
        <f>R172*S188</f>
        <v>0</v>
      </c>
      <c r="T172" s="313"/>
      <c r="U172" s="313"/>
    </row>
    <row r="173" spans="1:21" s="308" customFormat="1" ht="15.75" customHeight="1" outlineLevel="2">
      <c r="A173" s="722"/>
      <c r="B173" s="736"/>
      <c r="C173" s="314" t="s">
        <v>84</v>
      </c>
      <c r="D173" s="262"/>
      <c r="E173" s="262"/>
      <c r="F173" s="186"/>
      <c r="G173" s="305"/>
      <c r="H173" s="309"/>
      <c r="I173" s="309"/>
      <c r="J173" s="309"/>
      <c r="K173" s="309"/>
      <c r="L173" s="332">
        <f>107/24.86</f>
        <v>4.3041029766693484</v>
      </c>
      <c r="M173" s="332">
        <v>3.2859394703657001</v>
      </c>
      <c r="N173" s="332">
        <v>3.2902003013001067</v>
      </c>
      <c r="O173" s="332">
        <v>3.1463777477647055</v>
      </c>
      <c r="P173" s="332">
        <f>O173*P188</f>
        <v>0</v>
      </c>
      <c r="Q173" s="332">
        <f>P173*Q188</f>
        <v>0</v>
      </c>
      <c r="R173" s="332">
        <f>Q173*R188</f>
        <v>0</v>
      </c>
      <c r="S173" s="332">
        <f>R173*S188</f>
        <v>0</v>
      </c>
      <c r="T173" s="313"/>
      <c r="U173" s="313"/>
    </row>
    <row r="174" spans="1:21" s="308" customFormat="1" ht="15.75" customHeight="1" outlineLevel="2">
      <c r="A174" s="722"/>
      <c r="B174" s="736"/>
      <c r="C174" s="314" t="s">
        <v>86</v>
      </c>
      <c r="D174" s="262"/>
      <c r="E174" s="262"/>
      <c r="F174" s="186"/>
      <c r="G174" s="305"/>
      <c r="H174" s="309"/>
      <c r="I174" s="309"/>
      <c r="J174" s="309"/>
      <c r="K174" s="309"/>
      <c r="L174" s="332">
        <f t="shared" ref="L174:Q174" si="27">L175*L104</f>
        <v>1.6747795206800109</v>
      </c>
      <c r="M174" s="332">
        <f t="shared" si="27"/>
        <v>1.8727301387137452</v>
      </c>
      <c r="N174" s="332">
        <f t="shared" si="27"/>
        <v>2.0803618431100181</v>
      </c>
      <c r="O174" s="332">
        <f>O175*O104</f>
        <v>2.3244599999999997</v>
      </c>
      <c r="P174" s="332">
        <f t="shared" si="27"/>
        <v>0</v>
      </c>
      <c r="Q174" s="332">
        <f t="shared" si="27"/>
        <v>0</v>
      </c>
      <c r="R174" s="332">
        <f>R175*R104</f>
        <v>0</v>
      </c>
      <c r="S174" s="332">
        <f>S175*S104</f>
        <v>0</v>
      </c>
      <c r="T174" s="313"/>
      <c r="U174" s="313"/>
    </row>
    <row r="175" spans="1:21" s="308" customFormat="1" ht="15.75" customHeight="1" outlineLevel="2">
      <c r="A175" s="722"/>
      <c r="B175" s="736"/>
      <c r="C175" s="314" t="s">
        <v>89</v>
      </c>
      <c r="D175" s="262"/>
      <c r="E175" s="262"/>
      <c r="F175" s="186"/>
      <c r="G175" s="305"/>
      <c r="H175" s="309"/>
      <c r="I175" s="309"/>
      <c r="J175" s="309"/>
      <c r="K175" s="309"/>
      <c r="L175" s="332">
        <f>147/4920.63</f>
        <v>2.9874223422610518E-2</v>
      </c>
      <c r="M175" s="332">
        <v>0.03</v>
      </c>
      <c r="N175" s="332">
        <v>3.0542362009569168E-2</v>
      </c>
      <c r="O175" s="332">
        <v>0.03</v>
      </c>
      <c r="P175" s="332">
        <f>O175</f>
        <v>0.03</v>
      </c>
      <c r="Q175" s="332">
        <f>P175</f>
        <v>0.03</v>
      </c>
      <c r="R175" s="332">
        <f>Q175</f>
        <v>0.03</v>
      </c>
      <c r="S175" s="332">
        <f>R175</f>
        <v>0.03</v>
      </c>
      <c r="T175" s="313"/>
      <c r="U175" s="313"/>
    </row>
    <row r="176" spans="1:21" s="308" customFormat="1" ht="15.75" customHeight="1" outlineLevel="2">
      <c r="A176" s="722"/>
      <c r="B176" s="736"/>
      <c r="C176" s="314" t="s">
        <v>85</v>
      </c>
      <c r="D176" s="262"/>
      <c r="E176" s="262"/>
      <c r="F176" s="186"/>
      <c r="G176" s="305"/>
      <c r="H176" s="309"/>
      <c r="I176" s="309"/>
      <c r="J176" s="309"/>
      <c r="K176" s="309"/>
      <c r="L176" s="332">
        <f>35/24.86</f>
        <v>1.4078841512469831</v>
      </c>
      <c r="M176" s="332">
        <v>0.99747793190416145</v>
      </c>
      <c r="N176" s="332">
        <v>1.0557215944642262</v>
      </c>
      <c r="O176" s="332">
        <v>0.84066666666666667</v>
      </c>
      <c r="P176" s="332">
        <f>O176*P188</f>
        <v>0</v>
      </c>
      <c r="Q176" s="332">
        <f>P176*Q188</f>
        <v>0</v>
      </c>
      <c r="R176" s="332">
        <f>Q176*R188</f>
        <v>0</v>
      </c>
      <c r="S176" s="332">
        <f>R176*S188</f>
        <v>0</v>
      </c>
      <c r="T176" s="313"/>
      <c r="U176" s="313"/>
    </row>
    <row r="177" spans="1:21" s="308" customFormat="1" ht="15.75" customHeight="1" outlineLevel="2">
      <c r="A177" s="722"/>
      <c r="B177" s="736"/>
      <c r="C177" s="314" t="s">
        <v>88</v>
      </c>
      <c r="D177" s="262"/>
      <c r="E177" s="262"/>
      <c r="F177" s="186"/>
      <c r="G177" s="305"/>
      <c r="H177" s="309"/>
      <c r="I177" s="309"/>
      <c r="J177" s="309"/>
      <c r="K177" s="309"/>
      <c r="L177" s="332">
        <f>195/24.86</f>
        <v>7.8439259855189061</v>
      </c>
      <c r="M177" s="332">
        <v>6.748423707440101</v>
      </c>
      <c r="N177" s="332">
        <v>5.4211306364300178</v>
      </c>
      <c r="O177" s="332">
        <v>4.3066864910361593</v>
      </c>
      <c r="P177" s="332">
        <f>O177*P188</f>
        <v>0</v>
      </c>
      <c r="Q177" s="332">
        <f>P177*Q188</f>
        <v>0</v>
      </c>
      <c r="R177" s="332">
        <f>Q177*R188</f>
        <v>0</v>
      </c>
      <c r="S177" s="332">
        <f>R177*S188</f>
        <v>0</v>
      </c>
      <c r="T177" s="313"/>
      <c r="U177" s="313"/>
    </row>
    <row r="178" spans="1:21" s="308" customFormat="1" ht="15.75" customHeight="1" outlineLevel="1">
      <c r="A178" s="722"/>
      <c r="B178" s="736"/>
      <c r="C178" s="728" t="s">
        <v>80</v>
      </c>
      <c r="D178" s="262"/>
      <c r="E178" s="262"/>
      <c r="F178" s="186"/>
      <c r="G178" s="305"/>
      <c r="H178" s="309"/>
      <c r="I178" s="309"/>
      <c r="J178" s="309"/>
      <c r="K178" s="309"/>
      <c r="L178" s="724">
        <f>14186/24.86</f>
        <v>570.63555913113441</v>
      </c>
      <c r="M178" s="724">
        <v>0</v>
      </c>
      <c r="N178" s="724">
        <f>M178*N188</f>
        <v>0</v>
      </c>
      <c r="O178" s="729">
        <f>N178*(1+$O$187)</f>
        <v>0</v>
      </c>
      <c r="P178" s="729">
        <f>O178*(1+$P$187)</f>
        <v>0</v>
      </c>
      <c r="Q178" s="729">
        <f>P178*(1+$Q$187)</f>
        <v>0</v>
      </c>
      <c r="R178" s="729">
        <f>Q178*(1+$R$187)</f>
        <v>0</v>
      </c>
      <c r="S178" s="729">
        <f>R178*(1+$R$187)</f>
        <v>0</v>
      </c>
      <c r="T178" s="313"/>
      <c r="U178" s="313"/>
    </row>
    <row r="179" spans="1:21" s="308" customFormat="1" ht="15.75" customHeight="1" outlineLevel="1">
      <c r="A179" s="722"/>
      <c r="B179" s="736"/>
      <c r="C179" s="728" t="s">
        <v>81</v>
      </c>
      <c r="D179" s="262"/>
      <c r="E179" s="262"/>
      <c r="F179" s="186"/>
      <c r="G179" s="305"/>
      <c r="H179" s="309"/>
      <c r="I179" s="309"/>
      <c r="J179" s="309"/>
      <c r="K179" s="309"/>
      <c r="L179" s="724">
        <f t="shared" ref="L179:R179" si="28">L180+L181+L182+L183+L185+L186</f>
        <v>98.069152250207338</v>
      </c>
      <c r="M179" s="724">
        <f t="shared" si="28"/>
        <v>25.265315258511983</v>
      </c>
      <c r="N179" s="724">
        <f t="shared" si="28"/>
        <v>29.927878830418244</v>
      </c>
      <c r="O179" s="724">
        <f t="shared" si="28"/>
        <v>33.448176666666669</v>
      </c>
      <c r="P179" s="724">
        <f t="shared" si="28"/>
        <v>0</v>
      </c>
      <c r="Q179" s="724">
        <f t="shared" si="28"/>
        <v>0</v>
      </c>
      <c r="R179" s="724">
        <f t="shared" si="28"/>
        <v>0</v>
      </c>
      <c r="S179" s="724">
        <f>S180+S181+S182+S183+S185+S186</f>
        <v>0</v>
      </c>
      <c r="T179" s="313"/>
      <c r="U179" s="313"/>
    </row>
    <row r="180" spans="1:21" s="308" customFormat="1" ht="15.75" customHeight="1" outlineLevel="2">
      <c r="A180" s="722"/>
      <c r="B180" s="736"/>
      <c r="C180" s="314" t="s">
        <v>82</v>
      </c>
      <c r="D180" s="249"/>
      <c r="E180" s="249"/>
      <c r="F180" s="186"/>
      <c r="G180" s="167"/>
      <c r="H180" s="272"/>
      <c r="I180" s="272"/>
      <c r="J180" s="272"/>
      <c r="K180" s="272"/>
      <c r="L180" s="332">
        <v>86.410089645825053</v>
      </c>
      <c r="M180" s="332">
        <v>11.794136191677175</v>
      </c>
      <c r="N180" s="332">
        <v>19.887866002219479</v>
      </c>
      <c r="O180" s="332">
        <v>22.432333333333336</v>
      </c>
      <c r="P180" s="332">
        <f>O180*P188</f>
        <v>0</v>
      </c>
      <c r="Q180" s="332">
        <f>P180*Q188</f>
        <v>0</v>
      </c>
      <c r="R180" s="332">
        <f>Q180*R188</f>
        <v>0</v>
      </c>
      <c r="S180" s="332">
        <f>R180*S188</f>
        <v>0</v>
      </c>
      <c r="T180" s="313"/>
      <c r="U180" s="313"/>
    </row>
    <row r="181" spans="1:21" s="308" customFormat="1" ht="15.75" customHeight="1" outlineLevel="2">
      <c r="A181" s="722"/>
      <c r="B181" s="736"/>
      <c r="C181" s="314" t="s">
        <v>665</v>
      </c>
      <c r="D181" s="262"/>
      <c r="E181" s="249"/>
      <c r="F181" s="186"/>
      <c r="G181" s="167"/>
      <c r="H181" s="272"/>
      <c r="I181" s="272"/>
      <c r="J181" s="272"/>
      <c r="K181" s="272"/>
      <c r="L181" s="332">
        <v>-5.6364300351702923</v>
      </c>
      <c r="M181" s="332">
        <v>-4.5844892812105922</v>
      </c>
      <c r="N181" s="332">
        <v>-5.6350303527834376</v>
      </c>
      <c r="O181" s="332">
        <v>-5.4426666666666668</v>
      </c>
      <c r="P181" s="332">
        <f>O181*P188</f>
        <v>0</v>
      </c>
      <c r="Q181" s="332">
        <f>P181*Q188</f>
        <v>0</v>
      </c>
      <c r="R181" s="332">
        <f>Q181*R188</f>
        <v>0</v>
      </c>
      <c r="S181" s="332">
        <f>R181*S188</f>
        <v>0</v>
      </c>
      <c r="T181" s="313"/>
      <c r="U181" s="313"/>
    </row>
    <row r="182" spans="1:21" s="308" customFormat="1" ht="15.75" customHeight="1" outlineLevel="2">
      <c r="A182" s="722"/>
      <c r="B182" s="736"/>
      <c r="C182" s="314" t="s">
        <v>84</v>
      </c>
      <c r="D182" s="249"/>
      <c r="E182" s="249"/>
      <c r="F182" s="186"/>
      <c r="G182" s="167"/>
      <c r="H182" s="272"/>
      <c r="I182" s="272"/>
      <c r="J182" s="272"/>
      <c r="K182" s="272"/>
      <c r="L182" s="332">
        <v>1.7923195610477685</v>
      </c>
      <c r="M182" s="332">
        <v>1.7395964691046659</v>
      </c>
      <c r="N182" s="332">
        <v>1.5450736380380876</v>
      </c>
      <c r="O182" s="332">
        <v>1.8396666666666666</v>
      </c>
      <c r="P182" s="332">
        <f>O182*P188</f>
        <v>0</v>
      </c>
      <c r="Q182" s="332">
        <f>P182*Q188</f>
        <v>0</v>
      </c>
      <c r="R182" s="332">
        <f>Q182*R188</f>
        <v>0</v>
      </c>
      <c r="S182" s="332">
        <f>R182*S188</f>
        <v>0</v>
      </c>
      <c r="T182" s="313"/>
      <c r="U182" s="313"/>
    </row>
    <row r="183" spans="1:21" s="308" customFormat="1" ht="15.75" customHeight="1" outlineLevel="2">
      <c r="A183" s="722"/>
      <c r="B183" s="736"/>
      <c r="C183" s="314" t="s">
        <v>86</v>
      </c>
      <c r="D183" s="249"/>
      <c r="E183" s="249"/>
      <c r="F183" s="186"/>
      <c r="G183" s="167"/>
      <c r="H183" s="272"/>
      <c r="I183" s="272"/>
      <c r="J183" s="272"/>
      <c r="K183" s="272"/>
      <c r="L183" s="332">
        <f t="shared" ref="L183:R183" si="29">L184*L104</f>
        <v>2.873147816679904</v>
      </c>
      <c r="M183" s="332">
        <f t="shared" si="29"/>
        <v>3.6206116015132408</v>
      </c>
      <c r="N183" s="332">
        <f t="shared" si="29"/>
        <v>3.7819518883939769</v>
      </c>
      <c r="O183" s="332">
        <f>O184*O104</f>
        <v>4.2615100000000004</v>
      </c>
      <c r="P183" s="332">
        <f t="shared" si="29"/>
        <v>0</v>
      </c>
      <c r="Q183" s="332">
        <f t="shared" si="29"/>
        <v>0</v>
      </c>
      <c r="R183" s="332">
        <f t="shared" si="29"/>
        <v>0</v>
      </c>
      <c r="S183" s="332">
        <f>S184*S104</f>
        <v>0</v>
      </c>
      <c r="T183" s="313"/>
      <c r="U183" s="313"/>
    </row>
    <row r="184" spans="1:21" s="308" customFormat="1" ht="15.75" customHeight="1" outlineLevel="2">
      <c r="A184" s="722"/>
      <c r="B184" s="736"/>
      <c r="C184" s="314" t="s">
        <v>89</v>
      </c>
      <c r="D184" s="249"/>
      <c r="E184" s="249"/>
      <c r="F184" s="186"/>
      <c r="G184" s="167"/>
      <c r="H184" s="272"/>
      <c r="I184" s="272"/>
      <c r="J184" s="272"/>
      <c r="K184" s="272"/>
      <c r="L184" s="723">
        <f>10036/195823</f>
        <v>5.1250363848986076E-2</v>
      </c>
      <c r="M184" s="333">
        <v>5.8000000000000003E-2</v>
      </c>
      <c r="N184" s="333">
        <v>5.5523871513343245E-2</v>
      </c>
      <c r="O184" s="333">
        <v>5.5E-2</v>
      </c>
      <c r="P184" s="333">
        <f>O184</f>
        <v>5.5E-2</v>
      </c>
      <c r="Q184" s="333">
        <f>P184</f>
        <v>5.5E-2</v>
      </c>
      <c r="R184" s="333">
        <f>Q184</f>
        <v>5.5E-2</v>
      </c>
      <c r="S184" s="333">
        <f>R184</f>
        <v>5.5E-2</v>
      </c>
      <c r="T184" s="313"/>
      <c r="U184" s="313"/>
    </row>
    <row r="185" spans="1:21" s="308" customFormat="1" ht="15.75" customHeight="1" outlineLevel="2">
      <c r="A185" s="722"/>
      <c r="B185" s="736"/>
      <c r="C185" s="314" t="s">
        <v>85</v>
      </c>
      <c r="D185" s="249"/>
      <c r="E185" s="249"/>
      <c r="F185" s="186"/>
      <c r="G185" s="167"/>
      <c r="H185" s="272"/>
      <c r="I185" s="272"/>
      <c r="J185" s="272"/>
      <c r="K185" s="272"/>
      <c r="L185" s="332">
        <v>1.5112587368691504</v>
      </c>
      <c r="M185" s="332">
        <v>1.3423707440100887</v>
      </c>
      <c r="N185" s="332">
        <v>1.3784472185762984</v>
      </c>
      <c r="O185" s="332">
        <v>1.4840000000000002</v>
      </c>
      <c r="P185" s="332">
        <f>O185*P188</f>
        <v>0</v>
      </c>
      <c r="Q185" s="332">
        <f>P185*Q188</f>
        <v>0</v>
      </c>
      <c r="R185" s="332">
        <f>Q185*R188</f>
        <v>0</v>
      </c>
      <c r="S185" s="332">
        <f>R185*S188</f>
        <v>0</v>
      </c>
      <c r="T185" s="313"/>
      <c r="U185" s="313"/>
    </row>
    <row r="186" spans="1:21" s="308" customFormat="1" ht="15.75" customHeight="1" outlineLevel="2">
      <c r="A186" s="722"/>
      <c r="B186" s="736"/>
      <c r="C186" s="314" t="s">
        <v>88</v>
      </c>
      <c r="D186" s="249"/>
      <c r="E186" s="249"/>
      <c r="F186" s="186"/>
      <c r="G186" s="167"/>
      <c r="H186" s="272"/>
      <c r="I186" s="272"/>
      <c r="J186" s="272"/>
      <c r="K186" s="272"/>
      <c r="L186" s="332">
        <v>11.11876652495576</v>
      </c>
      <c r="M186" s="332">
        <v>11.353089533417403</v>
      </c>
      <c r="N186" s="332">
        <v>8.9695704359738428</v>
      </c>
      <c r="O186" s="332">
        <v>8.8733333333333331</v>
      </c>
      <c r="P186" s="332">
        <f>O186*P188</f>
        <v>0</v>
      </c>
      <c r="Q186" s="332">
        <f>P186*Q188</f>
        <v>0</v>
      </c>
      <c r="R186" s="332">
        <f>Q186*R188</f>
        <v>0</v>
      </c>
      <c r="S186" s="332">
        <f>R186*S188</f>
        <v>0</v>
      </c>
      <c r="T186" s="313"/>
      <c r="U186" s="313"/>
    </row>
    <row r="187" spans="1:21" ht="15.75" customHeight="1" outlineLevel="1">
      <c r="A187" s="295"/>
      <c r="B187" s="168"/>
      <c r="C187" s="246" t="s">
        <v>657</v>
      </c>
      <c r="D187" s="168"/>
      <c r="E187" s="168"/>
      <c r="F187" s="168"/>
      <c r="G187" s="168"/>
      <c r="H187" s="167"/>
      <c r="J187" s="168"/>
      <c r="K187" s="168"/>
      <c r="M187" s="168"/>
      <c r="N187" s="637"/>
      <c r="O187" s="168"/>
      <c r="P187" s="637"/>
      <c r="Q187" s="637"/>
      <c r="R187" s="637"/>
      <c r="S187" s="637"/>
      <c r="T187" s="168"/>
      <c r="U187" s="168"/>
    </row>
    <row r="188" spans="1:21" ht="15.75" customHeight="1" outlineLevel="1">
      <c r="A188" s="295"/>
      <c r="B188" s="168"/>
      <c r="C188" s="601"/>
      <c r="D188" s="168"/>
      <c r="E188" s="168"/>
      <c r="F188" s="168"/>
      <c r="G188" s="168"/>
      <c r="H188" s="167"/>
      <c r="J188" s="168"/>
      <c r="K188" s="168"/>
      <c r="M188" s="168"/>
      <c r="N188" s="638"/>
      <c r="O188" s="638">
        <f>1+O187</f>
        <v>1</v>
      </c>
      <c r="P188" s="638"/>
      <c r="Q188" s="638"/>
      <c r="R188" s="638"/>
      <c r="S188" s="638"/>
      <c r="T188" s="168"/>
      <c r="U188" s="168"/>
    </row>
    <row r="189" spans="1:21" ht="15.75" customHeight="1" outlineLevel="1">
      <c r="A189" s="295"/>
      <c r="B189" s="168"/>
      <c r="C189" s="314"/>
      <c r="D189" s="168"/>
      <c r="E189" s="168"/>
      <c r="F189" s="168"/>
      <c r="G189" s="168"/>
      <c r="H189" s="167"/>
      <c r="J189" s="168"/>
      <c r="K189" s="168"/>
      <c r="M189" s="168"/>
      <c r="N189" s="215"/>
      <c r="O189" s="215"/>
      <c r="P189" s="215"/>
      <c r="Q189" s="215"/>
      <c r="R189" s="215"/>
      <c r="S189" s="215"/>
      <c r="T189" s="168"/>
      <c r="U189" s="168"/>
    </row>
    <row r="190" spans="1:21" ht="15.75" customHeight="1" outlineLevel="1">
      <c r="A190" s="295"/>
      <c r="B190" s="168"/>
      <c r="C190" s="314"/>
      <c r="D190" s="168"/>
      <c r="E190" s="168"/>
      <c r="F190" s="168"/>
      <c r="G190" s="168"/>
      <c r="H190" s="167"/>
      <c r="J190" s="168"/>
      <c r="K190" s="168"/>
      <c r="M190" s="168"/>
      <c r="N190" s="215"/>
      <c r="O190" s="215"/>
      <c r="P190" s="215"/>
      <c r="Q190" s="215"/>
      <c r="R190" s="215"/>
      <c r="S190" s="215"/>
      <c r="T190" s="168"/>
      <c r="U190" s="168"/>
    </row>
    <row r="191" spans="1:21" ht="27" customHeight="1" outlineLevel="1">
      <c r="A191" s="295">
        <v>2</v>
      </c>
      <c r="B191" s="168"/>
      <c r="C191" s="314" t="s">
        <v>107</v>
      </c>
      <c r="D191" s="168"/>
      <c r="E191" s="168"/>
      <c r="F191" s="168"/>
      <c r="G191" s="168"/>
      <c r="H191" s="167"/>
      <c r="J191" s="168"/>
      <c r="K191" s="168"/>
      <c r="M191" s="168"/>
      <c r="N191" s="168"/>
      <c r="O191" s="168"/>
      <c r="P191" s="168"/>
      <c r="Q191" s="168"/>
      <c r="R191" s="168"/>
      <c r="S191" s="168"/>
      <c r="T191" s="168"/>
      <c r="U191" s="168"/>
    </row>
    <row r="192" spans="1:21" ht="3" customHeight="1" outlineLevel="1">
      <c r="A192" s="295">
        <v>3</v>
      </c>
      <c r="B192" s="168"/>
      <c r="C192" s="314"/>
      <c r="D192" s="170"/>
      <c r="E192" s="170"/>
      <c r="F192" s="170"/>
      <c r="G192" s="170"/>
      <c r="H192" s="300"/>
      <c r="I192" s="170"/>
      <c r="J192" s="170"/>
      <c r="K192" s="170"/>
      <c r="L192" s="170"/>
      <c r="M192" s="170"/>
      <c r="N192" s="170"/>
      <c r="O192" s="170"/>
      <c r="P192" s="170"/>
      <c r="Q192" s="170"/>
      <c r="R192" s="170"/>
      <c r="S192" s="170"/>
      <c r="T192" s="168"/>
      <c r="U192" s="168"/>
    </row>
    <row r="193" spans="1:21" ht="15.75" customHeight="1" outlineLevel="1">
      <c r="A193" s="295">
        <v>4</v>
      </c>
      <c r="B193" s="168"/>
      <c r="C193" s="314"/>
      <c r="D193" s="168"/>
      <c r="E193" s="168"/>
      <c r="F193" s="168"/>
      <c r="G193" s="168"/>
      <c r="H193" s="301"/>
      <c r="I193" s="171"/>
      <c r="J193" s="171"/>
      <c r="K193" s="171"/>
      <c r="L193" s="171"/>
      <c r="M193" s="171"/>
      <c r="N193" s="171"/>
      <c r="O193" s="171"/>
      <c r="P193" s="171"/>
      <c r="Q193" s="171"/>
      <c r="R193" s="171"/>
      <c r="S193" s="171"/>
      <c r="T193" s="168"/>
      <c r="U193" s="168"/>
    </row>
    <row r="194" spans="1:21" ht="15.75" customHeight="1" outlineLevel="1">
      <c r="A194" s="295">
        <v>5</v>
      </c>
      <c r="B194" s="168"/>
      <c r="C194" s="314" t="s">
        <v>108</v>
      </c>
      <c r="D194" s="303"/>
      <c r="E194" s="303"/>
      <c r="F194" s="303"/>
      <c r="G194" s="303"/>
      <c r="H194" s="301"/>
      <c r="I194" s="172"/>
      <c r="J194" s="172"/>
      <c r="K194" s="172"/>
      <c r="L194" s="173"/>
      <c r="M194" s="172"/>
      <c r="N194" s="173"/>
      <c r="O194" s="173"/>
      <c r="P194" s="173"/>
      <c r="Q194" s="173"/>
      <c r="R194" s="173"/>
      <c r="S194" s="173"/>
      <c r="T194" s="168"/>
      <c r="U194" s="168"/>
    </row>
    <row r="195" spans="1:21" ht="15.75" customHeight="1" outlineLevel="1">
      <c r="A195" s="169">
        <v>6</v>
      </c>
      <c r="B195" s="215"/>
      <c r="C195" s="314"/>
      <c r="D195" s="233"/>
      <c r="E195" s="233"/>
      <c r="F195" s="233"/>
      <c r="G195" s="338"/>
      <c r="H195" s="174">
        <v>0</v>
      </c>
      <c r="I195" s="174">
        <v>0</v>
      </c>
      <c r="J195" s="174">
        <v>1</v>
      </c>
      <c r="K195" s="174">
        <v>2</v>
      </c>
      <c r="L195" s="175">
        <f>L93</f>
        <v>3</v>
      </c>
      <c r="M195" s="174">
        <f>L195+1</f>
        <v>4</v>
      </c>
      <c r="N195" s="174">
        <f>M195+1</f>
        <v>5</v>
      </c>
      <c r="O195" s="174">
        <f t="shared" ref="O195:S197" si="30">O7</f>
        <v>6</v>
      </c>
      <c r="P195" s="174">
        <f t="shared" si="30"/>
        <v>7</v>
      </c>
      <c r="Q195" s="174">
        <f t="shared" si="30"/>
        <v>8</v>
      </c>
      <c r="R195" s="174">
        <f t="shared" si="30"/>
        <v>9</v>
      </c>
      <c r="S195" s="174">
        <f t="shared" si="30"/>
        <v>10</v>
      </c>
      <c r="T195" s="168"/>
      <c r="U195" s="168"/>
    </row>
    <row r="196" spans="1:21" ht="15.75" customHeight="1" outlineLevel="1">
      <c r="B196" s="215"/>
      <c r="C196" s="314"/>
      <c r="D196" s="234"/>
      <c r="E196" s="234"/>
      <c r="F196" s="234"/>
      <c r="G196" s="325"/>
      <c r="H196" s="176"/>
      <c r="I196" s="176"/>
      <c r="J196" s="176"/>
      <c r="K196" s="176"/>
      <c r="L196" s="176"/>
      <c r="M196" s="176"/>
      <c r="N196" s="176"/>
      <c r="O196" s="176"/>
      <c r="P196" s="176"/>
      <c r="Q196" s="176"/>
      <c r="R196" s="176"/>
      <c r="S196" s="176"/>
      <c r="T196" s="168"/>
      <c r="U196" s="168"/>
    </row>
    <row r="197" spans="1:21" ht="15.75" customHeight="1" outlineLevel="1">
      <c r="A197" s="169">
        <v>8</v>
      </c>
      <c r="B197" s="215"/>
      <c r="C197" s="314" t="s">
        <v>521</v>
      </c>
      <c r="D197" s="339"/>
      <c r="E197" s="339"/>
      <c r="F197" s="339"/>
      <c r="G197" s="326"/>
      <c r="H197" s="340" t="s">
        <v>499</v>
      </c>
      <c r="I197" s="340" t="s">
        <v>499</v>
      </c>
      <c r="J197" s="340" t="s">
        <v>499</v>
      </c>
      <c r="K197" s="340" t="s">
        <v>499</v>
      </c>
      <c r="L197" s="340" t="str">
        <f>K197</f>
        <v>($)</v>
      </c>
      <c r="M197" s="340" t="str">
        <f>L197</f>
        <v>($)</v>
      </c>
      <c r="N197" s="340" t="str">
        <f>M197</f>
        <v>($)</v>
      </c>
      <c r="O197" s="340" t="str">
        <f t="shared" si="30"/>
        <v>($)</v>
      </c>
      <c r="P197" s="340" t="str">
        <f t="shared" si="30"/>
        <v>($)</v>
      </c>
      <c r="Q197" s="340" t="str">
        <f t="shared" si="30"/>
        <v>($)</v>
      </c>
      <c r="R197" s="340" t="str">
        <f t="shared" si="30"/>
        <v>($)</v>
      </c>
      <c r="S197" s="340" t="str">
        <f t="shared" si="30"/>
        <v>($)</v>
      </c>
      <c r="T197" s="168"/>
      <c r="U197" s="168"/>
    </row>
    <row r="198" spans="1:21" ht="15.75" customHeight="1" outlineLevel="1">
      <c r="A198" s="169">
        <v>9</v>
      </c>
      <c r="B198" s="215"/>
      <c r="C198" s="314"/>
      <c r="D198" s="380"/>
      <c r="E198" s="249"/>
      <c r="F198" s="249"/>
      <c r="G198" s="305"/>
      <c r="H198" s="305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327"/>
      <c r="T198" s="168"/>
      <c r="U198" s="168"/>
    </row>
    <row r="199" spans="1:21" ht="15.75" customHeight="1" outlineLevel="1">
      <c r="B199" s="167"/>
      <c r="C199" s="728" t="s">
        <v>73</v>
      </c>
      <c r="D199" s="242"/>
      <c r="E199" s="249"/>
      <c r="F199" s="249"/>
      <c r="G199" s="167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168"/>
      <c r="U199" s="168"/>
    </row>
    <row r="200" spans="1:21" ht="15.75" customHeight="1" outlineLevel="1">
      <c r="B200" s="167"/>
      <c r="C200" s="314" t="s">
        <v>109</v>
      </c>
      <c r="D200" s="242"/>
      <c r="E200" s="249"/>
      <c r="F200" s="249"/>
      <c r="G200" s="167"/>
      <c r="H200" s="167"/>
      <c r="I200" s="272"/>
      <c r="J200" s="272"/>
      <c r="K200" s="272"/>
      <c r="L200" s="272">
        <f t="shared" ref="L200:R200" si="31">L12</f>
        <v>62642282.886564769</v>
      </c>
      <c r="M200" s="272">
        <f t="shared" si="31"/>
        <v>23049211.853720047</v>
      </c>
      <c r="N200" s="272">
        <f t="shared" si="31"/>
        <v>18380866.77631579</v>
      </c>
      <c r="O200" s="272">
        <f t="shared" si="31"/>
        <v>7742761.2994350288</v>
      </c>
      <c r="P200" s="272">
        <f t="shared" si="31"/>
        <v>0</v>
      </c>
      <c r="Q200" s="272">
        <f t="shared" si="31"/>
        <v>0</v>
      </c>
      <c r="R200" s="272">
        <f t="shared" si="31"/>
        <v>0</v>
      </c>
      <c r="S200" s="272">
        <f>S12</f>
        <v>0</v>
      </c>
      <c r="T200" s="168"/>
      <c r="U200" s="168"/>
    </row>
    <row r="201" spans="1:21" ht="7.5" customHeight="1" outlineLevel="1">
      <c r="B201" s="167"/>
      <c r="C201" s="314"/>
      <c r="D201" s="242"/>
      <c r="E201" s="249"/>
      <c r="F201" s="249"/>
      <c r="G201" s="167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168"/>
      <c r="U201" s="168"/>
    </row>
    <row r="202" spans="1:21" ht="15.75" customHeight="1" outlineLevel="1">
      <c r="B202" s="167"/>
      <c r="C202" s="314" t="s">
        <v>110</v>
      </c>
      <c r="D202" s="215"/>
      <c r="E202" s="215"/>
      <c r="F202" s="215"/>
      <c r="G202" s="167"/>
      <c r="H202" s="167"/>
      <c r="I202" s="239"/>
      <c r="J202" s="240"/>
      <c r="K202" s="239"/>
      <c r="L202" s="239">
        <f t="shared" ref="L202:R202" si="32">-L97*L31</f>
        <v>-34548152.846761301</v>
      </c>
      <c r="M202" s="239">
        <f t="shared" si="32"/>
        <v>-21000796.252383355</v>
      </c>
      <c r="N202" s="239">
        <f t="shared" si="32"/>
        <v>-19369559.050151326</v>
      </c>
      <c r="O202" s="239">
        <f t="shared" si="32"/>
        <v>-7917760.9381614607</v>
      </c>
      <c r="P202" s="239">
        <f t="shared" si="32"/>
        <v>0</v>
      </c>
      <c r="Q202" s="239">
        <f t="shared" si="32"/>
        <v>0</v>
      </c>
      <c r="R202" s="239">
        <f t="shared" si="32"/>
        <v>0</v>
      </c>
      <c r="S202" s="239">
        <f>-S97*S31</f>
        <v>0</v>
      </c>
      <c r="T202" s="168"/>
      <c r="U202" s="168"/>
    </row>
    <row r="203" spans="1:21" ht="7.5" customHeight="1" outlineLevel="1">
      <c r="B203" s="167"/>
      <c r="C203" s="314"/>
      <c r="D203" s="215"/>
      <c r="E203" s="215"/>
      <c r="F203" s="215"/>
      <c r="G203" s="167"/>
      <c r="H203" s="239"/>
      <c r="I203" s="239"/>
      <c r="J203" s="239"/>
      <c r="K203" s="239"/>
      <c r="L203" s="239"/>
      <c r="M203" s="239"/>
      <c r="N203" s="637"/>
      <c r="O203" s="637"/>
      <c r="P203" s="637"/>
      <c r="Q203" s="637"/>
      <c r="R203" s="637"/>
      <c r="S203" s="637"/>
      <c r="T203" s="168"/>
      <c r="U203" s="168"/>
    </row>
    <row r="204" spans="1:21" ht="15.75" customHeight="1" outlineLevel="1">
      <c r="B204" s="167"/>
      <c r="C204" s="314" t="s">
        <v>111</v>
      </c>
      <c r="D204" s="242"/>
      <c r="E204" s="249"/>
      <c r="F204" s="249"/>
      <c r="G204" s="167"/>
      <c r="H204" s="167"/>
      <c r="I204" s="346"/>
      <c r="J204" s="346"/>
      <c r="K204" s="346"/>
      <c r="L204" s="239">
        <f t="shared" ref="L204:R204" si="33">-L71*L31</f>
        <v>-556207.6</v>
      </c>
      <c r="M204" s="239">
        <f t="shared" si="33"/>
        <v>-449538.7</v>
      </c>
      <c r="N204" s="239">
        <f t="shared" si="33"/>
        <v>-1551156.6342105265</v>
      </c>
      <c r="O204" s="239">
        <f t="shared" si="33"/>
        <v>-701886.96875</v>
      </c>
      <c r="P204" s="239">
        <f t="shared" si="33"/>
        <v>0</v>
      </c>
      <c r="Q204" s="239">
        <f t="shared" si="33"/>
        <v>0</v>
      </c>
      <c r="R204" s="239">
        <f t="shared" si="33"/>
        <v>0</v>
      </c>
      <c r="S204" s="239">
        <f>-S71*S31</f>
        <v>0</v>
      </c>
      <c r="T204" s="168"/>
      <c r="U204" s="168"/>
    </row>
    <row r="205" spans="1:21" ht="7.5" customHeight="1" outlineLevel="1">
      <c r="B205" s="167"/>
      <c r="C205" s="314"/>
      <c r="D205" s="215"/>
      <c r="E205" s="215"/>
      <c r="F205" s="215"/>
      <c r="G205" s="167"/>
      <c r="H205" s="239"/>
      <c r="I205" s="239"/>
      <c r="J205" s="239"/>
      <c r="K205" s="239"/>
      <c r="L205" s="239"/>
      <c r="M205" s="239"/>
      <c r="N205" s="215"/>
      <c r="O205" s="215"/>
      <c r="P205" s="215"/>
      <c r="Q205" s="215"/>
      <c r="R205" s="215"/>
      <c r="S205" s="215"/>
      <c r="T205" s="168"/>
      <c r="U205" s="168"/>
    </row>
    <row r="206" spans="1:21" ht="15.75" customHeight="1" outlineLevel="1">
      <c r="B206" s="167"/>
      <c r="C206" s="314" t="s">
        <v>144</v>
      </c>
      <c r="D206" s="215"/>
      <c r="E206" s="215"/>
      <c r="F206" s="215"/>
      <c r="G206" s="167"/>
      <c r="H206" s="272"/>
      <c r="I206" s="272"/>
      <c r="J206" s="272"/>
      <c r="K206" s="239"/>
      <c r="L206" s="239">
        <f t="shared" ref="L206:R206" si="34">L200+L202+L204</f>
        <v>27537922.439803466</v>
      </c>
      <c r="M206" s="239">
        <f t="shared" si="34"/>
        <v>1598876.9013366916</v>
      </c>
      <c r="N206" s="239">
        <f t="shared" si="34"/>
        <v>-2539848.9080460626</v>
      </c>
      <c r="O206" s="239">
        <f t="shared" si="34"/>
        <v>-876886.60747643188</v>
      </c>
      <c r="P206" s="239">
        <f t="shared" si="34"/>
        <v>0</v>
      </c>
      <c r="Q206" s="239">
        <f t="shared" si="34"/>
        <v>0</v>
      </c>
      <c r="R206" s="239">
        <f t="shared" si="34"/>
        <v>0</v>
      </c>
      <c r="S206" s="239">
        <f>S200+S202+S204</f>
        <v>0</v>
      </c>
      <c r="T206" s="168"/>
      <c r="U206" s="168"/>
    </row>
    <row r="207" spans="1:21" ht="6.75" customHeight="1" outlineLevel="1">
      <c r="B207" s="167"/>
      <c r="C207" s="314"/>
      <c r="D207" s="215"/>
      <c r="E207" s="215"/>
      <c r="F207" s="215"/>
      <c r="G207" s="167"/>
      <c r="H207" s="272"/>
      <c r="I207" s="272"/>
      <c r="J207" s="272"/>
      <c r="K207" s="239"/>
      <c r="L207" s="239"/>
      <c r="M207" s="215"/>
      <c r="N207" s="215"/>
      <c r="O207" s="215"/>
      <c r="P207" s="215"/>
      <c r="Q207" s="215"/>
      <c r="R207" s="215"/>
      <c r="S207" s="215"/>
      <c r="T207" s="168"/>
      <c r="U207" s="168"/>
    </row>
    <row r="208" spans="1:21" ht="15.75" customHeight="1" outlineLevel="1">
      <c r="B208" s="167"/>
      <c r="C208" s="314" t="s">
        <v>145</v>
      </c>
      <c r="D208" s="215"/>
      <c r="E208" s="215"/>
      <c r="F208" s="215"/>
      <c r="G208" s="167"/>
      <c r="H208" s="272"/>
      <c r="I208" s="272"/>
      <c r="J208" s="272"/>
      <c r="K208" s="239"/>
      <c r="L208" s="311">
        <f>L206/L200</f>
        <v>0.43960598450203792</v>
      </c>
      <c r="M208" s="311">
        <f>M206/M200</f>
        <v>6.9367964140545635E-2</v>
      </c>
      <c r="N208" s="311">
        <f>N206/N200</f>
        <v>-0.13817895200234637</v>
      </c>
      <c r="O208" s="311">
        <f>O206/O200</f>
        <v>-0.11325243973883274</v>
      </c>
      <c r="P208" s="311"/>
      <c r="Q208" s="311"/>
      <c r="R208" s="311"/>
      <c r="S208" s="311"/>
      <c r="T208" s="168"/>
      <c r="U208" s="168"/>
    </row>
    <row r="209" spans="2:21" ht="15.75" customHeight="1" outlineLevel="1">
      <c r="B209" s="167"/>
      <c r="C209" s="728" t="s">
        <v>74</v>
      </c>
      <c r="D209" s="215"/>
      <c r="E209" s="215"/>
      <c r="F209" s="215"/>
      <c r="G209" s="167"/>
      <c r="H209" s="272"/>
      <c r="I209" s="272"/>
      <c r="J209" s="272"/>
      <c r="K209" s="239"/>
      <c r="L209" s="239"/>
      <c r="M209" s="215"/>
      <c r="N209" s="215"/>
      <c r="O209" s="215"/>
      <c r="P209" s="215"/>
      <c r="Q209" s="215"/>
      <c r="R209" s="215"/>
      <c r="S209" s="215"/>
      <c r="T209" s="168"/>
      <c r="U209" s="168"/>
    </row>
    <row r="210" spans="2:21" ht="15.75" customHeight="1" outlineLevel="1">
      <c r="B210" s="167"/>
      <c r="C210" s="314" t="s">
        <v>109</v>
      </c>
      <c r="D210" s="242"/>
      <c r="E210" s="249"/>
      <c r="F210" s="249"/>
      <c r="G210" s="167"/>
      <c r="H210" s="167"/>
      <c r="I210" s="272"/>
      <c r="J210" s="272"/>
      <c r="K210" s="272"/>
      <c r="L210" s="272">
        <f t="shared" ref="L210:R210" si="35">L13+L14</f>
        <v>155924688.24313501</v>
      </c>
      <c r="M210" s="272">
        <f t="shared" si="35"/>
        <v>78047259.003438205</v>
      </c>
      <c r="N210" s="272">
        <f t="shared" si="35"/>
        <v>78276245.65912053</v>
      </c>
      <c r="O210" s="272">
        <f t="shared" si="35"/>
        <v>17732984.462146893</v>
      </c>
      <c r="P210" s="272">
        <f t="shared" si="35"/>
        <v>0</v>
      </c>
      <c r="Q210" s="272">
        <f t="shared" si="35"/>
        <v>0</v>
      </c>
      <c r="R210" s="272">
        <f t="shared" si="35"/>
        <v>0</v>
      </c>
      <c r="S210" s="272">
        <f>S13+S14</f>
        <v>0</v>
      </c>
      <c r="T210" s="168"/>
      <c r="U210" s="168"/>
    </row>
    <row r="211" spans="2:21" ht="7.5" customHeight="1" outlineLevel="1">
      <c r="B211" s="167"/>
      <c r="C211" s="314"/>
      <c r="D211" s="242"/>
      <c r="E211" s="249"/>
      <c r="F211" s="249"/>
      <c r="G211" s="167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168"/>
      <c r="U211" s="168"/>
    </row>
    <row r="212" spans="2:21" ht="15.75" customHeight="1" outlineLevel="1">
      <c r="B212" s="167"/>
      <c r="C212" s="314" t="s">
        <v>110</v>
      </c>
      <c r="D212" s="215"/>
      <c r="E212" s="215"/>
      <c r="F212" s="215"/>
      <c r="G212" s="167"/>
      <c r="H212" s="167"/>
      <c r="I212" s="239"/>
      <c r="J212" s="240"/>
      <c r="K212" s="239"/>
      <c r="L212" s="239">
        <f>-L111*(L32+L33)</f>
        <v>-95086608.943419278</v>
      </c>
      <c r="M212" s="239">
        <f t="shared" ref="M212:R212" si="36">-M111*(M32+M33)</f>
        <v>-50029746.01114697</v>
      </c>
      <c r="N212" s="239">
        <f t="shared" si="36"/>
        <v>-55443255.871029057</v>
      </c>
      <c r="O212" s="239">
        <f>-O111*(O32+O33)</f>
        <v>-11888805.096652823</v>
      </c>
      <c r="P212" s="239">
        <f t="shared" si="36"/>
        <v>0</v>
      </c>
      <c r="Q212" s="239">
        <f t="shared" si="36"/>
        <v>0</v>
      </c>
      <c r="R212" s="239">
        <f t="shared" si="36"/>
        <v>0</v>
      </c>
      <c r="S212" s="239">
        <f>-S111*(S32+S33)</f>
        <v>0</v>
      </c>
      <c r="T212" s="168"/>
      <c r="U212" s="168"/>
    </row>
    <row r="213" spans="2:21" ht="7.5" customHeight="1" outlineLevel="1">
      <c r="B213" s="167"/>
      <c r="C213" s="314"/>
      <c r="D213" s="215"/>
      <c r="E213" s="215"/>
      <c r="F213" s="215"/>
      <c r="G213" s="167"/>
      <c r="H213" s="239"/>
      <c r="I213" s="239"/>
      <c r="J213" s="239"/>
      <c r="K213" s="239"/>
      <c r="L213" s="239"/>
      <c r="M213" s="239"/>
      <c r="N213" s="637"/>
      <c r="O213" s="637"/>
      <c r="P213" s="637"/>
      <c r="Q213" s="637"/>
      <c r="R213" s="637"/>
      <c r="S213" s="637"/>
      <c r="T213" s="168"/>
      <c r="U213" s="168"/>
    </row>
    <row r="214" spans="2:21" ht="15.75" customHeight="1" outlineLevel="1">
      <c r="B214" s="167"/>
      <c r="C214" s="314" t="s">
        <v>111</v>
      </c>
      <c r="D214" s="242"/>
      <c r="E214" s="249"/>
      <c r="F214" s="249"/>
      <c r="G214" s="167"/>
      <c r="H214" s="167"/>
      <c r="I214" s="346"/>
      <c r="J214" s="346"/>
      <c r="K214" s="346"/>
      <c r="L214" s="239">
        <f>-L65*L33-(L33*L48-L65*L33)*1.5%-L72*(L32+L33)</f>
        <v>-14450682.436764002</v>
      </c>
      <c r="M214" s="239">
        <f t="shared" ref="M214:S214" si="37">-M65*M33-(M33*M48-M65*M33)*1.2%-M72*(M32+M33)</f>
        <v>-6818586.5050060004</v>
      </c>
      <c r="N214" s="239">
        <f t="shared" si="37"/>
        <v>-7947968.3107791543</v>
      </c>
      <c r="O214" s="239">
        <f t="shared" si="37"/>
        <v>-1476938.1748374999</v>
      </c>
      <c r="P214" s="239">
        <f t="shared" si="37"/>
        <v>0</v>
      </c>
      <c r="Q214" s="239">
        <f t="shared" si="37"/>
        <v>0</v>
      </c>
      <c r="R214" s="239">
        <f t="shared" si="37"/>
        <v>0</v>
      </c>
      <c r="S214" s="239">
        <f t="shared" si="37"/>
        <v>0</v>
      </c>
      <c r="T214" s="168"/>
      <c r="U214" s="168"/>
    </row>
    <row r="215" spans="2:21" ht="7.5" customHeight="1" outlineLevel="1">
      <c r="B215" s="167"/>
      <c r="C215" s="314"/>
      <c r="D215" s="215"/>
      <c r="E215" s="215"/>
      <c r="F215" s="215"/>
      <c r="G215" s="167"/>
      <c r="H215" s="239"/>
      <c r="I215" s="239"/>
      <c r="J215" s="239"/>
      <c r="K215" s="239"/>
      <c r="L215" s="239"/>
      <c r="M215" s="239"/>
      <c r="N215" s="215"/>
      <c r="O215" s="215"/>
      <c r="P215" s="215"/>
      <c r="Q215" s="215"/>
      <c r="R215" s="215"/>
      <c r="S215" s="215"/>
      <c r="T215" s="168"/>
      <c r="U215" s="168"/>
    </row>
    <row r="216" spans="2:21" ht="15.75" customHeight="1" outlineLevel="1">
      <c r="B216" s="167"/>
      <c r="C216" s="314" t="s">
        <v>144</v>
      </c>
      <c r="D216" s="215"/>
      <c r="E216" s="215"/>
      <c r="F216" s="215"/>
      <c r="G216" s="167"/>
      <c r="H216" s="272"/>
      <c r="I216" s="272"/>
      <c r="J216" s="272"/>
      <c r="K216" s="239"/>
      <c r="L216" s="239">
        <f t="shared" ref="L216:R216" si="38">L210+L212+L214</f>
        <v>46387396.862951726</v>
      </c>
      <c r="M216" s="239">
        <f t="shared" si="38"/>
        <v>21198926.487285234</v>
      </c>
      <c r="N216" s="239">
        <f t="shared" si="38"/>
        <v>14885021.477312319</v>
      </c>
      <c r="O216" s="239">
        <f t="shared" si="38"/>
        <v>4367241.1906565707</v>
      </c>
      <c r="P216" s="239">
        <f t="shared" si="38"/>
        <v>0</v>
      </c>
      <c r="Q216" s="239">
        <f t="shared" si="38"/>
        <v>0</v>
      </c>
      <c r="R216" s="239">
        <f t="shared" si="38"/>
        <v>0</v>
      </c>
      <c r="S216" s="239">
        <f>S210+S212+S214</f>
        <v>0</v>
      </c>
      <c r="T216" s="168"/>
      <c r="U216" s="168"/>
    </row>
    <row r="217" spans="2:21" ht="9" customHeight="1" outlineLevel="1">
      <c r="B217" s="167"/>
      <c r="C217" s="314"/>
      <c r="D217" s="215"/>
      <c r="E217" s="215"/>
      <c r="F217" s="215"/>
      <c r="G217" s="167"/>
      <c r="H217" s="272"/>
      <c r="I217" s="272"/>
      <c r="J217" s="272"/>
      <c r="K217" s="239"/>
      <c r="L217" s="239"/>
      <c r="M217" s="215"/>
      <c r="N217" s="215"/>
      <c r="O217" s="215"/>
      <c r="P217" s="215"/>
      <c r="Q217" s="215"/>
      <c r="R217" s="215"/>
      <c r="S217" s="215"/>
      <c r="T217" s="168"/>
      <c r="U217" s="168"/>
    </row>
    <row r="218" spans="2:21" ht="15.75" customHeight="1" outlineLevel="1">
      <c r="B218" s="167"/>
      <c r="C218" s="314" t="s">
        <v>145</v>
      </c>
      <c r="D218" s="215"/>
      <c r="E218" s="215"/>
      <c r="F218" s="215"/>
      <c r="G218" s="167"/>
      <c r="H218" s="272"/>
      <c r="I218" s="272"/>
      <c r="J218" s="272"/>
      <c r="K218" s="239"/>
      <c r="L218" s="311">
        <f>L216/L210</f>
        <v>0.29749873086563028</v>
      </c>
      <c r="M218" s="311">
        <f>M216/M210</f>
        <v>0.27161654051619366</v>
      </c>
      <c r="N218" s="311">
        <f>N216/N210</f>
        <v>0.19016013545327665</v>
      </c>
      <c r="O218" s="311">
        <f>O216/O210</f>
        <v>0.2462778445432551</v>
      </c>
      <c r="P218" s="311"/>
      <c r="Q218" s="311"/>
      <c r="R218" s="311"/>
      <c r="S218" s="311"/>
      <c r="T218" s="168"/>
      <c r="U218" s="168"/>
    </row>
    <row r="219" spans="2:21" ht="15.75" customHeight="1" outlineLevel="1">
      <c r="B219" s="167"/>
      <c r="C219" s="728" t="s">
        <v>75</v>
      </c>
      <c r="D219" s="215"/>
      <c r="E219" s="215"/>
      <c r="F219" s="215"/>
      <c r="G219" s="167"/>
      <c r="H219" s="272"/>
      <c r="I219" s="272"/>
      <c r="J219" s="272"/>
      <c r="K219" s="239"/>
      <c r="L219" s="239"/>
      <c r="M219" s="215"/>
      <c r="N219" s="215"/>
      <c r="O219" s="215"/>
      <c r="P219" s="215"/>
      <c r="Q219" s="215"/>
      <c r="R219" s="215"/>
      <c r="S219" s="215"/>
      <c r="T219" s="168"/>
      <c r="U219" s="168"/>
    </row>
    <row r="220" spans="2:21" ht="15.75" customHeight="1" outlineLevel="1">
      <c r="B220" s="167"/>
      <c r="C220" s="314" t="s">
        <v>109</v>
      </c>
      <c r="D220" s="242"/>
      <c r="E220" s="249"/>
      <c r="F220" s="249"/>
      <c r="G220" s="167"/>
      <c r="H220" s="167"/>
      <c r="I220" s="272"/>
      <c r="J220" s="272"/>
      <c r="K220" s="272"/>
      <c r="L220" s="272">
        <f t="shared" ref="L220:R220" si="39">L15+L16</f>
        <v>12819669.15346404</v>
      </c>
      <c r="M220" s="272">
        <f t="shared" si="39"/>
        <v>6668921.7308448926</v>
      </c>
      <c r="N220" s="272">
        <f t="shared" si="39"/>
        <v>31905289.108344212</v>
      </c>
      <c r="O220" s="272">
        <f t="shared" si="39"/>
        <v>11232875.706214691</v>
      </c>
      <c r="P220" s="272">
        <f t="shared" si="39"/>
        <v>0</v>
      </c>
      <c r="Q220" s="272">
        <f t="shared" si="39"/>
        <v>0</v>
      </c>
      <c r="R220" s="272">
        <f t="shared" si="39"/>
        <v>0</v>
      </c>
      <c r="S220" s="272">
        <f>S15+S16</f>
        <v>0</v>
      </c>
      <c r="T220" s="168"/>
      <c r="U220" s="168"/>
    </row>
    <row r="221" spans="2:21" ht="7.5" customHeight="1" outlineLevel="1">
      <c r="B221" s="167"/>
      <c r="C221" s="314"/>
      <c r="D221" s="242"/>
      <c r="E221" s="249"/>
      <c r="F221" s="249"/>
      <c r="G221" s="167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168"/>
      <c r="U221" s="168"/>
    </row>
    <row r="222" spans="2:21" ht="15.75" customHeight="1" outlineLevel="1">
      <c r="B222" s="167"/>
      <c r="C222" s="314" t="s">
        <v>110</v>
      </c>
      <c r="D222" s="215"/>
      <c r="E222" s="215"/>
      <c r="F222" s="215"/>
      <c r="G222" s="167"/>
      <c r="H222" s="167"/>
      <c r="I222" s="239"/>
      <c r="J222" s="240"/>
      <c r="K222" s="239"/>
      <c r="L222" s="239">
        <f t="shared" ref="L222:R222" si="40">-L127*(L34+L35)</f>
        <v>-5363968.3761932235</v>
      </c>
      <c r="M222" s="239">
        <f t="shared" si="40"/>
        <v>-1391463.5166299746</v>
      </c>
      <c r="N222" s="239">
        <f t="shared" si="40"/>
        <v>-8237386.1903770166</v>
      </c>
      <c r="O222" s="239">
        <f t="shared" si="40"/>
        <v>-3096472.6310014576</v>
      </c>
      <c r="P222" s="239">
        <f t="shared" si="40"/>
        <v>0</v>
      </c>
      <c r="Q222" s="239">
        <f t="shared" si="40"/>
        <v>0</v>
      </c>
      <c r="R222" s="239">
        <f t="shared" si="40"/>
        <v>0</v>
      </c>
      <c r="S222" s="239">
        <f>-S127*(S34+S35)</f>
        <v>0</v>
      </c>
      <c r="T222" s="168"/>
      <c r="U222" s="168"/>
    </row>
    <row r="223" spans="2:21" ht="7.5" customHeight="1" outlineLevel="1">
      <c r="B223" s="167"/>
      <c r="C223" s="314"/>
      <c r="D223" s="215"/>
      <c r="E223" s="215"/>
      <c r="F223" s="215"/>
      <c r="G223" s="167"/>
      <c r="H223" s="239"/>
      <c r="I223" s="239"/>
      <c r="J223" s="239"/>
      <c r="K223" s="239"/>
      <c r="L223" s="239"/>
      <c r="M223" s="239"/>
      <c r="N223" s="637"/>
      <c r="O223" s="637"/>
      <c r="P223" s="637"/>
      <c r="Q223" s="637"/>
      <c r="R223" s="637"/>
      <c r="S223" s="637"/>
      <c r="T223" s="168"/>
      <c r="U223" s="168"/>
    </row>
    <row r="224" spans="2:21" ht="15.75" customHeight="1" outlineLevel="1">
      <c r="B224" s="167"/>
      <c r="C224" s="314" t="s">
        <v>111</v>
      </c>
      <c r="D224" s="242"/>
      <c r="E224" s="249"/>
      <c r="F224" s="249"/>
      <c r="G224" s="167"/>
      <c r="H224" s="167"/>
      <c r="I224" s="346"/>
      <c r="J224" s="346"/>
      <c r="K224" s="346"/>
      <c r="L224" s="239">
        <f>-L35*L66-(L35*L51-L66*L35)*1.5%-L73*(L34+L35)</f>
        <v>-3226663.1067590001</v>
      </c>
      <c r="M224" s="239">
        <f t="shared" ref="M224:S224" si="41">-M35*M66-(M35*M51-M66*M35)*1.2%-M73*(M34+M35)</f>
        <v>-1646280.9010399999</v>
      </c>
      <c r="N224" s="239">
        <f t="shared" si="41"/>
        <v>-9368830.650848683</v>
      </c>
      <c r="O224" s="239">
        <f t="shared" si="41"/>
        <v>-3220195.3569010417</v>
      </c>
      <c r="P224" s="239">
        <f t="shared" si="41"/>
        <v>0</v>
      </c>
      <c r="Q224" s="239">
        <f t="shared" si="41"/>
        <v>0</v>
      </c>
      <c r="R224" s="239">
        <f t="shared" si="41"/>
        <v>0</v>
      </c>
      <c r="S224" s="239">
        <f t="shared" si="41"/>
        <v>0</v>
      </c>
      <c r="T224" s="168"/>
      <c r="U224" s="168"/>
    </row>
    <row r="225" spans="2:21" ht="7.5" customHeight="1" outlineLevel="1">
      <c r="B225" s="167"/>
      <c r="C225" s="314"/>
      <c r="D225" s="215"/>
      <c r="E225" s="215"/>
      <c r="F225" s="215"/>
      <c r="G225" s="167"/>
      <c r="H225" s="239"/>
      <c r="I225" s="239"/>
      <c r="J225" s="239"/>
      <c r="K225" s="239"/>
      <c r="L225" s="239"/>
      <c r="M225" s="239"/>
      <c r="N225" s="215"/>
      <c r="O225" s="215"/>
      <c r="P225" s="215"/>
      <c r="Q225" s="215"/>
      <c r="R225" s="215"/>
      <c r="S225" s="215"/>
      <c r="T225" s="168"/>
      <c r="U225" s="168"/>
    </row>
    <row r="226" spans="2:21" ht="15.75" customHeight="1" outlineLevel="1">
      <c r="B226" s="167"/>
      <c r="C226" s="314" t="s">
        <v>144</v>
      </c>
      <c r="D226" s="215"/>
      <c r="E226" s="215"/>
      <c r="F226" s="215"/>
      <c r="G226" s="167"/>
      <c r="H226" s="272"/>
      <c r="I226" s="272"/>
      <c r="J226" s="272"/>
      <c r="K226" s="239"/>
      <c r="L226" s="239">
        <f t="shared" ref="L226:R226" si="42">L220+L222+L224</f>
        <v>4229037.6705118157</v>
      </c>
      <c r="M226" s="239">
        <f t="shared" si="42"/>
        <v>3631177.3131749183</v>
      </c>
      <c r="N226" s="239">
        <f t="shared" si="42"/>
        <v>14299072.267118514</v>
      </c>
      <c r="O226" s="239">
        <f t="shared" si="42"/>
        <v>4916207.7183121908</v>
      </c>
      <c r="P226" s="239">
        <f t="shared" si="42"/>
        <v>0</v>
      </c>
      <c r="Q226" s="239">
        <f t="shared" si="42"/>
        <v>0</v>
      </c>
      <c r="R226" s="239">
        <f t="shared" si="42"/>
        <v>0</v>
      </c>
      <c r="S226" s="239">
        <f>S220+S222+S224</f>
        <v>0</v>
      </c>
      <c r="T226" s="168"/>
      <c r="U226" s="168"/>
    </row>
    <row r="227" spans="2:21" ht="6.75" customHeight="1" outlineLevel="1">
      <c r="B227" s="167"/>
      <c r="C227" s="314"/>
      <c r="D227" s="215"/>
      <c r="E227" s="215"/>
      <c r="F227" s="215"/>
      <c r="G227" s="167"/>
      <c r="H227" s="272"/>
      <c r="I227" s="272"/>
      <c r="J227" s="272"/>
      <c r="K227" s="239"/>
      <c r="L227" s="239"/>
      <c r="M227" s="215"/>
      <c r="N227" s="215"/>
      <c r="O227" s="215"/>
      <c r="P227" s="215"/>
      <c r="Q227" s="215"/>
      <c r="R227" s="215"/>
      <c r="S227" s="215"/>
      <c r="T227" s="168"/>
      <c r="U227" s="168"/>
    </row>
    <row r="228" spans="2:21" ht="15.75" customHeight="1" outlineLevel="1">
      <c r="B228" s="167"/>
      <c r="C228" s="314" t="s">
        <v>145</v>
      </c>
      <c r="D228" s="215"/>
      <c r="E228" s="215"/>
      <c r="F228" s="215"/>
      <c r="G228" s="167"/>
      <c r="H228" s="272"/>
      <c r="I228" s="272"/>
      <c r="J228" s="272"/>
      <c r="K228" s="239"/>
      <c r="L228" s="311">
        <f>L226/L220</f>
        <v>0.32988664683043517</v>
      </c>
      <c r="M228" s="311">
        <f>M226/M220</f>
        <v>0.54449241717444485</v>
      </c>
      <c r="N228" s="311">
        <f>N226/N220</f>
        <v>0.44817247129658094</v>
      </c>
      <c r="O228" s="311">
        <f>O226/O220</f>
        <v>0.43766243363596147</v>
      </c>
      <c r="P228" s="311"/>
      <c r="Q228" s="311"/>
      <c r="R228" s="311"/>
      <c r="S228" s="311"/>
      <c r="T228" s="168"/>
      <c r="U228" s="168"/>
    </row>
    <row r="229" spans="2:21" ht="15.75" customHeight="1" outlineLevel="1">
      <c r="B229" s="167"/>
      <c r="C229" s="728" t="s">
        <v>76</v>
      </c>
      <c r="D229" s="215"/>
      <c r="E229" s="215"/>
      <c r="F229" s="215"/>
      <c r="G229" s="167"/>
      <c r="H229" s="272"/>
      <c r="I229" s="272"/>
      <c r="J229" s="272"/>
      <c r="K229" s="239"/>
      <c r="L229" s="239"/>
      <c r="M229" s="215"/>
      <c r="N229" s="215"/>
      <c r="O229" s="215"/>
      <c r="P229" s="215"/>
      <c r="Q229" s="215"/>
      <c r="R229" s="215"/>
      <c r="S229" s="215"/>
      <c r="T229" s="168"/>
      <c r="U229" s="168"/>
    </row>
    <row r="230" spans="2:21" ht="15.75" customHeight="1" outlineLevel="1">
      <c r="B230" s="167"/>
      <c r="C230" s="314" t="s">
        <v>109</v>
      </c>
      <c r="D230" s="242"/>
      <c r="E230" s="249"/>
      <c r="F230" s="249"/>
      <c r="G230" s="167"/>
      <c r="H230" s="167"/>
      <c r="I230" s="272"/>
      <c r="J230" s="272"/>
      <c r="K230" s="272"/>
      <c r="L230" s="272">
        <f t="shared" ref="L230:R230" si="43">L17+L18</f>
        <v>21137827.632567659</v>
      </c>
      <c r="M230" s="272">
        <f t="shared" si="43"/>
        <v>9548757.1193225719</v>
      </c>
      <c r="N230" s="272">
        <f t="shared" si="43"/>
        <v>0</v>
      </c>
      <c r="O230" s="272">
        <f t="shared" si="43"/>
        <v>0</v>
      </c>
      <c r="P230" s="272">
        <f t="shared" si="43"/>
        <v>0</v>
      </c>
      <c r="Q230" s="272">
        <f t="shared" si="43"/>
        <v>0</v>
      </c>
      <c r="R230" s="272">
        <f t="shared" si="43"/>
        <v>0</v>
      </c>
      <c r="S230" s="272">
        <f>S17+S18</f>
        <v>0</v>
      </c>
      <c r="T230" s="168"/>
      <c r="U230" s="168"/>
    </row>
    <row r="231" spans="2:21" ht="7.5" customHeight="1" outlineLevel="1">
      <c r="B231" s="167"/>
      <c r="C231" s="314"/>
      <c r="D231" s="242"/>
      <c r="E231" s="249"/>
      <c r="F231" s="249"/>
      <c r="G231" s="167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168"/>
      <c r="U231" s="168"/>
    </row>
    <row r="232" spans="2:21" ht="15.75" customHeight="1" outlineLevel="1">
      <c r="B232" s="167"/>
      <c r="C232" s="314" t="s">
        <v>110</v>
      </c>
      <c r="D232" s="215"/>
      <c r="E232" s="215"/>
      <c r="F232" s="215"/>
      <c r="G232" s="167"/>
      <c r="H232" s="167"/>
      <c r="I232" s="239"/>
      <c r="J232" s="240"/>
      <c r="K232" s="239"/>
      <c r="L232" s="239">
        <f t="shared" ref="L232:R232" si="44">-L138*(L36+L37)</f>
        <v>-9592763.3354470655</v>
      </c>
      <c r="M232" s="239">
        <f t="shared" si="44"/>
        <v>-7643354.6755541423</v>
      </c>
      <c r="N232" s="239">
        <f t="shared" si="44"/>
        <v>0</v>
      </c>
      <c r="O232" s="239">
        <f t="shared" si="44"/>
        <v>0</v>
      </c>
      <c r="P232" s="239">
        <f t="shared" si="44"/>
        <v>0</v>
      </c>
      <c r="Q232" s="239">
        <f t="shared" si="44"/>
        <v>0</v>
      </c>
      <c r="R232" s="239">
        <f t="shared" si="44"/>
        <v>0</v>
      </c>
      <c r="S232" s="239">
        <f>-S138*(S36+S37)</f>
        <v>0</v>
      </c>
      <c r="T232" s="168"/>
      <c r="U232" s="168"/>
    </row>
    <row r="233" spans="2:21" ht="7.5" customHeight="1" outlineLevel="1">
      <c r="B233" s="167"/>
      <c r="C233" s="314"/>
      <c r="D233" s="215"/>
      <c r="E233" s="215"/>
      <c r="F233" s="215"/>
      <c r="G233" s="167"/>
      <c r="H233" s="239"/>
      <c r="I233" s="239"/>
      <c r="J233" s="239"/>
      <c r="K233" s="239"/>
      <c r="L233" s="239"/>
      <c r="M233" s="239"/>
      <c r="N233" s="637"/>
      <c r="O233" s="637"/>
      <c r="P233" s="637"/>
      <c r="Q233" s="637"/>
      <c r="R233" s="637"/>
      <c r="S233" s="637"/>
      <c r="T233" s="168"/>
      <c r="U233" s="168"/>
    </row>
    <row r="234" spans="2:21" ht="15.75" customHeight="1" outlineLevel="1">
      <c r="B234" s="167"/>
      <c r="C234" s="314" t="s">
        <v>111</v>
      </c>
      <c r="D234" s="242"/>
      <c r="E234" s="249"/>
      <c r="F234" s="249"/>
      <c r="G234" s="167"/>
      <c r="H234" s="167"/>
      <c r="I234" s="346"/>
      <c r="J234" s="346"/>
      <c r="K234" s="346"/>
      <c r="L234" s="239">
        <f>-L67*L37-(L54*L37-L37*L67)*1.5%-L74*(L36+L37)</f>
        <v>-3679049.1048680004</v>
      </c>
      <c r="M234" s="239">
        <f>-M67*M37-(M54*M37-M37*M67)*1.2%-M74*(M36+M37)</f>
        <v>-1216431.9049551999</v>
      </c>
      <c r="N234" s="239">
        <f>-N67*N37-(N54*N37-N37*N67)*0.7%-N74*(N36+N37)</f>
        <v>0</v>
      </c>
      <c r="O234" s="239">
        <f>-O67*O37-(O54*O37-O37*O67)*1.5%-O74*(O36+O37)</f>
        <v>0</v>
      </c>
      <c r="P234" s="239">
        <f>-P67*P37-(P54*P37-P37*P67)*1.5%-P74*(P36+P37)</f>
        <v>0</v>
      </c>
      <c r="Q234" s="239">
        <f>-Q67*Q37-(Q54*Q37-Q37*Q67)*1.5%-Q74*(Q36+Q37)</f>
        <v>0</v>
      </c>
      <c r="R234" s="239">
        <f>-R67*R37-(R54*R37-R37*R67)*1.5%-R74*(R36+R37)</f>
        <v>0</v>
      </c>
      <c r="S234" s="239">
        <f>-S67*S37-(S54*S37-S37*S67)*1.5%-S74*(S36+S37)</f>
        <v>0</v>
      </c>
      <c r="T234" s="168"/>
      <c r="U234" s="168"/>
    </row>
    <row r="235" spans="2:21" ht="7.5" customHeight="1" outlineLevel="1">
      <c r="B235" s="167"/>
      <c r="C235" s="314"/>
      <c r="D235" s="215"/>
      <c r="E235" s="215"/>
      <c r="F235" s="215"/>
      <c r="G235" s="167"/>
      <c r="H235" s="239"/>
      <c r="I235" s="239"/>
      <c r="J235" s="239"/>
      <c r="K235" s="239"/>
      <c r="L235" s="239"/>
      <c r="M235" s="239"/>
      <c r="N235" s="215"/>
      <c r="O235" s="215"/>
      <c r="P235" s="215"/>
      <c r="Q235" s="215"/>
      <c r="R235" s="215"/>
      <c r="S235" s="215"/>
      <c r="T235" s="168"/>
      <c r="U235" s="168"/>
    </row>
    <row r="236" spans="2:21" ht="15.75" customHeight="1" outlineLevel="1">
      <c r="B236" s="167"/>
      <c r="C236" s="314" t="s">
        <v>144</v>
      </c>
      <c r="D236" s="215"/>
      <c r="E236" s="215"/>
      <c r="F236" s="215"/>
      <c r="G236" s="167"/>
      <c r="H236" s="272"/>
      <c r="I236" s="272"/>
      <c r="J236" s="272"/>
      <c r="K236" s="239"/>
      <c r="L236" s="239">
        <f t="shared" ref="L236:R236" si="45">L230+L232+L234</f>
        <v>7866015.1922525931</v>
      </c>
      <c r="M236" s="239">
        <f t="shared" si="45"/>
        <v>688970.53881322965</v>
      </c>
      <c r="N236" s="239">
        <f t="shared" si="45"/>
        <v>0</v>
      </c>
      <c r="O236" s="239">
        <f t="shared" si="45"/>
        <v>0</v>
      </c>
      <c r="P236" s="239">
        <f t="shared" si="45"/>
        <v>0</v>
      </c>
      <c r="Q236" s="239">
        <f t="shared" si="45"/>
        <v>0</v>
      </c>
      <c r="R236" s="239">
        <f t="shared" si="45"/>
        <v>0</v>
      </c>
      <c r="S236" s="239">
        <f>S230+S232+S234</f>
        <v>0</v>
      </c>
      <c r="T236" s="168"/>
      <c r="U236" s="168"/>
    </row>
    <row r="237" spans="2:21" ht="6.75" customHeight="1" outlineLevel="1">
      <c r="B237" s="167"/>
      <c r="C237" s="314"/>
      <c r="D237" s="215"/>
      <c r="E237" s="215"/>
      <c r="F237" s="215"/>
      <c r="G237" s="167"/>
      <c r="H237" s="272"/>
      <c r="I237" s="272"/>
      <c r="J237" s="272"/>
      <c r="K237" s="239"/>
      <c r="L237" s="239"/>
      <c r="M237" s="215"/>
      <c r="N237" s="215"/>
      <c r="O237" s="215"/>
      <c r="P237" s="215"/>
      <c r="Q237" s="215"/>
      <c r="R237" s="215"/>
      <c r="S237" s="215"/>
      <c r="T237" s="168"/>
      <c r="U237" s="168"/>
    </row>
    <row r="238" spans="2:21" ht="15.75" customHeight="1" outlineLevel="1">
      <c r="B238" s="167"/>
      <c r="C238" s="314" t="s">
        <v>145</v>
      </c>
      <c r="D238" s="215"/>
      <c r="E238" s="215"/>
      <c r="F238" s="215"/>
      <c r="G238" s="167"/>
      <c r="H238" s="272"/>
      <c r="I238" s="272"/>
      <c r="J238" s="272"/>
      <c r="K238" s="239"/>
      <c r="L238" s="311">
        <f>L236/L230</f>
        <v>0.37212978216045234</v>
      </c>
      <c r="M238" s="311">
        <f>M236/M230</f>
        <v>7.2152902226306506E-2</v>
      </c>
      <c r="N238" s="311"/>
      <c r="O238" s="311"/>
      <c r="P238" s="311"/>
      <c r="Q238" s="311"/>
      <c r="R238" s="311"/>
      <c r="S238" s="311"/>
      <c r="T238" s="168"/>
      <c r="U238" s="168"/>
    </row>
    <row r="239" spans="2:21" ht="15.75" customHeight="1" outlineLevel="1">
      <c r="B239" s="167"/>
      <c r="C239" s="728" t="s">
        <v>77</v>
      </c>
      <c r="D239" s="215"/>
      <c r="E239" s="215"/>
      <c r="F239" s="215"/>
      <c r="G239" s="167"/>
      <c r="H239" s="272"/>
      <c r="I239" s="272"/>
      <c r="J239" s="272"/>
      <c r="K239" s="239"/>
      <c r="L239" s="239"/>
      <c r="M239" s="215"/>
      <c r="N239" s="215"/>
      <c r="O239" s="215"/>
      <c r="P239" s="215"/>
      <c r="Q239" s="215"/>
      <c r="R239" s="215"/>
      <c r="S239" s="215"/>
      <c r="T239" s="168"/>
      <c r="U239" s="168"/>
    </row>
    <row r="240" spans="2:21" ht="15.75" customHeight="1" outlineLevel="1">
      <c r="B240" s="167"/>
      <c r="C240" s="314" t="s">
        <v>109</v>
      </c>
      <c r="D240" s="242"/>
      <c r="E240" s="249"/>
      <c r="F240" s="249"/>
      <c r="G240" s="167"/>
      <c r="H240" s="167"/>
      <c r="I240" s="272"/>
      <c r="J240" s="272"/>
      <c r="K240" s="272"/>
      <c r="L240" s="272">
        <f t="shared" ref="L240:R240" si="46">L19</f>
        <v>196567.68704746585</v>
      </c>
      <c r="M240" s="272">
        <f t="shared" si="46"/>
        <v>453780.35277427494</v>
      </c>
      <c r="N240" s="272">
        <f t="shared" si="46"/>
        <v>1925725.5762600002</v>
      </c>
      <c r="O240" s="272">
        <f t="shared" si="46"/>
        <v>0</v>
      </c>
      <c r="P240" s="272">
        <f t="shared" si="46"/>
        <v>0</v>
      </c>
      <c r="Q240" s="272">
        <f t="shared" si="46"/>
        <v>0</v>
      </c>
      <c r="R240" s="272">
        <f t="shared" si="46"/>
        <v>0</v>
      </c>
      <c r="S240" s="272">
        <f>S19</f>
        <v>0</v>
      </c>
      <c r="T240" s="168"/>
      <c r="U240" s="168"/>
    </row>
    <row r="241" spans="2:21" ht="7.5" customHeight="1" outlineLevel="1">
      <c r="B241" s="167"/>
      <c r="C241" s="314"/>
      <c r="D241" s="242"/>
      <c r="E241" s="249"/>
      <c r="F241" s="249"/>
      <c r="G241" s="167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168"/>
      <c r="U241" s="168"/>
    </row>
    <row r="242" spans="2:21" ht="15.75" customHeight="1" outlineLevel="1">
      <c r="B242" s="167"/>
      <c r="C242" s="314" t="s">
        <v>110</v>
      </c>
      <c r="D242" s="215"/>
      <c r="E242" s="215"/>
      <c r="F242" s="215"/>
      <c r="G242" s="167"/>
      <c r="H242" s="167"/>
      <c r="I242" s="239"/>
      <c r="J242" s="240"/>
      <c r="K242" s="239"/>
      <c r="L242" s="239">
        <f t="shared" ref="L242:R242" si="47">-L152*L38</f>
        <v>-327237.69762536825</v>
      </c>
      <c r="M242" s="239">
        <f t="shared" si="47"/>
        <v>-78887.033867213118</v>
      </c>
      <c r="N242" s="239">
        <f t="shared" si="47"/>
        <v>-306431.59152320994</v>
      </c>
      <c r="O242" s="239">
        <f t="shared" si="47"/>
        <v>0</v>
      </c>
      <c r="P242" s="239">
        <f t="shared" si="47"/>
        <v>0</v>
      </c>
      <c r="Q242" s="239">
        <f t="shared" si="47"/>
        <v>0</v>
      </c>
      <c r="R242" s="239">
        <f t="shared" si="47"/>
        <v>0</v>
      </c>
      <c r="S242" s="239">
        <f>-S152*S38</f>
        <v>0</v>
      </c>
      <c r="T242" s="168"/>
      <c r="U242" s="168"/>
    </row>
    <row r="243" spans="2:21" ht="7.5" customHeight="1" outlineLevel="1">
      <c r="B243" s="167"/>
      <c r="C243" s="314"/>
      <c r="D243" s="215"/>
      <c r="E243" s="215"/>
      <c r="F243" s="215"/>
      <c r="G243" s="167"/>
      <c r="H243" s="239"/>
      <c r="I243" s="239"/>
      <c r="J243" s="239"/>
      <c r="K243" s="239"/>
      <c r="L243" s="239"/>
      <c r="M243" s="239"/>
      <c r="N243" s="637"/>
      <c r="O243" s="637"/>
      <c r="P243" s="637"/>
      <c r="Q243" s="637"/>
      <c r="R243" s="637"/>
      <c r="S243" s="637"/>
      <c r="T243" s="168"/>
      <c r="U243" s="168"/>
    </row>
    <row r="244" spans="2:21" ht="15.75" customHeight="1" outlineLevel="1">
      <c r="B244" s="167"/>
      <c r="C244" s="314" t="s">
        <v>111</v>
      </c>
      <c r="D244" s="242"/>
      <c r="E244" s="249"/>
      <c r="F244" s="249"/>
      <c r="G244" s="167"/>
      <c r="H244" s="167"/>
      <c r="I244" s="346"/>
      <c r="J244" s="346"/>
      <c r="K244" s="346"/>
      <c r="L244" s="239">
        <f t="shared" ref="L244:R244" si="48">-L75*L38</f>
        <v>-49590</v>
      </c>
      <c r="M244" s="239">
        <f t="shared" si="48"/>
        <v>-7394.19</v>
      </c>
      <c r="N244" s="239">
        <f t="shared" si="48"/>
        <v>-202961.72974671057</v>
      </c>
      <c r="O244" s="239">
        <f t="shared" si="48"/>
        <v>0</v>
      </c>
      <c r="P244" s="239">
        <f t="shared" si="48"/>
        <v>0</v>
      </c>
      <c r="Q244" s="239">
        <f t="shared" si="48"/>
        <v>0</v>
      </c>
      <c r="R244" s="239">
        <f t="shared" si="48"/>
        <v>0</v>
      </c>
      <c r="S244" s="239">
        <f>-S75*S38</f>
        <v>0</v>
      </c>
      <c r="T244" s="168"/>
      <c r="U244" s="168"/>
    </row>
    <row r="245" spans="2:21" ht="7.5" customHeight="1" outlineLevel="1">
      <c r="B245" s="167"/>
      <c r="C245" s="314"/>
      <c r="D245" s="215"/>
      <c r="E245" s="215"/>
      <c r="F245" s="215"/>
      <c r="G245" s="167"/>
      <c r="H245" s="239"/>
      <c r="I245" s="239"/>
      <c r="J245" s="239"/>
      <c r="K245" s="239"/>
      <c r="L245" s="239"/>
      <c r="M245" s="239"/>
      <c r="N245" s="215"/>
      <c r="O245" s="215"/>
      <c r="P245" s="215"/>
      <c r="Q245" s="215"/>
      <c r="R245" s="215"/>
      <c r="S245" s="215"/>
      <c r="T245" s="168"/>
      <c r="U245" s="168"/>
    </row>
    <row r="246" spans="2:21" ht="15.75" customHeight="1" outlineLevel="1">
      <c r="B246" s="167"/>
      <c r="C246" s="314" t="s">
        <v>144</v>
      </c>
      <c r="D246" s="215"/>
      <c r="E246" s="215"/>
      <c r="F246" s="215"/>
      <c r="G246" s="167"/>
      <c r="H246" s="272"/>
      <c r="I246" s="272"/>
      <c r="J246" s="272"/>
      <c r="K246" s="239"/>
      <c r="L246" s="239">
        <f t="shared" ref="L246:R246" si="49">L240+L242+L244</f>
        <v>-180260.0105779024</v>
      </c>
      <c r="M246" s="239">
        <f t="shared" si="49"/>
        <v>367499.12890706182</v>
      </c>
      <c r="N246" s="239">
        <f t="shared" si="49"/>
        <v>1416332.2549900799</v>
      </c>
      <c r="O246" s="239">
        <f t="shared" si="49"/>
        <v>0</v>
      </c>
      <c r="P246" s="239">
        <f t="shared" si="49"/>
        <v>0</v>
      </c>
      <c r="Q246" s="239">
        <f t="shared" si="49"/>
        <v>0</v>
      </c>
      <c r="R246" s="239">
        <f t="shared" si="49"/>
        <v>0</v>
      </c>
      <c r="S246" s="239">
        <f>S240+S242+S244</f>
        <v>0</v>
      </c>
      <c r="T246" s="168"/>
      <c r="U246" s="168"/>
    </row>
    <row r="247" spans="2:21" ht="6.75" customHeight="1" outlineLevel="1">
      <c r="B247" s="167"/>
      <c r="C247" s="314"/>
      <c r="D247" s="215"/>
      <c r="E247" s="215"/>
      <c r="F247" s="215"/>
      <c r="G247" s="167"/>
      <c r="H247" s="272"/>
      <c r="I247" s="272"/>
      <c r="J247" s="272"/>
      <c r="K247" s="239"/>
      <c r="L247" s="239"/>
      <c r="M247" s="215"/>
      <c r="N247" s="215"/>
      <c r="O247" s="215"/>
      <c r="P247" s="215"/>
      <c r="Q247" s="215"/>
      <c r="R247" s="215"/>
      <c r="S247" s="215"/>
      <c r="T247" s="168"/>
      <c r="U247" s="168"/>
    </row>
    <row r="248" spans="2:21" ht="15.75" customHeight="1" outlineLevel="1">
      <c r="B248" s="167"/>
      <c r="C248" s="314" t="s">
        <v>145</v>
      </c>
      <c r="D248" s="215"/>
      <c r="E248" s="215"/>
      <c r="F248" s="215"/>
      <c r="G248" s="167"/>
      <c r="H248" s="272"/>
      <c r="I248" s="272"/>
      <c r="J248" s="272"/>
      <c r="K248" s="239"/>
      <c r="L248" s="311">
        <f>L246/L240</f>
        <v>-0.91703785747030953</v>
      </c>
      <c r="M248" s="311">
        <f>M246/M240</f>
        <v>0.80986126142369108</v>
      </c>
      <c r="N248" s="311">
        <f>N246/N240</f>
        <v>0.73547979652468143</v>
      </c>
      <c r="O248" s="311"/>
      <c r="P248" s="311"/>
      <c r="Q248" s="311"/>
      <c r="R248" s="311"/>
      <c r="S248" s="311"/>
      <c r="T248" s="168"/>
      <c r="U248" s="168"/>
    </row>
    <row r="249" spans="2:21" ht="15.75" customHeight="1" outlineLevel="1">
      <c r="B249" s="167"/>
      <c r="C249" s="728" t="s">
        <v>654</v>
      </c>
      <c r="D249" s="215"/>
      <c r="E249" s="215"/>
      <c r="F249" s="215"/>
      <c r="G249" s="167"/>
      <c r="H249" s="272"/>
      <c r="I249" s="272"/>
      <c r="J249" s="272"/>
      <c r="K249" s="239"/>
      <c r="L249" s="239"/>
      <c r="M249" s="215"/>
      <c r="N249" s="215"/>
      <c r="O249" s="215"/>
      <c r="P249" s="215"/>
      <c r="Q249" s="215"/>
      <c r="R249" s="215"/>
      <c r="S249" s="215"/>
      <c r="T249" s="168"/>
      <c r="U249" s="168"/>
    </row>
    <row r="250" spans="2:21" ht="15.75" customHeight="1" outlineLevel="1">
      <c r="B250" s="167"/>
      <c r="C250" s="314" t="s">
        <v>109</v>
      </c>
      <c r="D250" s="242"/>
      <c r="E250" s="249"/>
      <c r="F250" s="249"/>
      <c r="G250" s="167"/>
      <c r="H250" s="167"/>
      <c r="I250" s="272"/>
      <c r="J250" s="272"/>
      <c r="K250" s="272"/>
      <c r="L250" s="272">
        <f t="shared" ref="L250:R250" si="50">L20</f>
        <v>3774958.648431215</v>
      </c>
      <c r="M250" s="272">
        <f t="shared" si="50"/>
        <v>3618322.8247162672</v>
      </c>
      <c r="N250" s="272">
        <f t="shared" si="50"/>
        <v>0</v>
      </c>
      <c r="O250" s="272">
        <f t="shared" si="50"/>
        <v>0</v>
      </c>
      <c r="P250" s="272">
        <f t="shared" si="50"/>
        <v>0</v>
      </c>
      <c r="Q250" s="272">
        <f t="shared" si="50"/>
        <v>0</v>
      </c>
      <c r="R250" s="272">
        <f t="shared" si="50"/>
        <v>0</v>
      </c>
      <c r="S250" s="272">
        <f>S20</f>
        <v>0</v>
      </c>
      <c r="T250" s="168"/>
      <c r="U250" s="168"/>
    </row>
    <row r="251" spans="2:21" ht="7.5" customHeight="1" outlineLevel="1">
      <c r="B251" s="167"/>
      <c r="C251" s="314"/>
      <c r="D251" s="242"/>
      <c r="E251" s="249"/>
      <c r="F251" s="249"/>
      <c r="G251" s="167"/>
      <c r="H251" s="272"/>
      <c r="I251" s="272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168"/>
      <c r="U251" s="168"/>
    </row>
    <row r="252" spans="2:21" ht="15.75" customHeight="1" outlineLevel="1">
      <c r="B252" s="167"/>
      <c r="C252" s="314" t="s">
        <v>110</v>
      </c>
      <c r="D252" s="215"/>
      <c r="E252" s="215"/>
      <c r="F252" s="215"/>
      <c r="G252" s="167"/>
      <c r="H252" s="167"/>
      <c r="I252" s="239"/>
      <c r="J252" s="240"/>
      <c r="K252" s="239"/>
      <c r="L252" s="239">
        <f t="shared" ref="L252:R252" si="51">-L161*L39</f>
        <v>-2959840.4702325133</v>
      </c>
      <c r="M252" s="239">
        <f t="shared" si="51"/>
        <v>-3281918.3375384603</v>
      </c>
      <c r="N252" s="239">
        <f t="shared" si="51"/>
        <v>0</v>
      </c>
      <c r="O252" s="239">
        <f t="shared" si="51"/>
        <v>0</v>
      </c>
      <c r="P252" s="239">
        <f t="shared" si="51"/>
        <v>0</v>
      </c>
      <c r="Q252" s="239">
        <f t="shared" si="51"/>
        <v>0</v>
      </c>
      <c r="R252" s="239">
        <f t="shared" si="51"/>
        <v>0</v>
      </c>
      <c r="S252" s="239">
        <f>-S161*S39</f>
        <v>0</v>
      </c>
      <c r="T252" s="168"/>
      <c r="U252" s="168"/>
    </row>
    <row r="253" spans="2:21" ht="7.5" customHeight="1" outlineLevel="1">
      <c r="B253" s="167"/>
      <c r="C253" s="314"/>
      <c r="D253" s="215"/>
      <c r="E253" s="215"/>
      <c r="F253" s="215"/>
      <c r="G253" s="167"/>
      <c r="H253" s="239"/>
      <c r="I253" s="239"/>
      <c r="J253" s="239"/>
      <c r="K253" s="239"/>
      <c r="L253" s="239"/>
      <c r="M253" s="239"/>
      <c r="N253" s="637"/>
      <c r="O253" s="637"/>
      <c r="P253" s="637"/>
      <c r="Q253" s="637"/>
      <c r="R253" s="637"/>
      <c r="S253" s="637"/>
      <c r="T253" s="168"/>
      <c r="U253" s="168"/>
    </row>
    <row r="254" spans="2:21" ht="15.75" customHeight="1" outlineLevel="1">
      <c r="B254" s="167"/>
      <c r="C254" s="314" t="s">
        <v>111</v>
      </c>
      <c r="D254" s="242"/>
      <c r="E254" s="249"/>
      <c r="F254" s="249"/>
      <c r="G254" s="167"/>
      <c r="H254" s="167"/>
      <c r="I254" s="346"/>
      <c r="J254" s="346"/>
      <c r="K254" s="346"/>
      <c r="L254" s="239">
        <f t="shared" ref="L254:R254" si="52">-L76*L39</f>
        <v>-11436.599999999999</v>
      </c>
      <c r="M254" s="239">
        <f t="shared" si="52"/>
        <v>-12219.199999999999</v>
      </c>
      <c r="N254" s="239">
        <f t="shared" si="52"/>
        <v>0</v>
      </c>
      <c r="O254" s="239">
        <f t="shared" si="52"/>
        <v>0</v>
      </c>
      <c r="P254" s="239">
        <f t="shared" si="52"/>
        <v>0</v>
      </c>
      <c r="Q254" s="239">
        <f t="shared" si="52"/>
        <v>0</v>
      </c>
      <c r="R254" s="239">
        <f t="shared" si="52"/>
        <v>0</v>
      </c>
      <c r="S254" s="239">
        <f>-S76*S39</f>
        <v>0</v>
      </c>
      <c r="T254" s="168"/>
      <c r="U254" s="168"/>
    </row>
    <row r="255" spans="2:21" ht="7.5" customHeight="1" outlineLevel="1">
      <c r="B255" s="167"/>
      <c r="C255" s="314"/>
      <c r="D255" s="215"/>
      <c r="E255" s="215"/>
      <c r="F255" s="215"/>
      <c r="G255" s="167"/>
      <c r="H255" s="239"/>
      <c r="I255" s="239"/>
      <c r="J255" s="239"/>
      <c r="K255" s="239"/>
      <c r="L255" s="239"/>
      <c r="M255" s="239"/>
      <c r="N255" s="215"/>
      <c r="O255" s="215"/>
      <c r="P255" s="215"/>
      <c r="Q255" s="215"/>
      <c r="R255" s="215"/>
      <c r="S255" s="215"/>
      <c r="T255" s="168"/>
      <c r="U255" s="168"/>
    </row>
    <row r="256" spans="2:21" ht="15.75" customHeight="1" outlineLevel="1">
      <c r="B256" s="167"/>
      <c r="C256" s="314" t="s">
        <v>144</v>
      </c>
      <c r="D256" s="215"/>
      <c r="E256" s="215"/>
      <c r="F256" s="215"/>
      <c r="G256" s="167"/>
      <c r="H256" s="272"/>
      <c r="I256" s="272"/>
      <c r="J256" s="272"/>
      <c r="K256" s="239"/>
      <c r="L256" s="239">
        <f t="shared" ref="L256:R256" si="53">L250+L252+L254</f>
        <v>803681.57819870173</v>
      </c>
      <c r="M256" s="239">
        <f t="shared" si="53"/>
        <v>324185.28717780689</v>
      </c>
      <c r="N256" s="239">
        <f t="shared" si="53"/>
        <v>0</v>
      </c>
      <c r="O256" s="239">
        <f t="shared" si="53"/>
        <v>0</v>
      </c>
      <c r="P256" s="239">
        <f t="shared" si="53"/>
        <v>0</v>
      </c>
      <c r="Q256" s="239">
        <f t="shared" si="53"/>
        <v>0</v>
      </c>
      <c r="R256" s="239">
        <f t="shared" si="53"/>
        <v>0</v>
      </c>
      <c r="S256" s="239">
        <f>S250+S252+S254</f>
        <v>0</v>
      </c>
      <c r="T256" s="168"/>
      <c r="U256" s="168"/>
    </row>
    <row r="257" spans="2:21" ht="6.75" customHeight="1" outlineLevel="1">
      <c r="B257" s="167"/>
      <c r="C257" s="314"/>
      <c r="D257" s="215"/>
      <c r="E257" s="215"/>
      <c r="F257" s="215"/>
      <c r="G257" s="167"/>
      <c r="H257" s="272"/>
      <c r="I257" s="272"/>
      <c r="J257" s="272"/>
      <c r="K257" s="239"/>
      <c r="L257" s="239"/>
      <c r="M257" s="215"/>
      <c r="N257" s="215"/>
      <c r="O257" s="215"/>
      <c r="P257" s="215"/>
      <c r="Q257" s="215"/>
      <c r="R257" s="215"/>
      <c r="S257" s="215"/>
      <c r="T257" s="168"/>
      <c r="U257" s="168"/>
    </row>
    <row r="258" spans="2:21" ht="15.75" customHeight="1" outlineLevel="1">
      <c r="B258" s="167"/>
      <c r="C258" s="314" t="s">
        <v>145</v>
      </c>
      <c r="D258" s="215"/>
      <c r="E258" s="215"/>
      <c r="F258" s="215"/>
      <c r="G258" s="167"/>
      <c r="H258" s="272"/>
      <c r="I258" s="272"/>
      <c r="J258" s="272"/>
      <c r="K258" s="239"/>
      <c r="L258" s="311">
        <f>L256/L250</f>
        <v>0.21289811440257581</v>
      </c>
      <c r="M258" s="311">
        <f>M256/M250</f>
        <v>8.9595457034220838E-2</v>
      </c>
      <c r="N258" s="311"/>
      <c r="O258" s="311"/>
      <c r="P258" s="311"/>
      <c r="Q258" s="311"/>
      <c r="R258" s="311"/>
      <c r="S258" s="311"/>
      <c r="T258" s="168"/>
      <c r="U258" s="168"/>
    </row>
    <row r="259" spans="2:21" ht="15.75" customHeight="1" outlineLevel="1">
      <c r="B259" s="167"/>
      <c r="C259" s="728" t="s">
        <v>146</v>
      </c>
      <c r="D259" s="215"/>
      <c r="E259" s="215"/>
      <c r="F259" s="215"/>
      <c r="G259" s="167"/>
      <c r="H259" s="272"/>
      <c r="I259" s="272"/>
      <c r="J259" s="272"/>
      <c r="K259" s="239"/>
      <c r="L259" s="239"/>
      <c r="M259" s="239"/>
      <c r="N259" s="239"/>
      <c r="O259" s="239"/>
      <c r="P259" s="239"/>
      <c r="Q259" s="239"/>
      <c r="R259" s="239"/>
      <c r="S259" s="239"/>
      <c r="T259" s="168"/>
      <c r="U259" s="168"/>
    </row>
    <row r="260" spans="2:21" ht="15.75" customHeight="1" outlineLevel="1">
      <c r="B260" s="167"/>
      <c r="C260" s="314" t="s">
        <v>109</v>
      </c>
      <c r="D260" s="215"/>
      <c r="E260" s="215"/>
      <c r="F260" s="215"/>
      <c r="G260" s="167"/>
      <c r="H260" s="272"/>
      <c r="I260" s="272"/>
      <c r="J260" s="272"/>
      <c r="K260" s="239"/>
      <c r="L260" s="239">
        <f t="shared" ref="L260:R260" si="54">L21</f>
        <v>519862.61625100567</v>
      </c>
      <c r="M260" s="272">
        <f t="shared" si="54"/>
        <v>766918.03278688528</v>
      </c>
      <c r="N260" s="239">
        <f t="shared" si="54"/>
        <v>859406.25</v>
      </c>
      <c r="O260" s="239">
        <f t="shared" si="54"/>
        <v>403750</v>
      </c>
      <c r="P260" s="239">
        <f t="shared" si="54"/>
        <v>0</v>
      </c>
      <c r="Q260" s="239">
        <f t="shared" si="54"/>
        <v>0</v>
      </c>
      <c r="R260" s="239">
        <f t="shared" si="54"/>
        <v>0</v>
      </c>
      <c r="S260" s="239">
        <f>S21</f>
        <v>0</v>
      </c>
      <c r="T260" s="168"/>
      <c r="U260" s="168"/>
    </row>
    <row r="261" spans="2:21" ht="5.25" customHeight="1" outlineLevel="1">
      <c r="B261" s="167"/>
      <c r="C261" s="314"/>
      <c r="D261" s="215"/>
      <c r="E261" s="215"/>
      <c r="F261" s="215"/>
      <c r="G261" s="167"/>
      <c r="H261" s="272"/>
      <c r="I261" s="272"/>
      <c r="J261" s="272"/>
      <c r="K261" s="239"/>
      <c r="L261" s="239"/>
      <c r="M261" s="239"/>
      <c r="N261" s="239"/>
      <c r="O261" s="239"/>
      <c r="P261" s="239"/>
      <c r="Q261" s="239"/>
      <c r="R261" s="239"/>
      <c r="S261" s="239"/>
      <c r="T261" s="168"/>
      <c r="U261" s="168"/>
    </row>
    <row r="262" spans="2:21" ht="12.75" customHeight="1" outlineLevel="1">
      <c r="B262" s="167"/>
      <c r="C262" s="314" t="s">
        <v>110</v>
      </c>
      <c r="D262" s="215"/>
      <c r="E262" s="215"/>
      <c r="F262" s="215"/>
      <c r="G262" s="167"/>
      <c r="H262" s="272"/>
      <c r="I262" s="272"/>
      <c r="J262" s="272"/>
      <c r="K262" s="239"/>
      <c r="L262" s="239">
        <f t="shared" ref="L262:R262" si="55">-L40*L171</f>
        <v>-376985.35800482705</v>
      </c>
      <c r="M262" s="239">
        <f t="shared" si="55"/>
        <v>-597019.57377049187</v>
      </c>
      <c r="N262" s="239">
        <f t="shared" si="55"/>
        <v>-592870.68299002515</v>
      </c>
      <c r="O262" s="239">
        <f t="shared" si="55"/>
        <v>-272624.25473626575</v>
      </c>
      <c r="P262" s="239">
        <f t="shared" si="55"/>
        <v>0</v>
      </c>
      <c r="Q262" s="239">
        <f t="shared" si="55"/>
        <v>0</v>
      </c>
      <c r="R262" s="239">
        <f t="shared" si="55"/>
        <v>0</v>
      </c>
      <c r="S262" s="239">
        <f>-S40*S171</f>
        <v>0</v>
      </c>
      <c r="T262" s="168"/>
      <c r="U262" s="168"/>
    </row>
    <row r="263" spans="2:21" ht="2.25" customHeight="1" outlineLevel="1">
      <c r="B263" s="167"/>
      <c r="C263" s="314"/>
      <c r="D263" s="215"/>
      <c r="E263" s="215"/>
      <c r="F263" s="215"/>
      <c r="G263" s="167"/>
      <c r="H263" s="272"/>
      <c r="I263" s="272"/>
      <c r="J263" s="272"/>
      <c r="K263" s="239"/>
      <c r="L263" s="239"/>
      <c r="M263" s="239"/>
      <c r="N263" s="239"/>
      <c r="O263" s="239"/>
      <c r="P263" s="239"/>
      <c r="Q263" s="239"/>
      <c r="R263" s="239"/>
      <c r="S263" s="239"/>
      <c r="T263" s="168"/>
      <c r="U263" s="168"/>
    </row>
    <row r="264" spans="2:21" ht="15.75" customHeight="1" outlineLevel="1">
      <c r="B264" s="167"/>
      <c r="C264" s="314" t="s">
        <v>111</v>
      </c>
      <c r="D264" s="215"/>
      <c r="E264" s="215"/>
      <c r="F264" s="215"/>
      <c r="G264" s="167"/>
      <c r="H264" s="272"/>
      <c r="I264" s="272"/>
      <c r="J264" s="272"/>
      <c r="K264" s="239"/>
      <c r="L264" s="239">
        <v>0</v>
      </c>
      <c r="M264" s="239">
        <v>0</v>
      </c>
      <c r="N264" s="239">
        <v>0</v>
      </c>
      <c r="O264" s="239">
        <v>0</v>
      </c>
      <c r="P264" s="239">
        <v>0</v>
      </c>
      <c r="Q264" s="239">
        <v>0</v>
      </c>
      <c r="R264" s="239">
        <v>0</v>
      </c>
      <c r="S264" s="239">
        <v>0</v>
      </c>
      <c r="T264" s="168"/>
      <c r="U264" s="168"/>
    </row>
    <row r="265" spans="2:21" ht="0.75" customHeight="1" outlineLevel="1">
      <c r="B265" s="167"/>
      <c r="C265" s="314"/>
      <c r="D265" s="215"/>
      <c r="E265" s="215"/>
      <c r="F265" s="215"/>
      <c r="G265" s="167"/>
      <c r="H265" s="272"/>
      <c r="I265" s="272"/>
      <c r="J265" s="272"/>
      <c r="K265" s="239"/>
      <c r="L265" s="239"/>
      <c r="M265" s="239"/>
      <c r="N265" s="239"/>
      <c r="O265" s="239"/>
      <c r="P265" s="239"/>
      <c r="Q265" s="239"/>
      <c r="R265" s="239"/>
      <c r="S265" s="239"/>
      <c r="T265" s="168"/>
      <c r="U265" s="168"/>
    </row>
    <row r="266" spans="2:21" ht="15.75" customHeight="1" outlineLevel="1">
      <c r="B266" s="167"/>
      <c r="C266" s="314" t="s">
        <v>144</v>
      </c>
      <c r="D266" s="215"/>
      <c r="E266" s="215"/>
      <c r="F266" s="215"/>
      <c r="G266" s="167"/>
      <c r="H266" s="272"/>
      <c r="I266" s="272"/>
      <c r="J266" s="272"/>
      <c r="K266" s="239"/>
      <c r="L266" s="239">
        <f t="shared" ref="L266:R266" si="56">L260+L262+L264</f>
        <v>142877.25824617862</v>
      </c>
      <c r="M266" s="239">
        <f t="shared" si="56"/>
        <v>169898.4590163934</v>
      </c>
      <c r="N266" s="239">
        <f t="shared" si="56"/>
        <v>266535.56700997485</v>
      </c>
      <c r="O266" s="239">
        <f t="shared" si="56"/>
        <v>131125.74526373425</v>
      </c>
      <c r="P266" s="239">
        <f t="shared" si="56"/>
        <v>0</v>
      </c>
      <c r="Q266" s="239">
        <f t="shared" si="56"/>
        <v>0</v>
      </c>
      <c r="R266" s="239">
        <f t="shared" si="56"/>
        <v>0</v>
      </c>
      <c r="S266" s="239">
        <f>S260+S262+S264</f>
        <v>0</v>
      </c>
      <c r="T266" s="168"/>
      <c r="U266" s="168"/>
    </row>
    <row r="267" spans="2:21" ht="0.75" customHeight="1" outlineLevel="1">
      <c r="B267" s="167"/>
      <c r="C267" s="314"/>
      <c r="D267" s="215"/>
      <c r="E267" s="215"/>
      <c r="F267" s="215"/>
      <c r="G267" s="167"/>
      <c r="H267" s="272"/>
      <c r="I267" s="272"/>
      <c r="J267" s="272"/>
      <c r="K267" s="239"/>
      <c r="L267" s="215"/>
      <c r="M267" s="239"/>
      <c r="N267" s="215"/>
      <c r="O267" s="215"/>
      <c r="P267" s="215"/>
      <c r="Q267" s="215"/>
      <c r="R267" s="215"/>
      <c r="S267" s="215"/>
      <c r="T267" s="168"/>
      <c r="U267" s="168"/>
    </row>
    <row r="268" spans="2:21" ht="15.75" customHeight="1" outlineLevel="1">
      <c r="B268" s="167"/>
      <c r="C268" s="314" t="s">
        <v>145</v>
      </c>
      <c r="D268" s="215"/>
      <c r="E268" s="215"/>
      <c r="F268" s="215"/>
      <c r="G268" s="167"/>
      <c r="H268" s="272"/>
      <c r="I268" s="272"/>
      <c r="J268" s="272"/>
      <c r="K268" s="239"/>
      <c r="L268" s="239"/>
      <c r="M268" s="311">
        <f>M266/M260</f>
        <v>0.22153405155829159</v>
      </c>
      <c r="N268" s="311">
        <f>N266/N260</f>
        <v>0.31013920018614577</v>
      </c>
      <c r="O268" s="311">
        <f>O266/O260</f>
        <v>0.32476964771203531</v>
      </c>
      <c r="P268" s="311"/>
      <c r="Q268" s="311"/>
      <c r="R268" s="311"/>
      <c r="S268" s="311"/>
      <c r="T268" s="168"/>
      <c r="U268" s="168"/>
    </row>
    <row r="269" spans="2:21" ht="4.5" customHeight="1" outlineLevel="1">
      <c r="B269" s="167"/>
      <c r="C269" s="728"/>
      <c r="D269" s="215"/>
      <c r="E269" s="215"/>
      <c r="F269" s="215"/>
      <c r="G269" s="167"/>
      <c r="H269" s="272"/>
      <c r="I269" s="272"/>
      <c r="J269" s="272"/>
      <c r="K269" s="239"/>
      <c r="L269" s="239"/>
      <c r="M269" s="239"/>
      <c r="N269" s="239"/>
      <c r="O269" s="239"/>
      <c r="P269" s="239"/>
      <c r="Q269" s="239"/>
      <c r="R269" s="239"/>
      <c r="S269" s="239"/>
      <c r="T269" s="168"/>
      <c r="U269" s="168"/>
    </row>
    <row r="270" spans="2:21" ht="15.75" customHeight="1" outlineLevel="1">
      <c r="B270" s="167"/>
      <c r="C270" s="728" t="s">
        <v>147</v>
      </c>
      <c r="D270" s="215"/>
      <c r="E270" s="215"/>
      <c r="F270" s="215"/>
      <c r="G270" s="167"/>
      <c r="H270" s="272"/>
      <c r="I270" s="272"/>
      <c r="J270" s="272"/>
      <c r="K270" s="239"/>
      <c r="L270" s="239">
        <f t="shared" ref="L270:R270" si="57">L22-L41*L178</f>
        <v>55562.148028962198</v>
      </c>
      <c r="M270" s="239">
        <f t="shared" si="57"/>
        <v>0</v>
      </c>
      <c r="N270" s="239">
        <f t="shared" si="57"/>
        <v>0</v>
      </c>
      <c r="O270" s="239">
        <f t="shared" si="57"/>
        <v>0</v>
      </c>
      <c r="P270" s="239">
        <f t="shared" si="57"/>
        <v>0</v>
      </c>
      <c r="Q270" s="239">
        <f t="shared" si="57"/>
        <v>0</v>
      </c>
      <c r="R270" s="239">
        <f t="shared" si="57"/>
        <v>0</v>
      </c>
      <c r="S270" s="239">
        <f>S22-S41*S178</f>
        <v>0</v>
      </c>
      <c r="T270" s="168"/>
      <c r="U270" s="168"/>
    </row>
    <row r="271" spans="2:21" ht="15.75" customHeight="1" outlineLevel="1">
      <c r="B271" s="167"/>
      <c r="C271" s="728" t="s">
        <v>81</v>
      </c>
      <c r="D271" s="215"/>
      <c r="E271" s="215"/>
      <c r="F271" s="215"/>
      <c r="G271" s="167"/>
      <c r="H271" s="272"/>
      <c r="I271" s="272"/>
      <c r="J271" s="272"/>
      <c r="K271" s="239"/>
      <c r="L271" s="239"/>
      <c r="M271" s="215"/>
      <c r="N271" s="215"/>
      <c r="O271" s="215"/>
      <c r="P271" s="215"/>
      <c r="Q271" s="215"/>
      <c r="R271" s="215"/>
      <c r="S271" s="215"/>
      <c r="T271" s="168"/>
      <c r="U271" s="168"/>
    </row>
    <row r="272" spans="2:21" ht="15.75" customHeight="1" outlineLevel="1">
      <c r="B272" s="167"/>
      <c r="C272" s="314" t="s">
        <v>109</v>
      </c>
      <c r="D272" s="242"/>
      <c r="E272" s="249"/>
      <c r="F272" s="249"/>
      <c r="G272" s="167"/>
      <c r="H272" s="167"/>
      <c r="I272" s="272"/>
      <c r="J272" s="272"/>
      <c r="K272" s="272"/>
      <c r="L272" s="272">
        <f t="shared" ref="L272:R272" si="58">L23</f>
        <v>366616.69348350767</v>
      </c>
      <c r="M272" s="272">
        <f t="shared" si="58"/>
        <v>774433.79571248428</v>
      </c>
      <c r="N272" s="272">
        <f t="shared" si="58"/>
        <v>50187.500000000007</v>
      </c>
      <c r="O272" s="272">
        <f t="shared" si="58"/>
        <v>0</v>
      </c>
      <c r="P272" s="272">
        <f t="shared" si="58"/>
        <v>0</v>
      </c>
      <c r="Q272" s="272">
        <f t="shared" si="58"/>
        <v>0</v>
      </c>
      <c r="R272" s="272">
        <f t="shared" si="58"/>
        <v>0</v>
      </c>
      <c r="S272" s="272">
        <f>S23</f>
        <v>0</v>
      </c>
      <c r="T272" s="168"/>
      <c r="U272" s="168"/>
    </row>
    <row r="273" spans="1:21" ht="7.5" customHeight="1" outlineLevel="1">
      <c r="B273" s="167"/>
      <c r="C273" s="314"/>
      <c r="D273" s="242"/>
      <c r="E273" s="249"/>
      <c r="F273" s="249"/>
      <c r="G273" s="167"/>
      <c r="H273" s="272"/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168"/>
      <c r="U273" s="168"/>
    </row>
    <row r="274" spans="1:21" ht="15.75" customHeight="1" outlineLevel="1">
      <c r="B274" s="167"/>
      <c r="C274" s="314" t="s">
        <v>110</v>
      </c>
      <c r="D274" s="215"/>
      <c r="E274" s="215"/>
      <c r="F274" s="215"/>
      <c r="G274" s="167"/>
      <c r="H274" s="167"/>
      <c r="I274" s="239"/>
      <c r="J274" s="240"/>
      <c r="K274" s="239"/>
      <c r="L274" s="239">
        <f t="shared" ref="L274:R274" si="59">-L179*L42</f>
        <v>-338436.64441546553</v>
      </c>
      <c r="M274" s="239">
        <f t="shared" si="59"/>
        <v>-360839.23252206814</v>
      </c>
      <c r="N274" s="239">
        <f t="shared" si="59"/>
        <v>-41509.967937790105</v>
      </c>
      <c r="O274" s="239">
        <f t="shared" si="59"/>
        <v>0</v>
      </c>
      <c r="P274" s="239">
        <f t="shared" si="59"/>
        <v>0</v>
      </c>
      <c r="Q274" s="239">
        <f t="shared" si="59"/>
        <v>0</v>
      </c>
      <c r="R274" s="239">
        <f t="shared" si="59"/>
        <v>0</v>
      </c>
      <c r="S274" s="239">
        <f>-S179*S42</f>
        <v>0</v>
      </c>
      <c r="T274" s="168"/>
      <c r="U274" s="168"/>
    </row>
    <row r="275" spans="1:21" ht="24" customHeight="1" outlineLevel="1">
      <c r="B275" s="167"/>
      <c r="C275" s="314" t="s">
        <v>111</v>
      </c>
      <c r="D275" s="215"/>
      <c r="E275" s="215"/>
      <c r="F275" s="215"/>
      <c r="G275" s="167"/>
      <c r="H275" s="239"/>
      <c r="I275" s="239"/>
      <c r="J275" s="239"/>
      <c r="K275" s="239"/>
      <c r="L275" s="239"/>
      <c r="M275" s="239"/>
      <c r="N275" s="239">
        <f>-N77*N42</f>
        <v>-21768.143749999999</v>
      </c>
      <c r="O275" s="637"/>
      <c r="P275" s="637"/>
      <c r="Q275" s="637"/>
      <c r="R275" s="637"/>
      <c r="S275" s="637"/>
      <c r="T275" s="168"/>
      <c r="U275" s="168"/>
    </row>
    <row r="276" spans="1:21" ht="24" customHeight="1" outlineLevel="1">
      <c r="B276" s="167"/>
      <c r="C276" s="314" t="s">
        <v>144</v>
      </c>
      <c r="D276" s="215"/>
      <c r="E276" s="215"/>
      <c r="F276" s="215"/>
      <c r="G276" s="167"/>
      <c r="H276" s="272"/>
      <c r="I276" s="272"/>
      <c r="J276" s="272"/>
      <c r="K276" s="239"/>
      <c r="L276" s="239">
        <f t="shared" ref="L276:R276" si="60">L272+L274</f>
        <v>28180.049068042135</v>
      </c>
      <c r="M276" s="239">
        <f t="shared" si="60"/>
        <v>413594.56319041614</v>
      </c>
      <c r="N276" s="239">
        <f>N272+N274+N275</f>
        <v>-13090.611687790097</v>
      </c>
      <c r="O276" s="239">
        <f t="shared" si="60"/>
        <v>0</v>
      </c>
      <c r="P276" s="239">
        <f t="shared" si="60"/>
        <v>0</v>
      </c>
      <c r="Q276" s="239">
        <f t="shared" si="60"/>
        <v>0</v>
      </c>
      <c r="R276" s="239">
        <f t="shared" si="60"/>
        <v>0</v>
      </c>
      <c r="S276" s="239">
        <f>S272+S274</f>
        <v>0</v>
      </c>
      <c r="T276" s="168"/>
      <c r="U276" s="168"/>
    </row>
    <row r="277" spans="1:21" ht="6.75" customHeight="1" outlineLevel="1">
      <c r="B277" s="167"/>
      <c r="C277" s="314"/>
      <c r="D277" s="215"/>
      <c r="E277" s="215"/>
      <c r="F277" s="215"/>
      <c r="G277" s="167"/>
      <c r="H277" s="272"/>
      <c r="I277" s="272"/>
      <c r="J277" s="272"/>
      <c r="K277" s="239"/>
      <c r="L277" s="239"/>
      <c r="M277" s="239"/>
      <c r="N277" s="215"/>
      <c r="O277" s="215"/>
      <c r="P277" s="215"/>
      <c r="Q277" s="215"/>
      <c r="R277" s="215"/>
      <c r="S277" s="215"/>
      <c r="T277" s="168"/>
      <c r="U277" s="168"/>
    </row>
    <row r="278" spans="1:21" ht="15.75" customHeight="1" outlineLevel="1">
      <c r="B278" s="167"/>
      <c r="C278" s="314" t="s">
        <v>145</v>
      </c>
      <c r="D278" s="215"/>
      <c r="E278" s="215"/>
      <c r="F278" s="215"/>
      <c r="G278" s="167"/>
      <c r="H278" s="272"/>
      <c r="I278" s="272"/>
      <c r="J278" s="272"/>
      <c r="K278" s="239"/>
      <c r="L278" s="311">
        <f>L276/L272</f>
        <v>7.6865155266885907E-2</v>
      </c>
      <c r="M278" s="311">
        <f>M276/M272</f>
        <v>0.53406058139534884</v>
      </c>
      <c r="N278" s="311">
        <f>N276/N272</f>
        <v>-0.26083410585883127</v>
      </c>
      <c r="O278" s="311"/>
      <c r="P278" s="311"/>
      <c r="Q278" s="311"/>
      <c r="R278" s="311"/>
      <c r="S278" s="311"/>
      <c r="T278" s="168"/>
      <c r="U278" s="168"/>
    </row>
    <row r="279" spans="1:21" ht="15.75" customHeight="1">
      <c r="A279" s="295"/>
      <c r="B279" s="168"/>
      <c r="C279" s="314" t="s">
        <v>335</v>
      </c>
      <c r="D279" s="168"/>
      <c r="E279" s="168"/>
      <c r="F279" s="168"/>
      <c r="G279" s="168"/>
      <c r="H279" s="167"/>
      <c r="J279" s="168"/>
      <c r="K279" s="168"/>
      <c r="L279" s="347">
        <f t="shared" ref="L279:R279" si="61">L35+L34</f>
        <v>29997.22</v>
      </c>
      <c r="M279" s="347">
        <f t="shared" si="61"/>
        <v>13727</v>
      </c>
      <c r="N279" s="347">
        <f t="shared" si="61"/>
        <v>85265.319000000003</v>
      </c>
      <c r="O279" s="347">
        <f t="shared" si="61"/>
        <v>29895.833333333336</v>
      </c>
      <c r="P279" s="347">
        <f t="shared" si="61"/>
        <v>0</v>
      </c>
      <c r="Q279" s="347">
        <f t="shared" si="61"/>
        <v>0</v>
      </c>
      <c r="R279" s="347">
        <f t="shared" si="61"/>
        <v>0</v>
      </c>
      <c r="S279" s="347">
        <f>S35+S34</f>
        <v>0</v>
      </c>
      <c r="T279" s="168"/>
      <c r="U279" s="168"/>
    </row>
    <row r="280" spans="1:21" ht="15.75" customHeight="1">
      <c r="A280" s="295"/>
      <c r="B280" s="168"/>
      <c r="C280" s="222"/>
      <c r="D280" s="168"/>
      <c r="E280" s="168"/>
      <c r="F280" s="168"/>
      <c r="G280" s="168"/>
      <c r="H280" s="167"/>
      <c r="J280" s="168"/>
      <c r="K280" s="168"/>
      <c r="M280" s="168"/>
      <c r="N280" s="215"/>
      <c r="O280" s="215"/>
      <c r="P280" s="215"/>
      <c r="Q280" s="215"/>
      <c r="R280" s="215"/>
      <c r="S280" s="215"/>
      <c r="T280" s="168"/>
      <c r="U280" s="168"/>
    </row>
    <row r="281" spans="1:21" ht="15.75" customHeight="1">
      <c r="A281" s="295"/>
      <c r="B281" s="168"/>
      <c r="C281" s="296"/>
      <c r="D281" s="168"/>
      <c r="E281" s="168"/>
      <c r="F281" s="168"/>
      <c r="G281" s="168"/>
      <c r="H281" s="167"/>
      <c r="J281" s="168"/>
      <c r="K281" s="168"/>
      <c r="M281" s="168"/>
      <c r="N281" s="215"/>
      <c r="O281" s="215"/>
      <c r="P281" s="215"/>
      <c r="Q281" s="215"/>
      <c r="R281" s="215"/>
      <c r="S281" s="215"/>
      <c r="T281" s="168"/>
      <c r="U281" s="168"/>
    </row>
    <row r="282" spans="1:21" ht="15.75" customHeight="1">
      <c r="A282" s="295"/>
      <c r="B282" s="168"/>
      <c r="C282" s="296"/>
      <c r="D282" s="168"/>
      <c r="E282" s="168"/>
      <c r="F282" s="168"/>
      <c r="G282" s="168"/>
      <c r="H282" s="167"/>
      <c r="J282" s="168"/>
      <c r="K282" s="168"/>
      <c r="M282" s="168"/>
      <c r="N282" s="215"/>
      <c r="O282" s="215"/>
      <c r="P282" s="215"/>
      <c r="Q282" s="215"/>
      <c r="R282" s="215"/>
      <c r="S282" s="215"/>
      <c r="T282" s="168"/>
      <c r="U282" s="168"/>
    </row>
    <row r="283" spans="1:21" ht="27" customHeight="1">
      <c r="A283" s="295"/>
      <c r="B283" s="168"/>
      <c r="C283" s="733" t="s">
        <v>300</v>
      </c>
      <c r="D283" s="168"/>
      <c r="E283" s="168"/>
      <c r="F283" s="168"/>
      <c r="G283" s="168"/>
      <c r="H283" s="167"/>
      <c r="J283" s="168"/>
      <c r="K283" s="168"/>
      <c r="M283" s="168"/>
      <c r="N283" s="168"/>
      <c r="O283" s="168"/>
      <c r="P283" s="168"/>
      <c r="Q283" s="168"/>
      <c r="R283" s="168"/>
      <c r="S283" s="168"/>
      <c r="T283" s="168"/>
      <c r="U283" s="168"/>
    </row>
    <row r="284" spans="1:21" ht="3" customHeight="1">
      <c r="A284" s="295"/>
      <c r="B284" s="168"/>
      <c r="C284" s="299"/>
      <c r="D284" s="170"/>
      <c r="E284" s="170"/>
      <c r="F284" s="170"/>
      <c r="G284" s="170"/>
      <c r="H284" s="300"/>
      <c r="I284" s="170"/>
      <c r="J284" s="170"/>
      <c r="K284" s="170"/>
      <c r="L284" s="170"/>
      <c r="M284" s="170"/>
      <c r="N284" s="170"/>
      <c r="O284" s="170"/>
      <c r="P284" s="170"/>
      <c r="Q284" s="170"/>
      <c r="R284" s="170"/>
      <c r="S284" s="170"/>
      <c r="T284" s="168"/>
      <c r="U284" s="168"/>
    </row>
    <row r="285" spans="1:21" ht="6.75" customHeight="1">
      <c r="A285" s="295"/>
      <c r="B285" s="168"/>
      <c r="C285" s="601"/>
      <c r="D285" s="168"/>
      <c r="E285" s="168"/>
      <c r="F285" s="168"/>
      <c r="G285" s="168"/>
      <c r="H285" s="301"/>
      <c r="I285" s="171"/>
      <c r="J285" s="171"/>
      <c r="K285" s="171"/>
      <c r="L285" s="171"/>
      <c r="M285" s="171"/>
      <c r="N285" s="171"/>
      <c r="O285" s="171"/>
      <c r="P285" s="171"/>
      <c r="Q285" s="171"/>
      <c r="R285" s="171"/>
      <c r="S285" s="171"/>
      <c r="T285" s="168"/>
      <c r="U285" s="168"/>
    </row>
    <row r="286" spans="1:21" ht="9" customHeight="1">
      <c r="A286" s="295"/>
      <c r="B286" s="168"/>
      <c r="C286" s="302"/>
      <c r="D286" s="303"/>
      <c r="E286" s="303"/>
      <c r="F286" s="303"/>
      <c r="G286" s="303"/>
      <c r="H286" s="301"/>
      <c r="I286" s="172"/>
      <c r="J286" s="172"/>
      <c r="K286" s="172"/>
      <c r="L286" s="173"/>
      <c r="M286" s="172"/>
      <c r="N286" s="173"/>
      <c r="O286" s="173"/>
      <c r="P286" s="173"/>
      <c r="Q286" s="173"/>
      <c r="R286" s="173"/>
      <c r="S286" s="173"/>
      <c r="T286" s="168"/>
      <c r="U286" s="168"/>
    </row>
    <row r="287" spans="1:21">
      <c r="B287" s="215"/>
      <c r="C287" s="348"/>
      <c r="D287" s="233"/>
      <c r="E287" s="233"/>
      <c r="F287" s="233"/>
      <c r="G287" s="338"/>
      <c r="H287" s="174">
        <v>0</v>
      </c>
      <c r="I287" s="174">
        <v>0</v>
      </c>
      <c r="J287" s="174">
        <v>1</v>
      </c>
      <c r="K287" s="174">
        <v>2</v>
      </c>
      <c r="L287" s="175">
        <f>K287+1</f>
        <v>3</v>
      </c>
      <c r="M287" s="175">
        <f>L287+1</f>
        <v>4</v>
      </c>
      <c r="N287" s="175">
        <f>M287+1</f>
        <v>5</v>
      </c>
      <c r="O287" s="175">
        <f t="shared" ref="O287:S289" si="62">O7</f>
        <v>6</v>
      </c>
      <c r="P287" s="175">
        <f t="shared" si="62"/>
        <v>7</v>
      </c>
      <c r="Q287" s="175">
        <f t="shared" si="62"/>
        <v>8</v>
      </c>
      <c r="R287" s="175">
        <f t="shared" si="62"/>
        <v>9</v>
      </c>
      <c r="S287" s="175">
        <f t="shared" si="62"/>
        <v>10</v>
      </c>
      <c r="T287" s="168"/>
      <c r="U287" s="168"/>
    </row>
    <row r="288" spans="1:21">
      <c r="B288" s="215"/>
      <c r="C288" s="349"/>
      <c r="D288" s="234"/>
      <c r="E288" s="234"/>
      <c r="F288" s="234"/>
      <c r="G288" s="325"/>
      <c r="H288" s="176"/>
      <c r="I288" s="176"/>
      <c r="J288" s="176"/>
      <c r="K288" s="176"/>
      <c r="L288" s="176"/>
      <c r="M288" s="176"/>
      <c r="N288" s="176"/>
      <c r="O288" s="176"/>
      <c r="P288" s="176"/>
      <c r="Q288" s="176"/>
      <c r="R288" s="176"/>
      <c r="S288" s="176"/>
      <c r="T288" s="168"/>
      <c r="U288" s="168"/>
    </row>
    <row r="289" spans="1:21">
      <c r="B289" s="215"/>
      <c r="C289" s="350"/>
      <c r="D289" s="339"/>
      <c r="E289" s="339"/>
      <c r="F289" s="339"/>
      <c r="G289" s="326"/>
      <c r="H289" s="340" t="s">
        <v>499</v>
      </c>
      <c r="I289" s="340" t="s">
        <v>499</v>
      </c>
      <c r="J289" s="340" t="s">
        <v>499</v>
      </c>
      <c r="K289" s="340" t="s">
        <v>499</v>
      </c>
      <c r="L289" s="340" t="str">
        <f>K289</f>
        <v>($)</v>
      </c>
      <c r="M289" s="340" t="str">
        <f>L289</f>
        <v>($)</v>
      </c>
      <c r="N289" s="340" t="str">
        <f>M289</f>
        <v>($)</v>
      </c>
      <c r="O289" s="340" t="str">
        <f t="shared" si="62"/>
        <v>($)</v>
      </c>
      <c r="P289" s="340" t="str">
        <f t="shared" si="62"/>
        <v>($)</v>
      </c>
      <c r="Q289" s="340" t="str">
        <f t="shared" si="62"/>
        <v>($)</v>
      </c>
      <c r="R289" s="340" t="str">
        <f t="shared" si="62"/>
        <v>($)</v>
      </c>
      <c r="S289" s="340" t="str">
        <f t="shared" si="62"/>
        <v>($)</v>
      </c>
      <c r="T289" s="168"/>
      <c r="U289" s="168"/>
    </row>
    <row r="290" spans="1:21" ht="9" customHeight="1">
      <c r="B290" s="215"/>
      <c r="C290" s="380"/>
      <c r="D290" s="380"/>
      <c r="E290" s="249"/>
      <c r="F290" s="249"/>
      <c r="G290" s="305"/>
      <c r="H290" s="305"/>
      <c r="I290" s="327"/>
      <c r="J290" s="327"/>
      <c r="K290" s="327"/>
      <c r="L290" s="327"/>
      <c r="M290" s="327"/>
      <c r="N290" s="327"/>
      <c r="O290" s="327"/>
      <c r="P290" s="327"/>
      <c r="Q290" s="327"/>
      <c r="R290" s="327"/>
      <c r="S290" s="327"/>
      <c r="T290" s="168"/>
      <c r="U290" s="168"/>
    </row>
    <row r="291" spans="1:21" ht="15.75" customHeight="1">
      <c r="A291" s="169">
        <v>1</v>
      </c>
      <c r="B291" s="167" t="s">
        <v>522</v>
      </c>
      <c r="C291" s="242" t="s">
        <v>183</v>
      </c>
      <c r="D291" s="242"/>
      <c r="E291" s="249"/>
      <c r="F291" s="249"/>
      <c r="G291" s="167"/>
      <c r="H291" s="272">
        <v>76627591.311647266</v>
      </c>
      <c r="I291" s="272">
        <v>94451423.012252659</v>
      </c>
      <c r="J291" s="272">
        <v>97784557.768117622</v>
      </c>
      <c r="K291" s="272">
        <f t="shared" ref="K291:R291" si="63">K11</f>
        <v>184171706.44189069</v>
      </c>
      <c r="L291" s="272">
        <f t="shared" si="63"/>
        <v>257537896.93182153</v>
      </c>
      <c r="M291" s="272">
        <f t="shared" si="63"/>
        <v>124292390.33752751</v>
      </c>
      <c r="N291" s="272">
        <f t="shared" si="63"/>
        <v>131741207.71214579</v>
      </c>
      <c r="O291" s="272">
        <f t="shared" si="63"/>
        <v>38342638.134463273</v>
      </c>
      <c r="P291" s="272">
        <f t="shared" si="63"/>
        <v>0</v>
      </c>
      <c r="Q291" s="272">
        <f t="shared" si="63"/>
        <v>0</v>
      </c>
      <c r="R291" s="272">
        <f t="shared" si="63"/>
        <v>0</v>
      </c>
      <c r="S291" s="272">
        <f>S11</f>
        <v>0</v>
      </c>
      <c r="T291" s="168"/>
      <c r="U291" s="168"/>
    </row>
    <row r="292" spans="1:21" ht="6" customHeight="1">
      <c r="B292" s="167"/>
      <c r="C292" s="242"/>
      <c r="D292" s="242"/>
      <c r="E292" s="249"/>
      <c r="F292" s="249"/>
      <c r="G292" s="167"/>
      <c r="H292" s="167"/>
      <c r="I292" s="272"/>
      <c r="J292" s="272"/>
      <c r="K292" s="272"/>
      <c r="L292" s="272"/>
      <c r="M292" s="215"/>
      <c r="N292" s="215"/>
      <c r="O292" s="215"/>
      <c r="P292" s="215"/>
      <c r="Q292" s="215"/>
      <c r="R292" s="215"/>
      <c r="S292" s="215"/>
      <c r="T292" s="168"/>
      <c r="U292" s="168"/>
    </row>
    <row r="293" spans="1:21" ht="15.75" customHeight="1">
      <c r="A293" s="169">
        <v>3</v>
      </c>
      <c r="B293" s="167" t="s">
        <v>523</v>
      </c>
      <c r="C293" s="242" t="s">
        <v>184</v>
      </c>
      <c r="D293" s="242"/>
      <c r="E293" s="249"/>
      <c r="F293" s="249"/>
      <c r="G293" s="167"/>
      <c r="H293" s="272">
        <v>-52232729.534021102</v>
      </c>
      <c r="I293" s="272">
        <v>-61069774.118765347</v>
      </c>
      <c r="J293" s="272">
        <v>-48949316.970066726</v>
      </c>
      <c r="K293" s="272">
        <v>-120024413.99925557</v>
      </c>
      <c r="L293" s="272">
        <f>L202+L212+L214+L204+L222+L224+L232+L234+L242+L244+L252+L254+L274-L171*L40-L41*L178</f>
        <v>-170667483.74333799</v>
      </c>
      <c r="M293" s="272">
        <v>-81922233.965064645</v>
      </c>
      <c r="N293" s="272">
        <v>-81400560.999732122</v>
      </c>
      <c r="O293" s="272">
        <v>-20572729.587218676</v>
      </c>
      <c r="P293" s="272">
        <f>P202+P212+P214+P204+P222+P224+P232+P234+P242+P244+P252+P254+P274-P171*P40-P41*P178</f>
        <v>0</v>
      </c>
      <c r="Q293" s="272">
        <f>Q202+Q212+Q214+Q204+Q222+Q224+Q232+Q234+Q242+Q244+Q252+Q254+Q274-Q171*Q40-Q41*Q178</f>
        <v>0</v>
      </c>
      <c r="R293" s="272">
        <f>R202+R212+R214+R204+R222+R224+R232+R234+R242+R244+R252+R254+R274-R171*R40-R41*R178</f>
        <v>0</v>
      </c>
      <c r="S293" s="272">
        <f>S202+S212+S214+S204+S222+S224+S232+S234+S242+S244+S252+S254+S274-S171*S40-S41*S178</f>
        <v>0</v>
      </c>
      <c r="T293" s="168"/>
      <c r="U293" s="168"/>
    </row>
    <row r="294" spans="1:21" ht="15.75" customHeight="1">
      <c r="A294" s="169">
        <v>5</v>
      </c>
      <c r="B294" s="167" t="s">
        <v>523</v>
      </c>
      <c r="C294" s="242" t="s">
        <v>302</v>
      </c>
      <c r="D294" s="242"/>
      <c r="E294" s="249"/>
      <c r="F294" s="249"/>
      <c r="G294" s="167"/>
      <c r="H294" s="272"/>
      <c r="I294" s="272"/>
      <c r="J294" s="272"/>
      <c r="K294" s="272">
        <v>-13322225.831253201</v>
      </c>
      <c r="L294" s="239">
        <v>-17527634.754625905</v>
      </c>
      <c r="M294" s="239">
        <v>-7919199.2433795715</v>
      </c>
      <c r="N294" s="239">
        <v>-8136052.6315789474</v>
      </c>
      <c r="O294" s="239">
        <v>-3500000</v>
      </c>
      <c r="P294" s="239">
        <f>O294*P188</f>
        <v>0</v>
      </c>
      <c r="Q294" s="239">
        <f>P294*Q188</f>
        <v>0</v>
      </c>
      <c r="R294" s="239">
        <f>Q294*R188</f>
        <v>0</v>
      </c>
      <c r="S294" s="239">
        <f>R294*S188</f>
        <v>0</v>
      </c>
      <c r="T294" s="168"/>
      <c r="U294" s="168"/>
    </row>
    <row r="295" spans="1:21" ht="17.25" customHeight="1">
      <c r="B295" s="167" t="s">
        <v>522</v>
      </c>
      <c r="C295" s="242" t="s">
        <v>678</v>
      </c>
      <c r="D295" s="215"/>
      <c r="E295" s="215"/>
      <c r="F295" s="215"/>
      <c r="G295" s="167"/>
      <c r="H295" s="167"/>
      <c r="I295" s="239"/>
      <c r="J295" s="240"/>
      <c r="K295" s="239"/>
      <c r="L295" s="239">
        <v>18242920.3539823</v>
      </c>
      <c r="M295" s="239">
        <v>-991960.90794451453</v>
      </c>
      <c r="N295" s="215"/>
      <c r="O295" s="215"/>
      <c r="P295" s="215"/>
      <c r="Q295" s="215"/>
      <c r="R295" s="215"/>
      <c r="S295" s="215"/>
      <c r="T295" s="168"/>
      <c r="U295" s="168"/>
    </row>
    <row r="296" spans="1:21" ht="15.75" customHeight="1">
      <c r="B296" s="167" t="s">
        <v>524</v>
      </c>
      <c r="C296" s="242" t="s">
        <v>185</v>
      </c>
      <c r="D296" s="215"/>
      <c r="E296" s="215"/>
      <c r="F296" s="215"/>
      <c r="G296" s="167"/>
      <c r="H296" s="239">
        <v>24394861.777626164</v>
      </c>
      <c r="I296" s="239">
        <v>33381648.893487312</v>
      </c>
      <c r="J296" s="239">
        <v>48835240.798050895</v>
      </c>
      <c r="K296" s="239">
        <v>50825066.611381918</v>
      </c>
      <c r="L296" s="239">
        <f t="shared" ref="L296:Q296" si="64">L291+L293+L294+L295</f>
        <v>87585698.787839934</v>
      </c>
      <c r="M296" s="239">
        <f>M291+M293+M294+M295</f>
        <v>33458996.221138783</v>
      </c>
      <c r="N296" s="239">
        <f t="shared" si="64"/>
        <v>42204594.080834724</v>
      </c>
      <c r="O296" s="239">
        <f t="shared" si="64"/>
        <v>14269908.547244597</v>
      </c>
      <c r="P296" s="239">
        <f t="shared" si="64"/>
        <v>0</v>
      </c>
      <c r="Q296" s="239">
        <f t="shared" si="64"/>
        <v>0</v>
      </c>
      <c r="R296" s="239">
        <f>R291+R293+R294+R295</f>
        <v>0</v>
      </c>
      <c r="S296" s="239">
        <f>S291+S293+S294+S295</f>
        <v>0</v>
      </c>
      <c r="T296" s="168"/>
      <c r="U296" s="168"/>
    </row>
    <row r="297" spans="1:21" ht="13.5" customHeight="1">
      <c r="B297" s="167"/>
      <c r="C297" s="242"/>
      <c r="D297" s="215"/>
      <c r="E297" s="215"/>
      <c r="F297" s="215"/>
      <c r="G297" s="167"/>
      <c r="H297" s="239"/>
      <c r="I297" s="239"/>
      <c r="J297" s="239"/>
      <c r="K297" s="239"/>
      <c r="L297" s="239"/>
      <c r="M297" s="239"/>
      <c r="N297" s="239"/>
      <c r="O297" s="239"/>
      <c r="P297" s="239"/>
      <c r="Q297" s="239"/>
      <c r="R297" s="239"/>
      <c r="S297" s="239"/>
      <c r="T297" s="168"/>
      <c r="U297" s="168"/>
    </row>
    <row r="298" spans="1:21" ht="15.75" customHeight="1">
      <c r="B298" s="167" t="s">
        <v>523</v>
      </c>
      <c r="C298" s="242" t="s">
        <v>263</v>
      </c>
      <c r="D298" s="215"/>
      <c r="E298" s="215"/>
      <c r="F298" s="215"/>
      <c r="G298" s="167"/>
      <c r="H298" s="239">
        <v>-17556148.338982202</v>
      </c>
      <c r="I298" s="239">
        <v>-24185488.778451011</v>
      </c>
      <c r="J298" s="239">
        <v>-17312144.205295913</v>
      </c>
      <c r="K298" s="239">
        <f t="shared" ref="K298:Q298" si="65">K299+K301</f>
        <v>-19375708.861259412</v>
      </c>
      <c r="L298" s="239">
        <f>L299+L301</f>
        <v>-15606476.267095737</v>
      </c>
      <c r="M298" s="239">
        <f>M299+M301</f>
        <v>-10285970.996216897</v>
      </c>
      <c r="N298" s="239">
        <f>N299+N301</f>
        <v>-9456977.4792763181</v>
      </c>
      <c r="O298" s="239">
        <f>O299+O301</f>
        <v>-4452474.0484444434</v>
      </c>
      <c r="P298" s="239">
        <f t="shared" si="65"/>
        <v>0</v>
      </c>
      <c r="Q298" s="239">
        <f t="shared" si="65"/>
        <v>0</v>
      </c>
      <c r="R298" s="239">
        <f>R299+R301</f>
        <v>0</v>
      </c>
      <c r="S298" s="239">
        <f>S299+S301</f>
        <v>0</v>
      </c>
      <c r="T298" s="168"/>
      <c r="U298" s="168"/>
    </row>
    <row r="299" spans="1:21" ht="15.75" customHeight="1">
      <c r="A299" s="169">
        <v>5</v>
      </c>
      <c r="B299" s="167"/>
      <c r="C299" s="352" t="s">
        <v>301</v>
      </c>
      <c r="D299" s="215"/>
      <c r="E299" s="215"/>
      <c r="F299" s="215"/>
      <c r="G299" s="167"/>
      <c r="H299" s="272">
        <v>-4762783.8735300759</v>
      </c>
      <c r="I299" s="272">
        <v>-5280960.9649237618</v>
      </c>
      <c r="J299" s="272">
        <v>-3304186.2811131966</v>
      </c>
      <c r="K299" s="239">
        <v>-208333.33333333334</v>
      </c>
      <c r="L299" s="239">
        <f>L300</f>
        <v>-220000</v>
      </c>
      <c r="M299" s="239">
        <f>L299</f>
        <v>-220000</v>
      </c>
      <c r="N299" s="239">
        <f t="shared" ref="N299:S299" si="66">N300</f>
        <v>-242000.00000000003</v>
      </c>
      <c r="O299" s="239">
        <f t="shared" si="66"/>
        <v>0</v>
      </c>
      <c r="P299" s="239">
        <f t="shared" si="66"/>
        <v>0</v>
      </c>
      <c r="Q299" s="239">
        <f t="shared" si="66"/>
        <v>0</v>
      </c>
      <c r="R299" s="239">
        <f t="shared" si="66"/>
        <v>0</v>
      </c>
      <c r="S299" s="239">
        <f t="shared" si="66"/>
        <v>0</v>
      </c>
      <c r="T299" s="168"/>
      <c r="U299" s="168"/>
    </row>
    <row r="300" spans="1:21" ht="15.75" customHeight="1">
      <c r="B300" s="167"/>
      <c r="C300" s="352" t="s">
        <v>265</v>
      </c>
      <c r="D300" s="215"/>
      <c r="E300" s="215"/>
      <c r="F300" s="215"/>
      <c r="G300" s="167"/>
      <c r="H300" s="272"/>
      <c r="I300" s="272"/>
      <c r="J300" s="272"/>
      <c r="K300" s="239">
        <v>-208333.33333333334</v>
      </c>
      <c r="L300" s="239">
        <f>-220000</f>
        <v>-220000</v>
      </c>
      <c r="M300" s="239">
        <f>L300</f>
        <v>-220000</v>
      </c>
      <c r="N300" s="239">
        <f>M300*1.1</f>
        <v>-242000.00000000003</v>
      </c>
      <c r="O300" s="239">
        <f>N300*$P$188</f>
        <v>0</v>
      </c>
      <c r="P300" s="239">
        <f>O300*P188</f>
        <v>0</v>
      </c>
      <c r="Q300" s="239">
        <f>P300*Q188</f>
        <v>0</v>
      </c>
      <c r="R300" s="239">
        <f>Q300*R188</f>
        <v>0</v>
      </c>
      <c r="S300" s="239">
        <f>R300*S188</f>
        <v>0</v>
      </c>
      <c r="T300" s="168"/>
      <c r="U300" s="168"/>
    </row>
    <row r="301" spans="1:21" ht="15.75" customHeight="1">
      <c r="B301" s="167"/>
      <c r="C301" s="353" t="s">
        <v>303</v>
      </c>
      <c r="D301" s="215"/>
      <c r="E301" s="215"/>
      <c r="F301" s="215"/>
      <c r="G301" s="167"/>
      <c r="H301" s="272">
        <v>-12793364.465452127</v>
      </c>
      <c r="I301" s="272">
        <v>-18904527.813527249</v>
      </c>
      <c r="J301" s="272">
        <v>-14007957.924182717</v>
      </c>
      <c r="K301" s="239">
        <v>-19167375.52792608</v>
      </c>
      <c r="L301" s="239">
        <f>SUM(L302:L304)</f>
        <v>-15386476.267095737</v>
      </c>
      <c r="M301" s="239">
        <f>M302+M303+M304</f>
        <v>-10065970.996216897</v>
      </c>
      <c r="N301" s="239">
        <f t="shared" ref="N301:S301" si="67">SUM(N302:N304)</f>
        <v>-9214977.4792763181</v>
      </c>
      <c r="O301" s="239">
        <f t="shared" si="67"/>
        <v>-4452474.0484444434</v>
      </c>
      <c r="P301" s="239">
        <f t="shared" si="67"/>
        <v>0</v>
      </c>
      <c r="Q301" s="239">
        <f t="shared" si="67"/>
        <v>0</v>
      </c>
      <c r="R301" s="239">
        <f t="shared" si="67"/>
        <v>0</v>
      </c>
      <c r="S301" s="239">
        <f t="shared" si="67"/>
        <v>0</v>
      </c>
      <c r="T301" s="168"/>
      <c r="U301" s="168"/>
    </row>
    <row r="302" spans="1:21" ht="15.75" customHeight="1">
      <c r="A302" s="169">
        <v>5</v>
      </c>
      <c r="B302" s="167"/>
      <c r="C302" s="352" t="s">
        <v>265</v>
      </c>
      <c r="D302" s="215"/>
      <c r="E302" s="215"/>
      <c r="F302" s="215"/>
      <c r="G302" s="167"/>
      <c r="H302" s="272"/>
      <c r="I302" s="272"/>
      <c r="J302" s="272"/>
      <c r="K302" s="239">
        <v>-4315816</v>
      </c>
      <c r="L302" s="239">
        <v>-6564312.1480289623</v>
      </c>
      <c r="M302" s="239">
        <v>-4280063.051702396</v>
      </c>
      <c r="N302" s="239">
        <v>-3921085.5263157897</v>
      </c>
      <c r="O302" s="239">
        <v>-1781986.1111111112</v>
      </c>
      <c r="P302" s="239"/>
      <c r="Q302" s="239"/>
      <c r="R302" s="239"/>
      <c r="S302" s="239"/>
      <c r="T302" s="168"/>
      <c r="U302" s="168"/>
    </row>
    <row r="303" spans="1:21" ht="15.75" customHeight="1">
      <c r="A303" s="169">
        <v>5</v>
      </c>
      <c r="B303" s="167"/>
      <c r="C303" s="352" t="s">
        <v>304</v>
      </c>
      <c r="D303" s="215"/>
      <c r="E303" s="215"/>
      <c r="F303" s="215"/>
      <c r="G303" s="167"/>
      <c r="H303" s="272"/>
      <c r="I303" s="272"/>
      <c r="J303" s="272"/>
      <c r="K303" s="239">
        <v>-4278593.8612594102</v>
      </c>
      <c r="L303" s="239">
        <v>-5154545.4545454551</v>
      </c>
      <c r="M303" s="239">
        <v>-2816834.8045397229</v>
      </c>
      <c r="N303" s="239">
        <v>-2111361.7513157893</v>
      </c>
      <c r="O303" s="239">
        <v>-1453944.4444444443</v>
      </c>
      <c r="P303" s="239"/>
      <c r="Q303" s="239"/>
      <c r="R303" s="239"/>
      <c r="S303" s="239"/>
      <c r="T303" s="168"/>
      <c r="U303" s="168"/>
    </row>
    <row r="304" spans="1:21" ht="15.75" customHeight="1">
      <c r="A304" s="169">
        <v>3</v>
      </c>
      <c r="B304" s="167"/>
      <c r="C304" s="352" t="s">
        <v>305</v>
      </c>
      <c r="D304" s="215"/>
      <c r="E304" s="215"/>
      <c r="F304" s="215"/>
      <c r="G304" s="167"/>
      <c r="H304" s="272"/>
      <c r="I304" s="272"/>
      <c r="J304" s="272"/>
      <c r="K304" s="239">
        <v>-10572965.666666668</v>
      </c>
      <c r="L304" s="239">
        <v>-3667618.6645213193</v>
      </c>
      <c r="M304" s="239">
        <v>-2969073.1399747794</v>
      </c>
      <c r="N304" s="239">
        <v>-3182530.2016447382</v>
      </c>
      <c r="O304" s="239">
        <v>-1216543.4928888881</v>
      </c>
      <c r="P304" s="239"/>
      <c r="Q304" s="239"/>
      <c r="R304" s="239"/>
      <c r="S304" s="239"/>
      <c r="T304" s="168"/>
      <c r="U304" s="168"/>
    </row>
    <row r="305" spans="1:21" ht="21" customHeight="1">
      <c r="A305" s="169">
        <v>55</v>
      </c>
      <c r="B305" s="242" t="s">
        <v>523</v>
      </c>
      <c r="C305" s="242" t="s">
        <v>737</v>
      </c>
      <c r="D305" s="351"/>
      <c r="E305" s="249"/>
      <c r="F305" s="249"/>
      <c r="G305" s="167"/>
      <c r="H305" s="167"/>
      <c r="I305" s="346"/>
      <c r="J305" s="346"/>
      <c r="K305" s="346"/>
      <c r="L305" s="346"/>
      <c r="M305" s="171">
        <f>M204+M214+M224+M234+M244+M254+M264+M275</f>
        <v>-10150451.401001198</v>
      </c>
      <c r="N305" s="171">
        <f>N204+N214+N224+N234+N244+N254+N264+N275</f>
        <v>-19092685.469335075</v>
      </c>
      <c r="O305" s="171">
        <f>O204+O214+O224+O234+O244+O254+O264+O275</f>
        <v>-5399020.500488542</v>
      </c>
      <c r="P305" s="215"/>
      <c r="Q305" s="215"/>
      <c r="R305" s="215"/>
      <c r="S305" s="215"/>
      <c r="T305" s="168"/>
      <c r="U305" s="168"/>
    </row>
    <row r="306" spans="1:21" ht="15.75" customHeight="1">
      <c r="B306" s="167" t="s">
        <v>524</v>
      </c>
      <c r="C306" s="242" t="s">
        <v>347</v>
      </c>
      <c r="D306" s="215"/>
      <c r="E306" s="215"/>
      <c r="F306" s="215"/>
      <c r="G306" s="167"/>
      <c r="H306" s="239">
        <v>6838713.4386439621</v>
      </c>
      <c r="I306" s="239">
        <v>9196160.1150363013</v>
      </c>
      <c r="J306" s="239">
        <v>31523096.592754982</v>
      </c>
      <c r="K306" s="239">
        <f t="shared" ref="K306:Q306" si="68">K296+K298</f>
        <v>31449357.750122506</v>
      </c>
      <c r="L306" s="239">
        <f t="shared" si="68"/>
        <v>71979222.520744205</v>
      </c>
      <c r="M306" s="239">
        <f>M296+M298+M305</f>
        <v>13022573.823920688</v>
      </c>
      <c r="N306" s="239">
        <f>N296+N298+N305</f>
        <v>13654931.13222333</v>
      </c>
      <c r="O306" s="239">
        <f>O296+O298+O305</f>
        <v>4418413.9983116128</v>
      </c>
      <c r="P306" s="239">
        <f t="shared" si="68"/>
        <v>0</v>
      </c>
      <c r="Q306" s="239">
        <f t="shared" si="68"/>
        <v>0</v>
      </c>
      <c r="R306" s="239">
        <f>R296+R298</f>
        <v>0</v>
      </c>
      <c r="S306" s="239">
        <f>S296+S298</f>
        <v>0</v>
      </c>
      <c r="T306" s="168"/>
      <c r="U306" s="168"/>
    </row>
    <row r="307" spans="1:21" ht="6" customHeight="1">
      <c r="B307" s="167"/>
      <c r="C307" s="242"/>
      <c r="D307" s="242"/>
      <c r="E307" s="249"/>
      <c r="F307" s="249"/>
      <c r="G307" s="167"/>
      <c r="H307" s="167"/>
      <c r="I307" s="346"/>
      <c r="J307" s="346"/>
      <c r="K307" s="346"/>
      <c r="L307" s="346"/>
      <c r="M307" s="215"/>
      <c r="N307" s="215"/>
      <c r="O307" s="215"/>
      <c r="P307" s="215"/>
      <c r="Q307" s="215"/>
      <c r="R307" s="215"/>
      <c r="S307" s="215"/>
      <c r="T307" s="168"/>
      <c r="U307" s="168"/>
    </row>
    <row r="308" spans="1:21" ht="15.75" customHeight="1">
      <c r="A308" s="169">
        <v>7</v>
      </c>
      <c r="B308" s="167" t="s">
        <v>523</v>
      </c>
      <c r="C308" s="242" t="s">
        <v>193</v>
      </c>
      <c r="D308" s="242"/>
      <c r="E308" s="249"/>
      <c r="F308" s="249"/>
      <c r="G308" s="167"/>
      <c r="H308" s="272">
        <v>-1300171.3920651616</v>
      </c>
      <c r="I308" s="272">
        <v>-1424035.7142857143</v>
      </c>
      <c r="J308" s="239">
        <f t="shared" ref="J308:R308" si="69">-J546</f>
        <v>-18403510.437954269</v>
      </c>
      <c r="K308" s="239">
        <f t="shared" si="69"/>
        <v>-14123950.7990306</v>
      </c>
      <c r="L308" s="239">
        <f ca="1">-L546</f>
        <v>-13677378.330070868</v>
      </c>
      <c r="M308" s="239">
        <f ca="1">-M546</f>
        <v>-7997389.3263107724</v>
      </c>
      <c r="N308" s="239">
        <f t="shared" ca="1" si="69"/>
        <v>-8301528.1769446079</v>
      </c>
      <c r="O308" s="239">
        <f t="shared" ca="1" si="69"/>
        <v>-3612547.2545261402</v>
      </c>
      <c r="P308" s="239">
        <f t="shared" si="69"/>
        <v>0</v>
      </c>
      <c r="Q308" s="239">
        <f t="shared" si="69"/>
        <v>0</v>
      </c>
      <c r="R308" s="239">
        <f t="shared" si="69"/>
        <v>0</v>
      </c>
      <c r="S308" s="239">
        <f>-S546</f>
        <v>0</v>
      </c>
      <c r="T308" s="168"/>
      <c r="U308" s="168"/>
    </row>
    <row r="309" spans="1:21" ht="6.75" customHeight="1">
      <c r="B309" s="167"/>
      <c r="C309" s="242"/>
      <c r="D309" s="242"/>
      <c r="E309" s="249"/>
      <c r="F309" s="249"/>
      <c r="G309" s="167"/>
      <c r="H309" s="167"/>
      <c r="I309" s="239"/>
      <c r="J309" s="239"/>
      <c r="K309" s="239"/>
      <c r="L309" s="239"/>
      <c r="M309" s="215"/>
      <c r="N309" s="215"/>
      <c r="O309" s="215"/>
      <c r="P309" s="215"/>
      <c r="Q309" s="215"/>
      <c r="R309" s="215"/>
      <c r="S309" s="215"/>
      <c r="T309" s="168"/>
      <c r="U309" s="168"/>
    </row>
    <row r="310" spans="1:21" ht="15.75" customHeight="1">
      <c r="B310" s="167" t="s">
        <v>524</v>
      </c>
      <c r="C310" s="242" t="s">
        <v>363</v>
      </c>
      <c r="D310" s="242"/>
      <c r="E310" s="249"/>
      <c r="F310" s="249"/>
      <c r="G310" s="167"/>
      <c r="H310" s="239">
        <v>5538542.0465788003</v>
      </c>
      <c r="I310" s="239">
        <v>7772124.4007505868</v>
      </c>
      <c r="J310" s="239">
        <v>31523096.592754982</v>
      </c>
      <c r="K310" s="239">
        <f t="shared" ref="K310:R310" si="70">K306+K308</f>
        <v>17325406.951091908</v>
      </c>
      <c r="L310" s="239">
        <f t="shared" ca="1" si="70"/>
        <v>58301844.190673336</v>
      </c>
      <c r="M310" s="239">
        <f t="shared" ca="1" si="70"/>
        <v>5025184.4976099152</v>
      </c>
      <c r="N310" s="239">
        <f t="shared" ca="1" si="70"/>
        <v>5353402.9552787226</v>
      </c>
      <c r="O310" s="239">
        <f t="shared" ca="1" si="70"/>
        <v>805866.74378547259</v>
      </c>
      <c r="P310" s="239">
        <f t="shared" si="70"/>
        <v>0</v>
      </c>
      <c r="Q310" s="239">
        <f t="shared" si="70"/>
        <v>0</v>
      </c>
      <c r="R310" s="239">
        <f t="shared" si="70"/>
        <v>0</v>
      </c>
      <c r="S310" s="239">
        <f>S306+S308</f>
        <v>0</v>
      </c>
      <c r="T310" s="168"/>
      <c r="U310" s="168"/>
    </row>
    <row r="311" spans="1:21" ht="6" customHeight="1">
      <c r="B311" s="167"/>
      <c r="C311" s="242"/>
      <c r="D311" s="380"/>
      <c r="E311" s="249"/>
      <c r="F311" s="249"/>
      <c r="G311" s="167"/>
      <c r="H311" s="167"/>
      <c r="I311" s="327"/>
      <c r="J311" s="327"/>
      <c r="K311" s="355"/>
      <c r="L311" s="327"/>
      <c r="M311" s="215"/>
      <c r="N311" s="215"/>
      <c r="O311" s="215"/>
      <c r="P311" s="215"/>
      <c r="Q311" s="215"/>
      <c r="R311" s="215"/>
      <c r="S311" s="215"/>
      <c r="T311" s="168"/>
      <c r="U311" s="168"/>
    </row>
    <row r="312" spans="1:21" ht="15.75" customHeight="1">
      <c r="A312" s="169">
        <v>8</v>
      </c>
      <c r="B312" s="167" t="s">
        <v>523</v>
      </c>
      <c r="C312" s="353" t="s">
        <v>203</v>
      </c>
      <c r="D312" s="380"/>
      <c r="E312" s="249"/>
      <c r="F312" s="249"/>
      <c r="G312" s="167"/>
      <c r="H312" s="272">
        <v>-91612.685164331982</v>
      </c>
      <c r="I312" s="272">
        <v>-773085.0644584191</v>
      </c>
      <c r="J312" s="239">
        <v>0</v>
      </c>
      <c r="K312" s="239">
        <v>-2327348</v>
      </c>
      <c r="L312" s="239">
        <f t="shared" ref="L312:R312" si="71">-L684</f>
        <v>-4416769.5146098146</v>
      </c>
      <c r="M312" s="239">
        <f>-M684</f>
        <v>-4112782.9955829601</v>
      </c>
      <c r="N312" s="239">
        <f t="shared" si="71"/>
        <v>-3089898.0881827418</v>
      </c>
      <c r="O312" s="239">
        <f t="shared" si="71"/>
        <v>-1174939.6366424868</v>
      </c>
      <c r="P312" s="239">
        <f t="shared" si="71"/>
        <v>0</v>
      </c>
      <c r="Q312" s="239">
        <f t="shared" si="71"/>
        <v>0</v>
      </c>
      <c r="R312" s="239">
        <f t="shared" si="71"/>
        <v>0</v>
      </c>
      <c r="S312" s="239">
        <f>-S684</f>
        <v>0</v>
      </c>
      <c r="T312" s="168"/>
      <c r="U312" s="168"/>
    </row>
    <row r="313" spans="1:21" ht="15.75" customHeight="1">
      <c r="A313" s="169">
        <v>9</v>
      </c>
      <c r="B313" s="167" t="s">
        <v>525</v>
      </c>
      <c r="C313" s="353" t="s">
        <v>187</v>
      </c>
      <c r="D313" s="380"/>
      <c r="E313" s="249"/>
      <c r="F313" s="249"/>
      <c r="G313" s="167"/>
      <c r="H313" s="272">
        <v>0</v>
      </c>
      <c r="I313" s="272">
        <v>0</v>
      </c>
      <c r="J313" s="239">
        <v>5308.931016887097</v>
      </c>
      <c r="K313" s="239">
        <v>665</v>
      </c>
      <c r="L313" s="239">
        <f t="shared" ref="L313:R313" si="72">L688</f>
        <v>0</v>
      </c>
      <c r="M313" s="239">
        <f t="shared" ca="1" si="72"/>
        <v>0</v>
      </c>
      <c r="N313" s="239">
        <f t="shared" ca="1" si="72"/>
        <v>0</v>
      </c>
      <c r="O313" s="239">
        <f t="shared" ca="1" si="72"/>
        <v>0</v>
      </c>
      <c r="P313" s="239">
        <f t="shared" si="72"/>
        <v>0</v>
      </c>
      <c r="Q313" s="239">
        <f t="shared" si="72"/>
        <v>0</v>
      </c>
      <c r="R313" s="239">
        <f t="shared" si="72"/>
        <v>0</v>
      </c>
      <c r="S313" s="239">
        <f>S688</f>
        <v>0</v>
      </c>
      <c r="T313" s="168"/>
      <c r="U313" s="168"/>
    </row>
    <row r="314" spans="1:21" ht="12.75" customHeight="1">
      <c r="B314" s="356" t="s">
        <v>195</v>
      </c>
      <c r="C314" s="242"/>
      <c r="D314" s="380"/>
      <c r="E314" s="249"/>
      <c r="F314" s="249"/>
      <c r="G314" s="167"/>
      <c r="H314" s="167"/>
      <c r="I314" s="327"/>
      <c r="J314" s="327"/>
      <c r="K314" s="355"/>
      <c r="L314" s="239">
        <v>-10795990</v>
      </c>
      <c r="M314" s="239">
        <f>2737057-939244+1383709+587257</f>
        <v>3768779</v>
      </c>
      <c r="N314" s="239">
        <v>1005610.3746710515</v>
      </c>
      <c r="O314" s="239"/>
      <c r="P314" s="215"/>
      <c r="Q314" s="215"/>
      <c r="R314" s="215"/>
      <c r="S314" s="215"/>
      <c r="T314" s="168"/>
      <c r="U314" s="168"/>
    </row>
    <row r="315" spans="1:21" ht="15.75" customHeight="1">
      <c r="B315" s="167" t="s">
        <v>524</v>
      </c>
      <c r="C315" s="242" t="s">
        <v>188</v>
      </c>
      <c r="D315" s="380"/>
      <c r="E315" s="249"/>
      <c r="F315" s="249"/>
      <c r="G315" s="167"/>
      <c r="H315" s="239">
        <v>5446929.3614144679</v>
      </c>
      <c r="I315" s="239">
        <v>6999039.3362921681</v>
      </c>
      <c r="J315" s="239">
        <v>31528405.523771871</v>
      </c>
      <c r="K315" s="239">
        <f>K310+K312+K313</f>
        <v>14998723.951091908</v>
      </c>
      <c r="L315" s="239">
        <f ca="1">L310+L312+L313+L314</f>
        <v>43089084.676063523</v>
      </c>
      <c r="M315" s="239">
        <f ca="1">M310+M312+M313+M314</f>
        <v>4681180.5020269547</v>
      </c>
      <c r="N315" s="239">
        <f t="shared" ref="N315:S315" ca="1" si="73">N310+N312+N313+N314</f>
        <v>3269115.2417670321</v>
      </c>
      <c r="O315" s="239">
        <f t="shared" ca="1" si="73"/>
        <v>-369072.8928570142</v>
      </c>
      <c r="P315" s="239">
        <f t="shared" si="73"/>
        <v>0</v>
      </c>
      <c r="Q315" s="239">
        <f t="shared" si="73"/>
        <v>0</v>
      </c>
      <c r="R315" s="239">
        <f t="shared" si="73"/>
        <v>0</v>
      </c>
      <c r="S315" s="239">
        <f t="shared" si="73"/>
        <v>0</v>
      </c>
      <c r="T315" s="168"/>
      <c r="U315" s="168"/>
    </row>
    <row r="316" spans="1:21" ht="7.5" customHeight="1">
      <c r="B316" s="167"/>
      <c r="C316" s="242"/>
      <c r="D316" s="380"/>
      <c r="E316" s="249"/>
      <c r="F316" s="249"/>
      <c r="G316" s="167"/>
      <c r="H316" s="167"/>
      <c r="I316" s="327"/>
      <c r="J316" s="327"/>
      <c r="K316" s="355"/>
      <c r="L316" s="327"/>
      <c r="M316" s="215"/>
      <c r="N316" s="215"/>
      <c r="O316" s="215"/>
      <c r="P316" s="215"/>
      <c r="Q316" s="215"/>
      <c r="R316" s="215"/>
      <c r="S316" s="215"/>
      <c r="T316" s="168"/>
      <c r="U316" s="168"/>
    </row>
    <row r="317" spans="1:21" ht="15.75" customHeight="1">
      <c r="A317" s="169">
        <v>10</v>
      </c>
      <c r="B317" s="167" t="s">
        <v>523</v>
      </c>
      <c r="C317" s="242" t="s">
        <v>306</v>
      </c>
      <c r="D317" s="215"/>
      <c r="E317" s="215"/>
      <c r="F317" s="215"/>
      <c r="G317" s="167"/>
      <c r="H317" s="239">
        <v>-976924.36088874016</v>
      </c>
      <c r="I317" s="239">
        <v>-1736258.905144589</v>
      </c>
      <c r="J317" s="239">
        <v>-695326.62152957916</v>
      </c>
      <c r="K317" s="239">
        <f t="shared" ref="K317:R317" si="74">K318+K319</f>
        <v>-3000888.6135329003</v>
      </c>
      <c r="L317" s="239">
        <f t="shared" si="74"/>
        <v>-10254625.905068384</v>
      </c>
      <c r="M317" s="239">
        <f t="shared" si="74"/>
        <v>-232566.20428751578</v>
      </c>
      <c r="N317" s="239">
        <f>N318+N319</f>
        <v>-1193618.4210526317</v>
      </c>
      <c r="O317" s="239">
        <f ca="1">O318+O319</f>
        <v>129058.95326431173</v>
      </c>
      <c r="P317" s="239">
        <f t="shared" si="74"/>
        <v>0</v>
      </c>
      <c r="Q317" s="239">
        <f t="shared" si="74"/>
        <v>0</v>
      </c>
      <c r="R317" s="239">
        <f t="shared" si="74"/>
        <v>0</v>
      </c>
      <c r="S317" s="239">
        <f>S318+S319</f>
        <v>0</v>
      </c>
      <c r="T317" s="168"/>
      <c r="U317" s="168"/>
    </row>
    <row r="318" spans="1:21" ht="15.75" customHeight="1">
      <c r="B318" s="167"/>
      <c r="C318" s="353" t="s">
        <v>308</v>
      </c>
      <c r="D318" s="215"/>
      <c r="E318" s="215"/>
      <c r="F318" s="215"/>
      <c r="G318" s="167"/>
      <c r="H318" s="272">
        <v>-116979.68245794057</v>
      </c>
      <c r="I318" s="272">
        <v>27790.756758443098</v>
      </c>
      <c r="J318" s="272">
        <v>10735.182623699689</v>
      </c>
      <c r="K318" s="239">
        <v>3044958.1069093798</v>
      </c>
      <c r="L318" s="239">
        <v>-475905.0683829445</v>
      </c>
      <c r="M318" s="239"/>
      <c r="N318" s="239">
        <v>-50460.526315789473</v>
      </c>
      <c r="O318" s="239"/>
      <c r="P318" s="239"/>
      <c r="Q318" s="239"/>
      <c r="R318" s="239"/>
      <c r="S318" s="239"/>
      <c r="T318" s="168"/>
      <c r="U318" s="168"/>
    </row>
    <row r="319" spans="1:21" ht="15.75" customHeight="1">
      <c r="B319" s="167"/>
      <c r="C319" s="353" t="s">
        <v>307</v>
      </c>
      <c r="D319" s="215"/>
      <c r="E319" s="215"/>
      <c r="F319" s="215"/>
      <c r="G319" s="167"/>
      <c r="H319" s="272">
        <v>-859944.67843079963</v>
      </c>
      <c r="I319" s="272">
        <v>-1764049.6619030321</v>
      </c>
      <c r="J319" s="272">
        <v>-706061.80415327882</v>
      </c>
      <c r="K319" s="272">
        <v>-6045846.7204422802</v>
      </c>
      <c r="L319" s="272">
        <v>-9778720.8366854396</v>
      </c>
      <c r="M319" s="239">
        <v>-232566.20428751578</v>
      </c>
      <c r="N319" s="272">
        <v>-1143157.8947368423</v>
      </c>
      <c r="O319" s="272">
        <f ca="1">-O315*O351</f>
        <v>129058.95326431173</v>
      </c>
      <c r="P319" s="272">
        <f>-P315*P351</f>
        <v>0</v>
      </c>
      <c r="Q319" s="272">
        <f>-Q315*Q351</f>
        <v>0</v>
      </c>
      <c r="R319" s="272">
        <f>-R315*R351</f>
        <v>0</v>
      </c>
      <c r="S319" s="272">
        <f>-S315*S351</f>
        <v>0</v>
      </c>
      <c r="T319" s="168"/>
      <c r="U319" s="168"/>
    </row>
    <row r="320" spans="1:21" ht="6.75" customHeight="1">
      <c r="B320" s="167"/>
      <c r="C320" s="242"/>
      <c r="D320" s="215"/>
      <c r="E320" s="215"/>
      <c r="F320" s="215"/>
      <c r="G320" s="725"/>
      <c r="H320" s="725"/>
      <c r="I320" s="239"/>
      <c r="J320" s="239"/>
      <c r="K320" s="239"/>
      <c r="L320" s="239"/>
      <c r="M320" s="215"/>
      <c r="N320" s="215"/>
      <c r="O320" s="215"/>
      <c r="P320" s="215"/>
      <c r="Q320" s="215"/>
      <c r="R320" s="215"/>
      <c r="S320" s="215"/>
      <c r="T320" s="168"/>
      <c r="U320" s="168"/>
    </row>
    <row r="321" spans="2:21" ht="15.75" customHeight="1">
      <c r="B321" s="167" t="s">
        <v>524</v>
      </c>
      <c r="C321" s="260" t="s">
        <v>190</v>
      </c>
      <c r="D321" s="357"/>
      <c r="E321" s="357"/>
      <c r="F321" s="357"/>
      <c r="G321" s="400"/>
      <c r="H321" s="358">
        <v>4470005.0005257279</v>
      </c>
      <c r="I321" s="358">
        <v>5262780.4311475791</v>
      </c>
      <c r="J321" s="358">
        <v>30833078.902242292</v>
      </c>
      <c r="K321" s="358">
        <f t="shared" ref="K321:R321" si="75">K315+K317</f>
        <v>11997835.337559007</v>
      </c>
      <c r="L321" s="358">
        <f t="shared" ca="1" si="75"/>
        <v>32834458.77099514</v>
      </c>
      <c r="M321" s="358">
        <f ca="1">M315+M317</f>
        <v>4448614.2977394387</v>
      </c>
      <c r="N321" s="358">
        <f ca="1">N315+N317</f>
        <v>2075496.8207144004</v>
      </c>
      <c r="O321" s="358">
        <f t="shared" ca="1" si="75"/>
        <v>-240013.93959270249</v>
      </c>
      <c r="P321" s="358">
        <f t="shared" si="75"/>
        <v>0</v>
      </c>
      <c r="Q321" s="358">
        <f t="shared" si="75"/>
        <v>0</v>
      </c>
      <c r="R321" s="358">
        <f t="shared" si="75"/>
        <v>0</v>
      </c>
      <c r="S321" s="358">
        <f>S315+S317</f>
        <v>0</v>
      </c>
      <c r="T321" s="168"/>
      <c r="U321" s="168"/>
    </row>
    <row r="322" spans="2:21" ht="15.75" customHeight="1">
      <c r="B322" s="167"/>
      <c r="C322" s="242"/>
      <c r="D322" s="215"/>
      <c r="E322" s="215"/>
      <c r="F322" s="215"/>
      <c r="G322" s="167"/>
      <c r="H322" s="167"/>
      <c r="I322" s="239"/>
      <c r="J322" s="239"/>
      <c r="K322" s="239"/>
      <c r="L322" s="239"/>
      <c r="M322" s="171">
        <f ca="1">M321-M313-M308</f>
        <v>12446003.624050211</v>
      </c>
      <c r="N322" s="215"/>
      <c r="O322" s="215"/>
      <c r="P322" s="215"/>
      <c r="Q322" s="215"/>
      <c r="R322" s="215"/>
      <c r="S322" s="215"/>
      <c r="T322" s="168"/>
      <c r="U322" s="168"/>
    </row>
    <row r="323" spans="2:21" ht="15.75" customHeight="1">
      <c r="B323" s="167"/>
      <c r="C323" s="242"/>
      <c r="D323" s="215"/>
      <c r="E323" s="215"/>
      <c r="F323" s="215"/>
      <c r="G323" s="167"/>
      <c r="H323" s="167"/>
      <c r="I323" s="239"/>
      <c r="J323" s="239"/>
      <c r="K323" s="239"/>
      <c r="L323" s="239"/>
      <c r="M323" s="215"/>
      <c r="N323" s="215"/>
      <c r="O323" s="215"/>
      <c r="P323" s="215"/>
      <c r="Q323" s="215"/>
      <c r="R323" s="215"/>
      <c r="S323" s="215"/>
      <c r="T323" s="168"/>
      <c r="U323" s="168"/>
    </row>
    <row r="324" spans="2:21" ht="15.75" customHeight="1">
      <c r="B324" s="167"/>
      <c r="C324" s="242"/>
      <c r="D324" s="215"/>
      <c r="E324" s="215"/>
      <c r="F324" s="215"/>
      <c r="G324" s="167"/>
      <c r="H324" s="167"/>
      <c r="I324" s="239"/>
      <c r="J324" s="239"/>
      <c r="K324" s="239"/>
      <c r="L324" s="239"/>
      <c r="M324" s="215">
        <f>300363</f>
        <v>300363</v>
      </c>
      <c r="N324" s="737"/>
      <c r="O324" s="215"/>
      <c r="P324" s="215"/>
      <c r="Q324" s="215"/>
      <c r="R324" s="215"/>
      <c r="S324" s="215"/>
      <c r="T324" s="168"/>
      <c r="U324" s="168"/>
    </row>
    <row r="325" spans="2:21" ht="15.75" customHeight="1">
      <c r="B325" s="167"/>
      <c r="C325" s="242"/>
      <c r="D325" s="215"/>
      <c r="E325" s="215"/>
      <c r="F325" s="215"/>
      <c r="G325" s="167"/>
      <c r="H325" s="167"/>
      <c r="I325" s="239"/>
      <c r="J325" s="239"/>
      <c r="K325" s="239"/>
      <c r="L325" s="239"/>
      <c r="M325" s="171">
        <f>M324+8571782</f>
        <v>8872145</v>
      </c>
      <c r="N325" s="215"/>
      <c r="O325" s="215"/>
      <c r="P325" s="215"/>
      <c r="Q325" s="215"/>
      <c r="R325" s="215"/>
      <c r="S325" s="215"/>
      <c r="T325" s="168"/>
      <c r="U325" s="168"/>
    </row>
    <row r="326" spans="2:21" ht="27" customHeight="1" outlineLevel="1">
      <c r="B326" s="738"/>
      <c r="C326" s="733" t="s">
        <v>500</v>
      </c>
      <c r="D326" s="168"/>
      <c r="E326" s="168"/>
      <c r="F326" s="168"/>
      <c r="G326" s="168"/>
      <c r="H326" s="323"/>
      <c r="I326" s="323"/>
      <c r="J326" s="323"/>
      <c r="K326" s="323"/>
      <c r="L326" s="323"/>
      <c r="M326" s="323">
        <f ca="1">M322-M325</f>
        <v>3573858.6240502112</v>
      </c>
      <c r="N326" s="323"/>
      <c r="O326" s="323"/>
      <c r="P326" s="323"/>
      <c r="Q326" s="323"/>
      <c r="R326" s="323"/>
      <c r="S326" s="323"/>
      <c r="T326" s="168"/>
      <c r="U326" s="168"/>
    </row>
    <row r="327" spans="2:21" ht="3" customHeight="1" outlineLevel="1">
      <c r="B327" s="738"/>
      <c r="C327" s="299"/>
      <c r="D327" s="170"/>
      <c r="E327" s="170"/>
      <c r="F327" s="170"/>
      <c r="G327" s="170"/>
      <c r="H327" s="212"/>
      <c r="I327" s="212"/>
      <c r="J327" s="212"/>
      <c r="K327" s="212"/>
      <c r="L327" s="212"/>
      <c r="M327" s="212"/>
      <c r="N327" s="212"/>
      <c r="O327" s="212"/>
      <c r="P327" s="212"/>
      <c r="Q327" s="212"/>
      <c r="R327" s="212"/>
      <c r="S327" s="212"/>
      <c r="T327" s="168"/>
      <c r="U327" s="168"/>
    </row>
    <row r="328" spans="2:21" ht="15.75" customHeight="1" outlineLevel="1">
      <c r="B328" s="738"/>
      <c r="C328" s="601"/>
      <c r="D328" s="168"/>
      <c r="E328" s="168"/>
      <c r="F328" s="168"/>
      <c r="G328" s="168"/>
      <c r="H328" s="323"/>
      <c r="I328" s="323"/>
      <c r="J328" s="323"/>
      <c r="K328" s="323"/>
      <c r="L328" s="323"/>
      <c r="M328" s="323"/>
      <c r="N328" s="323"/>
      <c r="O328" s="323"/>
      <c r="P328" s="323"/>
      <c r="Q328" s="323"/>
      <c r="R328" s="323"/>
      <c r="S328" s="323"/>
      <c r="T328" s="168"/>
      <c r="U328" s="168"/>
    </row>
    <row r="329" spans="2:21" ht="15.75" customHeight="1" outlineLevel="1">
      <c r="B329" s="738"/>
      <c r="C329" s="302" t="s">
        <v>433</v>
      </c>
      <c r="D329" s="303"/>
      <c r="E329" s="303"/>
      <c r="F329" s="303"/>
      <c r="G329" s="303"/>
      <c r="H329" s="172"/>
      <c r="I329" s="172"/>
      <c r="J329" s="172"/>
      <c r="K329" s="172"/>
      <c r="L329" s="173"/>
      <c r="M329" s="172"/>
      <c r="N329" s="173"/>
      <c r="O329" s="173"/>
      <c r="P329" s="173"/>
      <c r="Q329" s="173"/>
      <c r="R329" s="173"/>
      <c r="S329" s="173"/>
      <c r="T329" s="168"/>
      <c r="U329" s="168"/>
    </row>
    <row r="330" spans="2:21" ht="15.75" customHeight="1" outlineLevel="1">
      <c r="B330" s="215"/>
      <c r="C330" s="348"/>
      <c r="D330" s="233"/>
      <c r="E330" s="233"/>
      <c r="F330" s="233"/>
      <c r="G330" s="338"/>
      <c r="H330" s="174">
        <v>0</v>
      </c>
      <c r="I330" s="174">
        <v>0</v>
      </c>
      <c r="J330" s="174">
        <v>1</v>
      </c>
      <c r="K330" s="174">
        <v>2</v>
      </c>
      <c r="L330" s="174">
        <f t="shared" ref="L330:S332" si="76">L287</f>
        <v>3</v>
      </c>
      <c r="M330" s="174">
        <f t="shared" si="76"/>
        <v>4</v>
      </c>
      <c r="N330" s="174">
        <f t="shared" si="76"/>
        <v>5</v>
      </c>
      <c r="O330" s="174">
        <f t="shared" si="76"/>
        <v>6</v>
      </c>
      <c r="P330" s="174">
        <f t="shared" si="76"/>
        <v>7</v>
      </c>
      <c r="Q330" s="174">
        <f t="shared" si="76"/>
        <v>8</v>
      </c>
      <c r="R330" s="174">
        <f t="shared" si="76"/>
        <v>9</v>
      </c>
      <c r="S330" s="174">
        <f t="shared" si="76"/>
        <v>10</v>
      </c>
      <c r="T330" s="168"/>
      <c r="U330" s="168"/>
    </row>
    <row r="331" spans="2:21" ht="15.75" customHeight="1" outlineLevel="1">
      <c r="B331" s="739"/>
      <c r="C331" s="349"/>
      <c r="D331" s="234"/>
      <c r="E331" s="234"/>
      <c r="F331" s="234"/>
      <c r="G331" s="325"/>
      <c r="H331" s="176"/>
      <c r="I331" s="176"/>
      <c r="J331" s="176"/>
      <c r="K331" s="176"/>
      <c r="L331" s="176"/>
      <c r="M331" s="176"/>
      <c r="N331" s="176"/>
      <c r="O331" s="176"/>
      <c r="P331" s="176"/>
      <c r="Q331" s="176"/>
      <c r="R331" s="176"/>
      <c r="S331" s="176"/>
      <c r="T331" s="168"/>
      <c r="U331" s="168"/>
    </row>
    <row r="332" spans="2:21" ht="15.75" customHeight="1" outlineLevel="1">
      <c r="B332" s="167"/>
      <c r="C332" s="359">
        <v>0</v>
      </c>
      <c r="D332" s="260"/>
      <c r="E332" s="235"/>
      <c r="F332" s="235"/>
      <c r="G332" s="326"/>
      <c r="H332" s="213" t="s">
        <v>499</v>
      </c>
      <c r="I332" s="213" t="s">
        <v>499</v>
      </c>
      <c r="J332" s="213" t="s">
        <v>499</v>
      </c>
      <c r="K332" s="213" t="s">
        <v>499</v>
      </c>
      <c r="L332" s="213" t="str">
        <f t="shared" si="76"/>
        <v>($)</v>
      </c>
      <c r="M332" s="213" t="str">
        <f t="shared" si="76"/>
        <v>($)</v>
      </c>
      <c r="N332" s="213" t="str">
        <f t="shared" si="76"/>
        <v>($)</v>
      </c>
      <c r="O332" s="213" t="str">
        <f t="shared" si="76"/>
        <v>($)</v>
      </c>
      <c r="P332" s="213" t="str">
        <f t="shared" si="76"/>
        <v>($)</v>
      </c>
      <c r="Q332" s="213" t="str">
        <f t="shared" si="76"/>
        <v>($)</v>
      </c>
      <c r="R332" s="213" t="str">
        <f t="shared" si="76"/>
        <v>($)</v>
      </c>
      <c r="S332" s="213" t="str">
        <f t="shared" si="76"/>
        <v>($)</v>
      </c>
      <c r="T332" s="168"/>
      <c r="U332" s="168"/>
    </row>
    <row r="333" spans="2:21" ht="15.75" customHeight="1" outlineLevel="1">
      <c r="B333" s="167"/>
      <c r="C333" s="242"/>
      <c r="D333" s="242"/>
      <c r="E333" s="249"/>
      <c r="F333" s="242"/>
      <c r="G333" s="167"/>
      <c r="H333" s="167"/>
      <c r="I333" s="242"/>
      <c r="J333" s="288"/>
      <c r="K333" s="288"/>
      <c r="L333" s="288"/>
      <c r="M333" s="288"/>
      <c r="N333" s="288"/>
      <c r="O333" s="288"/>
      <c r="P333" s="288"/>
      <c r="Q333" s="288"/>
      <c r="R333" s="288"/>
      <c r="S333" s="288"/>
      <c r="T333" s="168"/>
      <c r="U333" s="168"/>
    </row>
    <row r="334" spans="2:21" ht="15.75" customHeight="1" outlineLevel="1">
      <c r="B334" s="167"/>
      <c r="C334" s="242" t="s">
        <v>434</v>
      </c>
      <c r="D334" s="215"/>
      <c r="E334" s="270"/>
      <c r="F334" s="248"/>
      <c r="G334" s="360"/>
      <c r="H334" s="360"/>
      <c r="I334" s="361"/>
      <c r="J334" s="240"/>
      <c r="K334" s="240"/>
      <c r="L334" s="240"/>
      <c r="M334" s="215"/>
      <c r="N334" s="215"/>
      <c r="O334" s="215"/>
      <c r="P334" s="215"/>
      <c r="Q334" s="215"/>
      <c r="R334" s="215"/>
      <c r="S334" s="215"/>
      <c r="T334" s="168"/>
      <c r="U334" s="168"/>
    </row>
    <row r="335" spans="2:21" ht="15.75" customHeight="1" outlineLevel="1">
      <c r="B335" s="167"/>
      <c r="C335" s="353" t="s">
        <v>435</v>
      </c>
      <c r="D335" s="215"/>
      <c r="E335" s="270"/>
      <c r="F335" s="248"/>
      <c r="G335" s="362"/>
      <c r="H335" s="274">
        <v>0.31835610855117907</v>
      </c>
      <c r="I335" s="274">
        <v>0.35342663804183128</v>
      </c>
      <c r="J335" s="274">
        <v>0.49941669638530067</v>
      </c>
      <c r="K335" s="274">
        <v>0.35</v>
      </c>
      <c r="L335" s="274">
        <f>K335</f>
        <v>0.35</v>
      </c>
      <c r="M335" s="274">
        <f>L335</f>
        <v>0.35</v>
      </c>
      <c r="N335" s="274">
        <f>M335</f>
        <v>0.35</v>
      </c>
      <c r="O335" s="274">
        <f>N335</f>
        <v>0.35</v>
      </c>
      <c r="P335" s="274"/>
      <c r="Q335" s="274"/>
      <c r="R335" s="274"/>
      <c r="S335" s="274"/>
      <c r="T335" s="168"/>
      <c r="U335" s="168"/>
    </row>
    <row r="336" spans="2:21" ht="15.75" customHeight="1" outlineLevel="1">
      <c r="B336" s="167"/>
      <c r="C336" s="353"/>
      <c r="D336" s="215"/>
      <c r="E336" s="270"/>
      <c r="F336" s="248"/>
      <c r="G336" s="360"/>
      <c r="H336" s="360"/>
      <c r="I336" s="242"/>
      <c r="J336" s="240"/>
      <c r="K336" s="274"/>
      <c r="L336" s="240"/>
      <c r="M336" s="240"/>
      <c r="N336" s="240"/>
      <c r="O336" s="240"/>
      <c r="P336" s="240"/>
      <c r="Q336" s="240"/>
      <c r="R336" s="240"/>
      <c r="S336" s="240"/>
      <c r="T336" s="168"/>
      <c r="U336" s="168"/>
    </row>
    <row r="337" spans="2:21" ht="15.75" customHeight="1" outlineLevel="1">
      <c r="B337" s="167"/>
      <c r="C337" s="353" t="s">
        <v>461</v>
      </c>
      <c r="D337" s="242"/>
      <c r="E337" s="363"/>
      <c r="F337" s="246"/>
      <c r="G337" s="362"/>
      <c r="H337" s="274">
        <v>0.22911001166121342</v>
      </c>
      <c r="I337" s="274">
        <v>0.25606272523086882</v>
      </c>
      <c r="J337" s="274">
        <v>0.17704374392477426</v>
      </c>
      <c r="K337" s="274">
        <v>0.2</v>
      </c>
      <c r="L337" s="274">
        <f>K337</f>
        <v>0.2</v>
      </c>
      <c r="M337" s="274">
        <f>L337</f>
        <v>0.2</v>
      </c>
      <c r="N337" s="274">
        <f>M337</f>
        <v>0.2</v>
      </c>
      <c r="O337" s="274">
        <f>N337</f>
        <v>0.2</v>
      </c>
      <c r="P337" s="274"/>
      <c r="Q337" s="274"/>
      <c r="R337" s="274"/>
      <c r="S337" s="274"/>
      <c r="T337" s="168"/>
      <c r="U337" s="168"/>
    </row>
    <row r="338" spans="2:21" ht="15.75" customHeight="1" outlineLevel="1">
      <c r="B338" s="242"/>
      <c r="C338" s="353"/>
      <c r="D338" s="242"/>
      <c r="E338" s="249"/>
      <c r="F338" s="335"/>
      <c r="G338" s="362"/>
      <c r="H338" s="362"/>
      <c r="I338" s="240"/>
      <c r="J338" s="274"/>
      <c r="K338" s="240"/>
      <c r="L338" s="240"/>
      <c r="M338" s="240"/>
      <c r="N338" s="240"/>
      <c r="O338" s="240"/>
      <c r="P338" s="240"/>
      <c r="Q338" s="240"/>
      <c r="R338" s="240"/>
      <c r="S338" s="240"/>
      <c r="T338" s="168"/>
      <c r="U338" s="168"/>
    </row>
    <row r="339" spans="2:21" ht="15.75" customHeight="1" outlineLevel="1">
      <c r="B339" s="242"/>
      <c r="C339" s="353" t="s">
        <v>436</v>
      </c>
      <c r="D339" s="242"/>
      <c r="E339" s="249"/>
      <c r="F339" s="242"/>
      <c r="G339" s="362"/>
      <c r="H339" s="274">
        <v>8.9246096889965654E-2</v>
      </c>
      <c r="I339" s="274">
        <v>9.7363912810962461E-2</v>
      </c>
      <c r="J339" s="274">
        <v>0.32237295246052644</v>
      </c>
      <c r="K339" s="274">
        <v>0.17076107051245309</v>
      </c>
      <c r="L339" s="274">
        <f>L306/L291</f>
        <v>0.27948982801470729</v>
      </c>
      <c r="M339" s="274">
        <f>M306/M291</f>
        <v>0.10477370166071052</v>
      </c>
      <c r="N339" s="274">
        <f>N306/N291</f>
        <v>0.10364965806340048</v>
      </c>
      <c r="O339" s="274">
        <f>O306/O291</f>
        <v>0.11523500242254425</v>
      </c>
      <c r="P339" s="274"/>
      <c r="Q339" s="274"/>
      <c r="R339" s="274"/>
      <c r="S339" s="274"/>
      <c r="T339" s="168"/>
      <c r="U339" s="168"/>
    </row>
    <row r="340" spans="2:21" ht="15.75" customHeight="1" outlineLevel="1">
      <c r="B340" s="167"/>
      <c r="C340" s="353" t="s">
        <v>437</v>
      </c>
      <c r="D340" s="215"/>
      <c r="E340" s="270"/>
      <c r="F340" s="248"/>
      <c r="G340" s="362"/>
      <c r="H340" s="274">
        <v>7.2278691679780765E-2</v>
      </c>
      <c r="I340" s="274">
        <v>8.2287001644669261E-2</v>
      </c>
      <c r="J340" s="274">
        <v>0.32237295246052644</v>
      </c>
      <c r="K340" s="274">
        <v>9.4072033570250749E-2</v>
      </c>
      <c r="L340" s="274">
        <f ca="1">L310/L291</f>
        <v>0.22638161173657362</v>
      </c>
      <c r="M340" s="274">
        <f ca="1">M310/M291</f>
        <v>4.0430347215654638E-2</v>
      </c>
      <c r="N340" s="274">
        <f ca="1">N310/N291</f>
        <v>4.0635751320694545E-2</v>
      </c>
      <c r="O340" s="274">
        <f ca="1">O310/O291</f>
        <v>2.101750904461476E-2</v>
      </c>
      <c r="P340" s="274"/>
      <c r="Q340" s="274"/>
      <c r="R340" s="274"/>
      <c r="S340" s="274"/>
      <c r="T340" s="168"/>
      <c r="U340" s="168"/>
    </row>
    <row r="341" spans="2:21" ht="15.75" customHeight="1" outlineLevel="1">
      <c r="B341" s="167"/>
      <c r="C341" s="353" t="s">
        <v>438</v>
      </c>
      <c r="D341" s="242"/>
      <c r="E341" s="270"/>
      <c r="F341" s="335"/>
      <c r="G341" s="362"/>
      <c r="H341" s="274">
        <v>5.8334144712262337E-2</v>
      </c>
      <c r="I341" s="274">
        <v>5.5719440356815669E-2</v>
      </c>
      <c r="J341" s="274">
        <v>0.31531644265711789</v>
      </c>
      <c r="K341" s="274">
        <v>6.5144834509879124E-2</v>
      </c>
      <c r="L341" s="274">
        <f ca="1">L321/L291</f>
        <v>0.12749369767389018</v>
      </c>
      <c r="M341" s="274">
        <f ca="1">M321/M291</f>
        <v>3.5791525817942788E-2</v>
      </c>
      <c r="N341" s="274">
        <f ca="1">N321/N291</f>
        <v>1.575434791253285E-2</v>
      </c>
      <c r="O341" s="274">
        <f ca="1">O321/O291</f>
        <v>-6.2597137617657105E-3</v>
      </c>
      <c r="P341" s="274"/>
      <c r="Q341" s="274"/>
      <c r="R341" s="274"/>
      <c r="S341" s="274"/>
      <c r="T341" s="168"/>
      <c r="U341" s="168"/>
    </row>
    <row r="342" spans="2:21" ht="15.75" customHeight="1" outlineLevel="1">
      <c r="B342" s="167"/>
      <c r="C342" s="242"/>
      <c r="D342" s="242"/>
      <c r="E342" s="249"/>
      <c r="F342" s="335"/>
      <c r="G342" s="362"/>
      <c r="H342" s="362"/>
      <c r="I342" s="240"/>
      <c r="J342" s="240"/>
      <c r="K342" s="240"/>
      <c r="L342" s="240"/>
      <c r="M342" s="240"/>
      <c r="N342" s="240"/>
      <c r="O342" s="240"/>
      <c r="P342" s="240"/>
      <c r="Q342" s="240"/>
      <c r="R342" s="240"/>
      <c r="S342" s="240"/>
      <c r="T342" s="168"/>
      <c r="U342" s="168"/>
    </row>
    <row r="343" spans="2:21" ht="15.75" customHeight="1" outlineLevel="1">
      <c r="B343" s="167"/>
      <c r="C343" s="242" t="s">
        <v>439</v>
      </c>
      <c r="D343" s="215"/>
      <c r="E343" s="270"/>
      <c r="F343" s="248"/>
      <c r="G343" s="360"/>
      <c r="H343" s="360"/>
      <c r="I343" s="267"/>
      <c r="J343" s="364"/>
      <c r="K343" s="364"/>
      <c r="L343" s="364"/>
      <c r="M343" s="364"/>
      <c r="N343" s="364"/>
      <c r="O343" s="364"/>
      <c r="P343" s="364"/>
      <c r="Q343" s="364"/>
      <c r="R343" s="364"/>
      <c r="S343" s="364"/>
      <c r="T343" s="168"/>
      <c r="U343" s="168"/>
    </row>
    <row r="344" spans="2:21" ht="15.75" customHeight="1" outlineLevel="1">
      <c r="B344" s="167"/>
      <c r="C344" s="353" t="s">
        <v>440</v>
      </c>
      <c r="D344" s="242"/>
      <c r="E344" s="363"/>
      <c r="F344" s="246"/>
      <c r="G344" s="362"/>
      <c r="H344" s="362"/>
      <c r="I344" s="274">
        <v>0.23260331423070846</v>
      </c>
      <c r="J344" s="274">
        <v>3.5289407502442582E-2</v>
      </c>
      <c r="K344" s="274">
        <v>0.05</v>
      </c>
      <c r="L344" s="274">
        <f>K344</f>
        <v>0.05</v>
      </c>
      <c r="M344" s="274">
        <f>L344</f>
        <v>0.05</v>
      </c>
      <c r="N344" s="274">
        <f>M344</f>
        <v>0.05</v>
      </c>
      <c r="O344" s="274">
        <f>N344</f>
        <v>0.05</v>
      </c>
      <c r="P344" s="274"/>
      <c r="Q344" s="274"/>
      <c r="R344" s="274"/>
      <c r="S344" s="274"/>
      <c r="T344" s="168"/>
      <c r="U344" s="168"/>
    </row>
    <row r="345" spans="2:21" ht="15.75" customHeight="1" outlineLevel="1">
      <c r="B345" s="167"/>
      <c r="C345" s="353" t="s">
        <v>532</v>
      </c>
      <c r="D345" s="242"/>
      <c r="E345" s="363"/>
      <c r="F345" s="246"/>
      <c r="G345" s="362"/>
      <c r="H345" s="362"/>
      <c r="I345" s="274">
        <v>0.1101613210761252</v>
      </c>
      <c r="J345" s="274">
        <v>0.413070330952785</v>
      </c>
      <c r="K345" s="274">
        <v>-0.29918242114601934</v>
      </c>
      <c r="L345" s="274">
        <f>L335/K335-1</f>
        <v>0</v>
      </c>
      <c r="M345" s="274">
        <f>M335/L335-1</f>
        <v>0</v>
      </c>
      <c r="N345" s="274">
        <f>N335/M335-1</f>
        <v>0</v>
      </c>
      <c r="O345" s="274">
        <f>O335/N335-1</f>
        <v>0</v>
      </c>
      <c r="P345" s="274"/>
      <c r="Q345" s="274"/>
      <c r="R345" s="274"/>
      <c r="S345" s="274"/>
      <c r="T345" s="168"/>
      <c r="U345" s="168"/>
    </row>
    <row r="346" spans="2:21" ht="15.75" customHeight="1" outlineLevel="1">
      <c r="B346" s="167"/>
      <c r="C346" s="353" t="s">
        <v>533</v>
      </c>
      <c r="D346" s="242"/>
      <c r="E346" s="363"/>
      <c r="F346" s="246"/>
      <c r="G346" s="362"/>
      <c r="H346" s="362"/>
      <c r="I346" s="274">
        <v>0.11764092443725493</v>
      </c>
      <c r="J346" s="274">
        <v>-0.3085922843117842</v>
      </c>
      <c r="K346" s="274">
        <v>0.12966431666164868</v>
      </c>
      <c r="L346" s="274">
        <f>L337/K337-1</f>
        <v>0</v>
      </c>
      <c r="M346" s="274">
        <f>M337/L337-1</f>
        <v>0</v>
      </c>
      <c r="N346" s="274">
        <f>N337/M337-1</f>
        <v>0</v>
      </c>
      <c r="O346" s="274">
        <f>O337/N337-1</f>
        <v>0</v>
      </c>
      <c r="P346" s="274"/>
      <c r="Q346" s="274"/>
      <c r="R346" s="274"/>
      <c r="S346" s="274"/>
      <c r="T346" s="168"/>
      <c r="U346" s="168"/>
    </row>
    <row r="347" spans="2:21" ht="15.75" customHeight="1" outlineLevel="1">
      <c r="B347" s="215"/>
      <c r="C347" s="353" t="s">
        <v>441</v>
      </c>
      <c r="D347" s="242"/>
      <c r="E347" s="249"/>
      <c r="F347" s="246"/>
      <c r="G347" s="362"/>
      <c r="H347" s="362"/>
      <c r="I347" s="274">
        <v>0.3447207866717974</v>
      </c>
      <c r="J347" s="274">
        <v>2.4278542563882435</v>
      </c>
      <c r="K347" s="274">
        <v>-2.3392004784651421E-3</v>
      </c>
      <c r="L347" s="274">
        <f>L306/K306-1</f>
        <v>1.2887342594607936</v>
      </c>
      <c r="M347" s="274">
        <f>M306/L306-1</f>
        <v>-0.81907870955166795</v>
      </c>
      <c r="N347" s="274">
        <f>N306/M306-1</f>
        <v>4.8558550471880624E-2</v>
      </c>
      <c r="O347" s="274">
        <f>O306/N306-1</f>
        <v>-0.67642356043195984</v>
      </c>
      <c r="P347" s="274"/>
      <c r="Q347" s="274"/>
      <c r="R347" s="274"/>
      <c r="S347" s="274"/>
      <c r="T347" s="168"/>
      <c r="U347" s="168"/>
    </row>
    <row r="348" spans="2:21" ht="15.75" customHeight="1" outlineLevel="1">
      <c r="B348" s="167"/>
      <c r="C348" s="353" t="s">
        <v>442</v>
      </c>
      <c r="D348" s="242"/>
      <c r="E348" s="363"/>
      <c r="F348" s="246"/>
      <c r="G348" s="362"/>
      <c r="H348" s="362"/>
      <c r="I348" s="274">
        <v>0.40327984068505662</v>
      </c>
      <c r="J348" s="274">
        <v>3.0559176574310447</v>
      </c>
      <c r="K348" s="274">
        <v>-0.45039006875124565</v>
      </c>
      <c r="L348" s="274">
        <f ca="1">L310/K310-1</f>
        <v>2.3651067680692459</v>
      </c>
      <c r="M348" s="274">
        <f ca="1">M310/L310-1</f>
        <v>-0.91380745210777048</v>
      </c>
      <c r="N348" s="274">
        <f ca="1">N310/M310-1</f>
        <v>6.5314707912697445E-2</v>
      </c>
      <c r="O348" s="274">
        <f ca="1">O310/N310-1</f>
        <v>-0.84946645142958133</v>
      </c>
      <c r="P348" s="274"/>
      <c r="Q348" s="274"/>
      <c r="R348" s="274"/>
      <c r="S348" s="274"/>
      <c r="T348" s="168"/>
      <c r="U348" s="168"/>
    </row>
    <row r="349" spans="2:21" ht="15.75" customHeight="1" outlineLevel="1">
      <c r="B349" s="242"/>
      <c r="C349" s="353" t="s">
        <v>443</v>
      </c>
      <c r="D349" s="242"/>
      <c r="E349" s="363"/>
      <c r="F349" s="246"/>
      <c r="G349" s="362"/>
      <c r="H349" s="362"/>
      <c r="I349" s="274">
        <v>0.17735448406178755</v>
      </c>
      <c r="J349" s="274">
        <v>4.8587051665233476</v>
      </c>
      <c r="K349" s="274">
        <v>-0.61087780511318046</v>
      </c>
      <c r="L349" s="274">
        <f ca="1">L321/K321-1</f>
        <v>1.7366985666328874</v>
      </c>
      <c r="M349" s="274">
        <f ca="1">M321/L321-1</f>
        <v>-0.86451385330373731</v>
      </c>
      <c r="N349" s="274">
        <f ca="1">N321/M321-1</f>
        <v>-0.53345093959504131</v>
      </c>
      <c r="O349" s="274">
        <f ca="1">O321/N321-1</f>
        <v>-1.1156416801978468</v>
      </c>
      <c r="P349" s="274"/>
      <c r="Q349" s="274"/>
      <c r="R349" s="274"/>
      <c r="S349" s="274"/>
      <c r="T349" s="168"/>
      <c r="U349" s="168"/>
    </row>
    <row r="350" spans="2:21" ht="15.75" customHeight="1" outlineLevel="1">
      <c r="B350" s="167"/>
      <c r="C350" s="356"/>
      <c r="D350" s="242"/>
      <c r="E350" s="363"/>
      <c r="F350" s="246"/>
      <c r="G350" s="365"/>
      <c r="H350" s="365"/>
      <c r="I350" s="240"/>
      <c r="J350" s="246"/>
      <c r="K350" s="246"/>
      <c r="L350" s="246"/>
      <c r="M350" s="215"/>
      <c r="N350" s="215"/>
      <c r="O350" s="215"/>
      <c r="P350" s="215"/>
      <c r="Q350" s="215"/>
      <c r="R350" s="215"/>
      <c r="S350" s="215"/>
      <c r="T350" s="168"/>
      <c r="U350" s="168"/>
    </row>
    <row r="351" spans="2:21" ht="15.75" customHeight="1" outlineLevel="1">
      <c r="B351" s="167"/>
      <c r="C351" s="356" t="s">
        <v>444</v>
      </c>
      <c r="D351" s="242"/>
      <c r="E351" s="249"/>
      <c r="F351" s="242"/>
      <c r="G351" s="362"/>
      <c r="H351" s="362"/>
      <c r="I351" s="243">
        <v>0.2</v>
      </c>
      <c r="J351" s="243">
        <v>0.2</v>
      </c>
      <c r="K351" s="243">
        <v>0.2</v>
      </c>
      <c r="L351" s="243">
        <v>0.24</v>
      </c>
      <c r="M351" s="243">
        <f>L351</f>
        <v>0.24</v>
      </c>
      <c r="N351" s="243">
        <f ca="1">-N319/N315</f>
        <v>0.3496841836994829</v>
      </c>
      <c r="O351" s="243">
        <f ca="1">N351</f>
        <v>0.3496841836994829</v>
      </c>
      <c r="P351" s="243"/>
      <c r="Q351" s="243"/>
      <c r="R351" s="243"/>
      <c r="S351" s="243"/>
      <c r="T351" s="168"/>
      <c r="U351" s="168"/>
    </row>
    <row r="352" spans="2:21" ht="15.75" customHeight="1" outlineLevel="1">
      <c r="B352" s="167"/>
      <c r="C352" s="356" t="s">
        <v>454</v>
      </c>
      <c r="D352" s="242"/>
      <c r="E352" s="363"/>
      <c r="F352" s="246"/>
      <c r="G352" s="362"/>
      <c r="H352" s="362"/>
      <c r="I352" s="243">
        <v>0.04</v>
      </c>
      <c r="J352" s="243">
        <v>0.04</v>
      </c>
      <c r="K352" s="243">
        <v>0.04</v>
      </c>
      <c r="L352" s="243">
        <f>K352</f>
        <v>0.04</v>
      </c>
      <c r="M352" s="243">
        <f>L352</f>
        <v>0.04</v>
      </c>
      <c r="N352" s="243">
        <f>M352</f>
        <v>0.04</v>
      </c>
      <c r="O352" s="243">
        <f>N352</f>
        <v>0.04</v>
      </c>
      <c r="P352" s="243"/>
      <c r="Q352" s="243"/>
      <c r="R352" s="243"/>
      <c r="S352" s="243"/>
      <c r="T352" s="168"/>
      <c r="U352" s="168"/>
    </row>
    <row r="353" spans="2:21" ht="15.75" customHeight="1" outlineLevel="1">
      <c r="B353" s="167"/>
      <c r="C353" s="242"/>
      <c r="D353" s="242"/>
      <c r="E353" s="249"/>
      <c r="F353" s="246"/>
      <c r="G353" s="365"/>
      <c r="H353" s="365"/>
      <c r="I353" s="240"/>
      <c r="J353" s="240"/>
      <c r="K353" s="240"/>
      <c r="L353" s="240"/>
      <c r="M353" s="215"/>
      <c r="N353" s="215"/>
      <c r="O353" s="215"/>
      <c r="P353" s="215"/>
      <c r="Q353" s="215"/>
      <c r="R353" s="215"/>
      <c r="S353" s="215"/>
      <c r="T353" s="168"/>
      <c r="U353" s="168"/>
    </row>
    <row r="354" spans="2:21" ht="15.75" customHeight="1" outlineLevel="1">
      <c r="B354" s="167"/>
      <c r="C354" s="242"/>
      <c r="D354" s="242"/>
      <c r="E354" s="249"/>
      <c r="F354" s="242"/>
      <c r="G354" s="167"/>
      <c r="H354" s="167"/>
      <c r="I354" s="240"/>
      <c r="J354" s="240"/>
      <c r="K354" s="240"/>
      <c r="L354" s="240"/>
      <c r="M354" s="215"/>
      <c r="N354" s="215"/>
      <c r="O354" s="215"/>
      <c r="P354" s="215"/>
      <c r="Q354" s="215"/>
      <c r="R354" s="215"/>
      <c r="S354" s="215"/>
      <c r="T354" s="168"/>
      <c r="U354" s="168"/>
    </row>
    <row r="355" spans="2:21" ht="15.75" customHeight="1" outlineLevel="1">
      <c r="B355" s="167"/>
      <c r="C355" s="242"/>
      <c r="D355" s="242"/>
      <c r="E355" s="249"/>
      <c r="F355" s="242"/>
      <c r="G355" s="167"/>
      <c r="H355" s="167"/>
      <c r="I355" s="240"/>
      <c r="J355" s="240"/>
      <c r="K355" s="240"/>
      <c r="L355" s="240"/>
      <c r="M355" s="215"/>
      <c r="N355" s="215"/>
      <c r="O355" s="215"/>
      <c r="P355" s="215"/>
      <c r="Q355" s="215"/>
      <c r="R355" s="215"/>
      <c r="S355" s="215"/>
      <c r="T355" s="168"/>
      <c r="U355" s="168"/>
    </row>
    <row r="356" spans="2:21" ht="15.75" customHeight="1" outlineLevel="1">
      <c r="B356" s="167"/>
      <c r="C356" s="242"/>
      <c r="D356" s="242"/>
      <c r="E356" s="249"/>
      <c r="F356" s="242"/>
      <c r="G356" s="167"/>
      <c r="H356" s="167"/>
      <c r="I356" s="240"/>
      <c r="J356" s="240"/>
      <c r="K356" s="275"/>
      <c r="L356" s="240"/>
      <c r="M356" s="215"/>
      <c r="N356" s="215"/>
      <c r="O356" s="215"/>
      <c r="P356" s="215"/>
      <c r="Q356" s="215"/>
      <c r="R356" s="215"/>
      <c r="S356" s="215"/>
      <c r="T356" s="168"/>
      <c r="U356" s="168"/>
    </row>
    <row r="357" spans="2:21" ht="15.75" customHeight="1" outlineLevel="1">
      <c r="B357" s="167"/>
      <c r="C357" s="242"/>
      <c r="D357" s="242"/>
      <c r="E357" s="249"/>
      <c r="F357" s="242"/>
      <c r="G357" s="167"/>
      <c r="H357" s="167"/>
      <c r="I357" s="240"/>
      <c r="J357" s="240"/>
      <c r="K357" s="240"/>
      <c r="L357" s="240"/>
      <c r="M357" s="215"/>
      <c r="N357" s="215"/>
      <c r="O357" s="215"/>
      <c r="P357" s="215"/>
      <c r="Q357" s="215"/>
      <c r="R357" s="215"/>
      <c r="S357" s="215"/>
      <c r="T357" s="168"/>
      <c r="U357" s="168"/>
    </row>
    <row r="358" spans="2:21" ht="27" customHeight="1" outlineLevel="1">
      <c r="B358" s="242"/>
      <c r="C358" s="366" t="s">
        <v>370</v>
      </c>
      <c r="D358" s="168"/>
      <c r="E358" s="168"/>
      <c r="F358" s="168"/>
      <c r="G358" s="167"/>
      <c r="H358" s="167"/>
      <c r="I358" s="254"/>
      <c r="J358" s="254"/>
      <c r="K358" s="367"/>
      <c r="L358" s="368"/>
      <c r="M358" s="367"/>
      <c r="N358" s="368"/>
      <c r="O358" s="368"/>
      <c r="P358" s="368"/>
      <c r="Q358" s="368"/>
      <c r="R358" s="368"/>
      <c r="S358" s="368"/>
      <c r="T358" s="168"/>
      <c r="U358" s="168"/>
    </row>
    <row r="359" spans="2:21" ht="3" customHeight="1" outlineLevel="1">
      <c r="B359" s="242"/>
      <c r="C359" s="229"/>
      <c r="D359" s="229"/>
      <c r="E359" s="229"/>
      <c r="F359" s="229"/>
      <c r="G359" s="300"/>
      <c r="H359" s="300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168"/>
      <c r="U359" s="168"/>
    </row>
    <row r="360" spans="2:21" ht="15.75" customHeight="1" outlineLevel="1">
      <c r="B360" s="242"/>
      <c r="C360" s="168"/>
      <c r="D360" s="168"/>
      <c r="E360" s="168"/>
      <c r="F360" s="168"/>
      <c r="G360" s="167"/>
      <c r="H360" s="167"/>
      <c r="I360" s="254"/>
      <c r="J360" s="254"/>
      <c r="K360" s="367"/>
      <c r="L360" s="368"/>
      <c r="M360" s="367"/>
      <c r="N360" s="368"/>
      <c r="O360" s="368"/>
      <c r="P360" s="368"/>
      <c r="Q360" s="368"/>
      <c r="R360" s="368"/>
      <c r="S360" s="368"/>
      <c r="T360" s="168"/>
      <c r="U360" s="168"/>
    </row>
    <row r="361" spans="2:21" ht="15.75" customHeight="1" outlineLevel="1">
      <c r="B361" s="215"/>
      <c r="C361" s="313" t="s">
        <v>418</v>
      </c>
      <c r="D361" s="168"/>
      <c r="E361" s="168"/>
      <c r="F361" s="168"/>
      <c r="G361" s="167"/>
      <c r="H361" s="167"/>
      <c r="I361" s="254"/>
      <c r="J361" s="254"/>
      <c r="K361" s="367"/>
      <c r="L361" s="368"/>
      <c r="M361" s="367"/>
      <c r="N361" s="368"/>
      <c r="O361" s="368"/>
      <c r="P361" s="368"/>
      <c r="Q361" s="368"/>
      <c r="R361" s="368"/>
      <c r="S361" s="368"/>
      <c r="T361" s="168"/>
      <c r="U361" s="168"/>
    </row>
    <row r="362" spans="2:21" ht="15.75" customHeight="1" outlineLevel="1">
      <c r="B362" s="215"/>
      <c r="C362" s="348"/>
      <c r="D362" s="233"/>
      <c r="E362" s="233"/>
      <c r="F362" s="233"/>
      <c r="G362" s="338"/>
      <c r="H362" s="174">
        <v>0</v>
      </c>
      <c r="I362" s="174">
        <v>0</v>
      </c>
      <c r="J362" s="174">
        <v>1</v>
      </c>
      <c r="K362" s="174">
        <v>2</v>
      </c>
      <c r="L362" s="174">
        <f t="shared" ref="L362:S364" si="77">L287</f>
        <v>3</v>
      </c>
      <c r="M362" s="174">
        <f t="shared" si="77"/>
        <v>4</v>
      </c>
      <c r="N362" s="174">
        <f t="shared" si="77"/>
        <v>5</v>
      </c>
      <c r="O362" s="174">
        <f t="shared" si="77"/>
        <v>6</v>
      </c>
      <c r="P362" s="174">
        <f t="shared" si="77"/>
        <v>7</v>
      </c>
      <c r="Q362" s="174">
        <f t="shared" si="77"/>
        <v>8</v>
      </c>
      <c r="R362" s="174">
        <f t="shared" si="77"/>
        <v>9</v>
      </c>
      <c r="S362" s="174">
        <f t="shared" si="77"/>
        <v>10</v>
      </c>
      <c r="T362" s="168"/>
      <c r="U362" s="168"/>
    </row>
    <row r="363" spans="2:21" ht="15.75" customHeight="1" outlineLevel="1">
      <c r="B363" s="215"/>
      <c r="C363" s="349"/>
      <c r="D363" s="234"/>
      <c r="E363" s="234"/>
      <c r="F363" s="234"/>
      <c r="G363" s="325"/>
      <c r="H363" s="176"/>
      <c r="I363" s="176"/>
      <c r="J363" s="176"/>
      <c r="K363" s="176"/>
      <c r="L363" s="176"/>
      <c r="M363" s="176"/>
      <c r="N363" s="176"/>
      <c r="O363" s="176"/>
      <c r="P363" s="176"/>
      <c r="Q363" s="176"/>
      <c r="R363" s="176"/>
      <c r="S363" s="176"/>
      <c r="T363" s="168"/>
      <c r="U363" s="168"/>
    </row>
    <row r="364" spans="2:21" ht="15.75" customHeight="1" outlineLevel="1">
      <c r="B364" s="215"/>
      <c r="C364" s="359"/>
      <c r="D364" s="260"/>
      <c r="E364" s="235"/>
      <c r="F364" s="235"/>
      <c r="G364" s="326"/>
      <c r="H364" s="213" t="s">
        <v>499</v>
      </c>
      <c r="I364" s="213" t="s">
        <v>499</v>
      </c>
      <c r="J364" s="213" t="s">
        <v>499</v>
      </c>
      <c r="K364" s="213" t="s">
        <v>499</v>
      </c>
      <c r="L364" s="213" t="str">
        <f t="shared" si="77"/>
        <v>($)</v>
      </c>
      <c r="M364" s="213" t="str">
        <f t="shared" si="77"/>
        <v>($)</v>
      </c>
      <c r="N364" s="213" t="str">
        <f t="shared" si="77"/>
        <v>($)</v>
      </c>
      <c r="O364" s="213" t="str">
        <f t="shared" si="77"/>
        <v>($)</v>
      </c>
      <c r="P364" s="213" t="str">
        <f t="shared" si="77"/>
        <v>($)</v>
      </c>
      <c r="Q364" s="213" t="str">
        <f t="shared" si="77"/>
        <v>($)</v>
      </c>
      <c r="R364" s="213" t="str">
        <f t="shared" si="77"/>
        <v>($)</v>
      </c>
      <c r="S364" s="213" t="str">
        <f t="shared" si="77"/>
        <v>($)</v>
      </c>
      <c r="T364" s="168"/>
      <c r="U364" s="168"/>
    </row>
    <row r="365" spans="2:21" ht="15.75" customHeight="1" outlineLevel="1">
      <c r="B365" s="215"/>
      <c r="C365" s="242"/>
      <c r="D365" s="242"/>
      <c r="E365" s="276"/>
      <c r="F365" s="246"/>
      <c r="G365" s="365"/>
      <c r="H365" s="365"/>
      <c r="I365" s="242"/>
      <c r="J365" s="242"/>
      <c r="K365" s="246"/>
      <c r="L365" s="246"/>
      <c r="M365" s="246"/>
      <c r="N365" s="246"/>
      <c r="O365" s="246"/>
      <c r="P365" s="246"/>
      <c r="Q365" s="246"/>
      <c r="R365" s="246"/>
      <c r="S365" s="246"/>
      <c r="T365" s="168"/>
      <c r="U365" s="168"/>
    </row>
    <row r="366" spans="2:21" ht="15.75" customHeight="1" outlineLevel="1">
      <c r="B366" s="215"/>
      <c r="C366" s="369" t="s">
        <v>378</v>
      </c>
      <c r="D366" s="215"/>
      <c r="E366" s="248"/>
      <c r="F366" s="248"/>
      <c r="G366" s="360"/>
      <c r="H366" s="360"/>
      <c r="I366" s="242"/>
      <c r="J366" s="242"/>
      <c r="K366" s="370"/>
      <c r="L366" s="370"/>
      <c r="M366" s="370"/>
      <c r="N366" s="370"/>
      <c r="O366" s="370"/>
      <c r="P366" s="370"/>
      <c r="Q366" s="370"/>
      <c r="R366" s="370"/>
      <c r="S366" s="370"/>
      <c r="T366" s="168"/>
      <c r="U366" s="168"/>
    </row>
    <row r="367" spans="2:21" ht="15.75" customHeight="1" outlineLevel="1">
      <c r="B367" s="215"/>
      <c r="C367" s="242" t="s">
        <v>379</v>
      </c>
      <c r="D367" s="215"/>
      <c r="E367" s="249"/>
      <c r="F367" s="249"/>
      <c r="G367" s="167"/>
      <c r="H367" s="246">
        <v>1335983.6235384913</v>
      </c>
      <c r="I367" s="246">
        <f t="shared" ref="I367:R367" si="78">I451</f>
        <v>0</v>
      </c>
      <c r="J367" s="246">
        <f t="shared" si="78"/>
        <v>18377745.821507383</v>
      </c>
      <c r="K367" s="246">
        <f t="shared" si="78"/>
        <v>25293317.005245104</v>
      </c>
      <c r="L367" s="246">
        <f t="shared" ca="1" si="78"/>
        <v>83965757.093191624</v>
      </c>
      <c r="M367" s="246">
        <f t="shared" ca="1" si="78"/>
        <v>114883552.90763536</v>
      </c>
      <c r="N367" s="246">
        <f t="shared" ca="1" si="78"/>
        <v>131732859.86632258</v>
      </c>
      <c r="O367" s="246">
        <f t="shared" ca="1" si="78"/>
        <v>159482468.61479494</v>
      </c>
      <c r="P367" s="246">
        <f t="shared" si="78"/>
        <v>0</v>
      </c>
      <c r="Q367" s="246">
        <f t="shared" si="78"/>
        <v>0</v>
      </c>
      <c r="R367" s="246">
        <f t="shared" si="78"/>
        <v>0</v>
      </c>
      <c r="S367" s="246">
        <f>S451</f>
        <v>0</v>
      </c>
      <c r="T367" s="168"/>
      <c r="U367" s="168"/>
    </row>
    <row r="368" spans="2:21" ht="15.75" customHeight="1" outlineLevel="1">
      <c r="B368" s="215"/>
      <c r="C368" s="242" t="s">
        <v>380</v>
      </c>
      <c r="D368" s="242"/>
      <c r="E368" s="242"/>
      <c r="F368" s="242"/>
      <c r="G368" s="167"/>
      <c r="H368" s="246">
        <v>8076595.1451523174</v>
      </c>
      <c r="I368" s="246">
        <f t="shared" ref="I368:R368" si="79">SUM(I369:I370)</f>
        <v>9083095.0798885636</v>
      </c>
      <c r="J368" s="246">
        <f t="shared" si="79"/>
        <v>12607103.959080331</v>
      </c>
      <c r="K368" s="246">
        <f t="shared" si="79"/>
        <v>23744770.160336919</v>
      </c>
      <c r="L368" s="246">
        <f t="shared" si="79"/>
        <v>33203678.721150815</v>
      </c>
      <c r="M368" s="246">
        <f t="shared" si="79"/>
        <v>16042135.683900172</v>
      </c>
      <c r="N368" s="246">
        <f t="shared" si="79"/>
        <v>16101703.164817818</v>
      </c>
      <c r="O368" s="246">
        <f t="shared" si="79"/>
        <v>16101703.164817818</v>
      </c>
      <c r="P368" s="246">
        <f t="shared" si="79"/>
        <v>0</v>
      </c>
      <c r="Q368" s="246">
        <f t="shared" si="79"/>
        <v>0</v>
      </c>
      <c r="R368" s="246">
        <f t="shared" si="79"/>
        <v>0</v>
      </c>
      <c r="S368" s="246">
        <f>SUM(S369:S370)</f>
        <v>0</v>
      </c>
      <c r="T368" s="168"/>
      <c r="U368" s="168"/>
    </row>
    <row r="369" spans="2:21" ht="15.75" customHeight="1" outlineLevel="1">
      <c r="B369" s="215"/>
      <c r="C369" s="371" t="s">
        <v>381</v>
      </c>
      <c r="D369" s="242"/>
      <c r="E369" s="276"/>
      <c r="F369" s="246"/>
      <c r="G369" s="167"/>
      <c r="H369" s="246">
        <v>5740506.3752365354</v>
      </c>
      <c r="I369" s="246">
        <f t="shared" ref="I369:S371" si="80">I479</f>
        <v>6808233.3792448584</v>
      </c>
      <c r="J369" s="246">
        <f t="shared" si="80"/>
        <v>7048491.9013367621</v>
      </c>
      <c r="K369" s="246">
        <f t="shared" si="80"/>
        <v>13275437.461090514</v>
      </c>
      <c r="L369" s="246">
        <f t="shared" si="80"/>
        <v>18563808.256062943</v>
      </c>
      <c r="M369" s="246">
        <f>M479</f>
        <v>8976672.6354880985</v>
      </c>
      <c r="N369" s="246">
        <f t="shared" si="80"/>
        <v>9514642.7792105284</v>
      </c>
      <c r="O369" s="246">
        <f t="shared" si="80"/>
        <v>9514642.7792105284</v>
      </c>
      <c r="P369" s="246">
        <f t="shared" si="80"/>
        <v>0</v>
      </c>
      <c r="Q369" s="246">
        <f t="shared" si="80"/>
        <v>0</v>
      </c>
      <c r="R369" s="246">
        <f t="shared" si="80"/>
        <v>0</v>
      </c>
      <c r="S369" s="246">
        <f t="shared" si="80"/>
        <v>0</v>
      </c>
      <c r="T369" s="168"/>
      <c r="U369" s="168"/>
    </row>
    <row r="370" spans="2:21" ht="15.75" customHeight="1" outlineLevel="1">
      <c r="B370" s="215"/>
      <c r="C370" s="371" t="s">
        <v>382</v>
      </c>
      <c r="D370" s="242"/>
      <c r="E370" s="276"/>
      <c r="F370" s="246"/>
      <c r="G370" s="167"/>
      <c r="H370" s="246">
        <v>2336088.7699157819</v>
      </c>
      <c r="I370" s="246">
        <f t="shared" si="80"/>
        <v>2274861.7006437057</v>
      </c>
      <c r="J370" s="246">
        <f t="shared" si="80"/>
        <v>5558612.0577435698</v>
      </c>
      <c r="K370" s="246">
        <f t="shared" si="80"/>
        <v>10469332.699246403</v>
      </c>
      <c r="L370" s="246">
        <f t="shared" si="80"/>
        <v>14639870.46508787</v>
      </c>
      <c r="M370" s="246">
        <f>M480</f>
        <v>7065463.0484120734</v>
      </c>
      <c r="N370" s="246">
        <f t="shared" si="80"/>
        <v>6587060.3856072901</v>
      </c>
      <c r="O370" s="246">
        <f t="shared" si="80"/>
        <v>6587060.3856072901</v>
      </c>
      <c r="P370" s="246">
        <f t="shared" si="80"/>
        <v>0</v>
      </c>
      <c r="Q370" s="246">
        <f t="shared" si="80"/>
        <v>0</v>
      </c>
      <c r="R370" s="246">
        <f t="shared" si="80"/>
        <v>0</v>
      </c>
      <c r="S370" s="246">
        <f t="shared" si="80"/>
        <v>0</v>
      </c>
      <c r="T370" s="168"/>
      <c r="U370" s="168"/>
    </row>
    <row r="371" spans="2:21" ht="15.75" customHeight="1" outlineLevel="1">
      <c r="B371" s="215"/>
      <c r="C371" s="242" t="s">
        <v>383</v>
      </c>
      <c r="D371" s="242"/>
      <c r="E371" s="276"/>
      <c r="F371" s="246"/>
      <c r="G371" s="167"/>
      <c r="H371" s="246">
        <v>5196451.9517492643</v>
      </c>
      <c r="I371" s="246">
        <f t="shared" si="80"/>
        <v>5369138.3466902282</v>
      </c>
      <c r="J371" s="246">
        <f t="shared" si="80"/>
        <v>4303530.8150504967</v>
      </c>
      <c r="K371" s="246">
        <f t="shared" si="80"/>
        <v>10552318.115491582</v>
      </c>
      <c r="L371" s="246">
        <f t="shared" si="80"/>
        <v>15004760.451830745</v>
      </c>
      <c r="M371" s="246">
        <f>M481</f>
        <v>7202446.9416401656</v>
      </c>
      <c r="N371" s="246">
        <f t="shared" si="80"/>
        <v>4322369.7890857756</v>
      </c>
      <c r="O371" s="246">
        <f t="shared" si="80"/>
        <v>4322369.7890857756</v>
      </c>
      <c r="P371" s="246">
        <f t="shared" si="80"/>
        <v>0</v>
      </c>
      <c r="Q371" s="246">
        <f t="shared" si="80"/>
        <v>0</v>
      </c>
      <c r="R371" s="246">
        <f t="shared" si="80"/>
        <v>0</v>
      </c>
      <c r="S371" s="246">
        <f t="shared" si="80"/>
        <v>0</v>
      </c>
      <c r="T371" s="168"/>
      <c r="U371" s="168"/>
    </row>
    <row r="372" spans="2:21" ht="15.75" customHeight="1" outlineLevel="1">
      <c r="B372" s="215"/>
      <c r="C372" s="242" t="s">
        <v>344</v>
      </c>
      <c r="D372" s="242"/>
      <c r="E372" s="276"/>
      <c r="F372" s="246"/>
      <c r="G372" s="167"/>
      <c r="H372" s="246">
        <v>1976161.9628989445</v>
      </c>
      <c r="I372" s="246">
        <v>0</v>
      </c>
      <c r="J372" s="246">
        <v>0</v>
      </c>
      <c r="K372" s="246">
        <v>0</v>
      </c>
      <c r="L372" s="246">
        <v>0</v>
      </c>
      <c r="M372" s="246">
        <v>0</v>
      </c>
      <c r="N372" s="246">
        <f t="shared" ref="N372:S372" si="81">M372</f>
        <v>0</v>
      </c>
      <c r="O372" s="246">
        <f t="shared" si="81"/>
        <v>0</v>
      </c>
      <c r="P372" s="246">
        <f t="shared" si="81"/>
        <v>0</v>
      </c>
      <c r="Q372" s="246">
        <f t="shared" si="81"/>
        <v>0</v>
      </c>
      <c r="R372" s="246">
        <f t="shared" si="81"/>
        <v>0</v>
      </c>
      <c r="S372" s="246">
        <f t="shared" si="81"/>
        <v>0</v>
      </c>
      <c r="T372" s="168"/>
      <c r="U372" s="168"/>
    </row>
    <row r="373" spans="2:21" ht="15.75" customHeight="1" outlineLevel="1">
      <c r="B373" s="215"/>
      <c r="C373" s="242" t="s">
        <v>536</v>
      </c>
      <c r="D373" s="242"/>
      <c r="E373" s="276"/>
      <c r="F373" s="246"/>
      <c r="G373" s="167"/>
      <c r="H373" s="246">
        <v>34.701774683459085</v>
      </c>
      <c r="I373" s="246">
        <f t="shared" ref="I373:R373" si="82">I495</f>
        <v>0</v>
      </c>
      <c r="J373" s="246">
        <f t="shared" si="82"/>
        <v>0</v>
      </c>
      <c r="K373" s="246">
        <f t="shared" si="82"/>
        <v>0</v>
      </c>
      <c r="L373" s="246">
        <f t="shared" si="82"/>
        <v>0</v>
      </c>
      <c r="M373" s="246">
        <f t="shared" si="82"/>
        <v>0</v>
      </c>
      <c r="N373" s="246">
        <f t="shared" si="82"/>
        <v>0</v>
      </c>
      <c r="O373" s="246">
        <f t="shared" si="82"/>
        <v>0</v>
      </c>
      <c r="P373" s="246">
        <f t="shared" si="82"/>
        <v>0</v>
      </c>
      <c r="Q373" s="246">
        <f t="shared" si="82"/>
        <v>0</v>
      </c>
      <c r="R373" s="246">
        <f t="shared" si="82"/>
        <v>0</v>
      </c>
      <c r="S373" s="246">
        <f>S495</f>
        <v>0</v>
      </c>
      <c r="T373" s="168"/>
      <c r="U373" s="168"/>
    </row>
    <row r="374" spans="2:21" ht="15.75" customHeight="1" outlineLevel="1">
      <c r="B374" s="215"/>
      <c r="C374" s="242" t="s">
        <v>384</v>
      </c>
      <c r="D374" s="242"/>
      <c r="E374" s="276"/>
      <c r="F374" s="246"/>
      <c r="G374" s="167"/>
      <c r="H374" s="246">
        <v>16585227.385113701</v>
      </c>
      <c r="I374" s="246">
        <f t="shared" ref="I374:Q374" si="83">SUM(I367:I368,I371:I373)</f>
        <v>14452233.426578792</v>
      </c>
      <c r="J374" s="246">
        <f t="shared" si="83"/>
        <v>35288380.595638208</v>
      </c>
      <c r="K374" s="246">
        <f t="shared" si="83"/>
        <v>59590405.281073608</v>
      </c>
      <c r="L374" s="246">
        <f t="shared" ca="1" si="83"/>
        <v>132174196.26617318</v>
      </c>
      <c r="M374" s="246">
        <f ca="1">SUM(M367:M368,M371:M373)</f>
        <v>138128135.53317571</v>
      </c>
      <c r="N374" s="246">
        <f t="shared" ca="1" si="83"/>
        <v>152156932.82022616</v>
      </c>
      <c r="O374" s="246">
        <f t="shared" ca="1" si="83"/>
        <v>179906541.56869853</v>
      </c>
      <c r="P374" s="246">
        <f t="shared" si="83"/>
        <v>0</v>
      </c>
      <c r="Q374" s="246">
        <f t="shared" si="83"/>
        <v>0</v>
      </c>
      <c r="R374" s="246">
        <f>SUM(R367:R368,R371:R373)</f>
        <v>0</v>
      </c>
      <c r="S374" s="246">
        <f>SUM(S367:S368,S371:S373)</f>
        <v>0</v>
      </c>
      <c r="T374" s="168"/>
      <c r="U374" s="168"/>
    </row>
    <row r="375" spans="2:21" ht="15.75" customHeight="1" outlineLevel="1">
      <c r="B375" s="215"/>
      <c r="C375" s="242"/>
      <c r="D375" s="242"/>
      <c r="E375" s="276"/>
      <c r="F375" s="246"/>
      <c r="G375" s="167"/>
      <c r="H375" s="246"/>
      <c r="I375" s="246"/>
      <c r="J375" s="246"/>
      <c r="K375" s="246"/>
      <c r="L375" s="246"/>
      <c r="M375" s="246"/>
      <c r="N375" s="246"/>
      <c r="O375" s="246"/>
      <c r="P375" s="246"/>
      <c r="Q375" s="246"/>
      <c r="R375" s="246"/>
      <c r="S375" s="246"/>
      <c r="T375" s="168"/>
      <c r="U375" s="168"/>
    </row>
    <row r="376" spans="2:21" ht="15.75" customHeight="1" outlineLevel="1">
      <c r="B376" s="215"/>
      <c r="C376" s="242" t="s">
        <v>150</v>
      </c>
      <c r="D376" s="242"/>
      <c r="E376" s="242"/>
      <c r="F376" s="242"/>
      <c r="G376" s="167"/>
      <c r="H376" s="246">
        <v>20948038.603642229</v>
      </c>
      <c r="I376" s="246">
        <f t="shared" ref="I376:R376" si="84">I523</f>
        <v>20549785</v>
      </c>
      <c r="J376" s="246">
        <f t="shared" si="84"/>
        <v>20738046.736763783</v>
      </c>
      <c r="K376" s="246">
        <f t="shared" si="84"/>
        <v>19908524.867293231</v>
      </c>
      <c r="L376" s="246">
        <f t="shared" si="84"/>
        <v>19079002.99782268</v>
      </c>
      <c r="M376" s="246">
        <f>M523</f>
        <v>17623561.128352128</v>
      </c>
      <c r="N376" s="246">
        <f t="shared" si="84"/>
        <v>16820119.258881576</v>
      </c>
      <c r="O376" s="246">
        <f t="shared" si="84"/>
        <v>16485351.813268846</v>
      </c>
      <c r="P376" s="246">
        <f t="shared" si="84"/>
        <v>0</v>
      </c>
      <c r="Q376" s="246">
        <f t="shared" si="84"/>
        <v>0</v>
      </c>
      <c r="R376" s="246">
        <f t="shared" si="84"/>
        <v>0</v>
      </c>
      <c r="S376" s="246">
        <f>S523</f>
        <v>0</v>
      </c>
      <c r="T376" s="168"/>
      <c r="U376" s="168"/>
    </row>
    <row r="377" spans="2:21" ht="15.75" customHeight="1" outlineLevel="1">
      <c r="B377" s="215"/>
      <c r="C377" s="242" t="s">
        <v>151</v>
      </c>
      <c r="D377" s="242"/>
      <c r="E377" s="276"/>
      <c r="F377" s="246"/>
      <c r="G377" s="167"/>
      <c r="H377" s="246">
        <v>0</v>
      </c>
      <c r="I377" s="246">
        <f t="shared" ref="I377:R377" si="85">I529</f>
        <v>50749327.000001602</v>
      </c>
      <c r="J377" s="246">
        <f t="shared" si="85"/>
        <v>55962191.212750152</v>
      </c>
      <c r="K377" s="246">
        <f t="shared" si="85"/>
        <v>45194300.534787588</v>
      </c>
      <c r="L377" s="246">
        <f t="shared" ca="1" si="85"/>
        <v>42423931.39518486</v>
      </c>
      <c r="M377" s="246">
        <f ca="1">M529</f>
        <v>24918339.549946159</v>
      </c>
      <c r="N377" s="246">
        <f t="shared" ca="1" si="85"/>
        <v>18835286.137208946</v>
      </c>
      <c r="O377" s="246">
        <f t="shared" ca="1" si="85"/>
        <v>17828325.77273998</v>
      </c>
      <c r="P377" s="246">
        <f t="shared" si="85"/>
        <v>0</v>
      </c>
      <c r="Q377" s="246">
        <f t="shared" si="85"/>
        <v>0</v>
      </c>
      <c r="R377" s="246">
        <f t="shared" si="85"/>
        <v>0</v>
      </c>
      <c r="S377" s="246">
        <f>S529</f>
        <v>0</v>
      </c>
      <c r="T377" s="168"/>
      <c r="U377" s="168"/>
    </row>
    <row r="378" spans="2:21" ht="15.75" customHeight="1" outlineLevel="1">
      <c r="B378" s="215"/>
      <c r="C378" s="242" t="s">
        <v>497</v>
      </c>
      <c r="D378" s="242"/>
      <c r="E378" s="276"/>
      <c r="F378" s="246"/>
      <c r="G378" s="167"/>
      <c r="H378" s="246">
        <v>826318.65876252775</v>
      </c>
      <c r="I378" s="246">
        <f t="shared" ref="I378:R378" si="86">I496</f>
        <v>7214692.6232954003</v>
      </c>
      <c r="J378" s="246">
        <f t="shared" si="86"/>
        <v>7656405.3479339546</v>
      </c>
      <c r="K378" s="246">
        <f t="shared" si="86"/>
        <v>14420408.19455003</v>
      </c>
      <c r="L378" s="246">
        <f t="shared" si="86"/>
        <v>20164886.730278455</v>
      </c>
      <c r="M378" s="246">
        <f t="shared" si="86"/>
        <v>9731934.6102111991</v>
      </c>
      <c r="N378" s="246">
        <f t="shared" si="86"/>
        <v>10315167.448652338</v>
      </c>
      <c r="O378" s="246">
        <f t="shared" si="86"/>
        <v>10315167.448652338</v>
      </c>
      <c r="P378" s="246">
        <f t="shared" si="86"/>
        <v>0</v>
      </c>
      <c r="Q378" s="246">
        <f t="shared" si="86"/>
        <v>0</v>
      </c>
      <c r="R378" s="246">
        <f t="shared" si="86"/>
        <v>0</v>
      </c>
      <c r="S378" s="246">
        <f>S496</f>
        <v>0</v>
      </c>
      <c r="T378" s="168"/>
      <c r="U378" s="168"/>
    </row>
    <row r="379" spans="2:21" ht="15.75" customHeight="1" outlineLevel="1">
      <c r="B379" s="215"/>
      <c r="C379" s="242" t="s">
        <v>535</v>
      </c>
      <c r="D379" s="242"/>
      <c r="E379" s="276"/>
      <c r="F379" s="246"/>
      <c r="G379" s="167"/>
      <c r="H379" s="246">
        <v>9542.9880379512488</v>
      </c>
      <c r="I379" s="246">
        <v>0</v>
      </c>
      <c r="J379" s="246">
        <v>0</v>
      </c>
      <c r="K379" s="246">
        <v>0</v>
      </c>
      <c r="L379" s="246">
        <v>0</v>
      </c>
      <c r="M379" s="246">
        <v>0</v>
      </c>
      <c r="N379" s="246">
        <f t="shared" ref="N379:S379" si="87">M379</f>
        <v>0</v>
      </c>
      <c r="O379" s="246">
        <f>-30000000</f>
        <v>-30000000</v>
      </c>
      <c r="P379" s="246">
        <v>0</v>
      </c>
      <c r="Q379" s="246">
        <f t="shared" si="87"/>
        <v>0</v>
      </c>
      <c r="R379" s="246">
        <f t="shared" si="87"/>
        <v>0</v>
      </c>
      <c r="S379" s="246">
        <f t="shared" si="87"/>
        <v>0</v>
      </c>
      <c r="T379" s="168"/>
      <c r="U379" s="168"/>
    </row>
    <row r="380" spans="2:21" ht="15.75" customHeight="1" outlineLevel="1">
      <c r="B380" s="215"/>
      <c r="C380" s="242"/>
      <c r="D380" s="242"/>
      <c r="E380" s="276"/>
      <c r="F380" s="246"/>
      <c r="G380" s="167"/>
      <c r="H380" s="246"/>
      <c r="I380" s="246"/>
      <c r="J380" s="246"/>
      <c r="K380" s="246"/>
      <c r="L380" s="246"/>
      <c r="M380" s="246"/>
      <c r="N380" s="246"/>
      <c r="O380" s="246"/>
      <c r="P380" s="246"/>
      <c r="Q380" s="246"/>
      <c r="R380" s="246"/>
      <c r="S380" s="246"/>
      <c r="T380" s="168"/>
      <c r="U380" s="168"/>
    </row>
    <row r="381" spans="2:21" ht="15.75" customHeight="1" outlineLevel="1">
      <c r="B381" s="215"/>
      <c r="C381" s="242" t="s">
        <v>385</v>
      </c>
      <c r="D381" s="242"/>
      <c r="E381" s="276"/>
      <c r="F381" s="246"/>
      <c r="G381" s="167"/>
      <c r="H381" s="246">
        <v>38369127.635556407</v>
      </c>
      <c r="I381" s="246">
        <f t="shared" ref="I381:Q381" si="88">SUM(I374:I379)</f>
        <v>92966038.049875796</v>
      </c>
      <c r="J381" s="246">
        <f t="shared" si="88"/>
        <v>119645023.89308609</v>
      </c>
      <c r="K381" s="246">
        <f t="shared" si="88"/>
        <v>139113638.87770447</v>
      </c>
      <c r="L381" s="246">
        <f t="shared" ca="1" si="88"/>
        <v>213842017.38945916</v>
      </c>
      <c r="M381" s="246">
        <f ca="1">SUM(M374:M379)</f>
        <v>190401970.82168519</v>
      </c>
      <c r="N381" s="246">
        <f t="shared" ca="1" si="88"/>
        <v>198127505.664969</v>
      </c>
      <c r="O381" s="246">
        <f t="shared" ca="1" si="88"/>
        <v>194535386.60335967</v>
      </c>
      <c r="P381" s="246">
        <f t="shared" si="88"/>
        <v>0</v>
      </c>
      <c r="Q381" s="246">
        <f t="shared" si="88"/>
        <v>0</v>
      </c>
      <c r="R381" s="246">
        <f>SUM(R374:R379)</f>
        <v>0</v>
      </c>
      <c r="S381" s="246">
        <f>SUM(S374:S379)</f>
        <v>0</v>
      </c>
      <c r="T381" s="168"/>
      <c r="U381" s="168"/>
    </row>
    <row r="382" spans="2:21" ht="15.75" customHeight="1" outlineLevel="1">
      <c r="B382" s="215"/>
      <c r="C382" s="372"/>
      <c r="D382" s="242"/>
      <c r="E382" s="242"/>
      <c r="F382" s="242"/>
      <c r="G382" s="167"/>
      <c r="H382" s="246"/>
      <c r="I382" s="246"/>
      <c r="J382" s="246"/>
      <c r="K382" s="246"/>
      <c r="L382" s="246"/>
      <c r="M382" s="246"/>
      <c r="N382" s="246"/>
      <c r="O382" s="246"/>
      <c r="P382" s="246"/>
      <c r="Q382" s="246"/>
      <c r="R382" s="246"/>
      <c r="S382" s="246"/>
      <c r="T382" s="168"/>
      <c r="U382" s="168"/>
    </row>
    <row r="383" spans="2:21" ht="15.75" customHeight="1" outlineLevel="1">
      <c r="B383" s="215"/>
      <c r="C383" s="369" t="s">
        <v>386</v>
      </c>
      <c r="D383" s="242"/>
      <c r="E383" s="242"/>
      <c r="F383" s="242"/>
      <c r="G383" s="167"/>
      <c r="H383" s="246"/>
      <c r="I383" s="246"/>
      <c r="J383" s="246"/>
      <c r="K383" s="246"/>
      <c r="L383" s="246"/>
      <c r="M383" s="246"/>
      <c r="N383" s="246"/>
      <c r="O383" s="246"/>
      <c r="P383" s="246"/>
      <c r="Q383" s="246"/>
      <c r="R383" s="246"/>
      <c r="S383" s="246"/>
      <c r="T383" s="168"/>
      <c r="U383" s="168"/>
    </row>
    <row r="384" spans="2:21" ht="15.75" customHeight="1" outlineLevel="1">
      <c r="B384" s="215"/>
      <c r="C384" s="242" t="s">
        <v>387</v>
      </c>
      <c r="D384" s="242"/>
      <c r="E384" s="242"/>
      <c r="F384" s="242"/>
      <c r="G384" s="167"/>
      <c r="H384" s="246">
        <v>2849189.2103854083</v>
      </c>
      <c r="I384" s="246">
        <f t="shared" ref="I384:Q384" si="89">SUM(I385:I386)</f>
        <v>7500563.8834193889</v>
      </c>
      <c r="J384" s="246">
        <f t="shared" si="89"/>
        <v>7765254.3387994803</v>
      </c>
      <c r="K384" s="246">
        <f t="shared" si="89"/>
        <v>14625419.137481531</v>
      </c>
      <c r="L384" s="246">
        <f t="shared" si="89"/>
        <v>20451565.330974631</v>
      </c>
      <c r="M384" s="246">
        <f>SUM(M385:M386)</f>
        <v>9835225.1689317469</v>
      </c>
      <c r="N384" s="246">
        <f t="shared" si="89"/>
        <v>12254387.185302719</v>
      </c>
      <c r="O384" s="246">
        <f t="shared" si="89"/>
        <v>12254387.185302719</v>
      </c>
      <c r="P384" s="246">
        <f t="shared" si="89"/>
        <v>0</v>
      </c>
      <c r="Q384" s="246">
        <f t="shared" si="89"/>
        <v>0</v>
      </c>
      <c r="R384" s="246">
        <f>SUM(R385:R386)</f>
        <v>0</v>
      </c>
      <c r="S384" s="246">
        <f>SUM(S385:S386)</f>
        <v>0</v>
      </c>
      <c r="T384" s="168"/>
      <c r="U384" s="168"/>
    </row>
    <row r="385" spans="1:21" ht="15.75" customHeight="1" outlineLevel="1">
      <c r="B385" s="215"/>
      <c r="C385" s="371" t="s">
        <v>388</v>
      </c>
      <c r="D385" s="242"/>
      <c r="E385" s="276"/>
      <c r="F385" s="246"/>
      <c r="G385" s="167"/>
      <c r="H385" s="246">
        <v>1344971.3831815072</v>
      </c>
      <c r="I385" s="246">
        <f t="shared" ref="I385:R385" si="90">I483</f>
        <v>5536313.1957326308</v>
      </c>
      <c r="J385" s="246">
        <f t="shared" si="90"/>
        <v>5731686.4081579903</v>
      </c>
      <c r="K385" s="246">
        <f t="shared" si="90"/>
        <v>10795308.489132712</v>
      </c>
      <c r="L385" s="246">
        <f t="shared" si="90"/>
        <v>15095701.173288954</v>
      </c>
      <c r="M385" s="246">
        <f t="shared" si="90"/>
        <v>7250389.4363557715</v>
      </c>
      <c r="N385" s="246">
        <f t="shared" si="90"/>
        <v>9514642.7792105284</v>
      </c>
      <c r="O385" s="246">
        <f t="shared" si="90"/>
        <v>9514642.7792105284</v>
      </c>
      <c r="P385" s="246">
        <f>P483</f>
        <v>0</v>
      </c>
      <c r="Q385" s="246">
        <f t="shared" si="90"/>
        <v>0</v>
      </c>
      <c r="R385" s="246">
        <f t="shared" si="90"/>
        <v>0</v>
      </c>
      <c r="S385" s="246">
        <f>S483</f>
        <v>0</v>
      </c>
      <c r="T385" s="168"/>
      <c r="U385" s="168"/>
    </row>
    <row r="386" spans="1:21" ht="15.75" customHeight="1" outlineLevel="1">
      <c r="B386" s="215"/>
      <c r="C386" s="371" t="s">
        <v>389</v>
      </c>
      <c r="D386" s="242"/>
      <c r="E386" s="276"/>
      <c r="F386" s="246"/>
      <c r="G386" s="167"/>
      <c r="H386" s="246">
        <v>1504217.827203901</v>
      </c>
      <c r="I386" s="246">
        <f t="shared" ref="I386:R386" si="91">I500</f>
        <v>1964250.6876867583</v>
      </c>
      <c r="J386" s="246">
        <f t="shared" si="91"/>
        <v>2033567.9306414896</v>
      </c>
      <c r="K386" s="246">
        <f t="shared" si="91"/>
        <v>3830110.648348819</v>
      </c>
      <c r="L386" s="246">
        <f t="shared" si="91"/>
        <v>5355864.1576856747</v>
      </c>
      <c r="M386" s="246">
        <f t="shared" si="91"/>
        <v>2584835.7325759754</v>
      </c>
      <c r="N386" s="246">
        <f t="shared" si="91"/>
        <v>2739744.4060921911</v>
      </c>
      <c r="O386" s="246">
        <f t="shared" si="91"/>
        <v>2739744.4060921911</v>
      </c>
      <c r="P386" s="246">
        <f t="shared" si="91"/>
        <v>0</v>
      </c>
      <c r="Q386" s="246">
        <f t="shared" si="91"/>
        <v>0</v>
      </c>
      <c r="R386" s="246">
        <f t="shared" si="91"/>
        <v>0</v>
      </c>
      <c r="S386" s="246">
        <f>S500</f>
        <v>0</v>
      </c>
      <c r="T386" s="168"/>
      <c r="U386" s="168"/>
    </row>
    <row r="387" spans="1:21" ht="15.75" customHeight="1" outlineLevel="1">
      <c r="B387" s="215"/>
      <c r="C387" s="242" t="s">
        <v>390</v>
      </c>
      <c r="D387" s="242"/>
      <c r="E387" s="276"/>
      <c r="F387" s="246"/>
      <c r="G387" s="167"/>
      <c r="H387" s="246">
        <v>959885.7895191618</v>
      </c>
      <c r="I387" s="246">
        <f t="shared" ref="I387:R387" si="92">I499</f>
        <v>61498.255278361175</v>
      </c>
      <c r="J387" s="246">
        <f t="shared" si="92"/>
        <v>63668.492269568502</v>
      </c>
      <c r="K387" s="246">
        <f t="shared" si="92"/>
        <v>119916.01880201952</v>
      </c>
      <c r="L387" s="246">
        <f t="shared" si="92"/>
        <v>167685.47073463188</v>
      </c>
      <c r="M387" s="246">
        <f t="shared" si="92"/>
        <v>80928.004114277835</v>
      </c>
      <c r="N387" s="246">
        <f t="shared" si="92"/>
        <v>85778.002746556158</v>
      </c>
      <c r="O387" s="246">
        <f t="shared" si="92"/>
        <v>85778.002746556158</v>
      </c>
      <c r="P387" s="246">
        <f t="shared" si="92"/>
        <v>0</v>
      </c>
      <c r="Q387" s="246">
        <f t="shared" si="92"/>
        <v>0</v>
      </c>
      <c r="R387" s="246">
        <f t="shared" si="92"/>
        <v>0</v>
      </c>
      <c r="S387" s="246">
        <f>S499</f>
        <v>0</v>
      </c>
      <c r="T387" s="168"/>
      <c r="U387" s="168"/>
    </row>
    <row r="388" spans="1:21" ht="15.75" customHeight="1" outlineLevel="1">
      <c r="B388" s="215"/>
      <c r="C388" s="242" t="s">
        <v>391</v>
      </c>
      <c r="D388" s="242"/>
      <c r="E388" s="276"/>
      <c r="F388" s="246"/>
      <c r="G388" s="167"/>
      <c r="H388" s="246">
        <v>3809074.9999045702</v>
      </c>
      <c r="I388" s="246">
        <f t="shared" ref="I388:R388" si="93">SUM(I387,I384)</f>
        <v>7562062.1386977499</v>
      </c>
      <c r="J388" s="246">
        <f t="shared" si="93"/>
        <v>7828922.8310690485</v>
      </c>
      <c r="K388" s="246">
        <f t="shared" si="93"/>
        <v>14745335.15628355</v>
      </c>
      <c r="L388" s="246">
        <f t="shared" si="93"/>
        <v>20619250.801709265</v>
      </c>
      <c r="M388" s="246">
        <f t="shared" si="93"/>
        <v>9916153.1730460245</v>
      </c>
      <c r="N388" s="246">
        <f t="shared" si="93"/>
        <v>12340165.188049275</v>
      </c>
      <c r="O388" s="246">
        <f t="shared" si="93"/>
        <v>12340165.188049275</v>
      </c>
      <c r="P388" s="246">
        <f t="shared" si="93"/>
        <v>0</v>
      </c>
      <c r="Q388" s="246">
        <f t="shared" si="93"/>
        <v>0</v>
      </c>
      <c r="R388" s="246">
        <f t="shared" si="93"/>
        <v>0</v>
      </c>
      <c r="S388" s="246">
        <f>SUM(S387,S384)</f>
        <v>0</v>
      </c>
      <c r="T388" s="168"/>
      <c r="U388" s="168"/>
    </row>
    <row r="389" spans="1:21" ht="15.75" customHeight="1" outlineLevel="1">
      <c r="B389" s="215"/>
      <c r="C389" s="242"/>
      <c r="D389" s="242"/>
      <c r="E389" s="242"/>
      <c r="F389" s="242"/>
      <c r="G389" s="167"/>
      <c r="H389" s="246"/>
      <c r="I389" s="246"/>
      <c r="J389" s="246"/>
      <c r="K389" s="246"/>
      <c r="L389" s="246"/>
      <c r="M389" s="246"/>
      <c r="N389" s="246"/>
      <c r="O389" s="246"/>
      <c r="P389" s="246"/>
      <c r="Q389" s="246"/>
      <c r="R389" s="246"/>
      <c r="S389" s="246"/>
      <c r="T389" s="168"/>
      <c r="U389" s="168"/>
    </row>
    <row r="390" spans="1:21" ht="15.75" customHeight="1" outlineLevel="1">
      <c r="B390" s="215"/>
      <c r="C390" s="242" t="s">
        <v>392</v>
      </c>
      <c r="D390" s="242"/>
      <c r="E390" s="242"/>
      <c r="F390" s="242"/>
      <c r="G390" s="167"/>
      <c r="H390" s="246">
        <v>2893780.9908536533</v>
      </c>
      <c r="I390" s="246">
        <f t="shared" ref="I390:R390" si="94">I639</f>
        <v>0</v>
      </c>
      <c r="J390" s="246">
        <f t="shared" si="94"/>
        <v>0</v>
      </c>
      <c r="K390" s="246">
        <f t="shared" si="94"/>
        <v>1064766.5</v>
      </c>
      <c r="L390" s="246">
        <f t="shared" si="94"/>
        <v>18477505.229283988</v>
      </c>
      <c r="M390" s="246">
        <f t="shared" si="94"/>
        <v>18221941.992433798</v>
      </c>
      <c r="N390" s="246">
        <f t="shared" si="94"/>
        <v>20939449</v>
      </c>
      <c r="O390" s="246">
        <f t="shared" ca="1" si="94"/>
        <v>20939449</v>
      </c>
      <c r="P390" s="246">
        <f t="shared" si="94"/>
        <v>0</v>
      </c>
      <c r="Q390" s="246">
        <f t="shared" si="94"/>
        <v>0</v>
      </c>
      <c r="R390" s="246">
        <f t="shared" si="94"/>
        <v>0</v>
      </c>
      <c r="S390" s="246">
        <f>S639</f>
        <v>0</v>
      </c>
      <c r="T390" s="168"/>
      <c r="U390" s="168"/>
    </row>
    <row r="391" spans="1:21" ht="15.75" customHeight="1" outlineLevel="1">
      <c r="B391" s="215"/>
      <c r="C391" s="242" t="s">
        <v>496</v>
      </c>
      <c r="D391" s="242"/>
      <c r="E391" s="276"/>
      <c r="F391" s="246"/>
      <c r="G391" s="167"/>
      <c r="H391" s="246">
        <v>4241007.9893895853</v>
      </c>
      <c r="I391" s="246">
        <f t="shared" ref="I391:R391" si="95">I625</f>
        <v>0</v>
      </c>
      <c r="J391" s="246">
        <f t="shared" si="95"/>
        <v>0</v>
      </c>
      <c r="K391" s="246">
        <f t="shared" si="95"/>
        <v>0</v>
      </c>
      <c r="L391" s="246">
        <f t="shared" si="95"/>
        <v>19010085.366049878</v>
      </c>
      <c r="M391" s="246">
        <f t="shared" si="95"/>
        <v>14670085.36604988</v>
      </c>
      <c r="N391" s="246">
        <f t="shared" si="95"/>
        <v>15178604.36604988</v>
      </c>
      <c r="O391" s="246">
        <f t="shared" si="95"/>
        <v>11826499.244033253</v>
      </c>
      <c r="P391" s="246">
        <f>P625</f>
        <v>0</v>
      </c>
      <c r="Q391" s="246">
        <f t="shared" si="95"/>
        <v>0</v>
      </c>
      <c r="R391" s="246">
        <f t="shared" si="95"/>
        <v>0</v>
      </c>
      <c r="S391" s="246">
        <f>S625</f>
        <v>0</v>
      </c>
      <c r="T391" s="168"/>
      <c r="U391" s="168"/>
    </row>
    <row r="392" spans="1:21" ht="15.75" customHeight="1" outlineLevel="1">
      <c r="B392" s="215"/>
      <c r="C392" s="242" t="s">
        <v>534</v>
      </c>
      <c r="D392" s="242"/>
      <c r="E392" s="276"/>
      <c r="F392" s="246"/>
      <c r="G392" s="167"/>
      <c r="H392" s="246">
        <v>125655.12612880535</v>
      </c>
      <c r="I392" s="246">
        <v>0</v>
      </c>
      <c r="J392" s="246">
        <v>0</v>
      </c>
      <c r="K392" s="246">
        <v>0</v>
      </c>
      <c r="L392" s="246">
        <v>0</v>
      </c>
      <c r="M392" s="246">
        <v>0</v>
      </c>
      <c r="N392" s="246">
        <f t="shared" ref="N392:S392" si="96">M392</f>
        <v>0</v>
      </c>
      <c r="O392" s="246">
        <f t="shared" si="96"/>
        <v>0</v>
      </c>
      <c r="P392" s="246">
        <f t="shared" si="96"/>
        <v>0</v>
      </c>
      <c r="Q392" s="246">
        <f t="shared" si="96"/>
        <v>0</v>
      </c>
      <c r="R392" s="246">
        <f t="shared" si="96"/>
        <v>0</v>
      </c>
      <c r="S392" s="246">
        <f t="shared" si="96"/>
        <v>0</v>
      </c>
      <c r="T392" s="168"/>
      <c r="U392" s="168"/>
    </row>
    <row r="393" spans="1:21" ht="15.75" customHeight="1" outlineLevel="1">
      <c r="B393" s="215"/>
      <c r="C393" s="242"/>
      <c r="D393" s="242"/>
      <c r="E393" s="242"/>
      <c r="F393" s="242"/>
      <c r="G393" s="167"/>
      <c r="H393" s="246"/>
      <c r="I393" s="246"/>
      <c r="J393" s="246"/>
      <c r="K393" s="246"/>
      <c r="L393" s="246"/>
      <c r="M393" s="246"/>
      <c r="N393" s="246"/>
      <c r="O393" s="246"/>
      <c r="P393" s="246"/>
      <c r="Q393" s="246"/>
      <c r="R393" s="246"/>
      <c r="S393" s="246"/>
      <c r="T393" s="168"/>
      <c r="U393" s="168"/>
    </row>
    <row r="394" spans="1:21" ht="15.75" customHeight="1" outlineLevel="1">
      <c r="B394" s="215"/>
      <c r="C394" s="242" t="s">
        <v>393</v>
      </c>
      <c r="D394" s="242"/>
      <c r="E394" s="242"/>
      <c r="F394" s="242"/>
      <c r="G394" s="167"/>
      <c r="H394" s="246">
        <v>11069519.106276615</v>
      </c>
      <c r="I394" s="246">
        <f t="shared" ref="I394:Q394" si="97">SUM(I388:I392)</f>
        <v>7562062.1386977499</v>
      </c>
      <c r="J394" s="246">
        <f t="shared" si="97"/>
        <v>7828922.8310690485</v>
      </c>
      <c r="K394" s="246">
        <f t="shared" si="97"/>
        <v>15810101.65628355</v>
      </c>
      <c r="L394" s="246">
        <f t="shared" si="97"/>
        <v>58106841.397043131</v>
      </c>
      <c r="M394" s="246">
        <f>SUM(M388:M392)</f>
        <v>42808180.531529702</v>
      </c>
      <c r="N394" s="246">
        <f t="shared" si="97"/>
        <v>48458218.554099157</v>
      </c>
      <c r="O394" s="246">
        <f t="shared" ca="1" si="97"/>
        <v>45106113.432082526</v>
      </c>
      <c r="P394" s="246">
        <f t="shared" si="97"/>
        <v>0</v>
      </c>
      <c r="Q394" s="246">
        <f t="shared" si="97"/>
        <v>0</v>
      </c>
      <c r="R394" s="246">
        <f>SUM(R388:R392)</f>
        <v>0</v>
      </c>
      <c r="S394" s="246">
        <f>SUM(S388:S392)</f>
        <v>0</v>
      </c>
      <c r="T394" s="168"/>
      <c r="U394" s="168"/>
    </row>
    <row r="395" spans="1:21" ht="15.75" customHeight="1" outlineLevel="1">
      <c r="B395" s="215"/>
      <c r="C395" s="372"/>
      <c r="D395" s="242"/>
      <c r="E395" s="276"/>
      <c r="F395" s="246"/>
      <c r="G395" s="167"/>
      <c r="H395" s="246"/>
      <c r="I395" s="246"/>
      <c r="J395" s="246"/>
      <c r="K395" s="246"/>
      <c r="L395" s="246"/>
      <c r="M395" s="246"/>
      <c r="N395" s="246"/>
      <c r="O395" s="246"/>
      <c r="P395" s="246"/>
      <c r="Q395" s="246"/>
      <c r="R395" s="246"/>
      <c r="S395" s="246"/>
      <c r="T395" s="168"/>
      <c r="U395" s="168"/>
    </row>
    <row r="396" spans="1:21" ht="15.75" customHeight="1" outlineLevel="1">
      <c r="B396" s="215"/>
      <c r="C396" s="242" t="s">
        <v>394</v>
      </c>
      <c r="D396" s="242"/>
      <c r="E396" s="242"/>
      <c r="F396" s="242"/>
      <c r="G396" s="167"/>
      <c r="H396" s="246">
        <v>27299608.529279795</v>
      </c>
      <c r="I396" s="246">
        <f t="shared" ref="I396:Q396" si="98">I570</f>
        <v>80983022.435214698</v>
      </c>
      <c r="J396" s="246">
        <f t="shared" si="98"/>
        <v>111816101.33745699</v>
      </c>
      <c r="K396" s="246">
        <f t="shared" si="98"/>
        <v>123303537.49686083</v>
      </c>
      <c r="L396" s="246">
        <f t="shared" ca="1" si="98"/>
        <v>155735176.26785597</v>
      </c>
      <c r="M396" s="246">
        <f ca="1">M570</f>
        <v>147593790.56559542</v>
      </c>
      <c r="N396" s="246">
        <f t="shared" ca="1" si="98"/>
        <v>149669287.38630983</v>
      </c>
      <c r="O396" s="246">
        <f t="shared" ca="1" si="98"/>
        <v>149429273.44671714</v>
      </c>
      <c r="P396" s="246">
        <f t="shared" si="98"/>
        <v>0</v>
      </c>
      <c r="Q396" s="246">
        <f t="shared" si="98"/>
        <v>0</v>
      </c>
      <c r="R396" s="246">
        <f>R570</f>
        <v>0</v>
      </c>
      <c r="S396" s="246">
        <f>S570</f>
        <v>0</v>
      </c>
      <c r="T396" s="168"/>
      <c r="U396" s="168"/>
    </row>
    <row r="397" spans="1:21" ht="15.75" customHeight="1" outlineLevel="1">
      <c r="B397" s="215"/>
      <c r="C397" s="242"/>
      <c r="D397" s="242"/>
      <c r="E397" s="276"/>
      <c r="F397" s="246"/>
      <c r="G397" s="365"/>
      <c r="H397" s="246"/>
      <c r="I397" s="246"/>
      <c r="J397" s="246"/>
      <c r="K397" s="246"/>
      <c r="L397" s="246"/>
      <c r="M397" s="246"/>
      <c r="N397" s="246"/>
      <c r="O397" s="246"/>
      <c r="P397" s="246"/>
      <c r="Q397" s="246"/>
      <c r="R397" s="246"/>
      <c r="S397" s="246"/>
      <c r="T397" s="168"/>
      <c r="U397" s="168"/>
    </row>
    <row r="398" spans="1:21" ht="15.75" customHeight="1" outlineLevel="1">
      <c r="B398" s="215"/>
      <c r="C398" s="260" t="s">
        <v>395</v>
      </c>
      <c r="D398" s="260"/>
      <c r="E398" s="373"/>
      <c r="F398" s="250"/>
      <c r="G398" s="400"/>
      <c r="H398" s="250">
        <v>38369127.635556407</v>
      </c>
      <c r="I398" s="250">
        <f t="shared" ref="I398:R398" si="99">SUM(I394:I396)</f>
        <v>88545084.573912442</v>
      </c>
      <c r="J398" s="250">
        <f t="shared" si="99"/>
        <v>119645024.16852604</v>
      </c>
      <c r="K398" s="250">
        <f t="shared" si="99"/>
        <v>139113639.15314439</v>
      </c>
      <c r="L398" s="250">
        <f t="shared" ca="1" si="99"/>
        <v>213842017.66489911</v>
      </c>
      <c r="M398" s="250">
        <f t="shared" ca="1" si="99"/>
        <v>190401971.09712511</v>
      </c>
      <c r="N398" s="250">
        <f t="shared" ca="1" si="99"/>
        <v>198127505.940409</v>
      </c>
      <c r="O398" s="250">
        <f t="shared" ca="1" si="99"/>
        <v>194535386.87879968</v>
      </c>
      <c r="P398" s="250">
        <f t="shared" si="99"/>
        <v>0</v>
      </c>
      <c r="Q398" s="250">
        <f t="shared" si="99"/>
        <v>0</v>
      </c>
      <c r="R398" s="250">
        <f t="shared" si="99"/>
        <v>0</v>
      </c>
      <c r="S398" s="250">
        <f>SUM(S394:S396)</f>
        <v>0</v>
      </c>
      <c r="T398" s="168"/>
      <c r="U398" s="168"/>
    </row>
    <row r="399" spans="1:21" ht="15.75" customHeight="1" outlineLevel="1">
      <c r="B399" s="215"/>
      <c r="C399" s="423"/>
      <c r="D399" s="242"/>
      <c r="E399" s="276"/>
      <c r="F399" s="246"/>
      <c r="G399" s="365"/>
      <c r="H399" s="365"/>
      <c r="I399" s="242"/>
      <c r="J399" s="242"/>
      <c r="K399" s="242"/>
      <c r="L399" s="242"/>
      <c r="M399" s="242"/>
      <c r="N399" s="242"/>
      <c r="O399" s="242"/>
      <c r="P399" s="242"/>
      <c r="Q399" s="242"/>
      <c r="R399" s="242"/>
      <c r="S399" s="242"/>
      <c r="T399" s="168"/>
      <c r="U399" s="168"/>
    </row>
    <row r="400" spans="1:21" s="730" customFormat="1" ht="15.75" customHeight="1" outlineLevel="1">
      <c r="A400" s="622"/>
      <c r="B400" s="740"/>
      <c r="C400" s="390" t="s">
        <v>365</v>
      </c>
      <c r="D400" s="390"/>
      <c r="E400" s="390"/>
      <c r="F400" s="390"/>
      <c r="G400" s="390"/>
      <c r="H400" s="376">
        <v>0</v>
      </c>
      <c r="I400" s="376">
        <v>0.10916979610919952</v>
      </c>
      <c r="J400" s="376">
        <f t="shared" ref="J400:R400" si="100">J398-J381</f>
        <v>0.27543994784355164</v>
      </c>
      <c r="K400" s="376">
        <f t="shared" si="100"/>
        <v>0.27543991804122925</v>
      </c>
      <c r="L400" s="376">
        <f t="shared" ca="1" si="100"/>
        <v>0.27543994784355164</v>
      </c>
      <c r="M400" s="376">
        <f t="shared" ca="1" si="100"/>
        <v>0.27543991804122925</v>
      </c>
      <c r="N400" s="376">
        <f t="shared" ca="1" si="100"/>
        <v>0.27544000744819641</v>
      </c>
      <c r="O400" s="376">
        <f t="shared" ca="1" si="100"/>
        <v>0.27544000744819641</v>
      </c>
      <c r="P400" s="376">
        <f t="shared" si="100"/>
        <v>0</v>
      </c>
      <c r="Q400" s="376">
        <f t="shared" si="100"/>
        <v>0</v>
      </c>
      <c r="R400" s="376">
        <f t="shared" si="100"/>
        <v>0</v>
      </c>
      <c r="S400" s="376">
        <f>S398-S381</f>
        <v>0</v>
      </c>
      <c r="T400" s="741"/>
      <c r="U400" s="741"/>
    </row>
    <row r="401" spans="2:21" ht="15.75" customHeight="1" outlineLevel="1">
      <c r="B401" s="215"/>
      <c r="C401" s="254"/>
      <c r="D401" s="254"/>
      <c r="E401" s="254"/>
      <c r="F401" s="254"/>
      <c r="G401" s="167"/>
      <c r="H401" s="376"/>
      <c r="I401" s="254"/>
      <c r="J401" s="254"/>
      <c r="K401" s="254"/>
      <c r="L401" s="255"/>
      <c r="M401" s="255"/>
      <c r="N401" s="255"/>
      <c r="O401" s="255"/>
      <c r="P401" s="255"/>
      <c r="Q401" s="255"/>
      <c r="R401" s="255"/>
      <c r="S401" s="255"/>
      <c r="T401" s="168"/>
      <c r="U401" s="168"/>
    </row>
    <row r="402" spans="2:21" ht="15.75" customHeight="1" outlineLevel="1">
      <c r="B402" s="215"/>
      <c r="C402" s="168"/>
      <c r="D402" s="242" t="s">
        <v>447</v>
      </c>
      <c r="E402" s="242"/>
      <c r="F402" s="242"/>
      <c r="G402" s="167"/>
      <c r="H402" s="167"/>
      <c r="I402" s="378">
        <v>0.91077412780026812</v>
      </c>
      <c r="J402" s="378">
        <v>0.89772668547644863</v>
      </c>
      <c r="K402" s="378">
        <v>0.9341799348972929</v>
      </c>
      <c r="L402" s="378">
        <f ca="1">L396/SUM(L390:L391,L396)</f>
        <v>0.80598771457466645</v>
      </c>
      <c r="M402" s="378">
        <f ca="1">M396/SUM(M390:M391,M396)</f>
        <v>0.8177583826984145</v>
      </c>
      <c r="N402" s="378">
        <f ca="1">N396/SUM(N390:N391,N396)</f>
        <v>0.80559464805412939</v>
      </c>
      <c r="O402" s="378">
        <f ca="1">O396/SUM(O390:O391,O396)</f>
        <v>0.82016022187646265</v>
      </c>
      <c r="P402" s="378"/>
      <c r="Q402" s="378"/>
      <c r="R402" s="378"/>
      <c r="S402" s="378"/>
      <c r="T402" s="168"/>
      <c r="U402" s="168"/>
    </row>
    <row r="403" spans="2:21" ht="15.75" customHeight="1" outlineLevel="1">
      <c r="B403" s="215"/>
      <c r="C403" s="168"/>
      <c r="D403" s="242" t="s">
        <v>448</v>
      </c>
      <c r="E403" s="242"/>
      <c r="F403" s="242"/>
      <c r="G403" s="167"/>
      <c r="H403" s="167"/>
      <c r="I403" s="378">
        <v>8.9225872199731882E-2</v>
      </c>
      <c r="J403" s="378">
        <v>0.10227331452355137</v>
      </c>
      <c r="K403" s="378">
        <v>6.5820065102707104E-2</v>
      </c>
      <c r="L403" s="378">
        <f ca="1">1-L402</f>
        <v>0.19401228542533355</v>
      </c>
      <c r="M403" s="378">
        <f ca="1">1-M402</f>
        <v>0.1822416173015855</v>
      </c>
      <c r="N403" s="378">
        <f ca="1">1-N402</f>
        <v>0.19440535194587061</v>
      </c>
      <c r="O403" s="378">
        <f ca="1">1-O402</f>
        <v>0.17983977812353735</v>
      </c>
      <c r="P403" s="378"/>
      <c r="Q403" s="378"/>
      <c r="R403" s="378"/>
      <c r="S403" s="378"/>
      <c r="T403" s="168"/>
      <c r="U403" s="168"/>
    </row>
    <row r="404" spans="2:21" ht="15.75" customHeight="1" outlineLevel="1">
      <c r="B404" s="215"/>
      <c r="C404" s="168"/>
      <c r="D404" s="168"/>
      <c r="E404" s="168"/>
      <c r="F404" s="168"/>
      <c r="G404" s="168"/>
      <c r="H404" s="168"/>
      <c r="J404" s="168"/>
      <c r="K404" s="168"/>
      <c r="M404" s="215"/>
      <c r="N404" s="215"/>
      <c r="O404" s="215"/>
      <c r="P404" s="215"/>
      <c r="Q404" s="215"/>
      <c r="R404" s="215"/>
      <c r="S404" s="215"/>
      <c r="T404" s="168"/>
      <c r="U404" s="168"/>
    </row>
    <row r="405" spans="2:21" ht="15.75" customHeight="1" outlineLevel="1">
      <c r="B405" s="242"/>
      <c r="C405" s="254"/>
      <c r="D405" s="254"/>
      <c r="E405" s="254"/>
      <c r="F405" s="254"/>
      <c r="G405" s="167"/>
      <c r="H405" s="167"/>
      <c r="I405" s="254"/>
      <c r="J405" s="254"/>
      <c r="K405" s="255"/>
      <c r="L405" s="222">
        <f t="shared" ref="L405:S405" ca="1" si="101">L400-K400</f>
        <v>2.9802322387695313E-8</v>
      </c>
      <c r="M405" s="222">
        <f t="shared" ca="1" si="101"/>
        <v>-2.9802322387695313E-8</v>
      </c>
      <c r="N405" s="222">
        <f t="shared" ca="1" si="101"/>
        <v>8.9406967163085938E-8</v>
      </c>
      <c r="O405" s="222">
        <f t="shared" ca="1" si="101"/>
        <v>0</v>
      </c>
      <c r="P405" s="222">
        <f t="shared" ca="1" si="101"/>
        <v>-0.27544000744819641</v>
      </c>
      <c r="Q405" s="222">
        <f t="shared" si="101"/>
        <v>0</v>
      </c>
      <c r="R405" s="222">
        <f t="shared" si="101"/>
        <v>0</v>
      </c>
      <c r="S405" s="222">
        <f t="shared" si="101"/>
        <v>0</v>
      </c>
      <c r="T405" s="168"/>
      <c r="U405" s="168"/>
    </row>
    <row r="406" spans="2:21" ht="15.75" customHeight="1">
      <c r="B406" s="215"/>
      <c r="C406" s="168"/>
      <c r="D406" s="168"/>
      <c r="E406" s="168"/>
      <c r="F406" s="168"/>
      <c r="G406" s="167"/>
      <c r="H406" s="167"/>
      <c r="I406" s="254"/>
      <c r="J406" s="254"/>
      <c r="K406" s="367"/>
      <c r="L406" s="368"/>
      <c r="M406" s="215"/>
      <c r="N406" s="742"/>
      <c r="O406" s="742"/>
      <c r="P406" s="742"/>
      <c r="Q406" s="742"/>
      <c r="R406" s="742"/>
      <c r="S406" s="742"/>
      <c r="T406" s="168"/>
      <c r="U406" s="168"/>
    </row>
    <row r="407" spans="2:21" ht="15.75" customHeight="1">
      <c r="B407" s="242"/>
      <c r="C407" s="254"/>
      <c r="D407" s="254"/>
      <c r="E407" s="254"/>
      <c r="F407" s="254"/>
      <c r="G407" s="167"/>
      <c r="H407" s="167"/>
      <c r="I407" s="254"/>
      <c r="J407" s="254"/>
      <c r="K407" s="255"/>
      <c r="L407" s="255"/>
      <c r="M407" s="215"/>
      <c r="N407" s="215"/>
      <c r="O407" s="215"/>
      <c r="P407" s="215"/>
      <c r="Q407" s="215"/>
      <c r="R407" s="215"/>
      <c r="S407" s="215"/>
      <c r="T407" s="168"/>
      <c r="U407" s="168"/>
    </row>
    <row r="408" spans="2:21" ht="27">
      <c r="B408" s="242"/>
      <c r="C408" s="366" t="s">
        <v>309</v>
      </c>
      <c r="D408" s="168"/>
      <c r="E408" s="168"/>
      <c r="F408" s="168"/>
      <c r="G408" s="167"/>
      <c r="H408" s="167"/>
      <c r="I408" s="254"/>
      <c r="J408" s="254"/>
      <c r="K408" s="367"/>
      <c r="L408" s="368"/>
      <c r="M408" s="367"/>
      <c r="N408" s="368"/>
      <c r="O408" s="368"/>
      <c r="P408" s="368"/>
      <c r="Q408" s="368"/>
      <c r="R408" s="368"/>
      <c r="S408" s="368"/>
      <c r="T408" s="168"/>
      <c r="U408" s="168"/>
    </row>
    <row r="409" spans="2:21" ht="3" customHeight="1">
      <c r="B409" s="242"/>
      <c r="C409" s="229"/>
      <c r="D409" s="229"/>
      <c r="E409" s="229"/>
      <c r="F409" s="229"/>
      <c r="G409" s="300"/>
      <c r="H409" s="300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168"/>
      <c r="U409" s="168"/>
    </row>
    <row r="410" spans="2:21" ht="9.75" customHeight="1">
      <c r="B410" s="242"/>
      <c r="C410" s="168"/>
      <c r="D410" s="168"/>
      <c r="E410" s="168"/>
      <c r="F410" s="168"/>
      <c r="G410" s="167"/>
      <c r="H410" s="167"/>
      <c r="I410" s="254"/>
      <c r="J410" s="254"/>
      <c r="K410" s="367"/>
      <c r="L410" s="368"/>
      <c r="M410" s="367"/>
      <c r="N410" s="368"/>
      <c r="O410" s="368"/>
      <c r="P410" s="368"/>
      <c r="Q410" s="368"/>
      <c r="R410" s="368"/>
      <c r="S410" s="368"/>
      <c r="T410" s="168"/>
      <c r="U410" s="168"/>
    </row>
    <row r="411" spans="2:21" ht="12" customHeight="1">
      <c r="B411" s="215"/>
      <c r="C411" s="313" t="s">
        <v>196</v>
      </c>
      <c r="D411" s="168"/>
      <c r="E411" s="168"/>
      <c r="F411" s="168"/>
      <c r="G411" s="167"/>
      <c r="H411" s="167"/>
      <c r="I411" s="254"/>
      <c r="J411" s="254"/>
      <c r="K411" s="367"/>
      <c r="L411" s="368"/>
      <c r="M411" s="367"/>
      <c r="N411" s="368"/>
      <c r="O411" s="368"/>
      <c r="P411" s="368"/>
      <c r="Q411" s="368"/>
      <c r="R411" s="368"/>
      <c r="S411" s="368"/>
      <c r="T411" s="168"/>
      <c r="U411" s="168"/>
    </row>
    <row r="412" spans="2:21">
      <c r="B412" s="215"/>
      <c r="C412" s="348"/>
      <c r="D412" s="233"/>
      <c r="E412" s="233"/>
      <c r="F412" s="233"/>
      <c r="G412" s="338"/>
      <c r="H412" s="174">
        <v>0</v>
      </c>
      <c r="I412" s="174">
        <v>0</v>
      </c>
      <c r="J412" s="174">
        <v>1</v>
      </c>
      <c r="K412" s="174">
        <v>2</v>
      </c>
      <c r="L412" s="175">
        <f t="shared" ref="L412:S414" si="102">L287</f>
        <v>3</v>
      </c>
      <c r="M412" s="175">
        <f t="shared" si="102"/>
        <v>4</v>
      </c>
      <c r="N412" s="175">
        <f t="shared" si="102"/>
        <v>5</v>
      </c>
      <c r="O412" s="175">
        <f t="shared" si="102"/>
        <v>6</v>
      </c>
      <c r="P412" s="175">
        <f t="shared" si="102"/>
        <v>7</v>
      </c>
      <c r="Q412" s="175">
        <f t="shared" si="102"/>
        <v>8</v>
      </c>
      <c r="R412" s="175">
        <f t="shared" si="102"/>
        <v>9</v>
      </c>
      <c r="S412" s="175">
        <f t="shared" si="102"/>
        <v>10</v>
      </c>
      <c r="T412" s="168"/>
      <c r="U412" s="168"/>
    </row>
    <row r="413" spans="2:21">
      <c r="B413" s="215"/>
      <c r="C413" s="349"/>
      <c r="D413" s="234"/>
      <c r="E413" s="234"/>
      <c r="F413" s="234"/>
      <c r="G413" s="325"/>
      <c r="H413" s="176"/>
      <c r="I413" s="176"/>
      <c r="J413" s="176"/>
      <c r="K413" s="176"/>
      <c r="L413" s="176"/>
      <c r="M413" s="176"/>
      <c r="N413" s="176"/>
      <c r="O413" s="176"/>
      <c r="P413" s="176"/>
      <c r="Q413" s="176"/>
      <c r="R413" s="176"/>
      <c r="S413" s="176"/>
      <c r="T413" s="168"/>
      <c r="U413" s="168"/>
    </row>
    <row r="414" spans="2:21">
      <c r="B414" s="215"/>
      <c r="C414" s="359"/>
      <c r="D414" s="260"/>
      <c r="E414" s="235"/>
      <c r="F414" s="235"/>
      <c r="G414" s="326"/>
      <c r="H414" s="213" t="s">
        <v>499</v>
      </c>
      <c r="I414" s="213" t="s">
        <v>499</v>
      </c>
      <c r="J414" s="213" t="s">
        <v>499</v>
      </c>
      <c r="K414" s="213" t="s">
        <v>499</v>
      </c>
      <c r="L414" s="213" t="str">
        <f t="shared" si="102"/>
        <v>($)</v>
      </c>
      <c r="M414" s="213" t="str">
        <f t="shared" si="102"/>
        <v>($)</v>
      </c>
      <c r="N414" s="213" t="str">
        <f t="shared" si="102"/>
        <v>($)</v>
      </c>
      <c r="O414" s="213" t="str">
        <f t="shared" si="102"/>
        <v>($)</v>
      </c>
      <c r="P414" s="213" t="str">
        <f t="shared" si="102"/>
        <v>($)</v>
      </c>
      <c r="Q414" s="213" t="str">
        <f t="shared" si="102"/>
        <v>($)</v>
      </c>
      <c r="R414" s="213" t="str">
        <f t="shared" si="102"/>
        <v>($)</v>
      </c>
      <c r="S414" s="213" t="str">
        <f t="shared" si="102"/>
        <v>($)</v>
      </c>
      <c r="T414" s="168"/>
      <c r="U414" s="168"/>
    </row>
    <row r="415" spans="2:21" ht="6" customHeight="1">
      <c r="B415" s="242"/>
      <c r="C415" s="242"/>
      <c r="D415" s="242"/>
      <c r="E415" s="242"/>
      <c r="F415" s="242"/>
      <c r="G415" s="167"/>
      <c r="H415" s="167"/>
      <c r="I415" s="242"/>
      <c r="J415" s="242"/>
      <c r="K415" s="243"/>
      <c r="L415" s="243"/>
      <c r="M415" s="243"/>
      <c r="N415" s="243"/>
      <c r="O415" s="243"/>
      <c r="P415" s="243"/>
      <c r="Q415" s="243"/>
      <c r="R415" s="243"/>
      <c r="S415" s="243"/>
      <c r="T415" s="168"/>
      <c r="U415" s="168"/>
    </row>
    <row r="416" spans="2:21" ht="15.75" customHeight="1">
      <c r="B416" s="215"/>
      <c r="C416" s="186" t="s">
        <v>198</v>
      </c>
      <c r="D416" s="242"/>
      <c r="E416" s="242"/>
      <c r="F416" s="242"/>
      <c r="G416" s="167"/>
      <c r="H416" s="167"/>
      <c r="I416" s="242"/>
      <c r="J416" s="242"/>
      <c r="K416" s="242"/>
      <c r="L416" s="242"/>
      <c r="M416" s="215"/>
      <c r="N416" s="215"/>
      <c r="O416" s="215"/>
      <c r="P416" s="215"/>
      <c r="Q416" s="215"/>
      <c r="R416" s="215"/>
      <c r="S416" s="215"/>
      <c r="T416" s="168"/>
      <c r="U416" s="168"/>
    </row>
    <row r="417" spans="1:21" ht="15.75" customHeight="1">
      <c r="B417" s="215"/>
      <c r="C417" s="371" t="s">
        <v>363</v>
      </c>
      <c r="D417" s="242"/>
      <c r="E417" s="276"/>
      <c r="F417" s="246"/>
      <c r="G417" s="167"/>
      <c r="H417" s="240"/>
      <c r="I417" s="240"/>
      <c r="J417" s="240">
        <v>31523096.592754982</v>
      </c>
      <c r="K417" s="240">
        <f t="shared" ref="K417:Q417" si="103">K310</f>
        <v>17325406.951091908</v>
      </c>
      <c r="L417" s="240">
        <f ca="1">L310</f>
        <v>58301844.190673336</v>
      </c>
      <c r="M417" s="240">
        <f t="shared" ca="1" si="103"/>
        <v>5025184.4976099152</v>
      </c>
      <c r="N417" s="240">
        <f t="shared" ca="1" si="103"/>
        <v>5353402.9552787226</v>
      </c>
      <c r="O417" s="240">
        <f t="shared" ca="1" si="103"/>
        <v>805866.74378547259</v>
      </c>
      <c r="P417" s="240">
        <f t="shared" si="103"/>
        <v>0</v>
      </c>
      <c r="Q417" s="240">
        <f t="shared" si="103"/>
        <v>0</v>
      </c>
      <c r="R417" s="240">
        <f>R310</f>
        <v>0</v>
      </c>
      <c r="S417" s="240">
        <f>S310</f>
        <v>0</v>
      </c>
      <c r="T417" s="168"/>
      <c r="U417" s="168"/>
    </row>
    <row r="418" spans="1:21" ht="15.75" customHeight="1">
      <c r="B418" s="215"/>
      <c r="C418" s="371" t="s">
        <v>199</v>
      </c>
      <c r="D418" s="242"/>
      <c r="E418" s="276"/>
      <c r="F418" s="246"/>
      <c r="G418" s="167"/>
      <c r="H418" s="167"/>
      <c r="I418" s="240"/>
      <c r="J418" s="240">
        <v>0</v>
      </c>
      <c r="K418" s="240">
        <f t="shared" ref="K418:R418" si="104">K546</f>
        <v>14123950.7990306</v>
      </c>
      <c r="L418" s="240">
        <f t="shared" ca="1" si="104"/>
        <v>13677378.330070868</v>
      </c>
      <c r="M418" s="240">
        <f t="shared" ca="1" si="104"/>
        <v>7997389.3263107724</v>
      </c>
      <c r="N418" s="240">
        <f t="shared" ca="1" si="104"/>
        <v>8301528.1769446079</v>
      </c>
      <c r="O418" s="240">
        <f t="shared" ca="1" si="104"/>
        <v>3612547.2545261402</v>
      </c>
      <c r="P418" s="240">
        <f t="shared" si="104"/>
        <v>0</v>
      </c>
      <c r="Q418" s="240">
        <f t="shared" si="104"/>
        <v>0</v>
      </c>
      <c r="R418" s="240">
        <f t="shared" si="104"/>
        <v>0</v>
      </c>
      <c r="S418" s="240">
        <f>S546</f>
        <v>0</v>
      </c>
      <c r="T418" s="168"/>
      <c r="U418" s="168"/>
    </row>
    <row r="419" spans="1:21" ht="15.75" customHeight="1">
      <c r="A419" s="169">
        <v>11</v>
      </c>
      <c r="B419" s="215"/>
      <c r="C419" s="371" t="s">
        <v>200</v>
      </c>
      <c r="D419" s="242"/>
      <c r="E419" s="276"/>
      <c r="F419" s="246"/>
      <c r="G419" s="167"/>
      <c r="H419" s="167"/>
      <c r="I419" s="240"/>
      <c r="J419" s="240">
        <v>-2263028.1351266783</v>
      </c>
      <c r="K419" s="240">
        <f t="shared" ref="K419:R419" si="105">-K487</f>
        <v>-12322831.420722954</v>
      </c>
      <c r="L419" s="240">
        <f t="shared" si="105"/>
        <v>-9610958.2129968107</v>
      </c>
      <c r="M419" s="240">
        <f t="shared" si="105"/>
        <v>17118544.810508035</v>
      </c>
      <c r="N419" s="240">
        <f t="shared" si="105"/>
        <v>5084763.0144915022</v>
      </c>
      <c r="O419" s="240">
        <f t="shared" si="105"/>
        <v>0</v>
      </c>
      <c r="P419" s="240">
        <f>-P487</f>
        <v>0</v>
      </c>
      <c r="Q419" s="240">
        <f t="shared" si="105"/>
        <v>0</v>
      </c>
      <c r="R419" s="240">
        <f t="shared" si="105"/>
        <v>0</v>
      </c>
      <c r="S419" s="240">
        <f>-S487</f>
        <v>0</v>
      </c>
      <c r="T419" s="168"/>
      <c r="U419" s="168"/>
    </row>
    <row r="420" spans="1:21" ht="15.75" customHeight="1">
      <c r="A420" s="169">
        <v>12</v>
      </c>
      <c r="B420" s="215"/>
      <c r="C420" s="371" t="s">
        <v>201</v>
      </c>
      <c r="D420" s="242"/>
      <c r="E420" s="242"/>
      <c r="F420" s="242"/>
      <c r="G420" s="167"/>
      <c r="H420" s="167"/>
      <c r="I420" s="240"/>
      <c r="J420" s="240">
        <v>2611597.4488449027</v>
      </c>
      <c r="K420" s="240">
        <f t="shared" ref="K420:R420" si="106">-K503</f>
        <v>-4911212.6023762953</v>
      </c>
      <c r="L420" s="240">
        <f t="shared" si="106"/>
        <v>-4170955.5744589567</v>
      </c>
      <c r="M420" s="240">
        <f t="shared" si="106"/>
        <v>7575166.2283372022</v>
      </c>
      <c r="N420" s="240">
        <f t="shared" si="106"/>
        <v>-423474.16629264504</v>
      </c>
      <c r="O420" s="240">
        <f t="shared" si="106"/>
        <v>0</v>
      </c>
      <c r="P420" s="240">
        <f t="shared" si="106"/>
        <v>0</v>
      </c>
      <c r="Q420" s="240">
        <f t="shared" si="106"/>
        <v>0</v>
      </c>
      <c r="R420" s="240">
        <f t="shared" si="106"/>
        <v>0</v>
      </c>
      <c r="S420" s="240">
        <f>-S503</f>
        <v>0</v>
      </c>
      <c r="T420" s="168"/>
      <c r="U420" s="168"/>
    </row>
    <row r="421" spans="1:21" ht="15.75" customHeight="1">
      <c r="B421" s="215"/>
      <c r="C421" s="356" t="s">
        <v>202</v>
      </c>
      <c r="D421" s="242"/>
      <c r="E421" s="276"/>
      <c r="F421" s="246"/>
      <c r="G421" s="167"/>
      <c r="H421" s="167"/>
      <c r="I421" s="246"/>
      <c r="J421" s="246">
        <f t="shared" ref="J421:R421" si="107">SUM(J417:J420)</f>
        <v>31871665.906473204</v>
      </c>
      <c r="K421" s="246">
        <f t="shared" si="107"/>
        <v>14215313.727023261</v>
      </c>
      <c r="L421" s="246">
        <f t="shared" ca="1" si="107"/>
        <v>58197308.733288437</v>
      </c>
      <c r="M421" s="246">
        <f t="shared" ca="1" si="107"/>
        <v>37716284.862765923</v>
      </c>
      <c r="N421" s="246">
        <f t="shared" ca="1" si="107"/>
        <v>18316219.980422188</v>
      </c>
      <c r="O421" s="246">
        <f t="shared" ca="1" si="107"/>
        <v>4418413.9983116128</v>
      </c>
      <c r="P421" s="246">
        <f t="shared" si="107"/>
        <v>0</v>
      </c>
      <c r="Q421" s="246">
        <f t="shared" si="107"/>
        <v>0</v>
      </c>
      <c r="R421" s="246">
        <f t="shared" si="107"/>
        <v>0</v>
      </c>
      <c r="S421" s="246">
        <f>SUM(S417:S420)</f>
        <v>0</v>
      </c>
      <c r="T421" s="168"/>
      <c r="U421" s="168"/>
    </row>
    <row r="422" spans="1:21" ht="15.75" customHeight="1">
      <c r="A422" s="169">
        <v>13</v>
      </c>
      <c r="B422" s="215"/>
      <c r="C422" s="371" t="s">
        <v>203</v>
      </c>
      <c r="D422" s="242"/>
      <c r="E422" s="242"/>
      <c r="F422" s="242"/>
      <c r="G422" s="167"/>
      <c r="H422" s="167"/>
      <c r="I422" s="240"/>
      <c r="J422" s="240">
        <v>0</v>
      </c>
      <c r="K422" s="240">
        <f>K312</f>
        <v>-2327348</v>
      </c>
      <c r="L422" s="240">
        <f>L312</f>
        <v>-4416769.5146098146</v>
      </c>
      <c r="M422" s="240">
        <f t="shared" ref="M422:Q423" si="108">M312</f>
        <v>-4112782.9955829601</v>
      </c>
      <c r="N422" s="240">
        <f t="shared" si="108"/>
        <v>-3089898.0881827418</v>
      </c>
      <c r="O422" s="240">
        <f t="shared" si="108"/>
        <v>-1174939.6366424868</v>
      </c>
      <c r="P422" s="240">
        <f t="shared" si="108"/>
        <v>0</v>
      </c>
      <c r="Q422" s="240">
        <f t="shared" si="108"/>
        <v>0</v>
      </c>
      <c r="R422" s="240">
        <f>R312</f>
        <v>0</v>
      </c>
      <c r="S422" s="240">
        <f>S312</f>
        <v>0</v>
      </c>
      <c r="T422" s="168"/>
      <c r="U422" s="168"/>
    </row>
    <row r="423" spans="1:21" ht="15.75" customHeight="1">
      <c r="A423" s="169">
        <v>14</v>
      </c>
      <c r="B423" s="215"/>
      <c r="C423" s="371" t="s">
        <v>187</v>
      </c>
      <c r="D423" s="242"/>
      <c r="E423" s="242"/>
      <c r="F423" s="242"/>
      <c r="G423" s="167"/>
      <c r="H423" s="167"/>
      <c r="I423" s="240"/>
      <c r="J423" s="240">
        <v>5308.931016887097</v>
      </c>
      <c r="K423" s="240">
        <f>K313</f>
        <v>665</v>
      </c>
      <c r="L423" s="240">
        <f>L313</f>
        <v>0</v>
      </c>
      <c r="M423" s="240">
        <f ca="1">M313</f>
        <v>0</v>
      </c>
      <c r="N423" s="240">
        <f ca="1">N313</f>
        <v>0</v>
      </c>
      <c r="O423" s="240">
        <f t="shared" ca="1" si="108"/>
        <v>0</v>
      </c>
      <c r="P423" s="240">
        <f t="shared" si="108"/>
        <v>0</v>
      </c>
      <c r="Q423" s="240">
        <f t="shared" si="108"/>
        <v>0</v>
      </c>
      <c r="R423" s="240">
        <f>R313</f>
        <v>0</v>
      </c>
      <c r="S423" s="240">
        <f>S313</f>
        <v>0</v>
      </c>
      <c r="T423" s="168"/>
      <c r="U423" s="168"/>
    </row>
    <row r="424" spans="1:21" ht="15.75" customHeight="1">
      <c r="A424" s="169">
        <v>15</v>
      </c>
      <c r="B424" s="215"/>
      <c r="C424" s="371" t="s">
        <v>204</v>
      </c>
      <c r="D424" s="380"/>
      <c r="E424" s="381"/>
      <c r="F424" s="258"/>
      <c r="G424" s="167"/>
      <c r="H424" s="167"/>
      <c r="I424" s="240"/>
      <c r="J424" s="240">
        <v>-695326.62152957916</v>
      </c>
      <c r="K424" s="240">
        <f t="shared" ref="K424:R424" si="109">K317</f>
        <v>-3000888.6135329003</v>
      </c>
      <c r="L424" s="240">
        <f t="shared" si="109"/>
        <v>-10254625.905068384</v>
      </c>
      <c r="M424" s="240">
        <f t="shared" si="109"/>
        <v>-232566.20428751578</v>
      </c>
      <c r="N424" s="240">
        <f t="shared" si="109"/>
        <v>-1193618.4210526317</v>
      </c>
      <c r="O424" s="240">
        <f t="shared" ca="1" si="109"/>
        <v>129058.95326431173</v>
      </c>
      <c r="P424" s="240">
        <f t="shared" si="109"/>
        <v>0</v>
      </c>
      <c r="Q424" s="240">
        <f t="shared" si="109"/>
        <v>0</v>
      </c>
      <c r="R424" s="240">
        <f t="shared" si="109"/>
        <v>0</v>
      </c>
      <c r="S424" s="240">
        <f>S317</f>
        <v>0</v>
      </c>
      <c r="T424" s="168"/>
      <c r="U424" s="168"/>
    </row>
    <row r="425" spans="1:21" s="308" customFormat="1" ht="15.75" customHeight="1">
      <c r="A425" s="169"/>
      <c r="B425" s="743"/>
      <c r="C425" s="186" t="s">
        <v>205</v>
      </c>
      <c r="D425" s="380"/>
      <c r="E425" s="380"/>
      <c r="F425" s="380"/>
      <c r="G425" s="305"/>
      <c r="H425" s="305"/>
      <c r="I425" s="383"/>
      <c r="J425" s="383">
        <v>31181648.215960514</v>
      </c>
      <c r="K425" s="383">
        <f t="shared" ref="K425:R425" si="110">SUM(K421:K424)</f>
        <v>8887742.1134903599</v>
      </c>
      <c r="L425" s="383">
        <f t="shared" ca="1" si="110"/>
        <v>43525913.313610241</v>
      </c>
      <c r="M425" s="383">
        <f t="shared" ca="1" si="110"/>
        <v>33370935.662895449</v>
      </c>
      <c r="N425" s="383">
        <f t="shared" ca="1" si="110"/>
        <v>14032703.471186815</v>
      </c>
      <c r="O425" s="383">
        <f t="shared" ca="1" si="110"/>
        <v>3372533.3149334379</v>
      </c>
      <c r="P425" s="383">
        <f t="shared" si="110"/>
        <v>0</v>
      </c>
      <c r="Q425" s="383">
        <f t="shared" si="110"/>
        <v>0</v>
      </c>
      <c r="R425" s="383">
        <f t="shared" si="110"/>
        <v>0</v>
      </c>
      <c r="S425" s="383">
        <f>SUM(S421:S424)</f>
        <v>0</v>
      </c>
      <c r="T425" s="313"/>
      <c r="U425" s="313"/>
    </row>
    <row r="426" spans="1:21" ht="9" customHeight="1">
      <c r="B426" s="215"/>
      <c r="C426" s="242"/>
      <c r="D426" s="242"/>
      <c r="E426" s="242"/>
      <c r="F426" s="242"/>
      <c r="G426" s="167"/>
      <c r="H426" s="167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168"/>
      <c r="U426" s="168"/>
    </row>
    <row r="427" spans="1:21" ht="15.75" customHeight="1">
      <c r="B427" s="215"/>
      <c r="C427" s="186" t="s">
        <v>206</v>
      </c>
      <c r="D427" s="215"/>
      <c r="E427" s="215"/>
      <c r="F427" s="215"/>
      <c r="G427" s="167"/>
      <c r="H427" s="167"/>
      <c r="I427" s="240"/>
      <c r="J427" s="240"/>
      <c r="K427" s="240"/>
      <c r="L427" s="240"/>
      <c r="M427" s="240"/>
      <c r="N427" s="240"/>
      <c r="O427" s="240"/>
      <c r="P427" s="240"/>
      <c r="Q427" s="240"/>
      <c r="R427" s="240"/>
      <c r="S427" s="240"/>
      <c r="T427" s="168"/>
      <c r="U427" s="168"/>
    </row>
    <row r="428" spans="1:21" ht="15.75" customHeight="1">
      <c r="A428" s="169">
        <v>16</v>
      </c>
      <c r="B428" s="215"/>
      <c r="C428" s="371" t="s">
        <v>312</v>
      </c>
      <c r="D428" s="215"/>
      <c r="E428" s="215"/>
      <c r="F428" s="215"/>
      <c r="G428" s="167"/>
      <c r="H428" s="167"/>
      <c r="I428" s="240"/>
      <c r="J428" s="240">
        <f t="shared" ref="J428:R428" si="111">-J516</f>
        <v>-5612877</v>
      </c>
      <c r="K428" s="240">
        <f t="shared" si="111"/>
        <v>-3036937.4297526409</v>
      </c>
      <c r="L428" s="240">
        <f t="shared" si="111"/>
        <v>-10480307.320997586</v>
      </c>
      <c r="M428" s="240">
        <f t="shared" si="111"/>
        <v>-1626355.6116015133</v>
      </c>
      <c r="N428" s="240">
        <f t="shared" si="111"/>
        <v>-1415032.8947368423</v>
      </c>
      <c r="O428" s="240">
        <f t="shared" si="111"/>
        <v>-2270819.4444444445</v>
      </c>
      <c r="P428" s="240">
        <f t="shared" si="111"/>
        <v>0</v>
      </c>
      <c r="Q428" s="240">
        <f t="shared" si="111"/>
        <v>0</v>
      </c>
      <c r="R428" s="240">
        <f t="shared" si="111"/>
        <v>0</v>
      </c>
      <c r="S428" s="240">
        <f>-S516</f>
        <v>0</v>
      </c>
      <c r="T428" s="168"/>
      <c r="U428" s="168"/>
    </row>
    <row r="429" spans="1:21" ht="15.75" customHeight="1" outlineLevel="1">
      <c r="B429" s="215"/>
      <c r="C429" s="371" t="s">
        <v>208</v>
      </c>
      <c r="D429" s="215"/>
      <c r="E429" s="215"/>
      <c r="F429" s="215"/>
      <c r="G429" s="167"/>
      <c r="H429" s="167"/>
      <c r="I429" s="240"/>
      <c r="J429" s="240">
        <f t="shared" ref="J429:R429" si="112">-J522</f>
        <v>211750.884217518</v>
      </c>
      <c r="K429" s="240">
        <f t="shared" si="112"/>
        <v>0</v>
      </c>
      <c r="L429" s="240">
        <f t="shared" si="112"/>
        <v>0</v>
      </c>
      <c r="M429" s="240">
        <f t="shared" si="112"/>
        <v>0</v>
      </c>
      <c r="N429" s="240">
        <f t="shared" si="112"/>
        <v>0</v>
      </c>
      <c r="O429" s="240">
        <v>30000000</v>
      </c>
      <c r="P429" s="240">
        <f t="shared" si="112"/>
        <v>0</v>
      </c>
      <c r="Q429" s="240">
        <f t="shared" si="112"/>
        <v>0</v>
      </c>
      <c r="R429" s="240">
        <f t="shared" si="112"/>
        <v>0</v>
      </c>
      <c r="S429" s="240">
        <f>-S522</f>
        <v>0</v>
      </c>
      <c r="T429" s="168"/>
      <c r="U429" s="168"/>
    </row>
    <row r="430" spans="1:21" ht="15.75" customHeight="1" outlineLevel="1">
      <c r="B430" s="215"/>
      <c r="C430" s="371" t="s">
        <v>209</v>
      </c>
      <c r="D430" s="242"/>
      <c r="E430" s="242"/>
      <c r="F430" s="242"/>
      <c r="G430" s="167"/>
      <c r="H430" s="167"/>
      <c r="I430" s="239"/>
      <c r="J430" s="239">
        <f>I430</f>
        <v>0</v>
      </c>
      <c r="K430" s="239">
        <f>J430</f>
        <v>0</v>
      </c>
      <c r="L430" s="239">
        <f>K430</f>
        <v>0</v>
      </c>
      <c r="M430" s="239">
        <f>L430</f>
        <v>0</v>
      </c>
      <c r="N430" s="239">
        <f>M430</f>
        <v>0</v>
      </c>
      <c r="O430" s="239">
        <f t="shared" ref="O430:S431" si="113">N430</f>
        <v>0</v>
      </c>
      <c r="P430" s="239">
        <f t="shared" si="113"/>
        <v>0</v>
      </c>
      <c r="Q430" s="239">
        <f t="shared" si="113"/>
        <v>0</v>
      </c>
      <c r="R430" s="239">
        <f t="shared" si="113"/>
        <v>0</v>
      </c>
      <c r="S430" s="239">
        <f t="shared" si="113"/>
        <v>0</v>
      </c>
      <c r="T430" s="168"/>
      <c r="U430" s="168"/>
    </row>
    <row r="431" spans="1:21" ht="15.75" customHeight="1" outlineLevel="1">
      <c r="B431" s="215"/>
      <c r="C431" s="371" t="s">
        <v>210</v>
      </c>
      <c r="D431" s="242"/>
      <c r="E431" s="242"/>
      <c r="F431" s="242"/>
      <c r="G431" s="167"/>
      <c r="H431" s="167"/>
      <c r="I431" s="239"/>
      <c r="J431" s="239">
        <v>0</v>
      </c>
      <c r="K431" s="239">
        <v>0</v>
      </c>
      <c r="L431" s="239">
        <v>0</v>
      </c>
      <c r="M431" s="239">
        <f>L431</f>
        <v>0</v>
      </c>
      <c r="N431" s="239">
        <f>M431</f>
        <v>0</v>
      </c>
      <c r="O431" s="239">
        <f t="shared" si="113"/>
        <v>0</v>
      </c>
      <c r="P431" s="239">
        <f t="shared" si="113"/>
        <v>0</v>
      </c>
      <c r="Q431" s="239">
        <f t="shared" si="113"/>
        <v>0</v>
      </c>
      <c r="R431" s="239">
        <f t="shared" si="113"/>
        <v>0</v>
      </c>
      <c r="S431" s="239">
        <f t="shared" si="113"/>
        <v>0</v>
      </c>
      <c r="T431" s="168"/>
      <c r="U431" s="168"/>
    </row>
    <row r="432" spans="1:21" s="308" customFormat="1" ht="15.75" customHeight="1">
      <c r="A432" s="169"/>
      <c r="B432" s="743"/>
      <c r="C432" s="186" t="s">
        <v>211</v>
      </c>
      <c r="D432" s="380"/>
      <c r="E432" s="380"/>
      <c r="F432" s="380"/>
      <c r="G432" s="305"/>
      <c r="H432" s="305"/>
      <c r="I432" s="383"/>
      <c r="J432" s="383">
        <f t="shared" ref="J432:R432" si="114">SUM(J428:J431)</f>
        <v>-5401126.1157824816</v>
      </c>
      <c r="K432" s="383">
        <f t="shared" si="114"/>
        <v>-3036937.4297526409</v>
      </c>
      <c r="L432" s="383">
        <f t="shared" si="114"/>
        <v>-10480307.320997586</v>
      </c>
      <c r="M432" s="383">
        <f t="shared" si="114"/>
        <v>-1626355.6116015133</v>
      </c>
      <c r="N432" s="383">
        <f t="shared" si="114"/>
        <v>-1415032.8947368423</v>
      </c>
      <c r="O432" s="383">
        <f>SUM(O428:O431)</f>
        <v>27729180.555555556</v>
      </c>
      <c r="P432" s="383">
        <f t="shared" si="114"/>
        <v>0</v>
      </c>
      <c r="Q432" s="383">
        <f t="shared" si="114"/>
        <v>0</v>
      </c>
      <c r="R432" s="383">
        <f t="shared" si="114"/>
        <v>0</v>
      </c>
      <c r="S432" s="383">
        <f>SUM(S428:S431)</f>
        <v>0</v>
      </c>
      <c r="T432" s="313"/>
      <c r="U432" s="313"/>
    </row>
    <row r="433" spans="1:21" ht="4.5" customHeight="1">
      <c r="B433" s="215"/>
      <c r="C433" s="242"/>
      <c r="D433" s="242"/>
      <c r="E433" s="242"/>
      <c r="F433" s="242"/>
      <c r="G433" s="167"/>
      <c r="H433" s="167"/>
      <c r="I433" s="240"/>
      <c r="J433" s="240"/>
      <c r="K433" s="240"/>
      <c r="L433" s="240"/>
      <c r="M433" s="240"/>
      <c r="N433" s="240"/>
      <c r="O433" s="240"/>
      <c r="P433" s="240"/>
      <c r="Q433" s="240"/>
      <c r="R433" s="240"/>
      <c r="S433" s="240"/>
      <c r="T433" s="168"/>
      <c r="U433" s="168"/>
    </row>
    <row r="434" spans="1:21" s="308" customFormat="1" ht="15.75" customHeight="1">
      <c r="A434" s="169"/>
      <c r="B434" s="743"/>
      <c r="C434" s="186" t="s">
        <v>212</v>
      </c>
      <c r="D434" s="380"/>
      <c r="E434" s="380"/>
      <c r="F434" s="380"/>
      <c r="G434" s="305"/>
      <c r="H434" s="305"/>
      <c r="I434" s="383"/>
      <c r="J434" s="383">
        <f t="shared" ref="J434:R434" si="115">SUM(J432,J425)</f>
        <v>25780522.100178033</v>
      </c>
      <c r="K434" s="383">
        <f t="shared" si="115"/>
        <v>5850804.6837377194</v>
      </c>
      <c r="L434" s="383">
        <f t="shared" ca="1" si="115"/>
        <v>33045605.992612652</v>
      </c>
      <c r="M434" s="383">
        <f t="shared" ca="1" si="115"/>
        <v>31744580.051293936</v>
      </c>
      <c r="N434" s="383">
        <f t="shared" ca="1" si="115"/>
        <v>12617670.576449972</v>
      </c>
      <c r="O434" s="383">
        <f t="shared" ca="1" si="115"/>
        <v>31101713.870488994</v>
      </c>
      <c r="P434" s="383">
        <f t="shared" si="115"/>
        <v>0</v>
      </c>
      <c r="Q434" s="383">
        <f t="shared" si="115"/>
        <v>0</v>
      </c>
      <c r="R434" s="383">
        <f t="shared" si="115"/>
        <v>0</v>
      </c>
      <c r="S434" s="383">
        <f>SUM(S432,S425)</f>
        <v>0</v>
      </c>
      <c r="T434" s="313"/>
      <c r="U434" s="313"/>
    </row>
    <row r="435" spans="1:21" ht="9" customHeight="1">
      <c r="B435" s="215"/>
      <c r="C435" s="186"/>
      <c r="D435" s="248"/>
      <c r="E435" s="248"/>
      <c r="F435" s="248"/>
      <c r="G435" s="360"/>
      <c r="H435" s="360"/>
      <c r="I435" s="240"/>
      <c r="J435" s="240"/>
      <c r="K435" s="240"/>
      <c r="L435" s="240"/>
      <c r="M435" s="240"/>
      <c r="N435" s="240"/>
      <c r="O435" s="240"/>
      <c r="P435" s="240"/>
      <c r="Q435" s="240"/>
      <c r="R435" s="240"/>
      <c r="S435" s="240"/>
      <c r="T435" s="168"/>
      <c r="U435" s="168"/>
    </row>
    <row r="436" spans="1:21" ht="15.75" customHeight="1" outlineLevel="1">
      <c r="B436" s="215"/>
      <c r="C436" s="242" t="s">
        <v>310</v>
      </c>
      <c r="D436" s="242"/>
      <c r="E436" s="242"/>
      <c r="F436" s="242"/>
      <c r="G436" s="167"/>
      <c r="H436" s="167"/>
      <c r="I436" s="240"/>
      <c r="J436" s="240">
        <f t="shared" ref="J436:R436" si="116">IF(J434&lt;0,J434,0)</f>
        <v>0</v>
      </c>
      <c r="K436" s="240">
        <f t="shared" si="116"/>
        <v>0</v>
      </c>
      <c r="L436" s="240">
        <f t="shared" ca="1" si="116"/>
        <v>0</v>
      </c>
      <c r="M436" s="240">
        <f t="shared" ca="1" si="116"/>
        <v>0</v>
      </c>
      <c r="N436" s="240">
        <f t="shared" ca="1" si="116"/>
        <v>0</v>
      </c>
      <c r="O436" s="240">
        <f t="shared" ca="1" si="116"/>
        <v>0</v>
      </c>
      <c r="P436" s="240">
        <f t="shared" si="116"/>
        <v>0</v>
      </c>
      <c r="Q436" s="240">
        <f t="shared" si="116"/>
        <v>0</v>
      </c>
      <c r="R436" s="240">
        <f t="shared" si="116"/>
        <v>0</v>
      </c>
      <c r="S436" s="240">
        <f>IF(S434&lt;0,S434,0)</f>
        <v>0</v>
      </c>
      <c r="T436" s="168"/>
      <c r="U436" s="168"/>
    </row>
    <row r="437" spans="1:21" ht="15.75" customHeight="1" outlineLevel="1">
      <c r="B437" s="215"/>
      <c r="C437" s="242"/>
      <c r="D437" s="242"/>
      <c r="E437" s="242"/>
      <c r="F437" s="242"/>
      <c r="G437" s="167"/>
      <c r="H437" s="167"/>
      <c r="I437" s="242"/>
      <c r="J437" s="242"/>
      <c r="K437" s="242"/>
      <c r="L437" s="242"/>
      <c r="M437" s="242"/>
      <c r="N437" s="242"/>
      <c r="O437" s="242"/>
      <c r="P437" s="242"/>
      <c r="Q437" s="242"/>
      <c r="R437" s="242"/>
      <c r="S437" s="242"/>
      <c r="T437" s="168"/>
      <c r="U437" s="168"/>
    </row>
    <row r="438" spans="1:21" ht="15.75" customHeight="1">
      <c r="B438" s="215"/>
      <c r="C438" s="186" t="s">
        <v>213</v>
      </c>
      <c r="D438" s="215"/>
      <c r="E438" s="249"/>
      <c r="F438" s="249"/>
      <c r="G438" s="167"/>
      <c r="H438" s="167"/>
      <c r="I438" s="240"/>
      <c r="J438" s="240"/>
      <c r="K438" s="240"/>
      <c r="L438" s="240"/>
      <c r="M438" s="240"/>
      <c r="N438" s="240"/>
      <c r="O438" s="240"/>
      <c r="P438" s="240"/>
      <c r="Q438" s="240"/>
      <c r="R438" s="240"/>
      <c r="S438" s="240"/>
      <c r="T438" s="168"/>
      <c r="U438" s="168"/>
    </row>
    <row r="439" spans="1:21" ht="15.75" customHeight="1">
      <c r="A439" s="169">
        <v>17</v>
      </c>
      <c r="B439" s="215"/>
      <c r="C439" s="353" t="s">
        <v>214</v>
      </c>
      <c r="D439" s="242"/>
      <c r="E439" s="242"/>
      <c r="F439" s="242"/>
      <c r="G439" s="167"/>
      <c r="H439" s="167"/>
      <c r="I439" s="240"/>
      <c r="J439" s="240">
        <f t="shared" ref="J439:R439" si="117">J632</f>
        <v>0</v>
      </c>
      <c r="K439" s="240">
        <f t="shared" si="117"/>
        <v>0</v>
      </c>
      <c r="L439" s="240">
        <f t="shared" si="117"/>
        <v>19010085.366049878</v>
      </c>
      <c r="M439" s="240">
        <f t="shared" si="117"/>
        <v>-4340000</v>
      </c>
      <c r="N439" s="240">
        <f t="shared" si="117"/>
        <v>508519</v>
      </c>
      <c r="O439" s="240">
        <f t="shared" si="117"/>
        <v>-3352105.1220166269</v>
      </c>
      <c r="P439" s="240">
        <f t="shared" si="117"/>
        <v>0</v>
      </c>
      <c r="Q439" s="240">
        <f t="shared" si="117"/>
        <v>0</v>
      </c>
      <c r="R439" s="240">
        <f t="shared" si="117"/>
        <v>0</v>
      </c>
      <c r="S439" s="240">
        <f>S632</f>
        <v>0</v>
      </c>
      <c r="T439" s="168"/>
      <c r="U439" s="168"/>
    </row>
    <row r="440" spans="1:21" ht="15.75" customHeight="1">
      <c r="A440" s="169">
        <v>18</v>
      </c>
      <c r="B440" s="215"/>
      <c r="C440" s="353" t="s">
        <v>215</v>
      </c>
      <c r="D440" s="242"/>
      <c r="E440" s="242"/>
      <c r="F440" s="242"/>
      <c r="G440" s="167"/>
      <c r="H440" s="167"/>
      <c r="I440" s="240"/>
      <c r="J440" s="240">
        <f t="shared" ref="J440:R440" si="118">J638</f>
        <v>-7933669.3803593572</v>
      </c>
      <c r="K440" s="240">
        <f t="shared" si="118"/>
        <v>1064766.5</v>
      </c>
      <c r="L440" s="240">
        <f t="shared" si="118"/>
        <v>17412738.729283988</v>
      </c>
      <c r="M440" s="240">
        <f t="shared" si="118"/>
        <v>-255563.23685019091</v>
      </c>
      <c r="N440" s="240">
        <f t="shared" si="118"/>
        <v>2717507.0075662024</v>
      </c>
      <c r="O440" s="240">
        <f t="shared" ca="1" si="118"/>
        <v>0</v>
      </c>
      <c r="P440" s="240">
        <f t="shared" si="118"/>
        <v>0</v>
      </c>
      <c r="Q440" s="240">
        <f t="shared" si="118"/>
        <v>0</v>
      </c>
      <c r="R440" s="240">
        <f t="shared" si="118"/>
        <v>0</v>
      </c>
      <c r="S440" s="240">
        <f>S638</f>
        <v>0</v>
      </c>
      <c r="T440" s="168"/>
      <c r="U440" s="168"/>
    </row>
    <row r="441" spans="1:21" ht="15.75" customHeight="1" outlineLevel="1">
      <c r="A441" s="169">
        <v>19</v>
      </c>
      <c r="B441" s="215"/>
      <c r="C441" s="353" t="s">
        <v>451</v>
      </c>
      <c r="D441" s="242"/>
      <c r="E441" s="242"/>
      <c r="F441" s="242"/>
      <c r="G441" s="167"/>
      <c r="H441" s="167"/>
      <c r="I441" s="240"/>
      <c r="J441" s="240">
        <f t="shared" ref="J441:Q442" si="119">J564</f>
        <v>0</v>
      </c>
      <c r="K441" s="240">
        <f t="shared" si="119"/>
        <v>0</v>
      </c>
      <c r="L441" s="240">
        <f t="shared" si="119"/>
        <v>0</v>
      </c>
      <c r="M441" s="240">
        <f t="shared" si="119"/>
        <v>0</v>
      </c>
      <c r="N441" s="240">
        <f t="shared" si="119"/>
        <v>0</v>
      </c>
      <c r="O441" s="240">
        <f t="shared" si="119"/>
        <v>0</v>
      </c>
      <c r="P441" s="240">
        <f t="shared" si="119"/>
        <v>0</v>
      </c>
      <c r="Q441" s="240">
        <f t="shared" si="119"/>
        <v>0</v>
      </c>
      <c r="R441" s="240">
        <f>R564</f>
        <v>0</v>
      </c>
      <c r="S441" s="240">
        <f>S564</f>
        <v>0</v>
      </c>
      <c r="T441" s="168"/>
      <c r="U441" s="168"/>
    </row>
    <row r="442" spans="1:21" ht="15.75" customHeight="1">
      <c r="A442" s="169">
        <v>20</v>
      </c>
      <c r="B442" s="215"/>
      <c r="C442" s="353" t="s">
        <v>311</v>
      </c>
      <c r="D442" s="242"/>
      <c r="E442" s="242"/>
      <c r="F442" s="242"/>
      <c r="G442" s="167"/>
      <c r="H442" s="167"/>
      <c r="I442" s="240"/>
      <c r="J442" s="240">
        <f t="shared" si="119"/>
        <v>0</v>
      </c>
      <c r="K442" s="240">
        <f t="shared" si="119"/>
        <v>0</v>
      </c>
      <c r="L442" s="240">
        <f t="shared" si="119"/>
        <v>0</v>
      </c>
      <c r="M442" s="240">
        <f t="shared" si="119"/>
        <v>0</v>
      </c>
      <c r="N442" s="240">
        <f t="shared" si="119"/>
        <v>0</v>
      </c>
      <c r="O442" s="240">
        <f t="shared" si="119"/>
        <v>0</v>
      </c>
      <c r="P442" s="240">
        <f t="shared" si="119"/>
        <v>0</v>
      </c>
      <c r="Q442" s="240">
        <f t="shared" si="119"/>
        <v>0</v>
      </c>
      <c r="R442" s="240">
        <f>R565</f>
        <v>0</v>
      </c>
      <c r="S442" s="240">
        <f>S565</f>
        <v>0</v>
      </c>
      <c r="T442" s="168"/>
      <c r="U442" s="168"/>
    </row>
    <row r="443" spans="1:21" ht="15.75" customHeight="1" outlineLevel="1">
      <c r="A443" s="169">
        <v>21</v>
      </c>
      <c r="B443" s="215"/>
      <c r="C443" s="353" t="s">
        <v>373</v>
      </c>
      <c r="D443" s="242"/>
      <c r="E443" s="242"/>
      <c r="F443" s="242"/>
      <c r="G443" s="167"/>
      <c r="H443" s="167"/>
      <c r="I443" s="240"/>
      <c r="J443" s="240">
        <f>-J583</f>
        <v>0</v>
      </c>
      <c r="K443" s="240">
        <f>-K583</f>
        <v>0</v>
      </c>
      <c r="L443" s="240">
        <f ca="1">-L583</f>
        <v>0</v>
      </c>
      <c r="M443" s="240">
        <f ca="1">-M583</f>
        <v>0</v>
      </c>
      <c r="N443" s="240">
        <f ca="1">-N583</f>
        <v>0</v>
      </c>
      <c r="O443" s="240">
        <v>0</v>
      </c>
      <c r="P443" s="240">
        <v>0</v>
      </c>
      <c r="Q443" s="240">
        <v>0</v>
      </c>
      <c r="R443" s="240">
        <v>0</v>
      </c>
      <c r="S443" s="240">
        <v>0</v>
      </c>
      <c r="T443" s="168"/>
      <c r="U443" s="168"/>
    </row>
    <row r="444" spans="1:21" ht="15.75" customHeight="1" outlineLevel="1">
      <c r="A444" s="169">
        <v>22</v>
      </c>
      <c r="B444" s="215"/>
      <c r="C444" s="353" t="s">
        <v>374</v>
      </c>
      <c r="D444" s="242"/>
      <c r="E444" s="242"/>
      <c r="F444" s="242"/>
      <c r="G444" s="167"/>
      <c r="H444" s="167"/>
      <c r="I444" s="240"/>
      <c r="J444" s="240">
        <f t="shared" ref="J444:R444" si="120">J588</f>
        <v>0</v>
      </c>
      <c r="K444" s="240">
        <f t="shared" si="120"/>
        <v>0</v>
      </c>
      <c r="L444" s="240">
        <f t="shared" si="120"/>
        <v>0</v>
      </c>
      <c r="M444" s="240">
        <f t="shared" si="120"/>
        <v>0</v>
      </c>
      <c r="N444" s="240">
        <f t="shared" si="120"/>
        <v>0</v>
      </c>
      <c r="O444" s="240">
        <f t="shared" si="120"/>
        <v>0</v>
      </c>
      <c r="P444" s="240">
        <f t="shared" si="120"/>
        <v>0</v>
      </c>
      <c r="Q444" s="240">
        <f t="shared" si="120"/>
        <v>0</v>
      </c>
      <c r="R444" s="240">
        <f t="shared" si="120"/>
        <v>0</v>
      </c>
      <c r="S444" s="240">
        <f>S588</f>
        <v>0</v>
      </c>
      <c r="T444" s="168"/>
      <c r="U444" s="168"/>
    </row>
    <row r="445" spans="1:21" ht="15.75" customHeight="1" outlineLevel="1">
      <c r="A445" s="169">
        <v>23</v>
      </c>
      <c r="B445" s="215"/>
      <c r="C445" s="353" t="s">
        <v>368</v>
      </c>
      <c r="D445" s="242"/>
      <c r="E445" s="242"/>
      <c r="F445" s="242"/>
      <c r="G445" s="167"/>
      <c r="H445" s="167"/>
      <c r="I445" s="240"/>
      <c r="J445" s="240">
        <v>0</v>
      </c>
      <c r="K445" s="240">
        <v>0</v>
      </c>
      <c r="L445" s="240">
        <f t="shared" ref="L445:R445" si="121">L314</f>
        <v>-10795990</v>
      </c>
      <c r="M445" s="240">
        <f>M314</f>
        <v>3768779</v>
      </c>
      <c r="N445" s="240">
        <f>N314</f>
        <v>1005610.3746710515</v>
      </c>
      <c r="O445" s="240">
        <f t="shared" si="121"/>
        <v>0</v>
      </c>
      <c r="P445" s="240">
        <f t="shared" si="121"/>
        <v>0</v>
      </c>
      <c r="Q445" s="240">
        <f t="shared" si="121"/>
        <v>0</v>
      </c>
      <c r="R445" s="240">
        <f t="shared" si="121"/>
        <v>0</v>
      </c>
      <c r="S445" s="240">
        <f>S314</f>
        <v>0</v>
      </c>
      <c r="T445" s="168"/>
      <c r="U445" s="168"/>
    </row>
    <row r="446" spans="1:21" s="308" customFormat="1" ht="15.75" customHeight="1">
      <c r="A446" s="169"/>
      <c r="B446" s="743"/>
      <c r="C446" s="186" t="s">
        <v>217</v>
      </c>
      <c r="D446" s="380"/>
      <c r="E446" s="731"/>
      <c r="F446" s="731"/>
      <c r="G446" s="305"/>
      <c r="H446" s="305"/>
      <c r="I446" s="383"/>
      <c r="J446" s="383">
        <f t="shared" ref="J446:R446" si="122">SUM(J439:J445)</f>
        <v>-7933669.3803593572</v>
      </c>
      <c r="K446" s="383">
        <f t="shared" si="122"/>
        <v>1064766.5</v>
      </c>
      <c r="L446" s="383">
        <f t="shared" ca="1" si="122"/>
        <v>25626834.095333867</v>
      </c>
      <c r="M446" s="383">
        <f t="shared" ca="1" si="122"/>
        <v>-826784.23685019091</v>
      </c>
      <c r="N446" s="383">
        <f t="shared" ca="1" si="122"/>
        <v>4231636.3822372537</v>
      </c>
      <c r="O446" s="383">
        <f t="shared" ca="1" si="122"/>
        <v>-3352105.1220166269</v>
      </c>
      <c r="P446" s="383">
        <f t="shared" si="122"/>
        <v>0</v>
      </c>
      <c r="Q446" s="383">
        <f t="shared" si="122"/>
        <v>0</v>
      </c>
      <c r="R446" s="383">
        <f t="shared" si="122"/>
        <v>0</v>
      </c>
      <c r="S446" s="383">
        <f>SUM(S439:S445)</f>
        <v>0</v>
      </c>
      <c r="T446" s="313"/>
      <c r="U446" s="313"/>
    </row>
    <row r="447" spans="1:21" ht="7.5" customHeight="1">
      <c r="B447" s="215"/>
      <c r="C447" s="242"/>
      <c r="D447" s="242"/>
      <c r="E447" s="243"/>
      <c r="F447" s="243"/>
      <c r="G447" s="385"/>
      <c r="H447" s="385"/>
      <c r="I447" s="240"/>
      <c r="J447" s="240"/>
      <c r="K447" s="240"/>
      <c r="L447" s="240"/>
      <c r="M447" s="240"/>
      <c r="N447" s="240"/>
      <c r="O447" s="240"/>
      <c r="P447" s="240"/>
      <c r="Q447" s="240"/>
      <c r="R447" s="240"/>
      <c r="S447" s="240"/>
      <c r="T447" s="168"/>
      <c r="U447" s="168"/>
    </row>
    <row r="448" spans="1:21" ht="15.75" customHeight="1">
      <c r="B448" s="242"/>
      <c r="C448" s="186" t="s">
        <v>218</v>
      </c>
      <c r="D448" s="242"/>
      <c r="E448" s="243"/>
      <c r="F448" s="243"/>
      <c r="G448" s="167"/>
      <c r="H448" s="167"/>
      <c r="I448" s="240"/>
      <c r="J448" s="240">
        <f t="shared" ref="J448:R448" si="123">J425+J432+J446</f>
        <v>17846852.719818674</v>
      </c>
      <c r="K448" s="240">
        <f t="shared" si="123"/>
        <v>6915571.1837377194</v>
      </c>
      <c r="L448" s="240">
        <f ca="1">L425+L432+L446</f>
        <v>58672440.087946519</v>
      </c>
      <c r="M448" s="240">
        <f t="shared" ca="1" si="123"/>
        <v>30917795.814443745</v>
      </c>
      <c r="N448" s="240">
        <f t="shared" ca="1" si="123"/>
        <v>16849306.958687223</v>
      </c>
      <c r="O448" s="240">
        <f t="shared" ca="1" si="123"/>
        <v>27749608.748472366</v>
      </c>
      <c r="P448" s="240">
        <f t="shared" si="123"/>
        <v>0</v>
      </c>
      <c r="Q448" s="240">
        <f t="shared" si="123"/>
        <v>0</v>
      </c>
      <c r="R448" s="240">
        <f t="shared" si="123"/>
        <v>0</v>
      </c>
      <c r="S448" s="240">
        <f>S425+S432+S446</f>
        <v>0</v>
      </c>
      <c r="T448" s="168"/>
      <c r="U448" s="168"/>
    </row>
    <row r="449" spans="2:21" ht="15.75" customHeight="1">
      <c r="B449" s="242"/>
      <c r="C449" s="242"/>
      <c r="D449" s="215"/>
      <c r="E449" s="271"/>
      <c r="F449" s="243"/>
      <c r="G449" s="385"/>
      <c r="H449" s="385"/>
      <c r="I449" s="240"/>
      <c r="J449" s="240"/>
      <c r="K449" s="240"/>
      <c r="L449" s="240"/>
      <c r="M449" s="240"/>
      <c r="N449" s="240"/>
      <c r="O449" s="240"/>
      <c r="P449" s="240"/>
      <c r="Q449" s="240"/>
      <c r="R449" s="240"/>
      <c r="S449" s="240"/>
      <c r="T449" s="168"/>
      <c r="U449" s="168"/>
    </row>
    <row r="450" spans="2:21" ht="15.75" customHeight="1" outlineLevel="1">
      <c r="B450" s="242"/>
      <c r="C450" s="356" t="s">
        <v>376</v>
      </c>
      <c r="D450" s="242"/>
      <c r="E450" s="242"/>
      <c r="F450" s="242"/>
      <c r="G450" s="167"/>
      <c r="H450" s="167"/>
      <c r="I450" s="240"/>
      <c r="J450" s="744">
        <v>530893.10168871004</v>
      </c>
      <c r="K450" s="240">
        <f t="shared" ref="K450:S450" si="124">J451</f>
        <v>18377745.821507383</v>
      </c>
      <c r="L450" s="240">
        <f t="shared" si="124"/>
        <v>25293317.005245104</v>
      </c>
      <c r="M450" s="240">
        <f t="shared" ca="1" si="124"/>
        <v>83965757.093191624</v>
      </c>
      <c r="N450" s="240">
        <f t="shared" ca="1" si="124"/>
        <v>114883552.90763536</v>
      </c>
      <c r="O450" s="240">
        <f t="shared" ca="1" si="124"/>
        <v>131732859.86632258</v>
      </c>
      <c r="P450" s="240"/>
      <c r="Q450" s="240">
        <f t="shared" si="124"/>
        <v>0</v>
      </c>
      <c r="R450" s="240">
        <f t="shared" si="124"/>
        <v>0</v>
      </c>
      <c r="S450" s="240">
        <f t="shared" si="124"/>
        <v>0</v>
      </c>
      <c r="T450" s="168"/>
      <c r="U450" s="168"/>
    </row>
    <row r="451" spans="2:21" ht="15.75" customHeight="1" outlineLevel="1">
      <c r="B451" s="242"/>
      <c r="C451" s="386" t="s">
        <v>377</v>
      </c>
      <c r="D451" s="260"/>
      <c r="E451" s="260"/>
      <c r="F451" s="260"/>
      <c r="G451" s="400"/>
      <c r="H451" s="400"/>
      <c r="I451" s="261"/>
      <c r="J451" s="261">
        <f t="shared" ref="J451:R451" si="125">J448+J450</f>
        <v>18377745.821507383</v>
      </c>
      <c r="K451" s="261">
        <f t="shared" si="125"/>
        <v>25293317.005245104</v>
      </c>
      <c r="L451" s="261">
        <f t="shared" ca="1" si="125"/>
        <v>83965757.093191624</v>
      </c>
      <c r="M451" s="261">
        <f t="shared" ca="1" si="125"/>
        <v>114883552.90763536</v>
      </c>
      <c r="N451" s="261">
        <f t="shared" ca="1" si="125"/>
        <v>131732859.86632258</v>
      </c>
      <c r="O451" s="261">
        <f t="shared" ca="1" si="125"/>
        <v>159482468.61479494</v>
      </c>
      <c r="P451" s="261">
        <f t="shared" si="125"/>
        <v>0</v>
      </c>
      <c r="Q451" s="261">
        <f t="shared" si="125"/>
        <v>0</v>
      </c>
      <c r="R451" s="261">
        <f t="shared" si="125"/>
        <v>0</v>
      </c>
      <c r="S451" s="261">
        <f>S448+S450</f>
        <v>0</v>
      </c>
      <c r="T451" s="168"/>
      <c r="U451" s="168"/>
    </row>
    <row r="452" spans="2:21" ht="15.75" customHeight="1" outlineLevel="1">
      <c r="B452" s="242"/>
      <c r="C452" s="356"/>
      <c r="D452" s="242"/>
      <c r="E452" s="242"/>
      <c r="F452" s="242"/>
      <c r="G452" s="167"/>
      <c r="H452" s="167"/>
      <c r="I452" s="240"/>
      <c r="J452" s="240"/>
      <c r="K452" s="240"/>
      <c r="L452" s="240"/>
      <c r="M452" s="240"/>
      <c r="N452" s="240"/>
      <c r="O452" s="240"/>
      <c r="P452" s="240"/>
      <c r="Q452" s="240"/>
      <c r="R452" s="240"/>
      <c r="S452" s="240"/>
      <c r="T452" s="168"/>
      <c r="U452" s="168"/>
    </row>
    <row r="453" spans="2:21" ht="15.75" customHeight="1" outlineLevel="1">
      <c r="B453" s="242"/>
      <c r="C453" s="356"/>
      <c r="D453" s="242"/>
      <c r="E453" s="242"/>
      <c r="F453" s="242"/>
      <c r="G453" s="167"/>
      <c r="H453" s="167"/>
      <c r="I453" s="240"/>
      <c r="J453" s="240"/>
      <c r="K453" s="240"/>
      <c r="L453" s="240"/>
      <c r="M453" s="215"/>
      <c r="N453" s="215"/>
      <c r="O453" s="215"/>
      <c r="P453" s="215"/>
      <c r="Q453" s="215"/>
      <c r="R453" s="215"/>
      <c r="S453" s="215"/>
      <c r="T453" s="168"/>
      <c r="U453" s="168"/>
    </row>
    <row r="454" spans="2:21" ht="15.75" customHeight="1" outlineLevel="1">
      <c r="B454" s="242"/>
      <c r="C454" s="254"/>
      <c r="D454" s="254"/>
      <c r="E454" s="254"/>
      <c r="F454" s="254"/>
      <c r="G454" s="167"/>
      <c r="H454" s="167"/>
      <c r="I454" s="254"/>
      <c r="J454" s="254"/>
      <c r="K454" s="255"/>
      <c r="L454" s="255"/>
      <c r="M454" s="215"/>
      <c r="N454" s="215"/>
      <c r="O454" s="215"/>
      <c r="P454" s="215"/>
      <c r="Q454" s="215"/>
      <c r="R454" s="215"/>
      <c r="S454" s="215"/>
      <c r="T454" s="168"/>
      <c r="U454" s="168"/>
    </row>
    <row r="455" spans="2:21" ht="15.75" customHeight="1" outlineLevel="1">
      <c r="B455" s="242"/>
      <c r="C455" s="254"/>
      <c r="D455" s="254"/>
      <c r="E455" s="254"/>
      <c r="F455" s="254"/>
      <c r="G455" s="167"/>
      <c r="H455" s="167"/>
      <c r="I455" s="254"/>
      <c r="J455" s="254"/>
      <c r="K455" s="255"/>
      <c r="L455" s="255"/>
      <c r="M455" s="215"/>
      <c r="N455" s="215"/>
      <c r="O455" s="215"/>
      <c r="P455" s="215"/>
      <c r="Q455" s="215"/>
      <c r="R455" s="215"/>
      <c r="S455" s="215"/>
      <c r="T455" s="168"/>
      <c r="U455" s="168"/>
    </row>
    <row r="456" spans="2:21" ht="15.75" customHeight="1" outlineLevel="1">
      <c r="B456" s="242"/>
      <c r="C456" s="254"/>
      <c r="D456" s="254"/>
      <c r="E456" s="254"/>
      <c r="F456" s="254"/>
      <c r="G456" s="167"/>
      <c r="H456" s="167"/>
      <c r="I456" s="254"/>
      <c r="J456" s="254"/>
      <c r="K456" s="255"/>
      <c r="L456" s="255"/>
      <c r="M456" s="215"/>
      <c r="N456" s="215"/>
      <c r="O456" s="215"/>
      <c r="P456" s="215"/>
      <c r="Q456" s="215"/>
      <c r="R456" s="215"/>
      <c r="S456" s="215"/>
      <c r="T456" s="168"/>
      <c r="U456" s="168"/>
    </row>
    <row r="457" spans="2:21" ht="27" outlineLevel="1">
      <c r="B457" s="242"/>
      <c r="C457" s="366" t="s">
        <v>445</v>
      </c>
      <c r="D457" s="168"/>
      <c r="E457" s="168"/>
      <c r="F457" s="168"/>
      <c r="G457" s="167"/>
      <c r="H457" s="167"/>
      <c r="I457" s="254"/>
      <c r="J457" s="254"/>
      <c r="K457" s="367"/>
      <c r="L457" s="368"/>
      <c r="M457" s="367"/>
      <c r="N457" s="368"/>
      <c r="O457" s="368"/>
      <c r="P457" s="368"/>
      <c r="Q457" s="368"/>
      <c r="R457" s="368"/>
      <c r="S457" s="368"/>
      <c r="T457" s="168"/>
      <c r="U457" s="168"/>
    </row>
    <row r="458" spans="2:21" ht="3" customHeight="1" outlineLevel="1">
      <c r="B458" s="242"/>
      <c r="C458" s="229"/>
      <c r="D458" s="229"/>
      <c r="E458" s="229"/>
      <c r="F458" s="229"/>
      <c r="G458" s="300"/>
      <c r="H458" s="300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168"/>
      <c r="U458" s="168"/>
    </row>
    <row r="459" spans="2:21" ht="15.75" customHeight="1" outlineLevel="1">
      <c r="B459" s="242"/>
      <c r="C459" s="168"/>
      <c r="D459" s="168"/>
      <c r="E459" s="168"/>
      <c r="F459" s="168"/>
      <c r="G459" s="167"/>
      <c r="H459" s="167"/>
      <c r="I459" s="254"/>
      <c r="J459" s="254"/>
      <c r="K459" s="367"/>
      <c r="L459" s="368"/>
      <c r="M459" s="367"/>
      <c r="N459" s="368"/>
      <c r="O459" s="368"/>
      <c r="P459" s="368"/>
      <c r="Q459" s="368"/>
      <c r="R459" s="368"/>
      <c r="S459" s="368"/>
      <c r="T459" s="168"/>
      <c r="U459" s="168"/>
    </row>
    <row r="460" spans="2:21" ht="15.75" customHeight="1" outlineLevel="1">
      <c r="B460" s="215"/>
      <c r="C460" s="313" t="s">
        <v>417</v>
      </c>
      <c r="D460" s="168"/>
      <c r="E460" s="168"/>
      <c r="F460" s="168"/>
      <c r="G460" s="167"/>
      <c r="H460" s="167"/>
      <c r="I460" s="254"/>
      <c r="J460" s="254"/>
      <c r="K460" s="367"/>
      <c r="L460" s="368"/>
      <c r="M460" s="367"/>
      <c r="N460" s="368"/>
      <c r="O460" s="368"/>
      <c r="P460" s="368"/>
      <c r="Q460" s="368"/>
      <c r="R460" s="368"/>
      <c r="S460" s="368"/>
      <c r="T460" s="168"/>
      <c r="U460" s="168"/>
    </row>
    <row r="461" spans="2:21" ht="15.75" customHeight="1" outlineLevel="1">
      <c r="B461" s="215"/>
      <c r="C461" s="348"/>
      <c r="D461" s="233"/>
      <c r="E461" s="233"/>
      <c r="F461" s="233"/>
      <c r="G461" s="338"/>
      <c r="H461" s="174">
        <v>0</v>
      </c>
      <c r="I461" s="174">
        <v>0</v>
      </c>
      <c r="J461" s="174">
        <v>1</v>
      </c>
      <c r="K461" s="174">
        <v>2</v>
      </c>
      <c r="L461" s="174">
        <f t="shared" ref="L461:S463" si="126">L287</f>
        <v>3</v>
      </c>
      <c r="M461" s="174">
        <f t="shared" si="126"/>
        <v>4</v>
      </c>
      <c r="N461" s="174">
        <f t="shared" si="126"/>
        <v>5</v>
      </c>
      <c r="O461" s="174">
        <f t="shared" si="126"/>
        <v>6</v>
      </c>
      <c r="P461" s="174">
        <f t="shared" si="126"/>
        <v>7</v>
      </c>
      <c r="Q461" s="174">
        <f t="shared" si="126"/>
        <v>8</v>
      </c>
      <c r="R461" s="174">
        <f t="shared" si="126"/>
        <v>9</v>
      </c>
      <c r="S461" s="174">
        <f t="shared" si="126"/>
        <v>10</v>
      </c>
      <c r="T461" s="168"/>
      <c r="U461" s="168"/>
    </row>
    <row r="462" spans="2:21" ht="15.75" customHeight="1" outlineLevel="1">
      <c r="B462" s="215"/>
      <c r="C462" s="349"/>
      <c r="D462" s="234"/>
      <c r="E462" s="234"/>
      <c r="F462" s="234"/>
      <c r="G462" s="325"/>
      <c r="H462" s="176"/>
      <c r="I462" s="176"/>
      <c r="J462" s="176"/>
      <c r="K462" s="176"/>
      <c r="L462" s="176"/>
      <c r="M462" s="176"/>
      <c r="N462" s="176"/>
      <c r="O462" s="176"/>
      <c r="P462" s="176"/>
      <c r="Q462" s="176"/>
      <c r="R462" s="176"/>
      <c r="S462" s="176"/>
      <c r="T462" s="168"/>
      <c r="U462" s="168"/>
    </row>
    <row r="463" spans="2:21" ht="15.75" customHeight="1" outlineLevel="1">
      <c r="B463" s="242"/>
      <c r="C463" s="359"/>
      <c r="D463" s="260"/>
      <c r="E463" s="235"/>
      <c r="F463" s="235"/>
      <c r="G463" s="326"/>
      <c r="H463" s="213" t="s">
        <v>499</v>
      </c>
      <c r="I463" s="213" t="s">
        <v>499</v>
      </c>
      <c r="J463" s="213" t="s">
        <v>499</v>
      </c>
      <c r="K463" s="213" t="s">
        <v>499</v>
      </c>
      <c r="L463" s="213" t="str">
        <f t="shared" si="126"/>
        <v>($)</v>
      </c>
      <c r="M463" s="213" t="str">
        <f t="shared" si="126"/>
        <v>($)</v>
      </c>
      <c r="N463" s="213" t="str">
        <f t="shared" si="126"/>
        <v>($)</v>
      </c>
      <c r="O463" s="213" t="str">
        <f t="shared" si="126"/>
        <v>($)</v>
      </c>
      <c r="P463" s="213" t="str">
        <f t="shared" si="126"/>
        <v>($)</v>
      </c>
      <c r="Q463" s="213" t="str">
        <f t="shared" si="126"/>
        <v>($)</v>
      </c>
      <c r="R463" s="213" t="str">
        <f t="shared" si="126"/>
        <v>($)</v>
      </c>
      <c r="S463" s="213" t="str">
        <f t="shared" si="126"/>
        <v>($)</v>
      </c>
      <c r="T463" s="168"/>
      <c r="U463" s="168"/>
    </row>
    <row r="464" spans="2:21" ht="15.75" customHeight="1" outlineLevel="1">
      <c r="B464" s="215"/>
      <c r="C464" s="242"/>
      <c r="D464" s="242"/>
      <c r="E464" s="242"/>
      <c r="F464" s="242"/>
      <c r="G464" s="167"/>
      <c r="H464" s="167"/>
      <c r="I464" s="242"/>
      <c r="J464" s="243"/>
      <c r="K464" s="243"/>
      <c r="L464" s="243"/>
      <c r="M464" s="243"/>
      <c r="N464" s="243"/>
      <c r="O464" s="243"/>
      <c r="P464" s="243"/>
      <c r="Q464" s="243"/>
      <c r="R464" s="243"/>
      <c r="S464" s="243"/>
      <c r="T464" s="168"/>
      <c r="U464" s="168"/>
    </row>
    <row r="465" spans="2:21" ht="15.75" customHeight="1" outlineLevel="1">
      <c r="B465" s="215"/>
      <c r="C465" s="242" t="s">
        <v>458</v>
      </c>
      <c r="D465" s="215"/>
      <c r="E465" s="271"/>
      <c r="F465" s="243"/>
      <c r="G465" s="167"/>
      <c r="H465" s="246">
        <v>76627591.311647266</v>
      </c>
      <c r="I465" s="246">
        <v>94451423.012252659</v>
      </c>
      <c r="J465" s="246">
        <v>97784557.768117622</v>
      </c>
      <c r="K465" s="246">
        <f t="shared" ref="K465:R465" si="127">K291</f>
        <v>184171706.44189069</v>
      </c>
      <c r="L465" s="246">
        <f t="shared" si="127"/>
        <v>257537896.93182153</v>
      </c>
      <c r="M465" s="246">
        <f t="shared" si="127"/>
        <v>124292390.33752751</v>
      </c>
      <c r="N465" s="246">
        <f t="shared" si="127"/>
        <v>131741207.71214579</v>
      </c>
      <c r="O465" s="246">
        <f t="shared" si="127"/>
        <v>38342638.134463273</v>
      </c>
      <c r="P465" s="246">
        <f t="shared" si="127"/>
        <v>0</v>
      </c>
      <c r="Q465" s="246">
        <f t="shared" si="127"/>
        <v>0</v>
      </c>
      <c r="R465" s="246">
        <f t="shared" si="127"/>
        <v>0</v>
      </c>
      <c r="S465" s="246">
        <f>S291</f>
        <v>0</v>
      </c>
      <c r="T465" s="168"/>
      <c r="U465" s="168"/>
    </row>
    <row r="466" spans="2:21" ht="15.75" customHeight="1" outlineLevel="1">
      <c r="B466" s="215"/>
      <c r="C466" s="242" t="s">
        <v>450</v>
      </c>
      <c r="D466" s="215"/>
      <c r="E466" s="215"/>
      <c r="F466" s="215"/>
      <c r="G466" s="167"/>
      <c r="H466" s="246">
        <v>52232729.534021102</v>
      </c>
      <c r="I466" s="246">
        <v>61069774.118765347</v>
      </c>
      <c r="J466" s="246">
        <v>48949316.970066726</v>
      </c>
      <c r="K466" s="246">
        <f t="shared" ref="K466:R466" si="128">-K293</f>
        <v>120024413.99925557</v>
      </c>
      <c r="L466" s="246">
        <f t="shared" si="128"/>
        <v>170667483.74333799</v>
      </c>
      <c r="M466" s="246">
        <f t="shared" si="128"/>
        <v>81922233.965064645</v>
      </c>
      <c r="N466" s="246">
        <f t="shared" si="128"/>
        <v>81400560.999732122</v>
      </c>
      <c r="O466" s="246">
        <f t="shared" si="128"/>
        <v>20572729.587218676</v>
      </c>
      <c r="P466" s="246">
        <f t="shared" si="128"/>
        <v>0</v>
      </c>
      <c r="Q466" s="246">
        <f t="shared" si="128"/>
        <v>0</v>
      </c>
      <c r="R466" s="246">
        <f t="shared" si="128"/>
        <v>0</v>
      </c>
      <c r="S466" s="246">
        <f>-S293</f>
        <v>0</v>
      </c>
      <c r="T466" s="168"/>
      <c r="U466" s="168"/>
    </row>
    <row r="467" spans="2:21" ht="15.75" customHeight="1" outlineLevel="1">
      <c r="B467" s="215"/>
      <c r="C467" s="387"/>
      <c r="D467" s="215"/>
      <c r="E467" s="215"/>
      <c r="F467" s="215"/>
      <c r="G467" s="167"/>
      <c r="H467" s="167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168"/>
      <c r="U467" s="168"/>
    </row>
    <row r="468" spans="2:21" ht="15.75" customHeight="1" outlineLevel="1">
      <c r="B468" s="215"/>
      <c r="C468" s="380" t="s">
        <v>396</v>
      </c>
      <c r="D468" s="262"/>
      <c r="E468" s="262"/>
      <c r="F468" s="262"/>
      <c r="G468" s="305"/>
      <c r="H468" s="305"/>
      <c r="I468" s="262"/>
      <c r="J468" s="262"/>
      <c r="K468" s="263"/>
      <c r="L468" s="263"/>
      <c r="M468" s="263"/>
      <c r="N468" s="263"/>
      <c r="O468" s="263"/>
      <c r="P468" s="263"/>
      <c r="Q468" s="263"/>
      <c r="R468" s="263"/>
      <c r="S468" s="263"/>
      <c r="T468" s="168"/>
      <c r="U468" s="168"/>
    </row>
    <row r="469" spans="2:21" ht="15.75" customHeight="1" outlineLevel="1">
      <c r="B469" s="215"/>
      <c r="C469" s="353" t="s">
        <v>341</v>
      </c>
      <c r="D469" s="262"/>
      <c r="E469" s="388"/>
      <c r="F469" s="264"/>
      <c r="G469" s="167"/>
      <c r="H469" s="265">
        <v>7.4914352349791116E-2</v>
      </c>
      <c r="I469" s="265">
        <v>7.2081850777003798E-2</v>
      </c>
      <c r="J469" s="265">
        <v>7.2081850777003798E-2</v>
      </c>
      <c r="K469" s="265">
        <v>7.2081850777003798E-2</v>
      </c>
      <c r="L469" s="265">
        <f>L479/L465</f>
        <v>7.2081850777003798E-2</v>
      </c>
      <c r="M469" s="265">
        <f>M479/M465</f>
        <v>7.2222222222222229E-2</v>
      </c>
      <c r="N469" s="265">
        <f>N479/N465</f>
        <v>7.2222222222222215E-2</v>
      </c>
      <c r="O469" s="265">
        <f>O479/O465</f>
        <v>0.24814783859795347</v>
      </c>
      <c r="P469" s="265"/>
      <c r="Q469" s="265"/>
      <c r="R469" s="265"/>
      <c r="S469" s="265"/>
      <c r="T469" s="168"/>
      <c r="U469" s="168"/>
    </row>
    <row r="470" spans="2:21" ht="15.75" customHeight="1" outlineLevel="1">
      <c r="B470" s="215"/>
      <c r="C470" s="353" t="s">
        <v>397</v>
      </c>
      <c r="D470" s="215"/>
      <c r="E470" s="271"/>
      <c r="F470" s="243"/>
      <c r="G470" s="167"/>
      <c r="H470" s="243">
        <v>6.7814371596454093E-2</v>
      </c>
      <c r="I470" s="243">
        <v>5.6845499786633384E-2</v>
      </c>
      <c r="J470" s="243">
        <v>5.6845499786633384E-2</v>
      </c>
      <c r="K470" s="243">
        <v>5.6845499786633384E-2</v>
      </c>
      <c r="L470" s="243">
        <f>K470</f>
        <v>5.6845499786633384E-2</v>
      </c>
      <c r="M470" s="243">
        <f>L470</f>
        <v>5.6845499786633384E-2</v>
      </c>
      <c r="N470" s="243">
        <v>0.05</v>
      </c>
      <c r="O470" s="243">
        <f>N470</f>
        <v>0.05</v>
      </c>
      <c r="P470" s="243"/>
      <c r="Q470" s="243"/>
      <c r="R470" s="243"/>
      <c r="S470" s="243"/>
      <c r="T470" s="168"/>
      <c r="U470" s="168"/>
    </row>
    <row r="471" spans="2:21" ht="15.75" customHeight="1" outlineLevel="1">
      <c r="B471" s="215"/>
      <c r="C471" s="353" t="s">
        <v>340</v>
      </c>
      <c r="D471" s="242"/>
      <c r="E471" s="242"/>
      <c r="F471" s="242"/>
      <c r="G471" s="167"/>
      <c r="H471" s="243">
        <v>9.9486509667556691E-2</v>
      </c>
      <c r="I471" s="243">
        <v>8.7918097359400815E-2</v>
      </c>
      <c r="J471" s="243">
        <v>8.7918097359400815E-2</v>
      </c>
      <c r="K471" s="243">
        <v>8.7918097359400815E-2</v>
      </c>
      <c r="L471" s="243">
        <f>K471</f>
        <v>8.7918097359400815E-2</v>
      </c>
      <c r="M471" s="243">
        <f>L471</f>
        <v>8.7918097359400815E-2</v>
      </c>
      <c r="N471" s="243">
        <v>5.3100000000000001E-2</v>
      </c>
      <c r="O471" s="243">
        <v>5.3100000000000001E-2</v>
      </c>
      <c r="P471" s="243"/>
      <c r="Q471" s="243"/>
      <c r="R471" s="243"/>
      <c r="S471" s="243"/>
      <c r="T471" s="168"/>
      <c r="U471" s="168"/>
    </row>
    <row r="472" spans="2:21" ht="15.75" customHeight="1" outlineLevel="1">
      <c r="B472" s="215"/>
      <c r="C472" s="353" t="s">
        <v>342</v>
      </c>
      <c r="D472" s="242"/>
      <c r="E472" s="242"/>
      <c r="F472" s="242"/>
      <c r="G472" s="167"/>
      <c r="H472" s="267">
        <v>1.7552050901762768E-2</v>
      </c>
      <c r="I472" s="267">
        <v>5.8615455640244146E-2</v>
      </c>
      <c r="J472" s="267">
        <v>5.8615455640244153E-2</v>
      </c>
      <c r="K472" s="267">
        <v>5.8615455640244153E-2</v>
      </c>
      <c r="L472" s="267">
        <f>L483/L465</f>
        <v>5.8615455640244146E-2</v>
      </c>
      <c r="M472" s="267">
        <f>M483/M465</f>
        <v>5.8333333333333334E-2</v>
      </c>
      <c r="N472" s="267">
        <f>N483/N465</f>
        <v>7.2222222222222215E-2</v>
      </c>
      <c r="O472" s="267">
        <f>O483/O465</f>
        <v>0.24814783859795347</v>
      </c>
      <c r="P472" s="267"/>
      <c r="Q472" s="267"/>
      <c r="R472" s="267"/>
      <c r="S472" s="267"/>
      <c r="T472" s="168"/>
      <c r="U472" s="168"/>
    </row>
    <row r="473" spans="2:21" ht="15.75" customHeight="1" outlineLevel="1">
      <c r="B473" s="215"/>
      <c r="C473" s="353" t="s">
        <v>457</v>
      </c>
      <c r="D473" s="242"/>
      <c r="E473" s="242"/>
      <c r="F473" s="242"/>
      <c r="G473" s="167"/>
      <c r="H473" s="246">
        <v>360</v>
      </c>
      <c r="I473" s="246">
        <v>360</v>
      </c>
      <c r="J473" s="269">
        <v>360</v>
      </c>
      <c r="K473" s="269">
        <v>360</v>
      </c>
      <c r="L473" s="269">
        <f t="shared" ref="L473:M475" si="129">K473</f>
        <v>360</v>
      </c>
      <c r="M473" s="269">
        <f t="shared" si="129"/>
        <v>360</v>
      </c>
      <c r="N473" s="269">
        <f>M473</f>
        <v>360</v>
      </c>
      <c r="O473" s="269">
        <v>360</v>
      </c>
      <c r="P473" s="269"/>
      <c r="Q473" s="269"/>
      <c r="R473" s="269"/>
      <c r="S473" s="269"/>
      <c r="T473" s="168"/>
      <c r="U473" s="168"/>
    </row>
    <row r="474" spans="2:21" ht="15.75" customHeight="1" outlineLevel="1">
      <c r="B474" s="215"/>
      <c r="C474" s="353" t="s">
        <v>459</v>
      </c>
      <c r="D474" s="215"/>
      <c r="E474" s="271"/>
      <c r="F474" s="243"/>
      <c r="G474" s="167"/>
      <c r="H474" s="389">
        <v>26.969166845924804</v>
      </c>
      <c r="I474" s="389">
        <v>25.949466279721367</v>
      </c>
      <c r="J474" s="269">
        <v>25.949466279721367</v>
      </c>
      <c r="K474" s="269">
        <v>25.949466279721367</v>
      </c>
      <c r="L474" s="269">
        <f t="shared" si="129"/>
        <v>25.949466279721367</v>
      </c>
      <c r="M474" s="269">
        <v>26</v>
      </c>
      <c r="N474" s="269">
        <f>M474</f>
        <v>26</v>
      </c>
      <c r="O474" s="269">
        <f>N474</f>
        <v>26</v>
      </c>
      <c r="P474" s="269"/>
      <c r="Q474" s="269"/>
      <c r="R474" s="269"/>
      <c r="S474" s="269"/>
      <c r="T474" s="168"/>
      <c r="U474" s="168"/>
    </row>
    <row r="475" spans="2:21" ht="15.75" customHeight="1" outlineLevel="1">
      <c r="B475" s="215"/>
      <c r="C475" s="353" t="s">
        <v>460</v>
      </c>
      <c r="D475" s="242"/>
      <c r="E475" s="242"/>
      <c r="F475" s="242"/>
      <c r="G475" s="167"/>
      <c r="H475" s="389">
        <v>6.3187383246345963</v>
      </c>
      <c r="I475" s="389">
        <v>21.101564030487893</v>
      </c>
      <c r="J475" s="269">
        <v>21.101564030487893</v>
      </c>
      <c r="K475" s="269">
        <v>21.101564030487893</v>
      </c>
      <c r="L475" s="269">
        <f t="shared" si="129"/>
        <v>21.101564030487893</v>
      </c>
      <c r="M475" s="269">
        <v>21</v>
      </c>
      <c r="N475" s="269">
        <v>26</v>
      </c>
      <c r="O475" s="269">
        <f>N475</f>
        <v>26</v>
      </c>
      <c r="P475" s="269"/>
      <c r="Q475" s="269"/>
      <c r="R475" s="269"/>
      <c r="S475" s="269"/>
      <c r="T475" s="168"/>
      <c r="U475" s="168"/>
    </row>
    <row r="476" spans="2:21" ht="15.75" customHeight="1" outlineLevel="1">
      <c r="B476" s="215"/>
      <c r="C476" s="353" t="s">
        <v>339</v>
      </c>
      <c r="D476" s="242"/>
      <c r="E476" s="242"/>
      <c r="F476" s="242"/>
      <c r="G476" s="167"/>
      <c r="H476" s="389">
        <v>35.815143480320408</v>
      </c>
      <c r="I476" s="389">
        <v>31.650515049384293</v>
      </c>
      <c r="J476" s="389">
        <v>31.650515049384293</v>
      </c>
      <c r="K476" s="389">
        <v>31.650515049384293</v>
      </c>
      <c r="L476" s="389">
        <f>L471*L473</f>
        <v>31.650515049384293</v>
      </c>
      <c r="M476" s="389">
        <f>M471*M473</f>
        <v>31.650515049384293</v>
      </c>
      <c r="N476" s="389">
        <f>N471*N473</f>
        <v>19.116</v>
      </c>
      <c r="O476" s="389">
        <f>O471*O473</f>
        <v>19.116</v>
      </c>
      <c r="P476" s="389"/>
      <c r="Q476" s="389"/>
      <c r="R476" s="389"/>
      <c r="S476" s="389"/>
      <c r="T476" s="168"/>
      <c r="U476" s="168"/>
    </row>
    <row r="477" spans="2:21" ht="15.75" customHeight="1" outlineLevel="1">
      <c r="B477" s="215"/>
      <c r="C477" s="353"/>
      <c r="D477" s="242"/>
      <c r="E477" s="242"/>
      <c r="F477" s="242"/>
      <c r="G477" s="167"/>
      <c r="H477" s="167"/>
      <c r="I477" s="242"/>
      <c r="J477" s="242"/>
      <c r="K477" s="242"/>
      <c r="L477" s="242"/>
      <c r="M477" s="242"/>
      <c r="N477" s="242"/>
      <c r="O477" s="242"/>
      <c r="P477" s="242"/>
      <c r="Q477" s="242"/>
      <c r="R477" s="242"/>
      <c r="S477" s="242"/>
      <c r="T477" s="168"/>
      <c r="U477" s="168"/>
    </row>
    <row r="478" spans="2:21" ht="15.75" customHeight="1" outlineLevel="1">
      <c r="B478" s="215"/>
      <c r="C478" s="380" t="s">
        <v>398</v>
      </c>
      <c r="D478" s="215"/>
      <c r="E478" s="271"/>
      <c r="F478" s="243"/>
      <c r="G478" s="385"/>
      <c r="H478" s="385"/>
      <c r="I478" s="242"/>
      <c r="J478" s="242"/>
      <c r="K478" s="269"/>
      <c r="L478" s="269"/>
      <c r="M478" s="269"/>
      <c r="N478" s="269"/>
      <c r="O478" s="269"/>
      <c r="P478" s="269"/>
      <c r="Q478" s="269"/>
      <c r="R478" s="269"/>
      <c r="S478" s="269"/>
      <c r="T478" s="168"/>
      <c r="U478" s="168"/>
    </row>
    <row r="479" spans="2:21" ht="15.75" customHeight="1" outlineLevel="1">
      <c r="B479" s="215"/>
      <c r="C479" s="310" t="s">
        <v>456</v>
      </c>
      <c r="D479" s="242"/>
      <c r="E479" s="243"/>
      <c r="F479" s="243"/>
      <c r="G479" s="167"/>
      <c r="H479" s="269">
        <v>5740506.3752365354</v>
      </c>
      <c r="I479" s="269">
        <v>6808233.3792448584</v>
      </c>
      <c r="J479" s="269">
        <v>7048491.9013367621</v>
      </c>
      <c r="K479" s="269">
        <f>K465/(K473/K474)</f>
        <v>13275437.461090514</v>
      </c>
      <c r="L479" s="269">
        <f>L465/(L473/L474)</f>
        <v>18563808.256062943</v>
      </c>
      <c r="M479" s="269">
        <f>M465/(M473/M474)</f>
        <v>8976672.6354880985</v>
      </c>
      <c r="N479" s="269">
        <f>N465/(N473/N474)</f>
        <v>9514642.7792105284</v>
      </c>
      <c r="O479" s="269">
        <f>N479</f>
        <v>9514642.7792105284</v>
      </c>
      <c r="P479" s="269"/>
      <c r="Q479" s="269"/>
      <c r="R479" s="269"/>
      <c r="S479" s="269"/>
      <c r="T479" s="168"/>
      <c r="U479" s="168"/>
    </row>
    <row r="480" spans="2:21" ht="15.75" customHeight="1" outlineLevel="1">
      <c r="B480" s="215"/>
      <c r="C480" s="310" t="s">
        <v>382</v>
      </c>
      <c r="D480" s="215"/>
      <c r="E480" s="215"/>
      <c r="F480" s="215"/>
      <c r="G480" s="167"/>
      <c r="H480" s="269">
        <v>2336088.7699157819</v>
      </c>
      <c r="I480" s="269">
        <v>2274861.7006437057</v>
      </c>
      <c r="J480" s="246">
        <v>5558612.0577435698</v>
      </c>
      <c r="K480" s="246">
        <f>K470*K465</f>
        <v>10469332.699246403</v>
      </c>
      <c r="L480" s="246">
        <f t="shared" ref="L480:N481" si="130">L470*L465</f>
        <v>14639870.46508787</v>
      </c>
      <c r="M480" s="246">
        <f t="shared" si="130"/>
        <v>7065463.0484120734</v>
      </c>
      <c r="N480" s="246">
        <f t="shared" si="130"/>
        <v>6587060.3856072901</v>
      </c>
      <c r="O480" s="246">
        <f>N480</f>
        <v>6587060.3856072901</v>
      </c>
      <c r="P480" s="246"/>
      <c r="Q480" s="246"/>
      <c r="R480" s="246"/>
      <c r="S480" s="246"/>
      <c r="T480" s="168"/>
      <c r="U480" s="168"/>
    </row>
    <row r="481" spans="2:21" ht="15.75" customHeight="1" outlineLevel="1">
      <c r="B481" s="215"/>
      <c r="C481" s="310" t="s">
        <v>383</v>
      </c>
      <c r="D481" s="215"/>
      <c r="E481" s="248"/>
      <c r="F481" s="248"/>
      <c r="G481" s="167"/>
      <c r="H481" s="246">
        <v>5196451.9517492643</v>
      </c>
      <c r="I481" s="246">
        <v>5369138.3466902282</v>
      </c>
      <c r="J481" s="246">
        <v>4303530.8150504967</v>
      </c>
      <c r="K481" s="246">
        <f>K471*K466</f>
        <v>10552318.115491582</v>
      </c>
      <c r="L481" s="246">
        <f t="shared" si="130"/>
        <v>15004760.451830745</v>
      </c>
      <c r="M481" s="246">
        <f>M471*M466</f>
        <v>7202446.9416401656</v>
      </c>
      <c r="N481" s="246">
        <f t="shared" si="130"/>
        <v>4322369.7890857756</v>
      </c>
      <c r="O481" s="246">
        <f>N481</f>
        <v>4322369.7890857756</v>
      </c>
      <c r="P481" s="246"/>
      <c r="Q481" s="246"/>
      <c r="R481" s="246"/>
      <c r="S481" s="246"/>
      <c r="T481" s="168"/>
      <c r="U481" s="168"/>
    </row>
    <row r="482" spans="2:21" ht="15.75" customHeight="1" outlineLevel="1">
      <c r="B482" s="242"/>
      <c r="C482" s="353" t="s">
        <v>399</v>
      </c>
      <c r="D482" s="215"/>
      <c r="E482" s="215"/>
      <c r="F482" s="215"/>
      <c r="G482" s="167"/>
      <c r="H482" s="269">
        <v>13273047.096901581</v>
      </c>
      <c r="I482" s="269">
        <v>14452233.426578792</v>
      </c>
      <c r="J482" s="269">
        <v>16910634.774130829</v>
      </c>
      <c r="K482" s="269">
        <f>SUM(K479:K481)</f>
        <v>34297088.275828503</v>
      </c>
      <c r="L482" s="269">
        <f>SUM(L479:L481)</f>
        <v>48208439.17298156</v>
      </c>
      <c r="M482" s="269">
        <f>SUM(M479:M481)</f>
        <v>23244582.625540338</v>
      </c>
      <c r="N482" s="269">
        <f>SUM(N479:N481)</f>
        <v>20424072.953903593</v>
      </c>
      <c r="O482" s="269">
        <f>SUM(O479:O481)</f>
        <v>20424072.953903593</v>
      </c>
      <c r="P482" s="269"/>
      <c r="Q482" s="269"/>
      <c r="R482" s="269"/>
      <c r="S482" s="269"/>
      <c r="T482" s="168"/>
      <c r="U482" s="168"/>
    </row>
    <row r="483" spans="2:21" ht="15.75" customHeight="1" outlineLevel="1">
      <c r="B483" s="242"/>
      <c r="C483" s="310" t="s">
        <v>400</v>
      </c>
      <c r="D483" s="242"/>
      <c r="E483" s="242"/>
      <c r="F483" s="242"/>
      <c r="G483" s="167"/>
      <c r="H483" s="269">
        <v>1344971.3831815072</v>
      </c>
      <c r="I483" s="269">
        <v>5536313.1957326308</v>
      </c>
      <c r="J483" s="269">
        <v>5731686.4081579903</v>
      </c>
      <c r="K483" s="269">
        <f>IF(K475=0,0,K465/(K473/K475))</f>
        <v>10795308.489132712</v>
      </c>
      <c r="L483" s="269">
        <f>IF(L475=0,0,L465/(L473/L475))</f>
        <v>15095701.173288954</v>
      </c>
      <c r="M483" s="269">
        <f>IF(M475=0,0,M465/(M473/M475))</f>
        <v>7250389.4363557715</v>
      </c>
      <c r="N483" s="269">
        <f>IF(N475=0,0,N465/(N473/N475))</f>
        <v>9514642.7792105284</v>
      </c>
      <c r="O483" s="269">
        <f>N483</f>
        <v>9514642.7792105284</v>
      </c>
      <c r="P483" s="269"/>
      <c r="Q483" s="269"/>
      <c r="R483" s="269"/>
      <c r="S483" s="269"/>
      <c r="T483" s="168"/>
      <c r="U483" s="168"/>
    </row>
    <row r="484" spans="2:21" ht="15.75" customHeight="1" outlineLevel="1">
      <c r="B484" s="242"/>
      <c r="C484" s="353" t="s">
        <v>446</v>
      </c>
      <c r="D484" s="242"/>
      <c r="E484" s="242"/>
      <c r="F484" s="242"/>
      <c r="G484" s="167"/>
      <c r="H484" s="246">
        <v>1344971.3831815072</v>
      </c>
      <c r="I484" s="246">
        <v>5536313.1957326308</v>
      </c>
      <c r="J484" s="246">
        <v>5731686.4081579903</v>
      </c>
      <c r="K484" s="246">
        <f>SUM(K483)</f>
        <v>10795308.489132712</v>
      </c>
      <c r="L484" s="246">
        <f>SUM(L483)</f>
        <v>15095701.173288954</v>
      </c>
      <c r="M484" s="246">
        <f>SUM(M483)</f>
        <v>7250389.4363557715</v>
      </c>
      <c r="N484" s="246">
        <f>SUM(N483)</f>
        <v>9514642.7792105284</v>
      </c>
      <c r="O484" s="246">
        <f>SUM(O483)</f>
        <v>9514642.7792105284</v>
      </c>
      <c r="P484" s="246"/>
      <c r="Q484" s="246"/>
      <c r="R484" s="246"/>
      <c r="S484" s="246"/>
      <c r="T484" s="168"/>
      <c r="U484" s="168"/>
    </row>
    <row r="485" spans="2:21" ht="15.75" customHeight="1" outlineLevel="1">
      <c r="B485" s="215"/>
      <c r="C485" s="353"/>
      <c r="D485" s="242"/>
      <c r="E485" s="242"/>
      <c r="F485" s="242"/>
      <c r="G485" s="167"/>
      <c r="H485" s="167"/>
      <c r="I485" s="242"/>
      <c r="J485" s="242"/>
      <c r="K485" s="268"/>
      <c r="L485" s="268"/>
      <c r="M485" s="268"/>
      <c r="N485" s="268"/>
      <c r="O485" s="268"/>
      <c r="P485" s="268"/>
      <c r="Q485" s="268"/>
      <c r="R485" s="268"/>
      <c r="S485" s="268"/>
      <c r="T485" s="168"/>
      <c r="U485" s="168"/>
    </row>
    <row r="486" spans="2:21" ht="15.75" customHeight="1" outlineLevel="1">
      <c r="B486" s="242"/>
      <c r="C486" s="380" t="s">
        <v>401</v>
      </c>
      <c r="D486" s="242"/>
      <c r="E486" s="242"/>
      <c r="F486" s="242"/>
      <c r="G486" s="167"/>
      <c r="H486" s="269">
        <v>11928075.713720074</v>
      </c>
      <c r="I486" s="269">
        <v>8915920.230846161</v>
      </c>
      <c r="J486" s="269">
        <v>11178948.365972839</v>
      </c>
      <c r="K486" s="269">
        <f>K482-K484</f>
        <v>23501779.786695793</v>
      </c>
      <c r="L486" s="269">
        <f>L482-L484</f>
        <v>33112737.999692604</v>
      </c>
      <c r="M486" s="269">
        <f>M482-M484</f>
        <v>15994193.189184567</v>
      </c>
      <c r="N486" s="269">
        <f>N482-N484</f>
        <v>10909430.174693065</v>
      </c>
      <c r="O486" s="269">
        <f>O482-O484</f>
        <v>10909430.174693065</v>
      </c>
      <c r="P486" s="269"/>
      <c r="Q486" s="269"/>
      <c r="R486" s="269"/>
      <c r="S486" s="269"/>
      <c r="T486" s="168"/>
      <c r="U486" s="168"/>
    </row>
    <row r="487" spans="2:21" ht="15.75" customHeight="1" outlineLevel="1">
      <c r="B487" s="242"/>
      <c r="C487" s="380" t="s">
        <v>402</v>
      </c>
      <c r="D487" s="242"/>
      <c r="E487" s="242"/>
      <c r="F487" s="242"/>
      <c r="G487" s="167"/>
      <c r="H487" s="167"/>
      <c r="I487" s="269">
        <v>-3012155.4828739129</v>
      </c>
      <c r="J487" s="269">
        <v>2263028.1351266783</v>
      </c>
      <c r="K487" s="269">
        <f>K486-J486</f>
        <v>12322831.420722954</v>
      </c>
      <c r="L487" s="269">
        <f>L486-K486</f>
        <v>9610958.2129968107</v>
      </c>
      <c r="M487" s="269">
        <f>M486-L486</f>
        <v>-17118544.810508035</v>
      </c>
      <c r="N487" s="269">
        <f>N486-M486</f>
        <v>-5084763.0144915022</v>
      </c>
      <c r="O487" s="269">
        <f>O486-N486</f>
        <v>0</v>
      </c>
      <c r="P487" s="269"/>
      <c r="Q487" s="269"/>
      <c r="R487" s="269"/>
      <c r="S487" s="269"/>
      <c r="T487" s="168"/>
      <c r="U487" s="168"/>
    </row>
    <row r="488" spans="2:21" ht="15.75" customHeight="1" outlineLevel="1">
      <c r="B488" s="242"/>
      <c r="C488" s="353" t="s">
        <v>345</v>
      </c>
      <c r="D488" s="215"/>
      <c r="E488" s="271"/>
      <c r="F488" s="243"/>
      <c r="G488" s="167"/>
      <c r="H488" s="243">
        <v>2.5789169789532079E-2</v>
      </c>
      <c r="I488" s="243">
        <v>3.1569907561378972E-2</v>
      </c>
      <c r="J488" s="243">
        <v>0</v>
      </c>
      <c r="K488" s="293">
        <v>0</v>
      </c>
      <c r="L488" s="293">
        <f t="shared" ref="L488:O492" si="131">K488</f>
        <v>0</v>
      </c>
      <c r="M488" s="293">
        <f t="shared" si="131"/>
        <v>0</v>
      </c>
      <c r="N488" s="293">
        <f t="shared" si="131"/>
        <v>0</v>
      </c>
      <c r="O488" s="293">
        <f t="shared" si="131"/>
        <v>0</v>
      </c>
      <c r="P488" s="293"/>
      <c r="Q488" s="293"/>
      <c r="R488" s="293"/>
      <c r="S488" s="293"/>
      <c r="T488" s="168"/>
      <c r="U488" s="168"/>
    </row>
    <row r="489" spans="2:21" ht="15.75" customHeight="1" outlineLevel="1">
      <c r="B489" s="242"/>
      <c r="C489" s="353" t="s">
        <v>539</v>
      </c>
      <c r="D489" s="215"/>
      <c r="E489" s="293"/>
      <c r="F489" s="243"/>
      <c r="G489" s="167"/>
      <c r="H489" s="243">
        <v>4.5286265807737159E-7</v>
      </c>
      <c r="I489" s="243">
        <v>0</v>
      </c>
      <c r="J489" s="243">
        <v>0</v>
      </c>
      <c r="K489" s="293">
        <v>0</v>
      </c>
      <c r="L489" s="293">
        <f t="shared" si="131"/>
        <v>0</v>
      </c>
      <c r="M489" s="293">
        <f t="shared" si="131"/>
        <v>0</v>
      </c>
      <c r="N489" s="293">
        <f t="shared" si="131"/>
        <v>0</v>
      </c>
      <c r="O489" s="293">
        <f t="shared" si="131"/>
        <v>0</v>
      </c>
      <c r="P489" s="293"/>
      <c r="Q489" s="293"/>
      <c r="R489" s="293"/>
      <c r="S489" s="293"/>
      <c r="T489" s="168"/>
      <c r="U489" s="168"/>
    </row>
    <row r="490" spans="2:21" ht="15.75" customHeight="1" outlineLevel="1">
      <c r="B490" s="242"/>
      <c r="C490" s="353" t="s">
        <v>343</v>
      </c>
      <c r="D490" s="215"/>
      <c r="E490" s="215"/>
      <c r="F490" s="243"/>
      <c r="G490" s="167"/>
      <c r="H490" s="243">
        <v>1.0783565614138372E-2</v>
      </c>
      <c r="I490" s="243">
        <v>7.6385218911518976E-2</v>
      </c>
      <c r="J490" s="243">
        <v>7.8298716307436261E-2</v>
      </c>
      <c r="K490" s="293">
        <v>7.8298716307436261E-2</v>
      </c>
      <c r="L490" s="293">
        <f t="shared" si="131"/>
        <v>7.8298716307436261E-2</v>
      </c>
      <c r="M490" s="293">
        <f>L490</f>
        <v>7.8298716307436261E-2</v>
      </c>
      <c r="N490" s="293">
        <f t="shared" si="131"/>
        <v>7.8298716307436261E-2</v>
      </c>
      <c r="O490" s="293">
        <f t="shared" si="131"/>
        <v>7.8298716307436261E-2</v>
      </c>
      <c r="P490" s="293"/>
      <c r="Q490" s="293"/>
      <c r="R490" s="293"/>
      <c r="S490" s="293"/>
      <c r="T490" s="168"/>
      <c r="U490" s="168"/>
    </row>
    <row r="491" spans="2:21" ht="15.75" customHeight="1" outlineLevel="1">
      <c r="B491" s="242"/>
      <c r="C491" s="353" t="s">
        <v>498</v>
      </c>
      <c r="D491" s="242"/>
      <c r="E491" s="242"/>
      <c r="F491" s="242"/>
      <c r="G491" s="167"/>
      <c r="H491" s="243">
        <v>1.2526633985078176E-2</v>
      </c>
      <c r="I491" s="243">
        <v>6.511098860880407E-4</v>
      </c>
      <c r="J491" s="243">
        <v>6.511098860880407E-4</v>
      </c>
      <c r="K491" s="293">
        <v>6.511098860880407E-4</v>
      </c>
      <c r="L491" s="293">
        <f t="shared" si="131"/>
        <v>6.511098860880407E-4</v>
      </c>
      <c r="M491" s="293">
        <f t="shared" si="131"/>
        <v>6.511098860880407E-4</v>
      </c>
      <c r="N491" s="293">
        <f t="shared" si="131"/>
        <v>6.511098860880407E-4</v>
      </c>
      <c r="O491" s="293">
        <f t="shared" si="131"/>
        <v>6.511098860880407E-4</v>
      </c>
      <c r="P491" s="293"/>
      <c r="Q491" s="293"/>
      <c r="R491" s="293"/>
      <c r="S491" s="293"/>
      <c r="T491" s="168"/>
      <c r="U491" s="168"/>
    </row>
    <row r="492" spans="2:21" ht="15.75" customHeight="1" outlineLevel="1">
      <c r="B492" s="242"/>
      <c r="C492" s="353" t="s">
        <v>403</v>
      </c>
      <c r="D492" s="215"/>
      <c r="E492" s="215"/>
      <c r="F492" s="243"/>
      <c r="G492" s="167"/>
      <c r="H492" s="243">
        <v>1.9630237639679828E-2</v>
      </c>
      <c r="I492" s="243">
        <v>2.0796411796060999E-2</v>
      </c>
      <c r="J492" s="243">
        <v>2.0796411796060999E-2</v>
      </c>
      <c r="K492" s="293">
        <v>2.0796411796060999E-2</v>
      </c>
      <c r="L492" s="293">
        <f t="shared" si="131"/>
        <v>2.0796411796060999E-2</v>
      </c>
      <c r="M492" s="293">
        <f t="shared" si="131"/>
        <v>2.0796411796060999E-2</v>
      </c>
      <c r="N492" s="293">
        <f t="shared" si="131"/>
        <v>2.0796411796060999E-2</v>
      </c>
      <c r="O492" s="293">
        <f t="shared" si="131"/>
        <v>2.0796411796060999E-2</v>
      </c>
      <c r="P492" s="293"/>
      <c r="Q492" s="293"/>
      <c r="R492" s="293"/>
      <c r="S492" s="293"/>
      <c r="T492" s="168"/>
      <c r="U492" s="168"/>
    </row>
    <row r="493" spans="2:21" ht="15.75" customHeight="1" outlineLevel="1">
      <c r="B493" s="242"/>
      <c r="C493" s="242"/>
      <c r="D493" s="215"/>
      <c r="E493" s="215"/>
      <c r="F493" s="215"/>
      <c r="G493" s="167"/>
      <c r="H493" s="167"/>
      <c r="I493" s="242"/>
      <c r="J493" s="242"/>
      <c r="K493" s="222"/>
      <c r="L493" s="272"/>
      <c r="M493" s="272"/>
      <c r="N493" s="272"/>
      <c r="O493" s="272"/>
      <c r="P493" s="272"/>
      <c r="Q493" s="272"/>
      <c r="R493" s="272"/>
      <c r="S493" s="272"/>
      <c r="T493" s="168"/>
      <c r="U493" s="168"/>
    </row>
    <row r="494" spans="2:21" ht="15.75" customHeight="1" outlineLevel="1">
      <c r="B494" s="242"/>
      <c r="C494" s="353" t="s">
        <v>344</v>
      </c>
      <c r="D494" s="215"/>
      <c r="E494" s="215"/>
      <c r="F494" s="215"/>
      <c r="G494" s="167"/>
      <c r="H494" s="269">
        <v>1976161.9628989445</v>
      </c>
      <c r="I494" s="269">
        <v>2981822.6935375193</v>
      </c>
      <c r="J494" s="269">
        <v>0</v>
      </c>
      <c r="K494" s="269">
        <f>K372</f>
        <v>0</v>
      </c>
      <c r="L494" s="269">
        <f>L372</f>
        <v>0</v>
      </c>
      <c r="M494" s="269">
        <f>M372</f>
        <v>0</v>
      </c>
      <c r="N494" s="269">
        <f>N372</f>
        <v>0</v>
      </c>
      <c r="O494" s="269">
        <f>O372</f>
        <v>0</v>
      </c>
      <c r="P494" s="269"/>
      <c r="Q494" s="269"/>
      <c r="R494" s="269"/>
      <c r="S494" s="269"/>
      <c r="T494" s="168"/>
      <c r="U494" s="168"/>
    </row>
    <row r="495" spans="2:21" ht="15.75" customHeight="1" outlineLevel="1">
      <c r="B495" s="215"/>
      <c r="C495" s="353" t="s">
        <v>536</v>
      </c>
      <c r="D495" s="215"/>
      <c r="E495" s="215"/>
      <c r="F495" s="215"/>
      <c r="G495" s="167"/>
      <c r="H495" s="269">
        <v>34.701774683459085</v>
      </c>
      <c r="I495" s="269">
        <v>0</v>
      </c>
      <c r="J495" s="269">
        <v>0</v>
      </c>
      <c r="K495" s="269">
        <f t="shared" ref="K495:O496" si="132">K489*K$465</f>
        <v>0</v>
      </c>
      <c r="L495" s="269">
        <f t="shared" si="132"/>
        <v>0</v>
      </c>
      <c r="M495" s="269">
        <f>M489*M$465</f>
        <v>0</v>
      </c>
      <c r="N495" s="269">
        <f t="shared" si="132"/>
        <v>0</v>
      </c>
      <c r="O495" s="269">
        <f t="shared" si="132"/>
        <v>0</v>
      </c>
      <c r="P495" s="269"/>
      <c r="Q495" s="269"/>
      <c r="R495" s="269"/>
      <c r="S495" s="269"/>
      <c r="T495" s="168"/>
      <c r="U495" s="168"/>
    </row>
    <row r="496" spans="2:21" ht="15.75" customHeight="1" outlineLevel="1">
      <c r="B496" s="215"/>
      <c r="C496" s="353" t="s">
        <v>497</v>
      </c>
      <c r="D496" s="215"/>
      <c r="E496" s="215"/>
      <c r="F496" s="215"/>
      <c r="G496" s="167"/>
      <c r="H496" s="269">
        <v>826318.65876252775</v>
      </c>
      <c r="I496" s="269">
        <v>7214692.6232954003</v>
      </c>
      <c r="J496" s="269">
        <v>7656405.3479339546</v>
      </c>
      <c r="K496" s="269">
        <f t="shared" si="132"/>
        <v>14420408.19455003</v>
      </c>
      <c r="L496" s="269">
        <f t="shared" si="132"/>
        <v>20164886.730278455</v>
      </c>
      <c r="M496" s="269">
        <f>M490*M$465</f>
        <v>9731934.6102111991</v>
      </c>
      <c r="N496" s="269">
        <f t="shared" si="132"/>
        <v>10315167.448652338</v>
      </c>
      <c r="O496" s="269">
        <f>N496</f>
        <v>10315167.448652338</v>
      </c>
      <c r="P496" s="269"/>
      <c r="Q496" s="269"/>
      <c r="R496" s="269"/>
      <c r="S496" s="269"/>
      <c r="T496" s="168"/>
      <c r="U496" s="168"/>
    </row>
    <row r="497" spans="2:21" ht="15.75" customHeight="1" outlineLevel="1">
      <c r="B497" s="215"/>
      <c r="C497" s="242" t="s">
        <v>404</v>
      </c>
      <c r="D497" s="242"/>
      <c r="E497" s="242"/>
      <c r="F497" s="242"/>
      <c r="G497" s="167"/>
      <c r="H497" s="269">
        <v>2802515.3234361559</v>
      </c>
      <c r="I497" s="269">
        <v>10196515.316832919</v>
      </c>
      <c r="J497" s="269">
        <v>7656405.3479339546</v>
      </c>
      <c r="K497" s="269">
        <f>SUM(K494:K496)</f>
        <v>14420408.19455003</v>
      </c>
      <c r="L497" s="269">
        <f>SUM(L494:L496)</f>
        <v>20164886.730278455</v>
      </c>
      <c r="M497" s="269">
        <f>SUM(M494:M496)</f>
        <v>9731934.6102111991</v>
      </c>
      <c r="N497" s="269">
        <f>SUM(N494:N496)</f>
        <v>10315167.448652338</v>
      </c>
      <c r="O497" s="269">
        <f>SUM(O494:O496)</f>
        <v>10315167.448652338</v>
      </c>
      <c r="P497" s="269"/>
      <c r="Q497" s="269"/>
      <c r="R497" s="269"/>
      <c r="S497" s="269"/>
      <c r="T497" s="168"/>
      <c r="U497" s="168"/>
    </row>
    <row r="498" spans="2:21" ht="15.75" customHeight="1" outlineLevel="1">
      <c r="B498" s="215"/>
      <c r="C498" s="390" t="s">
        <v>405</v>
      </c>
      <c r="D498" s="215"/>
      <c r="E498" s="215"/>
      <c r="F498" s="215"/>
      <c r="G498" s="167"/>
      <c r="H498" s="167"/>
      <c r="I498" s="269">
        <v>7393999.9933967628</v>
      </c>
      <c r="J498" s="269">
        <v>-2540109.9688989641</v>
      </c>
      <c r="K498" s="269">
        <f>K497-J497</f>
        <v>6764002.8466160754</v>
      </c>
      <c r="L498" s="269">
        <f>L497-K497</f>
        <v>5744478.5357284248</v>
      </c>
      <c r="M498" s="269">
        <f>M497-L497</f>
        <v>-10432952.120067256</v>
      </c>
      <c r="N498" s="269">
        <f>N497-M497</f>
        <v>583232.83844113909</v>
      </c>
      <c r="O498" s="269">
        <f>O497-N497</f>
        <v>0</v>
      </c>
      <c r="P498" s="269"/>
      <c r="Q498" s="269"/>
      <c r="R498" s="269"/>
      <c r="S498" s="269"/>
      <c r="T498" s="168"/>
      <c r="U498" s="168"/>
    </row>
    <row r="499" spans="2:21" ht="15.75" customHeight="1" outlineLevel="1">
      <c r="B499" s="215"/>
      <c r="C499" s="353" t="s">
        <v>406</v>
      </c>
      <c r="D499" s="215"/>
      <c r="E499" s="248"/>
      <c r="F499" s="248"/>
      <c r="G499" s="167"/>
      <c r="H499" s="269">
        <v>959885.7895191618</v>
      </c>
      <c r="I499" s="269">
        <v>61498.255278361175</v>
      </c>
      <c r="J499" s="269">
        <v>63668.492269568502</v>
      </c>
      <c r="K499" s="269">
        <f t="shared" ref="K499:N500" si="133">K491*K$291</f>
        <v>119916.01880201952</v>
      </c>
      <c r="L499" s="269">
        <f>L491*L$291</f>
        <v>167685.47073463188</v>
      </c>
      <c r="M499" s="269">
        <f t="shared" si="133"/>
        <v>80928.004114277835</v>
      </c>
      <c r="N499" s="269">
        <f t="shared" si="133"/>
        <v>85778.002746556158</v>
      </c>
      <c r="O499" s="269">
        <f>N499</f>
        <v>85778.002746556158</v>
      </c>
      <c r="P499" s="269"/>
      <c r="Q499" s="269"/>
      <c r="R499" s="269"/>
      <c r="S499" s="269"/>
      <c r="T499" s="168"/>
      <c r="U499" s="168"/>
    </row>
    <row r="500" spans="2:21" ht="15.75" customHeight="1" outlineLevel="1">
      <c r="B500" s="215"/>
      <c r="C500" s="353" t="s">
        <v>389</v>
      </c>
      <c r="D500" s="215"/>
      <c r="E500" s="249"/>
      <c r="F500" s="270"/>
      <c r="G500" s="167"/>
      <c r="H500" s="269">
        <v>1504217.827203901</v>
      </c>
      <c r="I500" s="269">
        <v>1964250.6876867583</v>
      </c>
      <c r="J500" s="269">
        <v>2033567.9306414896</v>
      </c>
      <c r="K500" s="269">
        <f t="shared" si="133"/>
        <v>3830110.648348819</v>
      </c>
      <c r="L500" s="269">
        <f>L492*L$291</f>
        <v>5355864.1576856747</v>
      </c>
      <c r="M500" s="269">
        <f>M492*M$291</f>
        <v>2584835.7325759754</v>
      </c>
      <c r="N500" s="269">
        <f t="shared" si="133"/>
        <v>2739744.4060921911</v>
      </c>
      <c r="O500" s="269">
        <f>N500</f>
        <v>2739744.4060921911</v>
      </c>
      <c r="P500" s="269"/>
      <c r="Q500" s="269"/>
      <c r="R500" s="269"/>
      <c r="S500" s="269"/>
      <c r="T500" s="168"/>
      <c r="U500" s="168"/>
    </row>
    <row r="501" spans="2:21" ht="15.75" customHeight="1" outlineLevel="1">
      <c r="B501" s="242"/>
      <c r="C501" s="242" t="s">
        <v>407</v>
      </c>
      <c r="D501" s="356"/>
      <c r="E501" s="391"/>
      <c r="F501" s="271"/>
      <c r="G501" s="392"/>
      <c r="H501" s="269">
        <v>2464103.6167230629</v>
      </c>
      <c r="I501" s="269">
        <v>2025748.9429651196</v>
      </c>
      <c r="J501" s="269">
        <v>2097236.4229110582</v>
      </c>
      <c r="K501" s="269">
        <f>SUM(K499:K500)</f>
        <v>3950026.6671508383</v>
      </c>
      <c r="L501" s="269">
        <f>SUM(L499:L500)</f>
        <v>5523549.6284203064</v>
      </c>
      <c r="M501" s="269">
        <f>SUM(M499:M500)</f>
        <v>2665763.736690253</v>
      </c>
      <c r="N501" s="269">
        <f>SUM(N499:N500)</f>
        <v>2825522.4088387471</v>
      </c>
      <c r="O501" s="269">
        <f>SUM(O499:O500)</f>
        <v>2825522.4088387471</v>
      </c>
      <c r="P501" s="269"/>
      <c r="Q501" s="269"/>
      <c r="R501" s="269"/>
      <c r="S501" s="269"/>
      <c r="T501" s="168"/>
      <c r="U501" s="168"/>
    </row>
    <row r="502" spans="2:21" ht="15.75" customHeight="1" outlineLevel="1">
      <c r="B502" s="242"/>
      <c r="C502" s="390" t="s">
        <v>408</v>
      </c>
      <c r="D502" s="356"/>
      <c r="E502" s="391"/>
      <c r="F502" s="272"/>
      <c r="G502" s="167"/>
      <c r="H502" s="167"/>
      <c r="I502" s="269">
        <v>-438354.67375794332</v>
      </c>
      <c r="J502" s="269">
        <v>71487.479945938569</v>
      </c>
      <c r="K502" s="269">
        <f>K501-J501</f>
        <v>1852790.2442397801</v>
      </c>
      <c r="L502" s="269">
        <f>L501-K501</f>
        <v>1573522.9612694681</v>
      </c>
      <c r="M502" s="269">
        <f>M501-L501</f>
        <v>-2857785.8917300534</v>
      </c>
      <c r="N502" s="269">
        <f>N501-M501</f>
        <v>159758.67214849405</v>
      </c>
      <c r="O502" s="269">
        <f>O501-N501</f>
        <v>0</v>
      </c>
      <c r="P502" s="269"/>
      <c r="Q502" s="269"/>
      <c r="R502" s="269"/>
      <c r="S502" s="269"/>
      <c r="T502" s="168"/>
      <c r="U502" s="168"/>
    </row>
    <row r="503" spans="2:21" ht="15.75" customHeight="1" outlineLevel="1">
      <c r="B503" s="242"/>
      <c r="C503" s="353" t="s">
        <v>409</v>
      </c>
      <c r="D503" s="269"/>
      <c r="E503" s="269">
        <f t="shared" ref="E503:K503" si="134">E498-E502</f>
        <v>0</v>
      </c>
      <c r="F503" s="269">
        <f t="shared" si="134"/>
        <v>0</v>
      </c>
      <c r="G503" s="269">
        <f t="shared" si="134"/>
        <v>0</v>
      </c>
      <c r="H503" s="269">
        <f t="shared" si="134"/>
        <v>0</v>
      </c>
      <c r="I503" s="269">
        <f t="shared" si="134"/>
        <v>7832354.6671547061</v>
      </c>
      <c r="J503" s="269">
        <f t="shared" si="134"/>
        <v>-2611597.4488449027</v>
      </c>
      <c r="K503" s="269">
        <f t="shared" si="134"/>
        <v>4911212.6023762953</v>
      </c>
      <c r="L503" s="269">
        <f>L498-L502</f>
        <v>4170955.5744589567</v>
      </c>
      <c r="M503" s="269">
        <f>M498-M502</f>
        <v>-7575166.2283372022</v>
      </c>
      <c r="N503" s="269">
        <f>N498-N502</f>
        <v>423474.16629264504</v>
      </c>
      <c r="O503" s="269">
        <f>O498-O502</f>
        <v>0</v>
      </c>
      <c r="P503" s="269"/>
      <c r="Q503" s="269"/>
      <c r="R503" s="269"/>
      <c r="S503" s="269"/>
      <c r="T503" s="168"/>
      <c r="U503" s="168"/>
    </row>
    <row r="504" spans="2:21" ht="15.75" customHeight="1">
      <c r="B504" s="242"/>
      <c r="C504" s="353"/>
      <c r="D504" s="242"/>
      <c r="E504" s="242"/>
      <c r="F504" s="242"/>
      <c r="G504" s="167"/>
      <c r="H504" s="167"/>
      <c r="I504" s="242"/>
      <c r="J504" s="242"/>
      <c r="K504" s="393"/>
      <c r="L504" s="393"/>
      <c r="M504" s="215"/>
      <c r="N504" s="215"/>
      <c r="O504" s="215"/>
      <c r="P504" s="215"/>
      <c r="Q504" s="215"/>
      <c r="R504" s="215"/>
      <c r="S504" s="215"/>
      <c r="T504" s="168"/>
      <c r="U504" s="168"/>
    </row>
    <row r="505" spans="2:21" ht="15.75" customHeight="1">
      <c r="B505" s="215"/>
      <c r="C505" s="168"/>
      <c r="D505" s="168"/>
      <c r="E505" s="168"/>
      <c r="F505" s="168"/>
      <c r="G505" s="167"/>
      <c r="H505" s="167"/>
      <c r="I505" s="254"/>
      <c r="J505" s="254"/>
      <c r="K505" s="367"/>
      <c r="L505" s="368"/>
      <c r="M505" s="215"/>
      <c r="N505" s="742"/>
      <c r="O505" s="742"/>
      <c r="P505" s="742"/>
      <c r="Q505" s="742"/>
      <c r="R505" s="742"/>
      <c r="S505" s="742"/>
      <c r="T505" s="168"/>
      <c r="U505" s="168"/>
    </row>
    <row r="506" spans="2:21" ht="15.75" customHeight="1">
      <c r="B506" s="242"/>
      <c r="C506" s="254"/>
      <c r="D506" s="254"/>
      <c r="E506" s="254"/>
      <c r="F506" s="254"/>
      <c r="G506" s="167"/>
      <c r="H506" s="167"/>
      <c r="I506" s="254"/>
      <c r="J506" s="254"/>
      <c r="K506" s="255"/>
      <c r="L506" s="255"/>
      <c r="M506" s="215"/>
      <c r="N506" s="215"/>
      <c r="O506" s="215"/>
      <c r="P506" s="215"/>
      <c r="Q506" s="215"/>
      <c r="R506" s="215"/>
      <c r="S506" s="215"/>
      <c r="T506" s="168"/>
      <c r="U506" s="168"/>
    </row>
    <row r="507" spans="2:21" ht="27" outlineLevel="1">
      <c r="B507" s="242"/>
      <c r="C507" s="366" t="s">
        <v>313</v>
      </c>
      <c r="D507" s="168"/>
      <c r="E507" s="168"/>
      <c r="F507" s="168"/>
      <c r="G507" s="167"/>
      <c r="H507" s="167"/>
      <c r="I507" s="254"/>
      <c r="J507" s="254"/>
      <c r="K507" s="367"/>
      <c r="L507" s="368"/>
      <c r="M507" s="367"/>
      <c r="N507" s="368"/>
      <c r="O507" s="368"/>
      <c r="P507" s="368"/>
      <c r="Q507" s="368"/>
      <c r="R507" s="368"/>
      <c r="S507" s="368"/>
      <c r="T507" s="168"/>
      <c r="U507" s="168"/>
    </row>
    <row r="508" spans="2:21" ht="3" customHeight="1" outlineLevel="1">
      <c r="B508" s="242"/>
      <c r="C508" s="229"/>
      <c r="D508" s="229"/>
      <c r="E508" s="229"/>
      <c r="F508" s="229"/>
      <c r="G508" s="300"/>
      <c r="H508" s="300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168"/>
      <c r="U508" s="168"/>
    </row>
    <row r="509" spans="2:21" ht="15.75" customHeight="1" outlineLevel="1">
      <c r="B509" s="242"/>
      <c r="C509" s="168"/>
      <c r="D509" s="168"/>
      <c r="E509" s="168"/>
      <c r="F509" s="168"/>
      <c r="G509" s="167"/>
      <c r="H509" s="167"/>
      <c r="I509" s="254"/>
      <c r="J509" s="254"/>
      <c r="K509" s="367"/>
      <c r="L509" s="368"/>
      <c r="M509" s="367"/>
      <c r="N509" s="368"/>
      <c r="O509" s="368"/>
      <c r="P509" s="368"/>
      <c r="Q509" s="368"/>
      <c r="R509" s="368"/>
      <c r="S509" s="368"/>
      <c r="T509" s="168"/>
      <c r="U509" s="168"/>
    </row>
    <row r="510" spans="2:21" ht="15.75" customHeight="1" outlineLevel="1">
      <c r="B510" s="242"/>
      <c r="C510" s="313"/>
      <c r="D510" s="168"/>
      <c r="E510" s="168"/>
      <c r="F510" s="168"/>
      <c r="G510" s="167"/>
      <c r="H510" s="167"/>
      <c r="I510" s="254"/>
      <c r="J510" s="230"/>
      <c r="K510" s="231"/>
      <c r="L510" s="232"/>
      <c r="M510" s="231"/>
      <c r="N510" s="232"/>
      <c r="O510" s="232"/>
      <c r="P510" s="232"/>
      <c r="Q510" s="232"/>
      <c r="R510" s="232"/>
      <c r="S510" s="232"/>
      <c r="T510" s="168"/>
      <c r="U510" s="168"/>
    </row>
    <row r="511" spans="2:21" ht="15.75" customHeight="1" outlineLevel="1">
      <c r="B511" s="242"/>
      <c r="C511" s="348"/>
      <c r="D511" s="233"/>
      <c r="E511" s="233"/>
      <c r="F511" s="233"/>
      <c r="G511" s="338"/>
      <c r="H511" s="174">
        <v>0</v>
      </c>
      <c r="I511" s="174">
        <v>0</v>
      </c>
      <c r="J511" s="174">
        <v>1</v>
      </c>
      <c r="K511" s="174">
        <v>2</v>
      </c>
      <c r="L511" s="175">
        <f t="shared" ref="L511:S513" si="135">L287</f>
        <v>3</v>
      </c>
      <c r="M511" s="175">
        <f t="shared" si="135"/>
        <v>4</v>
      </c>
      <c r="N511" s="175">
        <f t="shared" si="135"/>
        <v>5</v>
      </c>
      <c r="O511" s="175">
        <f t="shared" si="135"/>
        <v>6</v>
      </c>
      <c r="P511" s="175">
        <f t="shared" si="135"/>
        <v>7</v>
      </c>
      <c r="Q511" s="175">
        <f t="shared" si="135"/>
        <v>8</v>
      </c>
      <c r="R511" s="175">
        <f t="shared" si="135"/>
        <v>9</v>
      </c>
      <c r="S511" s="175">
        <f t="shared" si="135"/>
        <v>10</v>
      </c>
      <c r="T511" s="168"/>
      <c r="U511" s="168"/>
    </row>
    <row r="512" spans="2:21" ht="15.75" customHeight="1" outlineLevel="1">
      <c r="B512" s="242"/>
      <c r="C512" s="349"/>
      <c r="D512" s="234"/>
      <c r="E512" s="234"/>
      <c r="F512" s="234"/>
      <c r="G512" s="325"/>
      <c r="H512" s="176"/>
      <c r="I512" s="176"/>
      <c r="J512" s="176"/>
      <c r="K512" s="176"/>
      <c r="L512" s="176"/>
      <c r="M512" s="176"/>
      <c r="N512" s="176"/>
      <c r="O512" s="176"/>
      <c r="P512" s="176"/>
      <c r="Q512" s="176"/>
      <c r="R512" s="176"/>
      <c r="S512" s="176"/>
      <c r="T512" s="168"/>
      <c r="U512" s="168"/>
    </row>
    <row r="513" spans="2:21" ht="15.75" customHeight="1" outlineLevel="1">
      <c r="B513" s="242"/>
      <c r="C513" s="359"/>
      <c r="D513" s="260"/>
      <c r="E513" s="235"/>
      <c r="F513" s="235"/>
      <c r="G513" s="326"/>
      <c r="H513" s="213" t="s">
        <v>499</v>
      </c>
      <c r="I513" s="213" t="s">
        <v>499</v>
      </c>
      <c r="J513" s="213" t="s">
        <v>499</v>
      </c>
      <c r="K513" s="213" t="s">
        <v>499</v>
      </c>
      <c r="L513" s="213" t="str">
        <f t="shared" si="135"/>
        <v>($)</v>
      </c>
      <c r="M513" s="213" t="str">
        <f t="shared" si="135"/>
        <v>($)</v>
      </c>
      <c r="N513" s="213" t="str">
        <f t="shared" si="135"/>
        <v>($)</v>
      </c>
      <c r="O513" s="213" t="str">
        <f t="shared" si="135"/>
        <v>($)</v>
      </c>
      <c r="P513" s="213" t="str">
        <f t="shared" si="135"/>
        <v>($)</v>
      </c>
      <c r="Q513" s="213" t="str">
        <f t="shared" si="135"/>
        <v>($)</v>
      </c>
      <c r="R513" s="213" t="str">
        <f t="shared" si="135"/>
        <v>($)</v>
      </c>
      <c r="S513" s="213" t="str">
        <f t="shared" si="135"/>
        <v>($)</v>
      </c>
      <c r="T513" s="168"/>
      <c r="U513" s="168"/>
    </row>
    <row r="514" spans="2:21" ht="15.75" customHeight="1" outlineLevel="1">
      <c r="B514" s="242"/>
      <c r="C514" s="237"/>
      <c r="D514" s="237"/>
      <c r="E514" s="237"/>
      <c r="F514" s="237"/>
      <c r="G514" s="305"/>
      <c r="H514" s="305"/>
      <c r="I514" s="276"/>
      <c r="J514" s="288"/>
      <c r="K514" s="288"/>
      <c r="L514" s="288"/>
      <c r="M514" s="215"/>
      <c r="N514" s="215"/>
      <c r="O514" s="215"/>
      <c r="P514" s="215"/>
      <c r="Q514" s="215"/>
      <c r="R514" s="215"/>
      <c r="S514" s="215"/>
      <c r="T514" s="168"/>
      <c r="U514" s="168"/>
    </row>
    <row r="515" spans="2:21" ht="15.75" customHeight="1" outlineLevel="1">
      <c r="B515" s="215"/>
      <c r="C515" s="242" t="s">
        <v>298</v>
      </c>
      <c r="D515" s="242"/>
      <c r="E515" s="242"/>
      <c r="F515" s="242"/>
      <c r="G515" s="167"/>
      <c r="H515" s="269">
        <v>76627591.311647266</v>
      </c>
      <c r="I515" s="269">
        <v>94451423.012252659</v>
      </c>
      <c r="J515" s="269">
        <v>97784557.768117622</v>
      </c>
      <c r="K515" s="269">
        <f t="shared" ref="K515:R515" si="136">K291</f>
        <v>184171706.44189069</v>
      </c>
      <c r="L515" s="269">
        <f t="shared" si="136"/>
        <v>257537896.93182153</v>
      </c>
      <c r="M515" s="269">
        <f t="shared" si="136"/>
        <v>124292390.33752751</v>
      </c>
      <c r="N515" s="269">
        <f t="shared" si="136"/>
        <v>131741207.71214579</v>
      </c>
      <c r="O515" s="269">
        <f t="shared" si="136"/>
        <v>38342638.134463273</v>
      </c>
      <c r="P515" s="269">
        <f t="shared" si="136"/>
        <v>0</v>
      </c>
      <c r="Q515" s="269">
        <f t="shared" si="136"/>
        <v>0</v>
      </c>
      <c r="R515" s="269">
        <f t="shared" si="136"/>
        <v>0</v>
      </c>
      <c r="S515" s="269">
        <f>S291</f>
        <v>0</v>
      </c>
      <c r="T515" s="168"/>
      <c r="U515" s="168"/>
    </row>
    <row r="516" spans="2:21" ht="15.75" customHeight="1" outlineLevel="1">
      <c r="B516" s="215"/>
      <c r="C516" s="242" t="s">
        <v>337</v>
      </c>
      <c r="D516" s="242"/>
      <c r="E516" s="242"/>
      <c r="F516" s="242"/>
      <c r="G516" s="167"/>
      <c r="H516" s="239">
        <v>1263566.5092214087</v>
      </c>
      <c r="I516" s="239">
        <v>1425039.7674331162</v>
      </c>
      <c r="J516" s="239">
        <v>5612877</v>
      </c>
      <c r="K516" s="239">
        <v>3036937.4297526409</v>
      </c>
      <c r="L516" s="239">
        <v>10480307.320997586</v>
      </c>
      <c r="M516" s="239">
        <v>1626355.6116015133</v>
      </c>
      <c r="N516" s="239">
        <v>1415032.8947368423</v>
      </c>
      <c r="O516" s="239">
        <v>2270819.4444444445</v>
      </c>
      <c r="P516" s="239">
        <f>P515*P517</f>
        <v>0</v>
      </c>
      <c r="Q516" s="239">
        <f>Q515*Q517</f>
        <v>0</v>
      </c>
      <c r="R516" s="239">
        <f>R515*R517</f>
        <v>0</v>
      </c>
      <c r="S516" s="239">
        <f>S515*S517</f>
        <v>0</v>
      </c>
      <c r="T516" s="168"/>
      <c r="U516" s="168"/>
    </row>
    <row r="517" spans="2:21" ht="15.75" customHeight="1" outlineLevel="1">
      <c r="B517" s="215"/>
      <c r="C517" s="242" t="s">
        <v>314</v>
      </c>
      <c r="D517" s="242"/>
      <c r="E517" s="242"/>
      <c r="F517" s="242"/>
      <c r="G517" s="167"/>
      <c r="H517" s="274">
        <v>1.6489706743912081E-2</v>
      </c>
      <c r="I517" s="394">
        <v>1.508754153178035E-2</v>
      </c>
      <c r="J517" s="394">
        <v>0</v>
      </c>
      <c r="K517" s="274">
        <f>K516/K515</f>
        <v>1.6489706743912081E-2</v>
      </c>
      <c r="L517" s="274">
        <f>L516/L515</f>
        <v>4.0694233531665659E-2</v>
      </c>
      <c r="M517" s="274">
        <f>M516/M515</f>
        <v>1.3084917002440728E-2</v>
      </c>
      <c r="N517" s="274">
        <f>N516/N515</f>
        <v>1.0741004423070764E-2</v>
      </c>
      <c r="O517" s="274">
        <f>O516/O515</f>
        <v>5.9224392345694599E-2</v>
      </c>
      <c r="P517" s="274"/>
      <c r="Q517" s="274"/>
      <c r="R517" s="274"/>
      <c r="S517" s="274"/>
      <c r="T517" s="168"/>
      <c r="U517" s="168"/>
    </row>
    <row r="518" spans="2:21" ht="7.5" customHeight="1" outlineLevel="1">
      <c r="B518" s="242"/>
      <c r="C518" s="242"/>
      <c r="D518" s="242"/>
      <c r="E518" s="242"/>
      <c r="F518" s="242"/>
      <c r="G518" s="167"/>
      <c r="H518" s="167"/>
      <c r="I518" s="275"/>
      <c r="J518" s="246"/>
      <c r="K518" s="246"/>
      <c r="L518" s="246"/>
      <c r="M518" s="215"/>
      <c r="N518" s="215"/>
      <c r="O518" s="215"/>
      <c r="P518" s="215"/>
      <c r="Q518" s="215"/>
      <c r="R518" s="215"/>
      <c r="S518" s="215"/>
      <c r="T518" s="168"/>
      <c r="U518" s="168"/>
    </row>
    <row r="519" spans="2:21" ht="15.75" customHeight="1" outlineLevel="1">
      <c r="B519" s="242"/>
      <c r="C519" s="242" t="s">
        <v>269</v>
      </c>
      <c r="D519" s="242"/>
      <c r="E519" s="242"/>
      <c r="F519" s="242"/>
      <c r="G519" s="167"/>
      <c r="H519" s="167"/>
      <c r="I519" s="246">
        <v>20948038.603642229</v>
      </c>
      <c r="J519" s="246">
        <v>20549785</v>
      </c>
      <c r="K519" s="246">
        <v>20738046.736763783</v>
      </c>
      <c r="L519" s="246">
        <f t="shared" ref="L519:S519" si="137">K523</f>
        <v>19908524.867293231</v>
      </c>
      <c r="M519" s="246">
        <f t="shared" si="137"/>
        <v>19079002.99782268</v>
      </c>
      <c r="N519" s="246">
        <f t="shared" si="137"/>
        <v>17623561.128352128</v>
      </c>
      <c r="O519" s="246">
        <f>N523</f>
        <v>16820119.258881576</v>
      </c>
      <c r="P519" s="246"/>
      <c r="Q519" s="246">
        <f t="shared" si="137"/>
        <v>0</v>
      </c>
      <c r="R519" s="246">
        <f t="shared" si="137"/>
        <v>0</v>
      </c>
      <c r="S519" s="246">
        <f t="shared" si="137"/>
        <v>0</v>
      </c>
      <c r="T519" s="168"/>
      <c r="U519" s="168"/>
    </row>
    <row r="520" spans="2:21" ht="15.75" customHeight="1" outlineLevel="2">
      <c r="B520" s="242"/>
      <c r="C520" s="353" t="s">
        <v>281</v>
      </c>
      <c r="D520" s="242"/>
      <c r="E520" s="242"/>
      <c r="F520" s="242"/>
      <c r="G520" s="167"/>
      <c r="H520" s="167"/>
      <c r="I520" s="269">
        <v>1425039.7674331162</v>
      </c>
      <c r="J520" s="269">
        <v>2599332.0589355701</v>
      </c>
      <c r="K520" s="269">
        <v>0</v>
      </c>
      <c r="L520" s="269">
        <v>0</v>
      </c>
      <c r="M520" s="269">
        <v>-652000</v>
      </c>
      <c r="N520" s="269">
        <v>0</v>
      </c>
      <c r="O520" s="269">
        <v>0</v>
      </c>
      <c r="P520" s="269">
        <v>0</v>
      </c>
      <c r="Q520" s="269">
        <v>0</v>
      </c>
      <c r="R520" s="269">
        <v>0</v>
      </c>
      <c r="S520" s="269">
        <v>0</v>
      </c>
      <c r="T520" s="168"/>
      <c r="U520" s="168"/>
    </row>
    <row r="521" spans="2:21" ht="15.75" customHeight="1" outlineLevel="1">
      <c r="B521" s="242"/>
      <c r="C521" s="353" t="s">
        <v>186</v>
      </c>
      <c r="D521" s="242"/>
      <c r="E521" s="242"/>
      <c r="F521" s="242"/>
      <c r="G521" s="167"/>
      <c r="H521" s="167"/>
      <c r="I521" s="246">
        <v>-1424035.7142857143</v>
      </c>
      <c r="J521" s="246">
        <v>-2199319.4379542698</v>
      </c>
      <c r="K521" s="246">
        <f>-K532</f>
        <v>-829521.86947055126</v>
      </c>
      <c r="L521" s="246">
        <f>-L532</f>
        <v>-829521.86947055126</v>
      </c>
      <c r="M521" s="246">
        <f>-M532</f>
        <v>-803441.86947055126</v>
      </c>
      <c r="N521" s="246">
        <f>-N532</f>
        <v>-803441.86947055126</v>
      </c>
      <c r="O521" s="246">
        <f>-O532</f>
        <v>-334767.4456127297</v>
      </c>
      <c r="P521" s="246"/>
      <c r="Q521" s="246"/>
      <c r="R521" s="246"/>
      <c r="S521" s="246"/>
      <c r="T521" s="168"/>
      <c r="U521" s="168"/>
    </row>
    <row r="522" spans="2:21" ht="15.75" customHeight="1" outlineLevel="2">
      <c r="B522" s="242"/>
      <c r="C522" s="353" t="s">
        <v>186</v>
      </c>
      <c r="D522" s="242"/>
      <c r="E522" s="242"/>
      <c r="F522" s="242"/>
      <c r="G522" s="167"/>
      <c r="H522" s="167"/>
      <c r="I522" s="246">
        <v>-399257.65678963438</v>
      </c>
      <c r="J522" s="239">
        <v>-211750.884217518</v>
      </c>
      <c r="K522" s="239">
        <v>0</v>
      </c>
      <c r="L522" s="239">
        <f t="shared" ref="L522:S522" si="138">K522</f>
        <v>0</v>
      </c>
      <c r="M522" s="239">
        <f t="shared" si="138"/>
        <v>0</v>
      </c>
      <c r="N522" s="239">
        <f t="shared" si="138"/>
        <v>0</v>
      </c>
      <c r="O522" s="239">
        <f t="shared" si="138"/>
        <v>0</v>
      </c>
      <c r="P522" s="239">
        <f t="shared" si="138"/>
        <v>0</v>
      </c>
      <c r="Q522" s="239">
        <f t="shared" si="138"/>
        <v>0</v>
      </c>
      <c r="R522" s="239">
        <f t="shared" si="138"/>
        <v>0</v>
      </c>
      <c r="S522" s="239">
        <f t="shared" si="138"/>
        <v>0</v>
      </c>
      <c r="T522" s="168"/>
      <c r="U522" s="168"/>
    </row>
    <row r="523" spans="2:21" ht="15.75" customHeight="1" outlineLevel="1">
      <c r="B523" s="242"/>
      <c r="C523" s="242" t="s">
        <v>282</v>
      </c>
      <c r="D523" s="246"/>
      <c r="E523" s="246">
        <f t="shared" ref="E523:J523" si="139">SUM(E519:E522)</f>
        <v>0</v>
      </c>
      <c r="F523" s="246">
        <f t="shared" si="139"/>
        <v>0</v>
      </c>
      <c r="G523" s="246">
        <f t="shared" si="139"/>
        <v>0</v>
      </c>
      <c r="H523" s="246">
        <f t="shared" si="139"/>
        <v>0</v>
      </c>
      <c r="I523" s="246">
        <f t="shared" si="139"/>
        <v>20549785</v>
      </c>
      <c r="J523" s="246">
        <f t="shared" si="139"/>
        <v>20738046.736763783</v>
      </c>
      <c r="K523" s="246">
        <f t="shared" ref="K523:Q523" si="140">SUM(K519:K522)</f>
        <v>19908524.867293231</v>
      </c>
      <c r="L523" s="246">
        <f t="shared" si="140"/>
        <v>19079002.99782268</v>
      </c>
      <c r="M523" s="246">
        <f>SUM(M519:M522)</f>
        <v>17623561.128352128</v>
      </c>
      <c r="N523" s="246">
        <f>SUM(N519:N522)</f>
        <v>16820119.258881576</v>
      </c>
      <c r="O523" s="246">
        <f t="shared" si="140"/>
        <v>16485351.813268846</v>
      </c>
      <c r="P523" s="246">
        <f t="shared" si="140"/>
        <v>0</v>
      </c>
      <c r="Q523" s="246">
        <f t="shared" si="140"/>
        <v>0</v>
      </c>
      <c r="R523" s="246">
        <f>SUM(R519:R522)</f>
        <v>0</v>
      </c>
      <c r="S523" s="246">
        <f>SUM(S519:S522)</f>
        <v>0</v>
      </c>
      <c r="T523" s="168"/>
      <c r="U523" s="168"/>
    </row>
    <row r="524" spans="2:21" ht="6.75" customHeight="1" outlineLevel="1">
      <c r="B524" s="242"/>
      <c r="C524" s="242"/>
      <c r="D524" s="242"/>
      <c r="E524" s="242"/>
      <c r="F524" s="288"/>
      <c r="G524" s="167"/>
      <c r="H524" s="167"/>
      <c r="I524" s="246"/>
      <c r="J524" s="246"/>
      <c r="K524" s="246"/>
      <c r="L524" s="246"/>
      <c r="M524" s="215"/>
      <c r="N524" s="215"/>
      <c r="O524" s="215"/>
      <c r="P524" s="215"/>
      <c r="Q524" s="215"/>
      <c r="R524" s="215"/>
      <c r="S524" s="215"/>
      <c r="T524" s="168"/>
      <c r="U524" s="168"/>
    </row>
    <row r="525" spans="2:21" ht="15.75" customHeight="1" outlineLevel="1">
      <c r="B525" s="242"/>
      <c r="C525" s="242" t="s">
        <v>171</v>
      </c>
      <c r="D525" s="242"/>
      <c r="E525" s="242"/>
      <c r="F525" s="242"/>
      <c r="G525" s="167"/>
      <c r="H525" s="167"/>
      <c r="I525" s="246">
        <v>0</v>
      </c>
      <c r="J525" s="246">
        <v>50749327.000001602</v>
      </c>
      <c r="K525" s="246">
        <v>55962191.212750152</v>
      </c>
      <c r="L525" s="246">
        <f t="shared" ref="L525:S525" si="141">K529</f>
        <v>45194300.534787588</v>
      </c>
      <c r="M525" s="246">
        <f t="shared" ca="1" si="141"/>
        <v>42423931.39518486</v>
      </c>
      <c r="N525" s="246">
        <f t="shared" ca="1" si="141"/>
        <v>24918339.549946159</v>
      </c>
      <c r="O525" s="246">
        <f ca="1">N529</f>
        <v>18835286.137208946</v>
      </c>
      <c r="P525" s="246"/>
      <c r="Q525" s="246">
        <f t="shared" si="141"/>
        <v>0</v>
      </c>
      <c r="R525" s="246">
        <f t="shared" si="141"/>
        <v>0</v>
      </c>
      <c r="S525" s="246">
        <f t="shared" si="141"/>
        <v>0</v>
      </c>
      <c r="T525" s="168"/>
      <c r="U525" s="168"/>
    </row>
    <row r="526" spans="2:21" ht="15.75" customHeight="1" outlineLevel="1">
      <c r="B526" s="242"/>
      <c r="C526" s="353" t="s">
        <v>315</v>
      </c>
      <c r="D526" s="242"/>
      <c r="E526" s="242"/>
      <c r="F526" s="242"/>
      <c r="G526" s="167"/>
      <c r="H526" s="167"/>
      <c r="I526" s="269">
        <v>-399257.65678963438</v>
      </c>
      <c r="J526" s="269">
        <v>-10480927.6090963</v>
      </c>
      <c r="K526" s="269">
        <f t="shared" ref="K526:R526" si="142">K516</f>
        <v>3036937.4297526409</v>
      </c>
      <c r="L526" s="269">
        <f t="shared" si="142"/>
        <v>10480307.320997586</v>
      </c>
      <c r="M526" s="269">
        <f>M516</f>
        <v>1626355.6116015133</v>
      </c>
      <c r="N526" s="269">
        <f t="shared" si="142"/>
        <v>1415032.8947368423</v>
      </c>
      <c r="O526" s="269">
        <f t="shared" si="142"/>
        <v>2270819.4444444445</v>
      </c>
      <c r="P526" s="269">
        <f t="shared" si="142"/>
        <v>0</v>
      </c>
      <c r="Q526" s="269">
        <f t="shared" si="142"/>
        <v>0</v>
      </c>
      <c r="R526" s="269">
        <f t="shared" si="142"/>
        <v>0</v>
      </c>
      <c r="S526" s="269">
        <f>S516</f>
        <v>0</v>
      </c>
      <c r="T526" s="168"/>
      <c r="U526" s="168"/>
    </row>
    <row r="527" spans="2:21" ht="15.75" customHeight="1" outlineLevel="1">
      <c r="B527" s="242"/>
      <c r="C527" s="353" t="s">
        <v>316</v>
      </c>
      <c r="D527" s="242"/>
      <c r="E527" s="242"/>
      <c r="F527" s="242"/>
      <c r="G527" s="167"/>
      <c r="H527" s="167"/>
      <c r="I527" s="246">
        <v>0</v>
      </c>
      <c r="J527" s="269">
        <v>-16204191</v>
      </c>
      <c r="K527" s="246">
        <f>-K546-K521</f>
        <v>-13294428.929560049</v>
      </c>
      <c r="L527" s="246">
        <f ca="1">-L546-L521</f>
        <v>-12847856.460600317</v>
      </c>
      <c r="M527" s="246">
        <f ca="1">-M546-M521</f>
        <v>-7193947.4568402208</v>
      </c>
      <c r="N527" s="246">
        <f ca="1">-N546-N521</f>
        <v>-7498086.3074740563</v>
      </c>
      <c r="O527" s="246">
        <f ca="1">-O546-O521</f>
        <v>-3277779.8089134106</v>
      </c>
      <c r="P527" s="246"/>
      <c r="Q527" s="246"/>
      <c r="R527" s="246"/>
      <c r="S527" s="246"/>
      <c r="T527" s="168"/>
      <c r="U527" s="168"/>
    </row>
    <row r="528" spans="2:21" ht="15.75" customHeight="1" outlineLevel="1">
      <c r="B528" s="242"/>
      <c r="C528" s="353" t="s">
        <v>280</v>
      </c>
      <c r="D528" s="242"/>
      <c r="E528" s="242"/>
      <c r="F528" s="242"/>
      <c r="G528" s="167"/>
      <c r="H528" s="167"/>
      <c r="I528" s="246">
        <v>51148584.65679124</v>
      </c>
      <c r="J528" s="239">
        <v>-510399.17815515399</v>
      </c>
      <c r="K528" s="239">
        <v>-510399.17815515399</v>
      </c>
      <c r="L528" s="239">
        <f>-402820</f>
        <v>-402820</v>
      </c>
      <c r="M528" s="239">
        <v>-11938000</v>
      </c>
      <c r="N528" s="239">
        <v>0</v>
      </c>
      <c r="O528" s="239">
        <f>N528</f>
        <v>0</v>
      </c>
      <c r="P528" s="239">
        <f>O528</f>
        <v>0</v>
      </c>
      <c r="Q528" s="239">
        <f>P528</f>
        <v>0</v>
      </c>
      <c r="R528" s="239">
        <f>Q528</f>
        <v>0</v>
      </c>
      <c r="S528" s="239">
        <f>R528</f>
        <v>0</v>
      </c>
      <c r="T528" s="168"/>
      <c r="U528" s="168"/>
    </row>
    <row r="529" spans="2:21" ht="15.75" customHeight="1" outlineLevel="1">
      <c r="B529" s="242"/>
      <c r="C529" s="242" t="s">
        <v>172</v>
      </c>
      <c r="D529" s="242"/>
      <c r="E529" s="242"/>
      <c r="F529" s="242"/>
      <c r="G529" s="167"/>
      <c r="H529" s="246">
        <v>0</v>
      </c>
      <c r="I529" s="246">
        <v>50749327.000001602</v>
      </c>
      <c r="J529" s="246">
        <v>55962191.212750152</v>
      </c>
      <c r="K529" s="246">
        <v>45194300.534787588</v>
      </c>
      <c r="L529" s="246">
        <f t="shared" ref="L529:R529" ca="1" si="143">SUM(L525:L528)</f>
        <v>42423931.39518486</v>
      </c>
      <c r="M529" s="246">
        <f t="shared" ca="1" si="143"/>
        <v>24918339.549946159</v>
      </c>
      <c r="N529" s="246">
        <f t="shared" ca="1" si="143"/>
        <v>18835286.137208946</v>
      </c>
      <c r="O529" s="246">
        <f t="shared" ca="1" si="143"/>
        <v>17828325.77273998</v>
      </c>
      <c r="P529" s="246">
        <f>SUM(P525:P528)</f>
        <v>0</v>
      </c>
      <c r="Q529" s="246">
        <f t="shared" si="143"/>
        <v>0</v>
      </c>
      <c r="R529" s="246">
        <f t="shared" si="143"/>
        <v>0</v>
      </c>
      <c r="S529" s="246">
        <f>SUM(S525:S528)</f>
        <v>0</v>
      </c>
      <c r="T529" s="168"/>
      <c r="U529" s="168"/>
    </row>
    <row r="530" spans="2:21" ht="15.75" customHeight="1" outlineLevel="1">
      <c r="B530" s="242"/>
      <c r="C530" s="242"/>
      <c r="D530" s="242"/>
      <c r="E530" s="242"/>
      <c r="F530" s="288"/>
      <c r="G530" s="167"/>
      <c r="H530" s="167"/>
      <c r="I530" s="246"/>
      <c r="J530" s="246"/>
      <c r="K530" s="246"/>
      <c r="L530" s="246"/>
      <c r="M530" s="215"/>
      <c r="N530" s="215"/>
      <c r="O530" s="215"/>
      <c r="P530" s="215"/>
      <c r="Q530" s="215"/>
      <c r="R530" s="215"/>
      <c r="S530" s="215"/>
      <c r="T530" s="168"/>
      <c r="U530" s="168"/>
    </row>
    <row r="531" spans="2:21" ht="15.75" customHeight="1" outlineLevel="2">
      <c r="B531" s="168"/>
      <c r="C531" s="242"/>
      <c r="D531" s="242"/>
      <c r="E531" s="246"/>
      <c r="F531" s="288"/>
      <c r="G531" s="167"/>
      <c r="H531" s="246" t="s">
        <v>462</v>
      </c>
      <c r="I531" s="254"/>
      <c r="J531" s="246"/>
      <c r="K531" s="246"/>
      <c r="L531" s="246"/>
      <c r="M531" s="215"/>
      <c r="N531" s="215"/>
      <c r="O531" s="215"/>
      <c r="P531" s="215"/>
      <c r="Q531" s="215"/>
      <c r="R531" s="215"/>
      <c r="S531" s="215"/>
      <c r="T531" s="168"/>
      <c r="U531" s="168"/>
    </row>
    <row r="532" spans="2:21" ht="15.75" customHeight="1" outlineLevel="2">
      <c r="B532" s="168"/>
      <c r="C532" s="353"/>
      <c r="D532" s="242"/>
      <c r="E532" s="249" t="s">
        <v>148</v>
      </c>
      <c r="F532" s="246">
        <f>J523</f>
        <v>20738046.736763783</v>
      </c>
      <c r="G532" s="246"/>
      <c r="H532" s="246">
        <v>25</v>
      </c>
      <c r="I532" s="246" t="s">
        <v>449</v>
      </c>
      <c r="J532" s="246"/>
      <c r="K532" s="246">
        <v>829521.86947055126</v>
      </c>
      <c r="L532" s="246">
        <f>SLN($F$532,0,$H$532)</f>
        <v>829521.86947055126</v>
      </c>
      <c r="M532" s="246">
        <f>SLN($F$532+M520,0,$H$532)</f>
        <v>803441.86947055126</v>
      </c>
      <c r="N532" s="246">
        <f>SLN($F$532+$M$520,0,$H$532)</f>
        <v>803441.86947055126</v>
      </c>
      <c r="O532" s="246">
        <f>SLN($F$532+$M$520,0,$H$532)*5/12</f>
        <v>334767.4456127297</v>
      </c>
      <c r="P532" s="246"/>
      <c r="Q532" s="246"/>
      <c r="R532" s="246"/>
      <c r="S532" s="246"/>
      <c r="T532" s="168"/>
      <c r="U532" s="168"/>
    </row>
    <row r="533" spans="2:21" ht="15.75" customHeight="1" outlineLevel="2">
      <c r="B533" s="168"/>
      <c r="C533" s="353"/>
      <c r="D533" s="242"/>
      <c r="E533" s="249" t="s">
        <v>149</v>
      </c>
      <c r="F533" s="246">
        <f>J529</f>
        <v>55962191.212750152</v>
      </c>
      <c r="G533" s="246"/>
      <c r="H533" s="246">
        <v>5</v>
      </c>
      <c r="I533" s="246" t="s">
        <v>449</v>
      </c>
      <c r="J533" s="246"/>
      <c r="K533" s="246">
        <v>11192438.242550001</v>
      </c>
      <c r="L533" s="246">
        <f>SLN($F$533,0,$H$533)</f>
        <v>11192438.24255003</v>
      </c>
      <c r="M533" s="246">
        <f>SLN($F$533-$K$533-$L$533+$M$528,0,$H$533)</f>
        <v>4327862.9455300244</v>
      </c>
      <c r="N533" s="246">
        <f>SLN($F$533-$K$533-$L$533+$M$528,0,$H$533)</f>
        <v>4327862.9455300244</v>
      </c>
      <c r="O533" s="246">
        <f>SLN($F$533-$K$533-$L$533+$M$528,0,$H$533)*5/12</f>
        <v>1803276.2273041767</v>
      </c>
      <c r="P533" s="246"/>
      <c r="Q533" s="246"/>
      <c r="R533" s="246"/>
      <c r="S533" s="246"/>
      <c r="T533" s="168"/>
      <c r="U533" s="168"/>
    </row>
    <row r="534" spans="2:21" ht="15.75" customHeight="1" outlineLevel="2">
      <c r="B534" s="168"/>
      <c r="C534" s="353"/>
      <c r="D534" s="168"/>
      <c r="E534" s="168"/>
      <c r="F534" s="288"/>
      <c r="G534" s="365"/>
      <c r="H534" s="167"/>
      <c r="J534" s="168"/>
      <c r="K534" s="168"/>
      <c r="M534" s="215"/>
      <c r="N534" s="215"/>
      <c r="O534" s="215"/>
      <c r="P534" s="215"/>
      <c r="Q534" s="215"/>
      <c r="R534" s="215"/>
      <c r="S534" s="215"/>
      <c r="T534" s="168"/>
      <c r="U534" s="168"/>
    </row>
    <row r="535" spans="2:21" ht="15.75" customHeight="1" outlineLevel="2">
      <c r="B535" s="242"/>
      <c r="C535" s="242"/>
      <c r="D535" s="242"/>
      <c r="E535" s="242"/>
      <c r="F535" s="246"/>
      <c r="G535" s="365"/>
      <c r="H535" s="365"/>
      <c r="I535" s="276"/>
      <c r="J535" s="254"/>
      <c r="K535" s="246"/>
      <c r="L535" s="246"/>
      <c r="M535" s="215"/>
      <c r="N535" s="215"/>
      <c r="O535" s="215"/>
      <c r="P535" s="215"/>
      <c r="Q535" s="215"/>
      <c r="R535" s="215"/>
      <c r="S535" s="215"/>
      <c r="T535" s="168"/>
      <c r="U535" s="168"/>
    </row>
    <row r="536" spans="2:21" ht="15.75" customHeight="1" outlineLevel="2">
      <c r="B536" s="242"/>
      <c r="C536" s="353"/>
      <c r="D536" s="242"/>
      <c r="E536" s="242"/>
      <c r="F536" s="272" t="str">
        <f>C516</f>
        <v>CAPEX (cement sector expantion&amp; sustaining)</v>
      </c>
      <c r="G536" s="168"/>
      <c r="H536" s="246" t="s">
        <v>462</v>
      </c>
      <c r="I536" s="365"/>
      <c r="J536" s="246"/>
      <c r="K536" s="254"/>
      <c r="L536" s="255"/>
      <c r="M536" s="215"/>
      <c r="N536" s="215"/>
      <c r="O536" s="215"/>
      <c r="P536" s="215"/>
      <c r="Q536" s="215"/>
      <c r="R536" s="215"/>
      <c r="S536" s="215"/>
      <c r="T536" s="168"/>
      <c r="U536" s="168"/>
    </row>
    <row r="537" spans="2:21" ht="15.75" customHeight="1" outlineLevel="2">
      <c r="B537" s="242"/>
      <c r="C537" s="353"/>
      <c r="D537" s="242"/>
      <c r="E537" s="732">
        <f>J511</f>
        <v>1</v>
      </c>
      <c r="F537" s="246"/>
      <c r="G537" s="168"/>
      <c r="H537" s="272">
        <v>5</v>
      </c>
      <c r="I537" s="246"/>
      <c r="J537" s="246"/>
      <c r="K537" s="246"/>
      <c r="L537" s="246"/>
      <c r="M537" s="215"/>
      <c r="N537" s="215"/>
      <c r="O537" s="215"/>
      <c r="P537" s="215"/>
      <c r="Q537" s="215"/>
      <c r="R537" s="215"/>
      <c r="S537" s="215"/>
      <c r="T537" s="168"/>
      <c r="U537" s="168"/>
    </row>
    <row r="538" spans="2:21" ht="15.75" customHeight="1" outlineLevel="2">
      <c r="B538" s="242"/>
      <c r="C538" s="242"/>
      <c r="D538" s="242"/>
      <c r="E538" s="732">
        <f>K511</f>
        <v>2</v>
      </c>
      <c r="F538" s="246">
        <f ca="1">OFFSET($I$516,0,E538)</f>
        <v>3036937.4297526409</v>
      </c>
      <c r="G538" s="168"/>
      <c r="H538" s="272">
        <v>5</v>
      </c>
      <c r="I538" s="365"/>
      <c r="J538" s="246"/>
      <c r="K538" s="246">
        <v>303693.74297526397</v>
      </c>
      <c r="L538" s="246">
        <f ca="1">$F$538/$H$538</f>
        <v>607387.48595052818</v>
      </c>
      <c r="M538" s="246">
        <f ca="1">$F$538/$H$538</f>
        <v>607387.48595052818</v>
      </c>
      <c r="N538" s="246">
        <f ca="1">$F$538/$H$538</f>
        <v>607387.48595052818</v>
      </c>
      <c r="O538" s="246">
        <f ca="1">$F$538/$H$538*5/12</f>
        <v>253078.11914605342</v>
      </c>
      <c r="P538" s="246"/>
      <c r="Q538" s="246"/>
      <c r="R538" s="246"/>
      <c r="S538" s="246"/>
      <c r="T538" s="168"/>
      <c r="U538" s="168"/>
    </row>
    <row r="539" spans="2:21" ht="15.75" customHeight="1" outlineLevel="2">
      <c r="B539" s="242"/>
      <c r="C539" s="242"/>
      <c r="D539" s="745"/>
      <c r="E539" s="732">
        <f t="shared" ref="E539:E545" si="144">E538+1</f>
        <v>3</v>
      </c>
      <c r="F539" s="246">
        <f ca="1">OFFSET($I$516,0,E539)</f>
        <v>10480307.320997586</v>
      </c>
      <c r="G539" s="168"/>
      <c r="H539" s="272">
        <v>5</v>
      </c>
      <c r="I539" s="365"/>
      <c r="J539" s="246"/>
      <c r="K539" s="246"/>
      <c r="L539" s="246">
        <f ca="1">$F$539/$H$539/2</f>
        <v>1048030.7320997587</v>
      </c>
      <c r="M539" s="246">
        <f ca="1">$F$539/$H$539</f>
        <v>2096061.4641995174</v>
      </c>
      <c r="N539" s="246">
        <f ca="1">$F$539/$H$539</f>
        <v>2096061.4641995174</v>
      </c>
      <c r="O539" s="246">
        <f ca="1">$F$539/$H$539*5/12</f>
        <v>873358.94341646554</v>
      </c>
      <c r="P539" s="246"/>
      <c r="Q539" s="246"/>
      <c r="R539" s="246"/>
      <c r="S539" s="246"/>
      <c r="T539" s="168"/>
      <c r="U539" s="168"/>
    </row>
    <row r="540" spans="2:21" ht="15.75" customHeight="1" outlineLevel="2">
      <c r="B540" s="242"/>
      <c r="C540" s="242"/>
      <c r="D540" s="746"/>
      <c r="E540" s="732">
        <f t="shared" si="144"/>
        <v>4</v>
      </c>
      <c r="F540" s="246">
        <f>M516</f>
        <v>1626355.6116015133</v>
      </c>
      <c r="G540" s="168"/>
      <c r="H540" s="272">
        <v>5</v>
      </c>
      <c r="I540" s="365"/>
      <c r="J540" s="246"/>
      <c r="K540" s="246"/>
      <c r="L540" s="246"/>
      <c r="M540" s="246">
        <f>$F$540/$H$540/2</f>
        <v>162635.56116015132</v>
      </c>
      <c r="N540" s="246">
        <f>$F$540/$H$540</f>
        <v>325271.12232030265</v>
      </c>
      <c r="O540" s="246">
        <f>$F$540/$H$540*5/12</f>
        <v>135529.63430012611</v>
      </c>
      <c r="P540" s="246"/>
      <c r="Q540" s="246"/>
      <c r="R540" s="246"/>
      <c r="S540" s="246"/>
      <c r="T540" s="168"/>
      <c r="U540" s="168"/>
    </row>
    <row r="541" spans="2:21" ht="15.75" customHeight="1" outlineLevel="2">
      <c r="B541" s="242"/>
      <c r="C541" s="242"/>
      <c r="D541" s="242"/>
      <c r="E541" s="732">
        <f t="shared" si="144"/>
        <v>5</v>
      </c>
      <c r="F541" s="246">
        <f>N516</f>
        <v>1415032.8947368423</v>
      </c>
      <c r="G541" s="168"/>
      <c r="H541" s="272">
        <v>5</v>
      </c>
      <c r="I541" s="365"/>
      <c r="J541" s="246"/>
      <c r="K541" s="246"/>
      <c r="L541" s="246"/>
      <c r="M541" s="215"/>
      <c r="N541" s="246">
        <f>$F$541/$H$541/2</f>
        <v>141503.28947368421</v>
      </c>
      <c r="O541" s="246">
        <f>$F$541/$H$541*5/12</f>
        <v>117919.40789473685</v>
      </c>
      <c r="P541" s="246"/>
      <c r="Q541" s="246"/>
      <c r="R541" s="246"/>
      <c r="S541" s="246"/>
      <c r="T541" s="168"/>
      <c r="U541" s="168"/>
    </row>
    <row r="542" spans="2:21" ht="15.75" customHeight="1" outlineLevel="2">
      <c r="B542" s="242"/>
      <c r="C542" s="242"/>
      <c r="D542" s="242"/>
      <c r="E542" s="732">
        <f t="shared" si="144"/>
        <v>6</v>
      </c>
      <c r="F542" s="246">
        <f>O516</f>
        <v>2270819.4444444445</v>
      </c>
      <c r="G542" s="168"/>
      <c r="H542" s="272">
        <v>5</v>
      </c>
      <c r="I542" s="365"/>
      <c r="J542" s="246"/>
      <c r="K542" s="246"/>
      <c r="L542" s="246"/>
      <c r="M542" s="215"/>
      <c r="N542" s="215"/>
      <c r="O542" s="246">
        <f>$F$542/$H$542/2*5/12</f>
        <v>94617.476851851854</v>
      </c>
      <c r="P542" s="246"/>
      <c r="Q542" s="246"/>
      <c r="R542" s="246"/>
      <c r="S542" s="246"/>
      <c r="T542" s="168"/>
      <c r="U542" s="168"/>
    </row>
    <row r="543" spans="2:21" ht="15.75" customHeight="1" outlineLevel="2">
      <c r="B543" s="242"/>
      <c r="C543" s="254"/>
      <c r="D543" s="254"/>
      <c r="E543" s="732">
        <f t="shared" si="144"/>
        <v>7</v>
      </c>
      <c r="F543" s="246">
        <f>P516</f>
        <v>0</v>
      </c>
      <c r="G543" s="168"/>
      <c r="H543" s="272">
        <v>5</v>
      </c>
      <c r="I543" s="365"/>
      <c r="J543" s="168"/>
      <c r="K543" s="168"/>
      <c r="M543" s="215"/>
      <c r="N543" s="215"/>
      <c r="O543" s="215"/>
      <c r="P543" s="246"/>
      <c r="Q543" s="246"/>
      <c r="R543" s="246"/>
      <c r="S543" s="246"/>
      <c r="T543" s="168"/>
      <c r="U543" s="168"/>
    </row>
    <row r="544" spans="2:21" ht="15.75" customHeight="1" outlineLevel="2">
      <c r="B544" s="242"/>
      <c r="C544" s="254"/>
      <c r="D544" s="254"/>
      <c r="E544" s="732">
        <f t="shared" si="144"/>
        <v>8</v>
      </c>
      <c r="F544" s="321">
        <f>Q516</f>
        <v>0</v>
      </c>
      <c r="G544" s="168"/>
      <c r="H544" s="272">
        <v>5</v>
      </c>
      <c r="I544" s="365"/>
      <c r="J544" s="168"/>
      <c r="K544" s="168"/>
      <c r="M544" s="215"/>
      <c r="N544" s="215"/>
      <c r="O544" s="215"/>
      <c r="P544" s="246"/>
      <c r="Q544" s="246"/>
      <c r="R544" s="246"/>
      <c r="S544" s="246"/>
      <c r="T544" s="168"/>
      <c r="U544" s="168"/>
    </row>
    <row r="545" spans="2:21" ht="15.75" customHeight="1" outlineLevel="2">
      <c r="B545" s="242"/>
      <c r="C545" s="254"/>
      <c r="D545" s="254"/>
      <c r="E545" s="732">
        <f t="shared" si="144"/>
        <v>9</v>
      </c>
      <c r="F545" s="321">
        <f>R516</f>
        <v>0</v>
      </c>
      <c r="G545" s="168"/>
      <c r="H545" s="272">
        <v>5</v>
      </c>
      <c r="I545" s="365"/>
      <c r="J545" s="168"/>
      <c r="K545" s="168"/>
      <c r="M545" s="215"/>
      <c r="N545" s="215"/>
      <c r="O545" s="215"/>
      <c r="P545" s="246"/>
      <c r="Q545" s="246"/>
      <c r="R545" s="246"/>
      <c r="S545" s="246"/>
      <c r="T545" s="168"/>
      <c r="U545" s="168"/>
    </row>
    <row r="546" spans="2:21" ht="15.75" customHeight="1" outlineLevel="2">
      <c r="B546" s="242"/>
      <c r="C546" s="242" t="s">
        <v>463</v>
      </c>
      <c r="D546" s="242"/>
      <c r="E546" s="242"/>
      <c r="F546" s="242"/>
      <c r="G546" s="167"/>
      <c r="H546" s="239">
        <v>1300171.3920651616</v>
      </c>
      <c r="I546" s="239">
        <v>1424035.7142857143</v>
      </c>
      <c r="J546" s="239">
        <f>-J527-J521</f>
        <v>18403510.437954269</v>
      </c>
      <c r="K546" s="239">
        <v>14123950.7990306</v>
      </c>
      <c r="L546" s="239">
        <f ca="1">SUM(L537:L542,L532)+L533</f>
        <v>13677378.330070868</v>
      </c>
      <c r="M546" s="239">
        <f ca="1">SUM(M537:M542,M532)+M533</f>
        <v>7997389.3263107724</v>
      </c>
      <c r="N546" s="239">
        <f ca="1">SUM(N537:N542,N532)+N533</f>
        <v>8301528.1769446079</v>
      </c>
      <c r="O546" s="239">
        <f ca="1">SUM(O537:O542,O532)+O533</f>
        <v>3612547.2545261402</v>
      </c>
      <c r="P546" s="239">
        <f>SUM(P537:P545,P532)+P533</f>
        <v>0</v>
      </c>
      <c r="Q546" s="239">
        <f>SUM(Q537:Q545,Q532)+Q533</f>
        <v>0</v>
      </c>
      <c r="R546" s="239">
        <f>SUM(R537:R545,R532)+R533</f>
        <v>0</v>
      </c>
      <c r="S546" s="239">
        <f>SUM(S537:S545,S532)+S533</f>
        <v>0</v>
      </c>
      <c r="T546" s="168"/>
      <c r="U546" s="168"/>
    </row>
    <row r="547" spans="2:21" ht="15.75" customHeight="1" outlineLevel="2">
      <c r="B547" s="242"/>
      <c r="C547" s="242"/>
      <c r="D547" s="242"/>
      <c r="E547" s="242"/>
      <c r="F547" s="242"/>
      <c r="G547" s="167"/>
      <c r="H547" s="167"/>
      <c r="I547" s="242"/>
      <c r="J547" s="242"/>
      <c r="K547" s="249"/>
      <c r="L547" s="249"/>
      <c r="M547" s="215"/>
      <c r="N547" s="215"/>
      <c r="O547" s="215"/>
      <c r="P547" s="215"/>
      <c r="Q547" s="215"/>
      <c r="R547" s="215"/>
      <c r="S547" s="215"/>
      <c r="T547" s="168"/>
      <c r="U547" s="168"/>
    </row>
    <row r="548" spans="2:21" ht="15.75" customHeight="1" outlineLevel="2">
      <c r="B548" s="242"/>
      <c r="C548" s="242"/>
      <c r="D548" s="242"/>
      <c r="E548" s="242"/>
      <c r="F548" s="242"/>
      <c r="G548" s="167"/>
      <c r="H548" s="167"/>
      <c r="I548" s="242"/>
      <c r="J548" s="242"/>
      <c r="K548" s="249"/>
      <c r="L548" s="249"/>
      <c r="M548" s="215"/>
      <c r="N548" s="215"/>
      <c r="O548" s="215"/>
      <c r="P548" s="215"/>
      <c r="Q548" s="215"/>
      <c r="R548" s="215"/>
      <c r="S548" s="215"/>
      <c r="T548" s="168"/>
      <c r="U548" s="168"/>
    </row>
    <row r="549" spans="2:21" ht="15.75" customHeight="1" outlineLevel="2">
      <c r="B549" s="242"/>
      <c r="C549" s="242"/>
      <c r="D549" s="242"/>
      <c r="E549" s="242"/>
      <c r="F549" s="242"/>
      <c r="G549" s="167"/>
      <c r="H549" s="167"/>
      <c r="I549" s="242"/>
      <c r="J549" s="242"/>
      <c r="K549" s="249"/>
      <c r="L549" s="249"/>
      <c r="M549" s="215"/>
      <c r="N549" s="215"/>
      <c r="O549" s="215"/>
      <c r="P549" s="215"/>
      <c r="Q549" s="215"/>
      <c r="R549" s="215"/>
      <c r="S549" s="215"/>
      <c r="T549" s="168"/>
      <c r="U549" s="168"/>
    </row>
    <row r="550" spans="2:21" ht="15.75" customHeight="1" outlineLevel="2">
      <c r="B550" s="242"/>
      <c r="C550" s="242"/>
      <c r="D550" s="242"/>
      <c r="E550" s="242"/>
      <c r="F550" s="242"/>
      <c r="G550" s="167"/>
      <c r="H550" s="167"/>
      <c r="I550" s="242"/>
      <c r="J550" s="242"/>
      <c r="K550" s="249"/>
      <c r="L550" s="249"/>
      <c r="M550" s="215"/>
      <c r="N550" s="215"/>
      <c r="O550" s="215"/>
      <c r="P550" s="215"/>
      <c r="Q550" s="215"/>
      <c r="R550" s="215"/>
      <c r="S550" s="215"/>
      <c r="T550" s="168"/>
      <c r="U550" s="168"/>
    </row>
    <row r="551" spans="2:21" ht="15.75" customHeight="1" outlineLevel="2">
      <c r="B551" s="242"/>
      <c r="C551" s="242"/>
      <c r="D551" s="242"/>
      <c r="E551" s="242"/>
      <c r="F551" s="242"/>
      <c r="G551" s="167"/>
      <c r="H551" s="167"/>
      <c r="I551" s="242"/>
      <c r="J551" s="242"/>
      <c r="K551" s="249"/>
      <c r="L551" s="249"/>
      <c r="M551" s="215"/>
      <c r="N551" s="215"/>
      <c r="O551" s="215"/>
      <c r="P551" s="215"/>
      <c r="Q551" s="215"/>
      <c r="R551" s="215"/>
      <c r="S551" s="215"/>
      <c r="T551" s="168"/>
      <c r="U551" s="168"/>
    </row>
    <row r="552" spans="2:21" ht="15.75" customHeight="1" outlineLevel="2">
      <c r="B552" s="215"/>
      <c r="C552" s="168"/>
      <c r="D552" s="168"/>
      <c r="E552" s="168"/>
      <c r="F552" s="168"/>
      <c r="G552" s="167"/>
      <c r="H552" s="167"/>
      <c r="I552" s="254"/>
      <c r="J552" s="254"/>
      <c r="K552" s="367"/>
      <c r="L552" s="368"/>
      <c r="M552" s="215"/>
      <c r="N552" s="742"/>
      <c r="O552" s="742"/>
      <c r="P552" s="742"/>
      <c r="Q552" s="742"/>
      <c r="R552" s="742"/>
      <c r="S552" s="742"/>
      <c r="T552" s="168"/>
      <c r="U552" s="168"/>
    </row>
    <row r="553" spans="2:21" ht="15.75" customHeight="1" outlineLevel="2">
      <c r="B553" s="242"/>
      <c r="C553" s="242"/>
      <c r="D553" s="242"/>
      <c r="E553" s="242"/>
      <c r="F553" s="242"/>
      <c r="G553" s="167"/>
      <c r="H553" s="167"/>
      <c r="I553" s="397"/>
      <c r="J553" s="246"/>
      <c r="K553" s="413"/>
      <c r="L553" s="413"/>
      <c r="M553" s="215"/>
      <c r="N553" s="215"/>
      <c r="O553" s="215"/>
      <c r="P553" s="215"/>
      <c r="Q553" s="215"/>
      <c r="R553" s="215"/>
      <c r="S553" s="215"/>
      <c r="T553" s="168"/>
      <c r="U553" s="168"/>
    </row>
    <row r="554" spans="2:21" ht="27" outlineLevel="2">
      <c r="B554" s="242"/>
      <c r="C554" s="366" t="s">
        <v>431</v>
      </c>
      <c r="D554" s="168"/>
      <c r="E554" s="168"/>
      <c r="F554" s="168"/>
      <c r="G554" s="167"/>
      <c r="H554" s="167"/>
      <c r="I554" s="254"/>
      <c r="J554" s="254"/>
      <c r="K554" s="367"/>
      <c r="L554" s="368"/>
      <c r="M554" s="367"/>
      <c r="N554" s="368"/>
      <c r="O554" s="368"/>
      <c r="P554" s="368"/>
      <c r="Q554" s="368"/>
      <c r="R554" s="368"/>
      <c r="S554" s="368"/>
      <c r="T554" s="168"/>
      <c r="U554" s="168"/>
    </row>
    <row r="555" spans="2:21" ht="3" customHeight="1" outlineLevel="2">
      <c r="B555" s="242"/>
      <c r="C555" s="229"/>
      <c r="D555" s="229"/>
      <c r="E555" s="229"/>
      <c r="F555" s="229"/>
      <c r="G555" s="300"/>
      <c r="H555" s="300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168"/>
      <c r="U555" s="168"/>
    </row>
    <row r="556" spans="2:21" ht="15.75" customHeight="1" outlineLevel="2">
      <c r="B556" s="242"/>
      <c r="C556" s="168"/>
      <c r="D556" s="168"/>
      <c r="E556" s="168"/>
      <c r="F556" s="168"/>
      <c r="G556" s="167"/>
      <c r="H556" s="167"/>
      <c r="I556" s="254"/>
      <c r="J556" s="254"/>
      <c r="K556" s="367"/>
      <c r="L556" s="368"/>
      <c r="M556" s="367"/>
      <c r="N556" s="368"/>
      <c r="O556" s="368"/>
      <c r="P556" s="368"/>
      <c r="Q556" s="368"/>
      <c r="R556" s="368"/>
      <c r="S556" s="368"/>
      <c r="T556" s="168"/>
      <c r="U556" s="168"/>
    </row>
    <row r="557" spans="2:21" ht="15.75" customHeight="1" outlineLevel="2">
      <c r="B557" s="242"/>
      <c r="C557" s="399" t="s">
        <v>416</v>
      </c>
      <c r="D557" s="303"/>
      <c r="E557" s="303"/>
      <c r="F557" s="303"/>
      <c r="G557" s="400"/>
      <c r="H557" s="400"/>
      <c r="I557" s="230"/>
      <c r="J557" s="230"/>
      <c r="K557" s="231"/>
      <c r="L557" s="232"/>
      <c r="M557" s="231"/>
      <c r="N557" s="232"/>
      <c r="O557" s="232"/>
      <c r="P557" s="232"/>
      <c r="Q557" s="232"/>
      <c r="R557" s="232"/>
      <c r="S557" s="232"/>
      <c r="T557" s="168"/>
      <c r="U557" s="168"/>
    </row>
    <row r="558" spans="2:21" ht="15.75" customHeight="1" outlineLevel="2">
      <c r="B558" s="242"/>
      <c r="C558" s="380"/>
      <c r="D558" s="254"/>
      <c r="E558" s="254"/>
      <c r="F558" s="254"/>
      <c r="G558" s="167"/>
      <c r="H558" s="174">
        <v>0</v>
      </c>
      <c r="I558" s="174">
        <v>0</v>
      </c>
      <c r="J558" s="174">
        <v>1</v>
      </c>
      <c r="K558" s="174">
        <v>2</v>
      </c>
      <c r="L558" s="174">
        <f t="shared" ref="L558:S560" si="145">L287</f>
        <v>3</v>
      </c>
      <c r="M558" s="174">
        <f t="shared" si="145"/>
        <v>4</v>
      </c>
      <c r="N558" s="174">
        <f t="shared" si="145"/>
        <v>5</v>
      </c>
      <c r="O558" s="174">
        <f t="shared" si="145"/>
        <v>6</v>
      </c>
      <c r="P558" s="174">
        <f t="shared" si="145"/>
        <v>7</v>
      </c>
      <c r="Q558" s="174">
        <f t="shared" si="145"/>
        <v>8</v>
      </c>
      <c r="R558" s="174">
        <f t="shared" si="145"/>
        <v>9</v>
      </c>
      <c r="S558" s="174">
        <f t="shared" si="145"/>
        <v>10</v>
      </c>
      <c r="T558" s="168"/>
      <c r="U558" s="168"/>
    </row>
    <row r="559" spans="2:21" ht="15.75" customHeight="1" outlineLevel="2">
      <c r="B559" s="242"/>
      <c r="C559" s="349"/>
      <c r="D559" s="234"/>
      <c r="E559" s="234"/>
      <c r="F559" s="234"/>
      <c r="G559" s="325"/>
      <c r="H559" s="176"/>
      <c r="I559" s="176"/>
      <c r="J559" s="176"/>
      <c r="K559" s="176"/>
      <c r="L559" s="176"/>
      <c r="M559" s="176"/>
      <c r="N559" s="176"/>
      <c r="O559" s="176"/>
      <c r="P559" s="176"/>
      <c r="Q559" s="176"/>
      <c r="R559" s="176"/>
      <c r="S559" s="176"/>
      <c r="T559" s="168"/>
      <c r="U559" s="168"/>
    </row>
    <row r="560" spans="2:21" ht="15.75" customHeight="1" outlineLevel="2">
      <c r="B560" s="242"/>
      <c r="C560" s="359"/>
      <c r="D560" s="260"/>
      <c r="E560" s="235"/>
      <c r="F560" s="235"/>
      <c r="G560" s="326"/>
      <c r="H560" s="213" t="s">
        <v>499</v>
      </c>
      <c r="I560" s="213" t="s">
        <v>499</v>
      </c>
      <c r="J560" s="213" t="s">
        <v>499</v>
      </c>
      <c r="K560" s="213" t="s">
        <v>499</v>
      </c>
      <c r="L560" s="213" t="str">
        <f t="shared" si="145"/>
        <v>($)</v>
      </c>
      <c r="M560" s="213" t="str">
        <f t="shared" si="145"/>
        <v>($)</v>
      </c>
      <c r="N560" s="213" t="str">
        <f t="shared" si="145"/>
        <v>($)</v>
      </c>
      <c r="O560" s="213" t="str">
        <f t="shared" si="145"/>
        <v>($)</v>
      </c>
      <c r="P560" s="213" t="str">
        <f t="shared" si="145"/>
        <v>($)</v>
      </c>
      <c r="Q560" s="213" t="str">
        <f t="shared" si="145"/>
        <v>($)</v>
      </c>
      <c r="R560" s="213" t="str">
        <f t="shared" si="145"/>
        <v>($)</v>
      </c>
      <c r="S560" s="213" t="str">
        <f t="shared" si="145"/>
        <v>($)</v>
      </c>
      <c r="T560" s="168"/>
      <c r="U560" s="168"/>
    </row>
    <row r="561" spans="2:21" ht="15.75" customHeight="1" outlineLevel="2">
      <c r="B561" s="242"/>
      <c r="C561" s="254"/>
      <c r="D561" s="254"/>
      <c r="E561" s="254"/>
      <c r="F561" s="254"/>
      <c r="G561" s="167"/>
      <c r="H561" s="167"/>
      <c r="I561" s="254"/>
      <c r="J561" s="254"/>
      <c r="K561" s="254"/>
      <c r="L561" s="255"/>
      <c r="M561" s="215"/>
      <c r="N561" s="215"/>
      <c r="O561" s="215"/>
      <c r="P561" s="215"/>
      <c r="Q561" s="215"/>
      <c r="R561" s="215"/>
      <c r="S561" s="215"/>
      <c r="T561" s="168"/>
      <c r="U561" s="168"/>
    </row>
    <row r="562" spans="2:21" ht="15.75" customHeight="1" outlineLevel="2">
      <c r="B562" s="242"/>
      <c r="C562" s="242" t="s">
        <v>410</v>
      </c>
      <c r="D562" s="242"/>
      <c r="E562" s="242"/>
      <c r="F562" s="242"/>
      <c r="G562" s="167"/>
      <c r="H562" s="167"/>
      <c r="I562" s="246"/>
      <c r="J562" s="747">
        <v>80983022.435214698</v>
      </c>
      <c r="K562" s="246">
        <v>111816101.33745699</v>
      </c>
      <c r="L562" s="246">
        <f t="shared" ref="L562:S562" si="146">K570</f>
        <v>123303537.49686083</v>
      </c>
      <c r="M562" s="246">
        <f t="shared" ca="1" si="146"/>
        <v>155735176.26785597</v>
      </c>
      <c r="N562" s="246">
        <f t="shared" ca="1" si="146"/>
        <v>147593790.56559542</v>
      </c>
      <c r="O562" s="246">
        <f t="shared" ca="1" si="146"/>
        <v>149669287.38630983</v>
      </c>
      <c r="P562" s="246"/>
      <c r="Q562" s="246">
        <f t="shared" si="146"/>
        <v>0</v>
      </c>
      <c r="R562" s="246">
        <f t="shared" si="146"/>
        <v>0</v>
      </c>
      <c r="S562" s="246">
        <f t="shared" si="146"/>
        <v>0</v>
      </c>
      <c r="T562" s="168"/>
      <c r="U562" s="168"/>
    </row>
    <row r="563" spans="2:21" ht="15.75" customHeight="1" outlineLevel="2">
      <c r="B563" s="242"/>
      <c r="C563" s="353" t="s">
        <v>366</v>
      </c>
      <c r="D563" s="254"/>
      <c r="E563" s="242"/>
      <c r="F563" s="242"/>
      <c r="G563" s="167"/>
      <c r="H563" s="167"/>
      <c r="I563" s="246"/>
      <c r="J563" s="246">
        <v>30833078.902242292</v>
      </c>
      <c r="K563" s="246">
        <f t="shared" ref="K563:Q563" si="147">K321</f>
        <v>11997835.337559007</v>
      </c>
      <c r="L563" s="246">
        <f t="shared" ca="1" si="147"/>
        <v>32834458.77099514</v>
      </c>
      <c r="M563" s="246">
        <f ca="1">M321</f>
        <v>4448614.2977394387</v>
      </c>
      <c r="N563" s="246">
        <f t="shared" ca="1" si="147"/>
        <v>2075496.8207144004</v>
      </c>
      <c r="O563" s="246">
        <f t="shared" ca="1" si="147"/>
        <v>-240013.93959270249</v>
      </c>
      <c r="P563" s="246">
        <f t="shared" si="147"/>
        <v>0</v>
      </c>
      <c r="Q563" s="246">
        <f t="shared" si="147"/>
        <v>0</v>
      </c>
      <c r="R563" s="246">
        <f>R321</f>
        <v>0</v>
      </c>
      <c r="S563" s="246">
        <f>S321</f>
        <v>0</v>
      </c>
      <c r="T563" s="168"/>
      <c r="U563" s="168"/>
    </row>
    <row r="564" spans="2:21" ht="15.75" customHeight="1" outlineLevel="2">
      <c r="B564" s="242"/>
      <c r="C564" s="353" t="s">
        <v>411</v>
      </c>
      <c r="D564" s="254"/>
      <c r="E564" s="242"/>
      <c r="F564" s="242"/>
      <c r="G564" s="167"/>
      <c r="H564" s="167"/>
      <c r="I564" s="246"/>
      <c r="J564" s="239">
        <v>0</v>
      </c>
      <c r="K564" s="239">
        <v>0</v>
      </c>
      <c r="L564" s="239">
        <v>0</v>
      </c>
      <c r="M564" s="239">
        <v>0</v>
      </c>
      <c r="N564" s="239">
        <v>0</v>
      </c>
      <c r="O564" s="239">
        <v>0</v>
      </c>
      <c r="P564" s="239">
        <v>0</v>
      </c>
      <c r="Q564" s="239">
        <v>0</v>
      </c>
      <c r="R564" s="239">
        <v>0</v>
      </c>
      <c r="S564" s="239">
        <v>0</v>
      </c>
      <c r="T564" s="168"/>
      <c r="U564" s="168"/>
    </row>
    <row r="565" spans="2:21" ht="15.75" customHeight="1" outlineLevel="2">
      <c r="B565" s="242"/>
      <c r="C565" s="353" t="s">
        <v>367</v>
      </c>
      <c r="D565" s="254"/>
      <c r="E565" s="242"/>
      <c r="F565" s="242"/>
      <c r="G565" s="167"/>
      <c r="H565" s="167"/>
      <c r="I565" s="246"/>
      <c r="J565" s="272">
        <v>0</v>
      </c>
      <c r="K565" s="272">
        <f t="shared" ref="K565:R565" si="148">-K597</f>
        <v>0</v>
      </c>
      <c r="L565" s="272">
        <f t="shared" si="148"/>
        <v>0</v>
      </c>
      <c r="M565" s="272">
        <f t="shared" si="148"/>
        <v>0</v>
      </c>
      <c r="N565" s="272">
        <f t="shared" si="148"/>
        <v>0</v>
      </c>
      <c r="O565" s="272">
        <f t="shared" si="148"/>
        <v>0</v>
      </c>
      <c r="P565" s="272">
        <f t="shared" si="148"/>
        <v>0</v>
      </c>
      <c r="Q565" s="272">
        <f t="shared" si="148"/>
        <v>0</v>
      </c>
      <c r="R565" s="272">
        <f t="shared" si="148"/>
        <v>0</v>
      </c>
      <c r="S565" s="272">
        <f>-S597</f>
        <v>0</v>
      </c>
      <c r="T565" s="168"/>
      <c r="U565" s="168"/>
    </row>
    <row r="566" spans="2:21" ht="15.75" customHeight="1" outlineLevel="2">
      <c r="B566" s="242"/>
      <c r="C566" s="353" t="s">
        <v>373</v>
      </c>
      <c r="D566" s="254"/>
      <c r="E566" s="242"/>
      <c r="F566" s="242"/>
      <c r="G566" s="167"/>
      <c r="H566" s="167"/>
      <c r="I566" s="246"/>
      <c r="J566" s="246">
        <v>0</v>
      </c>
      <c r="K566" s="246">
        <f>-K583</f>
        <v>0</v>
      </c>
      <c r="L566" s="246">
        <f ca="1">-L583</f>
        <v>0</v>
      </c>
      <c r="M566" s="246">
        <f ca="1">-M583</f>
        <v>0</v>
      </c>
      <c r="N566" s="246">
        <f ca="1">-N583</f>
        <v>0</v>
      </c>
      <c r="O566" s="246">
        <v>0</v>
      </c>
      <c r="P566" s="246">
        <v>0</v>
      </c>
      <c r="Q566" s="246">
        <v>0</v>
      </c>
      <c r="R566" s="246">
        <v>0</v>
      </c>
      <c r="S566" s="246">
        <v>0</v>
      </c>
      <c r="T566" s="168"/>
      <c r="U566" s="168"/>
    </row>
    <row r="567" spans="2:21" ht="15.75" customHeight="1" outlineLevel="2">
      <c r="B567" s="242"/>
      <c r="C567" s="353" t="s">
        <v>368</v>
      </c>
      <c r="D567" s="254"/>
      <c r="E567" s="242"/>
      <c r="F567" s="242"/>
      <c r="G567" s="167"/>
      <c r="H567" s="167"/>
      <c r="J567" s="239">
        <v>0</v>
      </c>
      <c r="K567" s="239">
        <f>K528</f>
        <v>-510399.17815515399</v>
      </c>
      <c r="L567" s="239">
        <f>L528</f>
        <v>-402820</v>
      </c>
      <c r="M567" s="239">
        <f t="shared" ref="M567:S567" si="149">M528+M520</f>
        <v>-12590000</v>
      </c>
      <c r="N567" s="239">
        <f t="shared" si="149"/>
        <v>0</v>
      </c>
      <c r="O567" s="239">
        <f t="shared" si="149"/>
        <v>0</v>
      </c>
      <c r="P567" s="239">
        <f t="shared" si="149"/>
        <v>0</v>
      </c>
      <c r="Q567" s="239">
        <f t="shared" si="149"/>
        <v>0</v>
      </c>
      <c r="R567" s="239">
        <f t="shared" si="149"/>
        <v>0</v>
      </c>
      <c r="S567" s="239">
        <f t="shared" si="149"/>
        <v>0</v>
      </c>
      <c r="T567" s="168"/>
      <c r="U567" s="168"/>
    </row>
    <row r="568" spans="2:21" ht="15.75" customHeight="1" outlineLevel="2">
      <c r="B568" s="242"/>
      <c r="C568" s="353" t="s">
        <v>412</v>
      </c>
      <c r="D568" s="254"/>
      <c r="E568" s="242"/>
      <c r="F568" s="242"/>
      <c r="G568" s="167"/>
      <c r="H568" s="167"/>
      <c r="I568" s="246"/>
      <c r="J568" s="246">
        <v>0</v>
      </c>
      <c r="K568" s="246">
        <f t="shared" ref="K568:R568" si="150">K588</f>
        <v>0</v>
      </c>
      <c r="L568" s="246">
        <f t="shared" si="150"/>
        <v>0</v>
      </c>
      <c r="M568" s="246">
        <f t="shared" si="150"/>
        <v>0</v>
      </c>
      <c r="N568" s="246">
        <f t="shared" si="150"/>
        <v>0</v>
      </c>
      <c r="O568" s="246">
        <f t="shared" si="150"/>
        <v>0</v>
      </c>
      <c r="P568" s="246">
        <f t="shared" si="150"/>
        <v>0</v>
      </c>
      <c r="Q568" s="246">
        <f t="shared" si="150"/>
        <v>0</v>
      </c>
      <c r="R568" s="246">
        <f t="shared" si="150"/>
        <v>0</v>
      </c>
      <c r="S568" s="246">
        <f>S588</f>
        <v>0</v>
      </c>
      <c r="T568" s="168"/>
      <c r="U568" s="168"/>
    </row>
    <row r="569" spans="2:21" ht="15.75" customHeight="1" outlineLevel="2">
      <c r="B569" s="242"/>
      <c r="C569" s="353" t="s">
        <v>375</v>
      </c>
      <c r="D569" s="254"/>
      <c r="E569" s="242"/>
      <c r="F569" s="242"/>
      <c r="G569" s="167"/>
      <c r="H569" s="167"/>
      <c r="I569" s="246"/>
      <c r="J569" s="239">
        <v>0</v>
      </c>
      <c r="K569" s="239">
        <v>0</v>
      </c>
      <c r="L569" s="239">
        <v>0</v>
      </c>
      <c r="M569" s="239">
        <v>0</v>
      </c>
      <c r="N569" s="239">
        <v>0</v>
      </c>
      <c r="O569" s="239">
        <v>0</v>
      </c>
      <c r="P569" s="239">
        <v>0</v>
      </c>
      <c r="Q569" s="239">
        <v>0</v>
      </c>
      <c r="R569" s="239">
        <v>0</v>
      </c>
      <c r="S569" s="239">
        <v>0</v>
      </c>
      <c r="T569" s="168"/>
      <c r="U569" s="168"/>
    </row>
    <row r="570" spans="2:21" ht="15.75" customHeight="1" outlineLevel="2">
      <c r="B570" s="242"/>
      <c r="C570" s="242" t="s">
        <v>413</v>
      </c>
      <c r="D570" s="242"/>
      <c r="E570" s="242"/>
      <c r="F570" s="242"/>
      <c r="G570" s="167"/>
      <c r="H570" s="246">
        <v>27299608.529279795</v>
      </c>
      <c r="I570" s="246">
        <f>28610494.4352147+29711325+22661203</f>
        <v>80983022.435214698</v>
      </c>
      <c r="J570" s="246">
        <v>111816101.33745699</v>
      </c>
      <c r="K570" s="246">
        <f t="shared" ref="K570:R570" si="151">SUM(K562:K569)</f>
        <v>123303537.49686083</v>
      </c>
      <c r="L570" s="246">
        <f t="shared" ca="1" si="151"/>
        <v>155735176.26785597</v>
      </c>
      <c r="M570" s="246">
        <f t="shared" ca="1" si="151"/>
        <v>147593790.56559542</v>
      </c>
      <c r="N570" s="246">
        <f t="shared" ca="1" si="151"/>
        <v>149669287.38630983</v>
      </c>
      <c r="O570" s="246">
        <f t="shared" ca="1" si="151"/>
        <v>149429273.44671714</v>
      </c>
      <c r="P570" s="246">
        <f t="shared" si="151"/>
        <v>0</v>
      </c>
      <c r="Q570" s="246">
        <f t="shared" si="151"/>
        <v>0</v>
      </c>
      <c r="R570" s="246">
        <f t="shared" si="151"/>
        <v>0</v>
      </c>
      <c r="S570" s="246">
        <f>SUM(S562:S569)</f>
        <v>0</v>
      </c>
      <c r="T570" s="168"/>
      <c r="U570" s="168"/>
    </row>
    <row r="571" spans="2:21" ht="15.75" customHeight="1" outlineLevel="2">
      <c r="B571" s="242"/>
      <c r="C571" s="254"/>
      <c r="D571" s="254"/>
      <c r="E571" s="254"/>
      <c r="F571" s="254"/>
      <c r="G571" s="167"/>
      <c r="H571" s="167"/>
      <c r="J571" s="254"/>
      <c r="K571" s="254"/>
      <c r="L571" s="255"/>
      <c r="M571" s="215"/>
      <c r="N571" s="215"/>
      <c r="O571" s="215"/>
      <c r="P571" s="215"/>
      <c r="Q571" s="215"/>
      <c r="R571" s="215"/>
      <c r="S571" s="215"/>
      <c r="T571" s="168"/>
      <c r="U571" s="168"/>
    </row>
    <row r="572" spans="2:21" ht="15.75" customHeight="1" outlineLevel="2">
      <c r="B572" s="242"/>
      <c r="C572" s="242" t="s">
        <v>464</v>
      </c>
      <c r="D572" s="242"/>
      <c r="E572" s="242"/>
      <c r="F572" s="242"/>
      <c r="G572" s="167"/>
      <c r="H572" s="167"/>
      <c r="I572" s="167"/>
      <c r="J572" s="272"/>
      <c r="K572" s="272"/>
      <c r="L572" s="272"/>
      <c r="M572" s="215"/>
      <c r="N572" s="215"/>
      <c r="O572" s="215"/>
      <c r="P572" s="215"/>
      <c r="Q572" s="215"/>
      <c r="R572" s="215"/>
      <c r="S572" s="215"/>
      <c r="T572" s="168"/>
      <c r="U572" s="168"/>
    </row>
    <row r="573" spans="2:21" ht="15.75" customHeight="1" outlineLevel="2">
      <c r="B573" s="242"/>
      <c r="C573" s="353" t="s">
        <v>414</v>
      </c>
      <c r="D573" s="254"/>
      <c r="E573" s="242"/>
      <c r="F573" s="242"/>
      <c r="G573" s="167"/>
      <c r="H573" s="301"/>
      <c r="I573" s="301"/>
      <c r="J573" s="239">
        <v>0</v>
      </c>
      <c r="K573" s="246">
        <v>0</v>
      </c>
      <c r="L573" s="246">
        <f t="shared" ref="L573:S573" si="152">K576</f>
        <v>0</v>
      </c>
      <c r="M573" s="246">
        <f t="shared" si="152"/>
        <v>0</v>
      </c>
      <c r="N573" s="246">
        <f t="shared" si="152"/>
        <v>0</v>
      </c>
      <c r="O573" s="246">
        <f t="shared" si="152"/>
        <v>0</v>
      </c>
      <c r="P573" s="246">
        <f t="shared" si="152"/>
        <v>0</v>
      </c>
      <c r="Q573" s="246">
        <f t="shared" si="152"/>
        <v>0</v>
      </c>
      <c r="R573" s="246">
        <f t="shared" si="152"/>
        <v>0</v>
      </c>
      <c r="S573" s="246">
        <f t="shared" si="152"/>
        <v>0</v>
      </c>
      <c r="T573" s="168"/>
      <c r="U573" s="168"/>
    </row>
    <row r="574" spans="2:21" ht="15.75" customHeight="1" outlineLevel="2">
      <c r="B574" s="242"/>
      <c r="C574" s="353" t="s">
        <v>465</v>
      </c>
      <c r="D574" s="254"/>
      <c r="E574" s="242"/>
      <c r="F574" s="242"/>
      <c r="G574" s="167"/>
      <c r="H574" s="301"/>
      <c r="I574" s="301"/>
      <c r="J574" s="239">
        <v>0</v>
      </c>
      <c r="K574" s="239">
        <v>0</v>
      </c>
      <c r="L574" s="239">
        <v>0</v>
      </c>
      <c r="M574" s="239">
        <v>0</v>
      </c>
      <c r="N574" s="239">
        <v>0</v>
      </c>
      <c r="O574" s="239">
        <v>0</v>
      </c>
      <c r="P574" s="239">
        <v>0</v>
      </c>
      <c r="Q574" s="239">
        <v>0</v>
      </c>
      <c r="R574" s="239">
        <v>0</v>
      </c>
      <c r="S574" s="239">
        <v>0</v>
      </c>
      <c r="T574" s="168"/>
      <c r="U574" s="168"/>
    </row>
    <row r="575" spans="2:21" ht="15.75" customHeight="1" outlineLevel="2">
      <c r="B575" s="242"/>
      <c r="C575" s="353" t="s">
        <v>466</v>
      </c>
      <c r="D575" s="254"/>
      <c r="E575" s="242"/>
      <c r="F575" s="242"/>
      <c r="G575" s="167"/>
      <c r="H575" s="301"/>
      <c r="I575" s="301"/>
      <c r="J575" s="239">
        <v>0</v>
      </c>
      <c r="K575" s="239">
        <v>0</v>
      </c>
      <c r="L575" s="239">
        <v>0</v>
      </c>
      <c r="M575" s="239">
        <v>0</v>
      </c>
      <c r="N575" s="239">
        <v>0</v>
      </c>
      <c r="O575" s="239">
        <v>0</v>
      </c>
      <c r="P575" s="239">
        <v>0</v>
      </c>
      <c r="Q575" s="239">
        <v>0</v>
      </c>
      <c r="R575" s="239">
        <v>0</v>
      </c>
      <c r="S575" s="239">
        <v>0</v>
      </c>
      <c r="T575" s="168"/>
      <c r="U575" s="168"/>
    </row>
    <row r="576" spans="2:21" ht="15.75" customHeight="1" outlineLevel="2">
      <c r="B576" s="242"/>
      <c r="C576" s="353" t="s">
        <v>415</v>
      </c>
      <c r="D576" s="254"/>
      <c r="E576" s="242"/>
      <c r="F576" s="242"/>
      <c r="G576" s="167"/>
      <c r="H576" s="301"/>
      <c r="I576" s="301"/>
      <c r="J576" s="246">
        <v>0</v>
      </c>
      <c r="K576" s="246">
        <v>0</v>
      </c>
      <c r="L576" s="246">
        <f t="shared" ref="L576:R576" si="153">SUM(L573:L575)</f>
        <v>0</v>
      </c>
      <c r="M576" s="246">
        <f t="shared" si="153"/>
        <v>0</v>
      </c>
      <c r="N576" s="246">
        <f t="shared" si="153"/>
        <v>0</v>
      </c>
      <c r="O576" s="246">
        <f t="shared" si="153"/>
        <v>0</v>
      </c>
      <c r="P576" s="246">
        <f t="shared" si="153"/>
        <v>0</v>
      </c>
      <c r="Q576" s="246">
        <f t="shared" si="153"/>
        <v>0</v>
      </c>
      <c r="R576" s="246">
        <f t="shared" si="153"/>
        <v>0</v>
      </c>
      <c r="S576" s="246">
        <f>SUM(S573:S575)</f>
        <v>0</v>
      </c>
      <c r="T576" s="168"/>
      <c r="U576" s="168"/>
    </row>
    <row r="577" spans="2:21" ht="15.75" customHeight="1" outlineLevel="2">
      <c r="B577" s="242"/>
      <c r="C577" s="254"/>
      <c r="D577" s="254"/>
      <c r="E577" s="254"/>
      <c r="F577" s="254"/>
      <c r="G577" s="167"/>
      <c r="H577" s="167"/>
      <c r="I577" s="167"/>
      <c r="J577" s="254"/>
      <c r="K577" s="254"/>
      <c r="L577" s="254"/>
      <c r="M577" s="215"/>
      <c r="N577" s="215"/>
      <c r="O577" s="215"/>
      <c r="P577" s="215"/>
      <c r="Q577" s="215"/>
      <c r="R577" s="215"/>
      <c r="S577" s="215"/>
      <c r="T577" s="168"/>
      <c r="U577" s="168"/>
    </row>
    <row r="578" spans="2:21" ht="15.75" customHeight="1" outlineLevel="2">
      <c r="B578" s="242"/>
      <c r="C578" s="242" t="s">
        <v>467</v>
      </c>
      <c r="D578" s="242"/>
      <c r="E578" s="242"/>
      <c r="F578" s="242"/>
      <c r="G578" s="167"/>
      <c r="H578" s="167"/>
      <c r="I578" s="167"/>
      <c r="J578" s="242"/>
      <c r="K578" s="249"/>
      <c r="L578" s="249"/>
      <c r="M578" s="215"/>
      <c r="N578" s="215"/>
      <c r="O578" s="215"/>
      <c r="P578" s="215"/>
      <c r="Q578" s="215"/>
      <c r="R578" s="215"/>
      <c r="S578" s="215"/>
      <c r="T578" s="168"/>
      <c r="U578" s="168"/>
    </row>
    <row r="579" spans="2:21" ht="15.75" customHeight="1" outlineLevel="2">
      <c r="B579" s="242"/>
      <c r="C579" s="353" t="s">
        <v>346</v>
      </c>
      <c r="D579" s="242"/>
      <c r="E579" s="242"/>
      <c r="F579" s="242"/>
      <c r="G579" s="167"/>
      <c r="H579" s="167"/>
      <c r="I579" s="167"/>
      <c r="J579" s="246">
        <v>308330.78902242292</v>
      </c>
      <c r="K579" s="246">
        <v>119978.35337559007</v>
      </c>
      <c r="L579" s="246">
        <f ca="1">IF(L321/L594&lt;0,0,L321/L594)</f>
        <v>328344.58770995139</v>
      </c>
      <c r="M579" s="246">
        <f ca="1">IF(M321/M594&lt;0,0,M321/M594)</f>
        <v>44486.142977394389</v>
      </c>
      <c r="N579" s="246">
        <f ca="1">IF(N321/N594&lt;0,0,N321/N594)</f>
        <v>20754.968207144004</v>
      </c>
      <c r="O579" s="246">
        <f ca="1">IF(O321/O594&lt;0,0,O321/O594)</f>
        <v>0</v>
      </c>
      <c r="P579" s="246"/>
      <c r="Q579" s="246"/>
      <c r="R579" s="246"/>
      <c r="S579" s="246"/>
      <c r="T579" s="168"/>
      <c r="U579" s="168"/>
    </row>
    <row r="580" spans="2:21" ht="15.75" customHeight="1" outlineLevel="2">
      <c r="B580" s="242"/>
      <c r="C580" s="353" t="s">
        <v>468</v>
      </c>
      <c r="D580" s="254"/>
      <c r="E580" s="242"/>
      <c r="F580" s="242"/>
      <c r="G580" s="167"/>
      <c r="H580" s="167"/>
      <c r="I580" s="167"/>
      <c r="J580" s="402">
        <v>0</v>
      </c>
      <c r="K580" s="402">
        <v>0</v>
      </c>
      <c r="L580" s="402">
        <f>K580</f>
        <v>0</v>
      </c>
      <c r="M580" s="402">
        <f>L580</f>
        <v>0</v>
      </c>
      <c r="N580" s="402">
        <f>M580</f>
        <v>0</v>
      </c>
      <c r="O580" s="402">
        <f>N580</f>
        <v>0</v>
      </c>
      <c r="P580" s="402"/>
      <c r="Q580" s="402"/>
      <c r="R580" s="402"/>
      <c r="S580" s="402"/>
      <c r="T580" s="168"/>
      <c r="U580" s="168"/>
    </row>
    <row r="581" spans="2:21" ht="15.75" customHeight="1" outlineLevel="2">
      <c r="B581" s="242"/>
      <c r="C581" s="353" t="s">
        <v>469</v>
      </c>
      <c r="D581" s="254"/>
      <c r="E581" s="242"/>
      <c r="F581" s="242"/>
      <c r="G581" s="167"/>
      <c r="H581" s="167"/>
      <c r="I581" s="167"/>
      <c r="J581" s="246">
        <v>0</v>
      </c>
      <c r="K581" s="246">
        <v>0</v>
      </c>
      <c r="L581" s="246">
        <f ca="1">L579*L580</f>
        <v>0</v>
      </c>
      <c r="M581" s="246">
        <f ca="1">M579*M580</f>
        <v>0</v>
      </c>
      <c r="N581" s="246">
        <f ca="1">N579*N580</f>
        <v>0</v>
      </c>
      <c r="O581" s="246">
        <v>0</v>
      </c>
      <c r="P581" s="246">
        <v>0</v>
      </c>
      <c r="Q581" s="246">
        <v>0</v>
      </c>
      <c r="R581" s="246">
        <v>0</v>
      </c>
      <c r="S581" s="246">
        <v>0</v>
      </c>
      <c r="T581" s="168"/>
      <c r="U581" s="168"/>
    </row>
    <row r="582" spans="2:21" ht="15.75" customHeight="1" outlineLevel="2">
      <c r="B582" s="242"/>
      <c r="C582" s="353" t="s">
        <v>470</v>
      </c>
      <c r="D582" s="254"/>
      <c r="E582" s="242"/>
      <c r="F582" s="242"/>
      <c r="G582" s="167"/>
      <c r="H582" s="167"/>
      <c r="I582" s="167"/>
      <c r="J582" s="239">
        <v>0</v>
      </c>
      <c r="K582" s="239">
        <v>0</v>
      </c>
      <c r="L582" s="239">
        <v>0</v>
      </c>
      <c r="M582" s="239">
        <v>0</v>
      </c>
      <c r="N582" s="239">
        <v>0</v>
      </c>
      <c r="O582" s="239">
        <v>0</v>
      </c>
      <c r="P582" s="239">
        <v>0</v>
      </c>
      <c r="Q582" s="239">
        <v>0</v>
      </c>
      <c r="R582" s="239">
        <v>0</v>
      </c>
      <c r="S582" s="239">
        <v>0</v>
      </c>
      <c r="T582" s="168"/>
      <c r="U582" s="168"/>
    </row>
    <row r="583" spans="2:21" ht="15.75" customHeight="1" outlineLevel="2">
      <c r="B583" s="242"/>
      <c r="C583" s="353" t="s">
        <v>471</v>
      </c>
      <c r="D583" s="254"/>
      <c r="E583" s="242"/>
      <c r="F583" s="242"/>
      <c r="G583" s="167"/>
      <c r="H583" s="167"/>
      <c r="I583" s="167"/>
      <c r="J583" s="246">
        <v>0</v>
      </c>
      <c r="K583" s="246">
        <v>0</v>
      </c>
      <c r="L583" s="246">
        <f t="shared" ref="L583:R583" ca="1" si="154">L582*L581</f>
        <v>0</v>
      </c>
      <c r="M583" s="246">
        <f t="shared" ca="1" si="154"/>
        <v>0</v>
      </c>
      <c r="N583" s="246">
        <f t="shared" ca="1" si="154"/>
        <v>0</v>
      </c>
      <c r="O583" s="246">
        <f t="shared" si="154"/>
        <v>0</v>
      </c>
      <c r="P583" s="246">
        <f t="shared" si="154"/>
        <v>0</v>
      </c>
      <c r="Q583" s="246">
        <f t="shared" si="154"/>
        <v>0</v>
      </c>
      <c r="R583" s="246">
        <f t="shared" si="154"/>
        <v>0</v>
      </c>
      <c r="S583" s="246">
        <f>S582*S581</f>
        <v>0</v>
      </c>
      <c r="T583" s="168"/>
      <c r="U583" s="168"/>
    </row>
    <row r="584" spans="2:21" ht="15.75" customHeight="1" outlineLevel="2">
      <c r="B584" s="242"/>
      <c r="C584" s="254"/>
      <c r="D584" s="254"/>
      <c r="E584" s="254"/>
      <c r="F584" s="254"/>
      <c r="G584" s="167"/>
      <c r="H584" s="167"/>
      <c r="I584" s="167"/>
      <c r="J584" s="254"/>
      <c r="K584" s="254"/>
      <c r="L584" s="255"/>
      <c r="M584" s="215"/>
      <c r="N584" s="215"/>
      <c r="O584" s="215"/>
      <c r="P584" s="215"/>
      <c r="Q584" s="215"/>
      <c r="R584" s="215"/>
      <c r="S584" s="215"/>
      <c r="T584" s="168"/>
      <c r="U584" s="168"/>
    </row>
    <row r="585" spans="2:21" ht="15.75" customHeight="1" outlineLevel="2">
      <c r="B585" s="242"/>
      <c r="C585" s="242" t="s">
        <v>472</v>
      </c>
      <c r="D585" s="242"/>
      <c r="E585" s="242"/>
      <c r="F585" s="242"/>
      <c r="G585" s="167"/>
      <c r="H585" s="167"/>
      <c r="I585" s="167"/>
      <c r="J585" s="242"/>
      <c r="K585" s="249"/>
      <c r="L585" s="249"/>
      <c r="M585" s="215"/>
      <c r="N585" s="215"/>
      <c r="O585" s="215"/>
      <c r="P585" s="215"/>
      <c r="Q585" s="215"/>
      <c r="R585" s="215"/>
      <c r="S585" s="215"/>
      <c r="T585" s="168"/>
      <c r="U585" s="168"/>
    </row>
    <row r="586" spans="2:21" ht="15.75" customHeight="1" outlineLevel="2">
      <c r="B586" s="242"/>
      <c r="C586" s="353" t="s">
        <v>473</v>
      </c>
      <c r="D586" s="254"/>
      <c r="E586" s="242"/>
      <c r="F586" s="242"/>
      <c r="G586" s="167"/>
      <c r="H586" s="167"/>
      <c r="I586" s="167"/>
      <c r="J586" s="239">
        <v>0</v>
      </c>
      <c r="K586" s="239">
        <v>0</v>
      </c>
      <c r="L586" s="239">
        <v>0</v>
      </c>
      <c r="M586" s="239">
        <v>0</v>
      </c>
      <c r="N586" s="239">
        <v>0</v>
      </c>
      <c r="O586" s="239">
        <v>0</v>
      </c>
      <c r="P586" s="239">
        <v>0</v>
      </c>
      <c r="Q586" s="239">
        <v>0</v>
      </c>
      <c r="R586" s="239">
        <v>0</v>
      </c>
      <c r="S586" s="239">
        <v>0</v>
      </c>
      <c r="T586" s="168"/>
      <c r="U586" s="168"/>
    </row>
    <row r="587" spans="2:21" ht="15.75" customHeight="1" outlineLevel="2">
      <c r="B587" s="242"/>
      <c r="C587" s="353" t="s">
        <v>474</v>
      </c>
      <c r="D587" s="254"/>
      <c r="E587" s="242"/>
      <c r="F587" s="242"/>
      <c r="G587" s="167"/>
      <c r="H587" s="167"/>
      <c r="I587" s="167"/>
      <c r="J587" s="239">
        <v>0</v>
      </c>
      <c r="K587" s="239">
        <v>0</v>
      </c>
      <c r="L587" s="239">
        <v>0</v>
      </c>
      <c r="M587" s="239">
        <v>0</v>
      </c>
      <c r="N587" s="239">
        <v>0</v>
      </c>
      <c r="O587" s="239">
        <v>0</v>
      </c>
      <c r="P587" s="239">
        <v>0</v>
      </c>
      <c r="Q587" s="239">
        <v>0</v>
      </c>
      <c r="R587" s="239">
        <v>0</v>
      </c>
      <c r="S587" s="239">
        <v>0</v>
      </c>
      <c r="T587" s="168"/>
      <c r="U587" s="168"/>
    </row>
    <row r="588" spans="2:21" ht="15.75" customHeight="1" outlineLevel="2">
      <c r="B588" s="242"/>
      <c r="C588" s="353" t="s">
        <v>475</v>
      </c>
      <c r="D588" s="254"/>
      <c r="E588" s="242"/>
      <c r="F588" s="242"/>
      <c r="G588" s="167"/>
      <c r="H588" s="167"/>
      <c r="I588" s="167"/>
      <c r="J588" s="246">
        <v>0</v>
      </c>
      <c r="K588" s="246">
        <v>0</v>
      </c>
      <c r="L588" s="246">
        <f t="shared" ref="L588:R588" si="155">L587*L586</f>
        <v>0</v>
      </c>
      <c r="M588" s="246">
        <f t="shared" si="155"/>
        <v>0</v>
      </c>
      <c r="N588" s="246">
        <f t="shared" si="155"/>
        <v>0</v>
      </c>
      <c r="O588" s="246">
        <f t="shared" si="155"/>
        <v>0</v>
      </c>
      <c r="P588" s="246">
        <f t="shared" si="155"/>
        <v>0</v>
      </c>
      <c r="Q588" s="246">
        <f t="shared" si="155"/>
        <v>0</v>
      </c>
      <c r="R588" s="246">
        <f t="shared" si="155"/>
        <v>0</v>
      </c>
      <c r="S588" s="246">
        <f>S587*S586</f>
        <v>0</v>
      </c>
      <c r="T588" s="168"/>
      <c r="U588" s="168"/>
    </row>
    <row r="589" spans="2:21" ht="15.75" customHeight="1" outlineLevel="2">
      <c r="B589" s="242"/>
      <c r="C589" s="254"/>
      <c r="D589" s="254"/>
      <c r="E589" s="254"/>
      <c r="F589" s="254"/>
      <c r="G589" s="167"/>
      <c r="H589" s="167"/>
      <c r="I589" s="167"/>
      <c r="J589" s="254"/>
      <c r="K589" s="254"/>
      <c r="L589" s="255"/>
      <c r="M589" s="215"/>
      <c r="N589" s="215"/>
      <c r="O589" s="215"/>
      <c r="P589" s="215"/>
      <c r="Q589" s="215"/>
      <c r="R589" s="215"/>
      <c r="S589" s="215"/>
      <c r="T589" s="168"/>
      <c r="U589" s="168"/>
    </row>
    <row r="590" spans="2:21" ht="15.75" customHeight="1" outlineLevel="2">
      <c r="B590" s="242"/>
      <c r="C590" s="242" t="s">
        <v>476</v>
      </c>
      <c r="D590" s="242"/>
      <c r="E590" s="242"/>
      <c r="F590" s="242"/>
      <c r="G590" s="167"/>
      <c r="H590" s="167"/>
      <c r="I590" s="167"/>
      <c r="J590" s="242"/>
      <c r="K590" s="249"/>
      <c r="L590" s="249"/>
      <c r="M590" s="215"/>
      <c r="N590" s="215"/>
      <c r="O590" s="215"/>
      <c r="P590" s="215"/>
      <c r="Q590" s="215"/>
      <c r="R590" s="215"/>
      <c r="S590" s="215"/>
      <c r="T590" s="168"/>
      <c r="U590" s="168"/>
    </row>
    <row r="591" spans="2:21" ht="15.75" customHeight="1" outlineLevel="2">
      <c r="B591" s="242"/>
      <c r="C591" s="353" t="s">
        <v>477</v>
      </c>
      <c r="D591" s="254"/>
      <c r="E591" s="242"/>
      <c r="F591" s="242"/>
      <c r="G591" s="167"/>
      <c r="H591" s="167"/>
      <c r="I591" s="167"/>
      <c r="J591" s="747">
        <v>100</v>
      </c>
      <c r="K591" s="246">
        <v>100</v>
      </c>
      <c r="L591" s="246">
        <f>K594</f>
        <v>100</v>
      </c>
      <c r="M591" s="246">
        <f>L594</f>
        <v>100</v>
      </c>
      <c r="N591" s="246">
        <f>M594</f>
        <v>100</v>
      </c>
      <c r="O591" s="246">
        <v>100</v>
      </c>
      <c r="P591" s="246"/>
      <c r="Q591" s="246"/>
      <c r="R591" s="246"/>
      <c r="S591" s="246"/>
      <c r="T591" s="168"/>
      <c r="U591" s="168"/>
    </row>
    <row r="592" spans="2:21" ht="15.75" customHeight="1" outlineLevel="2">
      <c r="B592" s="242"/>
      <c r="C592" s="353" t="s">
        <v>478</v>
      </c>
      <c r="D592" s="254"/>
      <c r="E592" s="242"/>
      <c r="F592" s="242"/>
      <c r="G592" s="167"/>
      <c r="H592" s="167"/>
      <c r="I592" s="167"/>
      <c r="J592" s="246">
        <v>0</v>
      </c>
      <c r="K592" s="246">
        <v>0</v>
      </c>
      <c r="L592" s="246">
        <f t="shared" ref="L592:R592" si="156">L586</f>
        <v>0</v>
      </c>
      <c r="M592" s="246">
        <f t="shared" si="156"/>
        <v>0</v>
      </c>
      <c r="N592" s="246">
        <f t="shared" si="156"/>
        <v>0</v>
      </c>
      <c r="O592" s="246">
        <f t="shared" si="156"/>
        <v>0</v>
      </c>
      <c r="P592" s="246">
        <f t="shared" si="156"/>
        <v>0</v>
      </c>
      <c r="Q592" s="246">
        <f t="shared" si="156"/>
        <v>0</v>
      </c>
      <c r="R592" s="246">
        <f t="shared" si="156"/>
        <v>0</v>
      </c>
      <c r="S592" s="246">
        <f>S586</f>
        <v>0</v>
      </c>
      <c r="T592" s="168"/>
      <c r="U592" s="168"/>
    </row>
    <row r="593" spans="2:21" ht="15.75" customHeight="1" outlineLevel="2">
      <c r="B593" s="242"/>
      <c r="C593" s="353" t="s">
        <v>479</v>
      </c>
      <c r="D593" s="254"/>
      <c r="E593" s="242"/>
      <c r="F593" s="242"/>
      <c r="G593" s="167"/>
      <c r="H593" s="167"/>
      <c r="I593" s="167"/>
      <c r="J593" s="246">
        <v>0</v>
      </c>
      <c r="K593" s="246">
        <v>0</v>
      </c>
      <c r="L593" s="246">
        <f t="shared" ref="L593:R593" si="157">-L582</f>
        <v>0</v>
      </c>
      <c r="M593" s="246">
        <f t="shared" si="157"/>
        <v>0</v>
      </c>
      <c r="N593" s="246">
        <f t="shared" si="157"/>
        <v>0</v>
      </c>
      <c r="O593" s="246">
        <f t="shared" si="157"/>
        <v>0</v>
      </c>
      <c r="P593" s="246">
        <f t="shared" si="157"/>
        <v>0</v>
      </c>
      <c r="Q593" s="246">
        <f t="shared" si="157"/>
        <v>0</v>
      </c>
      <c r="R593" s="246">
        <f t="shared" si="157"/>
        <v>0</v>
      </c>
      <c r="S593" s="246">
        <f>-S582</f>
        <v>0</v>
      </c>
      <c r="T593" s="168"/>
      <c r="U593" s="168"/>
    </row>
    <row r="594" spans="2:21" ht="15.75" customHeight="1" outlineLevel="2">
      <c r="B594" s="242"/>
      <c r="C594" s="353" t="s">
        <v>480</v>
      </c>
      <c r="D594" s="254"/>
      <c r="E594" s="242"/>
      <c r="F594" s="242"/>
      <c r="G594" s="167"/>
      <c r="H594" s="167"/>
      <c r="I594" s="167"/>
      <c r="J594" s="403">
        <v>100</v>
      </c>
      <c r="K594" s="403">
        <v>100</v>
      </c>
      <c r="L594" s="403">
        <f t="shared" ref="L594:R594" si="158">SUM(L591:L593)</f>
        <v>100</v>
      </c>
      <c r="M594" s="403">
        <f t="shared" si="158"/>
        <v>100</v>
      </c>
      <c r="N594" s="403">
        <f t="shared" si="158"/>
        <v>100</v>
      </c>
      <c r="O594" s="403">
        <f t="shared" si="158"/>
        <v>100</v>
      </c>
      <c r="P594" s="403">
        <f t="shared" si="158"/>
        <v>0</v>
      </c>
      <c r="Q594" s="403">
        <f t="shared" si="158"/>
        <v>0</v>
      </c>
      <c r="R594" s="403">
        <f t="shared" si="158"/>
        <v>0</v>
      </c>
      <c r="S594" s="403">
        <f>SUM(S591:S593)</f>
        <v>0</v>
      </c>
      <c r="T594" s="168"/>
      <c r="U594" s="168"/>
    </row>
    <row r="595" spans="2:21" ht="15.75" customHeight="1" outlineLevel="2">
      <c r="B595" s="242"/>
      <c r="C595" s="254"/>
      <c r="D595" s="254"/>
      <c r="E595" s="254"/>
      <c r="F595" s="254"/>
      <c r="G595" s="167"/>
      <c r="H595" s="167"/>
      <c r="I595" s="167"/>
      <c r="J595" s="254"/>
      <c r="K595" s="254"/>
      <c r="L595" s="255"/>
      <c r="M595" s="215"/>
      <c r="N595" s="215"/>
      <c r="O595" s="215"/>
      <c r="P595" s="215"/>
      <c r="Q595" s="215"/>
      <c r="R595" s="215"/>
      <c r="S595" s="215"/>
      <c r="T595" s="168"/>
      <c r="U595" s="168"/>
    </row>
    <row r="596" spans="2:21" ht="15.75" customHeight="1" outlineLevel="2">
      <c r="B596" s="242"/>
      <c r="C596" s="242" t="s">
        <v>481</v>
      </c>
      <c r="D596" s="242"/>
      <c r="E596" s="242"/>
      <c r="F596" s="242"/>
      <c r="G596" s="167"/>
      <c r="H596" s="167"/>
      <c r="I596" s="167"/>
      <c r="J596" s="246">
        <v>0</v>
      </c>
      <c r="K596" s="246">
        <v>0</v>
      </c>
      <c r="L596" s="246">
        <f>L597/L594</f>
        <v>0</v>
      </c>
      <c r="M596" s="246">
        <f>M597/M594</f>
        <v>0</v>
      </c>
      <c r="N596" s="246">
        <f>N597/N594</f>
        <v>0</v>
      </c>
      <c r="O596" s="246">
        <f>O597/O594</f>
        <v>0</v>
      </c>
      <c r="P596" s="246"/>
      <c r="Q596" s="246"/>
      <c r="R596" s="246"/>
      <c r="S596" s="246"/>
      <c r="T596" s="168"/>
      <c r="U596" s="168"/>
    </row>
    <row r="597" spans="2:21" ht="15.75" customHeight="1" outlineLevel="2">
      <c r="B597" s="242"/>
      <c r="C597" s="242" t="s">
        <v>482</v>
      </c>
      <c r="D597" s="242"/>
      <c r="E597" s="242"/>
      <c r="F597" s="242"/>
      <c r="G597" s="167"/>
      <c r="H597" s="167"/>
      <c r="I597" s="167"/>
      <c r="J597" s="242">
        <v>0</v>
      </c>
      <c r="K597" s="242">
        <v>0</v>
      </c>
      <c r="L597" s="239">
        <v>0</v>
      </c>
      <c r="M597" s="239">
        <v>0</v>
      </c>
      <c r="N597" s="239">
        <v>0</v>
      </c>
      <c r="O597" s="239">
        <v>0</v>
      </c>
      <c r="P597" s="239">
        <v>0</v>
      </c>
      <c r="Q597" s="239">
        <v>0</v>
      </c>
      <c r="R597" s="239">
        <v>0</v>
      </c>
      <c r="S597" s="239">
        <v>0</v>
      </c>
      <c r="T597" s="168"/>
      <c r="U597" s="168"/>
    </row>
    <row r="598" spans="2:21" ht="15.75" customHeight="1" outlineLevel="2">
      <c r="B598" s="242"/>
      <c r="C598" s="242" t="s">
        <v>483</v>
      </c>
      <c r="D598" s="242"/>
      <c r="E598" s="242"/>
      <c r="F598" s="242"/>
      <c r="G598" s="167"/>
      <c r="H598" s="167"/>
      <c r="I598" s="167"/>
      <c r="J598" s="243">
        <v>0</v>
      </c>
      <c r="K598" s="243">
        <v>0</v>
      </c>
      <c r="L598" s="243">
        <f>K598</f>
        <v>0</v>
      </c>
      <c r="M598" s="243">
        <f>L598</f>
        <v>0</v>
      </c>
      <c r="N598" s="215"/>
      <c r="O598" s="215"/>
      <c r="P598" s="215"/>
      <c r="Q598" s="215"/>
      <c r="R598" s="215"/>
      <c r="S598" s="215"/>
      <c r="T598" s="168"/>
      <c r="U598" s="168"/>
    </row>
    <row r="599" spans="2:21" ht="15.75" customHeight="1" outlineLevel="1">
      <c r="B599" s="242"/>
      <c r="C599" s="242"/>
      <c r="D599" s="242"/>
      <c r="E599" s="242"/>
      <c r="F599" s="242"/>
      <c r="G599" s="167"/>
      <c r="H599" s="167"/>
      <c r="I599" s="243"/>
      <c r="J599" s="243"/>
      <c r="K599" s="243"/>
      <c r="L599" s="243"/>
      <c r="M599" s="215"/>
      <c r="N599" s="215"/>
      <c r="O599" s="215"/>
      <c r="P599" s="215"/>
      <c r="Q599" s="215"/>
      <c r="R599" s="215"/>
      <c r="S599" s="215"/>
      <c r="T599" s="168"/>
      <c r="U599" s="168"/>
    </row>
    <row r="600" spans="2:21" ht="15.75" customHeight="1" outlineLevel="1">
      <c r="B600" s="242"/>
      <c r="C600" s="242"/>
      <c r="D600" s="242"/>
      <c r="E600" s="242"/>
      <c r="F600" s="242"/>
      <c r="G600" s="167"/>
      <c r="H600" s="167"/>
      <c r="I600" s="242"/>
      <c r="J600" s="242"/>
      <c r="K600" s="249"/>
      <c r="L600" s="249"/>
      <c r="M600" s="215"/>
      <c r="N600" s="215"/>
      <c r="O600" s="215"/>
      <c r="P600" s="215"/>
      <c r="Q600" s="215"/>
      <c r="R600" s="215"/>
      <c r="S600" s="215"/>
      <c r="T600" s="168"/>
      <c r="U600" s="168"/>
    </row>
    <row r="601" spans="2:21" ht="15.75" customHeight="1" outlineLevel="1">
      <c r="B601" s="242"/>
      <c r="C601" s="242"/>
      <c r="D601" s="242"/>
      <c r="E601" s="242"/>
      <c r="F601" s="242"/>
      <c r="G601" s="167"/>
      <c r="H601" s="167"/>
      <c r="I601" s="242"/>
      <c r="J601" s="242"/>
      <c r="K601" s="249"/>
      <c r="L601" s="249"/>
      <c r="M601" s="215"/>
      <c r="N601" s="215"/>
      <c r="O601" s="215"/>
      <c r="P601" s="215"/>
      <c r="Q601" s="215"/>
      <c r="R601" s="215"/>
      <c r="S601" s="215"/>
      <c r="T601" s="168"/>
      <c r="U601" s="168"/>
    </row>
    <row r="602" spans="2:21" ht="15.75" customHeight="1" outlineLevel="1">
      <c r="B602" s="215"/>
      <c r="C602" s="168"/>
      <c r="D602" s="168"/>
      <c r="E602" s="168"/>
      <c r="F602" s="168"/>
      <c r="G602" s="167"/>
      <c r="H602" s="167"/>
      <c r="I602" s="254"/>
      <c r="J602" s="254"/>
      <c r="K602" s="367"/>
      <c r="L602" s="368"/>
      <c r="M602" s="215"/>
      <c r="N602" s="742"/>
      <c r="O602" s="742"/>
      <c r="P602" s="742"/>
      <c r="Q602" s="742"/>
      <c r="R602" s="742"/>
      <c r="S602" s="742"/>
      <c r="T602" s="168"/>
      <c r="U602" s="168"/>
    </row>
    <row r="603" spans="2:21" ht="15.75" customHeight="1" outlineLevel="1">
      <c r="B603" s="242"/>
      <c r="C603" s="254"/>
      <c r="D603" s="254"/>
      <c r="E603" s="254"/>
      <c r="F603" s="254"/>
      <c r="G603" s="167"/>
      <c r="H603" s="167"/>
      <c r="I603" s="254"/>
      <c r="J603" s="254"/>
      <c r="K603" s="255"/>
      <c r="L603" s="255"/>
      <c r="M603" s="215"/>
      <c r="N603" s="215"/>
      <c r="O603" s="215"/>
      <c r="P603" s="215"/>
      <c r="Q603" s="215"/>
      <c r="R603" s="215"/>
      <c r="S603" s="215"/>
      <c r="T603" s="168"/>
      <c r="U603" s="168"/>
    </row>
    <row r="604" spans="2:21" ht="27" outlineLevel="1">
      <c r="B604" s="242"/>
      <c r="C604" s="733" t="s">
        <v>322</v>
      </c>
      <c r="D604" s="168"/>
      <c r="E604" s="168"/>
      <c r="F604" s="168"/>
      <c r="G604" s="167"/>
      <c r="H604" s="167"/>
      <c r="I604" s="254"/>
      <c r="J604" s="254"/>
      <c r="K604" s="367"/>
      <c r="L604" s="368"/>
      <c r="M604" s="367"/>
      <c r="N604" s="368"/>
      <c r="O604" s="368"/>
      <c r="P604" s="368"/>
      <c r="Q604" s="368"/>
      <c r="R604" s="368"/>
      <c r="S604" s="368"/>
      <c r="T604" s="168"/>
      <c r="U604" s="168"/>
    </row>
    <row r="605" spans="2:21" ht="3" customHeight="1" outlineLevel="1">
      <c r="B605" s="242"/>
      <c r="C605" s="299"/>
      <c r="D605" s="229"/>
      <c r="E605" s="229"/>
      <c r="F605" s="229"/>
      <c r="G605" s="300"/>
      <c r="H605" s="300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168"/>
      <c r="U605" s="168"/>
    </row>
    <row r="606" spans="2:21" ht="15.75" customHeight="1" outlineLevel="1">
      <c r="B606" s="242"/>
      <c r="C606" s="601"/>
      <c r="D606" s="168"/>
      <c r="E606" s="168"/>
      <c r="F606" s="168"/>
      <c r="G606" s="167"/>
      <c r="H606" s="167"/>
      <c r="I606" s="254"/>
      <c r="J606" s="254"/>
      <c r="K606" s="367"/>
      <c r="L606" s="368"/>
      <c r="M606" s="367"/>
      <c r="N606" s="368"/>
      <c r="O606" s="368"/>
      <c r="P606" s="368"/>
      <c r="Q606" s="368"/>
      <c r="R606" s="368"/>
      <c r="S606" s="368"/>
      <c r="T606" s="168"/>
      <c r="U606" s="168"/>
    </row>
    <row r="607" spans="2:21" ht="15.75" customHeight="1" outlineLevel="1">
      <c r="B607" s="242"/>
      <c r="C607" s="302" t="s">
        <v>283</v>
      </c>
      <c r="D607" s="168"/>
      <c r="E607" s="168"/>
      <c r="F607" s="168"/>
      <c r="G607" s="167"/>
      <c r="H607" s="167"/>
      <c r="I607" s="254"/>
      <c r="J607" s="230"/>
      <c r="K607" s="231"/>
      <c r="L607" s="232"/>
      <c r="M607" s="231"/>
      <c r="N607" s="232"/>
      <c r="O607" s="232"/>
      <c r="P607" s="232"/>
      <c r="Q607" s="232"/>
      <c r="R607" s="232"/>
      <c r="S607" s="232"/>
      <c r="T607" s="168"/>
      <c r="U607" s="168"/>
    </row>
    <row r="608" spans="2:21" ht="15.75" customHeight="1" outlineLevel="1">
      <c r="B608" s="242"/>
      <c r="C608" s="348"/>
      <c r="D608" s="233"/>
      <c r="E608" s="233"/>
      <c r="F608" s="233"/>
      <c r="G608" s="338"/>
      <c r="H608" s="174">
        <v>0</v>
      </c>
      <c r="I608" s="174">
        <v>0</v>
      </c>
      <c r="J608" s="174">
        <v>1</v>
      </c>
      <c r="K608" s="174">
        <v>2</v>
      </c>
      <c r="L608" s="175">
        <f t="shared" ref="L608:S610" si="159">L287</f>
        <v>3</v>
      </c>
      <c r="M608" s="175">
        <f t="shared" si="159"/>
        <v>4</v>
      </c>
      <c r="N608" s="175">
        <f t="shared" si="159"/>
        <v>5</v>
      </c>
      <c r="O608" s="175">
        <f t="shared" si="159"/>
        <v>6</v>
      </c>
      <c r="P608" s="175">
        <f t="shared" si="159"/>
        <v>7</v>
      </c>
      <c r="Q608" s="175">
        <f t="shared" si="159"/>
        <v>8</v>
      </c>
      <c r="R608" s="175">
        <f t="shared" si="159"/>
        <v>9</v>
      </c>
      <c r="S608" s="175">
        <f t="shared" si="159"/>
        <v>10</v>
      </c>
      <c r="T608" s="168"/>
      <c r="U608" s="168"/>
    </row>
    <row r="609" spans="2:21" ht="15.75" customHeight="1" outlineLevel="1">
      <c r="B609" s="242"/>
      <c r="C609" s="349"/>
      <c r="D609" s="234"/>
      <c r="E609" s="234"/>
      <c r="F609" s="234"/>
      <c r="G609" s="325"/>
      <c r="H609" s="176"/>
      <c r="I609" s="176"/>
      <c r="J609" s="176"/>
      <c r="K609" s="176"/>
      <c r="L609" s="176"/>
      <c r="M609" s="176"/>
      <c r="N609" s="176"/>
      <c r="O609" s="176"/>
      <c r="P609" s="176"/>
      <c r="Q609" s="176"/>
      <c r="R609" s="176"/>
      <c r="S609" s="176"/>
      <c r="T609" s="168"/>
      <c r="U609" s="168"/>
    </row>
    <row r="610" spans="2:21" ht="15.75" customHeight="1" outlineLevel="1">
      <c r="B610" s="242"/>
      <c r="C610" s="359"/>
      <c r="D610" s="260"/>
      <c r="E610" s="235"/>
      <c r="F610" s="235"/>
      <c r="G610" s="326"/>
      <c r="H610" s="213" t="s">
        <v>499</v>
      </c>
      <c r="I610" s="213" t="s">
        <v>499</v>
      </c>
      <c r="J610" s="213" t="s">
        <v>499</v>
      </c>
      <c r="K610" s="213" t="s">
        <v>499</v>
      </c>
      <c r="L610" s="213" t="str">
        <f t="shared" si="159"/>
        <v>($)</v>
      </c>
      <c r="M610" s="213" t="str">
        <f t="shared" si="159"/>
        <v>($)</v>
      </c>
      <c r="N610" s="213" t="str">
        <f t="shared" si="159"/>
        <v>($)</v>
      </c>
      <c r="O610" s="213" t="str">
        <f t="shared" si="159"/>
        <v>($)</v>
      </c>
      <c r="P610" s="213" t="str">
        <f t="shared" si="159"/>
        <v>($)</v>
      </c>
      <c r="Q610" s="213" t="str">
        <f t="shared" si="159"/>
        <v>($)</v>
      </c>
      <c r="R610" s="213" t="str">
        <f t="shared" si="159"/>
        <v>($)</v>
      </c>
      <c r="S610" s="213" t="str">
        <f t="shared" si="159"/>
        <v>($)</v>
      </c>
      <c r="T610" s="168"/>
      <c r="U610" s="168"/>
    </row>
    <row r="611" spans="2:21" ht="15.75" customHeight="1" outlineLevel="1">
      <c r="B611" s="242"/>
      <c r="C611" s="254"/>
      <c r="D611" s="254"/>
      <c r="E611" s="254"/>
      <c r="F611" s="254"/>
      <c r="G611" s="167"/>
      <c r="H611" s="167"/>
      <c r="I611" s="254"/>
      <c r="J611" s="254"/>
      <c r="K611" s="254"/>
      <c r="L611" s="255"/>
      <c r="M611" s="215"/>
      <c r="N611" s="215"/>
      <c r="O611" s="215"/>
      <c r="P611" s="215"/>
      <c r="Q611" s="215"/>
      <c r="R611" s="215"/>
      <c r="S611" s="215"/>
      <c r="T611" s="168"/>
      <c r="U611" s="168"/>
    </row>
    <row r="612" spans="2:21" ht="15.75" customHeight="1" outlineLevel="1">
      <c r="B612" s="242"/>
      <c r="C612" s="246" t="s">
        <v>212</v>
      </c>
      <c r="D612" s="246"/>
      <c r="E612" s="246"/>
      <c r="F612" s="246"/>
      <c r="G612" s="167"/>
      <c r="H612" s="167"/>
      <c r="I612" s="246"/>
      <c r="J612" s="246">
        <v>31393399.100178033</v>
      </c>
      <c r="K612" s="246">
        <f t="shared" ref="K612:R612" si="160">K434</f>
        <v>5850804.6837377194</v>
      </c>
      <c r="L612" s="246">
        <f t="shared" ca="1" si="160"/>
        <v>33045605.992612652</v>
      </c>
      <c r="M612" s="246">
        <f t="shared" ca="1" si="160"/>
        <v>31744580.051293936</v>
      </c>
      <c r="N612" s="246">
        <f t="shared" ca="1" si="160"/>
        <v>12617670.576449972</v>
      </c>
      <c r="O612" s="246">
        <f t="shared" ca="1" si="160"/>
        <v>31101713.870488994</v>
      </c>
      <c r="P612" s="246">
        <f t="shared" si="160"/>
        <v>0</v>
      </c>
      <c r="Q612" s="246">
        <f t="shared" si="160"/>
        <v>0</v>
      </c>
      <c r="R612" s="246">
        <f t="shared" si="160"/>
        <v>0</v>
      </c>
      <c r="S612" s="246">
        <f>S434</f>
        <v>0</v>
      </c>
      <c r="T612" s="168"/>
      <c r="U612" s="168"/>
    </row>
    <row r="613" spans="2:21" ht="15.75" customHeight="1" outlineLevel="2">
      <c r="B613" s="242"/>
      <c r="C613" s="246" t="s">
        <v>452</v>
      </c>
      <c r="D613" s="246"/>
      <c r="E613" s="246"/>
      <c r="F613" s="246"/>
      <c r="G613" s="167"/>
      <c r="H613" s="167"/>
      <c r="I613" s="246"/>
      <c r="J613" s="246">
        <v>0</v>
      </c>
      <c r="K613" s="246">
        <f>K564</f>
        <v>0</v>
      </c>
      <c r="L613" s="246">
        <f t="shared" ref="L613:Q614" si="161">L564</f>
        <v>0</v>
      </c>
      <c r="M613" s="246">
        <f t="shared" si="161"/>
        <v>0</v>
      </c>
      <c r="N613" s="246">
        <f t="shared" si="161"/>
        <v>0</v>
      </c>
      <c r="O613" s="246">
        <f t="shared" si="161"/>
        <v>0</v>
      </c>
      <c r="P613" s="246">
        <f t="shared" si="161"/>
        <v>0</v>
      </c>
      <c r="Q613" s="246">
        <f t="shared" si="161"/>
        <v>0</v>
      </c>
      <c r="R613" s="246">
        <f>R564</f>
        <v>0</v>
      </c>
      <c r="S613" s="246">
        <f>S564</f>
        <v>0</v>
      </c>
      <c r="T613" s="168"/>
      <c r="U613" s="168"/>
    </row>
    <row r="614" spans="2:21" ht="15.75" customHeight="1" outlineLevel="1">
      <c r="B614" s="242"/>
      <c r="C614" s="246" t="s">
        <v>317</v>
      </c>
      <c r="D614" s="246"/>
      <c r="E614" s="246"/>
      <c r="F614" s="246"/>
      <c r="G614" s="167"/>
      <c r="H614" s="167"/>
      <c r="I614" s="246"/>
      <c r="J614" s="246">
        <v>0</v>
      </c>
      <c r="K614" s="246">
        <f>K565</f>
        <v>0</v>
      </c>
      <c r="L614" s="246">
        <f t="shared" si="161"/>
        <v>0</v>
      </c>
      <c r="M614" s="246">
        <f t="shared" si="161"/>
        <v>0</v>
      </c>
      <c r="N614" s="246">
        <f t="shared" si="161"/>
        <v>0</v>
      </c>
      <c r="O614" s="246">
        <f t="shared" si="161"/>
        <v>0</v>
      </c>
      <c r="P614" s="246">
        <f t="shared" si="161"/>
        <v>0</v>
      </c>
      <c r="Q614" s="246">
        <f t="shared" si="161"/>
        <v>0</v>
      </c>
      <c r="R614" s="246">
        <f>R565</f>
        <v>0</v>
      </c>
      <c r="S614" s="246">
        <f>S565</f>
        <v>0</v>
      </c>
      <c r="T614" s="168"/>
      <c r="U614" s="168"/>
    </row>
    <row r="615" spans="2:21" ht="15.75" customHeight="1" outlineLevel="1">
      <c r="B615" s="242"/>
      <c r="C615" s="246" t="s">
        <v>375</v>
      </c>
      <c r="D615" s="246"/>
      <c r="E615" s="246"/>
      <c r="F615" s="246"/>
      <c r="G615" s="167"/>
      <c r="H615" s="167"/>
      <c r="I615" s="246"/>
      <c r="J615" s="246">
        <v>0</v>
      </c>
      <c r="K615" s="246">
        <v>0</v>
      </c>
      <c r="L615" s="246">
        <v>0</v>
      </c>
      <c r="M615" s="246">
        <f t="shared" ref="M615:R615" si="162">M569</f>
        <v>0</v>
      </c>
      <c r="N615" s="246">
        <f t="shared" si="162"/>
        <v>0</v>
      </c>
      <c r="O615" s="246">
        <f t="shared" si="162"/>
        <v>0</v>
      </c>
      <c r="P615" s="246">
        <f t="shared" si="162"/>
        <v>0</v>
      </c>
      <c r="Q615" s="246">
        <f t="shared" si="162"/>
        <v>0</v>
      </c>
      <c r="R615" s="246">
        <f t="shared" si="162"/>
        <v>0</v>
      </c>
      <c r="S615" s="246">
        <f>S569</f>
        <v>0</v>
      </c>
      <c r="T615" s="168"/>
      <c r="U615" s="168"/>
    </row>
    <row r="616" spans="2:21" ht="15.75" customHeight="1" outlineLevel="1">
      <c r="B616" s="242"/>
      <c r="C616" s="246" t="s">
        <v>285</v>
      </c>
      <c r="D616" s="246"/>
      <c r="E616" s="246"/>
      <c r="F616" s="246"/>
      <c r="G616" s="167"/>
      <c r="H616" s="167"/>
      <c r="I616" s="246"/>
      <c r="J616" s="246">
        <v>530893.10168870969</v>
      </c>
      <c r="K616" s="246">
        <f t="shared" ref="K616:R616" si="163">K450</f>
        <v>18377745.821507383</v>
      </c>
      <c r="L616" s="246">
        <f t="shared" si="163"/>
        <v>25293317.005245104</v>
      </c>
      <c r="M616" s="246">
        <f ca="1">M450</f>
        <v>83965757.093191624</v>
      </c>
      <c r="N616" s="246">
        <f t="shared" ca="1" si="163"/>
        <v>114883552.90763536</v>
      </c>
      <c r="O616" s="246">
        <f t="shared" ca="1" si="163"/>
        <v>131732859.86632258</v>
      </c>
      <c r="P616" s="246">
        <f t="shared" si="163"/>
        <v>0</v>
      </c>
      <c r="Q616" s="246">
        <f t="shared" si="163"/>
        <v>0</v>
      </c>
      <c r="R616" s="246">
        <f t="shared" si="163"/>
        <v>0</v>
      </c>
      <c r="S616" s="246">
        <f>S450</f>
        <v>0</v>
      </c>
      <c r="T616" s="168"/>
      <c r="U616" s="168"/>
    </row>
    <row r="617" spans="2:21" ht="15.75" customHeight="1" outlineLevel="1">
      <c r="B617" s="242"/>
      <c r="C617" s="246" t="s">
        <v>286</v>
      </c>
      <c r="D617" s="246"/>
      <c r="E617" s="246"/>
      <c r="F617" s="246"/>
      <c r="G617" s="167"/>
      <c r="H617" s="167"/>
      <c r="I617" s="239"/>
      <c r="J617" s="239">
        <v>-3911382.310724705</v>
      </c>
      <c r="K617" s="239">
        <f t="shared" ref="K617:Q617" si="164">-K291*K352</f>
        <v>-7366868.2576756272</v>
      </c>
      <c r="L617" s="239">
        <f t="shared" si="164"/>
        <v>-10301515.877272861</v>
      </c>
      <c r="M617" s="239">
        <f t="shared" si="164"/>
        <v>-4971695.6135011008</v>
      </c>
      <c r="N617" s="239">
        <f t="shared" si="164"/>
        <v>-5269648.3084858321</v>
      </c>
      <c r="O617" s="239">
        <f>-O291*O352</f>
        <v>-1533705.5253785308</v>
      </c>
      <c r="P617" s="239">
        <f t="shared" si="164"/>
        <v>0</v>
      </c>
      <c r="Q617" s="239">
        <f t="shared" si="164"/>
        <v>0</v>
      </c>
      <c r="R617" s="239">
        <f>-R291*R352</f>
        <v>0</v>
      </c>
      <c r="S617" s="239">
        <f>-S291*S352</f>
        <v>0</v>
      </c>
      <c r="T617" s="168"/>
      <c r="U617" s="168"/>
    </row>
    <row r="618" spans="2:21" ht="15.75" customHeight="1" outlineLevel="1">
      <c r="B618" s="242"/>
      <c r="C618" s="258" t="s">
        <v>287</v>
      </c>
      <c r="D618" s="246"/>
      <c r="E618" s="246"/>
      <c r="F618" s="246"/>
      <c r="G618" s="167"/>
      <c r="H618" s="167"/>
      <c r="I618" s="282"/>
      <c r="J618" s="282">
        <v>28012909.891142037</v>
      </c>
      <c r="K618" s="282">
        <f t="shared" ref="K618:R618" si="165">SUM(K612:K617)</f>
        <v>16861682.247569479</v>
      </c>
      <c r="L618" s="282">
        <f t="shared" ca="1" si="165"/>
        <v>48037407.120584898</v>
      </c>
      <c r="M618" s="282">
        <f ca="1">SUM(M612:M617)</f>
        <v>110738641.53098446</v>
      </c>
      <c r="N618" s="282">
        <f t="shared" ca="1" si="165"/>
        <v>122231575.1755995</v>
      </c>
      <c r="O618" s="282">
        <f ca="1">SUM(O612:O617)</f>
        <v>161300868.21143305</v>
      </c>
      <c r="P618" s="282">
        <f t="shared" si="165"/>
        <v>0</v>
      </c>
      <c r="Q618" s="282">
        <f t="shared" si="165"/>
        <v>0</v>
      </c>
      <c r="R618" s="282">
        <f t="shared" si="165"/>
        <v>0</v>
      </c>
      <c r="S618" s="282">
        <f>SUM(S612:S617)</f>
        <v>0</v>
      </c>
      <c r="T618" s="168"/>
      <c r="U618" s="168"/>
    </row>
    <row r="619" spans="2:21" ht="4.5" customHeight="1" outlineLevel="1">
      <c r="B619" s="242"/>
      <c r="C619" s="246"/>
      <c r="D619" s="246"/>
      <c r="E619" s="246"/>
      <c r="F619" s="246"/>
      <c r="G619" s="365"/>
      <c r="H619" s="365"/>
      <c r="I619" s="246"/>
      <c r="J619" s="246"/>
      <c r="K619" s="246"/>
      <c r="L619" s="272"/>
      <c r="M619" s="272"/>
      <c r="N619" s="272"/>
      <c r="O619" s="272"/>
      <c r="P619" s="272"/>
      <c r="Q619" s="272"/>
      <c r="R619" s="272"/>
      <c r="S619" s="272"/>
      <c r="T619" s="168"/>
      <c r="U619" s="168"/>
    </row>
    <row r="620" spans="2:21" ht="15.75" customHeight="1" outlineLevel="1">
      <c r="B620" s="242"/>
      <c r="C620" s="215" t="s">
        <v>288</v>
      </c>
      <c r="D620" s="246"/>
      <c r="E620" s="246"/>
      <c r="F620" s="246"/>
      <c r="G620" s="365"/>
      <c r="H620" s="365"/>
      <c r="I620" s="246"/>
      <c r="J620" s="246"/>
      <c r="K620" s="246"/>
      <c r="L620" s="272"/>
      <c r="M620" s="272"/>
      <c r="N620" s="272"/>
      <c r="O620" s="272"/>
      <c r="P620" s="272"/>
      <c r="Q620" s="272"/>
      <c r="R620" s="272"/>
      <c r="S620" s="272"/>
      <c r="T620" s="168"/>
      <c r="U620" s="168"/>
    </row>
    <row r="621" spans="2:21" ht="15.75" customHeight="1" outlineLevel="1">
      <c r="B621" s="242"/>
      <c r="C621" s="353" t="s">
        <v>653</v>
      </c>
      <c r="D621" s="246"/>
      <c r="E621" s="246"/>
      <c r="F621" s="246"/>
      <c r="G621" s="167"/>
      <c r="H621" s="167"/>
      <c r="I621" s="246"/>
      <c r="J621" s="747">
        <v>0</v>
      </c>
      <c r="K621" s="246">
        <v>0</v>
      </c>
      <c r="L621" s="246">
        <f>K621+L628</f>
        <v>10056315.36604988</v>
      </c>
      <c r="M621" s="246">
        <f>L621</f>
        <v>10056315.36604988</v>
      </c>
      <c r="N621" s="246">
        <f>M621+N628</f>
        <v>10056315.36604988</v>
      </c>
      <c r="O621" s="246">
        <f t="shared" ref="O621:S624" si="166">N621+O628</f>
        <v>6704210.2440332528</v>
      </c>
      <c r="P621" s="246">
        <v>0</v>
      </c>
      <c r="Q621" s="246">
        <f t="shared" si="166"/>
        <v>0</v>
      </c>
      <c r="R621" s="246">
        <f t="shared" si="166"/>
        <v>0</v>
      </c>
      <c r="S621" s="246">
        <f t="shared" si="166"/>
        <v>0</v>
      </c>
      <c r="T621" s="168"/>
      <c r="U621" s="168"/>
    </row>
    <row r="622" spans="2:21" ht="15.75" customHeight="1" outlineLevel="1">
      <c r="B622" s="242"/>
      <c r="C622" s="353" t="s">
        <v>652</v>
      </c>
      <c r="D622" s="246"/>
      <c r="E622" s="246"/>
      <c r="F622" s="246"/>
      <c r="G622" s="167"/>
      <c r="H622" s="167"/>
      <c r="I622" s="246"/>
      <c r="J622" s="246">
        <v>0</v>
      </c>
      <c r="K622" s="246">
        <v>0</v>
      </c>
      <c r="L622" s="272">
        <f>K622+L629</f>
        <v>8953770</v>
      </c>
      <c r="M622" s="272">
        <f>L622+M629</f>
        <v>4613770</v>
      </c>
      <c r="N622" s="272">
        <f>M622+N629</f>
        <v>5122289</v>
      </c>
      <c r="O622" s="272">
        <f t="shared" si="166"/>
        <v>5122289</v>
      </c>
      <c r="P622" s="272"/>
      <c r="Q622" s="272">
        <f t="shared" si="166"/>
        <v>0</v>
      </c>
      <c r="R622" s="272">
        <f t="shared" si="166"/>
        <v>0</v>
      </c>
      <c r="S622" s="272">
        <f t="shared" si="166"/>
        <v>0</v>
      </c>
      <c r="T622" s="168"/>
      <c r="U622" s="168"/>
    </row>
    <row r="623" spans="2:21" ht="15.75" customHeight="1" outlineLevel="1">
      <c r="B623" s="242"/>
      <c r="C623" s="353" t="s">
        <v>489</v>
      </c>
      <c r="D623" s="246"/>
      <c r="E623" s="246"/>
      <c r="F623" s="246"/>
      <c r="G623" s="167"/>
      <c r="H623" s="167"/>
      <c r="I623" s="246"/>
      <c r="J623" s="246">
        <v>0</v>
      </c>
      <c r="K623" s="246">
        <v>0</v>
      </c>
      <c r="L623" s="246">
        <f>K623+L630</f>
        <v>0</v>
      </c>
      <c r="M623" s="246">
        <f>L623+M630</f>
        <v>0</v>
      </c>
      <c r="N623" s="246">
        <f>M623+N630</f>
        <v>0</v>
      </c>
      <c r="O623" s="246">
        <f t="shared" si="166"/>
        <v>0</v>
      </c>
      <c r="P623" s="246">
        <f t="shared" si="166"/>
        <v>0</v>
      </c>
      <c r="Q623" s="246">
        <f t="shared" si="166"/>
        <v>0</v>
      </c>
      <c r="R623" s="246">
        <f t="shared" si="166"/>
        <v>0</v>
      </c>
      <c r="S623" s="246">
        <f t="shared" si="166"/>
        <v>0</v>
      </c>
      <c r="T623" s="168"/>
      <c r="U623" s="168"/>
    </row>
    <row r="624" spans="2:21" ht="15.75" customHeight="1" outlineLevel="1">
      <c r="B624" s="242"/>
      <c r="C624" s="353" t="s">
        <v>489</v>
      </c>
      <c r="D624" s="246"/>
      <c r="E624" s="246"/>
      <c r="F624" s="246"/>
      <c r="G624" s="167"/>
      <c r="H624" s="167"/>
      <c r="I624" s="246"/>
      <c r="J624" s="246"/>
      <c r="K624" s="246"/>
      <c r="L624" s="246"/>
      <c r="M624" s="246">
        <f>L624+M631</f>
        <v>0</v>
      </c>
      <c r="N624" s="246">
        <f>M624+N631</f>
        <v>0</v>
      </c>
      <c r="O624" s="246">
        <f>N624+O631</f>
        <v>0</v>
      </c>
      <c r="P624" s="246"/>
      <c r="Q624" s="246">
        <f t="shared" si="166"/>
        <v>0</v>
      </c>
      <c r="R624" s="246">
        <f t="shared" si="166"/>
        <v>0</v>
      </c>
      <c r="S624" s="246">
        <f t="shared" si="166"/>
        <v>0</v>
      </c>
      <c r="T624" s="168"/>
      <c r="U624" s="168"/>
    </row>
    <row r="625" spans="2:21" ht="15.75" customHeight="1" outlineLevel="1">
      <c r="B625" s="242"/>
      <c r="C625" s="215" t="s">
        <v>289</v>
      </c>
      <c r="D625" s="246"/>
      <c r="E625" s="246"/>
      <c r="F625" s="246"/>
      <c r="G625" s="167"/>
      <c r="H625" s="167"/>
      <c r="I625" s="246"/>
      <c r="J625" s="246">
        <v>0</v>
      </c>
      <c r="K625" s="246">
        <v>0</v>
      </c>
      <c r="L625" s="272">
        <f>SUM(L621:L623)</f>
        <v>19010085.366049878</v>
      </c>
      <c r="M625" s="272">
        <f t="shared" ref="M625:S625" si="167">SUM(M621:M624)</f>
        <v>14670085.36604988</v>
      </c>
      <c r="N625" s="272">
        <f t="shared" si="167"/>
        <v>15178604.36604988</v>
      </c>
      <c r="O625" s="272">
        <f t="shared" si="167"/>
        <v>11826499.244033253</v>
      </c>
      <c r="P625" s="272">
        <f t="shared" si="167"/>
        <v>0</v>
      </c>
      <c r="Q625" s="272">
        <f t="shared" si="167"/>
        <v>0</v>
      </c>
      <c r="R625" s="272">
        <f t="shared" si="167"/>
        <v>0</v>
      </c>
      <c r="S625" s="272">
        <f t="shared" si="167"/>
        <v>0</v>
      </c>
      <c r="T625" s="168"/>
      <c r="U625" s="168"/>
    </row>
    <row r="626" spans="2:21" ht="4.5" customHeight="1" outlineLevel="1">
      <c r="B626" s="242"/>
      <c r="C626" s="254"/>
      <c r="D626" s="254"/>
      <c r="E626" s="254"/>
      <c r="F626" s="254"/>
      <c r="G626" s="167"/>
      <c r="H626" s="167"/>
      <c r="I626" s="254"/>
      <c r="J626" s="254"/>
      <c r="K626" s="254"/>
      <c r="L626" s="255"/>
      <c r="M626" s="215"/>
      <c r="N626" s="215"/>
      <c r="O626" s="215"/>
      <c r="P626" s="215"/>
      <c r="Q626" s="215"/>
      <c r="R626" s="215"/>
      <c r="S626" s="215"/>
      <c r="T626" s="168"/>
      <c r="U626" s="168"/>
    </row>
    <row r="627" spans="2:21" ht="15.75" customHeight="1" outlineLevel="1">
      <c r="B627" s="242"/>
      <c r="C627" s="215" t="s">
        <v>290</v>
      </c>
      <c r="D627" s="246"/>
      <c r="E627" s="246"/>
      <c r="F627" s="246"/>
      <c r="G627" s="167"/>
      <c r="H627" s="167"/>
      <c r="I627" s="246"/>
      <c r="J627" s="246"/>
      <c r="K627" s="246"/>
      <c r="L627" s="272"/>
      <c r="M627" s="215"/>
      <c r="N627" s="215"/>
      <c r="O627" s="215"/>
      <c r="P627" s="215"/>
      <c r="Q627" s="215"/>
      <c r="R627" s="215"/>
      <c r="S627" s="215"/>
      <c r="T627" s="168"/>
      <c r="U627" s="168"/>
    </row>
    <row r="628" spans="2:21" ht="15.75" customHeight="1" outlineLevel="1">
      <c r="B628" s="242"/>
      <c r="C628" s="353" t="s">
        <v>653</v>
      </c>
      <c r="D628" s="246"/>
      <c r="E628" s="246"/>
      <c r="F628" s="246"/>
      <c r="G628" s="167"/>
      <c r="H628" s="167"/>
      <c r="I628" s="239"/>
      <c r="J628" s="239">
        <v>0</v>
      </c>
      <c r="K628" s="239">
        <v>0</v>
      </c>
      <c r="L628" s="239">
        <f>250000000/24.86</f>
        <v>10056315.36604988</v>
      </c>
      <c r="M628" s="239">
        <f>M621-L621</f>
        <v>0</v>
      </c>
      <c r="N628" s="239">
        <v>0</v>
      </c>
      <c r="O628" s="239">
        <f>-N621*4/12</f>
        <v>-3352105.1220166269</v>
      </c>
      <c r="P628" s="239">
        <v>0</v>
      </c>
      <c r="Q628" s="239">
        <f>P628</f>
        <v>0</v>
      </c>
      <c r="R628" s="239">
        <f>Q628</f>
        <v>0</v>
      </c>
      <c r="S628" s="239">
        <f>R628</f>
        <v>0</v>
      </c>
      <c r="T628" s="168"/>
      <c r="U628" s="168"/>
    </row>
    <row r="629" spans="2:21" ht="15.75" customHeight="1" outlineLevel="1">
      <c r="B629" s="242"/>
      <c r="C629" s="353" t="s">
        <v>652</v>
      </c>
      <c r="D629" s="246"/>
      <c r="E629" s="246"/>
      <c r="F629" s="246"/>
      <c r="G629" s="167"/>
      <c r="H629" s="167"/>
      <c r="I629" s="239"/>
      <c r="J629" s="239">
        <v>0</v>
      </c>
      <c r="K629" s="239">
        <v>0</v>
      </c>
      <c r="L629" s="239">
        <f>2000000*3+1159770+1794000</f>
        <v>8953770</v>
      </c>
      <c r="M629" s="239">
        <f>-4340000</f>
        <v>-4340000</v>
      </c>
      <c r="N629" s="239">
        <f>-M622-877711+6000000</f>
        <v>508519</v>
      </c>
      <c r="O629" s="239"/>
      <c r="P629" s="239"/>
      <c r="Q629" s="239">
        <v>0</v>
      </c>
      <c r="R629" s="239">
        <v>0</v>
      </c>
      <c r="S629" s="239">
        <v>0</v>
      </c>
      <c r="T629" s="168"/>
      <c r="U629" s="168"/>
    </row>
    <row r="630" spans="2:21" ht="15.75" customHeight="1" outlineLevel="1">
      <c r="B630" s="242"/>
      <c r="C630" s="353" t="s">
        <v>489</v>
      </c>
      <c r="D630" s="246"/>
      <c r="E630" s="246"/>
      <c r="F630" s="246"/>
      <c r="G630" s="167"/>
      <c r="H630" s="167"/>
      <c r="I630" s="239"/>
      <c r="J630" s="239">
        <v>0</v>
      </c>
      <c r="K630" s="239">
        <v>0</v>
      </c>
      <c r="L630" s="239">
        <v>0</v>
      </c>
      <c r="M630" s="239">
        <v>0</v>
      </c>
      <c r="N630" s="239"/>
      <c r="O630" s="239"/>
      <c r="P630" s="239">
        <v>0</v>
      </c>
      <c r="Q630" s="239">
        <v>0</v>
      </c>
      <c r="R630" s="239">
        <v>0</v>
      </c>
      <c r="S630" s="239">
        <v>0</v>
      </c>
      <c r="T630" s="168"/>
      <c r="U630" s="168"/>
    </row>
    <row r="631" spans="2:21" ht="15.75" customHeight="1" outlineLevel="1">
      <c r="B631" s="242"/>
      <c r="C631" s="353" t="s">
        <v>489</v>
      </c>
      <c r="D631" s="246"/>
      <c r="E631" s="246"/>
      <c r="F631" s="246"/>
      <c r="G631" s="167"/>
      <c r="H631" s="167"/>
      <c r="I631" s="239"/>
      <c r="J631" s="239"/>
      <c r="K631" s="239"/>
      <c r="L631" s="239"/>
      <c r="M631" s="239">
        <v>0</v>
      </c>
      <c r="N631" s="239"/>
      <c r="O631" s="239"/>
      <c r="P631" s="239"/>
      <c r="Q631" s="239">
        <v>0</v>
      </c>
      <c r="R631" s="239">
        <v>0</v>
      </c>
      <c r="S631" s="239">
        <v>0</v>
      </c>
      <c r="T631" s="168"/>
      <c r="U631" s="168"/>
    </row>
    <row r="632" spans="2:21" ht="15.75" customHeight="1" outlineLevel="1">
      <c r="B632" s="242"/>
      <c r="C632" s="215" t="s">
        <v>290</v>
      </c>
      <c r="D632" s="272"/>
      <c r="E632" s="272"/>
      <c r="F632" s="272"/>
      <c r="G632" s="272"/>
      <c r="H632" s="272">
        <f>SUM(H628:H630)</f>
        <v>0</v>
      </c>
      <c r="I632" s="272">
        <f>SUM(I628:I630)</f>
        <v>0</v>
      </c>
      <c r="J632" s="272">
        <f>SUM(J628:J630)</f>
        <v>0</v>
      </c>
      <c r="K632" s="272">
        <f>SUM(K628:K630)</f>
        <v>0</v>
      </c>
      <c r="L632" s="272">
        <f>SUM(L628:L630)</f>
        <v>19010085.366049878</v>
      </c>
      <c r="M632" s="272">
        <f t="shared" ref="M632:S632" si="168">SUM(M628:M631)</f>
        <v>-4340000</v>
      </c>
      <c r="N632" s="272">
        <f t="shared" si="168"/>
        <v>508519</v>
      </c>
      <c r="O632" s="272">
        <f t="shared" si="168"/>
        <v>-3352105.1220166269</v>
      </c>
      <c r="P632" s="272">
        <f t="shared" si="168"/>
        <v>0</v>
      </c>
      <c r="Q632" s="272">
        <f t="shared" si="168"/>
        <v>0</v>
      </c>
      <c r="R632" s="272">
        <f t="shared" si="168"/>
        <v>0</v>
      </c>
      <c r="S632" s="272">
        <f t="shared" si="168"/>
        <v>0</v>
      </c>
      <c r="T632" s="168"/>
      <c r="U632" s="168"/>
    </row>
    <row r="633" spans="2:21" ht="6" customHeight="1" outlineLevel="1">
      <c r="B633" s="242"/>
      <c r="C633" s="254"/>
      <c r="D633" s="254"/>
      <c r="E633" s="254"/>
      <c r="F633" s="254"/>
      <c r="G633" s="167"/>
      <c r="H633" s="167"/>
      <c r="I633" s="254"/>
      <c r="J633" s="254"/>
      <c r="K633" s="254"/>
      <c r="L633" s="255"/>
      <c r="M633" s="215"/>
      <c r="N633" s="215"/>
      <c r="O633" s="215"/>
      <c r="P633" s="215"/>
      <c r="Q633" s="215"/>
      <c r="R633" s="215"/>
      <c r="S633" s="215"/>
      <c r="T633" s="168"/>
      <c r="U633" s="168"/>
    </row>
    <row r="634" spans="2:21" ht="15.75" customHeight="1" outlineLevel="1">
      <c r="B634" s="242"/>
      <c r="C634" s="215" t="s">
        <v>291</v>
      </c>
      <c r="D634" s="246"/>
      <c r="E634" s="246"/>
      <c r="F634" s="246"/>
      <c r="G634" s="167"/>
      <c r="H634" s="167"/>
      <c r="I634" s="246"/>
      <c r="J634" s="246">
        <v>28012909.891142037</v>
      </c>
      <c r="K634" s="246">
        <f>K618+K632</f>
        <v>16861682.247569479</v>
      </c>
      <c r="L634" s="246">
        <f ca="1">L618+L632</f>
        <v>67047492.486634776</v>
      </c>
      <c r="M634" s="246">
        <f ca="1">M618+M632</f>
        <v>106398641.53098446</v>
      </c>
      <c r="N634" s="246">
        <f ca="1">N618+N632</f>
        <v>122740094.1755995</v>
      </c>
      <c r="O634" s="246">
        <f ca="1">O618+O632</f>
        <v>157948763.08941641</v>
      </c>
      <c r="P634" s="246"/>
      <c r="Q634" s="246"/>
      <c r="R634" s="246"/>
      <c r="S634" s="246"/>
      <c r="T634" s="168"/>
      <c r="U634" s="168"/>
    </row>
    <row r="635" spans="2:21" ht="6.75" customHeight="1" outlineLevel="1">
      <c r="B635" s="242"/>
      <c r="C635" s="254"/>
      <c r="D635" s="258"/>
      <c r="E635" s="258"/>
      <c r="F635" s="258"/>
      <c r="G635" s="405"/>
      <c r="H635" s="405"/>
      <c r="I635" s="258"/>
      <c r="J635" s="246"/>
      <c r="K635" s="246"/>
      <c r="L635" s="246"/>
      <c r="M635" s="246"/>
      <c r="N635" s="246"/>
      <c r="O635" s="246"/>
      <c r="P635" s="246"/>
      <c r="Q635" s="246"/>
      <c r="R635" s="246"/>
      <c r="S635" s="246"/>
      <c r="T635" s="168"/>
      <c r="U635" s="168"/>
    </row>
    <row r="636" spans="2:21" ht="15.75" customHeight="1" outlineLevel="1">
      <c r="B636" s="242"/>
      <c r="C636" s="215" t="s">
        <v>292</v>
      </c>
      <c r="D636" s="258"/>
      <c r="E636" s="258"/>
      <c r="F636" s="258"/>
      <c r="G636" s="405"/>
      <c r="H636" s="405"/>
      <c r="I636" s="258"/>
      <c r="J636" s="246"/>
      <c r="K636" s="246"/>
      <c r="L636" s="246"/>
      <c r="M636" s="246"/>
      <c r="N636" s="246"/>
      <c r="O636" s="246"/>
      <c r="P636" s="246"/>
      <c r="Q636" s="246"/>
      <c r="R636" s="246"/>
      <c r="S636" s="246"/>
      <c r="T636" s="168"/>
      <c r="U636" s="168"/>
    </row>
    <row r="637" spans="2:21" ht="15.75" customHeight="1" outlineLevel="1">
      <c r="B637" s="242"/>
      <c r="C637" s="353" t="s">
        <v>320</v>
      </c>
      <c r="D637" s="272"/>
      <c r="E637" s="222"/>
      <c r="F637" s="246"/>
      <c r="G637" s="167"/>
      <c r="H637" s="167"/>
      <c r="I637" s="288"/>
      <c r="J637" s="288">
        <v>7933669.3803593572</v>
      </c>
      <c r="K637" s="288">
        <f>J639</f>
        <v>0</v>
      </c>
      <c r="L637" s="288">
        <f>K639</f>
        <v>1064766.5</v>
      </c>
      <c r="M637" s="288">
        <f t="shared" ref="M637:S637" si="169">L390</f>
        <v>18477505.229283988</v>
      </c>
      <c r="N637" s="288">
        <f t="shared" si="169"/>
        <v>18221941.992433798</v>
      </c>
      <c r="O637" s="288">
        <f t="shared" si="169"/>
        <v>20939449</v>
      </c>
      <c r="P637" s="288"/>
      <c r="Q637" s="288">
        <f t="shared" si="169"/>
        <v>0</v>
      </c>
      <c r="R637" s="288">
        <f t="shared" si="169"/>
        <v>0</v>
      </c>
      <c r="S637" s="288">
        <f t="shared" si="169"/>
        <v>0</v>
      </c>
      <c r="T637" s="168"/>
      <c r="U637" s="168"/>
    </row>
    <row r="638" spans="2:21" ht="15.75" customHeight="1" outlineLevel="1">
      <c r="B638" s="242"/>
      <c r="C638" s="353" t="s">
        <v>294</v>
      </c>
      <c r="D638" s="246"/>
      <c r="E638" s="246"/>
      <c r="F638" s="246"/>
      <c r="G638" s="167"/>
      <c r="H638" s="167"/>
      <c r="I638" s="288"/>
      <c r="J638" s="288">
        <v>-7933669.3803593572</v>
      </c>
      <c r="K638" s="288">
        <f>1516064-451297.5</f>
        <v>1064766.5</v>
      </c>
      <c r="L638" s="288">
        <f>L639-L637</f>
        <v>17412738.729283988</v>
      </c>
      <c r="M638" s="272">
        <f>M639-M637</f>
        <v>-255563.23685019091</v>
      </c>
      <c r="N638" s="239">
        <f>-M639+20939449</f>
        <v>2717507.0075662024</v>
      </c>
      <c r="O638" s="288">
        <f ca="1">-MIN(O634,O637)+20939449</f>
        <v>0</v>
      </c>
      <c r="P638" s="288">
        <v>0</v>
      </c>
      <c r="Q638" s="288">
        <v>0</v>
      </c>
      <c r="R638" s="288">
        <v>0</v>
      </c>
      <c r="S638" s="288">
        <v>0</v>
      </c>
      <c r="T638" s="168"/>
      <c r="U638" s="168"/>
    </row>
    <row r="639" spans="2:21" ht="15.75" customHeight="1" outlineLevel="1">
      <c r="B639" s="242"/>
      <c r="C639" s="353" t="s">
        <v>321</v>
      </c>
      <c r="D639" s="246"/>
      <c r="E639" s="246"/>
      <c r="F639" s="246"/>
      <c r="G639" s="167"/>
      <c r="H639" s="167"/>
      <c r="I639" s="285"/>
      <c r="J639" s="285">
        <v>0</v>
      </c>
      <c r="K639" s="285">
        <f>K637+K638</f>
        <v>1064766.5</v>
      </c>
      <c r="L639" s="285">
        <v>18477505.229283988</v>
      </c>
      <c r="M639" s="285">
        <v>18221941.992433798</v>
      </c>
      <c r="N639" s="285">
        <f t="shared" ref="N639:S639" si="170">N637+N638</f>
        <v>20939449</v>
      </c>
      <c r="O639" s="285">
        <f t="shared" ca="1" si="170"/>
        <v>20939449</v>
      </c>
      <c r="P639" s="285">
        <f t="shared" si="170"/>
        <v>0</v>
      </c>
      <c r="Q639" s="285">
        <f t="shared" si="170"/>
        <v>0</v>
      </c>
      <c r="R639" s="285">
        <f t="shared" si="170"/>
        <v>0</v>
      </c>
      <c r="S639" s="285">
        <f t="shared" si="170"/>
        <v>0</v>
      </c>
      <c r="T639" s="168"/>
      <c r="U639" s="168"/>
    </row>
    <row r="640" spans="2:21" ht="9" customHeight="1" outlineLevel="1">
      <c r="B640" s="242"/>
      <c r="C640" s="254"/>
      <c r="D640" s="246"/>
      <c r="E640" s="246"/>
      <c r="F640" s="246"/>
      <c r="G640" s="167"/>
      <c r="H640" s="167"/>
      <c r="I640" s="246"/>
      <c r="J640" s="246"/>
      <c r="K640" s="246"/>
      <c r="L640" s="246"/>
      <c r="M640" s="246"/>
      <c r="N640" s="246"/>
      <c r="O640" s="246"/>
      <c r="P640" s="246"/>
      <c r="Q640" s="246"/>
      <c r="R640" s="246"/>
      <c r="S640" s="246"/>
      <c r="T640" s="168"/>
      <c r="U640" s="168"/>
    </row>
    <row r="641" spans="1:21" ht="15.75" customHeight="1" outlineLevel="1">
      <c r="B641" s="242"/>
      <c r="C641" s="215" t="s">
        <v>296</v>
      </c>
      <c r="D641" s="288"/>
      <c r="E641" s="288"/>
      <c r="F641" s="288"/>
      <c r="G641" s="288"/>
      <c r="H641" s="288">
        <f t="shared" ref="H641:R641" si="171">H634+H638</f>
        <v>0</v>
      </c>
      <c r="I641" s="288">
        <f t="shared" si="171"/>
        <v>0</v>
      </c>
      <c r="J641" s="288">
        <f t="shared" si="171"/>
        <v>20079240.510782681</v>
      </c>
      <c r="K641" s="288">
        <f t="shared" si="171"/>
        <v>17926448.747569479</v>
      </c>
      <c r="L641" s="288">
        <f t="shared" ca="1" si="171"/>
        <v>84460231.215918764</v>
      </c>
      <c r="M641" s="288">
        <f t="shared" ca="1" si="171"/>
        <v>106143078.29413427</v>
      </c>
      <c r="N641" s="288">
        <f t="shared" ca="1" si="171"/>
        <v>125457601.1831657</v>
      </c>
      <c r="O641" s="288">
        <f t="shared" ca="1" si="171"/>
        <v>157948763.08941641</v>
      </c>
      <c r="P641" s="288">
        <f t="shared" si="171"/>
        <v>0</v>
      </c>
      <c r="Q641" s="288">
        <f t="shared" si="171"/>
        <v>0</v>
      </c>
      <c r="R641" s="288">
        <f t="shared" si="171"/>
        <v>0</v>
      </c>
      <c r="S641" s="288">
        <f>S634+S638</f>
        <v>0</v>
      </c>
      <c r="T641" s="168"/>
      <c r="U641" s="168"/>
    </row>
    <row r="642" spans="1:21" ht="15.75" customHeight="1" outlineLevel="2">
      <c r="B642" s="242"/>
      <c r="C642" s="215"/>
      <c r="D642" s="246"/>
      <c r="E642" s="246"/>
      <c r="F642" s="246"/>
      <c r="G642" s="167"/>
      <c r="H642" s="167"/>
      <c r="I642" s="246"/>
      <c r="J642" s="246"/>
      <c r="K642" s="246"/>
      <c r="L642" s="246"/>
      <c r="M642" s="246"/>
      <c r="N642" s="246"/>
      <c r="O642" s="246"/>
      <c r="P642" s="246"/>
      <c r="Q642" s="246"/>
      <c r="R642" s="246"/>
      <c r="S642" s="246"/>
      <c r="T642" s="168"/>
      <c r="U642" s="168"/>
    </row>
    <row r="643" spans="1:21" ht="15.75" customHeight="1" outlineLevel="2">
      <c r="B643" s="242"/>
      <c r="C643" s="215" t="s">
        <v>318</v>
      </c>
      <c r="D643" s="246"/>
      <c r="E643" s="246"/>
      <c r="F643" s="246"/>
      <c r="G643" s="167"/>
      <c r="H643" s="167"/>
      <c r="I643" s="288"/>
      <c r="J643" s="288">
        <v>3911382.310724705</v>
      </c>
      <c r="K643" s="288">
        <f t="shared" ref="K643:R643" si="172">-K617</f>
        <v>7366868.2576756272</v>
      </c>
      <c r="L643" s="288">
        <f t="shared" si="172"/>
        <v>10301515.877272861</v>
      </c>
      <c r="M643" s="288">
        <f t="shared" si="172"/>
        <v>4971695.6135011008</v>
      </c>
      <c r="N643" s="288">
        <f t="shared" si="172"/>
        <v>5269648.3084858321</v>
      </c>
      <c r="O643" s="288">
        <f t="shared" si="172"/>
        <v>1533705.5253785308</v>
      </c>
      <c r="P643" s="288">
        <f t="shared" si="172"/>
        <v>0</v>
      </c>
      <c r="Q643" s="288">
        <f t="shared" si="172"/>
        <v>0</v>
      </c>
      <c r="R643" s="288">
        <f t="shared" si="172"/>
        <v>0</v>
      </c>
      <c r="S643" s="288">
        <f>-S617</f>
        <v>0</v>
      </c>
      <c r="T643" s="168"/>
      <c r="U643" s="168"/>
    </row>
    <row r="644" spans="1:21" ht="15.75" customHeight="1" outlineLevel="2">
      <c r="B644" s="242"/>
      <c r="C644" s="215" t="s">
        <v>319</v>
      </c>
      <c r="D644" s="288"/>
      <c r="E644" s="288"/>
      <c r="F644" s="288"/>
      <c r="G644" s="288"/>
      <c r="H644" s="288">
        <f t="shared" ref="H644:R644" si="173">SUM(H641:H643)</f>
        <v>0</v>
      </c>
      <c r="I644" s="288">
        <f t="shared" si="173"/>
        <v>0</v>
      </c>
      <c r="J644" s="288">
        <f t="shared" si="173"/>
        <v>23990622.821507387</v>
      </c>
      <c r="K644" s="288">
        <f t="shared" si="173"/>
        <v>25293317.005245104</v>
      </c>
      <c r="L644" s="288">
        <f t="shared" ca="1" si="173"/>
        <v>94761747.093191624</v>
      </c>
      <c r="M644" s="288">
        <f t="shared" ca="1" si="173"/>
        <v>111114773.90763538</v>
      </c>
      <c r="N644" s="288">
        <f t="shared" ca="1" si="173"/>
        <v>130727249.49165154</v>
      </c>
      <c r="O644" s="288">
        <f t="shared" ca="1" si="173"/>
        <v>159482468.61479494</v>
      </c>
      <c r="P644" s="288">
        <f t="shared" si="173"/>
        <v>0</v>
      </c>
      <c r="Q644" s="288">
        <f t="shared" si="173"/>
        <v>0</v>
      </c>
      <c r="R644" s="288">
        <f t="shared" si="173"/>
        <v>0</v>
      </c>
      <c r="S644" s="288">
        <f>SUM(S641:S643)</f>
        <v>0</v>
      </c>
      <c r="T644" s="168"/>
      <c r="U644" s="168"/>
    </row>
    <row r="645" spans="1:21" ht="15.75" customHeight="1" outlineLevel="1">
      <c r="B645" s="242"/>
      <c r="C645" s="254"/>
      <c r="D645" s="254"/>
      <c r="E645" s="254"/>
      <c r="F645" s="254"/>
      <c r="G645" s="167"/>
      <c r="H645" s="167"/>
      <c r="I645" s="254"/>
      <c r="J645" s="254"/>
      <c r="K645" s="254"/>
      <c r="L645" s="255"/>
      <c r="M645" s="215"/>
      <c r="N645" s="215"/>
      <c r="O645" s="215"/>
      <c r="P645" s="215"/>
      <c r="Q645" s="215"/>
      <c r="R645" s="215"/>
      <c r="S645" s="215"/>
      <c r="T645" s="168"/>
      <c r="U645" s="168"/>
    </row>
    <row r="646" spans="1:21" ht="15.75" customHeight="1" outlineLevel="1">
      <c r="B646" s="242"/>
      <c r="C646" s="254"/>
      <c r="D646" s="254"/>
      <c r="E646" s="254"/>
      <c r="F646" s="254"/>
      <c r="G646" s="167"/>
      <c r="H646" s="167"/>
      <c r="I646" s="254"/>
      <c r="J646" s="254"/>
      <c r="K646" s="254"/>
      <c r="L646" s="255"/>
      <c r="M646" s="215"/>
      <c r="N646" s="748"/>
      <c r="O646" s="215"/>
      <c r="P646" s="215"/>
      <c r="Q646" s="215"/>
      <c r="R646" s="215"/>
      <c r="S646" s="215"/>
      <c r="T646" s="168"/>
      <c r="U646" s="168"/>
    </row>
    <row r="647" spans="1:21" ht="15.75" customHeight="1" outlineLevel="1">
      <c r="B647" s="242"/>
      <c r="C647" s="254"/>
      <c r="D647" s="254"/>
      <c r="E647" s="254"/>
      <c r="F647" s="254"/>
      <c r="G647" s="167"/>
      <c r="H647" s="167"/>
      <c r="I647" s="254"/>
      <c r="J647" s="254"/>
      <c r="K647" s="254"/>
      <c r="L647" s="255"/>
      <c r="M647" s="215"/>
      <c r="N647" s="215"/>
      <c r="O647" s="215"/>
      <c r="P647" s="215"/>
      <c r="Q647" s="215"/>
      <c r="R647" s="215"/>
      <c r="S647" s="215"/>
      <c r="T647" s="168"/>
      <c r="U647" s="168"/>
    </row>
    <row r="648" spans="1:21" ht="15.75" customHeight="1" outlineLevel="1">
      <c r="B648" s="242"/>
      <c r="C648" s="254"/>
      <c r="D648" s="254"/>
      <c r="E648" s="254"/>
      <c r="F648" s="254"/>
      <c r="G648" s="167"/>
      <c r="H648" s="167"/>
      <c r="I648" s="254"/>
      <c r="J648" s="254"/>
      <c r="K648" s="254"/>
      <c r="L648" s="255"/>
      <c r="M648" s="215"/>
      <c r="N648" s="215"/>
      <c r="O648" s="215"/>
      <c r="P648" s="215"/>
      <c r="Q648" s="215"/>
      <c r="R648" s="215"/>
      <c r="S648" s="215"/>
      <c r="T648" s="168"/>
      <c r="U648" s="168"/>
    </row>
    <row r="649" spans="1:21" ht="15.75" customHeight="1">
      <c r="B649" s="242"/>
      <c r="C649" s="254"/>
      <c r="D649" s="254"/>
      <c r="E649" s="254"/>
      <c r="F649" s="254"/>
      <c r="G649" s="167"/>
      <c r="H649" s="167"/>
      <c r="I649" s="254"/>
      <c r="J649" s="254"/>
      <c r="K649" s="254"/>
      <c r="L649" s="255"/>
      <c r="M649" s="215"/>
      <c r="N649" s="215"/>
      <c r="O649" s="215"/>
      <c r="P649" s="215"/>
      <c r="Q649" s="215"/>
      <c r="R649" s="215"/>
      <c r="S649" s="215"/>
      <c r="T649" s="168"/>
      <c r="U649" s="168"/>
    </row>
    <row r="650" spans="1:21" ht="27" outlineLevel="1">
      <c r="A650" s="169">
        <v>402</v>
      </c>
      <c r="B650" s="242"/>
      <c r="C650" s="366" t="s">
        <v>432</v>
      </c>
      <c r="D650" s="168"/>
      <c r="E650" s="168"/>
      <c r="F650" s="168"/>
      <c r="G650" s="167"/>
      <c r="H650" s="167"/>
      <c r="I650" s="254"/>
      <c r="J650" s="254"/>
      <c r="K650" s="367"/>
      <c r="L650" s="368"/>
      <c r="M650" s="367"/>
      <c r="N650" s="368"/>
      <c r="O650" s="368"/>
      <c r="P650" s="368"/>
      <c r="Q650" s="368"/>
      <c r="R650" s="368"/>
      <c r="S650" s="368"/>
      <c r="T650" s="168"/>
      <c r="U650" s="168"/>
    </row>
    <row r="651" spans="1:21" ht="3" customHeight="1" outlineLevel="1">
      <c r="A651" s="169">
        <v>403</v>
      </c>
      <c r="B651" s="242"/>
      <c r="C651" s="229"/>
      <c r="D651" s="229"/>
      <c r="E651" s="229"/>
      <c r="F651" s="229"/>
      <c r="G651" s="300"/>
      <c r="H651" s="300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168"/>
      <c r="U651" s="168"/>
    </row>
    <row r="652" spans="1:21" ht="15.75" customHeight="1" outlineLevel="1">
      <c r="A652" s="169">
        <v>404</v>
      </c>
      <c r="B652" s="242"/>
      <c r="C652" s="168"/>
      <c r="D652" s="168"/>
      <c r="E652" s="168"/>
      <c r="F652" s="168"/>
      <c r="G652" s="167"/>
      <c r="H652" s="167"/>
      <c r="I652" s="254"/>
      <c r="J652" s="254"/>
      <c r="K652" s="367"/>
      <c r="L652" s="368"/>
      <c r="M652" s="367"/>
      <c r="N652" s="368"/>
      <c r="O652" s="368"/>
      <c r="P652" s="368"/>
      <c r="Q652" s="368"/>
      <c r="R652" s="368"/>
      <c r="S652" s="368"/>
      <c r="T652" s="168"/>
      <c r="U652" s="168"/>
    </row>
    <row r="653" spans="1:21" ht="15.75" customHeight="1" outlineLevel="1">
      <c r="A653" s="169">
        <v>405</v>
      </c>
      <c r="B653" s="242"/>
      <c r="C653" s="313" t="s">
        <v>427</v>
      </c>
      <c r="D653" s="168"/>
      <c r="E653" s="168"/>
      <c r="F653" s="168"/>
      <c r="G653" s="167"/>
      <c r="H653" s="167"/>
      <c r="I653" s="254"/>
      <c r="J653" s="230"/>
      <c r="K653" s="231"/>
      <c r="L653" s="232"/>
      <c r="M653" s="231"/>
      <c r="N653" s="232"/>
      <c r="O653" s="232"/>
      <c r="P653" s="232"/>
      <c r="Q653" s="232"/>
      <c r="R653" s="232"/>
      <c r="S653" s="232"/>
      <c r="T653" s="168"/>
      <c r="U653" s="168"/>
    </row>
    <row r="654" spans="1:21" ht="15.75" customHeight="1" outlineLevel="1">
      <c r="A654" s="169">
        <v>406</v>
      </c>
      <c r="B654" s="242"/>
      <c r="C654" s="348"/>
      <c r="D654" s="233"/>
      <c r="E654" s="233"/>
      <c r="F654" s="233"/>
      <c r="G654" s="338"/>
      <c r="H654" s="174">
        <v>0</v>
      </c>
      <c r="I654" s="174">
        <v>0</v>
      </c>
      <c r="J654" s="174">
        <v>1</v>
      </c>
      <c r="K654" s="174">
        <v>2</v>
      </c>
      <c r="L654" s="174">
        <f t="shared" ref="L654:S656" si="174">L287</f>
        <v>3</v>
      </c>
      <c r="M654" s="174">
        <f t="shared" si="174"/>
        <v>4</v>
      </c>
      <c r="N654" s="174">
        <f t="shared" si="174"/>
        <v>5</v>
      </c>
      <c r="O654" s="174">
        <f t="shared" si="174"/>
        <v>6</v>
      </c>
      <c r="P654" s="174">
        <f t="shared" si="174"/>
        <v>7</v>
      </c>
      <c r="Q654" s="174">
        <f t="shared" si="174"/>
        <v>8</v>
      </c>
      <c r="R654" s="174">
        <f t="shared" si="174"/>
        <v>9</v>
      </c>
      <c r="S654" s="174">
        <f t="shared" si="174"/>
        <v>10</v>
      </c>
      <c r="T654" s="168"/>
      <c r="U654" s="168"/>
    </row>
    <row r="655" spans="1:21" ht="15.75" customHeight="1" outlineLevel="1">
      <c r="B655" s="242"/>
      <c r="C655" s="349"/>
      <c r="D655" s="234"/>
      <c r="E655" s="234"/>
      <c r="F655" s="234"/>
      <c r="G655" s="325"/>
      <c r="H655" s="176"/>
      <c r="I655" s="176"/>
      <c r="J655" s="176"/>
      <c r="K655" s="176"/>
      <c r="L655" s="176"/>
      <c r="M655" s="176"/>
      <c r="N655" s="176"/>
      <c r="O655" s="176"/>
      <c r="P655" s="176"/>
      <c r="Q655" s="176"/>
      <c r="R655" s="176"/>
      <c r="S655" s="176"/>
      <c r="T655" s="168"/>
      <c r="U655" s="168"/>
    </row>
    <row r="656" spans="1:21" ht="15.75" customHeight="1" outlineLevel="1">
      <c r="A656" s="169">
        <v>408</v>
      </c>
      <c r="B656" s="242"/>
      <c r="C656" s="359"/>
      <c r="D656" s="260"/>
      <c r="E656" s="235"/>
      <c r="F656" s="235"/>
      <c r="G656" s="326"/>
      <c r="H656" s="213" t="s">
        <v>499</v>
      </c>
      <c r="I656" s="213" t="s">
        <v>499</v>
      </c>
      <c r="J656" s="213" t="s">
        <v>499</v>
      </c>
      <c r="K656" s="176" t="s">
        <v>499</v>
      </c>
      <c r="L656" s="176" t="str">
        <f t="shared" si="174"/>
        <v>($)</v>
      </c>
      <c r="M656" s="176" t="str">
        <f t="shared" si="174"/>
        <v>($)</v>
      </c>
      <c r="N656" s="176" t="str">
        <f t="shared" si="174"/>
        <v>($)</v>
      </c>
      <c r="O656" s="176" t="str">
        <f t="shared" si="174"/>
        <v>($)</v>
      </c>
      <c r="P656" s="176" t="str">
        <f t="shared" si="174"/>
        <v>($)</v>
      </c>
      <c r="Q656" s="176" t="str">
        <f t="shared" si="174"/>
        <v>($)</v>
      </c>
      <c r="R656" s="176" t="str">
        <f t="shared" si="174"/>
        <v>($)</v>
      </c>
      <c r="S656" s="176" t="str">
        <f t="shared" si="174"/>
        <v>($)</v>
      </c>
      <c r="T656" s="168"/>
      <c r="U656" s="168"/>
    </row>
    <row r="657" spans="1:21" ht="15.75" customHeight="1" outlineLevel="1">
      <c r="A657" s="169">
        <v>409</v>
      </c>
      <c r="B657" s="242"/>
      <c r="C657" s="233"/>
      <c r="D657" s="233"/>
      <c r="E657" s="233"/>
      <c r="F657" s="233"/>
      <c r="G657" s="167"/>
      <c r="H657" s="167"/>
      <c r="I657" s="233"/>
      <c r="J657" s="233"/>
      <c r="K657" s="233"/>
      <c r="L657" s="292"/>
      <c r="M657" s="233"/>
      <c r="N657" s="292"/>
      <c r="O657" s="292"/>
      <c r="P657" s="292"/>
      <c r="Q657" s="292"/>
      <c r="R657" s="292"/>
      <c r="S657" s="292"/>
      <c r="T657" s="168"/>
      <c r="U657" s="168"/>
    </row>
    <row r="658" spans="1:21" ht="15.75" customHeight="1" outlineLevel="1">
      <c r="A658" s="169">
        <v>410</v>
      </c>
      <c r="B658" s="242"/>
      <c r="C658" s="215" t="s">
        <v>490</v>
      </c>
      <c r="D658" s="254"/>
      <c r="E658" s="254"/>
      <c r="F658" s="254"/>
      <c r="G658" s="167"/>
      <c r="H658" s="167"/>
      <c r="I658" s="254"/>
      <c r="J658" s="254"/>
      <c r="K658" s="254"/>
      <c r="L658" s="255"/>
      <c r="M658" s="215"/>
      <c r="N658" s="215"/>
      <c r="O658" s="215"/>
      <c r="P658" s="215"/>
      <c r="Q658" s="215"/>
      <c r="R658" s="215"/>
      <c r="S658" s="215"/>
      <c r="T658" s="168"/>
      <c r="U658" s="168"/>
    </row>
    <row r="659" spans="1:21" ht="15.75" customHeight="1" outlineLevel="1">
      <c r="A659" s="169">
        <v>411</v>
      </c>
      <c r="B659" s="242"/>
      <c r="C659" s="353" t="s">
        <v>653</v>
      </c>
      <c r="D659" s="242"/>
      <c r="E659" s="242"/>
      <c r="F659" s="242"/>
      <c r="G659" s="167"/>
      <c r="H659" s="167"/>
      <c r="I659" s="246">
        <v>0</v>
      </c>
      <c r="J659" s="246">
        <v>0</v>
      </c>
      <c r="K659" s="246">
        <f t="shared" ref="K659:M661" si="175">AVERAGE(J621:K621)</f>
        <v>0</v>
      </c>
      <c r="L659" s="246">
        <f>AVERAGE(K621:L621)</f>
        <v>5028157.6830249401</v>
      </c>
      <c r="M659" s="246">
        <f>AVERAGE(L621:M621)</f>
        <v>10056315.36604988</v>
      </c>
      <c r="N659" s="246">
        <f>AVERAGE(M621:N621)</f>
        <v>10056315.36604988</v>
      </c>
      <c r="O659" s="246">
        <f t="shared" ref="O659:S662" si="176">AVERAGE(N621:O621)</f>
        <v>8380262.8050415665</v>
      </c>
      <c r="P659" s="246">
        <f t="shared" si="176"/>
        <v>3352105.1220166264</v>
      </c>
      <c r="Q659" s="246">
        <f t="shared" si="176"/>
        <v>0</v>
      </c>
      <c r="R659" s="246">
        <f t="shared" si="176"/>
        <v>0</v>
      </c>
      <c r="S659" s="246">
        <f t="shared" si="176"/>
        <v>0</v>
      </c>
      <c r="T659" s="168"/>
      <c r="U659" s="168"/>
    </row>
    <row r="660" spans="1:21" ht="15.75" customHeight="1" outlineLevel="1">
      <c r="A660" s="169">
        <v>412</v>
      </c>
      <c r="B660" s="242"/>
      <c r="C660" s="353" t="s">
        <v>652</v>
      </c>
      <c r="D660" s="242"/>
      <c r="E660" s="242"/>
      <c r="F660" s="242"/>
      <c r="G660" s="167"/>
      <c r="H660" s="167"/>
      <c r="I660" s="246">
        <v>0</v>
      </c>
      <c r="J660" s="246">
        <v>0</v>
      </c>
      <c r="K660" s="246">
        <f t="shared" si="175"/>
        <v>0</v>
      </c>
      <c r="L660" s="246">
        <f>AVERAGE(K622:L622)</f>
        <v>4476885</v>
      </c>
      <c r="M660" s="246">
        <f t="shared" si="175"/>
        <v>6783770</v>
      </c>
      <c r="N660" s="246">
        <f>AVERAGE(M622:N622)</f>
        <v>4868029.5</v>
      </c>
      <c r="O660" s="246">
        <f t="shared" si="176"/>
        <v>5122289</v>
      </c>
      <c r="P660" s="246"/>
      <c r="Q660" s="246">
        <f t="shared" si="176"/>
        <v>0</v>
      </c>
      <c r="R660" s="246">
        <f t="shared" si="176"/>
        <v>0</v>
      </c>
      <c r="S660" s="246">
        <f t="shared" si="176"/>
        <v>0</v>
      </c>
      <c r="T660" s="168"/>
      <c r="U660" s="168"/>
    </row>
    <row r="661" spans="1:21" ht="15.75" customHeight="1" outlineLevel="1">
      <c r="A661" s="169">
        <v>413</v>
      </c>
      <c r="B661" s="242"/>
      <c r="C661" s="353" t="s">
        <v>489</v>
      </c>
      <c r="D661" s="242"/>
      <c r="E661" s="242"/>
      <c r="F661" s="242"/>
      <c r="G661" s="167"/>
      <c r="H661" s="167"/>
      <c r="I661" s="246">
        <v>0</v>
      </c>
      <c r="J661" s="246">
        <v>0</v>
      </c>
      <c r="K661" s="246">
        <f t="shared" si="175"/>
        <v>0</v>
      </c>
      <c r="L661" s="246">
        <f t="shared" si="175"/>
        <v>0</v>
      </c>
      <c r="M661" s="246">
        <f t="shared" si="175"/>
        <v>0</v>
      </c>
      <c r="N661" s="246">
        <f>AVERAGE(M623:N623)</f>
        <v>0</v>
      </c>
      <c r="O661" s="246">
        <f t="shared" si="176"/>
        <v>0</v>
      </c>
      <c r="P661" s="246">
        <f t="shared" si="176"/>
        <v>0</v>
      </c>
      <c r="Q661" s="246">
        <f t="shared" si="176"/>
        <v>0</v>
      </c>
      <c r="R661" s="246">
        <f t="shared" si="176"/>
        <v>0</v>
      </c>
      <c r="S661" s="246">
        <f t="shared" si="176"/>
        <v>0</v>
      </c>
      <c r="T661" s="168"/>
      <c r="U661" s="168"/>
    </row>
    <row r="662" spans="1:21" ht="15.75" customHeight="1" outlineLevel="1">
      <c r="B662" s="242"/>
      <c r="C662" s="353" t="s">
        <v>489</v>
      </c>
      <c r="D662" s="242"/>
      <c r="E662" s="242"/>
      <c r="F662" s="242"/>
      <c r="G662" s="167"/>
      <c r="H662" s="167"/>
      <c r="I662" s="246"/>
      <c r="J662" s="246"/>
      <c r="K662" s="246"/>
      <c r="L662" s="246"/>
      <c r="M662" s="246"/>
      <c r="N662" s="246">
        <f>AVERAGE(M624:N624)</f>
        <v>0</v>
      </c>
      <c r="O662" s="246">
        <f t="shared" si="176"/>
        <v>0</v>
      </c>
      <c r="P662" s="246"/>
      <c r="Q662" s="246">
        <f t="shared" si="176"/>
        <v>0</v>
      </c>
      <c r="R662" s="246">
        <f t="shared" si="176"/>
        <v>0</v>
      </c>
      <c r="S662" s="246">
        <f t="shared" si="176"/>
        <v>0</v>
      </c>
      <c r="T662" s="168"/>
      <c r="U662" s="168"/>
    </row>
    <row r="663" spans="1:21" ht="15.75" customHeight="1" outlineLevel="1">
      <c r="A663" s="169">
        <v>414</v>
      </c>
      <c r="B663" s="242"/>
      <c r="C663" s="353" t="s">
        <v>392</v>
      </c>
      <c r="D663" s="242"/>
      <c r="E663" s="242"/>
      <c r="F663" s="242"/>
      <c r="G663" s="167"/>
      <c r="H663" s="167"/>
      <c r="I663" s="246"/>
      <c r="J663" s="246">
        <v>0</v>
      </c>
      <c r="K663" s="246">
        <f>J639</f>
        <v>0</v>
      </c>
      <c r="L663" s="246">
        <f>AVERAGE(L639)</f>
        <v>18477505.229283988</v>
      </c>
      <c r="M663" s="246">
        <f t="shared" ref="M663:S663" si="177">L639</f>
        <v>18477505.229283988</v>
      </c>
      <c r="N663" s="246">
        <f t="shared" si="177"/>
        <v>18221941.992433798</v>
      </c>
      <c r="O663" s="246">
        <f t="shared" si="177"/>
        <v>20939449</v>
      </c>
      <c r="P663" s="246"/>
      <c r="Q663" s="246">
        <f t="shared" si="177"/>
        <v>0</v>
      </c>
      <c r="R663" s="246">
        <f t="shared" si="177"/>
        <v>0</v>
      </c>
      <c r="S663" s="246">
        <f t="shared" si="177"/>
        <v>0</v>
      </c>
      <c r="T663" s="168"/>
      <c r="U663" s="168"/>
    </row>
    <row r="664" spans="1:21" ht="15.75" customHeight="1" outlineLevel="1">
      <c r="A664" s="169">
        <v>415</v>
      </c>
      <c r="B664" s="242"/>
      <c r="C664" s="353" t="s">
        <v>379</v>
      </c>
      <c r="D664" s="242"/>
      <c r="E664" s="242"/>
      <c r="F664" s="242"/>
      <c r="G664" s="167"/>
      <c r="H664" s="167"/>
      <c r="I664" s="246">
        <f t="shared" ref="I664:S664" si="178">H644</f>
        <v>0</v>
      </c>
      <c r="J664" s="246">
        <f t="shared" si="178"/>
        <v>0</v>
      </c>
      <c r="K664" s="246">
        <f t="shared" si="178"/>
        <v>23990622.821507387</v>
      </c>
      <c r="L664" s="246">
        <f t="shared" si="178"/>
        <v>25293317.005245104</v>
      </c>
      <c r="M664" s="246">
        <f t="shared" ca="1" si="178"/>
        <v>94761747.093191624</v>
      </c>
      <c r="N664" s="246">
        <f t="shared" ca="1" si="178"/>
        <v>111114773.90763538</v>
      </c>
      <c r="O664" s="246">
        <f t="shared" ca="1" si="178"/>
        <v>130727249.49165154</v>
      </c>
      <c r="P664" s="246"/>
      <c r="Q664" s="246">
        <f t="shared" si="178"/>
        <v>0</v>
      </c>
      <c r="R664" s="246">
        <f t="shared" si="178"/>
        <v>0</v>
      </c>
      <c r="S664" s="246">
        <f t="shared" si="178"/>
        <v>0</v>
      </c>
      <c r="T664" s="168"/>
      <c r="U664" s="168"/>
    </row>
    <row r="665" spans="1:21" ht="15.75" customHeight="1" outlineLevel="1">
      <c r="A665" s="169">
        <v>416</v>
      </c>
      <c r="B665" s="242"/>
      <c r="C665" s="254"/>
      <c r="D665" s="254"/>
      <c r="E665" s="254"/>
      <c r="F665" s="254"/>
      <c r="G665" s="167"/>
      <c r="H665" s="167"/>
      <c r="I665" s="254"/>
      <c r="J665" s="254"/>
      <c r="K665" s="254"/>
      <c r="L665" s="254"/>
      <c r="M665" s="254"/>
      <c r="N665" s="254"/>
      <c r="O665" s="254"/>
      <c r="P665" s="254"/>
      <c r="Q665" s="254"/>
      <c r="R665" s="254"/>
      <c r="S665" s="254"/>
      <c r="T665" s="168"/>
      <c r="U665" s="168"/>
    </row>
    <row r="666" spans="1:21" ht="15.75" customHeight="1" outlineLevel="1">
      <c r="A666" s="169">
        <v>417</v>
      </c>
      <c r="B666" s="242"/>
      <c r="C666" s="215" t="s">
        <v>428</v>
      </c>
      <c r="D666" s="242"/>
      <c r="E666" s="242"/>
      <c r="F666" s="242"/>
      <c r="G666" s="167"/>
      <c r="H666" s="167"/>
      <c r="I666" s="242"/>
      <c r="J666" s="242"/>
      <c r="K666" s="242"/>
      <c r="L666" s="249"/>
      <c r="M666" s="249"/>
      <c r="N666" s="249"/>
      <c r="O666" s="249"/>
      <c r="P666" s="249"/>
      <c r="Q666" s="249"/>
      <c r="R666" s="249"/>
      <c r="S666" s="249"/>
      <c r="T666" s="168"/>
      <c r="U666" s="168"/>
    </row>
    <row r="667" spans="1:21" ht="15.75" customHeight="1" outlineLevel="1">
      <c r="A667" s="169">
        <v>418</v>
      </c>
      <c r="B667" s="242"/>
      <c r="C667" s="353" t="s">
        <v>653</v>
      </c>
      <c r="D667" s="242"/>
      <c r="E667" s="242"/>
      <c r="F667" s="242"/>
      <c r="G667" s="167"/>
      <c r="H667" s="167"/>
      <c r="I667" s="318">
        <v>0.1075</v>
      </c>
      <c r="J667" s="293">
        <v>0.1075</v>
      </c>
      <c r="K667" s="293">
        <f>J667</f>
        <v>0.1075</v>
      </c>
      <c r="L667" s="293">
        <f>K667</f>
        <v>0.1075</v>
      </c>
      <c r="M667" s="293">
        <f>L667</f>
        <v>0.1075</v>
      </c>
      <c r="N667" s="293">
        <f>M667</f>
        <v>0.1075</v>
      </c>
      <c r="O667" s="293">
        <f>N667</f>
        <v>0.1075</v>
      </c>
      <c r="P667" s="293"/>
      <c r="Q667" s="293"/>
      <c r="R667" s="293"/>
      <c r="S667" s="293"/>
      <c r="T667" s="168"/>
      <c r="U667" s="168"/>
    </row>
    <row r="668" spans="1:21" ht="15.75" customHeight="1" outlineLevel="1">
      <c r="A668" s="169">
        <v>419</v>
      </c>
      <c r="B668" s="242"/>
      <c r="C668" s="353" t="s">
        <v>652</v>
      </c>
      <c r="D668" s="242"/>
      <c r="E668" s="242"/>
      <c r="F668" s="242"/>
      <c r="G668" s="167"/>
      <c r="H668" s="167"/>
      <c r="I668" s="293">
        <v>6.2000000000000006E-2</v>
      </c>
      <c r="J668" s="293">
        <v>6.2000000000000006E-2</v>
      </c>
      <c r="K668" s="293">
        <f>J668</f>
        <v>6.2000000000000006E-2</v>
      </c>
      <c r="L668" s="293">
        <f>K668</f>
        <v>6.2000000000000006E-2</v>
      </c>
      <c r="M668" s="243">
        <v>3.8342000000000001E-2</v>
      </c>
      <c r="N668" s="293">
        <f>M668</f>
        <v>3.8342000000000001E-2</v>
      </c>
      <c r="O668" s="293">
        <v>4.7600000000000003E-2</v>
      </c>
      <c r="P668" s="293"/>
      <c r="Q668" s="293"/>
      <c r="R668" s="293"/>
      <c r="S668" s="293"/>
      <c r="T668" s="168"/>
      <c r="U668" s="168"/>
    </row>
    <row r="669" spans="1:21" ht="15.75" customHeight="1" outlineLevel="1">
      <c r="A669" s="169">
        <v>420</v>
      </c>
      <c r="B669" s="242"/>
      <c r="C669" s="353" t="s">
        <v>489</v>
      </c>
      <c r="D669" s="242"/>
      <c r="E669" s="242"/>
      <c r="F669" s="242"/>
      <c r="G669" s="167"/>
      <c r="H669" s="167"/>
      <c r="I669" s="293">
        <v>6.7000000000000004E-2</v>
      </c>
      <c r="J669" s="293">
        <v>6.7000000000000004E-2</v>
      </c>
      <c r="K669" s="243">
        <f>J669</f>
        <v>6.7000000000000004E-2</v>
      </c>
      <c r="L669" s="243">
        <f>K669</f>
        <v>6.7000000000000004E-2</v>
      </c>
      <c r="M669" s="243">
        <f>10%</f>
        <v>0.1</v>
      </c>
      <c r="N669" s="243">
        <v>0.1</v>
      </c>
      <c r="O669" s="243">
        <v>0.08</v>
      </c>
      <c r="P669" s="243"/>
      <c r="Q669" s="243"/>
      <c r="R669" s="243"/>
      <c r="S669" s="243"/>
      <c r="T669" s="168"/>
      <c r="U669" s="168"/>
    </row>
    <row r="670" spans="1:21" ht="15.75" customHeight="1" outlineLevel="1">
      <c r="B670" s="242"/>
      <c r="C670" s="353" t="s">
        <v>489</v>
      </c>
      <c r="D670" s="242"/>
      <c r="E670" s="242"/>
      <c r="F670" s="242"/>
      <c r="G670" s="167"/>
      <c r="H670" s="167"/>
      <c r="I670" s="293"/>
      <c r="J670" s="293"/>
      <c r="K670" s="243"/>
      <c r="L670" s="243"/>
      <c r="M670" s="243"/>
      <c r="N670" s="243">
        <v>0.06</v>
      </c>
      <c r="O670" s="243">
        <v>0.08</v>
      </c>
      <c r="P670" s="243"/>
      <c r="Q670" s="243"/>
      <c r="R670" s="243"/>
      <c r="S670" s="243"/>
      <c r="T670" s="168"/>
      <c r="U670" s="168"/>
    </row>
    <row r="671" spans="1:21" ht="15.75" customHeight="1" outlineLevel="1">
      <c r="A671" s="169">
        <v>421</v>
      </c>
      <c r="B671" s="242"/>
      <c r="C671" s="353" t="s">
        <v>392</v>
      </c>
      <c r="D671" s="242"/>
      <c r="E671" s="242"/>
      <c r="F671" s="242"/>
      <c r="G671" s="167"/>
      <c r="H671" s="167"/>
      <c r="I671" s="243">
        <v>0.09</v>
      </c>
      <c r="J671" s="243">
        <v>0.09</v>
      </c>
      <c r="K671" s="243">
        <f>J671</f>
        <v>0.09</v>
      </c>
      <c r="L671" s="293">
        <v>0.10875</v>
      </c>
      <c r="M671" s="293">
        <v>0.15</v>
      </c>
      <c r="N671" s="293">
        <v>0.1</v>
      </c>
      <c r="O671" s="293">
        <v>0.08</v>
      </c>
      <c r="P671" s="293"/>
      <c r="Q671" s="293"/>
      <c r="R671" s="293"/>
      <c r="S671" s="293"/>
      <c r="T671" s="168"/>
      <c r="U671" s="168"/>
    </row>
    <row r="672" spans="1:21" ht="15.75" customHeight="1" outlineLevel="1">
      <c r="A672" s="169">
        <v>422</v>
      </c>
      <c r="B672" s="242"/>
      <c r="C672" s="353" t="s">
        <v>379</v>
      </c>
      <c r="D672" s="242"/>
      <c r="E672" s="242"/>
      <c r="F672" s="242"/>
      <c r="G672" s="167"/>
      <c r="H672" s="167"/>
      <c r="I672" s="243">
        <v>0.01</v>
      </c>
      <c r="J672" s="243">
        <v>0.01</v>
      </c>
      <c r="K672" s="243">
        <v>0</v>
      </c>
      <c r="L672" s="243">
        <v>0</v>
      </c>
      <c r="M672" s="243">
        <v>0</v>
      </c>
      <c r="N672" s="243">
        <v>0</v>
      </c>
      <c r="O672" s="243">
        <v>0</v>
      </c>
      <c r="P672" s="243"/>
      <c r="Q672" s="243"/>
      <c r="R672" s="243"/>
      <c r="S672" s="243"/>
      <c r="T672" s="168"/>
      <c r="U672" s="168"/>
    </row>
    <row r="673" spans="1:21" ht="15.75" customHeight="1" outlineLevel="1">
      <c r="A673" s="169">
        <v>423</v>
      </c>
      <c r="B673" s="242"/>
      <c r="C673" s="254"/>
      <c r="D673" s="254"/>
      <c r="E673" s="254"/>
      <c r="F673" s="254"/>
      <c r="G673" s="167"/>
      <c r="H673" s="167"/>
      <c r="I673" s="254"/>
      <c r="J673" s="254"/>
      <c r="K673" s="254"/>
      <c r="L673" s="254"/>
      <c r="M673" s="254"/>
      <c r="N673" s="254"/>
      <c r="O673" s="254"/>
      <c r="P673" s="254"/>
      <c r="Q673" s="254"/>
      <c r="R673" s="254"/>
      <c r="S673" s="254"/>
      <c r="T673" s="168"/>
      <c r="U673" s="168"/>
    </row>
    <row r="674" spans="1:21" ht="15.75" customHeight="1" outlineLevel="1">
      <c r="A674" s="169">
        <v>424</v>
      </c>
      <c r="B674" s="242"/>
      <c r="C674" s="215" t="s">
        <v>491</v>
      </c>
      <c r="D674" s="242"/>
      <c r="E674" s="242"/>
      <c r="F674" s="242"/>
      <c r="G674" s="167"/>
      <c r="H674" s="167"/>
      <c r="I674" s="242"/>
      <c r="J674" s="726"/>
      <c r="K674" s="294"/>
      <c r="L674" s="294"/>
      <c r="M674" s="294"/>
      <c r="N674" s="294"/>
      <c r="O674" s="294"/>
      <c r="P674" s="294"/>
      <c r="Q674" s="294"/>
      <c r="R674" s="294"/>
      <c r="S674" s="294"/>
      <c r="T674" s="168"/>
      <c r="U674" s="168"/>
    </row>
    <row r="675" spans="1:21" ht="15.75" customHeight="1" outlineLevel="1">
      <c r="A675" s="169">
        <v>425</v>
      </c>
      <c r="B675" s="242"/>
      <c r="C675" s="353" t="s">
        <v>653</v>
      </c>
      <c r="D675" s="242"/>
      <c r="E675" s="242"/>
      <c r="F675" s="242"/>
      <c r="G675" s="167"/>
      <c r="H675" s="167"/>
      <c r="I675" s="239">
        <v>0</v>
      </c>
      <c r="J675" s="239">
        <v>0</v>
      </c>
      <c r="K675" s="239">
        <f t="shared" ref="K675:R679" si="179">K659*K667</f>
        <v>0</v>
      </c>
      <c r="L675" s="239">
        <f t="shared" si="179"/>
        <v>540526.95092518104</v>
      </c>
      <c r="M675" s="239">
        <f t="shared" si="179"/>
        <v>1081053.9018503621</v>
      </c>
      <c r="N675" s="239">
        <f t="shared" si="179"/>
        <v>1081053.9018503621</v>
      </c>
      <c r="O675" s="239">
        <f>O659*O667*5/12</f>
        <v>375365.93814248685</v>
      </c>
      <c r="P675" s="239">
        <f t="shared" si="179"/>
        <v>0</v>
      </c>
      <c r="Q675" s="239">
        <f t="shared" si="179"/>
        <v>0</v>
      </c>
      <c r="R675" s="239">
        <f t="shared" si="179"/>
        <v>0</v>
      </c>
      <c r="S675" s="239">
        <f>S659*S667</f>
        <v>0</v>
      </c>
      <c r="T675" s="168"/>
      <c r="U675" s="168"/>
    </row>
    <row r="676" spans="1:21" ht="15.75" customHeight="1" outlineLevel="1">
      <c r="A676" s="169">
        <v>426</v>
      </c>
      <c r="B676" s="242"/>
      <c r="C676" s="353" t="s">
        <v>652</v>
      </c>
      <c r="D676" s="242"/>
      <c r="E676" s="242"/>
      <c r="F676" s="242"/>
      <c r="G676" s="167"/>
      <c r="H676" s="167"/>
      <c r="I676" s="239">
        <v>0</v>
      </c>
      <c r="J676" s="239">
        <v>0</v>
      </c>
      <c r="K676" s="239">
        <f t="shared" si="179"/>
        <v>0</v>
      </c>
      <c r="L676" s="239">
        <f t="shared" si="179"/>
        <v>277566.87000000005</v>
      </c>
      <c r="M676" s="239">
        <f>M660*M668</f>
        <v>260103.30934000001</v>
      </c>
      <c r="N676" s="239">
        <f t="shared" si="179"/>
        <v>186649.987089</v>
      </c>
      <c r="O676" s="239">
        <f>O660*O668*5/12</f>
        <v>101592.06516666668</v>
      </c>
      <c r="P676" s="239">
        <f t="shared" si="179"/>
        <v>0</v>
      </c>
      <c r="Q676" s="239">
        <f t="shared" si="179"/>
        <v>0</v>
      </c>
      <c r="R676" s="239">
        <f t="shared" si="179"/>
        <v>0</v>
      </c>
      <c r="S676" s="239">
        <f>S660*S668</f>
        <v>0</v>
      </c>
      <c r="T676" s="168"/>
      <c r="U676" s="168"/>
    </row>
    <row r="677" spans="1:21" ht="15.75" customHeight="1" outlineLevel="1">
      <c r="A677" s="169">
        <v>427</v>
      </c>
      <c r="B677" s="242"/>
      <c r="C677" s="353" t="s">
        <v>489</v>
      </c>
      <c r="D677" s="242"/>
      <c r="E677" s="242"/>
      <c r="F677" s="242"/>
      <c r="G677" s="167"/>
      <c r="H677" s="167"/>
      <c r="I677" s="239">
        <v>0</v>
      </c>
      <c r="J677" s="239">
        <v>0</v>
      </c>
      <c r="K677" s="239">
        <f t="shared" si="179"/>
        <v>0</v>
      </c>
      <c r="L677" s="239">
        <f t="shared" si="179"/>
        <v>0</v>
      </c>
      <c r="M677" s="239">
        <f t="shared" si="179"/>
        <v>0</v>
      </c>
      <c r="N677" s="239">
        <f t="shared" si="179"/>
        <v>0</v>
      </c>
      <c r="O677" s="239">
        <f t="shared" si="179"/>
        <v>0</v>
      </c>
      <c r="P677" s="239">
        <f t="shared" si="179"/>
        <v>0</v>
      </c>
      <c r="Q677" s="239">
        <f t="shared" si="179"/>
        <v>0</v>
      </c>
      <c r="R677" s="239">
        <f t="shared" si="179"/>
        <v>0</v>
      </c>
      <c r="S677" s="239">
        <f>S661*S669</f>
        <v>0</v>
      </c>
      <c r="T677" s="168"/>
      <c r="U677" s="168"/>
    </row>
    <row r="678" spans="1:21" ht="15.75" customHeight="1" outlineLevel="1">
      <c r="B678" s="242"/>
      <c r="C678" s="353" t="s">
        <v>489</v>
      </c>
      <c r="D678" s="242"/>
      <c r="E678" s="242"/>
      <c r="F678" s="242"/>
      <c r="G678" s="167"/>
      <c r="H678" s="167"/>
      <c r="I678" s="239"/>
      <c r="J678" s="239"/>
      <c r="K678" s="239"/>
      <c r="L678" s="239"/>
      <c r="M678" s="239"/>
      <c r="N678" s="239">
        <f t="shared" si="179"/>
        <v>0</v>
      </c>
      <c r="O678" s="239">
        <f t="shared" si="179"/>
        <v>0</v>
      </c>
      <c r="P678" s="239">
        <f t="shared" si="179"/>
        <v>0</v>
      </c>
      <c r="Q678" s="239">
        <f t="shared" si="179"/>
        <v>0</v>
      </c>
      <c r="R678" s="239">
        <f t="shared" si="179"/>
        <v>0</v>
      </c>
      <c r="S678" s="239">
        <f>S662*S670</f>
        <v>0</v>
      </c>
      <c r="T678" s="168"/>
      <c r="U678" s="168"/>
    </row>
    <row r="679" spans="1:21" ht="15.75" customHeight="1" outlineLevel="1">
      <c r="A679" s="169">
        <v>428</v>
      </c>
      <c r="B679" s="242"/>
      <c r="C679" s="353" t="s">
        <v>392</v>
      </c>
      <c r="D679" s="242"/>
      <c r="E679" s="242"/>
      <c r="F679" s="242"/>
      <c r="G679" s="167"/>
      <c r="H679" s="167"/>
      <c r="I679" s="239">
        <v>0</v>
      </c>
      <c r="J679" s="239">
        <v>0</v>
      </c>
      <c r="K679" s="239">
        <f>K663*K671</f>
        <v>0</v>
      </c>
      <c r="L679" s="239">
        <f>L663*L671</f>
        <v>2009428.6936846338</v>
      </c>
      <c r="M679" s="239">
        <f>M663*M671</f>
        <v>2771625.7843925981</v>
      </c>
      <c r="N679" s="239">
        <f t="shared" si="179"/>
        <v>1822194.1992433798</v>
      </c>
      <c r="O679" s="239">
        <f>O663*O671*5/12</f>
        <v>697981.6333333333</v>
      </c>
      <c r="P679" s="239">
        <f t="shared" si="179"/>
        <v>0</v>
      </c>
      <c r="Q679" s="239">
        <f t="shared" si="179"/>
        <v>0</v>
      </c>
      <c r="R679" s="239">
        <f t="shared" si="179"/>
        <v>0</v>
      </c>
      <c r="S679" s="239">
        <f>S663*S671</f>
        <v>0</v>
      </c>
      <c r="T679" s="168"/>
      <c r="U679" s="168"/>
    </row>
    <row r="680" spans="1:21" ht="15.75" customHeight="1" outlineLevel="1">
      <c r="A680" s="169">
        <v>429</v>
      </c>
      <c r="B680" s="242"/>
      <c r="C680" s="353" t="s">
        <v>492</v>
      </c>
      <c r="D680" s="242"/>
      <c r="E680" s="242"/>
      <c r="F680" s="242"/>
      <c r="G680" s="167"/>
      <c r="H680" s="167"/>
      <c r="I680" s="246">
        <v>0</v>
      </c>
      <c r="J680" s="246">
        <v>0</v>
      </c>
      <c r="K680" s="246">
        <f t="shared" ref="K680:Q680" si="180">SUM(K675:K679)</f>
        <v>0</v>
      </c>
      <c r="L680" s="246">
        <f>SUM(L675:L679)</f>
        <v>2827522.5146098146</v>
      </c>
      <c r="M680" s="246">
        <f t="shared" si="180"/>
        <v>4112782.9955829601</v>
      </c>
      <c r="N680" s="246">
        <f>SUM(N675:N679)</f>
        <v>3089898.0881827418</v>
      </c>
      <c r="O680" s="246">
        <f t="shared" si="180"/>
        <v>1174939.6366424868</v>
      </c>
      <c r="P680" s="246">
        <f t="shared" si="180"/>
        <v>0</v>
      </c>
      <c r="Q680" s="246">
        <f t="shared" si="180"/>
        <v>0</v>
      </c>
      <c r="R680" s="246">
        <f>SUM(R675:R679)</f>
        <v>0</v>
      </c>
      <c r="S680" s="246">
        <f>SUM(S675:S679)</f>
        <v>0</v>
      </c>
      <c r="T680" s="168"/>
      <c r="U680" s="168"/>
    </row>
    <row r="681" spans="1:21" ht="15.75" customHeight="1" outlineLevel="1">
      <c r="A681" s="169">
        <v>430</v>
      </c>
      <c r="B681" s="242"/>
      <c r="C681" s="254"/>
      <c r="D681" s="254"/>
      <c r="E681" s="254"/>
      <c r="F681" s="254"/>
      <c r="G681" s="167"/>
      <c r="H681" s="167"/>
      <c r="I681" s="254"/>
      <c r="J681" s="254"/>
      <c r="K681" s="254"/>
      <c r="L681" s="254"/>
      <c r="M681" s="254"/>
      <c r="N681" s="254"/>
      <c r="O681" s="254"/>
      <c r="P681" s="254"/>
      <c r="Q681" s="254"/>
      <c r="R681" s="254"/>
      <c r="S681" s="254"/>
      <c r="T681" s="168"/>
      <c r="U681" s="168"/>
    </row>
    <row r="682" spans="1:21" ht="15.75" customHeight="1" outlineLevel="1">
      <c r="A682" s="169">
        <v>431</v>
      </c>
      <c r="B682" s="242"/>
      <c r="C682" s="356" t="s">
        <v>493</v>
      </c>
      <c r="D682" s="242"/>
      <c r="E682" s="242"/>
      <c r="F682" s="242"/>
      <c r="G682" s="167"/>
      <c r="H682" s="167"/>
      <c r="I682" s="239">
        <v>0</v>
      </c>
      <c r="J682" s="239">
        <v>0</v>
      </c>
      <c r="K682" s="239">
        <f>J682</f>
        <v>0</v>
      </c>
      <c r="L682" s="239">
        <f>1589247</f>
        <v>1589247</v>
      </c>
      <c r="M682" s="239"/>
      <c r="N682" s="239">
        <v>0</v>
      </c>
      <c r="O682" s="239">
        <f>N682</f>
        <v>0</v>
      </c>
      <c r="P682" s="239">
        <f>O682</f>
        <v>0</v>
      </c>
      <c r="Q682" s="239">
        <f>P682</f>
        <v>0</v>
      </c>
      <c r="R682" s="239">
        <f>Q682</f>
        <v>0</v>
      </c>
      <c r="S682" s="239">
        <f>R682</f>
        <v>0</v>
      </c>
      <c r="T682" s="168"/>
      <c r="U682" s="168"/>
    </row>
    <row r="683" spans="1:21" ht="15.75" customHeight="1" outlineLevel="1">
      <c r="A683" s="169">
        <v>432</v>
      </c>
      <c r="B683" s="242"/>
      <c r="C683" s="254"/>
      <c r="D683" s="254"/>
      <c r="E683" s="254"/>
      <c r="F683" s="254"/>
      <c r="G683" s="167"/>
      <c r="H683" s="167"/>
      <c r="I683" s="254"/>
      <c r="J683" s="254"/>
      <c r="K683" s="254"/>
      <c r="L683" s="254"/>
      <c r="M683" s="254"/>
      <c r="N683" s="254"/>
      <c r="O683" s="254"/>
      <c r="P683" s="254"/>
      <c r="Q683" s="254"/>
      <c r="R683" s="254"/>
      <c r="S683" s="254"/>
      <c r="T683" s="168"/>
      <c r="U683" s="168"/>
    </row>
    <row r="684" spans="1:21" ht="15.75" customHeight="1" outlineLevel="1">
      <c r="A684" s="169">
        <v>433</v>
      </c>
      <c r="B684" s="242"/>
      <c r="C684" s="356" t="s">
        <v>429</v>
      </c>
      <c r="D684" s="242"/>
      <c r="E684" s="242"/>
      <c r="F684" s="242"/>
      <c r="G684" s="167"/>
      <c r="H684" s="167"/>
      <c r="I684" s="246">
        <v>0</v>
      </c>
      <c r="J684" s="246">
        <v>0</v>
      </c>
      <c r="K684" s="246">
        <f t="shared" ref="K684:R684" si="181">K680+K682</f>
        <v>0</v>
      </c>
      <c r="L684" s="246">
        <f t="shared" si="181"/>
        <v>4416769.5146098146</v>
      </c>
      <c r="M684" s="246">
        <f>M680+M682</f>
        <v>4112782.9955829601</v>
      </c>
      <c r="N684" s="246">
        <f t="shared" si="181"/>
        <v>3089898.0881827418</v>
      </c>
      <c r="O684" s="246">
        <f t="shared" si="181"/>
        <v>1174939.6366424868</v>
      </c>
      <c r="P684" s="246">
        <f t="shared" si="181"/>
        <v>0</v>
      </c>
      <c r="Q684" s="246">
        <f t="shared" si="181"/>
        <v>0</v>
      </c>
      <c r="R684" s="246">
        <f t="shared" si="181"/>
        <v>0</v>
      </c>
      <c r="S684" s="246">
        <f>S680+S682</f>
        <v>0</v>
      </c>
      <c r="T684" s="168"/>
      <c r="U684" s="168"/>
    </row>
    <row r="685" spans="1:21" ht="15.75" customHeight="1" outlineLevel="1">
      <c r="A685" s="169">
        <v>434</v>
      </c>
      <c r="B685" s="242"/>
      <c r="C685" s="254"/>
      <c r="D685" s="242"/>
      <c r="E685" s="242"/>
      <c r="F685" s="242"/>
      <c r="G685" s="167"/>
      <c r="H685" s="167"/>
      <c r="I685" s="242"/>
      <c r="J685" s="242"/>
      <c r="K685" s="249"/>
      <c r="L685" s="249"/>
      <c r="M685" s="249"/>
      <c r="N685" s="249"/>
      <c r="O685" s="249"/>
      <c r="P685" s="249"/>
      <c r="Q685" s="249"/>
      <c r="R685" s="249"/>
      <c r="S685" s="249"/>
      <c r="T685" s="168"/>
      <c r="U685" s="168"/>
    </row>
    <row r="686" spans="1:21" ht="15.75" customHeight="1" outlineLevel="1">
      <c r="A686" s="169">
        <v>435</v>
      </c>
      <c r="B686" s="242"/>
      <c r="C686" s="215" t="s">
        <v>430</v>
      </c>
      <c r="D686" s="242"/>
      <c r="E686" s="242"/>
      <c r="F686" s="242"/>
      <c r="G686" s="167"/>
      <c r="H686" s="167"/>
      <c r="I686" s="239">
        <v>0</v>
      </c>
      <c r="J686" s="239">
        <v>5308.931016887097</v>
      </c>
      <c r="K686" s="239">
        <f t="shared" ref="K686:R686" si="182">K664*K672</f>
        <v>0</v>
      </c>
      <c r="L686" s="239">
        <f t="shared" si="182"/>
        <v>0</v>
      </c>
      <c r="M686" s="239">
        <f t="shared" ca="1" si="182"/>
        <v>0</v>
      </c>
      <c r="N686" s="239">
        <f t="shared" ca="1" si="182"/>
        <v>0</v>
      </c>
      <c r="O686" s="239">
        <f ca="1">O664*O672*5/12</f>
        <v>0</v>
      </c>
      <c r="P686" s="239">
        <f t="shared" si="182"/>
        <v>0</v>
      </c>
      <c r="Q686" s="239">
        <f t="shared" si="182"/>
        <v>0</v>
      </c>
      <c r="R686" s="239">
        <f t="shared" si="182"/>
        <v>0</v>
      </c>
      <c r="S686" s="239">
        <f>S664*S672</f>
        <v>0</v>
      </c>
      <c r="T686" s="168"/>
      <c r="U686" s="168"/>
    </row>
    <row r="687" spans="1:21" ht="15.75" customHeight="1" outlineLevel="1">
      <c r="A687" s="169">
        <v>436</v>
      </c>
      <c r="B687" s="242"/>
      <c r="C687" s="215" t="s">
        <v>494</v>
      </c>
      <c r="D687" s="242"/>
      <c r="E687" s="242"/>
      <c r="F687" s="242"/>
      <c r="G687" s="167"/>
      <c r="H687" s="167"/>
      <c r="I687" s="239">
        <v>0</v>
      </c>
      <c r="J687" s="239">
        <v>0</v>
      </c>
      <c r="K687" s="239">
        <f t="shared" ref="K687:S687" si="183">J687</f>
        <v>0</v>
      </c>
      <c r="L687" s="239">
        <f t="shared" si="183"/>
        <v>0</v>
      </c>
      <c r="M687" s="239">
        <f t="shared" si="183"/>
        <v>0</v>
      </c>
      <c r="N687" s="239">
        <f t="shared" si="183"/>
        <v>0</v>
      </c>
      <c r="O687" s="239">
        <f t="shared" si="183"/>
        <v>0</v>
      </c>
      <c r="P687" s="239">
        <f t="shared" si="183"/>
        <v>0</v>
      </c>
      <c r="Q687" s="239">
        <f t="shared" si="183"/>
        <v>0</v>
      </c>
      <c r="R687" s="239">
        <f t="shared" si="183"/>
        <v>0</v>
      </c>
      <c r="S687" s="239">
        <f t="shared" si="183"/>
        <v>0</v>
      </c>
      <c r="T687" s="168"/>
      <c r="U687" s="168"/>
    </row>
    <row r="688" spans="1:21" ht="15.75" customHeight="1" outlineLevel="1">
      <c r="A688" s="169">
        <v>437</v>
      </c>
      <c r="B688" s="242"/>
      <c r="C688" s="356" t="s">
        <v>495</v>
      </c>
      <c r="D688" s="242"/>
      <c r="E688" s="242"/>
      <c r="F688" s="242"/>
      <c r="G688" s="167"/>
      <c r="H688" s="167"/>
      <c r="I688" s="246">
        <v>0</v>
      </c>
      <c r="J688" s="246">
        <v>5308.931016887097</v>
      </c>
      <c r="K688" s="246">
        <f t="shared" ref="K688:R688" si="184">SUM(K686:K687)</f>
        <v>0</v>
      </c>
      <c r="L688" s="246">
        <f t="shared" si="184"/>
        <v>0</v>
      </c>
      <c r="M688" s="246">
        <f t="shared" ca="1" si="184"/>
        <v>0</v>
      </c>
      <c r="N688" s="246">
        <f t="shared" ca="1" si="184"/>
        <v>0</v>
      </c>
      <c r="O688" s="246">
        <f t="shared" ca="1" si="184"/>
        <v>0</v>
      </c>
      <c r="P688" s="246">
        <f t="shared" si="184"/>
        <v>0</v>
      </c>
      <c r="Q688" s="246">
        <f t="shared" si="184"/>
        <v>0</v>
      </c>
      <c r="R688" s="246">
        <f t="shared" si="184"/>
        <v>0</v>
      </c>
      <c r="S688" s="246">
        <f>SUM(S686:S687)</f>
        <v>0</v>
      </c>
      <c r="T688" s="168"/>
      <c r="U688" s="168"/>
    </row>
    <row r="689" spans="1:21" ht="15.75" customHeight="1" outlineLevel="1">
      <c r="A689" s="169">
        <v>438</v>
      </c>
      <c r="B689" s="242"/>
      <c r="C689" s="254"/>
      <c r="D689" s="254"/>
      <c r="E689" s="254"/>
      <c r="F689" s="254"/>
      <c r="G689" s="167"/>
      <c r="H689" s="167"/>
      <c r="I689" s="254"/>
      <c r="J689" s="254"/>
      <c r="K689" s="254"/>
      <c r="L689" s="254"/>
      <c r="M689" s="215"/>
      <c r="N689" s="215"/>
      <c r="O689" s="215"/>
      <c r="P689" s="215"/>
      <c r="Q689" s="215"/>
      <c r="R689" s="215"/>
      <c r="S689" s="215"/>
      <c r="T689" s="168"/>
      <c r="U689" s="168"/>
    </row>
    <row r="690" spans="1:21" ht="15.75" customHeight="1" outlineLevel="1">
      <c r="A690" s="169">
        <v>439</v>
      </c>
      <c r="B690" s="242"/>
      <c r="C690" s="254"/>
      <c r="D690" s="254"/>
      <c r="E690" s="254"/>
      <c r="F690" s="254"/>
      <c r="G690" s="167"/>
      <c r="H690" s="167"/>
      <c r="I690" s="254"/>
      <c r="J690" s="254"/>
      <c r="K690" s="254"/>
      <c r="L690" s="255"/>
      <c r="M690" s="215"/>
      <c r="N690" s="215"/>
      <c r="O690" s="215"/>
      <c r="P690" s="215"/>
      <c r="Q690" s="215"/>
      <c r="R690" s="215"/>
      <c r="S690" s="215"/>
      <c r="T690" s="168"/>
      <c r="U690" s="168"/>
    </row>
    <row r="691" spans="1:21" outlineLevel="1">
      <c r="B691" s="168"/>
      <c r="C691" s="601"/>
      <c r="D691" s="168"/>
      <c r="E691" s="168"/>
      <c r="F691" s="168"/>
      <c r="G691" s="167"/>
      <c r="H691" s="167"/>
      <c r="J691" s="168"/>
      <c r="K691" s="168"/>
      <c r="M691" s="321"/>
      <c r="N691" s="321"/>
      <c r="O691" s="321"/>
      <c r="P691" s="321"/>
      <c r="Q691" s="321"/>
      <c r="R691" s="321"/>
      <c r="S691" s="321"/>
      <c r="T691" s="168"/>
      <c r="U691" s="168"/>
    </row>
    <row r="692" spans="1:21">
      <c r="B692" s="168"/>
      <c r="C692" s="601"/>
      <c r="D692" s="168"/>
      <c r="E692" s="168"/>
      <c r="F692" s="168"/>
      <c r="G692" s="167"/>
      <c r="H692" s="167"/>
      <c r="J692" s="168"/>
      <c r="K692" s="168"/>
      <c r="M692" s="321"/>
      <c r="N692" s="321"/>
      <c r="O692" s="321"/>
      <c r="P692" s="321"/>
      <c r="Q692" s="321"/>
      <c r="R692" s="321"/>
      <c r="S692" s="321"/>
      <c r="T692" s="168"/>
      <c r="U692" s="168"/>
    </row>
    <row r="693" spans="1:21">
      <c r="B693" s="168"/>
      <c r="C693" s="601"/>
      <c r="D693" s="168"/>
      <c r="E693" s="168"/>
      <c r="F693" s="168"/>
      <c r="G693" s="167"/>
      <c r="H693" s="167"/>
      <c r="J693" s="168"/>
      <c r="K693" s="168"/>
      <c r="M693" s="168"/>
      <c r="N693" s="168"/>
      <c r="O693" s="168"/>
      <c r="P693" s="168"/>
      <c r="Q693" s="168"/>
      <c r="R693" s="168"/>
      <c r="S693" s="168"/>
      <c r="T693" s="168"/>
      <c r="U693" s="168"/>
    </row>
    <row r="694" spans="1:21">
      <c r="B694" s="168"/>
      <c r="C694" s="601"/>
      <c r="D694" s="168"/>
      <c r="E694" s="168"/>
      <c r="F694" s="168"/>
      <c r="G694" s="167"/>
      <c r="H694" s="167"/>
      <c r="J694" s="168"/>
      <c r="K694" s="168"/>
      <c r="M694" s="168"/>
      <c r="N694" s="168"/>
      <c r="O694" s="168"/>
      <c r="P694" s="168"/>
      <c r="Q694" s="168"/>
      <c r="R694" s="168"/>
      <c r="S694" s="168"/>
      <c r="T694" s="168"/>
      <c r="U694" s="168"/>
    </row>
    <row r="695" spans="1:21">
      <c r="B695" s="168"/>
      <c r="C695" s="601"/>
      <c r="D695" s="168"/>
      <c r="E695" s="168"/>
      <c r="F695" s="168"/>
      <c r="G695" s="167"/>
      <c r="H695" s="167"/>
      <c r="J695" s="168"/>
      <c r="K695" s="168"/>
      <c r="M695" s="168"/>
      <c r="N695" s="168"/>
      <c r="O695" s="168"/>
      <c r="P695" s="168"/>
      <c r="Q695" s="168"/>
      <c r="R695" s="168"/>
      <c r="S695" s="168"/>
      <c r="T695" s="168"/>
      <c r="U695" s="168"/>
    </row>
    <row r="696" spans="1:21">
      <c r="B696" s="168"/>
      <c r="C696" s="601"/>
      <c r="D696" s="168"/>
      <c r="E696" s="168"/>
      <c r="F696" s="168"/>
      <c r="G696" s="167"/>
      <c r="H696" s="167"/>
      <c r="J696" s="168"/>
      <c r="K696" s="168"/>
      <c r="M696" s="168"/>
      <c r="N696" s="168"/>
      <c r="O696" s="168"/>
      <c r="P696" s="168"/>
      <c r="Q696" s="168"/>
      <c r="R696" s="168"/>
      <c r="S696" s="168"/>
      <c r="T696" s="168"/>
      <c r="U696" s="168"/>
    </row>
    <row r="697" spans="1:21">
      <c r="B697" s="168"/>
      <c r="C697" s="601"/>
      <c r="D697" s="168"/>
      <c r="E697" s="168"/>
      <c r="F697" s="168"/>
      <c r="G697" s="167"/>
      <c r="H697" s="167"/>
      <c r="J697" s="168"/>
      <c r="K697" s="168"/>
      <c r="M697" s="168"/>
      <c r="N697" s="168"/>
      <c r="O697" s="168"/>
      <c r="P697" s="168"/>
      <c r="Q697" s="168"/>
      <c r="R697" s="168"/>
      <c r="S697" s="168"/>
      <c r="T697" s="168"/>
      <c r="U697" s="168"/>
    </row>
    <row r="698" spans="1:21">
      <c r="B698" s="168"/>
      <c r="C698" s="601"/>
      <c r="D698" s="168"/>
      <c r="E698" s="168"/>
      <c r="F698" s="168"/>
      <c r="G698" s="167"/>
      <c r="H698" s="167"/>
      <c r="J698" s="168"/>
      <c r="K698" s="168"/>
      <c r="M698" s="168"/>
      <c r="N698" s="168"/>
      <c r="O698" s="168"/>
      <c r="P698" s="168"/>
      <c r="Q698" s="168"/>
      <c r="R698" s="168"/>
      <c r="S698" s="168"/>
      <c r="T698" s="168"/>
      <c r="U698" s="168"/>
    </row>
    <row r="699" spans="1:21">
      <c r="B699" s="168"/>
      <c r="C699" s="601"/>
      <c r="D699" s="168"/>
      <c r="E699" s="168"/>
      <c r="F699" s="168"/>
      <c r="G699" s="167"/>
      <c r="H699" s="167"/>
      <c r="J699" s="168"/>
      <c r="K699" s="168"/>
      <c r="M699" s="168"/>
      <c r="N699" s="168"/>
      <c r="O699" s="168"/>
      <c r="P699" s="168"/>
      <c r="Q699" s="168"/>
      <c r="R699" s="168"/>
      <c r="S699" s="168"/>
      <c r="T699" s="168"/>
      <c r="U699" s="168"/>
    </row>
    <row r="700" spans="1:21">
      <c r="B700" s="168"/>
      <c r="C700" s="601"/>
      <c r="D700" s="168"/>
      <c r="E700" s="168"/>
      <c r="F700" s="168"/>
      <c r="G700" s="167"/>
      <c r="H700" s="167"/>
      <c r="J700" s="168"/>
      <c r="K700" s="168"/>
      <c r="M700" s="168"/>
      <c r="N700" s="168"/>
      <c r="O700" s="168"/>
      <c r="P700" s="168"/>
      <c r="Q700" s="168"/>
      <c r="R700" s="168"/>
      <c r="S700" s="168"/>
      <c r="T700" s="168"/>
      <c r="U700" s="168"/>
    </row>
    <row r="701" spans="1:21">
      <c r="B701" s="168"/>
      <c r="C701" s="601"/>
      <c r="D701" s="168"/>
      <c r="E701" s="168"/>
      <c r="F701" s="168"/>
      <c r="G701" s="167"/>
      <c r="H701" s="167"/>
      <c r="J701" s="168"/>
      <c r="K701" s="168"/>
      <c r="M701" s="168"/>
      <c r="N701" s="168"/>
      <c r="O701" s="168"/>
      <c r="P701" s="168"/>
      <c r="Q701" s="168"/>
      <c r="R701" s="168"/>
      <c r="S701" s="168"/>
      <c r="T701" s="168"/>
      <c r="U701" s="168"/>
    </row>
    <row r="702" spans="1:21">
      <c r="B702" s="168"/>
      <c r="C702" s="601"/>
      <c r="D702" s="168"/>
      <c r="E702" s="168"/>
      <c r="F702" s="168"/>
      <c r="G702" s="167"/>
      <c r="H702" s="167"/>
      <c r="J702" s="168"/>
      <c r="K702" s="168"/>
      <c r="M702" s="168"/>
      <c r="N702" s="168"/>
      <c r="O702" s="168"/>
      <c r="P702" s="168"/>
      <c r="Q702" s="168"/>
      <c r="R702" s="168"/>
      <c r="S702" s="168"/>
      <c r="T702" s="168"/>
      <c r="U702" s="168"/>
    </row>
    <row r="703" spans="1:21">
      <c r="B703" s="168"/>
      <c r="C703" s="601"/>
      <c r="D703" s="168"/>
      <c r="E703" s="168"/>
      <c r="F703" s="168"/>
      <c r="G703" s="167"/>
      <c r="H703" s="167"/>
      <c r="J703" s="168"/>
      <c r="K703" s="168"/>
      <c r="M703" s="168"/>
      <c r="N703" s="168"/>
      <c r="O703" s="168"/>
      <c r="P703" s="168"/>
      <c r="Q703" s="168"/>
      <c r="R703" s="168"/>
      <c r="S703" s="168"/>
      <c r="T703" s="168"/>
      <c r="U703" s="168"/>
    </row>
    <row r="704" spans="1:21">
      <c r="B704" s="168"/>
      <c r="C704" s="601"/>
      <c r="D704" s="168"/>
      <c r="E704" s="168"/>
      <c r="F704" s="168"/>
      <c r="G704" s="167"/>
      <c r="H704" s="167"/>
      <c r="J704" s="168"/>
      <c r="K704" s="168"/>
      <c r="M704" s="168"/>
      <c r="N704" s="168"/>
      <c r="O704" s="168"/>
      <c r="P704" s="168"/>
      <c r="Q704" s="168"/>
      <c r="R704" s="168"/>
      <c r="S704" s="168"/>
      <c r="T704" s="168"/>
      <c r="U704" s="168"/>
    </row>
    <row r="705" spans="2:21">
      <c r="B705" s="168"/>
      <c r="C705" s="601"/>
      <c r="D705" s="168"/>
      <c r="E705" s="168"/>
      <c r="F705" s="168"/>
      <c r="G705" s="167"/>
      <c r="H705" s="167"/>
      <c r="J705" s="168"/>
      <c r="K705" s="168"/>
      <c r="M705" s="168"/>
      <c r="N705" s="168"/>
      <c r="O705" s="168"/>
      <c r="P705" s="168"/>
      <c r="Q705" s="168"/>
      <c r="R705" s="168"/>
      <c r="S705" s="168"/>
      <c r="T705" s="168"/>
      <c r="U705" s="168"/>
    </row>
    <row r="706" spans="2:21">
      <c r="B706" s="168"/>
      <c r="C706" s="601"/>
      <c r="D706" s="168"/>
      <c r="E706" s="168"/>
      <c r="F706" s="168"/>
      <c r="G706" s="167"/>
      <c r="H706" s="167"/>
      <c r="J706" s="168"/>
      <c r="K706" s="168"/>
      <c r="M706" s="168"/>
      <c r="N706" s="168"/>
      <c r="O706" s="168"/>
      <c r="P706" s="168"/>
      <c r="Q706" s="168"/>
      <c r="R706" s="168"/>
      <c r="S706" s="168"/>
      <c r="T706" s="168"/>
      <c r="U706" s="168"/>
    </row>
    <row r="707" spans="2:21">
      <c r="B707" s="168"/>
      <c r="C707" s="601"/>
      <c r="D707" s="168"/>
      <c r="E707" s="168"/>
      <c r="F707" s="168"/>
      <c r="G707" s="167"/>
      <c r="H707" s="167"/>
      <c r="J707" s="168"/>
      <c r="K707" s="168"/>
      <c r="M707" s="168"/>
      <c r="N707" s="168"/>
      <c r="O707" s="168"/>
      <c r="P707" s="168"/>
      <c r="Q707" s="168"/>
      <c r="R707" s="168"/>
      <c r="S707" s="168"/>
      <c r="T707" s="168"/>
      <c r="U707" s="168"/>
    </row>
    <row r="708" spans="2:21">
      <c r="B708" s="168"/>
      <c r="C708" s="601"/>
      <c r="D708" s="168"/>
      <c r="E708" s="168"/>
      <c r="F708" s="168"/>
      <c r="G708" s="167"/>
      <c r="H708" s="167"/>
      <c r="J708" s="168"/>
      <c r="K708" s="168"/>
      <c r="M708" s="168"/>
      <c r="N708" s="168"/>
      <c r="O708" s="168"/>
      <c r="P708" s="168"/>
      <c r="Q708" s="168"/>
      <c r="R708" s="168"/>
      <c r="S708" s="168"/>
      <c r="T708" s="168"/>
      <c r="U708" s="168"/>
    </row>
    <row r="709" spans="2:21">
      <c r="B709" s="168"/>
      <c r="C709" s="601"/>
      <c r="D709" s="168"/>
      <c r="E709" s="168"/>
      <c r="F709" s="168"/>
      <c r="G709" s="167"/>
      <c r="H709" s="167"/>
      <c r="J709" s="168"/>
      <c r="K709" s="168"/>
      <c r="M709" s="168"/>
      <c r="N709" s="168"/>
      <c r="O709" s="168"/>
      <c r="P709" s="168"/>
      <c r="Q709" s="168"/>
      <c r="R709" s="168"/>
      <c r="S709" s="168"/>
      <c r="T709" s="168"/>
      <c r="U709" s="168"/>
    </row>
    <row r="710" spans="2:21">
      <c r="B710" s="168"/>
      <c r="C710" s="601"/>
      <c r="D710" s="168"/>
      <c r="E710" s="168"/>
      <c r="F710" s="168"/>
      <c r="G710" s="167"/>
      <c r="H710" s="167"/>
      <c r="J710" s="168"/>
      <c r="K710" s="168"/>
      <c r="M710" s="168"/>
      <c r="N710" s="168"/>
      <c r="O710" s="168"/>
      <c r="P710" s="168"/>
      <c r="Q710" s="168"/>
      <c r="R710" s="168"/>
      <c r="S710" s="168"/>
      <c r="T710" s="168"/>
      <c r="U710" s="168"/>
    </row>
    <row r="711" spans="2:21">
      <c r="B711" s="168"/>
      <c r="C711" s="601"/>
      <c r="D711" s="168"/>
      <c r="E711" s="168"/>
      <c r="F711" s="168"/>
      <c r="G711" s="167"/>
      <c r="H711" s="167"/>
      <c r="J711" s="168"/>
      <c r="K711" s="168"/>
      <c r="M711" s="168"/>
      <c r="N711" s="168"/>
      <c r="O711" s="168"/>
      <c r="P711" s="168"/>
      <c r="Q711" s="168"/>
      <c r="R711" s="168"/>
      <c r="S711" s="168"/>
      <c r="T711" s="168"/>
      <c r="U711" s="168"/>
    </row>
    <row r="712" spans="2:21">
      <c r="B712" s="168"/>
      <c r="C712" s="601"/>
      <c r="D712" s="168"/>
      <c r="E712" s="168"/>
      <c r="F712" s="168"/>
      <c r="G712" s="167"/>
      <c r="H712" s="167"/>
      <c r="J712" s="168"/>
      <c r="K712" s="168"/>
      <c r="M712" s="168"/>
      <c r="N712" s="168"/>
      <c r="O712" s="168"/>
      <c r="P712" s="168"/>
      <c r="Q712" s="168"/>
      <c r="R712" s="168"/>
      <c r="S712" s="168"/>
      <c r="T712" s="168"/>
      <c r="U712" s="168"/>
    </row>
    <row r="713" spans="2:21">
      <c r="B713" s="168"/>
      <c r="C713" s="601"/>
      <c r="D713" s="168"/>
      <c r="E713" s="168"/>
      <c r="F713" s="168"/>
      <c r="G713" s="167"/>
      <c r="H713" s="167"/>
      <c r="J713" s="168"/>
      <c r="K713" s="168"/>
      <c r="M713" s="168"/>
      <c r="N713" s="168"/>
      <c r="O713" s="168"/>
      <c r="P713" s="168"/>
      <c r="Q713" s="168"/>
      <c r="R713" s="168"/>
      <c r="S713" s="168"/>
      <c r="T713" s="168"/>
      <c r="U713" s="168"/>
    </row>
    <row r="714" spans="2:21">
      <c r="B714" s="168"/>
      <c r="C714" s="601"/>
      <c r="D714" s="168"/>
      <c r="E714" s="168"/>
      <c r="F714" s="168"/>
      <c r="G714" s="167"/>
      <c r="H714" s="167"/>
      <c r="J714" s="168"/>
      <c r="K714" s="168"/>
      <c r="M714" s="168"/>
      <c r="N714" s="168"/>
      <c r="O714" s="168"/>
      <c r="P714" s="168"/>
      <c r="Q714" s="168"/>
      <c r="R714" s="168"/>
      <c r="S714" s="168"/>
      <c r="T714" s="168"/>
      <c r="U714" s="168"/>
    </row>
    <row r="715" spans="2:21">
      <c r="B715" s="168"/>
      <c r="C715" s="601"/>
      <c r="D715" s="168"/>
      <c r="E715" s="168"/>
      <c r="F715" s="168"/>
      <c r="G715" s="167"/>
      <c r="H715" s="167"/>
      <c r="J715" s="168"/>
      <c r="K715" s="168"/>
      <c r="M715" s="168"/>
      <c r="N715" s="168"/>
      <c r="O715" s="168"/>
      <c r="P715" s="168"/>
      <c r="Q715" s="168"/>
      <c r="R715" s="168"/>
      <c r="S715" s="168"/>
      <c r="T715" s="168"/>
      <c r="U715" s="168"/>
    </row>
    <row r="716" spans="2:21">
      <c r="B716" s="168"/>
      <c r="C716" s="601"/>
      <c r="D716" s="168"/>
      <c r="E716" s="168"/>
      <c r="F716" s="168"/>
      <c r="G716" s="167"/>
      <c r="H716" s="167"/>
      <c r="J716" s="168"/>
      <c r="K716" s="168"/>
      <c r="M716" s="168"/>
      <c r="N716" s="168"/>
      <c r="O716" s="168"/>
      <c r="P716" s="168"/>
      <c r="Q716" s="168"/>
      <c r="R716" s="168"/>
      <c r="S716" s="168"/>
      <c r="T716" s="168"/>
      <c r="U716" s="168"/>
    </row>
    <row r="717" spans="2:21">
      <c r="B717" s="168"/>
      <c r="C717" s="601"/>
      <c r="D717" s="168"/>
      <c r="E717" s="168"/>
      <c r="F717" s="168"/>
      <c r="G717" s="167"/>
      <c r="H717" s="167"/>
      <c r="J717" s="168"/>
      <c r="K717" s="168"/>
      <c r="M717" s="168"/>
      <c r="N717" s="168"/>
      <c r="O717" s="168"/>
      <c r="P717" s="168"/>
      <c r="Q717" s="168"/>
      <c r="R717" s="168"/>
      <c r="S717" s="168"/>
      <c r="T717" s="168"/>
      <c r="U717" s="168"/>
    </row>
    <row r="718" spans="2:21">
      <c r="B718" s="168"/>
      <c r="C718" s="601"/>
      <c r="D718" s="168"/>
      <c r="E718" s="168"/>
      <c r="F718" s="168"/>
      <c r="G718" s="167"/>
      <c r="H718" s="167"/>
      <c r="J718" s="168"/>
      <c r="K718" s="168"/>
      <c r="M718" s="168"/>
      <c r="N718" s="168"/>
      <c r="O718" s="168"/>
      <c r="P718" s="168"/>
      <c r="Q718" s="168"/>
      <c r="R718" s="168"/>
      <c r="S718" s="168"/>
      <c r="T718" s="168"/>
      <c r="U718" s="168"/>
    </row>
    <row r="719" spans="2:21">
      <c r="B719" s="168"/>
      <c r="C719" s="601"/>
      <c r="D719" s="168"/>
      <c r="E719" s="168"/>
      <c r="F719" s="168"/>
      <c r="G719" s="167"/>
      <c r="H719" s="167"/>
      <c r="J719" s="168"/>
      <c r="K719" s="168"/>
      <c r="M719" s="168"/>
      <c r="N719" s="168"/>
      <c r="O719" s="168"/>
      <c r="P719" s="168"/>
      <c r="Q719" s="168"/>
      <c r="R719" s="168"/>
      <c r="S719" s="168"/>
      <c r="T719" s="168"/>
      <c r="U719" s="168"/>
    </row>
    <row r="720" spans="2:21">
      <c r="B720" s="168"/>
      <c r="C720" s="601"/>
      <c r="D720" s="168"/>
      <c r="E720" s="168"/>
      <c r="F720" s="168"/>
      <c r="G720" s="167"/>
      <c r="H720" s="167"/>
      <c r="J720" s="168"/>
      <c r="K720" s="168"/>
      <c r="M720" s="168"/>
      <c r="N720" s="168"/>
      <c r="O720" s="168"/>
      <c r="P720" s="168"/>
      <c r="Q720" s="168"/>
      <c r="R720" s="168"/>
      <c r="S720" s="168"/>
      <c r="T720" s="168"/>
      <c r="U720" s="168"/>
    </row>
    <row r="721" spans="2:21">
      <c r="B721" s="168"/>
      <c r="C721" s="601"/>
      <c r="D721" s="168"/>
      <c r="E721" s="168"/>
      <c r="F721" s="168"/>
      <c r="G721" s="167"/>
      <c r="H721" s="167"/>
      <c r="J721" s="168"/>
      <c r="K721" s="168"/>
      <c r="M721" s="168"/>
      <c r="N721" s="168"/>
      <c r="O721" s="168"/>
      <c r="P721" s="168"/>
      <c r="Q721" s="168"/>
      <c r="R721" s="168"/>
      <c r="S721" s="168"/>
      <c r="T721" s="168"/>
      <c r="U721" s="168"/>
    </row>
    <row r="722" spans="2:21">
      <c r="B722" s="168"/>
      <c r="C722" s="601"/>
      <c r="D722" s="168"/>
      <c r="E722" s="168"/>
      <c r="F722" s="168"/>
      <c r="G722" s="167"/>
      <c r="H722" s="167"/>
      <c r="J722" s="168"/>
      <c r="K722" s="168"/>
      <c r="M722" s="168"/>
      <c r="N722" s="168"/>
      <c r="O722" s="168"/>
      <c r="P722" s="168"/>
      <c r="Q722" s="168"/>
      <c r="R722" s="168"/>
      <c r="S722" s="168"/>
      <c r="T722" s="168"/>
      <c r="U722" s="168"/>
    </row>
    <row r="723" spans="2:21">
      <c r="B723" s="168"/>
      <c r="C723" s="601"/>
      <c r="D723" s="168"/>
      <c r="E723" s="168"/>
      <c r="F723" s="168"/>
      <c r="G723" s="167"/>
      <c r="H723" s="167"/>
      <c r="J723" s="168"/>
      <c r="K723" s="168"/>
      <c r="M723" s="168"/>
      <c r="N723" s="168"/>
      <c r="O723" s="168"/>
      <c r="P723" s="168"/>
      <c r="Q723" s="168"/>
      <c r="R723" s="168"/>
      <c r="S723" s="168"/>
      <c r="T723" s="168"/>
      <c r="U723" s="168"/>
    </row>
    <row r="724" spans="2:21">
      <c r="B724" s="168"/>
      <c r="C724" s="601"/>
      <c r="D724" s="168"/>
      <c r="E724" s="168"/>
      <c r="F724" s="168"/>
      <c r="G724" s="167"/>
      <c r="H724" s="167"/>
      <c r="J724" s="168"/>
      <c r="K724" s="168"/>
      <c r="M724" s="168"/>
      <c r="N724" s="168"/>
      <c r="O724" s="168"/>
      <c r="P724" s="168"/>
      <c r="Q724" s="168"/>
      <c r="R724" s="168"/>
      <c r="S724" s="168"/>
      <c r="T724" s="168"/>
      <c r="U724" s="168"/>
    </row>
    <row r="725" spans="2:21">
      <c r="B725" s="168"/>
      <c r="C725" s="601"/>
      <c r="D725" s="168"/>
      <c r="E725" s="168"/>
      <c r="F725" s="168"/>
      <c r="G725" s="167"/>
      <c r="H725" s="167"/>
      <c r="J725" s="168"/>
      <c r="K725" s="168"/>
      <c r="M725" s="168"/>
      <c r="N725" s="168"/>
      <c r="O725" s="168"/>
      <c r="P725" s="168"/>
      <c r="Q725" s="168"/>
      <c r="R725" s="168"/>
      <c r="S725" s="168"/>
      <c r="T725" s="168"/>
      <c r="U725" s="168"/>
    </row>
    <row r="726" spans="2:21">
      <c r="B726" s="168"/>
      <c r="C726" s="601"/>
      <c r="D726" s="168"/>
      <c r="E726" s="168"/>
      <c r="F726" s="168"/>
      <c r="G726" s="167"/>
      <c r="H726" s="167"/>
      <c r="J726" s="168"/>
      <c r="K726" s="168"/>
      <c r="M726" s="168"/>
      <c r="N726" s="168"/>
      <c r="O726" s="168"/>
      <c r="P726" s="168"/>
      <c r="Q726" s="168"/>
      <c r="R726" s="168"/>
      <c r="S726" s="168"/>
      <c r="T726" s="168"/>
      <c r="U726" s="168"/>
    </row>
    <row r="727" spans="2:21">
      <c r="B727" s="168"/>
      <c r="C727" s="601"/>
      <c r="D727" s="168"/>
      <c r="E727" s="168"/>
      <c r="F727" s="168"/>
      <c r="G727" s="167"/>
      <c r="H727" s="167"/>
      <c r="J727" s="168"/>
      <c r="K727" s="168"/>
      <c r="M727" s="168"/>
      <c r="N727" s="168"/>
      <c r="O727" s="168"/>
      <c r="P727" s="168"/>
      <c r="Q727" s="168"/>
      <c r="R727" s="168"/>
      <c r="S727" s="168"/>
      <c r="T727" s="168"/>
      <c r="U727" s="168"/>
    </row>
    <row r="728" spans="2:21">
      <c r="B728" s="168"/>
      <c r="C728" s="601"/>
      <c r="D728" s="168"/>
      <c r="E728" s="168"/>
      <c r="F728" s="168"/>
      <c r="G728" s="167"/>
      <c r="H728" s="167"/>
      <c r="J728" s="168"/>
      <c r="K728" s="168"/>
      <c r="M728" s="168"/>
      <c r="N728" s="168"/>
      <c r="O728" s="168"/>
      <c r="P728" s="168"/>
      <c r="Q728" s="168"/>
      <c r="R728" s="168"/>
      <c r="S728" s="168"/>
      <c r="T728" s="168"/>
      <c r="U728" s="168"/>
    </row>
    <row r="729" spans="2:21">
      <c r="B729" s="168"/>
      <c r="C729" s="601"/>
      <c r="D729" s="168"/>
      <c r="E729" s="168"/>
      <c r="F729" s="168"/>
      <c r="G729" s="167"/>
      <c r="H729" s="167"/>
      <c r="J729" s="168"/>
      <c r="K729" s="168"/>
      <c r="M729" s="168"/>
      <c r="N729" s="168"/>
      <c r="O729" s="168"/>
      <c r="P729" s="168"/>
      <c r="Q729" s="168"/>
      <c r="R729" s="168"/>
      <c r="S729" s="168"/>
      <c r="T729" s="168"/>
      <c r="U729" s="168"/>
    </row>
    <row r="730" spans="2:21">
      <c r="B730" s="168"/>
      <c r="C730" s="601"/>
      <c r="D730" s="168"/>
      <c r="E730" s="168"/>
      <c r="F730" s="168"/>
      <c r="G730" s="167"/>
      <c r="H730" s="167"/>
      <c r="J730" s="168"/>
      <c r="K730" s="168"/>
      <c r="M730" s="168"/>
      <c r="N730" s="168"/>
      <c r="O730" s="168"/>
      <c r="P730" s="168"/>
      <c r="Q730" s="168"/>
      <c r="R730" s="168"/>
      <c r="S730" s="168"/>
      <c r="T730" s="168"/>
      <c r="U730" s="168"/>
    </row>
    <row r="731" spans="2:21">
      <c r="B731" s="168"/>
      <c r="C731" s="601"/>
      <c r="D731" s="168"/>
      <c r="E731" s="168"/>
      <c r="F731" s="168"/>
      <c r="G731" s="167"/>
      <c r="H731" s="167"/>
      <c r="J731" s="168"/>
      <c r="K731" s="168"/>
      <c r="M731" s="168"/>
      <c r="N731" s="168"/>
      <c r="O731" s="168"/>
      <c r="P731" s="168"/>
      <c r="Q731" s="168"/>
      <c r="R731" s="168"/>
      <c r="S731" s="168"/>
      <c r="T731" s="168"/>
      <c r="U731" s="168"/>
    </row>
    <row r="732" spans="2:21">
      <c r="B732" s="168"/>
      <c r="C732" s="601"/>
      <c r="D732" s="168"/>
      <c r="E732" s="168"/>
      <c r="F732" s="168"/>
      <c r="G732" s="167"/>
      <c r="H732" s="167"/>
      <c r="J732" s="168"/>
      <c r="K732" s="168"/>
      <c r="M732" s="168"/>
      <c r="N732" s="168"/>
      <c r="O732" s="168"/>
      <c r="P732" s="168"/>
      <c r="Q732" s="168"/>
      <c r="R732" s="168"/>
      <c r="S732" s="168"/>
      <c r="T732" s="168"/>
      <c r="U732" s="168"/>
    </row>
    <row r="733" spans="2:21">
      <c r="B733" s="168"/>
      <c r="C733" s="601"/>
      <c r="D733" s="168"/>
      <c r="E733" s="168"/>
      <c r="F733" s="168"/>
      <c r="G733" s="167"/>
      <c r="H733" s="167"/>
      <c r="J733" s="168"/>
      <c r="K733" s="168"/>
      <c r="M733" s="168"/>
      <c r="N733" s="168"/>
      <c r="O733" s="168"/>
      <c r="P733" s="168"/>
      <c r="Q733" s="168"/>
      <c r="R733" s="168"/>
      <c r="S733" s="168"/>
      <c r="T733" s="168"/>
      <c r="U733" s="168"/>
    </row>
    <row r="734" spans="2:21">
      <c r="B734" s="168"/>
      <c r="C734" s="601"/>
      <c r="D734" s="168"/>
      <c r="E734" s="168"/>
      <c r="F734" s="168"/>
      <c r="G734" s="167"/>
      <c r="H734" s="167"/>
      <c r="J734" s="168"/>
      <c r="K734" s="168"/>
      <c r="M734" s="168"/>
      <c r="N734" s="168"/>
      <c r="O734" s="168"/>
      <c r="P734" s="168"/>
      <c r="Q734" s="168"/>
      <c r="R734" s="168"/>
      <c r="S734" s="168"/>
      <c r="T734" s="168"/>
      <c r="U734" s="168"/>
    </row>
    <row r="735" spans="2:21">
      <c r="B735" s="168"/>
      <c r="C735" s="601"/>
      <c r="D735" s="168"/>
      <c r="E735" s="168"/>
      <c r="F735" s="168"/>
      <c r="G735" s="167"/>
      <c r="H735" s="167"/>
      <c r="J735" s="168"/>
      <c r="K735" s="168"/>
      <c r="M735" s="168"/>
      <c r="N735" s="168"/>
      <c r="O735" s="168"/>
      <c r="P735" s="168"/>
      <c r="Q735" s="168"/>
      <c r="R735" s="168"/>
      <c r="S735" s="168"/>
      <c r="T735" s="168"/>
      <c r="U735" s="168"/>
    </row>
    <row r="736" spans="2:21">
      <c r="B736" s="168"/>
      <c r="C736" s="601"/>
      <c r="D736" s="168"/>
      <c r="E736" s="168"/>
      <c r="F736" s="168"/>
      <c r="G736" s="167"/>
      <c r="H736" s="167"/>
      <c r="J736" s="168"/>
      <c r="K736" s="168"/>
      <c r="M736" s="168"/>
      <c r="N736" s="168"/>
      <c r="O736" s="168"/>
      <c r="P736" s="168"/>
      <c r="Q736" s="168"/>
      <c r="R736" s="168"/>
      <c r="S736" s="168"/>
      <c r="T736" s="168"/>
      <c r="U736" s="168"/>
    </row>
    <row r="737" spans="2:21">
      <c r="B737" s="168"/>
      <c r="C737" s="601"/>
      <c r="D737" s="168"/>
      <c r="E737" s="168"/>
      <c r="F737" s="168"/>
      <c r="G737" s="167"/>
      <c r="H737" s="167"/>
      <c r="J737" s="168"/>
      <c r="K737" s="168"/>
      <c r="M737" s="168"/>
      <c r="N737" s="168"/>
      <c r="O737" s="168"/>
      <c r="P737" s="168"/>
      <c r="Q737" s="168"/>
      <c r="R737" s="168"/>
      <c r="S737" s="168"/>
      <c r="T737" s="168"/>
      <c r="U737" s="168"/>
    </row>
    <row r="738" spans="2:21">
      <c r="B738" s="168"/>
      <c r="C738" s="601"/>
      <c r="D738" s="168"/>
      <c r="E738" s="168"/>
      <c r="F738" s="168"/>
      <c r="G738" s="167"/>
      <c r="H738" s="167"/>
      <c r="J738" s="168"/>
      <c r="K738" s="168"/>
      <c r="M738" s="168"/>
      <c r="N738" s="168"/>
      <c r="O738" s="168"/>
      <c r="P738" s="168"/>
      <c r="Q738" s="168"/>
      <c r="R738" s="168"/>
      <c r="S738" s="168"/>
      <c r="T738" s="168"/>
      <c r="U738" s="168"/>
    </row>
    <row r="739" spans="2:21">
      <c r="B739" s="168"/>
      <c r="C739" s="601"/>
      <c r="D739" s="168"/>
      <c r="E739" s="168"/>
      <c r="F739" s="168"/>
      <c r="G739" s="167"/>
      <c r="H739" s="167"/>
      <c r="J739" s="168"/>
      <c r="K739" s="168"/>
      <c r="M739" s="168"/>
      <c r="N739" s="168"/>
      <c r="O739" s="168"/>
      <c r="P739" s="168"/>
      <c r="Q739" s="168"/>
      <c r="R739" s="168"/>
      <c r="S739" s="168"/>
      <c r="T739" s="168"/>
      <c r="U739" s="168"/>
    </row>
    <row r="740" spans="2:21">
      <c r="B740" s="168"/>
      <c r="C740" s="601"/>
      <c r="D740" s="168"/>
      <c r="E740" s="168"/>
      <c r="F740" s="168"/>
      <c r="G740" s="167"/>
      <c r="H740" s="167"/>
      <c r="J740" s="168"/>
      <c r="K740" s="168"/>
      <c r="M740" s="168"/>
      <c r="N740" s="168"/>
      <c r="O740" s="168"/>
      <c r="P740" s="168"/>
      <c r="Q740" s="168"/>
      <c r="R740" s="168"/>
      <c r="S740" s="168"/>
      <c r="T740" s="168"/>
      <c r="U740" s="168"/>
    </row>
    <row r="741" spans="2:21">
      <c r="B741" s="168"/>
      <c r="C741" s="601"/>
      <c r="D741" s="168"/>
      <c r="E741" s="168"/>
      <c r="F741" s="168"/>
      <c r="G741" s="167"/>
      <c r="H741" s="167"/>
      <c r="J741" s="168"/>
      <c r="K741" s="168"/>
      <c r="M741" s="168"/>
      <c r="N741" s="168"/>
      <c r="O741" s="168"/>
      <c r="P741" s="168"/>
      <c r="Q741" s="168"/>
      <c r="R741" s="168"/>
      <c r="S741" s="168"/>
      <c r="T741" s="168"/>
      <c r="U741" s="168"/>
    </row>
    <row r="742" spans="2:21">
      <c r="B742" s="168"/>
      <c r="C742" s="601"/>
      <c r="D742" s="168"/>
      <c r="E742" s="168"/>
      <c r="F742" s="168"/>
      <c r="G742" s="167"/>
      <c r="H742" s="167"/>
      <c r="J742" s="168"/>
      <c r="K742" s="168"/>
      <c r="M742" s="168"/>
      <c r="N742" s="168"/>
      <c r="O742" s="168"/>
      <c r="P742" s="168"/>
      <c r="Q742" s="168"/>
      <c r="R742" s="168"/>
      <c r="S742" s="168"/>
      <c r="T742" s="168"/>
      <c r="U742" s="168"/>
    </row>
    <row r="743" spans="2:21">
      <c r="B743" s="168"/>
      <c r="C743" s="601"/>
      <c r="D743" s="168"/>
      <c r="E743" s="168"/>
      <c r="F743" s="168"/>
      <c r="G743" s="167"/>
      <c r="H743" s="167"/>
      <c r="J743" s="168"/>
      <c r="K743" s="168"/>
      <c r="M743" s="168"/>
      <c r="N743" s="168"/>
      <c r="O743" s="168"/>
      <c r="P743" s="168"/>
      <c r="Q743" s="168"/>
      <c r="R743" s="168"/>
      <c r="S743" s="168"/>
      <c r="T743" s="168"/>
      <c r="U743" s="168"/>
    </row>
    <row r="744" spans="2:21">
      <c r="B744" s="168"/>
      <c r="C744" s="601"/>
      <c r="D744" s="168"/>
      <c r="E744" s="168"/>
      <c r="F744" s="168"/>
      <c r="G744" s="167"/>
      <c r="H744" s="167"/>
      <c r="J744" s="168"/>
      <c r="K744" s="168"/>
      <c r="M744" s="168"/>
      <c r="N744" s="168"/>
      <c r="O744" s="168"/>
      <c r="P744" s="168"/>
      <c r="Q744" s="168"/>
      <c r="R744" s="168"/>
      <c r="S744" s="168"/>
      <c r="T744" s="168"/>
      <c r="U744" s="168"/>
    </row>
    <row r="745" spans="2:21">
      <c r="B745" s="168"/>
      <c r="C745" s="601"/>
      <c r="D745" s="168"/>
      <c r="E745" s="168"/>
      <c r="F745" s="168"/>
      <c r="G745" s="167"/>
      <c r="H745" s="167"/>
      <c r="J745" s="168"/>
      <c r="K745" s="168"/>
      <c r="M745" s="168"/>
      <c r="N745" s="168"/>
      <c r="O745" s="168"/>
      <c r="P745" s="168"/>
      <c r="Q745" s="168"/>
      <c r="R745" s="168"/>
      <c r="S745" s="168"/>
      <c r="T745" s="168"/>
      <c r="U745" s="168"/>
    </row>
    <row r="746" spans="2:21">
      <c r="B746" s="168"/>
      <c r="C746" s="601"/>
      <c r="D746" s="168"/>
      <c r="E746" s="168"/>
      <c r="F746" s="168"/>
      <c r="G746" s="167"/>
      <c r="H746" s="167"/>
      <c r="J746" s="168"/>
      <c r="K746" s="168"/>
      <c r="M746" s="168"/>
      <c r="N746" s="168"/>
      <c r="O746" s="168"/>
      <c r="P746" s="168"/>
      <c r="Q746" s="168"/>
      <c r="R746" s="168"/>
      <c r="S746" s="168"/>
      <c r="T746" s="168"/>
      <c r="U746" s="168"/>
    </row>
    <row r="747" spans="2:21">
      <c r="B747" s="168"/>
      <c r="C747" s="601"/>
      <c r="D747" s="168"/>
      <c r="E747" s="168"/>
      <c r="F747" s="168"/>
      <c r="G747" s="167"/>
      <c r="H747" s="167"/>
      <c r="J747" s="168"/>
      <c r="K747" s="168"/>
      <c r="M747" s="168"/>
      <c r="N747" s="168"/>
      <c r="O747" s="168"/>
      <c r="P747" s="168"/>
      <c r="Q747" s="168"/>
      <c r="R747" s="168"/>
      <c r="S747" s="168"/>
      <c r="T747" s="168"/>
      <c r="U747" s="168"/>
    </row>
    <row r="748" spans="2:21">
      <c r="B748" s="168"/>
      <c r="C748" s="601"/>
      <c r="D748" s="168"/>
      <c r="E748" s="168"/>
      <c r="F748" s="168"/>
      <c r="G748" s="167"/>
      <c r="H748" s="167"/>
      <c r="J748" s="168"/>
      <c r="K748" s="168"/>
      <c r="M748" s="168"/>
      <c r="N748" s="168"/>
      <c r="O748" s="168"/>
      <c r="P748" s="168"/>
      <c r="Q748" s="168"/>
      <c r="R748" s="168"/>
      <c r="S748" s="168"/>
      <c r="T748" s="168"/>
      <c r="U748" s="168"/>
    </row>
    <row r="749" spans="2:21">
      <c r="B749" s="168"/>
      <c r="C749" s="601"/>
      <c r="D749" s="168"/>
      <c r="E749" s="168"/>
      <c r="F749" s="168"/>
      <c r="G749" s="167"/>
      <c r="H749" s="167"/>
      <c r="J749" s="168"/>
      <c r="K749" s="168"/>
      <c r="M749" s="168"/>
      <c r="N749" s="168"/>
      <c r="O749" s="168"/>
      <c r="P749" s="168"/>
      <c r="Q749" s="168"/>
      <c r="R749" s="168"/>
      <c r="S749" s="168"/>
      <c r="T749" s="168"/>
      <c r="U749" s="168"/>
    </row>
    <row r="750" spans="2:21">
      <c r="B750" s="168"/>
      <c r="C750" s="601"/>
      <c r="D750" s="168"/>
      <c r="E750" s="168"/>
      <c r="F750" s="168"/>
      <c r="G750" s="167"/>
      <c r="H750" s="167"/>
      <c r="J750" s="168"/>
      <c r="K750" s="168"/>
      <c r="M750" s="168"/>
      <c r="N750" s="168"/>
      <c r="O750" s="168"/>
      <c r="P750" s="168"/>
      <c r="Q750" s="168"/>
      <c r="R750" s="168"/>
      <c r="S750" s="168"/>
      <c r="T750" s="168"/>
      <c r="U750" s="168"/>
    </row>
    <row r="751" spans="2:21">
      <c r="B751" s="168"/>
      <c r="C751" s="601"/>
      <c r="D751" s="168"/>
      <c r="E751" s="168"/>
      <c r="F751" s="168"/>
      <c r="G751" s="167"/>
      <c r="H751" s="167"/>
      <c r="J751" s="168"/>
      <c r="K751" s="168"/>
      <c r="M751" s="168"/>
      <c r="N751" s="168"/>
      <c r="O751" s="168"/>
      <c r="P751" s="168"/>
      <c r="Q751" s="168"/>
      <c r="R751" s="168"/>
      <c r="S751" s="168"/>
      <c r="T751" s="168"/>
      <c r="U751" s="168"/>
    </row>
    <row r="752" spans="2:21">
      <c r="B752" s="168"/>
      <c r="C752" s="601"/>
      <c r="D752" s="168"/>
      <c r="E752" s="168"/>
      <c r="F752" s="168"/>
      <c r="G752" s="167"/>
      <c r="H752" s="167"/>
      <c r="J752" s="168"/>
      <c r="K752" s="168"/>
      <c r="M752" s="168"/>
      <c r="N752" s="168"/>
      <c r="O752" s="168"/>
      <c r="P752" s="168"/>
      <c r="Q752" s="168"/>
      <c r="R752" s="168"/>
      <c r="S752" s="168"/>
      <c r="T752" s="168"/>
      <c r="U752" s="168"/>
    </row>
    <row r="753" spans="2:21">
      <c r="B753" s="168"/>
      <c r="C753" s="601"/>
      <c r="D753" s="168"/>
      <c r="E753" s="168"/>
      <c r="F753" s="168"/>
      <c r="G753" s="167"/>
      <c r="H753" s="167"/>
      <c r="J753" s="168"/>
      <c r="K753" s="168"/>
      <c r="M753" s="168"/>
      <c r="N753" s="168"/>
      <c r="O753" s="168"/>
      <c r="P753" s="168"/>
      <c r="Q753" s="168"/>
      <c r="R753" s="168"/>
      <c r="S753" s="168"/>
      <c r="T753" s="168"/>
      <c r="U753" s="168"/>
    </row>
    <row r="754" spans="2:21">
      <c r="B754" s="168"/>
      <c r="C754" s="601"/>
      <c r="D754" s="168"/>
      <c r="E754" s="168"/>
      <c r="F754" s="168"/>
      <c r="G754" s="167"/>
      <c r="H754" s="167"/>
      <c r="J754" s="168"/>
      <c r="K754" s="168"/>
      <c r="M754" s="168"/>
      <c r="N754" s="168"/>
      <c r="O754" s="168"/>
      <c r="P754" s="168"/>
      <c r="Q754" s="168"/>
      <c r="R754" s="168"/>
      <c r="S754" s="168"/>
      <c r="T754" s="168"/>
      <c r="U754" s="168"/>
    </row>
    <row r="755" spans="2:21">
      <c r="B755" s="168"/>
      <c r="C755" s="601"/>
      <c r="D755" s="168"/>
      <c r="E755" s="168"/>
      <c r="F755" s="168"/>
      <c r="G755" s="167"/>
      <c r="H755" s="167"/>
      <c r="J755" s="168"/>
      <c r="K755" s="168"/>
      <c r="M755" s="168"/>
      <c r="N755" s="168"/>
      <c r="O755" s="168"/>
      <c r="P755" s="168"/>
      <c r="Q755" s="168"/>
      <c r="R755" s="168"/>
      <c r="S755" s="168"/>
      <c r="T755" s="168"/>
      <c r="U755" s="168"/>
    </row>
    <row r="756" spans="2:21">
      <c r="B756" s="168"/>
      <c r="C756" s="601"/>
      <c r="D756" s="168"/>
      <c r="E756" s="168"/>
      <c r="F756" s="168"/>
      <c r="G756" s="167"/>
      <c r="H756" s="167"/>
      <c r="J756" s="168"/>
      <c r="K756" s="168"/>
      <c r="M756" s="168"/>
      <c r="N756" s="168"/>
      <c r="O756" s="168"/>
      <c r="P756" s="168"/>
      <c r="Q756" s="168"/>
      <c r="R756" s="168"/>
      <c r="S756" s="168"/>
      <c r="T756" s="168"/>
      <c r="U756" s="168"/>
    </row>
    <row r="757" spans="2:21">
      <c r="B757" s="168"/>
      <c r="C757" s="601"/>
      <c r="D757" s="168"/>
      <c r="E757" s="168"/>
      <c r="F757" s="168"/>
      <c r="G757" s="167"/>
      <c r="H757" s="167"/>
      <c r="J757" s="168"/>
      <c r="K757" s="168"/>
      <c r="M757" s="168"/>
      <c r="N757" s="168"/>
      <c r="O757" s="168"/>
      <c r="P757" s="168"/>
      <c r="Q757" s="168"/>
      <c r="R757" s="168"/>
      <c r="S757" s="168"/>
      <c r="T757" s="168"/>
      <c r="U757" s="168"/>
    </row>
    <row r="758" spans="2:21">
      <c r="B758" s="168"/>
      <c r="C758" s="601"/>
      <c r="D758" s="168"/>
      <c r="E758" s="168"/>
      <c r="F758" s="168"/>
      <c r="G758" s="167"/>
      <c r="H758" s="167"/>
      <c r="J758" s="168"/>
      <c r="K758" s="168"/>
      <c r="M758" s="168"/>
      <c r="N758" s="168"/>
      <c r="O758" s="168"/>
      <c r="P758" s="168"/>
      <c r="Q758" s="168"/>
      <c r="R758" s="168"/>
      <c r="S758" s="168"/>
      <c r="T758" s="168"/>
      <c r="U758" s="168"/>
    </row>
    <row r="759" spans="2:21">
      <c r="B759" s="168"/>
      <c r="C759" s="601"/>
      <c r="D759" s="168"/>
      <c r="E759" s="168"/>
      <c r="F759" s="168"/>
      <c r="G759" s="167"/>
      <c r="H759" s="167"/>
      <c r="J759" s="168"/>
      <c r="K759" s="168"/>
      <c r="M759" s="168"/>
      <c r="N759" s="168"/>
      <c r="O759" s="168"/>
      <c r="P759" s="168"/>
      <c r="Q759" s="168"/>
      <c r="R759" s="168"/>
      <c r="S759" s="168"/>
      <c r="T759" s="168"/>
      <c r="U759" s="168"/>
    </row>
    <row r="760" spans="2:21">
      <c r="B760" s="168"/>
      <c r="C760" s="601"/>
      <c r="D760" s="168"/>
      <c r="E760" s="168"/>
      <c r="F760" s="168"/>
      <c r="G760" s="167"/>
      <c r="H760" s="167"/>
      <c r="J760" s="168"/>
      <c r="K760" s="168"/>
      <c r="M760" s="168"/>
      <c r="N760" s="168"/>
      <c r="O760" s="168"/>
      <c r="P760" s="168"/>
      <c r="Q760" s="168"/>
      <c r="R760" s="168"/>
      <c r="S760" s="168"/>
      <c r="T760" s="168"/>
      <c r="U760" s="168"/>
    </row>
    <row r="761" spans="2:21">
      <c r="B761" s="168"/>
      <c r="C761" s="601"/>
      <c r="D761" s="168"/>
      <c r="E761" s="168"/>
      <c r="F761" s="168"/>
      <c r="G761" s="167"/>
      <c r="H761" s="167"/>
      <c r="J761" s="168"/>
      <c r="K761" s="168"/>
      <c r="M761" s="168"/>
      <c r="N761" s="168"/>
      <c r="O761" s="168"/>
      <c r="P761" s="168"/>
      <c r="Q761" s="168"/>
      <c r="R761" s="168"/>
      <c r="S761" s="168"/>
      <c r="T761" s="168"/>
      <c r="U761" s="168"/>
    </row>
    <row r="762" spans="2:21">
      <c r="B762" s="168"/>
      <c r="C762" s="601"/>
      <c r="D762" s="168"/>
      <c r="E762" s="168"/>
      <c r="F762" s="168"/>
      <c r="G762" s="167"/>
      <c r="H762" s="167"/>
      <c r="J762" s="168"/>
      <c r="K762" s="168"/>
      <c r="M762" s="168"/>
      <c r="N762" s="168"/>
      <c r="O762" s="168"/>
      <c r="P762" s="168"/>
      <c r="Q762" s="168"/>
      <c r="R762" s="168"/>
      <c r="S762" s="168"/>
      <c r="T762" s="168"/>
      <c r="U762" s="168"/>
    </row>
    <row r="763" spans="2:21">
      <c r="B763" s="168"/>
      <c r="C763" s="601"/>
      <c r="D763" s="168"/>
      <c r="E763" s="168"/>
      <c r="F763" s="168"/>
      <c r="G763" s="167"/>
      <c r="H763" s="167"/>
      <c r="J763" s="168"/>
      <c r="K763" s="168"/>
      <c r="M763" s="168"/>
      <c r="N763" s="168"/>
      <c r="O763" s="168"/>
      <c r="P763" s="168"/>
      <c r="Q763" s="168"/>
      <c r="R763" s="168"/>
      <c r="S763" s="168"/>
      <c r="T763" s="168"/>
      <c r="U763" s="168"/>
    </row>
    <row r="764" spans="2:21">
      <c r="B764" s="168"/>
      <c r="C764" s="601"/>
      <c r="D764" s="168"/>
      <c r="E764" s="168"/>
      <c r="F764" s="168"/>
      <c r="G764" s="167"/>
      <c r="H764" s="167"/>
      <c r="J764" s="168"/>
      <c r="K764" s="168"/>
      <c r="M764" s="168"/>
      <c r="N764" s="168"/>
      <c r="O764" s="168"/>
      <c r="P764" s="168"/>
      <c r="Q764" s="168"/>
      <c r="R764" s="168"/>
      <c r="S764" s="168"/>
      <c r="T764" s="168"/>
      <c r="U764" s="168"/>
    </row>
    <row r="765" spans="2:21">
      <c r="B765" s="168"/>
      <c r="C765" s="601"/>
      <c r="D765" s="168"/>
      <c r="E765" s="168"/>
      <c r="F765" s="168"/>
      <c r="G765" s="167"/>
      <c r="H765" s="167"/>
      <c r="J765" s="168"/>
      <c r="K765" s="168"/>
      <c r="M765" s="168"/>
      <c r="N765" s="168"/>
      <c r="O765" s="168"/>
      <c r="P765" s="168"/>
      <c r="Q765" s="168"/>
      <c r="R765" s="168"/>
      <c r="S765" s="168"/>
      <c r="T765" s="168"/>
      <c r="U765" s="168"/>
    </row>
    <row r="766" spans="2:21">
      <c r="B766" s="168"/>
      <c r="C766" s="601"/>
      <c r="D766" s="168"/>
      <c r="E766" s="168"/>
      <c r="F766" s="168"/>
      <c r="G766" s="167"/>
      <c r="H766" s="167"/>
      <c r="J766" s="168"/>
      <c r="K766" s="168"/>
      <c r="M766" s="168"/>
      <c r="N766" s="168"/>
      <c r="O766" s="168"/>
      <c r="P766" s="168"/>
      <c r="Q766" s="168"/>
      <c r="R766" s="168"/>
      <c r="S766" s="168"/>
      <c r="T766" s="168"/>
      <c r="U766" s="168"/>
    </row>
    <row r="767" spans="2:21">
      <c r="B767" s="168"/>
      <c r="C767" s="601"/>
      <c r="D767" s="168"/>
      <c r="E767" s="168"/>
      <c r="F767" s="168"/>
      <c r="G767" s="167"/>
      <c r="H767" s="167"/>
      <c r="J767" s="168"/>
      <c r="K767" s="168"/>
      <c r="M767" s="168"/>
      <c r="N767" s="168"/>
      <c r="O767" s="168"/>
      <c r="P767" s="168"/>
      <c r="Q767" s="168"/>
      <c r="R767" s="168"/>
      <c r="S767" s="168"/>
      <c r="T767" s="168"/>
      <c r="U767" s="168"/>
    </row>
    <row r="768" spans="2:21">
      <c r="B768" s="168"/>
      <c r="C768" s="601"/>
      <c r="D768" s="168"/>
      <c r="E768" s="168"/>
      <c r="F768" s="168"/>
      <c r="G768" s="167"/>
      <c r="H768" s="167"/>
      <c r="J768" s="168"/>
      <c r="K768" s="168"/>
      <c r="M768" s="168"/>
      <c r="N768" s="168"/>
      <c r="O768" s="168"/>
      <c r="P768" s="168"/>
      <c r="Q768" s="168"/>
      <c r="R768" s="168"/>
      <c r="S768" s="168"/>
      <c r="T768" s="168"/>
      <c r="U768" s="168"/>
    </row>
    <row r="769" spans="2:21">
      <c r="B769" s="168"/>
      <c r="C769" s="601"/>
      <c r="D769" s="168"/>
      <c r="E769" s="168"/>
      <c r="F769" s="168"/>
      <c r="G769" s="167"/>
      <c r="H769" s="167"/>
      <c r="J769" s="168"/>
      <c r="K769" s="168"/>
      <c r="M769" s="168"/>
      <c r="N769" s="168"/>
      <c r="O769" s="168"/>
      <c r="P769" s="168"/>
      <c r="Q769" s="168"/>
      <c r="R769" s="168"/>
      <c r="S769" s="168"/>
      <c r="T769" s="168"/>
      <c r="U769" s="168"/>
    </row>
    <row r="770" spans="2:21">
      <c r="B770" s="168"/>
      <c r="C770" s="601"/>
      <c r="D770" s="168"/>
      <c r="E770" s="168"/>
      <c r="F770" s="168"/>
      <c r="G770" s="167"/>
      <c r="H770" s="167"/>
      <c r="J770" s="168"/>
      <c r="K770" s="168"/>
      <c r="M770" s="168"/>
      <c r="N770" s="168"/>
      <c r="O770" s="168"/>
      <c r="P770" s="168"/>
      <c r="Q770" s="168"/>
      <c r="R770" s="168"/>
      <c r="S770" s="168"/>
      <c r="T770" s="168"/>
      <c r="U770" s="168"/>
    </row>
    <row r="771" spans="2:21">
      <c r="B771" s="168"/>
      <c r="C771" s="601"/>
      <c r="D771" s="168"/>
      <c r="E771" s="168"/>
      <c r="F771" s="168"/>
      <c r="G771" s="167"/>
      <c r="H771" s="167"/>
      <c r="J771" s="168"/>
      <c r="K771" s="168"/>
      <c r="M771" s="168"/>
      <c r="N771" s="168"/>
      <c r="O771" s="168"/>
      <c r="P771" s="168"/>
      <c r="Q771" s="168"/>
      <c r="R771" s="168"/>
      <c r="S771" s="168"/>
      <c r="T771" s="168"/>
      <c r="U771" s="168"/>
    </row>
    <row r="772" spans="2:21">
      <c r="B772" s="168"/>
      <c r="C772" s="601"/>
      <c r="D772" s="168"/>
      <c r="E772" s="168"/>
      <c r="F772" s="168"/>
      <c r="G772" s="167"/>
      <c r="H772" s="167"/>
      <c r="J772" s="168"/>
      <c r="K772" s="168"/>
      <c r="M772" s="168"/>
      <c r="N772" s="168"/>
      <c r="O772" s="168"/>
      <c r="P772" s="168"/>
      <c r="Q772" s="168"/>
      <c r="R772" s="168"/>
      <c r="S772" s="168"/>
      <c r="T772" s="168"/>
      <c r="U772" s="168"/>
    </row>
    <row r="773" spans="2:21">
      <c r="B773" s="168"/>
      <c r="C773" s="601"/>
      <c r="D773" s="168"/>
      <c r="E773" s="168"/>
      <c r="F773" s="168"/>
      <c r="G773" s="167"/>
      <c r="H773" s="167"/>
      <c r="J773" s="168"/>
      <c r="K773" s="168"/>
      <c r="M773" s="168"/>
      <c r="N773" s="168"/>
      <c r="O773" s="168"/>
      <c r="P773" s="168"/>
      <c r="Q773" s="168"/>
      <c r="R773" s="168"/>
      <c r="S773" s="168"/>
      <c r="T773" s="168"/>
      <c r="U773" s="168"/>
    </row>
    <row r="774" spans="2:21">
      <c r="B774" s="168"/>
      <c r="C774" s="601"/>
      <c r="D774" s="168"/>
      <c r="E774" s="168"/>
      <c r="F774" s="168"/>
      <c r="G774" s="167"/>
      <c r="H774" s="167"/>
      <c r="J774" s="168"/>
      <c r="K774" s="168"/>
      <c r="M774" s="168"/>
      <c r="N774" s="168"/>
      <c r="O774" s="168"/>
      <c r="P774" s="168"/>
      <c r="Q774" s="168"/>
      <c r="R774" s="168"/>
      <c r="S774" s="168"/>
      <c r="T774" s="168"/>
      <c r="U774" s="168"/>
    </row>
    <row r="775" spans="2:21">
      <c r="B775" s="168"/>
      <c r="C775" s="601"/>
      <c r="D775" s="168"/>
      <c r="E775" s="168"/>
      <c r="F775" s="168"/>
      <c r="G775" s="167"/>
      <c r="H775" s="167"/>
      <c r="J775" s="168"/>
      <c r="K775" s="168"/>
      <c r="M775" s="168"/>
      <c r="N775" s="168"/>
      <c r="O775" s="168"/>
      <c r="P775" s="168"/>
      <c r="Q775" s="168"/>
      <c r="R775" s="168"/>
      <c r="S775" s="168"/>
      <c r="T775" s="168"/>
      <c r="U775" s="168"/>
    </row>
    <row r="776" spans="2:21">
      <c r="B776" s="168"/>
      <c r="C776" s="601"/>
      <c r="D776" s="168"/>
      <c r="E776" s="168"/>
      <c r="F776" s="168"/>
      <c r="G776" s="167"/>
      <c r="H776" s="167"/>
      <c r="J776" s="168"/>
      <c r="K776" s="168"/>
      <c r="M776" s="168"/>
      <c r="N776" s="168"/>
      <c r="O776" s="168"/>
      <c r="P776" s="168"/>
      <c r="Q776" s="168"/>
      <c r="R776" s="168"/>
      <c r="S776" s="168"/>
      <c r="T776" s="168"/>
      <c r="U776" s="168"/>
    </row>
    <row r="777" spans="2:21">
      <c r="B777" s="168"/>
      <c r="C777" s="601"/>
      <c r="D777" s="168"/>
      <c r="E777" s="168"/>
      <c r="F777" s="168"/>
      <c r="G777" s="167"/>
      <c r="H777" s="167"/>
      <c r="J777" s="168"/>
      <c r="K777" s="168"/>
      <c r="M777" s="168"/>
      <c r="N777" s="168"/>
      <c r="O777" s="168"/>
      <c r="P777" s="168"/>
      <c r="Q777" s="168"/>
      <c r="R777" s="168"/>
      <c r="S777" s="168"/>
      <c r="T777" s="168"/>
      <c r="U777" s="168"/>
    </row>
    <row r="778" spans="2:21">
      <c r="B778" s="168"/>
      <c r="C778" s="601"/>
      <c r="D778" s="168"/>
      <c r="E778" s="168"/>
      <c r="F778" s="168"/>
      <c r="G778" s="167"/>
      <c r="H778" s="167"/>
      <c r="J778" s="168"/>
      <c r="K778" s="168"/>
      <c r="M778" s="168"/>
      <c r="N778" s="168"/>
      <c r="O778" s="168"/>
      <c r="P778" s="168"/>
      <c r="Q778" s="168"/>
      <c r="R778" s="168"/>
      <c r="S778" s="168"/>
      <c r="T778" s="168"/>
      <c r="U778" s="168"/>
    </row>
    <row r="779" spans="2:21">
      <c r="B779" s="168"/>
      <c r="C779" s="601"/>
      <c r="D779" s="168"/>
      <c r="E779" s="168"/>
      <c r="F779" s="168"/>
      <c r="G779" s="167"/>
      <c r="H779" s="167"/>
      <c r="J779" s="168"/>
      <c r="K779" s="168"/>
      <c r="M779" s="168"/>
      <c r="N779" s="168"/>
      <c r="O779" s="168"/>
      <c r="P779" s="168"/>
      <c r="Q779" s="168"/>
      <c r="R779" s="168"/>
      <c r="S779" s="168"/>
      <c r="T779" s="168"/>
      <c r="U779" s="168"/>
    </row>
    <row r="780" spans="2:21">
      <c r="B780" s="168"/>
      <c r="C780" s="601"/>
      <c r="D780" s="168"/>
      <c r="E780" s="168"/>
      <c r="F780" s="168"/>
      <c r="G780" s="167"/>
      <c r="H780" s="167"/>
      <c r="J780" s="168"/>
      <c r="K780" s="168"/>
      <c r="M780" s="168"/>
      <c r="N780" s="168"/>
      <c r="O780" s="168"/>
      <c r="P780" s="168"/>
      <c r="Q780" s="168"/>
      <c r="R780" s="168"/>
      <c r="S780" s="168"/>
      <c r="T780" s="168"/>
      <c r="U780" s="168"/>
    </row>
    <row r="781" spans="2:21">
      <c r="B781" s="168"/>
      <c r="C781" s="601"/>
      <c r="D781" s="168"/>
      <c r="E781" s="168"/>
      <c r="F781" s="168"/>
      <c r="G781" s="167"/>
      <c r="H781" s="167"/>
      <c r="J781" s="168"/>
      <c r="K781" s="168"/>
      <c r="M781" s="168"/>
      <c r="N781" s="168"/>
      <c r="O781" s="168"/>
      <c r="P781" s="168"/>
      <c r="Q781" s="168"/>
      <c r="R781" s="168"/>
      <c r="S781" s="168"/>
      <c r="T781" s="168"/>
      <c r="U781" s="168"/>
    </row>
    <row r="782" spans="2:21">
      <c r="B782" s="168"/>
      <c r="C782" s="601"/>
      <c r="D782" s="168"/>
      <c r="E782" s="168"/>
      <c r="F782" s="168"/>
      <c r="G782" s="167"/>
      <c r="H782" s="167"/>
      <c r="J782" s="168"/>
      <c r="K782" s="168"/>
      <c r="M782" s="168"/>
      <c r="N782" s="168"/>
      <c r="O782" s="168"/>
      <c r="P782" s="168"/>
      <c r="Q782" s="168"/>
      <c r="R782" s="168"/>
      <c r="S782" s="168"/>
      <c r="T782" s="168"/>
      <c r="U782" s="168"/>
    </row>
    <row r="783" spans="2:21">
      <c r="B783" s="168"/>
      <c r="C783" s="601"/>
      <c r="D783" s="168"/>
      <c r="E783" s="168"/>
      <c r="F783" s="168"/>
      <c r="G783" s="167"/>
      <c r="H783" s="167"/>
      <c r="J783" s="168"/>
      <c r="K783" s="168"/>
      <c r="M783" s="168"/>
      <c r="N783" s="168"/>
      <c r="O783" s="168"/>
      <c r="P783" s="168"/>
      <c r="Q783" s="168"/>
      <c r="R783" s="168"/>
      <c r="S783" s="168"/>
      <c r="T783" s="168"/>
      <c r="U783" s="168"/>
    </row>
    <row r="784" spans="2:21">
      <c r="B784" s="168"/>
      <c r="C784" s="601"/>
      <c r="D784" s="168"/>
      <c r="E784" s="168"/>
      <c r="F784" s="168"/>
      <c r="G784" s="167"/>
      <c r="H784" s="167"/>
      <c r="J784" s="168"/>
      <c r="K784" s="168"/>
      <c r="M784" s="168"/>
      <c r="N784" s="168"/>
      <c r="O784" s="168"/>
      <c r="P784" s="168"/>
      <c r="Q784" s="168"/>
      <c r="R784" s="168"/>
      <c r="S784" s="168"/>
      <c r="T784" s="168"/>
      <c r="U784" s="168"/>
    </row>
    <row r="785" spans="2:21">
      <c r="B785" s="168"/>
      <c r="C785" s="601"/>
      <c r="D785" s="168"/>
      <c r="E785" s="168"/>
      <c r="F785" s="168"/>
      <c r="G785" s="167"/>
      <c r="H785" s="167"/>
      <c r="J785" s="168"/>
      <c r="K785" s="168"/>
      <c r="M785" s="168"/>
      <c r="N785" s="168"/>
      <c r="O785" s="168"/>
      <c r="P785" s="168"/>
      <c r="Q785" s="168"/>
      <c r="R785" s="168"/>
      <c r="S785" s="168"/>
      <c r="T785" s="168"/>
      <c r="U785" s="168"/>
    </row>
    <row r="786" spans="2:21">
      <c r="B786" s="168"/>
      <c r="C786" s="601"/>
      <c r="D786" s="168"/>
      <c r="E786" s="168"/>
      <c r="F786" s="168"/>
      <c r="G786" s="167"/>
      <c r="H786" s="167"/>
      <c r="J786" s="168"/>
      <c r="K786" s="168"/>
      <c r="M786" s="168"/>
      <c r="N786" s="168"/>
      <c r="O786" s="168"/>
      <c r="P786" s="168"/>
      <c r="Q786" s="168"/>
      <c r="R786" s="168"/>
      <c r="S786" s="168"/>
      <c r="T786" s="168"/>
      <c r="U786" s="168"/>
    </row>
    <row r="787" spans="2:21">
      <c r="B787" s="168"/>
      <c r="C787" s="601"/>
      <c r="D787" s="168"/>
      <c r="E787" s="168"/>
      <c r="F787" s="168"/>
      <c r="G787" s="167"/>
      <c r="H787" s="167"/>
      <c r="J787" s="168"/>
      <c r="K787" s="168"/>
      <c r="M787" s="168"/>
      <c r="N787" s="168"/>
      <c r="O787" s="168"/>
      <c r="P787" s="168"/>
      <c r="Q787" s="168"/>
      <c r="R787" s="168"/>
      <c r="S787" s="168"/>
      <c r="T787" s="168"/>
      <c r="U787" s="168"/>
    </row>
    <row r="788" spans="2:21">
      <c r="B788" s="168"/>
      <c r="C788" s="601"/>
      <c r="D788" s="168"/>
      <c r="E788" s="168"/>
      <c r="F788" s="168"/>
      <c r="G788" s="167"/>
      <c r="H788" s="167"/>
      <c r="J788" s="168"/>
      <c r="K788" s="168"/>
      <c r="M788" s="168"/>
      <c r="N788" s="168"/>
      <c r="O788" s="168"/>
      <c r="P788" s="168"/>
      <c r="Q788" s="168"/>
      <c r="R788" s="168"/>
      <c r="S788" s="168"/>
      <c r="T788" s="168"/>
      <c r="U788" s="168"/>
    </row>
    <row r="789" spans="2:21">
      <c r="B789" s="168"/>
      <c r="C789" s="601"/>
      <c r="D789" s="168"/>
      <c r="E789" s="168"/>
      <c r="F789" s="168"/>
      <c r="G789" s="167"/>
      <c r="H789" s="167"/>
      <c r="J789" s="168"/>
      <c r="K789" s="168"/>
      <c r="M789" s="168"/>
      <c r="N789" s="168"/>
      <c r="O789" s="168"/>
      <c r="P789" s="168"/>
      <c r="Q789" s="168"/>
      <c r="R789" s="168"/>
      <c r="S789" s="168"/>
      <c r="T789" s="168"/>
      <c r="U789" s="168"/>
    </row>
    <row r="790" spans="2:21">
      <c r="B790" s="168"/>
      <c r="C790" s="601"/>
      <c r="D790" s="168"/>
      <c r="E790" s="168"/>
      <c r="F790" s="168"/>
      <c r="G790" s="167"/>
      <c r="H790" s="167"/>
      <c r="J790" s="168"/>
      <c r="K790" s="168"/>
      <c r="M790" s="168"/>
      <c r="N790" s="168"/>
      <c r="O790" s="168"/>
      <c r="P790" s="168"/>
      <c r="Q790" s="168"/>
      <c r="R790" s="168"/>
      <c r="S790" s="168"/>
      <c r="T790" s="168"/>
      <c r="U790" s="168"/>
    </row>
    <row r="791" spans="2:21">
      <c r="B791" s="168"/>
      <c r="C791" s="601"/>
      <c r="D791" s="168"/>
      <c r="E791" s="168"/>
      <c r="F791" s="168"/>
      <c r="G791" s="167"/>
      <c r="H791" s="167"/>
      <c r="J791" s="168"/>
      <c r="K791" s="168"/>
      <c r="M791" s="168"/>
      <c r="N791" s="168"/>
      <c r="O791" s="168"/>
      <c r="P791" s="168"/>
      <c r="Q791" s="168"/>
      <c r="R791" s="168"/>
      <c r="S791" s="168"/>
      <c r="T791" s="168"/>
      <c r="U791" s="168"/>
    </row>
    <row r="792" spans="2:21">
      <c r="B792" s="168"/>
      <c r="C792" s="601"/>
      <c r="D792" s="168"/>
      <c r="E792" s="168"/>
      <c r="F792" s="168"/>
      <c r="G792" s="167"/>
      <c r="H792" s="167"/>
      <c r="J792" s="168"/>
      <c r="K792" s="168"/>
      <c r="M792" s="168"/>
      <c r="N792" s="168"/>
      <c r="O792" s="168"/>
      <c r="P792" s="168"/>
      <c r="Q792" s="168"/>
      <c r="R792" s="168"/>
      <c r="S792" s="168"/>
      <c r="T792" s="168"/>
      <c r="U792" s="168"/>
    </row>
    <row r="793" spans="2:21">
      <c r="B793" s="168"/>
      <c r="C793" s="601"/>
      <c r="D793" s="168"/>
      <c r="E793" s="168"/>
      <c r="F793" s="168"/>
      <c r="G793" s="167"/>
      <c r="H793" s="167"/>
      <c r="J793" s="168"/>
      <c r="K793" s="168"/>
      <c r="M793" s="168"/>
      <c r="N793" s="168"/>
      <c r="O793" s="168"/>
      <c r="P793" s="168"/>
      <c r="Q793" s="168"/>
      <c r="R793" s="168"/>
      <c r="S793" s="168"/>
      <c r="T793" s="168"/>
      <c r="U793" s="168"/>
    </row>
    <row r="794" spans="2:21">
      <c r="B794" s="168"/>
      <c r="C794" s="601"/>
      <c r="D794" s="168"/>
      <c r="E794" s="168"/>
      <c r="F794" s="168"/>
      <c r="G794" s="167"/>
      <c r="H794" s="167"/>
      <c r="J794" s="168"/>
      <c r="K794" s="168"/>
      <c r="M794" s="168"/>
      <c r="N794" s="168"/>
      <c r="O794" s="168"/>
      <c r="P794" s="168"/>
      <c r="Q794" s="168"/>
      <c r="R794" s="168"/>
      <c r="S794" s="168"/>
      <c r="T794" s="168"/>
      <c r="U794" s="168"/>
    </row>
    <row r="795" spans="2:21">
      <c r="B795" s="168"/>
      <c r="C795" s="601"/>
      <c r="D795" s="168"/>
      <c r="E795" s="168"/>
      <c r="F795" s="168"/>
      <c r="G795" s="167"/>
      <c r="H795" s="167"/>
      <c r="J795" s="168"/>
      <c r="K795" s="168"/>
      <c r="M795" s="168"/>
      <c r="N795" s="168"/>
      <c r="O795" s="168"/>
      <c r="P795" s="168"/>
      <c r="Q795" s="168"/>
      <c r="R795" s="168"/>
      <c r="S795" s="168"/>
      <c r="T795" s="168"/>
      <c r="U795" s="168"/>
    </row>
    <row r="796" spans="2:21">
      <c r="B796" s="168"/>
      <c r="C796" s="601"/>
      <c r="D796" s="168"/>
      <c r="E796" s="168"/>
      <c r="F796" s="168"/>
      <c r="G796" s="167"/>
      <c r="H796" s="167"/>
      <c r="J796" s="168"/>
      <c r="K796" s="168"/>
      <c r="M796" s="168"/>
      <c r="N796" s="168"/>
      <c r="O796" s="168"/>
      <c r="P796" s="168"/>
      <c r="Q796" s="168"/>
      <c r="R796" s="168"/>
      <c r="S796" s="168"/>
      <c r="T796" s="168"/>
      <c r="U796" s="168"/>
    </row>
    <row r="797" spans="2:21">
      <c r="B797" s="168"/>
      <c r="C797" s="601"/>
      <c r="D797" s="168"/>
      <c r="E797" s="168"/>
      <c r="F797" s="168"/>
      <c r="G797" s="167"/>
      <c r="H797" s="167"/>
      <c r="J797" s="168"/>
      <c r="K797" s="168"/>
      <c r="M797" s="168"/>
      <c r="N797" s="168"/>
      <c r="O797" s="168"/>
      <c r="P797" s="168"/>
      <c r="Q797" s="168"/>
      <c r="R797" s="168"/>
      <c r="S797" s="168"/>
      <c r="T797" s="168"/>
      <c r="U797" s="168"/>
    </row>
    <row r="798" spans="2:21">
      <c r="B798" s="168"/>
      <c r="C798" s="601"/>
      <c r="D798" s="168"/>
      <c r="E798" s="168"/>
      <c r="F798" s="168"/>
      <c r="G798" s="167"/>
      <c r="H798" s="167"/>
      <c r="J798" s="168"/>
      <c r="K798" s="168"/>
      <c r="M798" s="168"/>
      <c r="N798" s="168"/>
      <c r="O798" s="168"/>
      <c r="P798" s="168"/>
      <c r="Q798" s="168"/>
      <c r="R798" s="168"/>
      <c r="S798" s="168"/>
      <c r="T798" s="168"/>
      <c r="U798" s="168"/>
    </row>
    <row r="799" spans="2:21">
      <c r="B799" s="168"/>
      <c r="C799" s="601"/>
      <c r="D799" s="168"/>
      <c r="E799" s="168"/>
      <c r="F799" s="168"/>
      <c r="G799" s="167"/>
      <c r="H799" s="167"/>
      <c r="J799" s="168"/>
      <c r="K799" s="168"/>
      <c r="M799" s="168"/>
      <c r="N799" s="168"/>
      <c r="O799" s="168"/>
      <c r="P799" s="168"/>
      <c r="Q799" s="168"/>
      <c r="R799" s="168"/>
      <c r="S799" s="168"/>
      <c r="T799" s="168"/>
      <c r="U799" s="168"/>
    </row>
    <row r="800" spans="2:21">
      <c r="B800" s="168"/>
      <c r="C800" s="601"/>
      <c r="D800" s="168"/>
      <c r="E800" s="168"/>
      <c r="F800" s="168"/>
      <c r="G800" s="167"/>
      <c r="H800" s="167"/>
      <c r="J800" s="168"/>
      <c r="K800" s="168"/>
      <c r="M800" s="168"/>
      <c r="N800" s="168"/>
      <c r="O800" s="168"/>
      <c r="P800" s="168"/>
      <c r="Q800" s="168"/>
      <c r="R800" s="168"/>
      <c r="S800" s="168"/>
      <c r="T800" s="168"/>
      <c r="U800" s="168"/>
    </row>
    <row r="801" spans="2:21">
      <c r="B801" s="168"/>
      <c r="C801" s="601"/>
      <c r="D801" s="168"/>
      <c r="E801" s="168"/>
      <c r="F801" s="168"/>
      <c r="G801" s="167"/>
      <c r="H801" s="167"/>
      <c r="J801" s="168"/>
      <c r="K801" s="168"/>
      <c r="M801" s="168"/>
      <c r="N801" s="168"/>
      <c r="O801" s="168"/>
      <c r="P801" s="168"/>
      <c r="Q801" s="168"/>
      <c r="R801" s="168"/>
      <c r="S801" s="168"/>
      <c r="T801" s="168"/>
      <c r="U801" s="168"/>
    </row>
    <row r="802" spans="2:21">
      <c r="B802" s="168"/>
      <c r="C802" s="601"/>
      <c r="D802" s="168"/>
      <c r="E802" s="168"/>
      <c r="F802" s="168"/>
      <c r="G802" s="167"/>
      <c r="H802" s="167"/>
      <c r="J802" s="168"/>
      <c r="K802" s="168"/>
      <c r="M802" s="168"/>
      <c r="N802" s="168"/>
      <c r="O802" s="168"/>
      <c r="P802" s="168"/>
      <c r="Q802" s="168"/>
      <c r="R802" s="168"/>
      <c r="S802" s="168"/>
      <c r="T802" s="168"/>
      <c r="U802" s="168"/>
    </row>
    <row r="803" spans="2:21">
      <c r="B803" s="168"/>
      <c r="C803" s="601"/>
      <c r="D803" s="168"/>
      <c r="E803" s="168"/>
      <c r="F803" s="168"/>
      <c r="G803" s="167"/>
      <c r="H803" s="167"/>
      <c r="J803" s="168"/>
      <c r="K803" s="168"/>
      <c r="M803" s="168"/>
      <c r="N803" s="168"/>
      <c r="O803" s="168"/>
      <c r="P803" s="168"/>
      <c r="Q803" s="168"/>
      <c r="R803" s="168"/>
      <c r="S803" s="168"/>
      <c r="T803" s="168"/>
      <c r="U803" s="168"/>
    </row>
    <row r="804" spans="2:21">
      <c r="B804" s="168"/>
      <c r="C804" s="601"/>
      <c r="D804" s="168"/>
      <c r="E804" s="168"/>
      <c r="F804" s="168"/>
      <c r="G804" s="167"/>
      <c r="H804" s="167"/>
      <c r="J804" s="168"/>
      <c r="K804" s="168"/>
      <c r="M804" s="168"/>
      <c r="N804" s="168"/>
      <c r="O804" s="168"/>
      <c r="P804" s="168"/>
      <c r="Q804" s="168"/>
      <c r="R804" s="168"/>
      <c r="S804" s="168"/>
      <c r="T804" s="168"/>
      <c r="U804" s="168"/>
    </row>
    <row r="805" spans="2:21">
      <c r="B805" s="168"/>
      <c r="C805" s="601"/>
      <c r="D805" s="168"/>
      <c r="E805" s="168"/>
      <c r="F805" s="168"/>
      <c r="G805" s="167"/>
      <c r="H805" s="167"/>
      <c r="J805" s="168"/>
      <c r="K805" s="168"/>
      <c r="M805" s="168"/>
      <c r="N805" s="168"/>
      <c r="O805" s="168"/>
      <c r="P805" s="168"/>
      <c r="Q805" s="168"/>
      <c r="R805" s="168"/>
      <c r="S805" s="168"/>
      <c r="T805" s="168"/>
      <c r="U805" s="168"/>
    </row>
    <row r="806" spans="2:21">
      <c r="B806" s="168"/>
      <c r="C806" s="601"/>
      <c r="D806" s="168"/>
      <c r="E806" s="168"/>
      <c r="F806" s="168"/>
      <c r="G806" s="167"/>
      <c r="H806" s="167"/>
      <c r="J806" s="168"/>
      <c r="K806" s="168"/>
      <c r="M806" s="168"/>
      <c r="N806" s="168"/>
      <c r="O806" s="168"/>
      <c r="P806" s="168"/>
      <c r="Q806" s="168"/>
      <c r="R806" s="168"/>
      <c r="S806" s="168"/>
      <c r="T806" s="168"/>
      <c r="U806" s="168"/>
    </row>
    <row r="807" spans="2:21">
      <c r="B807" s="168"/>
      <c r="C807" s="601"/>
      <c r="D807" s="168"/>
      <c r="E807" s="168"/>
      <c r="F807" s="168"/>
      <c r="G807" s="167"/>
      <c r="H807" s="167"/>
      <c r="J807" s="168"/>
      <c r="K807" s="168"/>
      <c r="M807" s="168"/>
      <c r="N807" s="168"/>
      <c r="O807" s="168"/>
      <c r="P807" s="168"/>
      <c r="Q807" s="168"/>
      <c r="R807" s="168"/>
      <c r="S807" s="168"/>
      <c r="T807" s="168"/>
      <c r="U807" s="168"/>
    </row>
    <row r="808" spans="2:21">
      <c r="B808" s="168"/>
      <c r="C808" s="601"/>
      <c r="D808" s="168"/>
      <c r="E808" s="168"/>
      <c r="F808" s="168"/>
      <c r="G808" s="167"/>
      <c r="H808" s="167"/>
      <c r="J808" s="168"/>
      <c r="K808" s="168"/>
      <c r="M808" s="168"/>
      <c r="N808" s="168"/>
      <c r="O808" s="168"/>
      <c r="P808" s="168"/>
      <c r="Q808" s="168"/>
      <c r="R808" s="168"/>
      <c r="S808" s="168"/>
      <c r="T808" s="168"/>
      <c r="U808" s="168"/>
    </row>
    <row r="809" spans="2:21">
      <c r="B809" s="168"/>
      <c r="C809" s="601"/>
      <c r="D809" s="168"/>
      <c r="E809" s="168"/>
      <c r="F809" s="168"/>
      <c r="G809" s="167"/>
      <c r="H809" s="167"/>
      <c r="J809" s="168"/>
      <c r="K809" s="168"/>
      <c r="M809" s="168"/>
      <c r="N809" s="168"/>
      <c r="O809" s="168"/>
      <c r="P809" s="168"/>
      <c r="Q809" s="168"/>
      <c r="R809" s="168"/>
      <c r="S809" s="168"/>
      <c r="T809" s="168"/>
      <c r="U809" s="168"/>
    </row>
    <row r="810" spans="2:21">
      <c r="B810" s="168"/>
      <c r="C810" s="601"/>
      <c r="D810" s="168"/>
      <c r="E810" s="168"/>
      <c r="F810" s="168"/>
      <c r="G810" s="167"/>
      <c r="H810" s="167"/>
      <c r="J810" s="168"/>
      <c r="K810" s="168"/>
      <c r="M810" s="168"/>
      <c r="N810" s="168"/>
      <c r="O810" s="168"/>
      <c r="P810" s="168"/>
      <c r="Q810" s="168"/>
      <c r="R810" s="168"/>
      <c r="S810" s="168"/>
      <c r="T810" s="168"/>
      <c r="U810" s="168"/>
    </row>
    <row r="811" spans="2:21">
      <c r="B811" s="168"/>
      <c r="C811" s="601"/>
      <c r="D811" s="168"/>
      <c r="E811" s="168"/>
      <c r="F811" s="168"/>
      <c r="G811" s="167"/>
      <c r="H811" s="167"/>
      <c r="J811" s="168"/>
      <c r="K811" s="168"/>
      <c r="M811" s="168"/>
      <c r="N811" s="168"/>
      <c r="O811" s="168"/>
      <c r="P811" s="168"/>
      <c r="Q811" s="168"/>
      <c r="R811" s="168"/>
      <c r="S811" s="168"/>
      <c r="T811" s="168"/>
      <c r="U811" s="168"/>
    </row>
    <row r="812" spans="2:21">
      <c r="B812" s="168"/>
      <c r="C812" s="601"/>
      <c r="D812" s="168"/>
      <c r="E812" s="168"/>
      <c r="F812" s="168"/>
      <c r="G812" s="167"/>
      <c r="H812" s="167"/>
      <c r="J812" s="168"/>
      <c r="K812" s="168"/>
      <c r="M812" s="168"/>
      <c r="N812" s="168"/>
      <c r="O812" s="168"/>
      <c r="P812" s="168"/>
      <c r="Q812" s="168"/>
      <c r="R812" s="168"/>
      <c r="S812" s="168"/>
      <c r="T812" s="168"/>
      <c r="U812" s="168"/>
    </row>
    <row r="813" spans="2:21">
      <c r="B813" s="168"/>
      <c r="C813" s="601"/>
      <c r="D813" s="168"/>
      <c r="E813" s="168"/>
      <c r="F813" s="168"/>
      <c r="G813" s="167"/>
      <c r="H813" s="167"/>
      <c r="J813" s="168"/>
      <c r="K813" s="168"/>
      <c r="M813" s="168"/>
      <c r="N813" s="168"/>
      <c r="O813" s="168"/>
      <c r="P813" s="168"/>
      <c r="Q813" s="168"/>
      <c r="R813" s="168"/>
      <c r="S813" s="168"/>
      <c r="T813" s="168"/>
      <c r="U813" s="168"/>
    </row>
    <row r="814" spans="2:21">
      <c r="B814" s="168"/>
      <c r="C814" s="601"/>
      <c r="D814" s="168"/>
      <c r="E814" s="168"/>
      <c r="F814" s="168"/>
      <c r="G814" s="167"/>
      <c r="H814" s="167"/>
      <c r="J814" s="168"/>
      <c r="K814" s="168"/>
      <c r="M814" s="168"/>
      <c r="N814" s="168"/>
      <c r="O814" s="168"/>
      <c r="P814" s="168"/>
      <c r="Q814" s="168"/>
      <c r="R814" s="168"/>
      <c r="S814" s="168"/>
      <c r="T814" s="168"/>
      <c r="U814" s="168"/>
    </row>
    <row r="815" spans="2:21">
      <c r="B815" s="168"/>
      <c r="C815" s="601"/>
      <c r="D815" s="168"/>
      <c r="E815" s="168"/>
      <c r="F815" s="168"/>
      <c r="G815" s="167"/>
      <c r="H815" s="167"/>
      <c r="J815" s="168"/>
      <c r="K815" s="168"/>
      <c r="M815" s="168"/>
      <c r="N815" s="168"/>
      <c r="O815" s="168"/>
      <c r="P815" s="168"/>
      <c r="Q815" s="168"/>
      <c r="R815" s="168"/>
      <c r="S815" s="168"/>
      <c r="T815" s="168"/>
      <c r="U815" s="168"/>
    </row>
    <row r="816" spans="2:21">
      <c r="B816" s="168"/>
      <c r="C816" s="601"/>
      <c r="D816" s="168"/>
      <c r="E816" s="168"/>
      <c r="F816" s="168"/>
      <c r="G816" s="167"/>
      <c r="H816" s="167"/>
      <c r="J816" s="168"/>
      <c r="K816" s="168"/>
      <c r="M816" s="168"/>
      <c r="N816" s="168"/>
      <c r="O816" s="168"/>
      <c r="P816" s="168"/>
      <c r="Q816" s="168"/>
      <c r="R816" s="168"/>
      <c r="S816" s="168"/>
      <c r="T816" s="168"/>
      <c r="U816" s="168"/>
    </row>
    <row r="817" spans="2:21">
      <c r="B817" s="168"/>
      <c r="C817" s="601"/>
      <c r="D817" s="168"/>
      <c r="E817" s="168"/>
      <c r="F817" s="168"/>
      <c r="G817" s="167"/>
      <c r="H817" s="167"/>
      <c r="J817" s="168"/>
      <c r="K817" s="168"/>
      <c r="M817" s="168"/>
      <c r="N817" s="168"/>
      <c r="O817" s="168"/>
      <c r="P817" s="168"/>
      <c r="Q817" s="168"/>
      <c r="R817" s="168"/>
      <c r="S817" s="168"/>
      <c r="T817" s="168"/>
      <c r="U817" s="168"/>
    </row>
    <row r="818" spans="2:21">
      <c r="B818" s="168"/>
      <c r="C818" s="601"/>
      <c r="D818" s="168"/>
      <c r="E818" s="168"/>
      <c r="F818" s="168"/>
      <c r="G818" s="167"/>
      <c r="H818" s="167"/>
      <c r="J818" s="168"/>
      <c r="K818" s="168"/>
      <c r="M818" s="168"/>
      <c r="N818" s="168"/>
      <c r="O818" s="168"/>
      <c r="P818" s="168"/>
      <c r="Q818" s="168"/>
      <c r="R818" s="168"/>
      <c r="S818" s="168"/>
      <c r="T818" s="168"/>
      <c r="U818" s="168"/>
    </row>
    <row r="819" spans="2:21">
      <c r="B819" s="168"/>
      <c r="C819" s="601"/>
      <c r="D819" s="168"/>
      <c r="E819" s="168"/>
      <c r="F819" s="168"/>
      <c r="G819" s="167"/>
      <c r="H819" s="167"/>
      <c r="J819" s="168"/>
      <c r="K819" s="168"/>
      <c r="M819" s="168"/>
      <c r="N819" s="168"/>
      <c r="O819" s="168"/>
      <c r="P819" s="168"/>
      <c r="Q819" s="168"/>
      <c r="R819" s="168"/>
      <c r="S819" s="168"/>
      <c r="T819" s="168"/>
      <c r="U819" s="168"/>
    </row>
    <row r="820" spans="2:21">
      <c r="B820" s="168"/>
      <c r="C820" s="601"/>
      <c r="D820" s="168"/>
      <c r="E820" s="168"/>
      <c r="F820" s="168"/>
      <c r="G820" s="167"/>
      <c r="H820" s="167"/>
      <c r="J820" s="168"/>
      <c r="K820" s="168"/>
      <c r="M820" s="168"/>
      <c r="N820" s="168"/>
      <c r="O820" s="168"/>
      <c r="P820" s="168"/>
      <c r="Q820" s="168"/>
      <c r="R820" s="168"/>
      <c r="S820" s="168"/>
      <c r="T820" s="168"/>
      <c r="U820" s="168"/>
    </row>
    <row r="821" spans="2:21">
      <c r="B821" s="168"/>
      <c r="C821" s="601"/>
      <c r="D821" s="168"/>
      <c r="E821" s="168"/>
      <c r="F821" s="168"/>
      <c r="G821" s="167"/>
      <c r="H821" s="167"/>
      <c r="J821" s="168"/>
      <c r="K821" s="168"/>
      <c r="M821" s="168"/>
      <c r="N821" s="168"/>
      <c r="O821" s="168"/>
      <c r="P821" s="168"/>
      <c r="Q821" s="168"/>
      <c r="R821" s="168"/>
      <c r="S821" s="168"/>
      <c r="T821" s="168"/>
      <c r="U821" s="168"/>
    </row>
    <row r="822" spans="2:21">
      <c r="B822" s="168"/>
      <c r="C822" s="601"/>
      <c r="D822" s="168"/>
      <c r="E822" s="168"/>
      <c r="F822" s="168"/>
      <c r="G822" s="167"/>
      <c r="H822" s="167"/>
      <c r="J822" s="168"/>
      <c r="K822" s="168"/>
      <c r="M822" s="168"/>
      <c r="N822" s="168"/>
      <c r="O822" s="168"/>
      <c r="P822" s="168"/>
      <c r="Q822" s="168"/>
      <c r="R822" s="168"/>
      <c r="S822" s="168"/>
      <c r="T822" s="168"/>
      <c r="U822" s="168"/>
    </row>
    <row r="823" spans="2:21">
      <c r="B823" s="168"/>
      <c r="C823" s="601"/>
      <c r="D823" s="168"/>
      <c r="E823" s="168"/>
      <c r="F823" s="168"/>
      <c r="G823" s="167"/>
      <c r="H823" s="167"/>
      <c r="J823" s="168"/>
      <c r="K823" s="168"/>
      <c r="M823" s="168"/>
      <c r="N823" s="168"/>
      <c r="O823" s="168"/>
      <c r="P823" s="168"/>
      <c r="Q823" s="168"/>
      <c r="R823" s="168"/>
      <c r="S823" s="168"/>
      <c r="T823" s="168"/>
      <c r="U823" s="168"/>
    </row>
    <row r="824" spans="2:21">
      <c r="B824" s="168"/>
      <c r="C824" s="601"/>
      <c r="D824" s="168"/>
      <c r="E824" s="168"/>
      <c r="F824" s="168"/>
      <c r="G824" s="167"/>
      <c r="H824" s="167"/>
      <c r="J824" s="168"/>
      <c r="K824" s="168"/>
      <c r="M824" s="168"/>
      <c r="N824" s="168"/>
      <c r="O824" s="168"/>
      <c r="P824" s="168"/>
      <c r="Q824" s="168"/>
      <c r="R824" s="168"/>
      <c r="S824" s="168"/>
      <c r="T824" s="168"/>
      <c r="U824" s="168"/>
    </row>
    <row r="825" spans="2:21">
      <c r="B825" s="168"/>
      <c r="C825" s="601"/>
      <c r="D825" s="168"/>
      <c r="E825" s="168"/>
      <c r="F825" s="168"/>
      <c r="G825" s="167"/>
      <c r="H825" s="167"/>
      <c r="J825" s="168"/>
      <c r="K825" s="168"/>
      <c r="M825" s="168"/>
      <c r="N825" s="168"/>
      <c r="O825" s="168"/>
      <c r="P825" s="168"/>
      <c r="Q825" s="168"/>
      <c r="R825" s="168"/>
      <c r="S825" s="168"/>
      <c r="T825" s="168"/>
      <c r="U825" s="168"/>
    </row>
    <row r="826" spans="2:21">
      <c r="B826" s="168"/>
      <c r="C826" s="601"/>
      <c r="D826" s="168"/>
      <c r="E826" s="168"/>
      <c r="F826" s="168"/>
      <c r="G826" s="167"/>
      <c r="H826" s="167"/>
      <c r="J826" s="168"/>
      <c r="K826" s="168"/>
      <c r="M826" s="168"/>
      <c r="N826" s="168"/>
      <c r="O826" s="168"/>
      <c r="P826" s="168"/>
      <c r="Q826" s="168"/>
      <c r="R826" s="168"/>
      <c r="S826" s="168"/>
      <c r="T826" s="168"/>
      <c r="U826" s="168"/>
    </row>
    <row r="827" spans="2:21">
      <c r="B827" s="168"/>
      <c r="C827" s="601"/>
      <c r="D827" s="168"/>
      <c r="E827" s="168"/>
      <c r="F827" s="168"/>
      <c r="G827" s="167"/>
      <c r="H827" s="167"/>
      <c r="J827" s="168"/>
      <c r="K827" s="168"/>
      <c r="M827" s="168"/>
      <c r="N827" s="168"/>
      <c r="O827" s="168"/>
      <c r="P827" s="168"/>
      <c r="Q827" s="168"/>
      <c r="R827" s="168"/>
      <c r="S827" s="168"/>
      <c r="T827" s="168"/>
      <c r="U827" s="168"/>
    </row>
    <row r="828" spans="2:21">
      <c r="B828" s="168"/>
      <c r="C828" s="601"/>
      <c r="D828" s="168"/>
      <c r="E828" s="168"/>
      <c r="F828" s="168"/>
      <c r="G828" s="167"/>
      <c r="H828" s="167"/>
      <c r="J828" s="168"/>
      <c r="K828" s="168"/>
      <c r="M828" s="168"/>
      <c r="N828" s="168"/>
      <c r="O828" s="168"/>
      <c r="P828" s="168"/>
      <c r="Q828" s="168"/>
      <c r="R828" s="168"/>
      <c r="S828" s="168"/>
      <c r="T828" s="168"/>
      <c r="U828" s="168"/>
    </row>
    <row r="829" spans="2:21">
      <c r="B829" s="168"/>
      <c r="C829" s="601"/>
      <c r="D829" s="168"/>
      <c r="E829" s="168"/>
      <c r="F829" s="168"/>
      <c r="G829" s="167"/>
      <c r="H829" s="167"/>
      <c r="J829" s="168"/>
      <c r="K829" s="168"/>
      <c r="M829" s="168"/>
      <c r="N829" s="168"/>
      <c r="O829" s="168"/>
      <c r="P829" s="168"/>
      <c r="Q829" s="168"/>
      <c r="R829" s="168"/>
      <c r="S829" s="168"/>
      <c r="T829" s="168"/>
      <c r="U829" s="168"/>
    </row>
    <row r="830" spans="2:21">
      <c r="B830" s="168"/>
      <c r="C830" s="601"/>
      <c r="D830" s="168"/>
      <c r="E830" s="168"/>
      <c r="F830" s="168"/>
      <c r="G830" s="167"/>
      <c r="H830" s="167"/>
      <c r="J830" s="168"/>
      <c r="K830" s="168"/>
      <c r="M830" s="168"/>
      <c r="N830" s="168"/>
      <c r="O830" s="168"/>
      <c r="P830" s="168"/>
      <c r="Q830" s="168"/>
      <c r="R830" s="168"/>
      <c r="S830" s="168"/>
      <c r="T830" s="168"/>
      <c r="U830" s="168"/>
    </row>
    <row r="831" spans="2:21">
      <c r="B831" s="168"/>
      <c r="C831" s="601"/>
      <c r="D831" s="168"/>
      <c r="E831" s="168"/>
      <c r="F831" s="168"/>
      <c r="G831" s="167"/>
      <c r="H831" s="167"/>
      <c r="J831" s="168"/>
      <c r="K831" s="168"/>
      <c r="M831" s="168"/>
      <c r="N831" s="168"/>
      <c r="O831" s="168"/>
      <c r="P831" s="168"/>
      <c r="Q831" s="168"/>
      <c r="R831" s="168"/>
      <c r="S831" s="168"/>
      <c r="T831" s="168"/>
      <c r="U831" s="168"/>
    </row>
    <row r="832" spans="2:21">
      <c r="B832" s="168"/>
      <c r="C832" s="601"/>
      <c r="D832" s="168"/>
      <c r="E832" s="168"/>
      <c r="F832" s="168"/>
      <c r="G832" s="167"/>
      <c r="H832" s="167"/>
      <c r="J832" s="168"/>
      <c r="K832" s="168"/>
      <c r="M832" s="168"/>
      <c r="N832" s="168"/>
      <c r="O832" s="168"/>
      <c r="P832" s="168"/>
      <c r="Q832" s="168"/>
      <c r="R832" s="168"/>
      <c r="S832" s="168"/>
      <c r="T832" s="168"/>
      <c r="U832" s="168"/>
    </row>
    <row r="833" spans="2:21">
      <c r="B833" s="168"/>
      <c r="C833" s="601"/>
      <c r="D833" s="168"/>
      <c r="E833" s="168"/>
      <c r="F833" s="168"/>
      <c r="G833" s="167"/>
      <c r="H833" s="167"/>
      <c r="J833" s="168"/>
      <c r="K833" s="168"/>
      <c r="M833" s="168"/>
      <c r="N833" s="168"/>
      <c r="O833" s="168"/>
      <c r="P833" s="168"/>
      <c r="Q833" s="168"/>
      <c r="R833" s="168"/>
      <c r="S833" s="168"/>
      <c r="T833" s="168"/>
      <c r="U833" s="168"/>
    </row>
    <row r="834" spans="2:21">
      <c r="B834" s="168"/>
      <c r="C834" s="601"/>
      <c r="D834" s="168"/>
      <c r="E834" s="168"/>
      <c r="F834" s="168"/>
      <c r="G834" s="167"/>
      <c r="H834" s="167"/>
      <c r="J834" s="168"/>
      <c r="K834" s="168"/>
      <c r="M834" s="168"/>
      <c r="N834" s="168"/>
      <c r="O834" s="168"/>
      <c r="P834" s="168"/>
      <c r="Q834" s="168"/>
      <c r="R834" s="168"/>
      <c r="S834" s="168"/>
      <c r="T834" s="168"/>
      <c r="U834" s="168"/>
    </row>
    <row r="835" spans="2:21">
      <c r="B835" s="168"/>
      <c r="C835" s="601"/>
      <c r="D835" s="168"/>
      <c r="E835" s="168"/>
      <c r="F835" s="168"/>
      <c r="G835" s="167"/>
      <c r="H835" s="167"/>
      <c r="J835" s="168"/>
      <c r="K835" s="168"/>
      <c r="M835" s="168"/>
      <c r="N835" s="168"/>
      <c r="O835" s="168"/>
      <c r="P835" s="168"/>
      <c r="Q835" s="168"/>
      <c r="R835" s="168"/>
      <c r="S835" s="168"/>
      <c r="T835" s="168"/>
      <c r="U835" s="168"/>
    </row>
    <row r="836" spans="2:21">
      <c r="B836" s="168"/>
      <c r="C836" s="601"/>
      <c r="D836" s="168"/>
      <c r="E836" s="168"/>
      <c r="F836" s="168"/>
      <c r="G836" s="167"/>
      <c r="H836" s="167"/>
      <c r="J836" s="168"/>
      <c r="K836" s="168"/>
      <c r="M836" s="168"/>
      <c r="N836" s="168"/>
      <c r="O836" s="168"/>
      <c r="P836" s="168"/>
      <c r="Q836" s="168"/>
      <c r="R836" s="168"/>
      <c r="S836" s="168"/>
      <c r="T836" s="168"/>
      <c r="U836" s="168"/>
    </row>
    <row r="837" spans="2:21">
      <c r="B837" s="168"/>
      <c r="C837" s="601"/>
      <c r="D837" s="168"/>
      <c r="E837" s="168"/>
      <c r="F837" s="168"/>
      <c r="G837" s="167"/>
      <c r="H837" s="167"/>
      <c r="J837" s="168"/>
      <c r="K837" s="168"/>
      <c r="M837" s="168"/>
      <c r="N837" s="168"/>
      <c r="O837" s="168"/>
      <c r="P837" s="168"/>
      <c r="Q837" s="168"/>
      <c r="R837" s="168"/>
      <c r="S837" s="168"/>
      <c r="T837" s="168"/>
      <c r="U837" s="168"/>
    </row>
    <row r="838" spans="2:21">
      <c r="B838" s="168"/>
      <c r="C838" s="601"/>
      <c r="D838" s="168"/>
      <c r="E838" s="168"/>
      <c r="F838" s="168"/>
      <c r="G838" s="167"/>
      <c r="H838" s="167"/>
      <c r="J838" s="168"/>
      <c r="K838" s="168"/>
      <c r="M838" s="168"/>
      <c r="N838" s="168"/>
      <c r="O838" s="168"/>
      <c r="P838" s="168"/>
      <c r="Q838" s="168"/>
      <c r="R838" s="168"/>
      <c r="S838" s="168"/>
      <c r="T838" s="168"/>
      <c r="U838" s="168"/>
    </row>
    <row r="839" spans="2:21">
      <c r="B839" s="168"/>
      <c r="C839" s="601"/>
      <c r="D839" s="168"/>
      <c r="E839" s="168"/>
      <c r="F839" s="168"/>
      <c r="G839" s="167"/>
      <c r="H839" s="167"/>
      <c r="J839" s="168"/>
      <c r="K839" s="168"/>
      <c r="M839" s="168"/>
      <c r="N839" s="168"/>
      <c r="O839" s="168"/>
      <c r="P839" s="168"/>
      <c r="Q839" s="168"/>
      <c r="R839" s="168"/>
      <c r="S839" s="168"/>
      <c r="T839" s="168"/>
      <c r="U839" s="168"/>
    </row>
    <row r="840" spans="2:21">
      <c r="B840" s="168"/>
      <c r="C840" s="601"/>
      <c r="D840" s="168"/>
      <c r="E840" s="168"/>
      <c r="F840" s="168"/>
      <c r="G840" s="167"/>
      <c r="H840" s="167"/>
      <c r="J840" s="168"/>
      <c r="K840" s="168"/>
      <c r="M840" s="168"/>
      <c r="N840" s="168"/>
      <c r="O840" s="168"/>
      <c r="P840" s="168"/>
      <c r="Q840" s="168"/>
      <c r="R840" s="168"/>
      <c r="S840" s="168"/>
      <c r="T840" s="168"/>
      <c r="U840" s="168"/>
    </row>
    <row r="841" spans="2:21">
      <c r="B841" s="168"/>
      <c r="C841" s="601"/>
      <c r="D841" s="168"/>
      <c r="E841" s="168"/>
      <c r="F841" s="168"/>
      <c r="G841" s="167"/>
      <c r="H841" s="167"/>
      <c r="J841" s="168"/>
      <c r="K841" s="168"/>
      <c r="M841" s="168"/>
      <c r="N841" s="168"/>
      <c r="O841" s="168"/>
      <c r="P841" s="168"/>
      <c r="Q841" s="168"/>
      <c r="R841" s="168"/>
      <c r="S841" s="168"/>
      <c r="T841" s="168"/>
      <c r="U841" s="168"/>
    </row>
    <row r="842" spans="2:21">
      <c r="B842" s="168"/>
      <c r="C842" s="601"/>
      <c r="D842" s="168"/>
      <c r="E842" s="168"/>
      <c r="F842" s="168"/>
      <c r="G842" s="167"/>
      <c r="H842" s="167"/>
      <c r="J842" s="168"/>
      <c r="K842" s="168"/>
      <c r="M842" s="168"/>
      <c r="N842" s="168"/>
      <c r="O842" s="168"/>
      <c r="P842" s="168"/>
      <c r="Q842" s="168"/>
      <c r="R842" s="168"/>
      <c r="S842" s="168"/>
      <c r="T842" s="168"/>
      <c r="U842" s="168"/>
    </row>
    <row r="843" spans="2:21">
      <c r="B843" s="168"/>
      <c r="C843" s="601"/>
      <c r="D843" s="168"/>
      <c r="E843" s="168"/>
      <c r="F843" s="168"/>
      <c r="G843" s="167"/>
      <c r="H843" s="167"/>
      <c r="J843" s="168"/>
      <c r="K843" s="168"/>
      <c r="M843" s="168"/>
      <c r="N843" s="168"/>
      <c r="O843" s="168"/>
      <c r="P843" s="168"/>
      <c r="Q843" s="168"/>
      <c r="R843" s="168"/>
      <c r="S843" s="168"/>
      <c r="T843" s="168"/>
      <c r="U843" s="168"/>
    </row>
    <row r="844" spans="2:21">
      <c r="B844" s="168"/>
      <c r="C844" s="601"/>
      <c r="D844" s="168"/>
      <c r="E844" s="168"/>
      <c r="F844" s="168"/>
      <c r="G844" s="167"/>
      <c r="H844" s="167"/>
      <c r="J844" s="168"/>
      <c r="K844" s="168"/>
      <c r="M844" s="168"/>
      <c r="N844" s="168"/>
      <c r="O844" s="168"/>
      <c r="P844" s="168"/>
      <c r="Q844" s="168"/>
      <c r="R844" s="168"/>
      <c r="S844" s="168"/>
      <c r="T844" s="168"/>
      <c r="U844" s="168"/>
    </row>
    <row r="845" spans="2:21">
      <c r="B845" s="168"/>
      <c r="C845" s="601"/>
      <c r="D845" s="168"/>
      <c r="E845" s="168"/>
      <c r="F845" s="168"/>
      <c r="G845" s="167"/>
      <c r="H845" s="167"/>
      <c r="J845" s="168"/>
      <c r="K845" s="168"/>
      <c r="M845" s="168"/>
      <c r="N845" s="168"/>
      <c r="O845" s="168"/>
      <c r="P845" s="168"/>
      <c r="Q845" s="168"/>
      <c r="R845" s="168"/>
      <c r="S845" s="168"/>
      <c r="T845" s="168"/>
      <c r="U845" s="168"/>
    </row>
    <row r="846" spans="2:21">
      <c r="B846" s="168"/>
      <c r="C846" s="601"/>
      <c r="D846" s="168"/>
      <c r="E846" s="168"/>
      <c r="F846" s="168"/>
      <c r="G846" s="167"/>
      <c r="H846" s="167"/>
      <c r="J846" s="168"/>
      <c r="K846" s="168"/>
      <c r="M846" s="168"/>
      <c r="N846" s="168"/>
      <c r="O846" s="168"/>
      <c r="P846" s="168"/>
      <c r="Q846" s="168"/>
      <c r="R846" s="168"/>
      <c r="S846" s="168"/>
      <c r="T846" s="168"/>
      <c r="U846" s="168"/>
    </row>
    <row r="847" spans="2:21">
      <c r="B847" s="168"/>
      <c r="C847" s="601"/>
      <c r="D847" s="168"/>
      <c r="E847" s="168"/>
      <c r="F847" s="168"/>
      <c r="G847" s="167"/>
      <c r="H847" s="167"/>
      <c r="J847" s="168"/>
      <c r="K847" s="168"/>
      <c r="M847" s="168"/>
      <c r="N847" s="168"/>
      <c r="O847" s="168"/>
      <c r="P847" s="168"/>
      <c r="Q847" s="168"/>
      <c r="R847" s="168"/>
      <c r="S847" s="168"/>
      <c r="T847" s="168"/>
      <c r="U847" s="168"/>
    </row>
    <row r="848" spans="2:21">
      <c r="B848" s="168"/>
      <c r="C848" s="601"/>
      <c r="D848" s="168"/>
      <c r="E848" s="168"/>
      <c r="F848" s="168"/>
      <c r="G848" s="167"/>
      <c r="H848" s="167"/>
      <c r="J848" s="168"/>
      <c r="K848" s="168"/>
      <c r="M848" s="168"/>
      <c r="N848" s="168"/>
      <c r="O848" s="168"/>
      <c r="P848" s="168"/>
      <c r="Q848" s="168"/>
      <c r="R848" s="168"/>
      <c r="S848" s="168"/>
      <c r="T848" s="168"/>
      <c r="U848" s="168"/>
    </row>
    <row r="849" spans="2:21">
      <c r="B849" s="168"/>
      <c r="C849" s="601"/>
      <c r="D849" s="168"/>
      <c r="E849" s="168"/>
      <c r="F849" s="168"/>
      <c r="G849" s="167"/>
      <c r="H849" s="167"/>
      <c r="J849" s="168"/>
      <c r="K849" s="168"/>
      <c r="M849" s="168"/>
      <c r="N849" s="168"/>
      <c r="O849" s="168"/>
      <c r="P849" s="168"/>
      <c r="Q849" s="168"/>
      <c r="R849" s="168"/>
      <c r="S849" s="168"/>
      <c r="T849" s="168"/>
      <c r="U849" s="168"/>
    </row>
    <row r="850" spans="2:21">
      <c r="B850" s="168"/>
      <c r="C850" s="601"/>
      <c r="D850" s="168"/>
      <c r="E850" s="168"/>
      <c r="F850" s="168"/>
      <c r="G850" s="167"/>
      <c r="H850" s="167"/>
      <c r="J850" s="168"/>
      <c r="K850" s="168"/>
      <c r="M850" s="168"/>
      <c r="N850" s="168"/>
      <c r="O850" s="168"/>
      <c r="P850" s="168"/>
      <c r="Q850" s="168"/>
      <c r="R850" s="168"/>
      <c r="S850" s="168"/>
      <c r="T850" s="168"/>
      <c r="U850" s="168"/>
    </row>
    <row r="851" spans="2:21">
      <c r="B851" s="168"/>
      <c r="C851" s="601"/>
      <c r="D851" s="168"/>
      <c r="E851" s="168"/>
      <c r="F851" s="168"/>
      <c r="G851" s="167"/>
      <c r="H851" s="167"/>
      <c r="J851" s="168"/>
      <c r="K851" s="168"/>
      <c r="M851" s="168"/>
      <c r="N851" s="168"/>
      <c r="O851" s="168"/>
      <c r="P851" s="168"/>
      <c r="Q851" s="168"/>
      <c r="R851" s="168"/>
      <c r="S851" s="168"/>
      <c r="T851" s="168"/>
      <c r="U851" s="168"/>
    </row>
    <row r="852" spans="2:21">
      <c r="B852" s="168"/>
      <c r="C852" s="601"/>
      <c r="D852" s="168"/>
      <c r="E852" s="168"/>
      <c r="F852" s="168"/>
      <c r="G852" s="167"/>
      <c r="H852" s="167"/>
      <c r="J852" s="168"/>
      <c r="K852" s="168"/>
      <c r="M852" s="168"/>
      <c r="N852" s="168"/>
      <c r="O852" s="168"/>
      <c r="P852" s="168"/>
      <c r="Q852" s="168"/>
      <c r="R852" s="168"/>
      <c r="S852" s="168"/>
      <c r="T852" s="168"/>
      <c r="U852" s="168"/>
    </row>
    <row r="853" spans="2:21">
      <c r="B853" s="168"/>
      <c r="C853" s="601"/>
      <c r="D853" s="168"/>
      <c r="E853" s="168"/>
      <c r="F853" s="168"/>
      <c r="G853" s="167"/>
      <c r="H853" s="167"/>
      <c r="J853" s="168"/>
      <c r="K853" s="168"/>
      <c r="M853" s="168"/>
      <c r="N853" s="168"/>
      <c r="O853" s="168"/>
      <c r="P853" s="168"/>
      <c r="Q853" s="168"/>
      <c r="R853" s="168"/>
      <c r="S853" s="168"/>
      <c r="T853" s="168"/>
      <c r="U853" s="168"/>
    </row>
    <row r="854" spans="2:21">
      <c r="B854" s="168"/>
      <c r="C854" s="601"/>
      <c r="D854" s="168"/>
      <c r="E854" s="168"/>
      <c r="F854" s="168"/>
      <c r="G854" s="167"/>
      <c r="H854" s="167"/>
      <c r="J854" s="168"/>
      <c r="K854" s="168"/>
      <c r="M854" s="168"/>
      <c r="N854" s="168"/>
      <c r="O854" s="168"/>
      <c r="P854" s="168"/>
      <c r="Q854" s="168"/>
      <c r="R854" s="168"/>
      <c r="S854" s="168"/>
      <c r="T854" s="168"/>
      <c r="U854" s="168"/>
    </row>
    <row r="855" spans="2:21">
      <c r="B855" s="168"/>
      <c r="C855" s="601"/>
      <c r="D855" s="168"/>
      <c r="E855" s="168"/>
      <c r="F855" s="168"/>
      <c r="G855" s="167"/>
      <c r="H855" s="167"/>
      <c r="J855" s="168"/>
      <c r="K855" s="168"/>
      <c r="M855" s="168"/>
      <c r="N855" s="168"/>
      <c r="O855" s="168"/>
      <c r="P855" s="168"/>
      <c r="Q855" s="168"/>
      <c r="R855" s="168"/>
      <c r="S855" s="168"/>
      <c r="T855" s="168"/>
      <c r="U855" s="168"/>
    </row>
    <row r="856" spans="2:21">
      <c r="B856" s="168"/>
      <c r="C856" s="601"/>
      <c r="D856" s="168"/>
      <c r="E856" s="168"/>
      <c r="F856" s="168"/>
      <c r="G856" s="167"/>
      <c r="H856" s="167"/>
      <c r="J856" s="168"/>
      <c r="K856" s="168"/>
      <c r="M856" s="168"/>
      <c r="N856" s="168"/>
      <c r="O856" s="168"/>
      <c r="P856" s="168"/>
      <c r="Q856" s="168"/>
      <c r="R856" s="168"/>
      <c r="S856" s="168"/>
      <c r="T856" s="168"/>
      <c r="U856" s="168"/>
    </row>
    <row r="857" spans="2:21">
      <c r="B857" s="168"/>
      <c r="C857" s="601"/>
      <c r="D857" s="168"/>
      <c r="E857" s="168"/>
      <c r="F857" s="168"/>
      <c r="G857" s="167"/>
      <c r="H857" s="167"/>
      <c r="J857" s="168"/>
      <c r="K857" s="168"/>
      <c r="M857" s="168"/>
      <c r="N857" s="168"/>
      <c r="O857" s="168"/>
      <c r="P857" s="168"/>
      <c r="Q857" s="168"/>
      <c r="R857" s="168"/>
      <c r="S857" s="168"/>
      <c r="T857" s="168"/>
      <c r="U857" s="168"/>
    </row>
    <row r="858" spans="2:21">
      <c r="B858" s="168"/>
      <c r="C858" s="601"/>
      <c r="D858" s="168"/>
      <c r="E858" s="168"/>
      <c r="F858" s="168"/>
      <c r="G858" s="167"/>
      <c r="H858" s="167"/>
      <c r="J858" s="168"/>
      <c r="K858" s="168"/>
      <c r="M858" s="168"/>
      <c r="N858" s="168"/>
      <c r="O858" s="168"/>
      <c r="P858" s="168"/>
      <c r="Q858" s="168"/>
      <c r="R858" s="168"/>
      <c r="S858" s="168"/>
      <c r="T858" s="168"/>
      <c r="U858" s="168"/>
    </row>
    <row r="859" spans="2:21">
      <c r="B859" s="168"/>
      <c r="C859" s="601"/>
      <c r="D859" s="168"/>
      <c r="E859" s="168"/>
      <c r="F859" s="168"/>
      <c r="G859" s="167"/>
      <c r="H859" s="167"/>
      <c r="J859" s="168"/>
      <c r="K859" s="168"/>
      <c r="M859" s="168"/>
      <c r="N859" s="168"/>
      <c r="O859" s="168"/>
      <c r="P859" s="168"/>
      <c r="Q859" s="168"/>
      <c r="R859" s="168"/>
      <c r="S859" s="168"/>
      <c r="T859" s="168"/>
      <c r="U859" s="168"/>
    </row>
    <row r="860" spans="2:21">
      <c r="B860" s="168"/>
      <c r="C860" s="601"/>
      <c r="D860" s="168"/>
      <c r="E860" s="168"/>
      <c r="F860" s="168"/>
      <c r="G860" s="167"/>
      <c r="H860" s="167"/>
      <c r="J860" s="168"/>
      <c r="K860" s="168"/>
      <c r="M860" s="168"/>
      <c r="N860" s="168"/>
      <c r="O860" s="168"/>
      <c r="P860" s="168"/>
      <c r="Q860" s="168"/>
      <c r="R860" s="168"/>
      <c r="S860" s="168"/>
      <c r="T860" s="168"/>
      <c r="U860" s="168"/>
    </row>
    <row r="861" spans="2:21">
      <c r="B861" s="168"/>
      <c r="C861" s="601"/>
      <c r="D861" s="168"/>
      <c r="E861" s="168"/>
      <c r="F861" s="168"/>
      <c r="G861" s="167"/>
      <c r="H861" s="167"/>
      <c r="J861" s="168"/>
      <c r="K861" s="168"/>
      <c r="M861" s="168"/>
      <c r="N861" s="168"/>
      <c r="O861" s="168"/>
      <c r="P861" s="168"/>
      <c r="Q861" s="168"/>
      <c r="R861" s="168"/>
      <c r="S861" s="168"/>
      <c r="T861" s="168"/>
      <c r="U861" s="168"/>
    </row>
    <row r="862" spans="2:21">
      <c r="B862" s="168"/>
      <c r="C862" s="601"/>
      <c r="D862" s="168"/>
      <c r="E862" s="168"/>
      <c r="F862" s="168"/>
      <c r="G862" s="167"/>
      <c r="H862" s="167"/>
      <c r="J862" s="168"/>
      <c r="K862" s="168"/>
      <c r="M862" s="168"/>
      <c r="N862" s="168"/>
      <c r="O862" s="168"/>
      <c r="P862" s="168"/>
      <c r="Q862" s="168"/>
      <c r="R862" s="168"/>
      <c r="S862" s="168"/>
      <c r="T862" s="168"/>
      <c r="U862" s="168"/>
    </row>
    <row r="863" spans="2:21">
      <c r="B863" s="168"/>
      <c r="C863" s="601"/>
      <c r="D863" s="168"/>
      <c r="E863" s="168"/>
      <c r="F863" s="168"/>
      <c r="G863" s="167"/>
      <c r="H863" s="167"/>
      <c r="J863" s="168"/>
      <c r="K863" s="168"/>
      <c r="M863" s="168"/>
      <c r="N863" s="168"/>
      <c r="O863" s="168"/>
      <c r="P863" s="168"/>
      <c r="Q863" s="168"/>
      <c r="R863" s="168"/>
      <c r="S863" s="168"/>
      <c r="T863" s="168"/>
      <c r="U863" s="168"/>
    </row>
    <row r="864" spans="2:21">
      <c r="B864" s="168"/>
      <c r="C864" s="601"/>
      <c r="D864" s="168"/>
      <c r="E864" s="168"/>
      <c r="F864" s="168"/>
      <c r="G864" s="167"/>
      <c r="H864" s="167"/>
      <c r="J864" s="168"/>
      <c r="K864" s="168"/>
      <c r="M864" s="168"/>
      <c r="N864" s="168"/>
      <c r="O864" s="168"/>
      <c r="P864" s="168"/>
      <c r="Q864" s="168"/>
      <c r="R864" s="168"/>
      <c r="S864" s="168"/>
      <c r="T864" s="168"/>
      <c r="U864" s="168"/>
    </row>
    <row r="865" spans="2:21">
      <c r="B865" s="168"/>
      <c r="C865" s="601"/>
      <c r="D865" s="168"/>
      <c r="E865" s="168"/>
      <c r="F865" s="168"/>
      <c r="G865" s="167"/>
      <c r="H865" s="167"/>
      <c r="J865" s="168"/>
      <c r="K865" s="168"/>
      <c r="M865" s="168"/>
      <c r="N865" s="168"/>
      <c r="O865" s="168"/>
      <c r="P865" s="168"/>
      <c r="Q865" s="168"/>
      <c r="R865" s="168"/>
      <c r="S865" s="168"/>
      <c r="T865" s="168"/>
      <c r="U865" s="168"/>
    </row>
    <row r="866" spans="2:21">
      <c r="B866" s="168"/>
      <c r="C866" s="601"/>
      <c r="D866" s="168"/>
      <c r="E866" s="168"/>
      <c r="F866" s="168"/>
      <c r="G866" s="167"/>
      <c r="H866" s="167"/>
      <c r="J866" s="168"/>
      <c r="K866" s="168"/>
      <c r="M866" s="168"/>
      <c r="N866" s="168"/>
      <c r="O866" s="168"/>
      <c r="P866" s="168"/>
      <c r="Q866" s="168"/>
      <c r="R866" s="168"/>
      <c r="S866" s="168"/>
      <c r="T866" s="168"/>
      <c r="U866" s="168"/>
    </row>
    <row r="867" spans="2:21">
      <c r="B867" s="168"/>
      <c r="C867" s="601"/>
      <c r="D867" s="168"/>
      <c r="E867" s="168"/>
      <c r="F867" s="168"/>
      <c r="G867" s="167"/>
      <c r="H867" s="167"/>
      <c r="J867" s="168"/>
      <c r="K867" s="168"/>
      <c r="M867" s="168"/>
      <c r="N867" s="168"/>
      <c r="O867" s="168"/>
      <c r="P867" s="168"/>
      <c r="Q867" s="168"/>
      <c r="R867" s="168"/>
      <c r="S867" s="168"/>
      <c r="T867" s="168"/>
      <c r="U867" s="168"/>
    </row>
    <row r="868" spans="2:21">
      <c r="B868" s="168"/>
      <c r="C868" s="601"/>
      <c r="D868" s="168"/>
      <c r="E868" s="168"/>
      <c r="F868" s="168"/>
      <c r="G868" s="167"/>
      <c r="H868" s="167"/>
      <c r="J868" s="168"/>
      <c r="K868" s="168"/>
      <c r="M868" s="168"/>
      <c r="N868" s="168"/>
      <c r="O868" s="168"/>
      <c r="P868" s="168"/>
      <c r="Q868" s="168"/>
      <c r="R868" s="168"/>
      <c r="S868" s="168"/>
      <c r="T868" s="168"/>
      <c r="U868" s="168"/>
    </row>
    <row r="869" spans="2:21">
      <c r="B869" s="168"/>
      <c r="C869" s="601"/>
      <c r="D869" s="168"/>
      <c r="E869" s="168"/>
      <c r="F869" s="168"/>
      <c r="G869" s="167"/>
      <c r="H869" s="167"/>
      <c r="J869" s="168"/>
      <c r="K869" s="168"/>
      <c r="M869" s="168"/>
      <c r="N869" s="168"/>
      <c r="O869" s="168"/>
      <c r="P869" s="168"/>
      <c r="Q869" s="168"/>
      <c r="R869" s="168"/>
      <c r="S869" s="168"/>
      <c r="T869" s="168"/>
      <c r="U869" s="168"/>
    </row>
    <row r="870" spans="2:21">
      <c r="B870" s="168"/>
      <c r="C870" s="601"/>
      <c r="D870" s="168"/>
      <c r="E870" s="168"/>
      <c r="F870" s="168"/>
      <c r="G870" s="167"/>
      <c r="H870" s="167"/>
      <c r="J870" s="168"/>
      <c r="K870" s="168"/>
      <c r="M870" s="168"/>
      <c r="N870" s="168"/>
      <c r="O870" s="168"/>
      <c r="P870" s="168"/>
      <c r="Q870" s="168"/>
      <c r="R870" s="168"/>
      <c r="S870" s="168"/>
      <c r="T870" s="168"/>
      <c r="U870" s="168"/>
    </row>
    <row r="871" spans="2:21">
      <c r="B871" s="168"/>
      <c r="C871" s="601"/>
      <c r="D871" s="168"/>
      <c r="E871" s="168"/>
      <c r="F871" s="168"/>
      <c r="G871" s="167"/>
      <c r="H871" s="167"/>
      <c r="J871" s="168"/>
      <c r="K871" s="168"/>
      <c r="M871" s="168"/>
      <c r="N871" s="168"/>
      <c r="O871" s="168"/>
      <c r="P871" s="168"/>
      <c r="Q871" s="168"/>
      <c r="R871" s="168"/>
      <c r="S871" s="168"/>
      <c r="T871" s="168"/>
      <c r="U871" s="168"/>
    </row>
    <row r="872" spans="2:21">
      <c r="B872" s="168"/>
      <c r="C872" s="601"/>
      <c r="D872" s="168"/>
      <c r="E872" s="168"/>
      <c r="F872" s="168"/>
      <c r="G872" s="167"/>
      <c r="H872" s="167"/>
      <c r="J872" s="168"/>
      <c r="K872" s="168"/>
      <c r="M872" s="168"/>
      <c r="N872" s="168"/>
      <c r="O872" s="168"/>
      <c r="P872" s="168"/>
      <c r="Q872" s="168"/>
      <c r="R872" s="168"/>
      <c r="S872" s="168"/>
      <c r="T872" s="168"/>
      <c r="U872" s="168"/>
    </row>
    <row r="873" spans="2:21">
      <c r="B873" s="168"/>
      <c r="C873" s="601"/>
      <c r="D873" s="168"/>
      <c r="E873" s="168"/>
      <c r="F873" s="168"/>
      <c r="G873" s="167"/>
      <c r="H873" s="167"/>
      <c r="J873" s="168"/>
      <c r="K873" s="168"/>
      <c r="M873" s="168"/>
      <c r="N873" s="168"/>
      <c r="O873" s="168"/>
      <c r="P873" s="168"/>
      <c r="Q873" s="168"/>
      <c r="R873" s="168"/>
      <c r="S873" s="168"/>
      <c r="T873" s="168"/>
      <c r="U873" s="168"/>
    </row>
    <row r="874" spans="2:21">
      <c r="B874" s="168"/>
      <c r="C874" s="601"/>
      <c r="D874" s="168"/>
      <c r="E874" s="168"/>
      <c r="F874" s="168"/>
      <c r="G874" s="167"/>
      <c r="H874" s="167"/>
      <c r="J874" s="168"/>
      <c r="K874" s="168"/>
      <c r="M874" s="168"/>
      <c r="N874" s="168"/>
      <c r="O874" s="168"/>
      <c r="P874" s="168"/>
      <c r="Q874" s="168"/>
      <c r="R874" s="168"/>
      <c r="S874" s="168"/>
      <c r="T874" s="168"/>
      <c r="U874" s="168"/>
    </row>
    <row r="875" spans="2:21">
      <c r="B875" s="168"/>
      <c r="C875" s="601"/>
      <c r="D875" s="168"/>
      <c r="E875" s="168"/>
      <c r="F875" s="168"/>
      <c r="G875" s="167"/>
      <c r="H875" s="167"/>
      <c r="J875" s="168"/>
      <c r="K875" s="168"/>
      <c r="M875" s="168"/>
      <c r="N875" s="168"/>
      <c r="O875" s="168"/>
      <c r="P875" s="168"/>
      <c r="Q875" s="168"/>
      <c r="R875" s="168"/>
      <c r="S875" s="168"/>
      <c r="T875" s="168"/>
      <c r="U875" s="168"/>
    </row>
    <row r="876" spans="2:21">
      <c r="B876" s="168"/>
      <c r="C876" s="601"/>
      <c r="D876" s="168"/>
      <c r="E876" s="168"/>
      <c r="F876" s="168"/>
      <c r="G876" s="167"/>
      <c r="H876" s="167"/>
      <c r="J876" s="168"/>
      <c r="K876" s="168"/>
      <c r="M876" s="168"/>
      <c r="N876" s="168"/>
      <c r="O876" s="168"/>
      <c r="P876" s="168"/>
      <c r="Q876" s="168"/>
      <c r="R876" s="168"/>
      <c r="S876" s="168"/>
      <c r="T876" s="168"/>
      <c r="U876" s="168"/>
    </row>
    <row r="877" spans="2:21">
      <c r="B877" s="168"/>
      <c r="C877" s="601"/>
      <c r="D877" s="168"/>
      <c r="E877" s="168"/>
      <c r="F877" s="168"/>
      <c r="G877" s="167"/>
      <c r="H877" s="167"/>
      <c r="J877" s="168"/>
      <c r="K877" s="168"/>
      <c r="M877" s="168"/>
      <c r="N877" s="168"/>
      <c r="O877" s="168"/>
      <c r="P877" s="168"/>
      <c r="Q877" s="168"/>
      <c r="R877" s="168"/>
      <c r="S877" s="168"/>
      <c r="T877" s="168"/>
      <c r="U877" s="168"/>
    </row>
    <row r="878" spans="2:21">
      <c r="B878" s="168"/>
      <c r="C878" s="601"/>
      <c r="D878" s="168"/>
      <c r="E878" s="168"/>
      <c r="F878" s="168"/>
      <c r="G878" s="167"/>
      <c r="H878" s="167"/>
      <c r="J878" s="168"/>
      <c r="K878" s="168"/>
      <c r="M878" s="168"/>
      <c r="N878" s="168"/>
      <c r="O878" s="168"/>
      <c r="P878" s="168"/>
      <c r="Q878" s="168"/>
      <c r="R878" s="168"/>
      <c r="S878" s="168"/>
      <c r="T878" s="168"/>
      <c r="U878" s="168"/>
    </row>
    <row r="879" spans="2:21">
      <c r="B879" s="168"/>
      <c r="C879" s="601"/>
      <c r="D879" s="168"/>
      <c r="E879" s="168"/>
      <c r="F879" s="168"/>
      <c r="G879" s="167"/>
      <c r="H879" s="167"/>
      <c r="J879" s="168"/>
      <c r="K879" s="168"/>
      <c r="M879" s="168"/>
      <c r="N879" s="168"/>
      <c r="O879" s="168"/>
      <c r="P879" s="168"/>
      <c r="Q879" s="168"/>
      <c r="R879" s="168"/>
      <c r="S879" s="168"/>
      <c r="T879" s="168"/>
      <c r="U879" s="168"/>
    </row>
    <row r="880" spans="2:21">
      <c r="B880" s="168"/>
      <c r="C880" s="601"/>
      <c r="D880" s="168"/>
      <c r="E880" s="168"/>
      <c r="F880" s="168"/>
      <c r="G880" s="167"/>
      <c r="H880" s="167"/>
      <c r="J880" s="168"/>
      <c r="K880" s="168"/>
      <c r="M880" s="168"/>
      <c r="N880" s="168"/>
      <c r="O880" s="168"/>
      <c r="P880" s="168"/>
      <c r="Q880" s="168"/>
      <c r="R880" s="168"/>
      <c r="S880" s="168"/>
      <c r="T880" s="168"/>
      <c r="U880" s="168"/>
    </row>
    <row r="881" spans="2:21">
      <c r="B881" s="168"/>
      <c r="C881" s="601"/>
      <c r="D881" s="168"/>
      <c r="E881" s="168"/>
      <c r="F881" s="168"/>
      <c r="G881" s="167"/>
      <c r="H881" s="167"/>
      <c r="J881" s="168"/>
      <c r="K881" s="168"/>
      <c r="M881" s="168"/>
      <c r="N881" s="168"/>
      <c r="O881" s="168"/>
      <c r="P881" s="168"/>
      <c r="Q881" s="168"/>
      <c r="R881" s="168"/>
      <c r="S881" s="168"/>
      <c r="T881" s="168"/>
      <c r="U881" s="168"/>
    </row>
    <row r="882" spans="2:21">
      <c r="B882" s="168"/>
      <c r="C882" s="601"/>
      <c r="D882" s="168"/>
      <c r="E882" s="168"/>
      <c r="F882" s="168"/>
      <c r="G882" s="167"/>
      <c r="H882" s="167"/>
      <c r="J882" s="168"/>
      <c r="K882" s="168"/>
      <c r="M882" s="168"/>
      <c r="N882" s="168"/>
      <c r="O882" s="168"/>
      <c r="P882" s="168"/>
      <c r="Q882" s="168"/>
      <c r="R882" s="168"/>
      <c r="S882" s="168"/>
      <c r="T882" s="168"/>
      <c r="U882" s="168"/>
    </row>
    <row r="883" spans="2:21">
      <c r="B883" s="168"/>
      <c r="C883" s="601"/>
      <c r="D883" s="168"/>
      <c r="E883" s="168"/>
      <c r="F883" s="168"/>
      <c r="G883" s="167"/>
      <c r="H883" s="167"/>
      <c r="J883" s="168"/>
      <c r="K883" s="168"/>
      <c r="M883" s="168"/>
      <c r="N883" s="168"/>
      <c r="O883" s="168"/>
      <c r="P883" s="168"/>
      <c r="Q883" s="168"/>
      <c r="R883" s="168"/>
      <c r="S883" s="168"/>
      <c r="T883" s="168"/>
      <c r="U883" s="168"/>
    </row>
    <row r="884" spans="2:21">
      <c r="B884" s="168"/>
      <c r="C884" s="601"/>
      <c r="D884" s="168"/>
      <c r="E884" s="168"/>
      <c r="F884" s="168"/>
      <c r="G884" s="167"/>
      <c r="H884" s="167"/>
      <c r="J884" s="168"/>
      <c r="K884" s="168"/>
      <c r="M884" s="168"/>
      <c r="N884" s="168"/>
      <c r="O884" s="168"/>
      <c r="P884" s="168"/>
      <c r="Q884" s="168"/>
      <c r="R884" s="168"/>
      <c r="S884" s="168"/>
      <c r="T884" s="168"/>
      <c r="U884" s="168"/>
    </row>
    <row r="885" spans="2:21">
      <c r="B885" s="168"/>
      <c r="C885" s="601"/>
      <c r="D885" s="168"/>
      <c r="E885" s="168"/>
      <c r="F885" s="168"/>
      <c r="G885" s="167"/>
      <c r="H885" s="167"/>
      <c r="J885" s="168"/>
      <c r="K885" s="168"/>
      <c r="M885" s="168"/>
      <c r="N885" s="168"/>
      <c r="O885" s="168"/>
      <c r="P885" s="168"/>
      <c r="Q885" s="168"/>
      <c r="R885" s="168"/>
      <c r="S885" s="168"/>
      <c r="T885" s="168"/>
      <c r="U885" s="168"/>
    </row>
    <row r="886" spans="2:21">
      <c r="B886" s="168"/>
      <c r="C886" s="601"/>
      <c r="D886" s="168"/>
      <c r="E886" s="168"/>
      <c r="F886" s="168"/>
      <c r="G886" s="167"/>
      <c r="H886" s="167"/>
      <c r="J886" s="168"/>
      <c r="K886" s="168"/>
      <c r="M886" s="168"/>
      <c r="N886" s="168"/>
      <c r="O886" s="168"/>
      <c r="P886" s="168"/>
      <c r="Q886" s="168"/>
      <c r="R886" s="168"/>
      <c r="S886" s="168"/>
      <c r="T886" s="168"/>
      <c r="U886" s="168"/>
    </row>
    <row r="887" spans="2:21">
      <c r="B887" s="168"/>
      <c r="C887" s="601"/>
      <c r="D887" s="168"/>
      <c r="E887" s="168"/>
      <c r="F887" s="168"/>
      <c r="G887" s="167"/>
      <c r="H887" s="167"/>
      <c r="J887" s="168"/>
      <c r="K887" s="168"/>
      <c r="M887" s="168"/>
      <c r="N887" s="168"/>
      <c r="O887" s="168"/>
      <c r="P887" s="168"/>
      <c r="Q887" s="168"/>
      <c r="R887" s="168"/>
      <c r="S887" s="168"/>
      <c r="T887" s="168"/>
      <c r="U887" s="168"/>
    </row>
    <row r="888" spans="2:21">
      <c r="B888" s="168"/>
      <c r="C888" s="601"/>
      <c r="D888" s="168"/>
      <c r="E888" s="168"/>
      <c r="F888" s="168"/>
      <c r="G888" s="167"/>
      <c r="H888" s="167"/>
      <c r="J888" s="168"/>
      <c r="K888" s="168"/>
      <c r="M888" s="168"/>
      <c r="N888" s="168"/>
      <c r="O888" s="168"/>
      <c r="P888" s="168"/>
      <c r="Q888" s="168"/>
      <c r="R888" s="168"/>
      <c r="S888" s="168"/>
      <c r="T888" s="168"/>
      <c r="U888" s="168"/>
    </row>
    <row r="889" spans="2:21">
      <c r="B889" s="168"/>
      <c r="C889" s="601"/>
      <c r="D889" s="168"/>
      <c r="E889" s="168"/>
      <c r="F889" s="168"/>
      <c r="G889" s="167"/>
      <c r="H889" s="167"/>
      <c r="J889" s="168"/>
      <c r="K889" s="168"/>
      <c r="M889" s="168"/>
      <c r="N889" s="168"/>
      <c r="O889" s="168"/>
      <c r="P889" s="168"/>
      <c r="Q889" s="168"/>
      <c r="R889" s="168"/>
      <c r="S889" s="168"/>
      <c r="T889" s="168"/>
      <c r="U889" s="168"/>
    </row>
    <row r="890" spans="2:21">
      <c r="B890" s="168"/>
      <c r="C890" s="601"/>
      <c r="D890" s="168"/>
      <c r="E890" s="168"/>
      <c r="F890" s="168"/>
      <c r="G890" s="167"/>
      <c r="H890" s="167"/>
      <c r="J890" s="168"/>
      <c r="K890" s="168"/>
      <c r="M890" s="168"/>
      <c r="N890" s="168"/>
      <c r="O890" s="168"/>
      <c r="P890" s="168"/>
      <c r="Q890" s="168"/>
      <c r="R890" s="168"/>
      <c r="S890" s="168"/>
      <c r="T890" s="168"/>
      <c r="U890" s="168"/>
    </row>
    <row r="891" spans="2:21">
      <c r="B891" s="168"/>
      <c r="C891" s="601"/>
      <c r="D891" s="168"/>
      <c r="E891" s="168"/>
      <c r="F891" s="168"/>
      <c r="G891" s="167"/>
      <c r="H891" s="167"/>
      <c r="J891" s="168"/>
      <c r="K891" s="168"/>
      <c r="M891" s="168"/>
      <c r="N891" s="168"/>
      <c r="O891" s="168"/>
      <c r="P891" s="168"/>
      <c r="Q891" s="168"/>
      <c r="R891" s="168"/>
      <c r="S891" s="168"/>
      <c r="T891" s="168"/>
      <c r="U891" s="168"/>
    </row>
    <row r="892" spans="2:21">
      <c r="B892" s="168"/>
      <c r="C892" s="601"/>
      <c r="D892" s="168"/>
      <c r="E892" s="168"/>
      <c r="F892" s="168"/>
      <c r="G892" s="167"/>
      <c r="H892" s="167"/>
      <c r="J892" s="168"/>
      <c r="K892" s="168"/>
      <c r="M892" s="168"/>
      <c r="N892" s="168"/>
      <c r="O892" s="168"/>
      <c r="P892" s="168"/>
      <c r="Q892" s="168"/>
      <c r="R892" s="168"/>
      <c r="S892" s="168"/>
      <c r="T892" s="168"/>
      <c r="U892" s="168"/>
    </row>
    <row r="893" spans="2:21">
      <c r="B893" s="168"/>
      <c r="C893" s="601"/>
      <c r="D893" s="168"/>
      <c r="E893" s="168"/>
      <c r="F893" s="168"/>
      <c r="G893" s="167"/>
      <c r="H893" s="167"/>
      <c r="J893" s="168"/>
      <c r="K893" s="168"/>
      <c r="M893" s="168"/>
      <c r="N893" s="168"/>
      <c r="O893" s="168"/>
      <c r="P893" s="168"/>
      <c r="Q893" s="168"/>
      <c r="R893" s="168"/>
      <c r="S893" s="168"/>
      <c r="T893" s="168"/>
      <c r="U893" s="168"/>
    </row>
    <row r="894" spans="2:21">
      <c r="B894" s="168"/>
      <c r="C894" s="601"/>
      <c r="D894" s="168"/>
      <c r="E894" s="168"/>
      <c r="F894" s="168"/>
      <c r="G894" s="167"/>
      <c r="H894" s="167"/>
      <c r="J894" s="168"/>
      <c r="K894" s="168"/>
      <c r="M894" s="168"/>
      <c r="N894" s="168"/>
      <c r="O894" s="168"/>
      <c r="P894" s="168"/>
      <c r="Q894" s="168"/>
      <c r="R894" s="168"/>
      <c r="S894" s="168"/>
      <c r="T894" s="168"/>
      <c r="U894" s="168"/>
    </row>
    <row r="895" spans="2:21">
      <c r="B895" s="168"/>
      <c r="C895" s="601"/>
      <c r="D895" s="168"/>
      <c r="E895" s="168"/>
      <c r="F895" s="168"/>
      <c r="G895" s="167"/>
      <c r="H895" s="167"/>
      <c r="J895" s="168"/>
      <c r="K895" s="168"/>
      <c r="M895" s="168"/>
      <c r="N895" s="168"/>
      <c r="O895" s="168"/>
      <c r="P895" s="168"/>
      <c r="Q895" s="168"/>
      <c r="R895" s="168"/>
      <c r="S895" s="168"/>
      <c r="T895" s="168"/>
      <c r="U895" s="168"/>
    </row>
    <row r="896" spans="2:21">
      <c r="B896" s="168"/>
      <c r="C896" s="601"/>
      <c r="D896" s="168"/>
      <c r="E896" s="168"/>
      <c r="F896" s="168"/>
      <c r="G896" s="167"/>
      <c r="H896" s="167"/>
      <c r="J896" s="168"/>
      <c r="K896" s="168"/>
      <c r="M896" s="168"/>
      <c r="N896" s="168"/>
      <c r="O896" s="168"/>
      <c r="P896" s="168"/>
      <c r="Q896" s="168"/>
      <c r="R896" s="168"/>
      <c r="S896" s="168"/>
      <c r="T896" s="168"/>
      <c r="U896" s="168"/>
    </row>
    <row r="897" spans="2:21">
      <c r="B897" s="168"/>
      <c r="C897" s="601"/>
      <c r="D897" s="168"/>
      <c r="E897" s="168"/>
      <c r="F897" s="168"/>
      <c r="G897" s="167"/>
      <c r="H897" s="167"/>
      <c r="J897" s="168"/>
      <c r="K897" s="168"/>
      <c r="M897" s="168"/>
      <c r="N897" s="168"/>
      <c r="O897" s="168"/>
      <c r="P897" s="168"/>
      <c r="Q897" s="168"/>
      <c r="R897" s="168"/>
      <c r="S897" s="168"/>
      <c r="T897" s="168"/>
      <c r="U897" s="168"/>
    </row>
    <row r="898" spans="2:21">
      <c r="B898" s="168"/>
      <c r="C898" s="601"/>
      <c r="D898" s="168"/>
      <c r="E898" s="168"/>
      <c r="F898" s="168"/>
      <c r="G898" s="167"/>
      <c r="H898" s="167"/>
      <c r="J898" s="168"/>
      <c r="K898" s="168"/>
      <c r="M898" s="168"/>
      <c r="N898" s="168"/>
      <c r="O898" s="168"/>
      <c r="P898" s="168"/>
      <c r="Q898" s="168"/>
      <c r="R898" s="168"/>
      <c r="S898" s="168"/>
      <c r="T898" s="168"/>
      <c r="U898" s="168"/>
    </row>
    <row r="899" spans="2:21">
      <c r="B899" s="168"/>
      <c r="C899" s="601"/>
      <c r="D899" s="168"/>
      <c r="E899" s="168"/>
      <c r="F899" s="168"/>
      <c r="G899" s="167"/>
      <c r="H899" s="167"/>
      <c r="J899" s="168"/>
      <c r="K899" s="168"/>
      <c r="M899" s="168"/>
      <c r="N899" s="168"/>
      <c r="O899" s="168"/>
      <c r="P899" s="168"/>
      <c r="Q899" s="168"/>
      <c r="R899" s="168"/>
      <c r="S899" s="168"/>
      <c r="T899" s="168"/>
      <c r="U899" s="168"/>
    </row>
    <row r="900" spans="2:21">
      <c r="B900" s="168"/>
      <c r="C900" s="601"/>
      <c r="D900" s="168"/>
      <c r="E900" s="168"/>
      <c r="F900" s="168"/>
      <c r="G900" s="167"/>
      <c r="H900" s="167"/>
      <c r="J900" s="168"/>
      <c r="K900" s="168"/>
      <c r="M900" s="168"/>
      <c r="N900" s="168"/>
      <c r="O900" s="168"/>
      <c r="P900" s="168"/>
      <c r="Q900" s="168"/>
      <c r="R900" s="168"/>
      <c r="S900" s="168"/>
      <c r="T900" s="168"/>
      <c r="U900" s="168"/>
    </row>
    <row r="901" spans="2:21">
      <c r="B901" s="168"/>
      <c r="C901" s="601"/>
      <c r="D901" s="168"/>
      <c r="E901" s="168"/>
      <c r="F901" s="168"/>
      <c r="G901" s="167"/>
      <c r="H901" s="167"/>
      <c r="J901" s="168"/>
      <c r="K901" s="168"/>
      <c r="M901" s="168"/>
      <c r="N901" s="168"/>
      <c r="O901" s="168"/>
      <c r="P901" s="168"/>
      <c r="Q901" s="168"/>
      <c r="R901" s="168"/>
      <c r="S901" s="168"/>
      <c r="T901" s="168"/>
      <c r="U901" s="168"/>
    </row>
    <row r="902" spans="2:21">
      <c r="B902" s="168"/>
      <c r="C902" s="601"/>
      <c r="D902" s="168"/>
      <c r="E902" s="168"/>
      <c r="F902" s="168"/>
      <c r="G902" s="167"/>
      <c r="H902" s="167"/>
      <c r="J902" s="168"/>
      <c r="K902" s="168"/>
      <c r="M902" s="168"/>
      <c r="N902" s="168"/>
      <c r="O902" s="168"/>
      <c r="P902" s="168"/>
      <c r="Q902" s="168"/>
      <c r="R902" s="168"/>
      <c r="S902" s="168"/>
      <c r="T902" s="168"/>
      <c r="U902" s="168"/>
    </row>
    <row r="903" spans="2:21">
      <c r="B903" s="168"/>
      <c r="C903" s="601"/>
      <c r="D903" s="168"/>
      <c r="E903" s="168"/>
      <c r="F903" s="168"/>
      <c r="G903" s="167"/>
      <c r="H903" s="167"/>
      <c r="J903" s="168"/>
      <c r="K903" s="168"/>
      <c r="M903" s="168"/>
      <c r="N903" s="168"/>
      <c r="O903" s="168"/>
      <c r="P903" s="168"/>
      <c r="Q903" s="168"/>
      <c r="R903" s="168"/>
      <c r="S903" s="168"/>
      <c r="T903" s="168"/>
      <c r="U903" s="168"/>
    </row>
    <row r="904" spans="2:21">
      <c r="B904" s="168"/>
      <c r="C904" s="601"/>
      <c r="D904" s="168"/>
      <c r="E904" s="168"/>
      <c r="F904" s="168"/>
      <c r="G904" s="167"/>
      <c r="H904" s="167"/>
      <c r="J904" s="168"/>
      <c r="K904" s="168"/>
      <c r="M904" s="168"/>
      <c r="N904" s="168"/>
      <c r="O904" s="168"/>
      <c r="P904" s="168"/>
      <c r="Q904" s="168"/>
      <c r="R904" s="168"/>
      <c r="S904" s="168"/>
      <c r="T904" s="168"/>
      <c r="U904" s="168"/>
    </row>
    <row r="905" spans="2:21">
      <c r="B905" s="168"/>
      <c r="C905" s="601"/>
      <c r="D905" s="168"/>
      <c r="E905" s="168"/>
      <c r="F905" s="168"/>
      <c r="G905" s="167"/>
      <c r="H905" s="167"/>
      <c r="J905" s="168"/>
      <c r="K905" s="168"/>
      <c r="M905" s="168"/>
      <c r="N905" s="168"/>
      <c r="O905" s="168"/>
      <c r="P905" s="168"/>
      <c r="Q905" s="168"/>
      <c r="R905" s="168"/>
      <c r="S905" s="168"/>
      <c r="T905" s="168"/>
      <c r="U905" s="168"/>
    </row>
    <row r="906" spans="2:21">
      <c r="B906" s="168"/>
      <c r="C906" s="601"/>
      <c r="D906" s="168"/>
      <c r="E906" s="168"/>
      <c r="F906" s="168"/>
      <c r="G906" s="167"/>
      <c r="H906" s="167"/>
      <c r="J906" s="168"/>
      <c r="K906" s="168"/>
      <c r="M906" s="168"/>
      <c r="N906" s="168"/>
      <c r="O906" s="168"/>
      <c r="P906" s="168"/>
      <c r="Q906" s="168"/>
      <c r="R906" s="168"/>
      <c r="S906" s="168"/>
      <c r="T906" s="168"/>
      <c r="U906" s="168"/>
    </row>
    <row r="907" spans="2:21">
      <c r="B907" s="168"/>
      <c r="C907" s="601"/>
      <c r="D907" s="168"/>
      <c r="E907" s="168"/>
      <c r="F907" s="168"/>
      <c r="G907" s="167"/>
      <c r="H907" s="167"/>
      <c r="J907" s="168"/>
      <c r="K907" s="168"/>
      <c r="M907" s="168"/>
      <c r="N907" s="168"/>
      <c r="O907" s="168"/>
      <c r="P907" s="168"/>
      <c r="Q907" s="168"/>
      <c r="R907" s="168"/>
      <c r="S907" s="168"/>
      <c r="T907" s="168"/>
      <c r="U907" s="168"/>
    </row>
    <row r="908" spans="2:21">
      <c r="B908" s="168"/>
      <c r="C908" s="601"/>
      <c r="D908" s="168"/>
      <c r="E908" s="168"/>
      <c r="F908" s="168"/>
      <c r="G908" s="167"/>
      <c r="H908" s="167"/>
      <c r="J908" s="168"/>
      <c r="K908" s="168"/>
      <c r="M908" s="168"/>
      <c r="N908" s="168"/>
      <c r="O908" s="168"/>
      <c r="P908" s="168"/>
      <c r="Q908" s="168"/>
      <c r="R908" s="168"/>
      <c r="S908" s="168"/>
      <c r="T908" s="168"/>
      <c r="U908" s="168"/>
    </row>
    <row r="909" spans="2:21">
      <c r="B909" s="168"/>
      <c r="C909" s="601"/>
      <c r="D909" s="168"/>
      <c r="E909" s="168"/>
      <c r="F909" s="168"/>
      <c r="G909" s="167"/>
      <c r="H909" s="167"/>
      <c r="J909" s="168"/>
      <c r="K909" s="168"/>
      <c r="M909" s="168"/>
      <c r="N909" s="168"/>
      <c r="O909" s="168"/>
      <c r="P909" s="168"/>
      <c r="Q909" s="168"/>
      <c r="R909" s="168"/>
      <c r="S909" s="168"/>
      <c r="T909" s="168"/>
      <c r="U909" s="168"/>
    </row>
    <row r="910" spans="2:21">
      <c r="B910" s="168"/>
      <c r="C910" s="601"/>
      <c r="D910" s="168"/>
      <c r="E910" s="168"/>
      <c r="F910" s="168"/>
      <c r="G910" s="167"/>
      <c r="H910" s="167"/>
      <c r="J910" s="168"/>
      <c r="K910" s="168"/>
      <c r="M910" s="168"/>
      <c r="N910" s="168"/>
      <c r="O910" s="168"/>
      <c r="P910" s="168"/>
      <c r="Q910" s="168"/>
      <c r="R910" s="168"/>
      <c r="S910" s="168"/>
      <c r="T910" s="168"/>
      <c r="U910" s="168"/>
    </row>
    <row r="911" spans="2:21">
      <c r="B911" s="168"/>
      <c r="C911" s="601"/>
      <c r="D911" s="168"/>
      <c r="E911" s="168"/>
      <c r="F911" s="168"/>
      <c r="G911" s="167"/>
      <c r="H911" s="167"/>
      <c r="J911" s="168"/>
      <c r="K911" s="168"/>
      <c r="M911" s="168"/>
      <c r="N911" s="168"/>
      <c r="O911" s="168"/>
      <c r="P911" s="168"/>
      <c r="Q911" s="168"/>
      <c r="R911" s="168"/>
      <c r="S911" s="168"/>
      <c r="T911" s="168"/>
      <c r="U911" s="168"/>
    </row>
    <row r="912" spans="2:21">
      <c r="B912" s="168"/>
      <c r="C912" s="601"/>
      <c r="D912" s="168"/>
      <c r="E912" s="168"/>
      <c r="F912" s="168"/>
      <c r="G912" s="167"/>
      <c r="H912" s="167"/>
      <c r="J912" s="168"/>
      <c r="K912" s="168"/>
      <c r="M912" s="168"/>
      <c r="N912" s="168"/>
      <c r="O912" s="168"/>
      <c r="P912" s="168"/>
      <c r="Q912" s="168"/>
      <c r="R912" s="168"/>
      <c r="S912" s="168"/>
      <c r="T912" s="168"/>
      <c r="U912" s="168"/>
    </row>
    <row r="913" spans="2:21">
      <c r="B913" s="168"/>
      <c r="C913" s="601"/>
      <c r="D913" s="168"/>
      <c r="E913" s="168"/>
      <c r="F913" s="168"/>
      <c r="G913" s="167"/>
      <c r="H913" s="167"/>
      <c r="J913" s="168"/>
      <c r="K913" s="168"/>
      <c r="M913" s="168"/>
      <c r="N913" s="168"/>
      <c r="O913" s="168"/>
      <c r="P913" s="168"/>
      <c r="Q913" s="168"/>
      <c r="R913" s="168"/>
      <c r="S913" s="168"/>
      <c r="T913" s="168"/>
      <c r="U913" s="168"/>
    </row>
    <row r="914" spans="2:21">
      <c r="B914" s="168"/>
      <c r="C914" s="601"/>
      <c r="D914" s="168"/>
      <c r="E914" s="168"/>
      <c r="F914" s="168"/>
      <c r="G914" s="167"/>
      <c r="H914" s="167"/>
      <c r="J914" s="168"/>
      <c r="K914" s="168"/>
      <c r="M914" s="168"/>
      <c r="N914" s="168"/>
      <c r="O914" s="168"/>
      <c r="P914" s="168"/>
      <c r="Q914" s="168"/>
      <c r="R914" s="168"/>
      <c r="S914" s="168"/>
      <c r="T914" s="168"/>
      <c r="U914" s="168"/>
    </row>
    <row r="915" spans="2:21">
      <c r="B915" s="168"/>
      <c r="C915" s="601"/>
      <c r="D915" s="168"/>
      <c r="E915" s="168"/>
      <c r="F915" s="168"/>
      <c r="G915" s="167"/>
      <c r="H915" s="167"/>
      <c r="J915" s="168"/>
      <c r="K915" s="168"/>
      <c r="M915" s="168"/>
      <c r="N915" s="168"/>
      <c r="O915" s="168"/>
      <c r="P915" s="168"/>
      <c r="Q915" s="168"/>
      <c r="R915" s="168"/>
      <c r="S915" s="168"/>
      <c r="T915" s="168"/>
      <c r="U915" s="168"/>
    </row>
    <row r="916" spans="2:21">
      <c r="B916" s="168"/>
      <c r="C916" s="601"/>
      <c r="D916" s="168"/>
      <c r="E916" s="168"/>
      <c r="F916" s="168"/>
      <c r="G916" s="167"/>
      <c r="H916" s="167"/>
      <c r="J916" s="168"/>
      <c r="K916" s="168"/>
      <c r="M916" s="168"/>
      <c r="N916" s="168"/>
      <c r="O916" s="168"/>
      <c r="P916" s="168"/>
      <c r="Q916" s="168"/>
      <c r="R916" s="168"/>
      <c r="S916" s="168"/>
      <c r="T916" s="168"/>
      <c r="U916" s="168"/>
    </row>
    <row r="917" spans="2:21">
      <c r="B917" s="168"/>
      <c r="C917" s="601"/>
      <c r="D917" s="168"/>
      <c r="E917" s="168"/>
      <c r="F917" s="168"/>
      <c r="G917" s="167"/>
      <c r="H917" s="167"/>
      <c r="J917" s="168"/>
      <c r="K917" s="168"/>
      <c r="M917" s="168"/>
      <c r="N917" s="168"/>
      <c r="O917" s="168"/>
      <c r="P917" s="168"/>
      <c r="Q917" s="168"/>
      <c r="R917" s="168"/>
      <c r="S917" s="168"/>
      <c r="T917" s="168"/>
      <c r="U917" s="168"/>
    </row>
    <row r="918" spans="2:21">
      <c r="B918" s="168"/>
      <c r="C918" s="601"/>
      <c r="D918" s="168"/>
      <c r="E918" s="168"/>
      <c r="F918" s="168"/>
      <c r="G918" s="167"/>
      <c r="H918" s="167"/>
      <c r="J918" s="168"/>
      <c r="K918" s="168"/>
      <c r="M918" s="168"/>
      <c r="N918" s="168"/>
      <c r="O918" s="168"/>
      <c r="P918" s="168"/>
      <c r="Q918" s="168"/>
      <c r="R918" s="168"/>
      <c r="S918" s="168"/>
      <c r="T918" s="168"/>
      <c r="U918" s="168"/>
    </row>
    <row r="919" spans="2:21">
      <c r="B919" s="168"/>
      <c r="C919" s="601"/>
      <c r="D919" s="168"/>
      <c r="E919" s="168"/>
      <c r="F919" s="168"/>
      <c r="G919" s="167"/>
      <c r="H919" s="167"/>
      <c r="J919" s="168"/>
      <c r="K919" s="168"/>
      <c r="M919" s="168"/>
      <c r="N919" s="168"/>
      <c r="O919" s="168"/>
      <c r="P919" s="168"/>
      <c r="Q919" s="168"/>
      <c r="R919" s="168"/>
      <c r="S919" s="168"/>
      <c r="T919" s="168"/>
      <c r="U919" s="168"/>
    </row>
    <row r="920" spans="2:21">
      <c r="B920" s="168"/>
      <c r="C920" s="601"/>
      <c r="D920" s="168"/>
      <c r="E920" s="168"/>
      <c r="F920" s="168"/>
      <c r="G920" s="167"/>
      <c r="H920" s="167"/>
      <c r="J920" s="168"/>
      <c r="K920" s="168"/>
      <c r="M920" s="168"/>
      <c r="N920" s="168"/>
      <c r="O920" s="168"/>
      <c r="P920" s="168"/>
      <c r="Q920" s="168"/>
      <c r="R920" s="168"/>
      <c r="S920" s="168"/>
      <c r="T920" s="168"/>
      <c r="U920" s="168"/>
    </row>
    <row r="921" spans="2:21">
      <c r="B921" s="168"/>
      <c r="C921" s="601"/>
      <c r="D921" s="168"/>
      <c r="E921" s="168"/>
      <c r="F921" s="168"/>
      <c r="G921" s="167"/>
      <c r="H921" s="167"/>
      <c r="J921" s="168"/>
      <c r="K921" s="168"/>
      <c r="M921" s="168"/>
      <c r="N921" s="168"/>
      <c r="O921" s="168"/>
      <c r="P921" s="168"/>
      <c r="Q921" s="168"/>
      <c r="R921" s="168"/>
      <c r="S921" s="168"/>
      <c r="T921" s="168"/>
      <c r="U921" s="168"/>
    </row>
    <row r="922" spans="2:21">
      <c r="B922" s="168"/>
      <c r="C922" s="601"/>
      <c r="D922" s="168"/>
      <c r="E922" s="168"/>
      <c r="F922" s="168"/>
      <c r="G922" s="167"/>
      <c r="H922" s="167"/>
      <c r="J922" s="168"/>
      <c r="K922" s="168"/>
      <c r="M922" s="168"/>
      <c r="N922" s="168"/>
      <c r="O922" s="168"/>
      <c r="P922" s="168"/>
      <c r="Q922" s="168"/>
      <c r="R922" s="168"/>
      <c r="S922" s="168"/>
      <c r="T922" s="168"/>
      <c r="U922" s="168"/>
    </row>
    <row r="923" spans="2:21">
      <c r="B923" s="168"/>
      <c r="C923" s="601"/>
      <c r="D923" s="168"/>
      <c r="E923" s="168"/>
      <c r="F923" s="168"/>
      <c r="G923" s="167"/>
      <c r="H923" s="167"/>
      <c r="J923" s="168"/>
      <c r="K923" s="168"/>
      <c r="M923" s="168"/>
      <c r="N923" s="168"/>
      <c r="O923" s="168"/>
      <c r="P923" s="168"/>
      <c r="Q923" s="168"/>
      <c r="R923" s="168"/>
      <c r="S923" s="168"/>
      <c r="T923" s="168"/>
      <c r="U923" s="168"/>
    </row>
    <row r="924" spans="2:21">
      <c r="B924" s="168"/>
      <c r="C924" s="601"/>
      <c r="D924" s="168"/>
      <c r="E924" s="168"/>
      <c r="F924" s="168"/>
      <c r="G924" s="167"/>
      <c r="H924" s="167"/>
      <c r="J924" s="168"/>
      <c r="K924" s="168"/>
      <c r="M924" s="168"/>
      <c r="N924" s="168"/>
      <c r="O924" s="168"/>
      <c r="P924" s="168"/>
      <c r="Q924" s="168"/>
      <c r="R924" s="168"/>
      <c r="S924" s="168"/>
      <c r="T924" s="168"/>
      <c r="U924" s="168"/>
    </row>
    <row r="925" spans="2:21">
      <c r="B925" s="168"/>
      <c r="C925" s="601"/>
      <c r="D925" s="168"/>
      <c r="E925" s="168"/>
      <c r="F925" s="168"/>
      <c r="G925" s="167"/>
      <c r="H925" s="167"/>
      <c r="J925" s="168"/>
      <c r="K925" s="168"/>
      <c r="M925" s="168"/>
      <c r="N925" s="168"/>
      <c r="O925" s="168"/>
      <c r="P925" s="168"/>
      <c r="Q925" s="168"/>
      <c r="R925" s="168"/>
      <c r="S925" s="168"/>
      <c r="T925" s="168"/>
      <c r="U925" s="168"/>
    </row>
    <row r="926" spans="2:21">
      <c r="B926" s="168"/>
      <c r="C926" s="601"/>
      <c r="D926" s="168"/>
      <c r="E926" s="168"/>
      <c r="F926" s="168"/>
      <c r="G926" s="167"/>
      <c r="H926" s="167"/>
      <c r="J926" s="168"/>
      <c r="K926" s="168"/>
      <c r="M926" s="168"/>
      <c r="N926" s="168"/>
      <c r="O926" s="168"/>
      <c r="P926" s="168"/>
      <c r="Q926" s="168"/>
      <c r="R926" s="168"/>
      <c r="S926" s="168"/>
      <c r="T926" s="168"/>
      <c r="U926" s="168"/>
    </row>
    <row r="927" spans="2:21">
      <c r="B927" s="168"/>
      <c r="C927" s="601"/>
      <c r="D927" s="168"/>
      <c r="E927" s="168"/>
      <c r="F927" s="168"/>
      <c r="G927" s="167"/>
      <c r="H927" s="167"/>
      <c r="J927" s="168"/>
      <c r="K927" s="168"/>
      <c r="M927" s="168"/>
      <c r="N927" s="168"/>
      <c r="O927" s="168"/>
      <c r="P927" s="168"/>
      <c r="Q927" s="168"/>
      <c r="R927" s="168"/>
      <c r="S927" s="168"/>
      <c r="T927" s="168"/>
      <c r="U927" s="168"/>
    </row>
    <row r="928" spans="2:21">
      <c r="B928" s="168"/>
      <c r="C928" s="601"/>
      <c r="D928" s="168"/>
      <c r="E928" s="168"/>
      <c r="F928" s="168"/>
      <c r="G928" s="167"/>
      <c r="H928" s="167"/>
      <c r="J928" s="168"/>
      <c r="K928" s="168"/>
      <c r="M928" s="168"/>
      <c r="N928" s="168"/>
      <c r="O928" s="168"/>
      <c r="P928" s="168"/>
      <c r="Q928" s="168"/>
      <c r="R928" s="168"/>
      <c r="S928" s="168"/>
      <c r="T928" s="168"/>
      <c r="U928" s="168"/>
    </row>
    <row r="929" spans="2:21">
      <c r="B929" s="168"/>
      <c r="C929" s="601"/>
      <c r="D929" s="168"/>
      <c r="E929" s="168"/>
      <c r="F929" s="168"/>
      <c r="G929" s="167"/>
      <c r="H929" s="167"/>
      <c r="J929" s="168"/>
      <c r="K929" s="168"/>
      <c r="M929" s="168"/>
      <c r="N929" s="168"/>
      <c r="O929" s="168"/>
      <c r="P929" s="168"/>
      <c r="Q929" s="168"/>
      <c r="R929" s="168"/>
      <c r="S929" s="168"/>
      <c r="T929" s="168"/>
      <c r="U929" s="168"/>
    </row>
    <row r="930" spans="2:21">
      <c r="B930" s="168"/>
      <c r="C930" s="601"/>
      <c r="D930" s="168"/>
      <c r="E930" s="168"/>
      <c r="F930" s="168"/>
      <c r="G930" s="167"/>
      <c r="H930" s="167"/>
      <c r="J930" s="168"/>
      <c r="K930" s="168"/>
      <c r="M930" s="168"/>
      <c r="N930" s="168"/>
      <c r="O930" s="168"/>
      <c r="P930" s="168"/>
      <c r="Q930" s="168"/>
      <c r="R930" s="168"/>
      <c r="S930" s="168"/>
      <c r="T930" s="168"/>
      <c r="U930" s="168"/>
    </row>
    <row r="931" spans="2:21">
      <c r="B931" s="168"/>
      <c r="C931" s="601"/>
      <c r="D931" s="168"/>
      <c r="E931" s="168"/>
      <c r="F931" s="168"/>
      <c r="G931" s="167"/>
      <c r="H931" s="167"/>
      <c r="J931" s="168"/>
      <c r="K931" s="168"/>
      <c r="M931" s="168"/>
      <c r="N931" s="168"/>
      <c r="O931" s="168"/>
      <c r="P931" s="168"/>
      <c r="Q931" s="168"/>
      <c r="R931" s="168"/>
      <c r="S931" s="168"/>
      <c r="T931" s="168"/>
      <c r="U931" s="168"/>
    </row>
    <row r="932" spans="2:21">
      <c r="B932" s="168"/>
      <c r="C932" s="601"/>
      <c r="D932" s="168"/>
      <c r="E932" s="168"/>
      <c r="F932" s="168"/>
      <c r="G932" s="167"/>
      <c r="H932" s="167"/>
      <c r="J932" s="168"/>
      <c r="K932" s="168"/>
      <c r="M932" s="168"/>
      <c r="N932" s="168"/>
      <c r="O932" s="168"/>
      <c r="P932" s="168"/>
      <c r="Q932" s="168"/>
      <c r="R932" s="168"/>
      <c r="S932" s="168"/>
      <c r="T932" s="168"/>
      <c r="U932" s="168"/>
    </row>
  </sheetData>
  <conditionalFormatting sqref="I342:I343">
    <cfRule type="cellIs" dxfId="2" priority="3" stopIfTrue="1" operator="notEqual">
      <formula>1</formula>
    </cfRule>
  </conditionalFormatting>
  <conditionalFormatting sqref="I342:I343">
    <cfRule type="cellIs" dxfId="1" priority="1" stopIfTrue="1" operator="notEqual">
      <formula>1</formula>
    </cfRule>
  </conditionalFormatting>
  <printOptions horizontalCentered="1"/>
  <pageMargins left="0.23622047244094491" right="0.35433070866141736" top="0.23622047244094491" bottom="1.67" header="0.23622047244094491" footer="1.65"/>
  <pageSetup paperSize="9" scale="56" fitToHeight="11" orientation="portrait" r:id="rId1"/>
  <headerFooter alignWithMargins="0"/>
  <rowBreaks count="5" manualBreakCount="5">
    <brk id="405" min="1" max="17" man="1"/>
    <brk id="454" min="1" max="17" man="1"/>
    <brk id="504" min="1" max="17" man="1"/>
    <brk id="551" min="1" max="18" man="1"/>
    <brk id="601" min="1" max="17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  <pageSetUpPr fitToPage="1"/>
  </sheetPr>
  <dimension ref="A1:U852"/>
  <sheetViews>
    <sheetView showGridLines="0" topLeftCell="A586" zoomScale="74" zoomScaleNormal="74" zoomScaleSheetLayoutView="85" workbookViewId="0">
      <selection activeCell="C613" sqref="C613"/>
    </sheetView>
  </sheetViews>
  <sheetFormatPr defaultRowHeight="12.75" outlineLevelRow="2" outlineLevelCol="2"/>
  <cols>
    <col min="1" max="1" width="4.140625" style="169" bestFit="1" customWidth="1"/>
    <col min="2" max="2" width="2.85546875" style="169" customWidth="1"/>
    <col min="3" max="3" width="4.140625" style="295" customWidth="1"/>
    <col min="4" max="4" width="52.85546875" style="169" bestFit="1" customWidth="1"/>
    <col min="5" max="5" width="47.28515625" style="169" hidden="1" customWidth="1" outlineLevel="2"/>
    <col min="6" max="6" width="38.5703125" style="169" hidden="1" customWidth="1" outlineLevel="2"/>
    <col min="7" max="7" width="9.42578125" style="298" hidden="1" customWidth="1" outlineLevel="1"/>
    <col min="8" max="8" width="27.5703125" style="298" hidden="1" customWidth="1" outlineLevel="1"/>
    <col min="9" max="9" width="11.7109375" style="168" hidden="1" customWidth="1" outlineLevel="1"/>
    <col min="10" max="10" width="13.85546875" style="169" hidden="1" customWidth="1" outlineLevel="1"/>
    <col min="11" max="11" width="14.5703125" style="169" hidden="1" customWidth="1" outlineLevel="1" collapsed="1"/>
    <col min="12" max="12" width="15.42578125" style="168" hidden="1" customWidth="1" outlineLevel="1" collapsed="1"/>
    <col min="13" max="13" width="15.42578125" style="427" hidden="1" customWidth="1" outlineLevel="1" collapsed="1"/>
    <col min="14" max="14" width="15.42578125" style="169" hidden="1" customWidth="1" outlineLevel="1"/>
    <col min="15" max="15" width="16.7109375" style="169" customWidth="1" collapsed="1"/>
    <col min="16" max="19" width="16.7109375" style="169" customWidth="1"/>
    <col min="20" max="56" width="11.7109375" style="169" customWidth="1"/>
    <col min="57" max="16384" width="9.140625" style="169"/>
  </cols>
  <sheetData>
    <row r="1" spans="1:21" ht="15.75" customHeight="1">
      <c r="A1" s="295"/>
      <c r="E1" s="168"/>
      <c r="F1" s="168"/>
      <c r="G1" s="168"/>
      <c r="H1" s="167"/>
      <c r="J1" s="168"/>
      <c r="N1" s="214"/>
      <c r="O1" s="214"/>
      <c r="P1" s="214"/>
      <c r="Q1" s="214"/>
      <c r="R1" s="214"/>
      <c r="S1" s="214"/>
    </row>
    <row r="2" spans="1:21" ht="15.75" customHeight="1">
      <c r="A2" s="295"/>
      <c r="B2" s="168"/>
      <c r="C2" s="296"/>
      <c r="D2" s="168"/>
      <c r="E2" s="168"/>
      <c r="F2" s="168"/>
      <c r="G2" s="168"/>
      <c r="H2" s="167"/>
      <c r="J2" s="168"/>
      <c r="K2" s="168"/>
      <c r="M2" s="168"/>
      <c r="N2" s="215"/>
      <c r="O2" s="215"/>
      <c r="P2" s="215"/>
      <c r="Q2" s="215"/>
      <c r="R2" s="215"/>
      <c r="S2" s="215"/>
      <c r="T2" s="168"/>
      <c r="U2" s="168"/>
    </row>
    <row r="3" spans="1:21" ht="27">
      <c r="A3" s="295"/>
      <c r="B3" s="168"/>
      <c r="C3" s="733" t="s">
        <v>297</v>
      </c>
      <c r="D3" s="168"/>
      <c r="E3" s="168"/>
      <c r="F3" s="168"/>
      <c r="G3" s="168"/>
      <c r="H3" s="167"/>
      <c r="J3" s="168"/>
      <c r="K3" s="168"/>
      <c r="M3" s="168"/>
      <c r="N3" s="734"/>
      <c r="O3" s="704"/>
      <c r="P3" s="727"/>
      <c r="Q3" s="168"/>
      <c r="R3" s="168"/>
      <c r="S3" s="168"/>
      <c r="T3" s="168"/>
      <c r="U3" s="168"/>
    </row>
    <row r="4" spans="1:21" ht="15.75" customHeight="1">
      <c r="A4" s="295"/>
      <c r="B4" s="168"/>
      <c r="C4" s="299"/>
      <c r="D4" s="170"/>
      <c r="E4" s="170"/>
      <c r="F4" s="170"/>
      <c r="G4" s="170"/>
      <c r="H4" s="300"/>
      <c r="I4" s="170"/>
      <c r="J4" s="170"/>
      <c r="K4" s="170"/>
      <c r="L4" s="170"/>
      <c r="M4" s="170"/>
      <c r="N4" s="170"/>
      <c r="O4" s="170"/>
      <c r="P4" s="170"/>
      <c r="Q4" s="170"/>
      <c r="R4" s="170"/>
      <c r="S4" s="170"/>
      <c r="T4" s="168"/>
      <c r="U4" s="168"/>
    </row>
    <row r="5" spans="1:21" ht="9" customHeight="1">
      <c r="A5" s="295"/>
      <c r="B5" s="168"/>
      <c r="C5" s="601"/>
      <c r="D5" s="168"/>
      <c r="E5" s="168"/>
      <c r="F5" s="168"/>
      <c r="G5" s="168"/>
      <c r="H5" s="301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68"/>
      <c r="U5" s="168"/>
    </row>
    <row r="6" spans="1:21" ht="15.75" customHeight="1">
      <c r="A6" s="295"/>
      <c r="B6" s="168"/>
      <c r="C6" s="302" t="s">
        <v>168</v>
      </c>
      <c r="D6" s="303"/>
      <c r="E6" s="303"/>
      <c r="F6" s="303"/>
      <c r="G6" s="303"/>
      <c r="H6" s="301"/>
      <c r="I6" s="172"/>
      <c r="J6" s="172"/>
      <c r="K6" s="172"/>
      <c r="L6" s="173"/>
      <c r="M6" s="171"/>
      <c r="N6" s="304"/>
      <c r="O6" s="304"/>
      <c r="P6" s="304"/>
      <c r="Q6" s="304"/>
      <c r="R6" s="304"/>
      <c r="S6" s="304"/>
      <c r="T6" s="168"/>
      <c r="U6" s="168"/>
    </row>
    <row r="7" spans="1:21" ht="15.75" customHeight="1">
      <c r="A7" s="295"/>
      <c r="B7" s="168"/>
      <c r="C7" s="603"/>
      <c r="D7" s="233"/>
      <c r="E7" s="233"/>
      <c r="F7" s="233"/>
      <c r="G7" s="603"/>
      <c r="H7" s="174">
        <v>0</v>
      </c>
      <c r="I7" s="174">
        <v>0</v>
      </c>
      <c r="J7" s="174">
        <v>1</v>
      </c>
      <c r="K7" s="174">
        <v>2</v>
      </c>
      <c r="L7" s="175">
        <v>3</v>
      </c>
      <c r="M7" s="175" t="s">
        <v>694</v>
      </c>
      <c r="N7" s="175" t="s">
        <v>695</v>
      </c>
      <c r="O7" s="175" t="s">
        <v>696</v>
      </c>
      <c r="P7" s="175" t="s">
        <v>697</v>
      </c>
      <c r="Q7" s="175" t="s">
        <v>698</v>
      </c>
      <c r="R7" s="175" t="s">
        <v>699</v>
      </c>
      <c r="S7" s="175" t="s">
        <v>700</v>
      </c>
      <c r="T7" s="168"/>
      <c r="U7" s="168"/>
    </row>
    <row r="8" spans="1:21" ht="15.75" customHeight="1">
      <c r="A8" s="295"/>
      <c r="B8" s="168"/>
      <c r="C8" s="604"/>
      <c r="D8" s="234"/>
      <c r="E8" s="234"/>
      <c r="F8" s="234"/>
      <c r="G8" s="604"/>
      <c r="H8" s="176"/>
      <c r="I8" s="176"/>
      <c r="J8" s="176"/>
      <c r="K8" s="176"/>
      <c r="L8" s="176"/>
      <c r="M8" s="176"/>
      <c r="N8" s="176"/>
      <c r="O8" s="176"/>
      <c r="P8" s="176"/>
      <c r="Q8" s="176"/>
      <c r="R8" s="176"/>
      <c r="S8" s="176"/>
      <c r="T8" s="168"/>
      <c r="U8" s="168"/>
    </row>
    <row r="9" spans="1:21" ht="15.75" customHeight="1">
      <c r="A9" s="295"/>
      <c r="B9" s="168"/>
      <c r="C9" s="177"/>
      <c r="D9" s="260"/>
      <c r="E9" s="235"/>
      <c r="F9" s="235"/>
      <c r="G9" s="177"/>
      <c r="H9" s="178" t="s">
        <v>499</v>
      </c>
      <c r="I9" s="178" t="s">
        <v>499</v>
      </c>
      <c r="J9" s="178" t="s">
        <v>499</v>
      </c>
      <c r="K9" s="178" t="s">
        <v>499</v>
      </c>
      <c r="L9" s="178" t="s">
        <v>499</v>
      </c>
      <c r="M9" s="178" t="s">
        <v>499</v>
      </c>
      <c r="N9" s="178" t="s">
        <v>499</v>
      </c>
      <c r="O9" s="178" t="s">
        <v>499</v>
      </c>
      <c r="P9" s="178" t="s">
        <v>499</v>
      </c>
      <c r="Q9" s="178" t="s">
        <v>499</v>
      </c>
      <c r="R9" s="178" t="s">
        <v>499</v>
      </c>
      <c r="S9" s="178" t="s">
        <v>499</v>
      </c>
      <c r="T9" s="168"/>
      <c r="U9" s="168"/>
    </row>
    <row r="10" spans="1:21" ht="15.75" customHeight="1">
      <c r="A10" s="295"/>
      <c r="B10" s="168"/>
      <c r="C10" s="186"/>
      <c r="D10" s="242"/>
      <c r="E10" s="249"/>
      <c r="F10" s="249"/>
      <c r="G10" s="186"/>
      <c r="H10" s="305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68"/>
      <c r="U10" s="168"/>
    </row>
    <row r="11" spans="1:21" ht="15.75" customHeight="1">
      <c r="A11" s="295"/>
      <c r="B11" s="168"/>
      <c r="C11" s="186" t="s">
        <v>298</v>
      </c>
      <c r="D11" s="312"/>
      <c r="E11" s="312"/>
      <c r="F11" s="312"/>
      <c r="G11" s="313"/>
      <c r="H11" s="305"/>
      <c r="I11" s="309"/>
      <c r="J11" s="309"/>
      <c r="K11" s="309"/>
      <c r="L11" s="309">
        <f t="shared" ref="L11:Q11" si="0">SUM(L12:L23)</f>
        <v>0</v>
      </c>
      <c r="M11" s="309">
        <f>SUM(M12:M23)</f>
        <v>5635716.4095565369</v>
      </c>
      <c r="N11" s="309">
        <f>SUM(N12:N23)</f>
        <v>29432668.324984666</v>
      </c>
      <c r="O11" s="309">
        <f>SUM(O12:O24)</f>
        <v>12424288.038444562</v>
      </c>
      <c r="P11" s="309">
        <f t="shared" si="0"/>
        <v>0</v>
      </c>
      <c r="Q11" s="309">
        <f t="shared" si="0"/>
        <v>0</v>
      </c>
      <c r="R11" s="309">
        <f>SUM(R12:R23)</f>
        <v>0</v>
      </c>
      <c r="S11" s="309">
        <f>SUM(S12:S23)</f>
        <v>0</v>
      </c>
      <c r="T11" s="168"/>
      <c r="U11" s="168"/>
    </row>
    <row r="12" spans="1:21" ht="15.75" hidden="1" customHeight="1" outlineLevel="1">
      <c r="A12" s="295"/>
      <c r="B12" s="168"/>
      <c r="C12" s="222" t="s">
        <v>67</v>
      </c>
      <c r="D12" s="222"/>
      <c r="E12" s="222"/>
      <c r="F12" s="222"/>
      <c r="G12" s="168"/>
      <c r="H12" s="167"/>
      <c r="I12" s="272"/>
      <c r="J12" s="272"/>
      <c r="K12" s="272"/>
      <c r="L12" s="272">
        <f>L31*L45</f>
        <v>0</v>
      </c>
      <c r="M12" s="272">
        <f t="shared" ref="M12:R12" si="1">M31*M45</f>
        <v>0</v>
      </c>
      <c r="N12" s="272">
        <f t="shared" si="1"/>
        <v>0</v>
      </c>
      <c r="O12" s="272">
        <f t="shared" si="1"/>
        <v>0</v>
      </c>
      <c r="P12" s="272">
        <f t="shared" si="1"/>
        <v>0</v>
      </c>
      <c r="Q12" s="272">
        <f t="shared" si="1"/>
        <v>0</v>
      </c>
      <c r="R12" s="272">
        <f t="shared" si="1"/>
        <v>0</v>
      </c>
      <c r="S12" s="272">
        <f>S31*S45</f>
        <v>0</v>
      </c>
      <c r="T12" s="168"/>
      <c r="U12" s="168"/>
    </row>
    <row r="13" spans="1:21" ht="15.75" hidden="1" customHeight="1" outlineLevel="1">
      <c r="A13" s="295"/>
      <c r="B13" s="168"/>
      <c r="C13" s="222" t="s">
        <v>68</v>
      </c>
      <c r="D13" s="222"/>
      <c r="E13" s="222"/>
      <c r="F13" s="222"/>
      <c r="G13" s="168"/>
      <c r="H13" s="167"/>
      <c r="I13" s="272"/>
      <c r="J13" s="272"/>
      <c r="K13" s="272"/>
      <c r="L13" s="272">
        <f>L32*L47</f>
        <v>0</v>
      </c>
      <c r="M13" s="272">
        <f t="shared" ref="M13:R13" si="2">M32*M47</f>
        <v>0</v>
      </c>
      <c r="N13" s="272">
        <f t="shared" si="2"/>
        <v>0</v>
      </c>
      <c r="O13" s="272">
        <f t="shared" si="2"/>
        <v>0</v>
      </c>
      <c r="P13" s="272">
        <f t="shared" si="2"/>
        <v>0</v>
      </c>
      <c r="Q13" s="272">
        <f t="shared" si="2"/>
        <v>0</v>
      </c>
      <c r="R13" s="272">
        <f t="shared" si="2"/>
        <v>0</v>
      </c>
      <c r="S13" s="272">
        <f>S32*S47</f>
        <v>0</v>
      </c>
      <c r="T13" s="168"/>
      <c r="U13" s="168"/>
    </row>
    <row r="14" spans="1:21" ht="15.75" hidden="1" customHeight="1" outlineLevel="1">
      <c r="A14" s="295"/>
      <c r="B14" s="168"/>
      <c r="C14" s="222" t="s">
        <v>69</v>
      </c>
      <c r="D14" s="222"/>
      <c r="E14" s="222"/>
      <c r="F14" s="222"/>
      <c r="G14" s="168"/>
      <c r="H14" s="167"/>
      <c r="I14" s="272"/>
      <c r="J14" s="272"/>
      <c r="K14" s="272"/>
      <c r="L14" s="272">
        <f>L33*L48</f>
        <v>0</v>
      </c>
      <c r="M14" s="272">
        <f t="shared" ref="M14:R14" si="3">M33*M48</f>
        <v>0</v>
      </c>
      <c r="N14" s="272">
        <f t="shared" si="3"/>
        <v>0</v>
      </c>
      <c r="O14" s="272">
        <f t="shared" si="3"/>
        <v>0</v>
      </c>
      <c r="P14" s="272">
        <f t="shared" si="3"/>
        <v>0</v>
      </c>
      <c r="Q14" s="272">
        <f t="shared" si="3"/>
        <v>0</v>
      </c>
      <c r="R14" s="272">
        <f t="shared" si="3"/>
        <v>0</v>
      </c>
      <c r="S14" s="272">
        <f>S33*S48</f>
        <v>0</v>
      </c>
      <c r="T14" s="168"/>
      <c r="U14" s="168"/>
    </row>
    <row r="15" spans="1:21" ht="15.75" hidden="1" customHeight="1" outlineLevel="1">
      <c r="A15" s="295"/>
      <c r="B15" s="168"/>
      <c r="C15" s="222" t="s">
        <v>70</v>
      </c>
      <c r="D15" s="222"/>
      <c r="E15" s="222"/>
      <c r="F15" s="222"/>
      <c r="G15" s="168"/>
      <c r="H15" s="167"/>
      <c r="I15" s="272"/>
      <c r="J15" s="272"/>
      <c r="K15" s="272"/>
      <c r="L15" s="272">
        <f>L34*L50</f>
        <v>0</v>
      </c>
      <c r="M15" s="272">
        <f t="shared" ref="M15:R15" si="4">M34*M50</f>
        <v>0</v>
      </c>
      <c r="N15" s="272">
        <f t="shared" si="4"/>
        <v>0</v>
      </c>
      <c r="O15" s="272">
        <f t="shared" si="4"/>
        <v>0</v>
      </c>
      <c r="P15" s="272">
        <f t="shared" si="4"/>
        <v>0</v>
      </c>
      <c r="Q15" s="272">
        <f t="shared" si="4"/>
        <v>0</v>
      </c>
      <c r="R15" s="272">
        <f t="shared" si="4"/>
        <v>0</v>
      </c>
      <c r="S15" s="272">
        <f>S34*S50</f>
        <v>0</v>
      </c>
      <c r="T15" s="168"/>
      <c r="U15" s="168"/>
    </row>
    <row r="16" spans="1:21" ht="15.75" hidden="1" customHeight="1" outlineLevel="1">
      <c r="A16" s="295"/>
      <c r="B16" s="168"/>
      <c r="C16" s="222" t="s">
        <v>71</v>
      </c>
      <c r="D16" s="222"/>
      <c r="E16" s="222"/>
      <c r="F16" s="222"/>
      <c r="G16" s="168"/>
      <c r="H16" s="167"/>
      <c r="I16" s="272"/>
      <c r="J16" s="272"/>
      <c r="K16" s="272"/>
      <c r="L16" s="272">
        <f>L35*L51</f>
        <v>0</v>
      </c>
      <c r="M16" s="272">
        <f t="shared" ref="M16:R16" si="5">M35*M51</f>
        <v>0</v>
      </c>
      <c r="N16" s="272">
        <f t="shared" si="5"/>
        <v>0</v>
      </c>
      <c r="O16" s="272">
        <f t="shared" si="5"/>
        <v>0</v>
      </c>
      <c r="P16" s="272">
        <f t="shared" si="5"/>
        <v>0</v>
      </c>
      <c r="Q16" s="272">
        <f t="shared" si="5"/>
        <v>0</v>
      </c>
      <c r="R16" s="272">
        <f t="shared" si="5"/>
        <v>0</v>
      </c>
      <c r="S16" s="272">
        <f>S35*S51</f>
        <v>0</v>
      </c>
      <c r="T16" s="168"/>
      <c r="U16" s="168"/>
    </row>
    <row r="17" spans="1:21" ht="15.75" hidden="1" customHeight="1" outlineLevel="1">
      <c r="A17" s="295"/>
      <c r="B17" s="168"/>
      <c r="C17" s="222" t="s">
        <v>54</v>
      </c>
      <c r="D17" s="222"/>
      <c r="E17" s="222"/>
      <c r="F17" s="222"/>
      <c r="G17" s="168"/>
      <c r="H17" s="167"/>
      <c r="I17" s="272"/>
      <c r="J17" s="272"/>
      <c r="K17" s="272"/>
      <c r="L17" s="272">
        <f t="shared" ref="L17:N18" si="6">L36*L53</f>
        <v>0</v>
      </c>
      <c r="M17" s="272">
        <f t="shared" si="6"/>
        <v>1025577.7112232031</v>
      </c>
      <c r="N17" s="272">
        <f t="shared" si="6"/>
        <v>3660889.2006179993</v>
      </c>
      <c r="O17" s="272">
        <f t="shared" ref="N17:Q19" si="7">O36*O53</f>
        <v>1185870.9939530368</v>
      </c>
      <c r="P17" s="272">
        <f t="shared" si="7"/>
        <v>0</v>
      </c>
      <c r="Q17" s="272">
        <f t="shared" si="7"/>
        <v>0</v>
      </c>
      <c r="R17" s="272">
        <f t="shared" ref="R17:S19" si="8">R36*R53</f>
        <v>0</v>
      </c>
      <c r="S17" s="272">
        <f t="shared" si="8"/>
        <v>0</v>
      </c>
      <c r="T17" s="168"/>
      <c r="U17" s="168"/>
    </row>
    <row r="18" spans="1:21" ht="15.75" hidden="1" customHeight="1" outlineLevel="1">
      <c r="A18" s="295"/>
      <c r="B18" s="168"/>
      <c r="C18" s="222" t="s">
        <v>55</v>
      </c>
      <c r="D18" s="222"/>
      <c r="E18" s="222"/>
      <c r="F18" s="222"/>
      <c r="G18" s="168"/>
      <c r="H18" s="167"/>
      <c r="I18" s="272"/>
      <c r="J18" s="272"/>
      <c r="K18" s="272"/>
      <c r="L18" s="272">
        <f t="shared" si="6"/>
        <v>0</v>
      </c>
      <c r="M18" s="272">
        <f>M37*M54</f>
        <v>2468542.9650000003</v>
      </c>
      <c r="N18" s="272">
        <f t="shared" si="6"/>
        <v>11751885.1269</v>
      </c>
      <c r="O18" s="272">
        <f t="shared" si="7"/>
        <v>7355340</v>
      </c>
      <c r="P18" s="272">
        <f t="shared" si="7"/>
        <v>0</v>
      </c>
      <c r="Q18" s="272">
        <f t="shared" si="7"/>
        <v>0</v>
      </c>
      <c r="R18" s="272">
        <f t="shared" si="8"/>
        <v>0</v>
      </c>
      <c r="S18" s="272">
        <f t="shared" si="8"/>
        <v>0</v>
      </c>
      <c r="T18" s="168"/>
      <c r="U18" s="168"/>
    </row>
    <row r="19" spans="1:21" ht="15.75" hidden="1" customHeight="1" outlineLevel="1">
      <c r="A19" s="295"/>
      <c r="B19" s="168"/>
      <c r="C19" s="222" t="s">
        <v>56</v>
      </c>
      <c r="D19" s="222"/>
      <c r="E19" s="222"/>
      <c r="F19" s="222"/>
      <c r="G19" s="168"/>
      <c r="H19" s="167"/>
      <c r="I19" s="272"/>
      <c r="J19" s="272"/>
      <c r="K19" s="272"/>
      <c r="L19" s="272">
        <f>L38*L55</f>
        <v>0</v>
      </c>
      <c r="M19" s="272">
        <f>M38*M53</f>
        <v>0</v>
      </c>
      <c r="N19" s="272">
        <f t="shared" si="7"/>
        <v>0</v>
      </c>
      <c r="O19" s="272">
        <f t="shared" si="7"/>
        <v>0</v>
      </c>
      <c r="P19" s="272">
        <f t="shared" si="7"/>
        <v>0</v>
      </c>
      <c r="Q19" s="272">
        <f t="shared" si="7"/>
        <v>0</v>
      </c>
      <c r="R19" s="272">
        <f t="shared" si="8"/>
        <v>0</v>
      </c>
      <c r="S19" s="272">
        <f t="shared" si="8"/>
        <v>0</v>
      </c>
      <c r="T19" s="168"/>
      <c r="U19" s="168"/>
    </row>
    <row r="20" spans="1:21" ht="15.75" hidden="1" customHeight="1" outlineLevel="1">
      <c r="A20" s="295"/>
      <c r="B20" s="168"/>
      <c r="C20" s="222" t="s">
        <v>655</v>
      </c>
      <c r="D20" s="222"/>
      <c r="E20" s="222"/>
      <c r="F20" s="222"/>
      <c r="G20" s="168"/>
      <c r="H20" s="167"/>
      <c r="I20" s="272"/>
      <c r="J20" s="272"/>
      <c r="K20" s="272"/>
      <c r="L20" s="272">
        <f t="shared" ref="L20:R20" si="9">L39*L57</f>
        <v>0</v>
      </c>
      <c r="M20" s="272">
        <f t="shared" si="9"/>
        <v>2141595.7333333334</v>
      </c>
      <c r="N20" s="272">
        <f t="shared" si="9"/>
        <v>14019893.997466667</v>
      </c>
      <c r="O20" s="272">
        <f t="shared" si="9"/>
        <v>3790902.0444915257</v>
      </c>
      <c r="P20" s="272">
        <f t="shared" si="9"/>
        <v>0</v>
      </c>
      <c r="Q20" s="272">
        <f t="shared" si="9"/>
        <v>0</v>
      </c>
      <c r="R20" s="272">
        <f t="shared" si="9"/>
        <v>0</v>
      </c>
      <c r="S20" s="272">
        <f>S39*S57</f>
        <v>0</v>
      </c>
      <c r="T20" s="168"/>
      <c r="U20" s="168"/>
    </row>
    <row r="21" spans="1:21" ht="15.75" hidden="1" customHeight="1" outlineLevel="1">
      <c r="A21" s="295"/>
      <c r="B21" s="168"/>
      <c r="C21" s="222" t="s">
        <v>57</v>
      </c>
      <c r="D21" s="222"/>
      <c r="E21" s="222"/>
      <c r="F21" s="222"/>
      <c r="G21" s="168"/>
      <c r="H21" s="167"/>
      <c r="I21" s="272"/>
      <c r="J21" s="272"/>
      <c r="K21" s="272"/>
      <c r="L21" s="272">
        <f>L59*L40</f>
        <v>0</v>
      </c>
      <c r="M21" s="272">
        <f>M59*M40</f>
        <v>0</v>
      </c>
      <c r="N21" s="272">
        <f t="shared" ref="N21:Q23" si="10">N59*N40</f>
        <v>0</v>
      </c>
      <c r="O21" s="272">
        <f t="shared" si="10"/>
        <v>0</v>
      </c>
      <c r="P21" s="272">
        <f t="shared" si="10"/>
        <v>0</v>
      </c>
      <c r="Q21" s="272">
        <f t="shared" si="10"/>
        <v>0</v>
      </c>
      <c r="R21" s="272">
        <f t="shared" ref="R21:S23" si="11">R59*R40</f>
        <v>0</v>
      </c>
      <c r="S21" s="272">
        <f t="shared" si="11"/>
        <v>0</v>
      </c>
      <c r="T21" s="168"/>
      <c r="U21" s="168"/>
    </row>
    <row r="22" spans="1:21" ht="15.75" hidden="1" customHeight="1" outlineLevel="1">
      <c r="A22" s="295"/>
      <c r="B22" s="168"/>
      <c r="C22" s="222" t="s">
        <v>58</v>
      </c>
      <c r="D22" s="222"/>
      <c r="E22" s="222"/>
      <c r="F22" s="222"/>
      <c r="G22" s="168"/>
      <c r="H22" s="167"/>
      <c r="I22" s="272"/>
      <c r="J22" s="272"/>
      <c r="K22" s="272"/>
      <c r="L22" s="272">
        <f t="shared" ref="L22:N23" si="12">L60*L41</f>
        <v>0</v>
      </c>
      <c r="M22" s="272">
        <f>M60*M41</f>
        <v>0</v>
      </c>
      <c r="N22" s="272">
        <f t="shared" si="12"/>
        <v>0</v>
      </c>
      <c r="O22" s="272">
        <f t="shared" si="10"/>
        <v>0</v>
      </c>
      <c r="P22" s="272">
        <f t="shared" si="10"/>
        <v>0</v>
      </c>
      <c r="Q22" s="272">
        <f t="shared" si="10"/>
        <v>0</v>
      </c>
      <c r="R22" s="272">
        <f t="shared" si="11"/>
        <v>0</v>
      </c>
      <c r="S22" s="272">
        <f t="shared" si="11"/>
        <v>0</v>
      </c>
      <c r="T22" s="168"/>
      <c r="U22" s="168"/>
    </row>
    <row r="23" spans="1:21" ht="15.75" hidden="1" customHeight="1" outlineLevel="1">
      <c r="A23" s="295"/>
      <c r="B23" s="168"/>
      <c r="C23" s="222" t="s">
        <v>62</v>
      </c>
      <c r="D23" s="222"/>
      <c r="E23" s="222"/>
      <c r="F23" s="222"/>
      <c r="G23" s="168"/>
      <c r="H23" s="167"/>
      <c r="I23" s="272"/>
      <c r="J23" s="272"/>
      <c r="K23" s="272"/>
      <c r="L23" s="272">
        <f>L61*L42</f>
        <v>0</v>
      </c>
      <c r="M23" s="272">
        <f>M61*M42</f>
        <v>0</v>
      </c>
      <c r="N23" s="272">
        <f t="shared" si="12"/>
        <v>0</v>
      </c>
      <c r="O23" s="272">
        <f t="shared" si="10"/>
        <v>0</v>
      </c>
      <c r="P23" s="272">
        <f t="shared" si="10"/>
        <v>0</v>
      </c>
      <c r="Q23" s="272">
        <f t="shared" si="10"/>
        <v>0</v>
      </c>
      <c r="R23" s="272">
        <f t="shared" si="11"/>
        <v>0</v>
      </c>
      <c r="S23" s="272">
        <f t="shared" si="11"/>
        <v>0</v>
      </c>
      <c r="T23" s="168"/>
      <c r="U23" s="168"/>
    </row>
    <row r="24" spans="1:21" ht="15.75" customHeight="1" collapsed="1">
      <c r="A24" s="295"/>
      <c r="B24" s="168"/>
      <c r="C24" s="310" t="s">
        <v>685</v>
      </c>
      <c r="D24" s="222"/>
      <c r="E24" s="222"/>
      <c r="F24" s="222"/>
      <c r="G24" s="168"/>
      <c r="H24" s="167"/>
      <c r="I24" s="317"/>
      <c r="J24" s="311"/>
      <c r="K24" s="311"/>
      <c r="L24" s="311"/>
      <c r="M24" s="168"/>
      <c r="N24" s="168"/>
      <c r="O24" s="272">
        <f>7374000/'Control list'!K18</f>
        <v>92175</v>
      </c>
      <c r="P24" s="168"/>
      <c r="Q24" s="168"/>
      <c r="R24" s="168"/>
      <c r="S24" s="168"/>
      <c r="T24" s="168"/>
      <c r="U24" s="168"/>
    </row>
    <row r="25" spans="1:21" ht="15.75" customHeight="1">
      <c r="A25" s="295"/>
      <c r="B25" s="168"/>
      <c r="C25" s="186" t="s">
        <v>299</v>
      </c>
      <c r="D25" s="312"/>
      <c r="E25" s="312"/>
      <c r="F25" s="312"/>
      <c r="G25" s="313"/>
      <c r="H25" s="305"/>
      <c r="I25" s="309"/>
      <c r="J25" s="309"/>
      <c r="K25" s="309"/>
      <c r="L25" s="309">
        <f>-((L48-L65)*L33+(L51-L66)*L35+(L54-L67)*L37)*1.5%</f>
        <v>0</v>
      </c>
      <c r="M25" s="309">
        <f>-((M48-M65)*M33+(M51-M66)*M35+(M54-M67)*M37)*1.2%</f>
        <v>-27421.504380000002</v>
      </c>
      <c r="N25" s="309">
        <f>-((N48-N65)*N33+(N51-N66)*N35+(N54-N67)*N37)*0.7%</f>
        <v>-75317.588633699983</v>
      </c>
      <c r="O25" s="309">
        <f>-((O48-O65)*O33+(O51-O66)*O35+(O54-O67)*O37)*1.5%</f>
        <v>-106083.43199999999</v>
      </c>
      <c r="P25" s="309">
        <f>-((P48-P65)*P33+(P51-P66)*P35+(P54-P67)*P37)*1.5%</f>
        <v>0</v>
      </c>
      <c r="Q25" s="309">
        <f>-((Q48-Q65)*Q33+(Q51-Q66)*Q35+(Q54-Q67)*Q37)*1.5%</f>
        <v>0</v>
      </c>
      <c r="R25" s="309">
        <f>-((R48-R65)*R33+(R51-R66)*R35+(R54-R67)*R37)*1.5%</f>
        <v>0</v>
      </c>
      <c r="S25" s="309">
        <f>-((S48-S65)*S33+(S51-S66)*S35+(S54-S67)*S37)*1.5%</f>
        <v>0</v>
      </c>
      <c r="T25" s="168"/>
      <c r="U25" s="168"/>
    </row>
    <row r="26" spans="1:21" ht="15.75" customHeight="1">
      <c r="A26" s="295"/>
      <c r="B26" s="168"/>
      <c r="C26" s="186" t="s">
        <v>331</v>
      </c>
      <c r="D26" s="312"/>
      <c r="E26" s="312"/>
      <c r="F26" s="312"/>
      <c r="G26" s="313"/>
      <c r="H26" s="305"/>
      <c r="I26" s="309"/>
      <c r="J26" s="309"/>
      <c r="K26" s="309"/>
      <c r="L26" s="309">
        <f t="shared" ref="L26:R26" si="13">-(L33*L65+L35*L66+L37*L67)</f>
        <v>0</v>
      </c>
      <c r="M26" s="309">
        <f t="shared" si="13"/>
        <v>-183417.60000000001</v>
      </c>
      <c r="N26" s="309">
        <f t="shared" si="13"/>
        <v>-992229.6078</v>
      </c>
      <c r="O26" s="309">
        <f t="shared" si="13"/>
        <v>-283111.2</v>
      </c>
      <c r="P26" s="309">
        <f t="shared" si="13"/>
        <v>0</v>
      </c>
      <c r="Q26" s="309">
        <f t="shared" si="13"/>
        <v>0</v>
      </c>
      <c r="R26" s="309">
        <f t="shared" si="13"/>
        <v>0</v>
      </c>
      <c r="S26" s="309">
        <f>-(S33*S65+S35*S66+S37*S67)</f>
        <v>0</v>
      </c>
      <c r="T26" s="168"/>
      <c r="U26" s="168"/>
    </row>
    <row r="27" spans="1:21" ht="6" customHeight="1">
      <c r="A27" s="295"/>
      <c r="B27" s="168"/>
      <c r="C27" s="310"/>
      <c r="D27" s="222"/>
      <c r="E27" s="222"/>
      <c r="F27" s="222"/>
      <c r="G27" s="168"/>
      <c r="H27" s="167"/>
      <c r="I27" s="311"/>
      <c r="J27" s="311"/>
      <c r="K27" s="311"/>
      <c r="L27" s="311"/>
      <c r="M27" s="168"/>
      <c r="N27" s="168"/>
      <c r="O27" s="168"/>
      <c r="P27" s="168"/>
      <c r="Q27" s="168"/>
      <c r="R27" s="168"/>
      <c r="S27" s="168"/>
      <c r="T27" s="168"/>
      <c r="U27" s="168"/>
    </row>
    <row r="28" spans="1:21" ht="15.75" customHeight="1">
      <c r="A28" s="295"/>
      <c r="B28" s="168"/>
      <c r="C28" s="186" t="s">
        <v>332</v>
      </c>
      <c r="D28" s="312"/>
      <c r="E28" s="312"/>
      <c r="F28" s="312"/>
      <c r="G28" s="313"/>
      <c r="H28" s="305"/>
      <c r="I28" s="309"/>
      <c r="J28" s="309"/>
      <c r="K28" s="309"/>
      <c r="L28" s="309">
        <f t="shared" ref="L28:R28" si="14">L11+L25+L26</f>
        <v>0</v>
      </c>
      <c r="M28" s="309">
        <f t="shared" si="14"/>
        <v>5424877.3051765375</v>
      </c>
      <c r="N28" s="309">
        <f t="shared" si="14"/>
        <v>28365121.128550965</v>
      </c>
      <c r="O28" s="309">
        <f t="shared" si="14"/>
        <v>12035093.406444563</v>
      </c>
      <c r="P28" s="309">
        <f t="shared" si="14"/>
        <v>0</v>
      </c>
      <c r="Q28" s="309">
        <f t="shared" si="14"/>
        <v>0</v>
      </c>
      <c r="R28" s="309">
        <f t="shared" si="14"/>
        <v>0</v>
      </c>
      <c r="S28" s="309">
        <f>S11+S25+S26</f>
        <v>0</v>
      </c>
      <c r="T28" s="168"/>
      <c r="U28" s="168"/>
    </row>
    <row r="29" spans="1:21" ht="9" customHeight="1">
      <c r="A29" s="295"/>
      <c r="B29" s="168"/>
      <c r="C29" s="222"/>
      <c r="D29" s="222"/>
      <c r="E29" s="222"/>
      <c r="F29" s="222"/>
      <c r="G29" s="168"/>
      <c r="H29" s="167"/>
      <c r="I29" s="272"/>
      <c r="J29" s="272"/>
      <c r="K29" s="272"/>
      <c r="L29" s="272"/>
      <c r="M29" s="168"/>
      <c r="N29" s="168"/>
      <c r="O29" s="168"/>
      <c r="P29" s="168"/>
      <c r="Q29" s="168"/>
      <c r="R29" s="168"/>
      <c r="S29" s="168"/>
      <c r="T29" s="168"/>
      <c r="U29" s="168"/>
    </row>
    <row r="30" spans="1:21" ht="15.75" customHeight="1">
      <c r="A30" s="295"/>
      <c r="B30" s="168"/>
      <c r="C30" s="186" t="s">
        <v>333</v>
      </c>
      <c r="D30" s="222"/>
      <c r="E30" s="222"/>
      <c r="F30" s="222"/>
      <c r="G30" s="168"/>
      <c r="H30" s="167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168"/>
      <c r="U30" s="168"/>
    </row>
    <row r="31" spans="1:21" ht="15.75" customHeight="1">
      <c r="A31" s="295"/>
      <c r="B31" s="168"/>
      <c r="C31" s="314" t="s">
        <v>336</v>
      </c>
      <c r="D31" s="222"/>
      <c r="E31" s="222"/>
      <c r="F31" s="222"/>
      <c r="G31" s="168"/>
      <c r="H31" s="167"/>
      <c r="I31" s="272"/>
      <c r="J31" s="272"/>
      <c r="K31" s="222"/>
      <c r="L31" s="717"/>
      <c r="M31" s="315">
        <v>0</v>
      </c>
      <c r="N31" s="315">
        <f t="shared" ref="N31:S31" si="15">M31</f>
        <v>0</v>
      </c>
      <c r="O31" s="315">
        <f t="shared" si="15"/>
        <v>0</v>
      </c>
      <c r="P31" s="315">
        <f t="shared" si="15"/>
        <v>0</v>
      </c>
      <c r="Q31" s="315">
        <f t="shared" si="15"/>
        <v>0</v>
      </c>
      <c r="R31" s="315">
        <f t="shared" si="15"/>
        <v>0</v>
      </c>
      <c r="S31" s="315">
        <f t="shared" si="15"/>
        <v>0</v>
      </c>
      <c r="T31" s="168"/>
      <c r="U31" s="168"/>
    </row>
    <row r="32" spans="1:21" ht="15.75" hidden="1" customHeight="1" outlineLevel="1">
      <c r="A32" s="295"/>
      <c r="B32" s="168"/>
      <c r="C32" s="314" t="s">
        <v>45</v>
      </c>
      <c r="D32" s="222"/>
      <c r="E32" s="222"/>
      <c r="F32" s="222"/>
      <c r="G32" s="168"/>
      <c r="H32" s="167"/>
      <c r="I32" s="272"/>
      <c r="J32" s="272"/>
      <c r="K32" s="222"/>
      <c r="L32" s="717"/>
      <c r="M32" s="315">
        <v>0</v>
      </c>
      <c r="N32" s="315">
        <f>M32</f>
        <v>0</v>
      </c>
      <c r="O32" s="315">
        <f t="shared" ref="O32:S42" si="16">N32</f>
        <v>0</v>
      </c>
      <c r="P32" s="315">
        <f t="shared" si="16"/>
        <v>0</v>
      </c>
      <c r="Q32" s="315">
        <f t="shared" si="16"/>
        <v>0</v>
      </c>
      <c r="R32" s="315">
        <f t="shared" si="16"/>
        <v>0</v>
      </c>
      <c r="S32" s="315">
        <f t="shared" si="16"/>
        <v>0</v>
      </c>
      <c r="T32" s="168"/>
      <c r="U32" s="168"/>
    </row>
    <row r="33" spans="1:21" ht="15.75" hidden="1" customHeight="1" outlineLevel="1">
      <c r="A33" s="295"/>
      <c r="B33" s="168"/>
      <c r="C33" s="314" t="s">
        <v>46</v>
      </c>
      <c r="D33" s="222"/>
      <c r="E33" s="222"/>
      <c r="F33" s="222"/>
      <c r="G33" s="168"/>
      <c r="H33" s="167"/>
      <c r="I33" s="272"/>
      <c r="J33" s="272"/>
      <c r="K33" s="222"/>
      <c r="L33" s="717"/>
      <c r="M33" s="315">
        <v>0</v>
      </c>
      <c r="N33" s="315">
        <f>M33</f>
        <v>0</v>
      </c>
      <c r="O33" s="315">
        <f t="shared" si="16"/>
        <v>0</v>
      </c>
      <c r="P33" s="315">
        <f t="shared" si="16"/>
        <v>0</v>
      </c>
      <c r="Q33" s="315">
        <f t="shared" si="16"/>
        <v>0</v>
      </c>
      <c r="R33" s="315">
        <f t="shared" si="16"/>
        <v>0</v>
      </c>
      <c r="S33" s="315">
        <f t="shared" si="16"/>
        <v>0</v>
      </c>
      <c r="T33" s="168"/>
      <c r="U33" s="168"/>
    </row>
    <row r="34" spans="1:21" ht="15.75" hidden="1" customHeight="1" outlineLevel="1">
      <c r="A34" s="295"/>
      <c r="B34" s="168"/>
      <c r="C34" s="314" t="s">
        <v>47</v>
      </c>
      <c r="D34" s="222"/>
      <c r="E34" s="222"/>
      <c r="F34" s="222"/>
      <c r="G34" s="168"/>
      <c r="H34" s="167"/>
      <c r="I34" s="272"/>
      <c r="J34" s="272"/>
      <c r="K34" s="222"/>
      <c r="L34" s="717"/>
      <c r="M34" s="315">
        <v>0</v>
      </c>
      <c r="N34" s="315">
        <f>M34</f>
        <v>0</v>
      </c>
      <c r="O34" s="315">
        <f t="shared" si="16"/>
        <v>0</v>
      </c>
      <c r="P34" s="315">
        <f t="shared" si="16"/>
        <v>0</v>
      </c>
      <c r="Q34" s="315">
        <f t="shared" si="16"/>
        <v>0</v>
      </c>
      <c r="R34" s="315">
        <f t="shared" si="16"/>
        <v>0</v>
      </c>
      <c r="S34" s="315">
        <f t="shared" si="16"/>
        <v>0</v>
      </c>
      <c r="T34" s="168"/>
      <c r="U34" s="168"/>
    </row>
    <row r="35" spans="1:21" ht="15.75" hidden="1" customHeight="1" outlineLevel="1">
      <c r="A35" s="295"/>
      <c r="B35" s="168"/>
      <c r="C35" s="314" t="s">
        <v>48</v>
      </c>
      <c r="D35" s="222"/>
      <c r="E35" s="222"/>
      <c r="F35" s="222"/>
      <c r="G35" s="168"/>
      <c r="H35" s="167"/>
      <c r="I35" s="634"/>
      <c r="J35" s="311"/>
      <c r="K35" s="222"/>
      <c r="L35" s="717"/>
      <c r="M35" s="315">
        <v>0</v>
      </c>
      <c r="N35" s="315">
        <f>M35</f>
        <v>0</v>
      </c>
      <c r="O35" s="315">
        <f t="shared" si="16"/>
        <v>0</v>
      </c>
      <c r="P35" s="315">
        <f t="shared" si="16"/>
        <v>0</v>
      </c>
      <c r="Q35" s="315">
        <f t="shared" si="16"/>
        <v>0</v>
      </c>
      <c r="R35" s="315">
        <f t="shared" si="16"/>
        <v>0</v>
      </c>
      <c r="S35" s="315">
        <f t="shared" si="16"/>
        <v>0</v>
      </c>
      <c r="T35" s="168"/>
      <c r="U35" s="168"/>
    </row>
    <row r="36" spans="1:21" ht="15.75" hidden="1" customHeight="1" outlineLevel="1">
      <c r="A36" s="295"/>
      <c r="B36" s="168"/>
      <c r="C36" s="314" t="s">
        <v>49</v>
      </c>
      <c r="D36" s="222"/>
      <c r="E36" s="222"/>
      <c r="F36" s="222"/>
      <c r="G36" s="168"/>
      <c r="H36" s="167"/>
      <c r="I36" s="718"/>
      <c r="J36" s="718"/>
      <c r="K36" s="222"/>
      <c r="L36" s="717"/>
      <c r="M36" s="315">
        <v>1425</v>
      </c>
      <c r="N36" s="315">
        <f>26513.385-N37</f>
        <v>10917.194999999998</v>
      </c>
      <c r="O36" s="315">
        <v>3975.5041666666666</v>
      </c>
      <c r="P36" s="315"/>
      <c r="Q36" s="315"/>
      <c r="R36" s="315"/>
      <c r="S36" s="315"/>
      <c r="T36" s="168"/>
      <c r="U36" s="168"/>
    </row>
    <row r="37" spans="1:21" ht="15.75" hidden="1" customHeight="1" outlineLevel="1">
      <c r="A37" s="295"/>
      <c r="B37" s="168"/>
      <c r="C37" s="314" t="s">
        <v>50</v>
      </c>
      <c r="D37" s="222"/>
      <c r="E37" s="222"/>
      <c r="F37" s="222"/>
      <c r="G37" s="168"/>
      <c r="H37" s="167"/>
      <c r="I37" s="719"/>
      <c r="J37" s="720"/>
      <c r="K37" s="222"/>
      <c r="L37" s="717"/>
      <c r="M37" s="315">
        <v>2865.9</v>
      </c>
      <c r="N37" s="315">
        <v>15596.19</v>
      </c>
      <c r="O37" s="315">
        <v>9252</v>
      </c>
      <c r="P37" s="315"/>
      <c r="Q37" s="315"/>
      <c r="R37" s="315"/>
      <c r="S37" s="315"/>
      <c r="T37" s="168"/>
      <c r="U37" s="168"/>
    </row>
    <row r="38" spans="1:21" ht="15.75" hidden="1" customHeight="1" outlineLevel="1">
      <c r="A38" s="295"/>
      <c r="B38" s="168"/>
      <c r="C38" s="314" t="s">
        <v>51</v>
      </c>
      <c r="D38" s="222"/>
      <c r="E38" s="222"/>
      <c r="F38" s="222"/>
      <c r="G38" s="168"/>
      <c r="H38" s="167"/>
      <c r="I38" s="719"/>
      <c r="J38" s="719"/>
      <c r="K38" s="222"/>
      <c r="L38" s="717"/>
      <c r="M38" s="315">
        <v>0</v>
      </c>
      <c r="N38" s="315">
        <v>0</v>
      </c>
      <c r="O38" s="315">
        <f t="shared" si="16"/>
        <v>0</v>
      </c>
      <c r="P38" s="315"/>
      <c r="Q38" s="315"/>
      <c r="R38" s="315"/>
      <c r="S38" s="315"/>
      <c r="T38" s="168"/>
      <c r="U38" s="168"/>
    </row>
    <row r="39" spans="1:21" ht="15.75" customHeight="1" collapsed="1">
      <c r="A39" s="295"/>
      <c r="B39" s="168"/>
      <c r="C39" s="314" t="s">
        <v>672</v>
      </c>
      <c r="D39" s="222"/>
      <c r="E39" s="222"/>
      <c r="F39" s="222"/>
      <c r="G39" s="168"/>
      <c r="H39" s="167"/>
      <c r="I39" s="634"/>
      <c r="J39" s="311"/>
      <c r="K39" s="222"/>
      <c r="L39" s="717"/>
      <c r="M39" s="315">
        <v>24910</v>
      </c>
      <c r="N39" s="315">
        <v>164091.79999999999</v>
      </c>
      <c r="O39" s="315">
        <v>38393</v>
      </c>
      <c r="P39" s="315"/>
      <c r="Q39" s="315"/>
      <c r="R39" s="315"/>
      <c r="S39" s="315"/>
      <c r="T39" s="168"/>
      <c r="U39" s="168"/>
    </row>
    <row r="40" spans="1:21" ht="15.75" hidden="1" customHeight="1" outlineLevel="1">
      <c r="A40" s="295"/>
      <c r="B40" s="168"/>
      <c r="C40" s="314" t="s">
        <v>52</v>
      </c>
      <c r="D40" s="222"/>
      <c r="E40" s="222"/>
      <c r="F40" s="222"/>
      <c r="G40" s="168"/>
      <c r="H40" s="167"/>
      <c r="I40" s="311"/>
      <c r="J40" s="311"/>
      <c r="K40" s="222"/>
      <c r="L40" s="717"/>
      <c r="M40" s="315">
        <v>0</v>
      </c>
      <c r="N40" s="315">
        <f>M40</f>
        <v>0</v>
      </c>
      <c r="O40" s="315">
        <f t="shared" si="16"/>
        <v>0</v>
      </c>
      <c r="P40" s="315">
        <f t="shared" si="16"/>
        <v>0</v>
      </c>
      <c r="Q40" s="315">
        <f t="shared" si="16"/>
        <v>0</v>
      </c>
      <c r="R40" s="315">
        <f t="shared" si="16"/>
        <v>0</v>
      </c>
      <c r="S40" s="315">
        <f t="shared" si="16"/>
        <v>0</v>
      </c>
      <c r="T40" s="168"/>
      <c r="U40" s="168"/>
    </row>
    <row r="41" spans="1:21" ht="15.75" hidden="1" customHeight="1" outlineLevel="1">
      <c r="A41" s="295"/>
      <c r="B41" s="168"/>
      <c r="C41" s="314" t="s">
        <v>53</v>
      </c>
      <c r="D41" s="222"/>
      <c r="E41" s="222"/>
      <c r="F41" s="222"/>
      <c r="G41" s="168"/>
      <c r="H41" s="167"/>
      <c r="I41" s="311"/>
      <c r="J41" s="311"/>
      <c r="K41" s="222"/>
      <c r="L41" s="717"/>
      <c r="M41" s="315">
        <v>0</v>
      </c>
      <c r="N41" s="315">
        <v>0</v>
      </c>
      <c r="O41" s="315">
        <f t="shared" si="16"/>
        <v>0</v>
      </c>
      <c r="P41" s="315">
        <f t="shared" si="16"/>
        <v>0</v>
      </c>
      <c r="Q41" s="315">
        <f t="shared" si="16"/>
        <v>0</v>
      </c>
      <c r="R41" s="315">
        <f t="shared" si="16"/>
        <v>0</v>
      </c>
      <c r="S41" s="315">
        <f t="shared" si="16"/>
        <v>0</v>
      </c>
      <c r="T41" s="168"/>
      <c r="U41" s="168"/>
    </row>
    <row r="42" spans="1:21" ht="15.75" hidden="1" customHeight="1" outlineLevel="1">
      <c r="A42" s="295"/>
      <c r="B42" s="168"/>
      <c r="C42" s="314" t="s">
        <v>63</v>
      </c>
      <c r="D42" s="222"/>
      <c r="E42" s="222"/>
      <c r="F42" s="222"/>
      <c r="G42" s="168"/>
      <c r="H42" s="167"/>
      <c r="I42" s="311"/>
      <c r="J42" s="311"/>
      <c r="K42" s="222"/>
      <c r="L42" s="717"/>
      <c r="M42" s="315">
        <v>0</v>
      </c>
      <c r="N42" s="315">
        <f>M42</f>
        <v>0</v>
      </c>
      <c r="O42" s="315">
        <f t="shared" si="16"/>
        <v>0</v>
      </c>
      <c r="P42" s="315">
        <f t="shared" si="16"/>
        <v>0</v>
      </c>
      <c r="Q42" s="315">
        <f t="shared" si="16"/>
        <v>0</v>
      </c>
      <c r="R42" s="315">
        <f t="shared" si="16"/>
        <v>0</v>
      </c>
      <c r="S42" s="315">
        <f t="shared" si="16"/>
        <v>0</v>
      </c>
      <c r="T42" s="168"/>
      <c r="U42" s="168"/>
    </row>
    <row r="43" spans="1:21" ht="15.75" customHeight="1" collapsed="1">
      <c r="A43" s="295"/>
      <c r="B43" s="168"/>
      <c r="C43" s="314" t="s">
        <v>334</v>
      </c>
      <c r="D43" s="222"/>
      <c r="E43" s="222"/>
      <c r="F43" s="222"/>
      <c r="G43" s="168"/>
      <c r="H43" s="167"/>
      <c r="I43" s="311"/>
      <c r="J43" s="311"/>
      <c r="K43" s="311"/>
      <c r="L43" s="316"/>
      <c r="M43" s="316">
        <f t="shared" ref="M43:S43" si="17">M32+M33</f>
        <v>0</v>
      </c>
      <c r="N43" s="316">
        <f t="shared" si="17"/>
        <v>0</v>
      </c>
      <c r="O43" s="316">
        <f t="shared" si="17"/>
        <v>0</v>
      </c>
      <c r="P43" s="316">
        <f t="shared" si="17"/>
        <v>0</v>
      </c>
      <c r="Q43" s="316">
        <f t="shared" si="17"/>
        <v>0</v>
      </c>
      <c r="R43" s="316">
        <f t="shared" si="17"/>
        <v>0</v>
      </c>
      <c r="S43" s="316">
        <f t="shared" si="17"/>
        <v>0</v>
      </c>
      <c r="T43" s="168"/>
      <c r="U43" s="168"/>
    </row>
    <row r="44" spans="1:21" ht="15.75" hidden="1" customHeight="1" outlineLevel="1">
      <c r="A44" s="295"/>
      <c r="B44" s="168"/>
      <c r="C44" s="186" t="s">
        <v>44</v>
      </c>
      <c r="D44" s="222"/>
      <c r="E44" s="222"/>
      <c r="F44" s="222"/>
      <c r="G44" s="168"/>
      <c r="H44" s="167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168"/>
      <c r="U44" s="168"/>
    </row>
    <row r="45" spans="1:21" ht="15.75" hidden="1" customHeight="1" outlineLevel="1">
      <c r="A45" s="295"/>
      <c r="B45" s="168"/>
      <c r="C45" s="314" t="s">
        <v>40</v>
      </c>
      <c r="D45" s="222"/>
      <c r="E45" s="222"/>
      <c r="F45" s="222"/>
      <c r="G45" s="168"/>
      <c r="H45" s="167"/>
      <c r="I45" s="272"/>
      <c r="J45" s="272"/>
      <c r="K45" s="272"/>
      <c r="L45" s="317"/>
      <c r="M45" s="317">
        <v>0</v>
      </c>
      <c r="N45" s="317">
        <f>M45</f>
        <v>0</v>
      </c>
      <c r="O45" s="317">
        <f>N45*(1+O46)</f>
        <v>0</v>
      </c>
      <c r="P45" s="317">
        <f>O45*(1+P46)</f>
        <v>0</v>
      </c>
      <c r="Q45" s="317">
        <f>P45*(1+Q46)</f>
        <v>0</v>
      </c>
      <c r="R45" s="317">
        <f>Q45*(1+R46)</f>
        <v>0</v>
      </c>
      <c r="S45" s="317">
        <f>R45*(1+S46)</f>
        <v>0</v>
      </c>
      <c r="T45" s="168"/>
      <c r="U45" s="168"/>
    </row>
    <row r="46" spans="1:21" ht="15.75" hidden="1" customHeight="1" outlineLevel="1">
      <c r="A46" s="295"/>
      <c r="B46" s="168"/>
      <c r="C46" s="314" t="s">
        <v>59</v>
      </c>
      <c r="D46" s="222"/>
      <c r="E46" s="222"/>
      <c r="F46" s="222"/>
      <c r="G46" s="168"/>
      <c r="H46" s="167"/>
      <c r="I46" s="272"/>
      <c r="J46" s="272"/>
      <c r="K46" s="272"/>
      <c r="L46" s="272"/>
      <c r="M46" s="311"/>
      <c r="N46" s="317">
        <f t="shared" ref="N46:N52" si="18">M46</f>
        <v>0</v>
      </c>
      <c r="O46" s="311"/>
      <c r="P46" s="311"/>
      <c r="Q46" s="311"/>
      <c r="R46" s="311"/>
      <c r="S46" s="311"/>
      <c r="T46" s="168"/>
      <c r="U46" s="168"/>
    </row>
    <row r="47" spans="1:21" ht="15.75" hidden="1" customHeight="1" outlineLevel="1">
      <c r="A47" s="295"/>
      <c r="B47" s="168"/>
      <c r="C47" s="314" t="s">
        <v>39</v>
      </c>
      <c r="D47" s="222"/>
      <c r="E47" s="222"/>
      <c r="F47" s="222"/>
      <c r="G47" s="168"/>
      <c r="H47" s="167"/>
      <c r="I47" s="293"/>
      <c r="J47" s="293"/>
      <c r="K47" s="293"/>
      <c r="L47" s="317"/>
      <c r="M47" s="317">
        <v>0</v>
      </c>
      <c r="N47" s="317">
        <f t="shared" si="18"/>
        <v>0</v>
      </c>
      <c r="O47" s="317">
        <f>N47*(1+O49)</f>
        <v>0</v>
      </c>
      <c r="P47" s="317">
        <f>O47*(1+P49)</f>
        <v>0</v>
      </c>
      <c r="Q47" s="317">
        <f>P47*(1+Q49)</f>
        <v>0</v>
      </c>
      <c r="R47" s="317">
        <f>Q47*(1+R49)</f>
        <v>0</v>
      </c>
      <c r="S47" s="317">
        <f>R47*(1+S49)</f>
        <v>0</v>
      </c>
      <c r="T47" s="168"/>
      <c r="U47" s="168"/>
    </row>
    <row r="48" spans="1:21" ht="15.75" hidden="1" customHeight="1" outlineLevel="1">
      <c r="A48" s="295"/>
      <c r="B48" s="168"/>
      <c r="C48" s="314" t="s">
        <v>41</v>
      </c>
      <c r="D48" s="222"/>
      <c r="E48" s="222"/>
      <c r="F48" s="222"/>
      <c r="G48" s="168"/>
      <c r="H48" s="167"/>
      <c r="I48" s="311"/>
      <c r="J48" s="311"/>
      <c r="K48" s="318"/>
      <c r="L48" s="317"/>
      <c r="M48" s="317">
        <v>0</v>
      </c>
      <c r="N48" s="317">
        <f t="shared" si="18"/>
        <v>0</v>
      </c>
      <c r="O48" s="317">
        <f>N48*(1+O49)</f>
        <v>0</v>
      </c>
      <c r="P48" s="317">
        <f>O48*(1+P49)</f>
        <v>0</v>
      </c>
      <c r="Q48" s="317">
        <f>P48*(1+Q49)</f>
        <v>0</v>
      </c>
      <c r="R48" s="317">
        <f>Q48*(1+R49)</f>
        <v>0</v>
      </c>
      <c r="S48" s="317">
        <f>R48*(1+S49)</f>
        <v>0</v>
      </c>
      <c r="T48" s="168"/>
      <c r="U48" s="168"/>
    </row>
    <row r="49" spans="1:21" ht="15.75" hidden="1" customHeight="1" outlineLevel="1">
      <c r="A49" s="295"/>
      <c r="B49" s="168"/>
      <c r="C49" s="314" t="s">
        <v>60</v>
      </c>
      <c r="D49" s="222"/>
      <c r="E49" s="222"/>
      <c r="F49" s="222"/>
      <c r="G49" s="168"/>
      <c r="H49" s="167"/>
      <c r="I49" s="311"/>
      <c r="J49" s="311"/>
      <c r="K49" s="318"/>
      <c r="L49" s="311"/>
      <c r="M49" s="311"/>
      <c r="N49" s="317"/>
      <c r="O49" s="311"/>
      <c r="P49" s="311"/>
      <c r="Q49" s="311"/>
      <c r="R49" s="311"/>
      <c r="S49" s="311"/>
      <c r="T49" s="168"/>
      <c r="U49" s="168"/>
    </row>
    <row r="50" spans="1:21" ht="15.75" hidden="1" customHeight="1" outlineLevel="1">
      <c r="A50" s="295"/>
      <c r="B50" s="168"/>
      <c r="C50" s="314" t="s">
        <v>42</v>
      </c>
      <c r="D50" s="222"/>
      <c r="E50" s="222"/>
      <c r="F50" s="222"/>
      <c r="G50" s="168"/>
      <c r="H50" s="167"/>
      <c r="I50" s="317"/>
      <c r="J50" s="317"/>
      <c r="K50" s="317"/>
      <c r="L50" s="317"/>
      <c r="M50" s="317">
        <v>0</v>
      </c>
      <c r="N50" s="317">
        <f t="shared" si="18"/>
        <v>0</v>
      </c>
      <c r="O50" s="317">
        <f>N50*(1+O52)</f>
        <v>0</v>
      </c>
      <c r="P50" s="317">
        <f>O50*(1+P52)</f>
        <v>0</v>
      </c>
      <c r="Q50" s="317">
        <f>P50*(1+Q52)</f>
        <v>0</v>
      </c>
      <c r="R50" s="317">
        <f>Q50*(1+R52)</f>
        <v>0</v>
      </c>
      <c r="S50" s="317">
        <f>R50*(1+S52)</f>
        <v>0</v>
      </c>
      <c r="T50" s="168"/>
      <c r="U50" s="168"/>
    </row>
    <row r="51" spans="1:21" ht="15.75" hidden="1" customHeight="1" outlineLevel="1">
      <c r="A51" s="295"/>
      <c r="B51" s="168"/>
      <c r="C51" s="314" t="s">
        <v>43</v>
      </c>
      <c r="D51" s="222"/>
      <c r="E51" s="222"/>
      <c r="F51" s="222"/>
      <c r="G51" s="168"/>
      <c r="H51" s="167"/>
      <c r="I51" s="317"/>
      <c r="J51" s="317"/>
      <c r="K51" s="317"/>
      <c r="L51" s="317"/>
      <c r="M51" s="317">
        <v>0</v>
      </c>
      <c r="N51" s="317">
        <f t="shared" si="18"/>
        <v>0</v>
      </c>
      <c r="O51" s="317">
        <f>N51*(1+O52)</f>
        <v>0</v>
      </c>
      <c r="P51" s="317">
        <f>O51*(1+P52)</f>
        <v>0</v>
      </c>
      <c r="Q51" s="317">
        <f>P51*(1+Q52)</f>
        <v>0</v>
      </c>
      <c r="R51" s="317">
        <f>Q51*(1+R52)</f>
        <v>0</v>
      </c>
      <c r="S51" s="317">
        <f>R51*(1+S52)</f>
        <v>0</v>
      </c>
      <c r="T51" s="168"/>
      <c r="U51" s="168"/>
    </row>
    <row r="52" spans="1:21" ht="15.75" hidden="1" customHeight="1" outlineLevel="1">
      <c r="A52" s="295"/>
      <c r="B52" s="168"/>
      <c r="C52" s="314" t="s">
        <v>61</v>
      </c>
      <c r="D52" s="222"/>
      <c r="E52" s="222"/>
      <c r="F52" s="222"/>
      <c r="G52" s="168"/>
      <c r="H52" s="167"/>
      <c r="I52" s="317"/>
      <c r="J52" s="317"/>
      <c r="K52" s="317"/>
      <c r="L52" s="311"/>
      <c r="M52" s="317">
        <v>0</v>
      </c>
      <c r="N52" s="317">
        <f t="shared" si="18"/>
        <v>0</v>
      </c>
      <c r="O52" s="311"/>
      <c r="P52" s="311"/>
      <c r="Q52" s="311"/>
      <c r="R52" s="311"/>
      <c r="S52" s="311"/>
      <c r="T52" s="168"/>
      <c r="U52" s="168"/>
    </row>
    <row r="53" spans="1:21" ht="15.75" hidden="1" customHeight="1" outlineLevel="1">
      <c r="A53" s="295"/>
      <c r="B53" s="168"/>
      <c r="C53" s="314" t="s">
        <v>54</v>
      </c>
      <c r="D53" s="222"/>
      <c r="E53" s="222"/>
      <c r="F53" s="222"/>
      <c r="G53" s="168"/>
      <c r="H53" s="167"/>
      <c r="I53" s="319"/>
      <c r="J53" s="319"/>
      <c r="K53" s="317"/>
      <c r="L53" s="317"/>
      <c r="M53" s="317">
        <f>M!M53</f>
        <v>719.70365699873901</v>
      </c>
      <c r="N53" s="317">
        <f>25149.93/'Control list'!J18</f>
        <v>335.33240000000001</v>
      </c>
      <c r="O53" s="317">
        <f>28159/'Control list'!K18/1.18</f>
        <v>298.29449152542378</v>
      </c>
      <c r="P53" s="317"/>
      <c r="Q53" s="317"/>
      <c r="R53" s="317"/>
      <c r="S53" s="317"/>
      <c r="T53" s="168"/>
      <c r="U53" s="168"/>
    </row>
    <row r="54" spans="1:21" ht="15.75" hidden="1" customHeight="1" outlineLevel="1">
      <c r="A54" s="295"/>
      <c r="B54" s="168"/>
      <c r="C54" s="314" t="s">
        <v>55</v>
      </c>
      <c r="D54" s="222"/>
      <c r="E54" s="222"/>
      <c r="F54" s="222"/>
      <c r="G54" s="168"/>
      <c r="H54" s="167"/>
      <c r="I54" s="319"/>
      <c r="J54" s="319"/>
      <c r="K54" s="317"/>
      <c r="L54" s="317"/>
      <c r="M54" s="317">
        <v>861.35</v>
      </c>
      <c r="N54" s="317">
        <v>753.51</v>
      </c>
      <c r="O54" s="317">
        <v>795</v>
      </c>
      <c r="P54" s="317"/>
      <c r="Q54" s="317"/>
      <c r="R54" s="317"/>
      <c r="S54" s="317"/>
      <c r="T54" s="168"/>
      <c r="U54" s="168"/>
    </row>
    <row r="55" spans="1:21" ht="15.75" hidden="1" customHeight="1" outlineLevel="1">
      <c r="A55" s="295"/>
      <c r="B55" s="168"/>
      <c r="C55" s="314" t="s">
        <v>56</v>
      </c>
      <c r="D55" s="222"/>
      <c r="E55" s="222"/>
      <c r="F55" s="222"/>
      <c r="G55" s="168"/>
      <c r="H55" s="167"/>
      <c r="I55" s="719"/>
      <c r="J55" s="317"/>
      <c r="K55" s="317"/>
      <c r="L55" s="317"/>
      <c r="M55" s="317">
        <v>0</v>
      </c>
      <c r="N55" s="317">
        <f>M55</f>
        <v>0</v>
      </c>
      <c r="O55" s="317">
        <f>N55*(1+O$56)</f>
        <v>0</v>
      </c>
      <c r="P55" s="317">
        <f>O55*(1+P$56)</f>
        <v>0</v>
      </c>
      <c r="Q55" s="317">
        <f>P55*(1+Q$56)</f>
        <v>0</v>
      </c>
      <c r="R55" s="317">
        <f>Q55*(1+R$56)</f>
        <v>0</v>
      </c>
      <c r="S55" s="317">
        <f>R55*(1+S$56)</f>
        <v>0</v>
      </c>
      <c r="T55" s="168"/>
      <c r="U55" s="168"/>
    </row>
    <row r="56" spans="1:21" ht="15.75" hidden="1" customHeight="1" outlineLevel="1">
      <c r="A56" s="295"/>
      <c r="B56" s="168"/>
      <c r="C56" s="314" t="s">
        <v>64</v>
      </c>
      <c r="D56" s="222"/>
      <c r="E56" s="222"/>
      <c r="F56" s="222"/>
      <c r="G56" s="168"/>
      <c r="H56" s="167"/>
      <c r="I56" s="719"/>
      <c r="J56" s="317"/>
      <c r="K56" s="317"/>
      <c r="L56" s="317"/>
      <c r="M56" s="317">
        <v>0</v>
      </c>
      <c r="N56" s="317">
        <f>M56</f>
        <v>0</v>
      </c>
      <c r="O56" s="311"/>
      <c r="P56" s="311"/>
      <c r="Q56" s="311"/>
      <c r="R56" s="311"/>
      <c r="S56" s="311"/>
      <c r="T56" s="168"/>
      <c r="U56" s="168"/>
    </row>
    <row r="57" spans="1:21" ht="15.75" hidden="1" customHeight="1" outlineLevel="1">
      <c r="A57" s="295"/>
      <c r="B57" s="168"/>
      <c r="C57" s="314" t="s">
        <v>655</v>
      </c>
      <c r="D57" s="222"/>
      <c r="E57" s="222"/>
      <c r="F57" s="222"/>
      <c r="G57" s="168"/>
      <c r="H57" s="167"/>
      <c r="I57" s="272"/>
      <c r="J57" s="272"/>
      <c r="K57" s="272"/>
      <c r="L57" s="317"/>
      <c r="M57" s="317">
        <f>6448/'Control list'!I18</f>
        <v>85.973333333333329</v>
      </c>
      <c r="N57" s="317">
        <f>6407.95/'Control list'!J18</f>
        <v>85.439333333333337</v>
      </c>
      <c r="O57" s="317">
        <f>9321/'Control list'!K18/1.18</f>
        <v>98.739406779661024</v>
      </c>
      <c r="P57" s="317"/>
      <c r="Q57" s="317"/>
      <c r="R57" s="317"/>
      <c r="S57" s="317"/>
      <c r="T57" s="168"/>
      <c r="U57" s="168"/>
    </row>
    <row r="58" spans="1:21" ht="15.75" hidden="1" customHeight="1" outlineLevel="1">
      <c r="A58" s="295"/>
      <c r="B58" s="168"/>
      <c r="C58" s="314" t="s">
        <v>65</v>
      </c>
      <c r="D58" s="222"/>
      <c r="E58" s="222"/>
      <c r="F58" s="222"/>
      <c r="G58" s="168"/>
      <c r="H58" s="167"/>
      <c r="I58" s="272"/>
      <c r="J58" s="272"/>
      <c r="K58" s="272"/>
      <c r="L58" s="272"/>
      <c r="M58" s="317">
        <v>0</v>
      </c>
      <c r="N58" s="317">
        <f t="shared" ref="N58:S62" si="19">M58</f>
        <v>0</v>
      </c>
      <c r="O58" s="311"/>
      <c r="P58" s="311"/>
      <c r="Q58" s="311"/>
      <c r="R58" s="311"/>
      <c r="S58" s="311"/>
      <c r="T58" s="168"/>
      <c r="U58" s="168"/>
    </row>
    <row r="59" spans="1:21" ht="15.75" hidden="1" customHeight="1" outlineLevel="1">
      <c r="A59" s="295"/>
      <c r="B59" s="168"/>
      <c r="C59" s="314" t="s">
        <v>57</v>
      </c>
      <c r="D59" s="168"/>
      <c r="E59" s="168"/>
      <c r="F59" s="168"/>
      <c r="G59" s="168"/>
      <c r="H59" s="167"/>
      <c r="J59" s="168"/>
      <c r="K59" s="168"/>
      <c r="L59" s="317"/>
      <c r="M59" s="317">
        <v>0</v>
      </c>
      <c r="N59" s="317">
        <f t="shared" si="19"/>
        <v>0</v>
      </c>
      <c r="O59" s="317">
        <f t="shared" si="19"/>
        <v>0</v>
      </c>
      <c r="P59" s="317"/>
      <c r="Q59" s="317"/>
      <c r="R59" s="317"/>
      <c r="S59" s="317"/>
      <c r="T59" s="168"/>
      <c r="U59" s="168"/>
    </row>
    <row r="60" spans="1:21" ht="15.75" hidden="1" customHeight="1" outlineLevel="1">
      <c r="A60" s="295"/>
      <c r="B60" s="168"/>
      <c r="C60" s="314" t="s">
        <v>58</v>
      </c>
      <c r="D60" s="168"/>
      <c r="E60" s="168"/>
      <c r="F60" s="168"/>
      <c r="G60" s="168"/>
      <c r="H60" s="167"/>
      <c r="J60" s="168"/>
      <c r="K60" s="168"/>
      <c r="L60" s="317"/>
      <c r="M60" s="317">
        <v>0</v>
      </c>
      <c r="N60" s="317">
        <f t="shared" si="19"/>
        <v>0</v>
      </c>
      <c r="O60" s="317">
        <f t="shared" si="19"/>
        <v>0</v>
      </c>
      <c r="P60" s="317">
        <f t="shared" si="19"/>
        <v>0</v>
      </c>
      <c r="Q60" s="317">
        <f t="shared" si="19"/>
        <v>0</v>
      </c>
      <c r="R60" s="317">
        <f t="shared" si="19"/>
        <v>0</v>
      </c>
      <c r="S60" s="317">
        <f t="shared" si="19"/>
        <v>0</v>
      </c>
      <c r="T60" s="168"/>
      <c r="U60" s="168"/>
    </row>
    <row r="61" spans="1:21" ht="15.75" hidden="1" customHeight="1" outlineLevel="1">
      <c r="A61" s="295"/>
      <c r="B61" s="168"/>
      <c r="C61" s="314" t="s">
        <v>62</v>
      </c>
      <c r="D61" s="168"/>
      <c r="E61" s="168"/>
      <c r="F61" s="168"/>
      <c r="G61" s="168"/>
      <c r="H61" s="167"/>
      <c r="J61" s="168"/>
      <c r="K61" s="168"/>
      <c r="L61" s="317"/>
      <c r="M61" s="317">
        <v>0</v>
      </c>
      <c r="N61" s="317">
        <f t="shared" si="19"/>
        <v>0</v>
      </c>
      <c r="O61" s="317">
        <f t="shared" si="19"/>
        <v>0</v>
      </c>
      <c r="P61" s="317">
        <f t="shared" si="19"/>
        <v>0</v>
      </c>
      <c r="Q61" s="317">
        <f t="shared" si="19"/>
        <v>0</v>
      </c>
      <c r="R61" s="317">
        <f t="shared" si="19"/>
        <v>0</v>
      </c>
      <c r="S61" s="317">
        <f t="shared" si="19"/>
        <v>0</v>
      </c>
      <c r="T61" s="168"/>
      <c r="U61" s="168"/>
    </row>
    <row r="62" spans="1:21" ht="15.75" hidden="1" customHeight="1" outlineLevel="1">
      <c r="A62" s="295"/>
      <c r="B62" s="168"/>
      <c r="C62" s="314" t="s">
        <v>66</v>
      </c>
      <c r="D62" s="168"/>
      <c r="E62" s="168"/>
      <c r="F62" s="168"/>
      <c r="G62" s="168"/>
      <c r="H62" s="167"/>
      <c r="J62" s="168"/>
      <c r="K62" s="168"/>
      <c r="M62" s="317">
        <v>0</v>
      </c>
      <c r="N62" s="317">
        <f t="shared" si="19"/>
        <v>0</v>
      </c>
      <c r="O62" s="311"/>
      <c r="P62" s="311"/>
      <c r="Q62" s="311"/>
      <c r="R62" s="311"/>
      <c r="S62" s="311"/>
      <c r="T62" s="168"/>
      <c r="U62" s="168"/>
    </row>
    <row r="63" spans="1:21" ht="15.75" hidden="1" customHeight="1" outlineLevel="1">
      <c r="A63" s="295"/>
      <c r="B63" s="168"/>
      <c r="C63" s="314"/>
      <c r="D63" s="168"/>
      <c r="E63" s="168"/>
      <c r="F63" s="168"/>
      <c r="G63" s="168"/>
      <c r="H63" s="167"/>
      <c r="J63" s="168"/>
      <c r="K63" s="168"/>
      <c r="M63" s="168"/>
      <c r="N63" s="215"/>
      <c r="O63" s="215"/>
      <c r="P63" s="215"/>
      <c r="Q63" s="215"/>
      <c r="R63" s="215"/>
      <c r="S63" s="215"/>
      <c r="T63" s="168"/>
      <c r="U63" s="168"/>
    </row>
    <row r="64" spans="1:21" ht="15.75" hidden="1" customHeight="1" outlineLevel="1">
      <c r="A64" s="295"/>
      <c r="B64" s="168"/>
      <c r="C64" s="186" t="s">
        <v>650</v>
      </c>
      <c r="D64" s="168"/>
      <c r="E64" s="168"/>
      <c r="F64" s="168"/>
      <c r="G64" s="168"/>
      <c r="H64" s="167"/>
      <c r="J64" s="168"/>
      <c r="K64" s="168"/>
      <c r="M64" s="321"/>
      <c r="N64" s="215"/>
      <c r="O64" s="215"/>
      <c r="P64" s="215"/>
      <c r="Q64" s="215"/>
      <c r="R64" s="215"/>
      <c r="S64" s="215"/>
      <c r="T64" s="168"/>
      <c r="U64" s="168"/>
    </row>
    <row r="65" spans="1:21" ht="15.75" hidden="1" customHeight="1" outlineLevel="1">
      <c r="A65" s="295"/>
      <c r="B65" s="168"/>
      <c r="C65" s="314" t="s">
        <v>69</v>
      </c>
      <c r="D65" s="168"/>
      <c r="E65" s="168"/>
      <c r="F65" s="168"/>
      <c r="G65" s="168"/>
      <c r="H65" s="167"/>
      <c r="J65" s="168"/>
      <c r="K65" s="168"/>
      <c r="L65" s="317"/>
      <c r="M65" s="320">
        <v>0</v>
      </c>
      <c r="N65" s="320">
        <f>M65*(1+N$68)</f>
        <v>0</v>
      </c>
      <c r="O65" s="320">
        <f>N65*(1+O$68)</f>
        <v>0</v>
      </c>
      <c r="P65" s="320"/>
      <c r="Q65" s="320"/>
      <c r="R65" s="320"/>
      <c r="S65" s="320"/>
      <c r="T65" s="168"/>
      <c r="U65" s="168"/>
    </row>
    <row r="66" spans="1:21" ht="15.75" hidden="1" customHeight="1" outlineLevel="1">
      <c r="A66" s="295"/>
      <c r="B66" s="168"/>
      <c r="C66" s="314" t="s">
        <v>71</v>
      </c>
      <c r="D66" s="168"/>
      <c r="E66" s="168"/>
      <c r="F66" s="168"/>
      <c r="G66" s="168"/>
      <c r="H66" s="167"/>
      <c r="J66" s="168"/>
      <c r="K66" s="168"/>
      <c r="L66" s="317"/>
      <c r="M66" s="320">
        <v>0</v>
      </c>
      <c r="N66" s="320">
        <f>M66*(1+N$68)</f>
        <v>0</v>
      </c>
      <c r="O66" s="320">
        <f>N66*(1+O$68)</f>
        <v>0</v>
      </c>
      <c r="P66" s="320"/>
      <c r="Q66" s="320"/>
      <c r="R66" s="320"/>
      <c r="S66" s="320"/>
      <c r="T66" s="168"/>
      <c r="U66" s="168"/>
    </row>
    <row r="67" spans="1:21" ht="15.75" hidden="1" customHeight="1" outlineLevel="1">
      <c r="A67" s="295"/>
      <c r="B67" s="168"/>
      <c r="C67" s="314" t="s">
        <v>55</v>
      </c>
      <c r="D67" s="168"/>
      <c r="E67" s="168"/>
      <c r="F67" s="168"/>
      <c r="G67" s="168"/>
      <c r="H67" s="167"/>
      <c r="J67" s="168"/>
      <c r="K67" s="168"/>
      <c r="L67" s="317"/>
      <c r="M67" s="320">
        <v>64</v>
      </c>
      <c r="N67" s="320">
        <v>63.62</v>
      </c>
      <c r="O67" s="320">
        <v>30.6</v>
      </c>
      <c r="P67" s="320"/>
      <c r="Q67" s="320"/>
      <c r="R67" s="320"/>
      <c r="S67" s="320"/>
      <c r="T67" s="168"/>
      <c r="U67" s="168"/>
    </row>
    <row r="68" spans="1:21" ht="15.75" hidden="1" customHeight="1" outlineLevel="1">
      <c r="A68" s="295"/>
      <c r="B68" s="168"/>
      <c r="C68" s="314" t="s">
        <v>72</v>
      </c>
      <c r="D68" s="168"/>
      <c r="E68" s="168"/>
      <c r="F68" s="168"/>
      <c r="G68" s="168"/>
      <c r="H68" s="167"/>
      <c r="J68" s="168"/>
      <c r="K68" s="168"/>
      <c r="L68" s="311"/>
      <c r="M68" s="311"/>
      <c r="N68" s="311"/>
      <c r="O68" s="311"/>
      <c r="P68" s="311"/>
      <c r="Q68" s="311"/>
      <c r="R68" s="311"/>
      <c r="S68" s="311"/>
      <c r="T68" s="168"/>
      <c r="U68" s="168"/>
    </row>
    <row r="69" spans="1:21" ht="15.75" hidden="1" customHeight="1" outlineLevel="1">
      <c r="A69" s="295"/>
      <c r="B69" s="168"/>
      <c r="C69" s="314"/>
      <c r="D69" s="168"/>
      <c r="E69" s="168"/>
      <c r="F69" s="168"/>
      <c r="G69" s="168"/>
      <c r="H69" s="167"/>
      <c r="J69" s="168"/>
      <c r="K69" s="168"/>
      <c r="M69" s="168"/>
      <c r="N69" s="215"/>
      <c r="O69" s="215"/>
      <c r="P69" s="215"/>
      <c r="Q69" s="215"/>
      <c r="R69" s="215"/>
      <c r="S69" s="215"/>
      <c r="T69" s="168"/>
      <c r="U69" s="168"/>
    </row>
    <row r="70" spans="1:21" ht="15.75" hidden="1" customHeight="1" outlineLevel="1">
      <c r="A70" s="295"/>
      <c r="B70" s="168"/>
      <c r="C70" s="186" t="s">
        <v>670</v>
      </c>
      <c r="D70" s="168"/>
      <c r="E70" s="168"/>
      <c r="F70" s="168"/>
      <c r="G70" s="168"/>
      <c r="H70" s="167"/>
      <c r="J70" s="168"/>
      <c r="K70" s="168"/>
      <c r="M70" s="321"/>
      <c r="N70" s="215"/>
      <c r="O70" s="215"/>
      <c r="P70" s="215"/>
      <c r="Q70" s="215"/>
      <c r="R70" s="215"/>
      <c r="S70" s="215"/>
      <c r="T70" s="168"/>
      <c r="U70" s="168"/>
    </row>
    <row r="71" spans="1:21" ht="15.75" hidden="1" customHeight="1" outlineLevel="1">
      <c r="A71" s="295"/>
      <c r="B71" s="168"/>
      <c r="C71" s="314" t="s">
        <v>40</v>
      </c>
      <c r="D71" s="222"/>
      <c r="E71" s="222"/>
      <c r="F71" s="222"/>
      <c r="G71" s="168"/>
      <c r="H71" s="167"/>
      <c r="I71" s="272"/>
      <c r="J71" s="272"/>
      <c r="K71" s="272"/>
      <c r="L71" s="317">
        <v>0</v>
      </c>
      <c r="M71" s="317">
        <v>0</v>
      </c>
      <c r="N71" s="317">
        <f>L71</f>
        <v>0</v>
      </c>
      <c r="O71" s="317">
        <f>N71*(1+$O$77)</f>
        <v>0</v>
      </c>
      <c r="P71" s="317">
        <f>O71*(1+$P$77)</f>
        <v>0</v>
      </c>
      <c r="Q71" s="317">
        <f t="shared" ref="Q71:S73" si="20">P71*(1+$Q$77)</f>
        <v>0</v>
      </c>
      <c r="R71" s="317">
        <f t="shared" si="20"/>
        <v>0</v>
      </c>
      <c r="S71" s="317">
        <f t="shared" si="20"/>
        <v>0</v>
      </c>
      <c r="T71" s="168"/>
      <c r="U71" s="168"/>
    </row>
    <row r="72" spans="1:21" ht="15.75" hidden="1" customHeight="1" outlineLevel="1">
      <c r="A72" s="295"/>
      <c r="B72" s="168"/>
      <c r="C72" s="314" t="s">
        <v>39</v>
      </c>
      <c r="D72" s="222"/>
      <c r="E72" s="222"/>
      <c r="F72" s="222"/>
      <c r="G72" s="168"/>
      <c r="H72" s="167"/>
      <c r="I72" s="293"/>
      <c r="J72" s="293"/>
      <c r="K72" s="293"/>
      <c r="L72" s="317">
        <v>0</v>
      </c>
      <c r="M72" s="317">
        <v>0</v>
      </c>
      <c r="N72" s="317">
        <f>L72</f>
        <v>0</v>
      </c>
      <c r="O72" s="317">
        <f>N72*(1+$O$77)</f>
        <v>0</v>
      </c>
      <c r="P72" s="317">
        <f>O72*(1+$P$77)</f>
        <v>0</v>
      </c>
      <c r="Q72" s="317">
        <f t="shared" si="20"/>
        <v>0</v>
      </c>
      <c r="R72" s="317">
        <f t="shared" si="20"/>
        <v>0</v>
      </c>
      <c r="S72" s="317">
        <f t="shared" si="20"/>
        <v>0</v>
      </c>
      <c r="T72" s="168"/>
      <c r="U72" s="168"/>
    </row>
    <row r="73" spans="1:21" ht="15.75" hidden="1" customHeight="1" outlineLevel="1">
      <c r="A73" s="295"/>
      <c r="B73" s="168"/>
      <c r="C73" s="314" t="s">
        <v>42</v>
      </c>
      <c r="D73" s="222"/>
      <c r="E73" s="222"/>
      <c r="F73" s="222"/>
      <c r="G73" s="168"/>
      <c r="H73" s="167"/>
      <c r="I73" s="317"/>
      <c r="J73" s="317"/>
      <c r="K73" s="317"/>
      <c r="L73" s="317">
        <v>0</v>
      </c>
      <c r="M73" s="317">
        <v>0</v>
      </c>
      <c r="N73" s="317">
        <f>L73</f>
        <v>0</v>
      </c>
      <c r="O73" s="317">
        <f>N73*(1+$O$77)</f>
        <v>0</v>
      </c>
      <c r="P73" s="317">
        <f>O73*(1+$P$77)</f>
        <v>0</v>
      </c>
      <c r="Q73" s="317">
        <f t="shared" si="20"/>
        <v>0</v>
      </c>
      <c r="R73" s="317">
        <f t="shared" si="20"/>
        <v>0</v>
      </c>
      <c r="S73" s="317">
        <f t="shared" si="20"/>
        <v>0</v>
      </c>
      <c r="T73" s="168"/>
      <c r="U73" s="168"/>
    </row>
    <row r="74" spans="1:21" ht="15.75" hidden="1" customHeight="1" outlineLevel="1">
      <c r="A74" s="295"/>
      <c r="B74" s="168"/>
      <c r="C74" s="314" t="s">
        <v>54</v>
      </c>
      <c r="D74" s="222"/>
      <c r="E74" s="222"/>
      <c r="F74" s="222"/>
      <c r="G74" s="168"/>
      <c r="H74" s="167"/>
      <c r="I74" s="319"/>
      <c r="J74" s="319"/>
      <c r="K74" s="317"/>
      <c r="L74" s="317"/>
      <c r="M74" s="317">
        <v>31</v>
      </c>
      <c r="N74" s="317">
        <f>M74</f>
        <v>31</v>
      </c>
      <c r="O74" s="317">
        <v>42.16</v>
      </c>
      <c r="P74" s="317"/>
      <c r="Q74" s="317"/>
      <c r="R74" s="317"/>
      <c r="S74" s="317"/>
      <c r="T74" s="168"/>
      <c r="U74" s="168"/>
    </row>
    <row r="75" spans="1:21" ht="15.75" hidden="1" customHeight="1" outlineLevel="1">
      <c r="A75" s="295"/>
      <c r="B75" s="168"/>
      <c r="C75" s="314" t="s">
        <v>56</v>
      </c>
      <c r="D75" s="222"/>
      <c r="E75" s="222"/>
      <c r="F75" s="222"/>
      <c r="G75" s="168"/>
      <c r="H75" s="167"/>
      <c r="I75" s="719"/>
      <c r="J75" s="317"/>
      <c r="K75" s="317"/>
      <c r="L75" s="317">
        <v>0</v>
      </c>
      <c r="M75" s="317">
        <v>0</v>
      </c>
      <c r="N75" s="317">
        <f>L75</f>
        <v>0</v>
      </c>
      <c r="O75" s="317">
        <v>0</v>
      </c>
      <c r="P75" s="317"/>
      <c r="Q75" s="317"/>
      <c r="R75" s="317"/>
      <c r="S75" s="317"/>
      <c r="T75" s="168"/>
      <c r="U75" s="168"/>
    </row>
    <row r="76" spans="1:21" ht="15.75" hidden="1" customHeight="1" outlineLevel="1">
      <c r="A76" s="295"/>
      <c r="B76" s="168"/>
      <c r="C76" s="314" t="s">
        <v>654</v>
      </c>
      <c r="D76" s="222"/>
      <c r="E76" s="222"/>
      <c r="F76" s="222"/>
      <c r="G76" s="168"/>
      <c r="H76" s="167"/>
      <c r="I76" s="272"/>
      <c r="J76" s="272"/>
      <c r="K76" s="272"/>
      <c r="L76" s="317"/>
      <c r="M76" s="317">
        <v>0.7</v>
      </c>
      <c r="N76" s="317">
        <f>L76</f>
        <v>0</v>
      </c>
      <c r="O76" s="317">
        <v>0.95199999999999985</v>
      </c>
      <c r="P76" s="317"/>
      <c r="Q76" s="317"/>
      <c r="R76" s="317"/>
      <c r="S76" s="317"/>
      <c r="T76" s="168"/>
      <c r="U76" s="168"/>
    </row>
    <row r="77" spans="1:21" ht="15.75" hidden="1" customHeight="1" outlineLevel="1">
      <c r="A77" s="295"/>
      <c r="B77" s="168"/>
      <c r="C77" s="314" t="s">
        <v>660</v>
      </c>
      <c r="D77" s="168"/>
      <c r="E77" s="168"/>
      <c r="F77" s="168"/>
      <c r="G77" s="168"/>
      <c r="H77" s="167"/>
      <c r="J77" s="168"/>
      <c r="K77" s="168"/>
      <c r="M77" s="311">
        <v>0.05</v>
      </c>
      <c r="N77" s="311"/>
      <c r="O77" s="311"/>
      <c r="P77" s="311"/>
      <c r="Q77" s="311"/>
      <c r="R77" s="311"/>
      <c r="S77" s="311"/>
      <c r="T77" s="168"/>
      <c r="U77" s="168"/>
    </row>
    <row r="78" spans="1:21" ht="15.75" hidden="1" customHeight="1" outlineLevel="1">
      <c r="A78" s="295"/>
      <c r="B78" s="168"/>
      <c r="C78" s="314"/>
      <c r="D78" s="168"/>
      <c r="E78" s="168"/>
      <c r="F78" s="168"/>
      <c r="G78" s="168"/>
      <c r="H78" s="167"/>
      <c r="J78" s="168"/>
      <c r="K78" s="168"/>
      <c r="M78" s="168"/>
      <c r="N78" s="215"/>
      <c r="O78" s="749"/>
      <c r="P78" s="215"/>
      <c r="Q78" s="215"/>
      <c r="R78" s="215"/>
      <c r="S78" s="215"/>
      <c r="T78" s="168"/>
      <c r="U78" s="168"/>
    </row>
    <row r="79" spans="1:21" ht="15.75" hidden="1" customHeight="1" outlineLevel="1">
      <c r="A79" s="295"/>
      <c r="B79" s="168"/>
      <c r="C79" s="314"/>
      <c r="D79" s="168"/>
      <c r="E79" s="168"/>
      <c r="F79" s="168"/>
      <c r="G79" s="168"/>
      <c r="H79" s="167"/>
      <c r="J79" s="168"/>
      <c r="K79" s="168"/>
      <c r="M79" s="168"/>
      <c r="N79" s="215"/>
      <c r="O79" s="215"/>
      <c r="P79" s="215"/>
      <c r="Q79" s="215"/>
      <c r="R79" s="215"/>
      <c r="S79" s="215"/>
      <c r="T79" s="168"/>
      <c r="U79" s="168"/>
    </row>
    <row r="80" spans="1:21" ht="15.75" hidden="1" customHeight="1" outlineLevel="1">
      <c r="A80" s="295"/>
      <c r="B80" s="168"/>
      <c r="C80" s="314"/>
      <c r="D80" s="168"/>
      <c r="E80" s="168"/>
      <c r="F80" s="168"/>
      <c r="G80" s="168"/>
      <c r="H80" s="167"/>
      <c r="J80" s="168"/>
      <c r="K80" s="168"/>
      <c r="L80" s="317"/>
      <c r="M80" s="168"/>
      <c r="N80" s="215"/>
      <c r="O80" s="215"/>
      <c r="P80" s="215"/>
      <c r="Q80" s="215"/>
      <c r="R80" s="215"/>
      <c r="S80" s="215"/>
      <c r="T80" s="168"/>
      <c r="U80" s="168"/>
    </row>
    <row r="81" spans="1:21" ht="15.75" hidden="1" customHeight="1" outlineLevel="1">
      <c r="A81" s="295"/>
      <c r="B81" s="168"/>
      <c r="C81" s="314"/>
      <c r="D81" s="168"/>
      <c r="E81" s="168"/>
      <c r="F81" s="168"/>
      <c r="G81" s="168"/>
      <c r="H81" s="167"/>
      <c r="J81" s="168"/>
      <c r="K81" s="168"/>
      <c r="M81" s="168"/>
      <c r="N81" s="215"/>
      <c r="O81" s="215"/>
      <c r="P81" s="215"/>
      <c r="Q81" s="215"/>
      <c r="R81" s="215"/>
      <c r="S81" s="215"/>
      <c r="T81" s="168"/>
      <c r="U81" s="168"/>
    </row>
    <row r="82" spans="1:21" ht="15.75" hidden="1" customHeight="1" outlineLevel="1">
      <c r="A82" s="295"/>
      <c r="B82" s="168"/>
      <c r="C82" s="314"/>
      <c r="D82" s="168"/>
      <c r="E82" s="168"/>
      <c r="F82" s="168"/>
      <c r="G82" s="168"/>
      <c r="H82" s="167"/>
      <c r="J82" s="168"/>
      <c r="K82" s="168"/>
      <c r="M82" s="347"/>
      <c r="N82" s="215"/>
      <c r="O82" s="215"/>
      <c r="P82" s="215"/>
      <c r="Q82" s="215"/>
      <c r="R82" s="215"/>
      <c r="S82" s="215"/>
      <c r="T82" s="168"/>
      <c r="U82" s="168"/>
    </row>
    <row r="83" spans="1:21" ht="15.75" hidden="1" customHeight="1" outlineLevel="1">
      <c r="A83" s="295"/>
      <c r="B83" s="168"/>
      <c r="C83" s="314"/>
      <c r="D83" s="168"/>
      <c r="E83" s="168"/>
      <c r="F83" s="168"/>
      <c r="G83" s="168"/>
      <c r="H83" s="167"/>
      <c r="J83" s="168"/>
      <c r="K83" s="168"/>
      <c r="M83" s="168"/>
      <c r="N83" s="215"/>
      <c r="O83" s="215"/>
      <c r="P83" s="215"/>
      <c r="Q83" s="215"/>
      <c r="R83" s="215"/>
      <c r="S83" s="215"/>
      <c r="T83" s="168"/>
      <c r="U83" s="168"/>
    </row>
    <row r="84" spans="1:21" ht="15.75" hidden="1" customHeight="1" outlineLevel="1">
      <c r="A84" s="295"/>
      <c r="B84" s="168"/>
      <c r="C84" s="314"/>
      <c r="D84" s="168"/>
      <c r="E84" s="168"/>
      <c r="F84" s="168"/>
      <c r="G84" s="168"/>
      <c r="H84" s="167"/>
      <c r="J84" s="168"/>
      <c r="K84" s="168"/>
      <c r="M84" s="168"/>
      <c r="N84" s="215"/>
      <c r="O84" s="215"/>
      <c r="P84" s="215"/>
      <c r="Q84" s="215"/>
      <c r="R84" s="215"/>
      <c r="S84" s="215"/>
      <c r="T84" s="168"/>
      <c r="U84" s="168"/>
    </row>
    <row r="85" spans="1:21" ht="15.75" hidden="1" customHeight="1" outlineLevel="1">
      <c r="A85" s="295"/>
      <c r="B85" s="168"/>
      <c r="C85" s="314"/>
      <c r="D85" s="168"/>
      <c r="E85" s="168"/>
      <c r="F85" s="168"/>
      <c r="G85" s="168"/>
      <c r="H85" s="167"/>
      <c r="J85" s="168"/>
      <c r="K85" s="168"/>
      <c r="M85" s="168"/>
      <c r="N85" s="215"/>
      <c r="O85" s="215"/>
      <c r="P85" s="215"/>
      <c r="Q85" s="215"/>
      <c r="R85" s="215"/>
      <c r="S85" s="215"/>
      <c r="T85" s="168"/>
      <c r="U85" s="168"/>
    </row>
    <row r="86" spans="1:21" ht="15.75" hidden="1" customHeight="1" outlineLevel="1">
      <c r="A86" s="295"/>
      <c r="B86" s="168"/>
      <c r="C86" s="314"/>
      <c r="D86" s="168"/>
      <c r="E86" s="168"/>
      <c r="F86" s="168"/>
      <c r="G86" s="168"/>
      <c r="H86" s="167"/>
      <c r="J86" s="168"/>
      <c r="K86" s="168"/>
      <c r="M86" s="168"/>
      <c r="N86" s="215"/>
      <c r="O86" s="215"/>
      <c r="P86" s="215"/>
      <c r="Q86" s="215"/>
      <c r="R86" s="215"/>
      <c r="S86" s="215"/>
      <c r="T86" s="168"/>
      <c r="U86" s="168"/>
    </row>
    <row r="87" spans="1:21" hidden="1" outlineLevel="1">
      <c r="A87" s="295"/>
      <c r="B87" s="168"/>
      <c r="C87" s="314" t="s">
        <v>502</v>
      </c>
      <c r="D87" s="168"/>
      <c r="E87" s="168"/>
      <c r="F87" s="168"/>
      <c r="G87" s="365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3"/>
      <c r="T87" s="168"/>
      <c r="U87" s="168"/>
    </row>
    <row r="88" spans="1:21" ht="15.75" hidden="1" customHeight="1" outlineLevel="1">
      <c r="A88" s="295"/>
      <c r="B88" s="168"/>
      <c r="C88" s="314"/>
      <c r="D88" s="170"/>
      <c r="E88" s="170"/>
      <c r="F88" s="170"/>
      <c r="G88" s="324"/>
      <c r="H88" s="212"/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168"/>
      <c r="U88" s="168"/>
    </row>
    <row r="89" spans="1:21" ht="15.75" hidden="1" customHeight="1" outlineLevel="1">
      <c r="A89" s="295"/>
      <c r="B89" s="168"/>
      <c r="C89" s="314"/>
      <c r="D89" s="168"/>
      <c r="E89" s="168"/>
      <c r="F89" s="168"/>
      <c r="G89" s="365"/>
      <c r="H89" s="323"/>
      <c r="I89" s="323"/>
      <c r="J89" s="323"/>
      <c r="K89" s="323"/>
      <c r="L89" s="323"/>
      <c r="M89" s="323"/>
      <c r="N89" s="323"/>
      <c r="O89" s="323"/>
      <c r="P89" s="323"/>
      <c r="Q89" s="323"/>
      <c r="R89" s="323"/>
      <c r="S89" s="323"/>
      <c r="T89" s="168"/>
      <c r="U89" s="168"/>
    </row>
    <row r="90" spans="1:21" ht="15.75" hidden="1" customHeight="1" outlineLevel="1">
      <c r="A90" s="295"/>
      <c r="B90" s="168"/>
      <c r="C90" s="314" t="s">
        <v>502</v>
      </c>
      <c r="D90" s="303"/>
      <c r="E90" s="303"/>
      <c r="F90" s="303"/>
      <c r="G90" s="301"/>
      <c r="H90" s="172"/>
      <c r="I90" s="172"/>
      <c r="J90" s="172"/>
      <c r="K90" s="173"/>
      <c r="L90" s="171"/>
      <c r="M90" s="304"/>
      <c r="N90" s="172"/>
      <c r="O90" s="172"/>
      <c r="P90" s="172"/>
      <c r="Q90" s="172"/>
      <c r="R90" s="172"/>
      <c r="S90" s="172"/>
      <c r="T90" s="168"/>
      <c r="U90" s="168"/>
    </row>
    <row r="91" spans="1:21" ht="15.75" hidden="1" customHeight="1" outlineLevel="1">
      <c r="A91" s="295"/>
      <c r="B91" s="168"/>
      <c r="C91" s="314"/>
      <c r="D91" s="233"/>
      <c r="E91" s="233"/>
      <c r="F91" s="603"/>
      <c r="G91" s="721"/>
      <c r="H91" s="174"/>
      <c r="I91" s="174">
        <v>0</v>
      </c>
      <c r="J91" s="174">
        <v>1</v>
      </c>
      <c r="K91" s="174">
        <v>2</v>
      </c>
      <c r="L91" s="175">
        <f>L7</f>
        <v>3</v>
      </c>
      <c r="M91" s="174" t="str">
        <f>M7</f>
        <v>1 Year</v>
      </c>
      <c r="N91" s="174" t="str">
        <f>N7</f>
        <v>2 Year</v>
      </c>
      <c r="O91" s="174" t="str">
        <f t="shared" ref="O91:Q91" si="21">O7</f>
        <v>3 Year</v>
      </c>
      <c r="P91" s="174" t="str">
        <f t="shared" si="21"/>
        <v>4 Year</v>
      </c>
      <c r="Q91" s="174" t="str">
        <f t="shared" si="21"/>
        <v>5 Year</v>
      </c>
      <c r="R91" s="174" t="str">
        <f>R7</f>
        <v>6 Year</v>
      </c>
      <c r="S91" s="174" t="str">
        <f>S7</f>
        <v>7 Year</v>
      </c>
      <c r="T91" s="168"/>
      <c r="U91" s="168"/>
    </row>
    <row r="92" spans="1:21" ht="15.75" hidden="1" customHeight="1" outlineLevel="1">
      <c r="A92" s="295"/>
      <c r="B92" s="168"/>
      <c r="C92" s="314"/>
      <c r="D92" s="234"/>
      <c r="E92" s="234"/>
      <c r="F92" s="604"/>
      <c r="G92" s="325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68"/>
      <c r="U92" s="168"/>
    </row>
    <row r="93" spans="1:21" ht="15.75" hidden="1" customHeight="1" outlineLevel="1">
      <c r="A93" s="295"/>
      <c r="B93" s="168"/>
      <c r="C93" s="314"/>
      <c r="D93" s="235"/>
      <c r="E93" s="235"/>
      <c r="F93" s="177"/>
      <c r="G93" s="326"/>
      <c r="H93" s="213"/>
      <c r="I93" s="213" t="s">
        <v>499</v>
      </c>
      <c r="J93" s="213" t="s">
        <v>499</v>
      </c>
      <c r="K93" s="213" t="s">
        <v>499</v>
      </c>
      <c r="L93" s="213" t="s">
        <v>499</v>
      </c>
      <c r="M93" s="213" t="s">
        <v>499</v>
      </c>
      <c r="N93" s="213" t="s">
        <v>499</v>
      </c>
      <c r="O93" s="213" t="s">
        <v>499</v>
      </c>
      <c r="P93" s="213" t="s">
        <v>499</v>
      </c>
      <c r="Q93" s="213" t="s">
        <v>499</v>
      </c>
      <c r="R93" s="213" t="s">
        <v>499</v>
      </c>
      <c r="S93" s="213" t="s">
        <v>499</v>
      </c>
      <c r="T93" s="168"/>
      <c r="U93" s="168"/>
    </row>
    <row r="94" spans="1:21" ht="15.75" hidden="1" customHeight="1" outlineLevel="1">
      <c r="A94" s="295"/>
      <c r="B94" s="186"/>
      <c r="C94" s="314"/>
      <c r="D94" s="249"/>
      <c r="E94" s="249"/>
      <c r="F94" s="186"/>
      <c r="G94" s="305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  <c r="S94" s="327"/>
      <c r="T94" s="168"/>
      <c r="U94" s="168"/>
    </row>
    <row r="95" spans="1:21" s="308" customFormat="1" ht="15.75" hidden="1" customHeight="1" outlineLevel="1">
      <c r="A95" s="722"/>
      <c r="B95" s="736"/>
      <c r="C95" s="728" t="s">
        <v>73</v>
      </c>
      <c r="D95" s="262"/>
      <c r="E95" s="262"/>
      <c r="F95" s="186"/>
      <c r="G95" s="305"/>
      <c r="H95" s="309"/>
      <c r="I95" s="309"/>
      <c r="J95" s="309"/>
      <c r="K95" s="309"/>
      <c r="L95" s="729">
        <f>L96+L97+L98+L99+L100+L104+L108</f>
        <v>0</v>
      </c>
      <c r="M95" s="729"/>
      <c r="N95" s="729">
        <v>0</v>
      </c>
      <c r="O95" s="729">
        <f>N95*(1+$O$185)</f>
        <v>0</v>
      </c>
      <c r="P95" s="729">
        <f>O95*(1+$P$185)</f>
        <v>0</v>
      </c>
      <c r="Q95" s="729">
        <f>P95*(1+$Q$185)</f>
        <v>0</v>
      </c>
      <c r="R95" s="729">
        <f>Q95*(1+$R$185)</f>
        <v>0</v>
      </c>
      <c r="S95" s="729">
        <f>R95*(1+$R$185)</f>
        <v>0</v>
      </c>
      <c r="T95" s="313"/>
      <c r="U95" s="313"/>
    </row>
    <row r="96" spans="1:21" ht="15.75" hidden="1" customHeight="1" outlineLevel="1">
      <c r="A96" s="295"/>
      <c r="B96" s="353"/>
      <c r="C96" s="314" t="s">
        <v>82</v>
      </c>
      <c r="D96" s="249"/>
      <c r="E96" s="249"/>
      <c r="F96" s="186"/>
      <c r="G96" s="167"/>
      <c r="H96" s="272"/>
      <c r="I96" s="272"/>
      <c r="J96" s="272"/>
      <c r="K96" s="272"/>
      <c r="L96" s="332"/>
      <c r="M96" s="332"/>
      <c r="N96" s="332">
        <f t="shared" ref="N96:S96" si="22">M96*N186</f>
        <v>0</v>
      </c>
      <c r="O96" s="332">
        <f t="shared" si="22"/>
        <v>0</v>
      </c>
      <c r="P96" s="332">
        <f t="shared" si="22"/>
        <v>0</v>
      </c>
      <c r="Q96" s="332">
        <f t="shared" si="22"/>
        <v>0</v>
      </c>
      <c r="R96" s="332">
        <f t="shared" si="22"/>
        <v>0</v>
      </c>
      <c r="S96" s="332">
        <f t="shared" si="22"/>
        <v>0</v>
      </c>
      <c r="T96" s="168"/>
      <c r="U96" s="168"/>
    </row>
    <row r="97" spans="1:21" ht="15.75" hidden="1" customHeight="1" outlineLevel="1">
      <c r="A97" s="295"/>
      <c r="B97" s="353"/>
      <c r="C97" s="314" t="s">
        <v>83</v>
      </c>
      <c r="D97" s="249"/>
      <c r="E97" s="249"/>
      <c r="F97" s="186"/>
      <c r="G97" s="167"/>
      <c r="H97" s="272"/>
      <c r="I97" s="272"/>
      <c r="J97" s="272"/>
      <c r="K97" s="272"/>
      <c r="L97" s="332"/>
      <c r="M97" s="332"/>
      <c r="N97" s="332">
        <f t="shared" ref="N97:S97" si="23">M97*N186</f>
        <v>0</v>
      </c>
      <c r="O97" s="332">
        <f t="shared" si="23"/>
        <v>0</v>
      </c>
      <c r="P97" s="332">
        <f t="shared" si="23"/>
        <v>0</v>
      </c>
      <c r="Q97" s="332">
        <f t="shared" si="23"/>
        <v>0</v>
      </c>
      <c r="R97" s="332">
        <f t="shared" si="23"/>
        <v>0</v>
      </c>
      <c r="S97" s="332">
        <f t="shared" si="23"/>
        <v>0</v>
      </c>
      <c r="T97" s="168"/>
      <c r="U97" s="168"/>
    </row>
    <row r="98" spans="1:21" ht="15.75" hidden="1" customHeight="1" outlineLevel="1">
      <c r="A98" s="295"/>
      <c r="B98" s="353"/>
      <c r="C98" s="314" t="s">
        <v>84</v>
      </c>
      <c r="D98" s="249"/>
      <c r="E98" s="249"/>
      <c r="F98" s="186"/>
      <c r="G98" s="167"/>
      <c r="H98" s="272"/>
      <c r="I98" s="272"/>
      <c r="J98" s="272"/>
      <c r="K98" s="272"/>
      <c r="L98" s="332"/>
      <c r="M98" s="332"/>
      <c r="N98" s="332">
        <f>M98*(N186)</f>
        <v>0</v>
      </c>
      <c r="O98" s="332">
        <f>N98*O186</f>
        <v>0</v>
      </c>
      <c r="P98" s="332">
        <f>O98*P186</f>
        <v>0</v>
      </c>
      <c r="Q98" s="332">
        <f>P98*Q186</f>
        <v>0</v>
      </c>
      <c r="R98" s="332">
        <f>Q98*R186</f>
        <v>0</v>
      </c>
      <c r="S98" s="332">
        <f>R98*S186</f>
        <v>0</v>
      </c>
      <c r="T98" s="168"/>
      <c r="U98" s="168"/>
    </row>
    <row r="99" spans="1:21" ht="15.75" hidden="1" customHeight="1" outlineLevel="1">
      <c r="A99" s="295"/>
      <c r="B99" s="353"/>
      <c r="C99" s="314" t="s">
        <v>85</v>
      </c>
      <c r="D99" s="249"/>
      <c r="E99" s="249"/>
      <c r="F99" s="186"/>
      <c r="G99" s="167"/>
      <c r="H99" s="272"/>
      <c r="I99" s="272"/>
      <c r="J99" s="272"/>
      <c r="K99" s="272"/>
      <c r="L99" s="332"/>
      <c r="M99" s="332"/>
      <c r="N99" s="332">
        <f t="shared" ref="N99:S99" si="24">M99*N186</f>
        <v>0</v>
      </c>
      <c r="O99" s="332">
        <f t="shared" si="24"/>
        <v>0</v>
      </c>
      <c r="P99" s="332">
        <f t="shared" si="24"/>
        <v>0</v>
      </c>
      <c r="Q99" s="332">
        <f t="shared" si="24"/>
        <v>0</v>
      </c>
      <c r="R99" s="332">
        <f t="shared" si="24"/>
        <v>0</v>
      </c>
      <c r="S99" s="332">
        <f t="shared" si="24"/>
        <v>0</v>
      </c>
      <c r="T99" s="168"/>
      <c r="U99" s="168"/>
    </row>
    <row r="100" spans="1:21" ht="15.75" hidden="1" customHeight="1" outlineLevel="1">
      <c r="A100" s="295"/>
      <c r="B100" s="353"/>
      <c r="C100" s="314" t="s">
        <v>86</v>
      </c>
      <c r="D100" s="249"/>
      <c r="E100" s="249"/>
      <c r="F100" s="186"/>
      <c r="G100" s="167"/>
      <c r="H100" s="272"/>
      <c r="I100" s="272"/>
      <c r="J100" s="272"/>
      <c r="K100" s="272"/>
      <c r="L100" s="332"/>
      <c r="M100" s="332"/>
      <c r="N100" s="332">
        <f t="shared" ref="N100:S100" si="25">N101*N102</f>
        <v>0</v>
      </c>
      <c r="O100" s="332">
        <f t="shared" si="25"/>
        <v>0</v>
      </c>
      <c r="P100" s="332">
        <f t="shared" si="25"/>
        <v>0</v>
      </c>
      <c r="Q100" s="332">
        <f t="shared" si="25"/>
        <v>0</v>
      </c>
      <c r="R100" s="332">
        <f t="shared" si="25"/>
        <v>0</v>
      </c>
      <c r="S100" s="332">
        <f t="shared" si="25"/>
        <v>0</v>
      </c>
      <c r="T100" s="168"/>
      <c r="U100" s="168"/>
    </row>
    <row r="101" spans="1:21" ht="15.75" hidden="1" customHeight="1" outlineLevel="1">
      <c r="A101" s="295"/>
      <c r="B101" s="353"/>
      <c r="C101" s="314" t="s">
        <v>89</v>
      </c>
      <c r="D101" s="249"/>
      <c r="E101" s="249"/>
      <c r="F101" s="186"/>
      <c r="G101" s="167"/>
      <c r="H101" s="272"/>
      <c r="I101" s="272"/>
      <c r="J101" s="272"/>
      <c r="K101" s="272"/>
      <c r="L101" s="723"/>
      <c r="M101" s="332"/>
      <c r="N101" s="333">
        <f t="shared" ref="N101:S101" si="26">M101</f>
        <v>0</v>
      </c>
      <c r="O101" s="333">
        <f t="shared" si="26"/>
        <v>0</v>
      </c>
      <c r="P101" s="333">
        <f t="shared" si="26"/>
        <v>0</v>
      </c>
      <c r="Q101" s="333">
        <f t="shared" si="26"/>
        <v>0</v>
      </c>
      <c r="R101" s="333">
        <f t="shared" si="26"/>
        <v>0</v>
      </c>
      <c r="S101" s="333">
        <f t="shared" si="26"/>
        <v>0</v>
      </c>
      <c r="T101" s="168"/>
      <c r="U101" s="168"/>
    </row>
    <row r="102" spans="1:21" ht="15.75" hidden="1" customHeight="1" outlineLevel="1">
      <c r="A102" s="295"/>
      <c r="B102" s="353"/>
      <c r="C102" s="314" t="s">
        <v>90</v>
      </c>
      <c r="D102" s="249"/>
      <c r="E102" s="249"/>
      <c r="F102" s="186"/>
      <c r="G102" s="167"/>
      <c r="H102" s="272"/>
      <c r="I102" s="272"/>
      <c r="J102" s="272"/>
      <c r="K102" s="272"/>
      <c r="L102" s="332"/>
      <c r="M102" s="332">
        <f>1747.26/'Control list'!I18</f>
        <v>23.296800000000001</v>
      </c>
      <c r="N102" s="332">
        <f>2152/'Control list'!J18</f>
        <v>28.693333333333332</v>
      </c>
      <c r="O102" s="332">
        <f>1917.67/'Control list'!K18</f>
        <v>23.970874999999999</v>
      </c>
      <c r="P102" s="332"/>
      <c r="Q102" s="332"/>
      <c r="R102" s="332"/>
      <c r="S102" s="332"/>
      <c r="T102" s="168"/>
      <c r="U102" s="168"/>
    </row>
    <row r="103" spans="1:21" ht="15.75" hidden="1" customHeight="1" outlineLevel="1">
      <c r="A103" s="295"/>
      <c r="B103" s="353"/>
      <c r="C103" s="314" t="s">
        <v>93</v>
      </c>
      <c r="D103" s="249"/>
      <c r="E103" s="249"/>
      <c r="F103" s="186"/>
      <c r="G103" s="167"/>
      <c r="H103" s="272"/>
      <c r="I103" s="272"/>
      <c r="J103" s="272"/>
      <c r="K103" s="272"/>
      <c r="L103" s="332"/>
      <c r="M103" s="311"/>
      <c r="N103" s="311"/>
      <c r="O103" s="311"/>
      <c r="P103" s="311"/>
      <c r="Q103" s="311"/>
      <c r="R103" s="311"/>
      <c r="S103" s="311"/>
      <c r="T103" s="168"/>
      <c r="U103" s="168"/>
    </row>
    <row r="104" spans="1:21" ht="15.75" hidden="1" customHeight="1" outlineLevel="1">
      <c r="A104" s="295"/>
      <c r="B104" s="353"/>
      <c r="C104" s="314" t="s">
        <v>87</v>
      </c>
      <c r="D104" s="249"/>
      <c r="E104" s="249"/>
      <c r="F104" s="186"/>
      <c r="G104" s="167"/>
      <c r="H104" s="272"/>
      <c r="I104" s="272"/>
      <c r="J104" s="272"/>
      <c r="K104" s="272"/>
      <c r="L104" s="332"/>
      <c r="M104" s="332"/>
      <c r="N104" s="332">
        <f>N105*N106</f>
        <v>0</v>
      </c>
      <c r="O104" s="332">
        <f>O105*O106</f>
        <v>0</v>
      </c>
      <c r="P104" s="332"/>
      <c r="Q104" s="332"/>
      <c r="R104" s="332"/>
      <c r="S104" s="332"/>
      <c r="T104" s="168"/>
      <c r="U104" s="168"/>
    </row>
    <row r="105" spans="1:21" ht="15.75" hidden="1" customHeight="1" outlineLevel="1">
      <c r="A105" s="295"/>
      <c r="B105" s="353"/>
      <c r="C105" s="314" t="s">
        <v>91</v>
      </c>
      <c r="D105" s="249"/>
      <c r="E105" s="249"/>
      <c r="F105" s="186"/>
      <c r="G105" s="167"/>
      <c r="H105" s="272"/>
      <c r="I105" s="272"/>
      <c r="J105" s="272"/>
      <c r="K105" s="272"/>
      <c r="L105" s="723"/>
      <c r="M105" s="332"/>
      <c r="N105" s="333">
        <f t="shared" ref="N105:S105" si="27">M105</f>
        <v>0</v>
      </c>
      <c r="O105" s="333">
        <f t="shared" si="27"/>
        <v>0</v>
      </c>
      <c r="P105" s="333">
        <f t="shared" si="27"/>
        <v>0</v>
      </c>
      <c r="Q105" s="333">
        <f t="shared" si="27"/>
        <v>0</v>
      </c>
      <c r="R105" s="333">
        <f t="shared" si="27"/>
        <v>0</v>
      </c>
      <c r="S105" s="333">
        <f t="shared" si="27"/>
        <v>0</v>
      </c>
      <c r="T105" s="168"/>
      <c r="U105" s="168"/>
    </row>
    <row r="106" spans="1:21" ht="15.75" hidden="1" customHeight="1" outlineLevel="1">
      <c r="A106" s="295"/>
      <c r="B106" s="353"/>
      <c r="C106" s="314" t="s">
        <v>92</v>
      </c>
      <c r="D106" s="249"/>
      <c r="E106" s="249"/>
      <c r="F106" s="186"/>
      <c r="G106" s="167"/>
      <c r="H106" s="272"/>
      <c r="I106" s="272"/>
      <c r="J106" s="272"/>
      <c r="K106" s="272"/>
      <c r="L106" s="332"/>
      <c r="M106" s="332">
        <f>2677.75/'Control list'!I18</f>
        <v>35.703333333333333</v>
      </c>
      <c r="N106" s="332">
        <f>2514/'Control list'!J18</f>
        <v>33.520000000000003</v>
      </c>
      <c r="O106" s="332">
        <f>3264.25/'Control list'!K18</f>
        <v>40.803125000000001</v>
      </c>
      <c r="P106" s="332"/>
      <c r="Q106" s="332"/>
      <c r="R106" s="332"/>
      <c r="S106" s="332"/>
      <c r="T106" s="168"/>
      <c r="U106" s="168"/>
    </row>
    <row r="107" spans="1:21" ht="15.75" hidden="1" customHeight="1" outlineLevel="1">
      <c r="A107" s="295"/>
      <c r="B107" s="353"/>
      <c r="C107" s="314" t="s">
        <v>94</v>
      </c>
      <c r="D107" s="249"/>
      <c r="E107" s="249"/>
      <c r="F107" s="186"/>
      <c r="G107" s="167"/>
      <c r="H107" s="272"/>
      <c r="I107" s="272"/>
      <c r="J107" s="272"/>
      <c r="K107" s="272"/>
      <c r="L107" s="332"/>
      <c r="M107" s="293"/>
      <c r="N107" s="311"/>
      <c r="O107" s="311"/>
      <c r="P107" s="311"/>
      <c r="Q107" s="311"/>
      <c r="R107" s="311"/>
      <c r="S107" s="311"/>
      <c r="T107" s="168"/>
      <c r="U107" s="168"/>
    </row>
    <row r="108" spans="1:21" ht="15.75" hidden="1" customHeight="1" outlineLevel="1">
      <c r="A108" s="295"/>
      <c r="B108" s="353"/>
      <c r="C108" s="314" t="s">
        <v>88</v>
      </c>
      <c r="D108" s="249"/>
      <c r="E108" s="249"/>
      <c r="F108" s="186"/>
      <c r="G108" s="167"/>
      <c r="H108" s="272"/>
      <c r="I108" s="272"/>
      <c r="J108" s="272"/>
      <c r="K108" s="272"/>
      <c r="L108" s="332"/>
      <c r="M108" s="332"/>
      <c r="N108" s="332">
        <f>M108*N186</f>
        <v>0</v>
      </c>
      <c r="O108" s="332">
        <f>N108*O186</f>
        <v>0</v>
      </c>
      <c r="P108" s="332"/>
      <c r="Q108" s="332"/>
      <c r="R108" s="332"/>
      <c r="S108" s="332"/>
      <c r="T108" s="168"/>
      <c r="U108" s="168"/>
    </row>
    <row r="109" spans="1:21" s="308" customFormat="1" ht="15.75" hidden="1" customHeight="1" outlineLevel="1">
      <c r="A109" s="722"/>
      <c r="B109" s="736"/>
      <c r="C109" s="728" t="s">
        <v>74</v>
      </c>
      <c r="D109" s="262"/>
      <c r="E109" s="262"/>
      <c r="F109" s="186"/>
      <c r="G109" s="305"/>
      <c r="H109" s="309"/>
      <c r="I109" s="309"/>
      <c r="J109" s="309"/>
      <c r="K109" s="309"/>
      <c r="L109" s="309">
        <f>L110+L116+L117+L118+L119+L122+L124+L114+L121</f>
        <v>0</v>
      </c>
      <c r="M109" s="309"/>
      <c r="N109" s="309">
        <v>0</v>
      </c>
      <c r="O109" s="729">
        <f>N109*(1+$O$185)</f>
        <v>0</v>
      </c>
      <c r="P109" s="729">
        <f>O109*(1+$P$185)</f>
        <v>0</v>
      </c>
      <c r="Q109" s="729">
        <f>P109*(1+$Q$185)</f>
        <v>0</v>
      </c>
      <c r="R109" s="729">
        <f>Q109*(1+$R$185)</f>
        <v>0</v>
      </c>
      <c r="S109" s="729">
        <f>R109*(1+$R$185)</f>
        <v>0</v>
      </c>
      <c r="T109" s="313"/>
      <c r="U109" s="313"/>
    </row>
    <row r="110" spans="1:21" ht="15.75" hidden="1" customHeight="1" outlineLevel="1">
      <c r="A110" s="295"/>
      <c r="B110" s="353"/>
      <c r="C110" s="314" t="s">
        <v>95</v>
      </c>
      <c r="D110" s="249"/>
      <c r="E110" s="249"/>
      <c r="F110" s="186"/>
      <c r="G110" s="167"/>
      <c r="H110" s="272"/>
      <c r="I110" s="272"/>
      <c r="J110" s="272"/>
      <c r="K110" s="272"/>
      <c r="L110" s="272"/>
      <c r="M110" s="272"/>
      <c r="N110" s="272">
        <f t="shared" ref="N110:S110" si="28">N111*N112</f>
        <v>0</v>
      </c>
      <c r="O110" s="272">
        <f t="shared" si="28"/>
        <v>0</v>
      </c>
      <c r="P110" s="272">
        <f t="shared" si="28"/>
        <v>0</v>
      </c>
      <c r="Q110" s="272">
        <f t="shared" si="28"/>
        <v>0</v>
      </c>
      <c r="R110" s="272">
        <f t="shared" si="28"/>
        <v>0</v>
      </c>
      <c r="S110" s="272">
        <f t="shared" si="28"/>
        <v>0</v>
      </c>
      <c r="T110" s="168"/>
      <c r="U110" s="168"/>
    </row>
    <row r="111" spans="1:21" ht="15.75" hidden="1" customHeight="1" outlineLevel="1">
      <c r="A111" s="295"/>
      <c r="B111" s="353"/>
      <c r="C111" s="314" t="s">
        <v>96</v>
      </c>
      <c r="D111" s="249"/>
      <c r="E111" s="249"/>
      <c r="F111" s="186"/>
      <c r="G111" s="167"/>
      <c r="H111" s="272"/>
      <c r="I111" s="272"/>
      <c r="J111" s="272"/>
      <c r="K111" s="272"/>
      <c r="L111" s="334"/>
      <c r="M111" s="334"/>
      <c r="N111" s="334">
        <f t="shared" ref="N111:S111" si="29">M111</f>
        <v>0</v>
      </c>
      <c r="O111" s="334">
        <f t="shared" si="29"/>
        <v>0</v>
      </c>
      <c r="P111" s="334">
        <f t="shared" si="29"/>
        <v>0</v>
      </c>
      <c r="Q111" s="334">
        <f t="shared" si="29"/>
        <v>0</v>
      </c>
      <c r="R111" s="334">
        <f t="shared" si="29"/>
        <v>0</v>
      </c>
      <c r="S111" s="334">
        <f t="shared" si="29"/>
        <v>0</v>
      </c>
      <c r="T111" s="168"/>
      <c r="U111" s="168"/>
    </row>
    <row r="112" spans="1:21" ht="15.75" hidden="1" customHeight="1" outlineLevel="1">
      <c r="A112" s="295"/>
      <c r="B112" s="353"/>
      <c r="C112" s="314" t="s">
        <v>97</v>
      </c>
      <c r="D112" s="249"/>
      <c r="E112" s="249"/>
      <c r="F112" s="186"/>
      <c r="G112" s="167"/>
      <c r="H112" s="272"/>
      <c r="I112" s="272"/>
      <c r="J112" s="272"/>
      <c r="K112" s="272"/>
      <c r="L112" s="272"/>
      <c r="M112" s="272"/>
      <c r="N112" s="272">
        <f t="shared" ref="N112:S112" si="30">M112*(1+N113)</f>
        <v>0</v>
      </c>
      <c r="O112" s="272">
        <f t="shared" si="30"/>
        <v>0</v>
      </c>
      <c r="P112" s="272">
        <f t="shared" si="30"/>
        <v>0</v>
      </c>
      <c r="Q112" s="272">
        <f t="shared" si="30"/>
        <v>0</v>
      </c>
      <c r="R112" s="272">
        <f t="shared" si="30"/>
        <v>0</v>
      </c>
      <c r="S112" s="272">
        <f t="shared" si="30"/>
        <v>0</v>
      </c>
      <c r="T112" s="168"/>
      <c r="U112" s="168"/>
    </row>
    <row r="113" spans="1:21" ht="15.75" hidden="1" customHeight="1" outlineLevel="1">
      <c r="A113" s="295"/>
      <c r="B113" s="353"/>
      <c r="C113" s="314" t="s">
        <v>98</v>
      </c>
      <c r="D113" s="249"/>
      <c r="E113" s="249"/>
      <c r="F113" s="186"/>
      <c r="G113" s="167"/>
      <c r="H113" s="272"/>
      <c r="I113" s="272"/>
      <c r="J113" s="272"/>
      <c r="K113" s="272"/>
      <c r="L113" s="272"/>
      <c r="M113" s="335"/>
      <c r="N113" s="311">
        <v>0</v>
      </c>
      <c r="O113" s="311">
        <f>N113</f>
        <v>0</v>
      </c>
      <c r="P113" s="311">
        <f>O113</f>
        <v>0</v>
      </c>
      <c r="Q113" s="311">
        <f>P113</f>
        <v>0</v>
      </c>
      <c r="R113" s="311">
        <f>Q113</f>
        <v>0</v>
      </c>
      <c r="S113" s="311">
        <f>R113</f>
        <v>0</v>
      </c>
      <c r="T113" s="168"/>
      <c r="U113" s="168"/>
    </row>
    <row r="114" spans="1:21" ht="15.75" hidden="1" customHeight="1" outlineLevel="1">
      <c r="A114" s="295"/>
      <c r="B114" s="353"/>
      <c r="C114" s="314" t="s">
        <v>100</v>
      </c>
      <c r="D114" s="249"/>
      <c r="E114" s="249"/>
      <c r="F114" s="186"/>
      <c r="G114" s="167"/>
      <c r="H114" s="272"/>
      <c r="I114" s="272"/>
      <c r="J114" s="272"/>
      <c r="K114" s="272"/>
      <c r="L114" s="332"/>
      <c r="M114" s="332"/>
      <c r="N114" s="332">
        <f t="shared" ref="N114:S114" si="31">N115*N177</f>
        <v>0</v>
      </c>
      <c r="O114" s="332">
        <f t="shared" si="31"/>
        <v>0</v>
      </c>
      <c r="P114" s="332">
        <f t="shared" si="31"/>
        <v>0</v>
      </c>
      <c r="Q114" s="332">
        <f t="shared" si="31"/>
        <v>0</v>
      </c>
      <c r="R114" s="332">
        <f t="shared" si="31"/>
        <v>0</v>
      </c>
      <c r="S114" s="332">
        <f t="shared" si="31"/>
        <v>0</v>
      </c>
      <c r="T114" s="168"/>
      <c r="U114" s="168"/>
    </row>
    <row r="115" spans="1:21" ht="15.75" hidden="1" customHeight="1" outlineLevel="1">
      <c r="A115" s="295"/>
      <c r="B115" s="353"/>
      <c r="C115" s="314" t="s">
        <v>101</v>
      </c>
      <c r="D115" s="249"/>
      <c r="E115" s="249"/>
      <c r="F115" s="186"/>
      <c r="G115" s="167"/>
      <c r="H115" s="272"/>
      <c r="I115" s="272"/>
      <c r="J115" s="272"/>
      <c r="K115" s="272"/>
      <c r="L115" s="334"/>
      <c r="M115" s="334"/>
      <c r="N115" s="334">
        <f t="shared" ref="N115:S115" si="32">M115</f>
        <v>0</v>
      </c>
      <c r="O115" s="334">
        <f t="shared" si="32"/>
        <v>0</v>
      </c>
      <c r="P115" s="334">
        <f t="shared" si="32"/>
        <v>0</v>
      </c>
      <c r="Q115" s="334">
        <f t="shared" si="32"/>
        <v>0</v>
      </c>
      <c r="R115" s="334">
        <f t="shared" si="32"/>
        <v>0</v>
      </c>
      <c r="S115" s="334">
        <f t="shared" si="32"/>
        <v>0</v>
      </c>
      <c r="T115" s="168"/>
      <c r="U115" s="168"/>
    </row>
    <row r="116" spans="1:21" ht="15.75" hidden="1" customHeight="1" outlineLevel="1">
      <c r="A116" s="295"/>
      <c r="B116" s="353"/>
      <c r="C116" s="314" t="s">
        <v>99</v>
      </c>
      <c r="D116" s="249"/>
      <c r="E116" s="249"/>
      <c r="F116" s="186"/>
      <c r="G116" s="167"/>
      <c r="H116" s="272"/>
      <c r="I116" s="272"/>
      <c r="J116" s="272"/>
      <c r="K116" s="272"/>
      <c r="L116" s="332"/>
      <c r="M116" s="332"/>
      <c r="N116" s="332">
        <f t="shared" ref="N116:S116" si="33">M116*N186</f>
        <v>0</v>
      </c>
      <c r="O116" s="332">
        <f t="shared" si="33"/>
        <v>0</v>
      </c>
      <c r="P116" s="332">
        <f t="shared" si="33"/>
        <v>0</v>
      </c>
      <c r="Q116" s="332">
        <f t="shared" si="33"/>
        <v>0</v>
      </c>
      <c r="R116" s="332">
        <f t="shared" si="33"/>
        <v>0</v>
      </c>
      <c r="S116" s="332">
        <f t="shared" si="33"/>
        <v>0</v>
      </c>
      <c r="T116" s="168"/>
      <c r="U116" s="168"/>
    </row>
    <row r="117" spans="1:21" ht="15.75" hidden="1" customHeight="1" outlineLevel="1">
      <c r="A117" s="295"/>
      <c r="B117" s="353"/>
      <c r="C117" s="314" t="s">
        <v>83</v>
      </c>
      <c r="D117" s="249"/>
      <c r="E117" s="249"/>
      <c r="F117" s="186"/>
      <c r="G117" s="167"/>
      <c r="H117" s="272"/>
      <c r="I117" s="272"/>
      <c r="J117" s="272"/>
      <c r="K117" s="272"/>
      <c r="L117" s="332"/>
      <c r="M117" s="332"/>
      <c r="N117" s="332">
        <f t="shared" ref="N117:S117" si="34">M117*N186</f>
        <v>0</v>
      </c>
      <c r="O117" s="332">
        <f t="shared" si="34"/>
        <v>0</v>
      </c>
      <c r="P117" s="332">
        <f t="shared" si="34"/>
        <v>0</v>
      </c>
      <c r="Q117" s="332">
        <f t="shared" si="34"/>
        <v>0</v>
      </c>
      <c r="R117" s="332">
        <f t="shared" si="34"/>
        <v>0</v>
      </c>
      <c r="S117" s="332">
        <f t="shared" si="34"/>
        <v>0</v>
      </c>
      <c r="T117" s="168"/>
      <c r="U117" s="168"/>
    </row>
    <row r="118" spans="1:21" ht="15.75" hidden="1" customHeight="1" outlineLevel="1">
      <c r="A118" s="295"/>
      <c r="B118" s="353"/>
      <c r="C118" s="314" t="s">
        <v>84</v>
      </c>
      <c r="D118" s="249"/>
      <c r="E118" s="249"/>
      <c r="F118" s="186"/>
      <c r="G118" s="167"/>
      <c r="H118" s="272"/>
      <c r="I118" s="272"/>
      <c r="J118" s="272"/>
      <c r="K118" s="272"/>
      <c r="L118" s="332"/>
      <c r="M118" s="332"/>
      <c r="N118" s="332">
        <f t="shared" ref="N118:S118" si="35">M118*N186</f>
        <v>0</v>
      </c>
      <c r="O118" s="332">
        <f t="shared" si="35"/>
        <v>0</v>
      </c>
      <c r="P118" s="332">
        <f t="shared" si="35"/>
        <v>0</v>
      </c>
      <c r="Q118" s="332">
        <f t="shared" si="35"/>
        <v>0</v>
      </c>
      <c r="R118" s="332">
        <f t="shared" si="35"/>
        <v>0</v>
      </c>
      <c r="S118" s="332">
        <f t="shared" si="35"/>
        <v>0</v>
      </c>
      <c r="T118" s="168"/>
      <c r="U118" s="168"/>
    </row>
    <row r="119" spans="1:21" ht="15.75" hidden="1" customHeight="1" outlineLevel="1">
      <c r="A119" s="295"/>
      <c r="B119" s="353"/>
      <c r="C119" s="314" t="s">
        <v>86</v>
      </c>
      <c r="D119" s="249"/>
      <c r="E119" s="249"/>
      <c r="F119" s="186"/>
      <c r="G119" s="167"/>
      <c r="H119" s="272"/>
      <c r="I119" s="272"/>
      <c r="J119" s="272"/>
      <c r="K119" s="272"/>
      <c r="L119" s="332"/>
      <c r="M119" s="332"/>
      <c r="N119" s="332">
        <f t="shared" ref="N119:S119" si="36">N120*N102</f>
        <v>0</v>
      </c>
      <c r="O119" s="332">
        <f t="shared" si="36"/>
        <v>0</v>
      </c>
      <c r="P119" s="332">
        <f t="shared" si="36"/>
        <v>0</v>
      </c>
      <c r="Q119" s="332">
        <f t="shared" si="36"/>
        <v>0</v>
      </c>
      <c r="R119" s="332">
        <f t="shared" si="36"/>
        <v>0</v>
      </c>
      <c r="S119" s="332">
        <f t="shared" si="36"/>
        <v>0</v>
      </c>
      <c r="T119" s="168"/>
      <c r="U119" s="168"/>
    </row>
    <row r="120" spans="1:21" ht="15.75" hidden="1" customHeight="1" outlineLevel="1">
      <c r="A120" s="295"/>
      <c r="B120" s="353"/>
      <c r="C120" s="314" t="s">
        <v>89</v>
      </c>
      <c r="D120" s="249"/>
      <c r="E120" s="249"/>
      <c r="F120" s="186"/>
      <c r="G120" s="167"/>
      <c r="H120" s="272"/>
      <c r="I120" s="272"/>
      <c r="J120" s="272"/>
      <c r="K120" s="272"/>
      <c r="L120" s="723"/>
      <c r="M120" s="723"/>
      <c r="N120" s="333">
        <f t="shared" ref="N120:S120" si="37">M120</f>
        <v>0</v>
      </c>
      <c r="O120" s="333">
        <f t="shared" si="37"/>
        <v>0</v>
      </c>
      <c r="P120" s="333">
        <f t="shared" si="37"/>
        <v>0</v>
      </c>
      <c r="Q120" s="333">
        <f t="shared" si="37"/>
        <v>0</v>
      </c>
      <c r="R120" s="333">
        <f t="shared" si="37"/>
        <v>0</v>
      </c>
      <c r="S120" s="333">
        <f t="shared" si="37"/>
        <v>0</v>
      </c>
      <c r="T120" s="168"/>
      <c r="U120" s="168"/>
    </row>
    <row r="121" spans="1:21" ht="15.75" hidden="1" customHeight="1" outlineLevel="1">
      <c r="A121" s="295"/>
      <c r="B121" s="353"/>
      <c r="C121" s="314" t="s">
        <v>85</v>
      </c>
      <c r="D121" s="249"/>
      <c r="E121" s="249"/>
      <c r="F121" s="186"/>
      <c r="G121" s="167"/>
      <c r="H121" s="272"/>
      <c r="I121" s="272"/>
      <c r="J121" s="272"/>
      <c r="K121" s="272"/>
      <c r="L121" s="332"/>
      <c r="M121" s="332"/>
      <c r="N121" s="332">
        <f t="shared" ref="N121:S121" si="38">M121*N186</f>
        <v>0</v>
      </c>
      <c r="O121" s="332">
        <f t="shared" si="38"/>
        <v>0</v>
      </c>
      <c r="P121" s="332">
        <f t="shared" si="38"/>
        <v>0</v>
      </c>
      <c r="Q121" s="332">
        <f t="shared" si="38"/>
        <v>0</v>
      </c>
      <c r="R121" s="332">
        <f t="shared" si="38"/>
        <v>0</v>
      </c>
      <c r="S121" s="332">
        <f t="shared" si="38"/>
        <v>0</v>
      </c>
      <c r="T121" s="168"/>
      <c r="U121" s="168"/>
    </row>
    <row r="122" spans="1:21" ht="15.75" hidden="1" customHeight="1" outlineLevel="1">
      <c r="A122" s="295"/>
      <c r="B122" s="353"/>
      <c r="C122" s="314" t="s">
        <v>87</v>
      </c>
      <c r="D122" s="249"/>
      <c r="E122" s="249"/>
      <c r="F122" s="186"/>
      <c r="G122" s="167"/>
      <c r="H122" s="272"/>
      <c r="I122" s="272"/>
      <c r="J122" s="272"/>
      <c r="K122" s="272"/>
      <c r="L122" s="332"/>
      <c r="M122" s="332"/>
      <c r="N122" s="332">
        <f t="shared" ref="N122:S122" si="39">N123*N106</f>
        <v>0</v>
      </c>
      <c r="O122" s="332">
        <f t="shared" si="39"/>
        <v>0</v>
      </c>
      <c r="P122" s="332">
        <f t="shared" si="39"/>
        <v>0</v>
      </c>
      <c r="Q122" s="332">
        <f t="shared" si="39"/>
        <v>0</v>
      </c>
      <c r="R122" s="332">
        <f t="shared" si="39"/>
        <v>0</v>
      </c>
      <c r="S122" s="332">
        <f t="shared" si="39"/>
        <v>0</v>
      </c>
      <c r="T122" s="168"/>
      <c r="U122" s="168"/>
    </row>
    <row r="123" spans="1:21" ht="15.75" hidden="1" customHeight="1" outlineLevel="1">
      <c r="A123" s="295"/>
      <c r="B123" s="353"/>
      <c r="C123" s="314" t="s">
        <v>91</v>
      </c>
      <c r="D123" s="249"/>
      <c r="E123" s="249"/>
      <c r="F123" s="186"/>
      <c r="G123" s="167"/>
      <c r="H123" s="272"/>
      <c r="I123" s="272"/>
      <c r="J123" s="272"/>
      <c r="K123" s="272"/>
      <c r="L123" s="723"/>
      <c r="M123" s="723"/>
      <c r="N123" s="333">
        <f t="shared" ref="N123:S123" si="40">M123</f>
        <v>0</v>
      </c>
      <c r="O123" s="333">
        <f t="shared" si="40"/>
        <v>0</v>
      </c>
      <c r="P123" s="333">
        <f t="shared" si="40"/>
        <v>0</v>
      </c>
      <c r="Q123" s="333">
        <f t="shared" si="40"/>
        <v>0</v>
      </c>
      <c r="R123" s="333">
        <f t="shared" si="40"/>
        <v>0</v>
      </c>
      <c r="S123" s="333">
        <f t="shared" si="40"/>
        <v>0</v>
      </c>
      <c r="T123" s="168"/>
      <c r="U123" s="168"/>
    </row>
    <row r="124" spans="1:21" ht="15.75" hidden="1" customHeight="1" outlineLevel="1">
      <c r="A124" s="295"/>
      <c r="B124" s="353"/>
      <c r="C124" s="314" t="s">
        <v>88</v>
      </c>
      <c r="D124" s="249"/>
      <c r="E124" s="249"/>
      <c r="F124" s="186"/>
      <c r="G124" s="167"/>
      <c r="H124" s="272"/>
      <c r="I124" s="272"/>
      <c r="J124" s="272"/>
      <c r="K124" s="272"/>
      <c r="L124" s="332"/>
      <c r="M124" s="332"/>
      <c r="N124" s="332">
        <f t="shared" ref="N124:S124" si="41">M124*N186</f>
        <v>0</v>
      </c>
      <c r="O124" s="332">
        <f t="shared" si="41"/>
        <v>0</v>
      </c>
      <c r="P124" s="332">
        <f t="shared" si="41"/>
        <v>0</v>
      </c>
      <c r="Q124" s="332">
        <f t="shared" si="41"/>
        <v>0</v>
      </c>
      <c r="R124" s="332">
        <f t="shared" si="41"/>
        <v>0</v>
      </c>
      <c r="S124" s="332">
        <f t="shared" si="41"/>
        <v>0</v>
      </c>
      <c r="T124" s="168"/>
      <c r="U124" s="168"/>
    </row>
    <row r="125" spans="1:21" s="308" customFormat="1" ht="15.75" hidden="1" customHeight="1" outlineLevel="1">
      <c r="A125" s="722"/>
      <c r="B125" s="736"/>
      <c r="C125" s="728" t="s">
        <v>75</v>
      </c>
      <c r="D125" s="262"/>
      <c r="E125" s="262"/>
      <c r="F125" s="186"/>
      <c r="G125" s="305"/>
      <c r="H125" s="309"/>
      <c r="I125" s="309"/>
      <c r="J125" s="309"/>
      <c r="K125" s="309"/>
      <c r="L125" s="309">
        <f>L126+L129+L130+L133+L132+L135+L127</f>
        <v>0</v>
      </c>
      <c r="M125" s="309"/>
      <c r="N125" s="309">
        <v>0</v>
      </c>
      <c r="O125" s="729">
        <v>0</v>
      </c>
      <c r="P125" s="729">
        <f>O125*(1+$P$185)</f>
        <v>0</v>
      </c>
      <c r="Q125" s="729">
        <f>P125*(1+$Q$185)</f>
        <v>0</v>
      </c>
      <c r="R125" s="729">
        <f>Q125*(1+$R$185)</f>
        <v>0</v>
      </c>
      <c r="S125" s="729">
        <f>R125*(1+$R$185)</f>
        <v>0</v>
      </c>
      <c r="T125" s="313"/>
      <c r="U125" s="313"/>
    </row>
    <row r="126" spans="1:21" ht="15.75" hidden="1" customHeight="1" outlineLevel="1">
      <c r="A126" s="295"/>
      <c r="B126" s="353"/>
      <c r="C126" s="314" t="s">
        <v>82</v>
      </c>
      <c r="D126" s="249"/>
      <c r="E126" s="249"/>
      <c r="F126" s="186"/>
      <c r="G126" s="167"/>
      <c r="H126" s="272"/>
      <c r="I126" s="272"/>
      <c r="J126" s="272"/>
      <c r="K126" s="272"/>
      <c r="L126" s="332"/>
      <c r="M126" s="332"/>
      <c r="N126" s="332">
        <f t="shared" ref="N126:S126" si="42">M126*N186</f>
        <v>0</v>
      </c>
      <c r="O126" s="332">
        <f t="shared" si="42"/>
        <v>0</v>
      </c>
      <c r="P126" s="332">
        <f t="shared" si="42"/>
        <v>0</v>
      </c>
      <c r="Q126" s="332">
        <f t="shared" si="42"/>
        <v>0</v>
      </c>
      <c r="R126" s="332">
        <f t="shared" si="42"/>
        <v>0</v>
      </c>
      <c r="S126" s="332">
        <f t="shared" si="42"/>
        <v>0</v>
      </c>
      <c r="T126" s="168"/>
      <c r="U126" s="168"/>
    </row>
    <row r="127" spans="1:21" ht="15.75" hidden="1" customHeight="1" outlineLevel="1">
      <c r="A127" s="295"/>
      <c r="B127" s="353"/>
      <c r="C127" s="314" t="s">
        <v>100</v>
      </c>
      <c r="D127" s="249"/>
      <c r="E127" s="249"/>
      <c r="F127" s="186"/>
      <c r="G127" s="167"/>
      <c r="H127" s="272"/>
      <c r="I127" s="272"/>
      <c r="J127" s="272"/>
      <c r="K127" s="272"/>
      <c r="L127" s="332"/>
      <c r="M127" s="332"/>
      <c r="N127" s="332">
        <f t="shared" ref="N127:S127" si="43">N128*N177</f>
        <v>0</v>
      </c>
      <c r="O127" s="332">
        <f t="shared" si="43"/>
        <v>0</v>
      </c>
      <c r="P127" s="332">
        <f t="shared" si="43"/>
        <v>0</v>
      </c>
      <c r="Q127" s="332">
        <f t="shared" si="43"/>
        <v>0</v>
      </c>
      <c r="R127" s="332">
        <f t="shared" si="43"/>
        <v>0</v>
      </c>
      <c r="S127" s="332">
        <f t="shared" si="43"/>
        <v>0</v>
      </c>
      <c r="T127" s="168"/>
      <c r="U127" s="168"/>
    </row>
    <row r="128" spans="1:21" ht="15.75" hidden="1" customHeight="1" outlineLevel="1">
      <c r="A128" s="295"/>
      <c r="B128" s="353"/>
      <c r="C128" s="314" t="s">
        <v>101</v>
      </c>
      <c r="D128" s="249"/>
      <c r="E128" s="249"/>
      <c r="F128" s="186"/>
      <c r="G128" s="167"/>
      <c r="H128" s="272"/>
      <c r="I128" s="272"/>
      <c r="J128" s="272"/>
      <c r="K128" s="272"/>
      <c r="L128" s="334"/>
      <c r="M128" s="334"/>
      <c r="N128" s="334">
        <f t="shared" ref="N128:S128" si="44">M128</f>
        <v>0</v>
      </c>
      <c r="O128" s="334">
        <f t="shared" si="44"/>
        <v>0</v>
      </c>
      <c r="P128" s="334">
        <f t="shared" si="44"/>
        <v>0</v>
      </c>
      <c r="Q128" s="334">
        <f t="shared" si="44"/>
        <v>0</v>
      </c>
      <c r="R128" s="334">
        <f t="shared" si="44"/>
        <v>0</v>
      </c>
      <c r="S128" s="334">
        <f t="shared" si="44"/>
        <v>0</v>
      </c>
      <c r="T128" s="168"/>
      <c r="U128" s="168"/>
    </row>
    <row r="129" spans="1:21" ht="15.75" hidden="1" customHeight="1" outlineLevel="1">
      <c r="A129" s="295"/>
      <c r="B129" s="353"/>
      <c r="C129" s="314" t="s">
        <v>84</v>
      </c>
      <c r="D129" s="249"/>
      <c r="E129" s="249"/>
      <c r="F129" s="186"/>
      <c r="G129" s="167"/>
      <c r="H129" s="272"/>
      <c r="I129" s="272"/>
      <c r="J129" s="272"/>
      <c r="K129" s="272"/>
      <c r="L129" s="332"/>
      <c r="M129" s="332"/>
      <c r="N129" s="332">
        <f t="shared" ref="N129:S129" si="45">M129*N186</f>
        <v>0</v>
      </c>
      <c r="O129" s="332">
        <f t="shared" si="45"/>
        <v>0</v>
      </c>
      <c r="P129" s="332">
        <f t="shared" si="45"/>
        <v>0</v>
      </c>
      <c r="Q129" s="332">
        <f t="shared" si="45"/>
        <v>0</v>
      </c>
      <c r="R129" s="332">
        <f t="shared" si="45"/>
        <v>0</v>
      </c>
      <c r="S129" s="332">
        <f t="shared" si="45"/>
        <v>0</v>
      </c>
      <c r="T129" s="168"/>
      <c r="U129" s="168"/>
    </row>
    <row r="130" spans="1:21" ht="15.75" hidden="1" customHeight="1" outlineLevel="1">
      <c r="A130" s="295"/>
      <c r="B130" s="353"/>
      <c r="C130" s="314" t="s">
        <v>86</v>
      </c>
      <c r="D130" s="249"/>
      <c r="E130" s="249"/>
      <c r="F130" s="186"/>
      <c r="G130" s="167"/>
      <c r="H130" s="272"/>
      <c r="I130" s="272"/>
      <c r="J130" s="272"/>
      <c r="K130" s="272"/>
      <c r="L130" s="332"/>
      <c r="M130" s="332"/>
      <c r="N130" s="332">
        <f t="shared" ref="N130:S130" si="46">N131*N102</f>
        <v>0</v>
      </c>
      <c r="O130" s="332">
        <f t="shared" si="46"/>
        <v>0</v>
      </c>
      <c r="P130" s="332">
        <f t="shared" si="46"/>
        <v>0</v>
      </c>
      <c r="Q130" s="332">
        <f t="shared" si="46"/>
        <v>0</v>
      </c>
      <c r="R130" s="332">
        <f t="shared" si="46"/>
        <v>0</v>
      </c>
      <c r="S130" s="332">
        <f t="shared" si="46"/>
        <v>0</v>
      </c>
      <c r="T130" s="168"/>
      <c r="U130" s="168"/>
    </row>
    <row r="131" spans="1:21" ht="15.75" hidden="1" customHeight="1" outlineLevel="1">
      <c r="A131" s="295"/>
      <c r="B131" s="353"/>
      <c r="C131" s="314" t="s">
        <v>89</v>
      </c>
      <c r="D131" s="249"/>
      <c r="E131" s="249"/>
      <c r="F131" s="186"/>
      <c r="G131" s="167"/>
      <c r="H131" s="272"/>
      <c r="I131" s="272"/>
      <c r="J131" s="272"/>
      <c r="K131" s="272"/>
      <c r="L131" s="723"/>
      <c r="M131" s="723"/>
      <c r="N131" s="333">
        <f t="shared" ref="N131:S131" si="47">M131</f>
        <v>0</v>
      </c>
      <c r="O131" s="333">
        <f t="shared" si="47"/>
        <v>0</v>
      </c>
      <c r="P131" s="333">
        <f t="shared" si="47"/>
        <v>0</v>
      </c>
      <c r="Q131" s="333">
        <f t="shared" si="47"/>
        <v>0</v>
      </c>
      <c r="R131" s="333">
        <f t="shared" si="47"/>
        <v>0</v>
      </c>
      <c r="S131" s="333">
        <f t="shared" si="47"/>
        <v>0</v>
      </c>
      <c r="T131" s="168"/>
      <c r="U131" s="168"/>
    </row>
    <row r="132" spans="1:21" ht="15.75" hidden="1" customHeight="1" outlineLevel="1">
      <c r="A132" s="295"/>
      <c r="B132" s="353"/>
      <c r="C132" s="314" t="s">
        <v>85</v>
      </c>
      <c r="D132" s="249"/>
      <c r="E132" s="249"/>
      <c r="F132" s="186"/>
      <c r="G132" s="167"/>
      <c r="H132" s="272"/>
      <c r="I132" s="272"/>
      <c r="J132" s="272"/>
      <c r="K132" s="272"/>
      <c r="L132" s="332"/>
      <c r="M132" s="332"/>
      <c r="N132" s="332">
        <f t="shared" ref="N132:S132" si="48">M132*N186</f>
        <v>0</v>
      </c>
      <c r="O132" s="332">
        <f t="shared" si="48"/>
        <v>0</v>
      </c>
      <c r="P132" s="332">
        <f t="shared" si="48"/>
        <v>0</v>
      </c>
      <c r="Q132" s="332">
        <f t="shared" si="48"/>
        <v>0</v>
      </c>
      <c r="R132" s="332">
        <f t="shared" si="48"/>
        <v>0</v>
      </c>
      <c r="S132" s="332">
        <f t="shared" si="48"/>
        <v>0</v>
      </c>
      <c r="T132" s="168"/>
      <c r="U132" s="168"/>
    </row>
    <row r="133" spans="1:21" ht="15.75" hidden="1" customHeight="1" outlineLevel="1">
      <c r="A133" s="295"/>
      <c r="B133" s="353"/>
      <c r="C133" s="314" t="s">
        <v>87</v>
      </c>
      <c r="D133" s="249"/>
      <c r="E133" s="249"/>
      <c r="F133" s="186"/>
      <c r="G133" s="167"/>
      <c r="H133" s="272"/>
      <c r="I133" s="272"/>
      <c r="J133" s="272"/>
      <c r="K133" s="272"/>
      <c r="L133" s="332"/>
      <c r="M133" s="332"/>
      <c r="N133" s="332">
        <f t="shared" ref="N133:S133" si="49">N134*N106</f>
        <v>0</v>
      </c>
      <c r="O133" s="332">
        <f t="shared" si="49"/>
        <v>0</v>
      </c>
      <c r="P133" s="332">
        <f t="shared" si="49"/>
        <v>0</v>
      </c>
      <c r="Q133" s="332">
        <f t="shared" si="49"/>
        <v>0</v>
      </c>
      <c r="R133" s="332">
        <f t="shared" si="49"/>
        <v>0</v>
      </c>
      <c r="S133" s="332">
        <f t="shared" si="49"/>
        <v>0</v>
      </c>
      <c r="T133" s="168"/>
      <c r="U133" s="168"/>
    </row>
    <row r="134" spans="1:21" ht="15.75" hidden="1" customHeight="1" outlineLevel="1">
      <c r="A134" s="295"/>
      <c r="B134" s="353"/>
      <c r="C134" s="314" t="s">
        <v>91</v>
      </c>
      <c r="D134" s="249"/>
      <c r="E134" s="249"/>
      <c r="F134" s="186"/>
      <c r="G134" s="167"/>
      <c r="H134" s="272"/>
      <c r="I134" s="272"/>
      <c r="J134" s="272"/>
      <c r="K134" s="272"/>
      <c r="L134" s="723"/>
      <c r="M134" s="723"/>
      <c r="N134" s="333">
        <f t="shared" ref="N134:S134" si="50">M134</f>
        <v>0</v>
      </c>
      <c r="O134" s="333">
        <f t="shared" si="50"/>
        <v>0</v>
      </c>
      <c r="P134" s="333">
        <f t="shared" si="50"/>
        <v>0</v>
      </c>
      <c r="Q134" s="333">
        <f t="shared" si="50"/>
        <v>0</v>
      </c>
      <c r="R134" s="333">
        <f t="shared" si="50"/>
        <v>0</v>
      </c>
      <c r="S134" s="333">
        <f t="shared" si="50"/>
        <v>0</v>
      </c>
      <c r="T134" s="168"/>
      <c r="U134" s="168"/>
    </row>
    <row r="135" spans="1:21" ht="15.75" hidden="1" customHeight="1" outlineLevel="1">
      <c r="A135" s="295"/>
      <c r="B135" s="353"/>
      <c r="C135" s="314" t="s">
        <v>88</v>
      </c>
      <c r="D135" s="249"/>
      <c r="E135" s="249"/>
      <c r="F135" s="186"/>
      <c r="G135" s="167"/>
      <c r="H135" s="272"/>
      <c r="I135" s="272"/>
      <c r="J135" s="272"/>
      <c r="K135" s="272"/>
      <c r="L135" s="332"/>
      <c r="M135" s="332"/>
      <c r="N135" s="332">
        <f t="shared" ref="N135:S135" si="51">M135*N186</f>
        <v>0</v>
      </c>
      <c r="O135" s="332">
        <f t="shared" si="51"/>
        <v>0</v>
      </c>
      <c r="P135" s="332">
        <f t="shared" si="51"/>
        <v>0</v>
      </c>
      <c r="Q135" s="332">
        <f t="shared" si="51"/>
        <v>0</v>
      </c>
      <c r="R135" s="332">
        <f t="shared" si="51"/>
        <v>0</v>
      </c>
      <c r="S135" s="332">
        <f t="shared" si="51"/>
        <v>0</v>
      </c>
      <c r="T135" s="168"/>
      <c r="U135" s="168"/>
    </row>
    <row r="136" spans="1:21" s="308" customFormat="1" ht="15.75" hidden="1" customHeight="1" outlineLevel="1">
      <c r="A136" s="722"/>
      <c r="B136" s="736"/>
      <c r="C136" s="728" t="s">
        <v>76</v>
      </c>
      <c r="D136" s="262"/>
      <c r="E136" s="262"/>
      <c r="F136" s="186"/>
      <c r="G136" s="305"/>
      <c r="H136" s="309"/>
      <c r="I136" s="309"/>
      <c r="J136" s="309"/>
      <c r="K136" s="309"/>
      <c r="L136" s="724">
        <f>L137+L141+L142+L143+L145+L146+L148+L149</f>
        <v>0</v>
      </c>
      <c r="M136" s="724">
        <f>M137+M141+M142+M143+M145+M146+M148+M149</f>
        <v>343.95448586666669</v>
      </c>
      <c r="N136" s="724">
        <f>N137+N141+N142+N143+N145+N146+N148+N149</f>
        <v>349.11576000000002</v>
      </c>
      <c r="O136" s="724">
        <f>O137+O141+O142+O143+O145+O146+O148+O149</f>
        <v>412.60024411449018</v>
      </c>
      <c r="P136" s="724"/>
      <c r="Q136" s="724"/>
      <c r="R136" s="724"/>
      <c r="S136" s="724"/>
      <c r="T136" s="313"/>
      <c r="U136" s="313"/>
    </row>
    <row r="137" spans="1:21" ht="15.75" hidden="1" customHeight="1" outlineLevel="1">
      <c r="A137" s="295"/>
      <c r="B137" s="353"/>
      <c r="C137" s="314" t="s">
        <v>102</v>
      </c>
      <c r="D137" s="249"/>
      <c r="E137" s="249"/>
      <c r="F137" s="186"/>
      <c r="G137" s="167"/>
      <c r="H137" s="272"/>
      <c r="I137" s="272"/>
      <c r="J137" s="272"/>
      <c r="K137" s="272"/>
      <c r="L137" s="272"/>
      <c r="M137" s="272">
        <f>M138*M139</f>
        <v>244.89349733333333</v>
      </c>
      <c r="N137" s="272">
        <f>N138*N139</f>
        <v>262.02</v>
      </c>
      <c r="O137" s="272">
        <f>O138*O139</f>
        <v>210.82585534516531</v>
      </c>
      <c r="P137" s="272"/>
      <c r="Q137" s="272"/>
      <c r="R137" s="272"/>
      <c r="S137" s="272"/>
      <c r="T137" s="168"/>
      <c r="U137" s="168"/>
    </row>
    <row r="138" spans="1:21" ht="15.75" hidden="1" customHeight="1" outlineLevel="1">
      <c r="A138" s="295"/>
      <c r="B138" s="353"/>
      <c r="C138" s="314" t="s">
        <v>103</v>
      </c>
      <c r="D138" s="249"/>
      <c r="E138" s="249"/>
      <c r="F138" s="186"/>
      <c r="G138" s="167"/>
      <c r="H138" s="272"/>
      <c r="I138" s="272"/>
      <c r="J138" s="272"/>
      <c r="K138" s="272"/>
      <c r="L138" s="334"/>
      <c r="M138" s="334">
        <v>18.516999999999999</v>
      </c>
      <c r="N138" s="334">
        <v>21.835000000000001</v>
      </c>
      <c r="O138" s="334">
        <v>17.866597910607229</v>
      </c>
      <c r="P138" s="334"/>
      <c r="Q138" s="334"/>
      <c r="R138" s="334"/>
      <c r="S138" s="334"/>
      <c r="T138" s="168"/>
      <c r="U138" s="168"/>
    </row>
    <row r="139" spans="1:21" ht="15.75" hidden="1" customHeight="1" outlineLevel="1">
      <c r="A139" s="295"/>
      <c r="B139" s="353"/>
      <c r="C139" s="314" t="s">
        <v>104</v>
      </c>
      <c r="D139" s="249"/>
      <c r="E139" s="249"/>
      <c r="F139" s="186"/>
      <c r="G139" s="167"/>
      <c r="H139" s="272"/>
      <c r="I139" s="272"/>
      <c r="J139" s="272"/>
      <c r="K139" s="272"/>
      <c r="L139" s="272"/>
      <c r="M139" s="272">
        <f>991.9/'Control list'!I18</f>
        <v>13.225333333333333</v>
      </c>
      <c r="N139" s="272">
        <f>900/'Control list'!J18</f>
        <v>12</v>
      </c>
      <c r="O139" s="272">
        <f>944/'Control list'!K18</f>
        <v>11.8</v>
      </c>
      <c r="P139" s="272"/>
      <c r="Q139" s="272"/>
      <c r="R139" s="272"/>
      <c r="S139" s="272"/>
      <c r="T139" s="168"/>
      <c r="U139" s="168"/>
    </row>
    <row r="140" spans="1:21" ht="15.75" hidden="1" customHeight="1" outlineLevel="1">
      <c r="A140" s="295"/>
      <c r="B140" s="353"/>
      <c r="C140" s="314" t="s">
        <v>105</v>
      </c>
      <c r="D140" s="249"/>
      <c r="E140" s="249"/>
      <c r="F140" s="186"/>
      <c r="G140" s="167"/>
      <c r="H140" s="272"/>
      <c r="I140" s="272"/>
      <c r="J140" s="272"/>
      <c r="K140" s="272"/>
      <c r="L140" s="272"/>
      <c r="M140" s="311"/>
      <c r="N140" s="311"/>
      <c r="O140" s="311"/>
      <c r="P140" s="311"/>
      <c r="Q140" s="311"/>
      <c r="R140" s="311"/>
      <c r="S140" s="311"/>
      <c r="T140" s="168"/>
      <c r="U140" s="168"/>
    </row>
    <row r="141" spans="1:21" ht="15.75" hidden="1" customHeight="1" outlineLevel="1">
      <c r="A141" s="295"/>
      <c r="B141" s="353"/>
      <c r="C141" s="314" t="s">
        <v>106</v>
      </c>
      <c r="D141" s="249"/>
      <c r="E141" s="249"/>
      <c r="F141" s="186"/>
      <c r="G141" s="167"/>
      <c r="H141" s="272"/>
      <c r="I141" s="272"/>
      <c r="J141" s="272"/>
      <c r="K141" s="272"/>
      <c r="L141" s="332"/>
      <c r="M141" s="332">
        <f>-1124.13/'Control list'!I18</f>
        <v>-14.988400000000002</v>
      </c>
      <c r="N141" s="332">
        <f>-1453.02/'Control list'!J18</f>
        <v>-19.3736</v>
      </c>
      <c r="O141" s="332">
        <v>-36.866979284145536</v>
      </c>
      <c r="P141" s="332"/>
      <c r="Q141" s="332"/>
      <c r="R141" s="332"/>
      <c r="S141" s="332"/>
      <c r="T141" s="168"/>
      <c r="U141" s="168"/>
    </row>
    <row r="142" spans="1:21" ht="15.75" hidden="1" customHeight="1" outlineLevel="1">
      <c r="A142" s="295"/>
      <c r="B142" s="353"/>
      <c r="C142" s="314" t="s">
        <v>99</v>
      </c>
      <c r="D142" s="249"/>
      <c r="E142" s="249"/>
      <c r="F142" s="186"/>
      <c r="G142" s="167"/>
      <c r="H142" s="272"/>
      <c r="I142" s="272"/>
      <c r="J142" s="272"/>
      <c r="K142" s="272"/>
      <c r="L142" s="332"/>
      <c r="M142" s="332">
        <f>21.89/'Control list'!I18</f>
        <v>0.29186666666666666</v>
      </c>
      <c r="N142" s="332">
        <f>30.98/'Control list'!J18</f>
        <v>0.41306666666666669</v>
      </c>
      <c r="O142" s="332">
        <v>1.3333333333333333</v>
      </c>
      <c r="P142" s="332"/>
      <c r="Q142" s="332"/>
      <c r="R142" s="332"/>
      <c r="S142" s="332"/>
      <c r="T142" s="168"/>
      <c r="U142" s="168"/>
    </row>
    <row r="143" spans="1:21" ht="15.75" hidden="1" customHeight="1" outlineLevel="1">
      <c r="A143" s="295"/>
      <c r="B143" s="353"/>
      <c r="C143" s="314" t="s">
        <v>86</v>
      </c>
      <c r="D143" s="249"/>
      <c r="E143" s="249"/>
      <c r="F143" s="186"/>
      <c r="G143" s="167"/>
      <c r="H143" s="272"/>
      <c r="I143" s="272"/>
      <c r="J143" s="272"/>
      <c r="K143" s="272"/>
      <c r="L143" s="332"/>
      <c r="M143" s="332">
        <f>M144*M102</f>
        <v>17.798755200000002</v>
      </c>
      <c r="N143" s="332">
        <f>N144*N102</f>
        <v>23.930239999999998</v>
      </c>
      <c r="O143" s="332">
        <f>O144*O102</f>
        <v>17.313365358761946</v>
      </c>
      <c r="P143" s="332"/>
      <c r="Q143" s="332"/>
      <c r="R143" s="332"/>
      <c r="S143" s="332"/>
      <c r="T143" s="168"/>
      <c r="U143" s="168"/>
    </row>
    <row r="144" spans="1:21" ht="15.75" hidden="1" customHeight="1" outlineLevel="1">
      <c r="A144" s="295"/>
      <c r="B144" s="353"/>
      <c r="C144" s="314" t="s">
        <v>89</v>
      </c>
      <c r="D144" s="249"/>
      <c r="E144" s="249"/>
      <c r="F144" s="186"/>
      <c r="G144" s="167"/>
      <c r="H144" s="272"/>
      <c r="I144" s="272"/>
      <c r="J144" s="272"/>
      <c r="K144" s="272"/>
      <c r="L144" s="723"/>
      <c r="M144" s="332">
        <v>0.76400000000000001</v>
      </c>
      <c r="N144" s="333">
        <v>0.83399999999999996</v>
      </c>
      <c r="O144" s="332">
        <v>0.72226672404582415</v>
      </c>
      <c r="P144" s="333"/>
      <c r="Q144" s="333"/>
      <c r="R144" s="333"/>
      <c r="S144" s="333"/>
      <c r="T144" s="168"/>
      <c r="U144" s="168"/>
    </row>
    <row r="145" spans="1:21" ht="15.75" hidden="1" customHeight="1" outlineLevel="1">
      <c r="A145" s="295"/>
      <c r="B145" s="353"/>
      <c r="C145" s="314" t="s">
        <v>85</v>
      </c>
      <c r="D145" s="249"/>
      <c r="E145" s="249"/>
      <c r="F145" s="186"/>
      <c r="G145" s="167"/>
      <c r="H145" s="272"/>
      <c r="I145" s="272"/>
      <c r="J145" s="272"/>
      <c r="K145" s="272"/>
      <c r="L145" s="332"/>
      <c r="M145" s="332">
        <f>(5130.3-1335.07)/'Control list'!I18</f>
        <v>50.60306666666667</v>
      </c>
      <c r="N145" s="332">
        <f>3963.51/'Control list'!J18</f>
        <v>52.846800000000002</v>
      </c>
      <c r="O145" s="332">
        <v>139.51183520785102</v>
      </c>
      <c r="P145" s="332"/>
      <c r="Q145" s="332"/>
      <c r="R145" s="332"/>
      <c r="S145" s="332"/>
      <c r="T145" s="168"/>
      <c r="U145" s="168"/>
    </row>
    <row r="146" spans="1:21" ht="15.75" hidden="1" customHeight="1" outlineLevel="1">
      <c r="A146" s="295"/>
      <c r="B146" s="353"/>
      <c r="C146" s="314" t="s">
        <v>87</v>
      </c>
      <c r="D146" s="249"/>
      <c r="E146" s="249"/>
      <c r="F146" s="186"/>
      <c r="G146" s="167"/>
      <c r="H146" s="272"/>
      <c r="I146" s="272"/>
      <c r="J146" s="272"/>
      <c r="K146" s="272"/>
      <c r="L146" s="332"/>
      <c r="M146" s="332">
        <f>M147*M106</f>
        <v>3.2132999999999998</v>
      </c>
      <c r="N146" s="332">
        <f>N147*N102</f>
        <v>3.2136533333333333</v>
      </c>
      <c r="O146" s="332">
        <f>O147*O106</f>
        <v>4.5699500000000004</v>
      </c>
      <c r="P146" s="332"/>
      <c r="Q146" s="332"/>
      <c r="R146" s="332"/>
      <c r="S146" s="332"/>
      <c r="T146" s="168"/>
      <c r="U146" s="168"/>
    </row>
    <row r="147" spans="1:21" ht="15.75" hidden="1" customHeight="1" outlineLevel="1">
      <c r="A147" s="295"/>
      <c r="B147" s="353"/>
      <c r="C147" s="314" t="s">
        <v>91</v>
      </c>
      <c r="D147" s="249"/>
      <c r="E147" s="249"/>
      <c r="F147" s="186"/>
      <c r="G147" s="167"/>
      <c r="H147" s="272"/>
      <c r="I147" s="272"/>
      <c r="J147" s="272"/>
      <c r="K147" s="272"/>
      <c r="L147" s="723"/>
      <c r="M147" s="332">
        <v>0.09</v>
      </c>
      <c r="N147" s="333">
        <v>0.112</v>
      </c>
      <c r="O147" s="332">
        <v>0.112</v>
      </c>
      <c r="P147" s="333"/>
      <c r="Q147" s="333"/>
      <c r="R147" s="333"/>
      <c r="S147" s="333"/>
      <c r="T147" s="168"/>
      <c r="U147" s="168"/>
    </row>
    <row r="148" spans="1:21" ht="15.75" hidden="1" customHeight="1" outlineLevel="1">
      <c r="A148" s="295"/>
      <c r="B148" s="353"/>
      <c r="C148" s="314" t="s">
        <v>84</v>
      </c>
      <c r="D148" s="249"/>
      <c r="E148" s="249"/>
      <c r="F148" s="186"/>
      <c r="G148" s="167"/>
      <c r="H148" s="272"/>
      <c r="I148" s="272"/>
      <c r="J148" s="272"/>
      <c r="K148" s="272"/>
      <c r="L148" s="332"/>
      <c r="M148" s="332">
        <f>651.12/'Control list'!I18</f>
        <v>8.6815999999999995</v>
      </c>
      <c r="N148" s="332">
        <f>554.31/'Control list'!J18</f>
        <v>7.3907999999999996</v>
      </c>
      <c r="O148" s="332">
        <v>21.830416729733805</v>
      </c>
      <c r="P148" s="332"/>
      <c r="Q148" s="332"/>
      <c r="R148" s="332"/>
      <c r="S148" s="332"/>
      <c r="T148" s="168"/>
      <c r="U148" s="168"/>
    </row>
    <row r="149" spans="1:21" ht="15.75" hidden="1" customHeight="1" outlineLevel="1">
      <c r="A149" s="295"/>
      <c r="B149" s="353"/>
      <c r="C149" s="314" t="s">
        <v>88</v>
      </c>
      <c r="D149" s="249"/>
      <c r="E149" s="249"/>
      <c r="F149" s="186"/>
      <c r="G149" s="167"/>
      <c r="H149" s="272"/>
      <c r="I149" s="272"/>
      <c r="J149" s="272"/>
      <c r="K149" s="272"/>
      <c r="L149" s="332"/>
      <c r="M149" s="332">
        <f>2509.56/'Control list'!I18</f>
        <v>33.460799999999999</v>
      </c>
      <c r="N149" s="332">
        <f>1400.61/'Control list'!J18</f>
        <v>18.674799999999998</v>
      </c>
      <c r="O149" s="332">
        <v>54.08246742379027</v>
      </c>
      <c r="P149" s="332"/>
      <c r="Q149" s="332"/>
      <c r="R149" s="332"/>
      <c r="S149" s="332"/>
      <c r="T149" s="168"/>
      <c r="U149" s="168"/>
    </row>
    <row r="150" spans="1:21" s="308" customFormat="1" ht="15.75" hidden="1" customHeight="1" outlineLevel="1">
      <c r="A150" s="722"/>
      <c r="B150" s="736"/>
      <c r="C150" s="728" t="s">
        <v>77</v>
      </c>
      <c r="D150" s="262"/>
      <c r="E150" s="262"/>
      <c r="F150" s="186"/>
      <c r="G150" s="305"/>
      <c r="H150" s="309"/>
      <c r="I150" s="309"/>
      <c r="J150" s="309"/>
      <c r="K150" s="309"/>
      <c r="L150" s="724">
        <f>L151+L152+L154+L155+L157+L158</f>
        <v>0</v>
      </c>
      <c r="M150" s="724"/>
      <c r="N150" s="724">
        <v>0</v>
      </c>
      <c r="O150" s="729">
        <v>0</v>
      </c>
      <c r="P150" s="729"/>
      <c r="Q150" s="729"/>
      <c r="R150" s="729"/>
      <c r="S150" s="729"/>
      <c r="T150" s="313"/>
      <c r="U150" s="313"/>
    </row>
    <row r="151" spans="1:21" s="308" customFormat="1" ht="15.75" hidden="1" customHeight="1" outlineLevel="1">
      <c r="A151" s="722"/>
      <c r="B151" s="736"/>
      <c r="C151" s="314" t="s">
        <v>82</v>
      </c>
      <c r="D151" s="249"/>
      <c r="E151" s="249"/>
      <c r="F151" s="186"/>
      <c r="G151" s="167"/>
      <c r="H151" s="272"/>
      <c r="I151" s="272"/>
      <c r="J151" s="272"/>
      <c r="K151" s="272"/>
      <c r="L151" s="332"/>
      <c r="M151" s="332"/>
      <c r="N151" s="332">
        <f>M151*N186</f>
        <v>0</v>
      </c>
      <c r="O151" s="332">
        <f>N151*O186</f>
        <v>0</v>
      </c>
      <c r="P151" s="332"/>
      <c r="Q151" s="332"/>
      <c r="R151" s="332"/>
      <c r="S151" s="332"/>
      <c r="T151" s="313"/>
      <c r="U151" s="313"/>
    </row>
    <row r="152" spans="1:21" s="308" customFormat="1" ht="15.75" hidden="1" customHeight="1" outlineLevel="1">
      <c r="A152" s="722"/>
      <c r="B152" s="736"/>
      <c r="C152" s="314" t="s">
        <v>86</v>
      </c>
      <c r="D152" s="249"/>
      <c r="E152" s="249"/>
      <c r="F152" s="186"/>
      <c r="G152" s="167"/>
      <c r="H152" s="272"/>
      <c r="I152" s="272"/>
      <c r="J152" s="272"/>
      <c r="K152" s="272"/>
      <c r="L152" s="332"/>
      <c r="M152" s="332"/>
      <c r="N152" s="332">
        <f>N153*N102</f>
        <v>0</v>
      </c>
      <c r="O152" s="332">
        <f>O153*O102</f>
        <v>0</v>
      </c>
      <c r="P152" s="332"/>
      <c r="Q152" s="332"/>
      <c r="R152" s="332"/>
      <c r="S152" s="332"/>
      <c r="T152" s="313"/>
      <c r="U152" s="313"/>
    </row>
    <row r="153" spans="1:21" s="308" customFormat="1" ht="15.75" hidden="1" customHeight="1" outlineLevel="1">
      <c r="A153" s="722"/>
      <c r="B153" s="736"/>
      <c r="C153" s="314" t="s">
        <v>89</v>
      </c>
      <c r="D153" s="249"/>
      <c r="E153" s="249"/>
      <c r="F153" s="186"/>
      <c r="G153" s="167"/>
      <c r="H153" s="272"/>
      <c r="I153" s="272"/>
      <c r="J153" s="272"/>
      <c r="K153" s="272"/>
      <c r="L153" s="723"/>
      <c r="M153" s="333"/>
      <c r="N153" s="333">
        <f>M153</f>
        <v>0</v>
      </c>
      <c r="O153" s="333">
        <f>N153</f>
        <v>0</v>
      </c>
      <c r="P153" s="333"/>
      <c r="Q153" s="333"/>
      <c r="R153" s="333"/>
      <c r="S153" s="333"/>
      <c r="T153" s="313"/>
      <c r="U153" s="313"/>
    </row>
    <row r="154" spans="1:21" s="308" customFormat="1" ht="15.75" hidden="1" customHeight="1" outlineLevel="1">
      <c r="A154" s="722"/>
      <c r="B154" s="736"/>
      <c r="C154" s="314" t="s">
        <v>85</v>
      </c>
      <c r="D154" s="249"/>
      <c r="E154" s="249"/>
      <c r="F154" s="186"/>
      <c r="G154" s="167"/>
      <c r="H154" s="272"/>
      <c r="I154" s="272"/>
      <c r="J154" s="272"/>
      <c r="K154" s="272"/>
      <c r="L154" s="332"/>
      <c r="M154" s="332"/>
      <c r="N154" s="332">
        <f>M154*N186</f>
        <v>0</v>
      </c>
      <c r="O154" s="332">
        <f>N154*O186</f>
        <v>0</v>
      </c>
      <c r="P154" s="332"/>
      <c r="Q154" s="332"/>
      <c r="R154" s="332"/>
      <c r="S154" s="332"/>
      <c r="T154" s="313"/>
      <c r="U154" s="313"/>
    </row>
    <row r="155" spans="1:21" s="308" customFormat="1" ht="15.75" hidden="1" customHeight="1" outlineLevel="1">
      <c r="A155" s="722"/>
      <c r="B155" s="736"/>
      <c r="C155" s="314" t="s">
        <v>87</v>
      </c>
      <c r="D155" s="249"/>
      <c r="E155" s="249"/>
      <c r="F155" s="186"/>
      <c r="G155" s="167"/>
      <c r="H155" s="272"/>
      <c r="I155" s="272"/>
      <c r="J155" s="272"/>
      <c r="K155" s="272"/>
      <c r="L155" s="332"/>
      <c r="M155" s="332"/>
      <c r="N155" s="332">
        <f>N156*N106</f>
        <v>0</v>
      </c>
      <c r="O155" s="332">
        <f>O156*O106</f>
        <v>0</v>
      </c>
      <c r="P155" s="332"/>
      <c r="Q155" s="332"/>
      <c r="R155" s="332"/>
      <c r="S155" s="332"/>
      <c r="T155" s="313"/>
      <c r="U155" s="313"/>
    </row>
    <row r="156" spans="1:21" s="308" customFormat="1" ht="15.75" hidden="1" customHeight="1" outlineLevel="1">
      <c r="A156" s="722"/>
      <c r="B156" s="736"/>
      <c r="C156" s="314" t="s">
        <v>91</v>
      </c>
      <c r="D156" s="249"/>
      <c r="E156" s="249"/>
      <c r="F156" s="186"/>
      <c r="G156" s="167"/>
      <c r="H156" s="272"/>
      <c r="I156" s="272"/>
      <c r="J156" s="272"/>
      <c r="K156" s="272"/>
      <c r="L156" s="723"/>
      <c r="M156" s="333"/>
      <c r="N156" s="333">
        <f t="shared" ref="N156:S156" si="52">M156</f>
        <v>0</v>
      </c>
      <c r="O156" s="333">
        <f t="shared" si="52"/>
        <v>0</v>
      </c>
      <c r="P156" s="333">
        <f t="shared" si="52"/>
        <v>0</v>
      </c>
      <c r="Q156" s="333">
        <f t="shared" si="52"/>
        <v>0</v>
      </c>
      <c r="R156" s="333">
        <f t="shared" si="52"/>
        <v>0</v>
      </c>
      <c r="S156" s="333">
        <f t="shared" si="52"/>
        <v>0</v>
      </c>
      <c r="T156" s="313"/>
      <c r="U156" s="313"/>
    </row>
    <row r="157" spans="1:21" s="308" customFormat="1" ht="15.75" hidden="1" customHeight="1" outlineLevel="1">
      <c r="A157" s="722"/>
      <c r="B157" s="736"/>
      <c r="C157" s="314" t="s">
        <v>84</v>
      </c>
      <c r="D157" s="249"/>
      <c r="E157" s="249"/>
      <c r="F157" s="186"/>
      <c r="G157" s="167"/>
      <c r="H157" s="272"/>
      <c r="I157" s="272"/>
      <c r="J157" s="272"/>
      <c r="K157" s="272"/>
      <c r="L157" s="332"/>
      <c r="M157" s="332"/>
      <c r="N157" s="332">
        <f>M157*N186</f>
        <v>0</v>
      </c>
      <c r="O157" s="332">
        <f>N157*O186</f>
        <v>0</v>
      </c>
      <c r="P157" s="332"/>
      <c r="Q157" s="332"/>
      <c r="R157" s="332"/>
      <c r="S157" s="332"/>
      <c r="T157" s="313"/>
      <c r="U157" s="313"/>
    </row>
    <row r="158" spans="1:21" s="308" customFormat="1" ht="15.75" hidden="1" customHeight="1" outlineLevel="1">
      <c r="A158" s="722"/>
      <c r="B158" s="736"/>
      <c r="C158" s="314" t="s">
        <v>88</v>
      </c>
      <c r="D158" s="249"/>
      <c r="E158" s="249"/>
      <c r="F158" s="186"/>
      <c r="G158" s="167"/>
      <c r="H158" s="272"/>
      <c r="I158" s="272"/>
      <c r="J158" s="272"/>
      <c r="K158" s="272"/>
      <c r="L158" s="332"/>
      <c r="M158" s="332"/>
      <c r="N158" s="332">
        <f>M158*N186</f>
        <v>0</v>
      </c>
      <c r="O158" s="332">
        <f>N158*O186</f>
        <v>0</v>
      </c>
      <c r="P158" s="332"/>
      <c r="Q158" s="332"/>
      <c r="R158" s="332"/>
      <c r="S158" s="332"/>
      <c r="T158" s="313"/>
      <c r="U158" s="313"/>
    </row>
    <row r="159" spans="1:21" s="308" customFormat="1" ht="15.75" hidden="1" customHeight="1" outlineLevel="1">
      <c r="A159" s="722"/>
      <c r="B159" s="736"/>
      <c r="C159" s="728" t="s">
        <v>78</v>
      </c>
      <c r="D159" s="262"/>
      <c r="E159" s="262"/>
      <c r="F159" s="186"/>
      <c r="G159" s="305"/>
      <c r="H159" s="309"/>
      <c r="I159" s="309"/>
      <c r="J159" s="309"/>
      <c r="K159" s="309"/>
      <c r="L159" s="724">
        <f>L160+L162+L163+L165+L166+L167+L161</f>
        <v>0</v>
      </c>
      <c r="M159" s="724">
        <f>M160+M162+M163+M165+M166+M167+M161</f>
        <v>73.916059333333322</v>
      </c>
      <c r="N159" s="724">
        <f>N160+N162+N163+N165+N166+N167+N161</f>
        <v>164.60087586777337</v>
      </c>
      <c r="O159" s="724">
        <f>O160+O162+O163+O165+O166+O167+O161</f>
        <v>183.21646380843168</v>
      </c>
      <c r="P159" s="724"/>
      <c r="Q159" s="724"/>
      <c r="R159" s="724"/>
      <c r="S159" s="724"/>
      <c r="T159" s="313"/>
      <c r="U159" s="313"/>
    </row>
    <row r="160" spans="1:21" s="308" customFormat="1" ht="15.75" hidden="1" customHeight="1" outlineLevel="1">
      <c r="A160" s="722"/>
      <c r="B160" s="736"/>
      <c r="C160" s="314" t="s">
        <v>82</v>
      </c>
      <c r="D160" s="262"/>
      <c r="E160" s="262"/>
      <c r="F160" s="186"/>
      <c r="G160" s="305"/>
      <c r="H160" s="309"/>
      <c r="I160" s="309"/>
      <c r="J160" s="309"/>
      <c r="K160" s="309"/>
      <c r="L160" s="332"/>
      <c r="M160" s="332">
        <f>(3508.39+3.97)/'Control list'!I18</f>
        <v>46.831466666666664</v>
      </c>
      <c r="N160" s="332">
        <v>107.68150684931507</v>
      </c>
      <c r="O160" s="332">
        <v>113.79566674674193</v>
      </c>
      <c r="P160" s="332"/>
      <c r="Q160" s="332"/>
      <c r="R160" s="332"/>
      <c r="S160" s="332"/>
      <c r="T160" s="313"/>
      <c r="U160" s="313"/>
    </row>
    <row r="161" spans="1:21" s="308" customFormat="1" ht="15.75" hidden="1" customHeight="1" outlineLevel="1">
      <c r="A161" s="722"/>
      <c r="B161" s="736"/>
      <c r="C161" s="314" t="s">
        <v>665</v>
      </c>
      <c r="D161" s="262"/>
      <c r="E161" s="262"/>
      <c r="F161" s="186"/>
      <c r="G161" s="305"/>
      <c r="H161" s="309"/>
      <c r="I161" s="309"/>
      <c r="J161" s="309"/>
      <c r="K161" s="309"/>
      <c r="L161" s="332"/>
      <c r="M161" s="332">
        <f>-19.75/'Control list'!I18</f>
        <v>-0.26333333333333331</v>
      </c>
      <c r="N161" s="332">
        <v>-0.70146118721461181</v>
      </c>
      <c r="O161" s="332">
        <v>-0.73806978559846237</v>
      </c>
      <c r="P161" s="332"/>
      <c r="Q161" s="332"/>
      <c r="R161" s="332"/>
      <c r="S161" s="332"/>
      <c r="T161" s="313"/>
      <c r="U161" s="313"/>
    </row>
    <row r="162" spans="1:21" s="308" customFormat="1" ht="15.75" hidden="1" customHeight="1" outlineLevel="1">
      <c r="A162" s="722"/>
      <c r="B162" s="736"/>
      <c r="C162" s="314" t="s">
        <v>84</v>
      </c>
      <c r="D162" s="262"/>
      <c r="E162" s="262"/>
      <c r="F162" s="186"/>
      <c r="G162" s="305"/>
      <c r="H162" s="309"/>
      <c r="I162" s="309"/>
      <c r="J162" s="309"/>
      <c r="K162" s="309"/>
      <c r="L162" s="332"/>
      <c r="M162" s="332">
        <f>124.97/'Control list'!I18</f>
        <v>1.6662666666666666</v>
      </c>
      <c r="N162" s="332">
        <v>3.0373287671232876</v>
      </c>
      <c r="O162" s="332">
        <v>4.4174767959380867</v>
      </c>
      <c r="P162" s="332"/>
      <c r="Q162" s="332"/>
      <c r="R162" s="332"/>
      <c r="S162" s="332"/>
      <c r="T162" s="313"/>
      <c r="U162" s="313"/>
    </row>
    <row r="163" spans="1:21" s="308" customFormat="1" ht="15.75" hidden="1" customHeight="1" outlineLevel="1">
      <c r="A163" s="722"/>
      <c r="B163" s="736"/>
      <c r="C163" s="314" t="s">
        <v>86</v>
      </c>
      <c r="D163" s="262"/>
      <c r="E163" s="262"/>
      <c r="F163" s="186"/>
      <c r="G163" s="305"/>
      <c r="H163" s="309"/>
      <c r="I163" s="309"/>
      <c r="J163" s="309"/>
      <c r="K163" s="309"/>
      <c r="L163" s="332"/>
      <c r="M163" s="332">
        <f>M164*M102</f>
        <v>3.3780359999999998</v>
      </c>
      <c r="N163" s="332">
        <f>N164*N102</f>
        <v>3.9355068493150682</v>
      </c>
      <c r="O163" s="332">
        <f>O164*O102</f>
        <v>3.5034324208643626</v>
      </c>
      <c r="P163" s="332"/>
      <c r="Q163" s="332"/>
      <c r="R163" s="332"/>
      <c r="S163" s="332"/>
      <c r="T163" s="313"/>
      <c r="U163" s="313"/>
    </row>
    <row r="164" spans="1:21" s="308" customFormat="1" ht="15.75" hidden="1" customHeight="1" outlineLevel="1">
      <c r="A164" s="722"/>
      <c r="B164" s="736"/>
      <c r="C164" s="314" t="s">
        <v>89</v>
      </c>
      <c r="D164" s="262"/>
      <c r="E164" s="262"/>
      <c r="F164" s="186"/>
      <c r="G164" s="305"/>
      <c r="H164" s="309"/>
      <c r="I164" s="309"/>
      <c r="J164" s="309"/>
      <c r="K164" s="309"/>
      <c r="L164" s="723"/>
      <c r="M164" s="333">
        <f>0.145</f>
        <v>0.14499999999999999</v>
      </c>
      <c r="N164" s="333">
        <v>0.13715753424657534</v>
      </c>
      <c r="O164" s="333">
        <v>0.14615371449162212</v>
      </c>
      <c r="P164" s="333"/>
      <c r="Q164" s="333"/>
      <c r="R164" s="333"/>
      <c r="S164" s="333"/>
      <c r="T164" s="313"/>
      <c r="U164" s="313"/>
    </row>
    <row r="165" spans="1:21" s="308" customFormat="1" ht="15.75" hidden="1" customHeight="1" outlineLevel="1">
      <c r="A165" s="722"/>
      <c r="B165" s="736"/>
      <c r="C165" s="314" t="s">
        <v>85</v>
      </c>
      <c r="D165" s="262"/>
      <c r="E165" s="262"/>
      <c r="F165" s="186"/>
      <c r="G165" s="305"/>
      <c r="H165" s="309"/>
      <c r="I165" s="309"/>
      <c r="J165" s="309"/>
      <c r="K165" s="309"/>
      <c r="L165" s="332"/>
      <c r="M165" s="332">
        <f>(1399.84-254.25)/'Control list'!I18</f>
        <v>15.274533333333332</v>
      </c>
      <c r="N165" s="332">
        <v>42.301900000000003</v>
      </c>
      <c r="O165" s="332">
        <v>50.478079999999999</v>
      </c>
      <c r="P165" s="332"/>
      <c r="Q165" s="332"/>
      <c r="R165" s="332"/>
      <c r="S165" s="332"/>
      <c r="T165" s="313"/>
      <c r="U165" s="313"/>
    </row>
    <row r="166" spans="1:21" s="308" customFormat="1" ht="15.75" hidden="1" customHeight="1" outlineLevel="1">
      <c r="A166" s="722"/>
      <c r="B166" s="736"/>
      <c r="C166" s="314" t="s">
        <v>88</v>
      </c>
      <c r="D166" s="262"/>
      <c r="E166" s="262"/>
      <c r="F166" s="186"/>
      <c r="G166" s="305"/>
      <c r="H166" s="309"/>
      <c r="I166" s="309"/>
      <c r="J166" s="309"/>
      <c r="K166" s="309"/>
      <c r="L166" s="332"/>
      <c r="M166" s="332">
        <f>481.66/'Control list'!I18</f>
        <v>6.4221333333333339</v>
      </c>
      <c r="N166" s="332">
        <v>7.6756945892345803</v>
      </c>
      <c r="O166" s="332">
        <v>10.943815130485794</v>
      </c>
      <c r="P166" s="332"/>
      <c r="Q166" s="332"/>
      <c r="R166" s="332"/>
      <c r="S166" s="332"/>
      <c r="T166" s="313"/>
      <c r="U166" s="313"/>
    </row>
    <row r="167" spans="1:21" s="308" customFormat="1" ht="15.75" hidden="1" customHeight="1" outlineLevel="1">
      <c r="A167" s="722"/>
      <c r="B167" s="736"/>
      <c r="C167" s="314" t="s">
        <v>87</v>
      </c>
      <c r="D167" s="249"/>
      <c r="E167" s="249"/>
      <c r="F167" s="186"/>
      <c r="G167" s="167"/>
      <c r="H167" s="272"/>
      <c r="I167" s="272"/>
      <c r="J167" s="272"/>
      <c r="K167" s="272"/>
      <c r="L167" s="332"/>
      <c r="M167" s="332">
        <f>M168*M106</f>
        <v>0.6069566666666667</v>
      </c>
      <c r="N167" s="332">
        <f>N168*N106</f>
        <v>0.67040000000000011</v>
      </c>
      <c r="O167" s="332">
        <f>O168*O106</f>
        <v>0.81606250000000002</v>
      </c>
      <c r="P167" s="332"/>
      <c r="Q167" s="332"/>
      <c r="R167" s="332"/>
      <c r="S167" s="332"/>
      <c r="T167" s="313"/>
      <c r="U167" s="313"/>
    </row>
    <row r="168" spans="1:21" s="308" customFormat="1" ht="15.75" hidden="1" customHeight="1" outlineLevel="1">
      <c r="A168" s="722"/>
      <c r="B168" s="736"/>
      <c r="C168" s="314" t="s">
        <v>91</v>
      </c>
      <c r="D168" s="249"/>
      <c r="E168" s="249"/>
      <c r="F168" s="186"/>
      <c r="G168" s="167"/>
      <c r="H168" s="272"/>
      <c r="I168" s="272"/>
      <c r="J168" s="272"/>
      <c r="K168" s="272"/>
      <c r="L168" s="723"/>
      <c r="M168" s="333">
        <v>1.7000000000000001E-2</v>
      </c>
      <c r="N168" s="333">
        <v>0.02</v>
      </c>
      <c r="O168" s="333">
        <v>0.02</v>
      </c>
      <c r="P168" s="333"/>
      <c r="Q168" s="333"/>
      <c r="R168" s="333"/>
      <c r="S168" s="333"/>
      <c r="T168" s="313"/>
      <c r="U168" s="313"/>
    </row>
    <row r="169" spans="1:21" s="308" customFormat="1" ht="15.75" hidden="1" customHeight="1" outlineLevel="1">
      <c r="A169" s="722"/>
      <c r="B169" s="736"/>
      <c r="C169" s="728" t="s">
        <v>79</v>
      </c>
      <c r="D169" s="262"/>
      <c r="E169" s="262"/>
      <c r="F169" s="186"/>
      <c r="G169" s="305"/>
      <c r="H169" s="309"/>
      <c r="I169" s="309"/>
      <c r="J169" s="309"/>
      <c r="K169" s="309"/>
      <c r="L169" s="724">
        <f>L170+L171+L174+L175</f>
        <v>0</v>
      </c>
      <c r="M169" s="724"/>
      <c r="N169" s="724">
        <v>0</v>
      </c>
      <c r="O169" s="729">
        <f>N169*(1+$O$185)</f>
        <v>0</v>
      </c>
      <c r="P169" s="729"/>
      <c r="Q169" s="729"/>
      <c r="R169" s="729"/>
      <c r="S169" s="729"/>
      <c r="T169" s="313"/>
      <c r="U169" s="313"/>
    </row>
    <row r="170" spans="1:21" s="308" customFormat="1" ht="15.75" hidden="1" customHeight="1" outlineLevel="1">
      <c r="A170" s="722"/>
      <c r="B170" s="736"/>
      <c r="C170" s="314" t="s">
        <v>82</v>
      </c>
      <c r="D170" s="262"/>
      <c r="E170" s="262"/>
      <c r="F170" s="186"/>
      <c r="G170" s="305"/>
      <c r="H170" s="309"/>
      <c r="I170" s="309"/>
      <c r="J170" s="309"/>
      <c r="K170" s="309"/>
      <c r="L170" s="332"/>
      <c r="M170" s="332"/>
      <c r="N170" s="332">
        <f>M170*N186</f>
        <v>0</v>
      </c>
      <c r="O170" s="332">
        <f>N170*O186</f>
        <v>0</v>
      </c>
      <c r="P170" s="332"/>
      <c r="Q170" s="332"/>
      <c r="R170" s="332"/>
      <c r="S170" s="332"/>
      <c r="T170" s="313"/>
      <c r="U170" s="313"/>
    </row>
    <row r="171" spans="1:21" s="308" customFormat="1" ht="15.75" hidden="1" customHeight="1" outlineLevel="1">
      <c r="A171" s="722"/>
      <c r="B171" s="736"/>
      <c r="C171" s="314" t="s">
        <v>84</v>
      </c>
      <c r="D171" s="262"/>
      <c r="E171" s="262"/>
      <c r="F171" s="186"/>
      <c r="G171" s="305"/>
      <c r="H171" s="309"/>
      <c r="I171" s="309"/>
      <c r="J171" s="309"/>
      <c r="K171" s="309"/>
      <c r="L171" s="332"/>
      <c r="M171" s="332"/>
      <c r="N171" s="332">
        <f>M171*N186</f>
        <v>0</v>
      </c>
      <c r="O171" s="332">
        <f>N171*O186</f>
        <v>0</v>
      </c>
      <c r="P171" s="332"/>
      <c r="Q171" s="332"/>
      <c r="R171" s="332"/>
      <c r="S171" s="332"/>
      <c r="T171" s="313"/>
      <c r="U171" s="313"/>
    </row>
    <row r="172" spans="1:21" s="308" customFormat="1" ht="15.75" hidden="1" customHeight="1" outlineLevel="1">
      <c r="A172" s="722"/>
      <c r="B172" s="736"/>
      <c r="C172" s="314" t="s">
        <v>86</v>
      </c>
      <c r="D172" s="262"/>
      <c r="E172" s="262"/>
      <c r="F172" s="186"/>
      <c r="G172" s="305"/>
      <c r="H172" s="309"/>
      <c r="I172" s="309"/>
      <c r="J172" s="309"/>
      <c r="K172" s="309"/>
      <c r="L172" s="332"/>
      <c r="M172" s="332"/>
      <c r="N172" s="332">
        <f>N173*N102</f>
        <v>0</v>
      </c>
      <c r="O172" s="332">
        <f>O173*O102</f>
        <v>0</v>
      </c>
      <c r="P172" s="332"/>
      <c r="Q172" s="332"/>
      <c r="R172" s="332"/>
      <c r="S172" s="332"/>
      <c r="T172" s="313"/>
      <c r="U172" s="313"/>
    </row>
    <row r="173" spans="1:21" s="308" customFormat="1" ht="15.75" hidden="1" customHeight="1" outlineLevel="1">
      <c r="A173" s="722"/>
      <c r="B173" s="736"/>
      <c r="C173" s="314" t="s">
        <v>89</v>
      </c>
      <c r="D173" s="262"/>
      <c r="E173" s="262"/>
      <c r="F173" s="186"/>
      <c r="G173" s="305"/>
      <c r="H173" s="309"/>
      <c r="I173" s="309"/>
      <c r="J173" s="309"/>
      <c r="K173" s="309"/>
      <c r="L173" s="332"/>
      <c r="M173" s="332"/>
      <c r="N173" s="332">
        <f>M173</f>
        <v>0</v>
      </c>
      <c r="O173" s="332">
        <f>N173</f>
        <v>0</v>
      </c>
      <c r="P173" s="332"/>
      <c r="Q173" s="332"/>
      <c r="R173" s="332"/>
      <c r="S173" s="332"/>
      <c r="T173" s="313"/>
      <c r="U173" s="313"/>
    </row>
    <row r="174" spans="1:21" s="308" customFormat="1" ht="15.75" hidden="1" customHeight="1" outlineLevel="1">
      <c r="A174" s="722"/>
      <c r="B174" s="736"/>
      <c r="C174" s="314" t="s">
        <v>85</v>
      </c>
      <c r="D174" s="262"/>
      <c r="E174" s="262"/>
      <c r="F174" s="186"/>
      <c r="G174" s="305"/>
      <c r="H174" s="309"/>
      <c r="I174" s="309"/>
      <c r="J174" s="309"/>
      <c r="K174" s="309"/>
      <c r="L174" s="332"/>
      <c r="M174" s="332"/>
      <c r="N174" s="332">
        <f>M174*N186</f>
        <v>0</v>
      </c>
      <c r="O174" s="332">
        <f>N174*O186</f>
        <v>0</v>
      </c>
      <c r="P174" s="332"/>
      <c r="Q174" s="332"/>
      <c r="R174" s="332"/>
      <c r="S174" s="332"/>
      <c r="T174" s="313"/>
      <c r="U174" s="313"/>
    </row>
    <row r="175" spans="1:21" s="308" customFormat="1" ht="15.75" hidden="1" customHeight="1" outlineLevel="1">
      <c r="A175" s="722"/>
      <c r="B175" s="736"/>
      <c r="C175" s="314" t="s">
        <v>88</v>
      </c>
      <c r="D175" s="262"/>
      <c r="E175" s="262"/>
      <c r="F175" s="186"/>
      <c r="G175" s="305"/>
      <c r="H175" s="309"/>
      <c r="I175" s="309"/>
      <c r="J175" s="309"/>
      <c r="K175" s="309"/>
      <c r="L175" s="332"/>
      <c r="M175" s="332"/>
      <c r="N175" s="332">
        <f>M175*N186</f>
        <v>0</v>
      </c>
      <c r="O175" s="332">
        <f>N175*O186</f>
        <v>0</v>
      </c>
      <c r="P175" s="332"/>
      <c r="Q175" s="332"/>
      <c r="R175" s="332"/>
      <c r="S175" s="332"/>
      <c r="T175" s="313"/>
      <c r="U175" s="313"/>
    </row>
    <row r="176" spans="1:21" s="308" customFormat="1" ht="15.75" hidden="1" customHeight="1" outlineLevel="1">
      <c r="A176" s="722"/>
      <c r="B176" s="736"/>
      <c r="C176" s="728" t="s">
        <v>80</v>
      </c>
      <c r="D176" s="262"/>
      <c r="E176" s="262"/>
      <c r="F176" s="186"/>
      <c r="G176" s="305"/>
      <c r="H176" s="309"/>
      <c r="I176" s="309"/>
      <c r="J176" s="309"/>
      <c r="K176" s="309"/>
      <c r="L176" s="724">
        <v>0</v>
      </c>
      <c r="M176" s="724"/>
      <c r="N176" s="724">
        <f>M176*N186</f>
        <v>0</v>
      </c>
      <c r="O176" s="729">
        <f>N176*(1+$O$185)</f>
        <v>0</v>
      </c>
      <c r="P176" s="729"/>
      <c r="Q176" s="729"/>
      <c r="R176" s="729"/>
      <c r="S176" s="729"/>
      <c r="T176" s="313"/>
      <c r="U176" s="313"/>
    </row>
    <row r="177" spans="1:21" s="308" customFormat="1" ht="15.75" hidden="1" customHeight="1" outlineLevel="1">
      <c r="A177" s="722"/>
      <c r="B177" s="736"/>
      <c r="C177" s="728" t="s">
        <v>81</v>
      </c>
      <c r="D177" s="262"/>
      <c r="E177" s="262"/>
      <c r="F177" s="186"/>
      <c r="G177" s="305"/>
      <c r="H177" s="309"/>
      <c r="I177" s="309"/>
      <c r="J177" s="309"/>
      <c r="K177" s="309"/>
      <c r="L177" s="724">
        <f>L178+L179+L180+L181+L183+L184</f>
        <v>0</v>
      </c>
      <c r="M177" s="724"/>
      <c r="N177" s="724">
        <v>0</v>
      </c>
      <c r="O177" s="729">
        <v>0</v>
      </c>
      <c r="P177" s="729"/>
      <c r="Q177" s="729"/>
      <c r="R177" s="729"/>
      <c r="S177" s="729"/>
      <c r="T177" s="313"/>
      <c r="U177" s="313"/>
    </row>
    <row r="178" spans="1:21" s="308" customFormat="1" ht="15.75" hidden="1" customHeight="1" outlineLevel="1">
      <c r="A178" s="722"/>
      <c r="B178" s="736"/>
      <c r="C178" s="314" t="s">
        <v>82</v>
      </c>
      <c r="D178" s="249"/>
      <c r="E178" s="249"/>
      <c r="F178" s="186"/>
      <c r="G178" s="167"/>
      <c r="H178" s="272"/>
      <c r="I178" s="272"/>
      <c r="J178" s="272"/>
      <c r="K178" s="272"/>
      <c r="L178" s="332"/>
      <c r="M178" s="332"/>
      <c r="N178" s="332">
        <f>M178*N186</f>
        <v>0</v>
      </c>
      <c r="O178" s="332">
        <f>N178*O186</f>
        <v>0</v>
      </c>
      <c r="P178" s="332"/>
      <c r="Q178" s="332"/>
      <c r="R178" s="332"/>
      <c r="S178" s="332"/>
      <c r="T178" s="313"/>
      <c r="U178" s="313"/>
    </row>
    <row r="179" spans="1:21" s="308" customFormat="1" ht="15.75" hidden="1" customHeight="1" outlineLevel="1">
      <c r="A179" s="722"/>
      <c r="B179" s="736"/>
      <c r="C179" s="314" t="s">
        <v>99</v>
      </c>
      <c r="D179" s="249"/>
      <c r="E179" s="249"/>
      <c r="F179" s="186"/>
      <c r="G179" s="167"/>
      <c r="H179" s="272"/>
      <c r="I179" s="272"/>
      <c r="J179" s="272"/>
      <c r="K179" s="272"/>
      <c r="L179" s="332"/>
      <c r="M179" s="332"/>
      <c r="N179" s="332">
        <f>M179*N186</f>
        <v>0</v>
      </c>
      <c r="O179" s="332">
        <f>N179*O186</f>
        <v>0</v>
      </c>
      <c r="P179" s="332"/>
      <c r="Q179" s="332"/>
      <c r="R179" s="332"/>
      <c r="S179" s="332"/>
      <c r="T179" s="313"/>
      <c r="U179" s="313"/>
    </row>
    <row r="180" spans="1:21" s="308" customFormat="1" ht="15.75" hidden="1" customHeight="1" outlineLevel="1">
      <c r="A180" s="722"/>
      <c r="B180" s="736"/>
      <c r="C180" s="314" t="s">
        <v>84</v>
      </c>
      <c r="D180" s="249"/>
      <c r="E180" s="249"/>
      <c r="F180" s="186"/>
      <c r="G180" s="167"/>
      <c r="H180" s="272"/>
      <c r="I180" s="272"/>
      <c r="J180" s="272"/>
      <c r="K180" s="272"/>
      <c r="L180" s="332"/>
      <c r="M180" s="332"/>
      <c r="N180" s="332">
        <f>M180*N186</f>
        <v>0</v>
      </c>
      <c r="O180" s="332">
        <f>N180*O186</f>
        <v>0</v>
      </c>
      <c r="P180" s="332"/>
      <c r="Q180" s="332"/>
      <c r="R180" s="332"/>
      <c r="S180" s="332"/>
      <c r="T180" s="313"/>
      <c r="U180" s="313"/>
    </row>
    <row r="181" spans="1:21" s="308" customFormat="1" ht="15.75" hidden="1" customHeight="1" outlineLevel="1">
      <c r="A181" s="722"/>
      <c r="B181" s="736"/>
      <c r="C181" s="314" t="s">
        <v>86</v>
      </c>
      <c r="D181" s="249"/>
      <c r="E181" s="249"/>
      <c r="F181" s="186"/>
      <c r="G181" s="167"/>
      <c r="H181" s="272"/>
      <c r="I181" s="272"/>
      <c r="J181" s="272"/>
      <c r="K181" s="272"/>
      <c r="L181" s="332"/>
      <c r="M181" s="332"/>
      <c r="N181" s="332">
        <f>N182*N102</f>
        <v>0</v>
      </c>
      <c r="O181" s="332">
        <f>O182*O102</f>
        <v>0</v>
      </c>
      <c r="P181" s="332"/>
      <c r="Q181" s="332"/>
      <c r="R181" s="332"/>
      <c r="S181" s="332"/>
      <c r="T181" s="313"/>
      <c r="U181" s="313"/>
    </row>
    <row r="182" spans="1:21" s="308" customFormat="1" ht="15.75" hidden="1" customHeight="1" outlineLevel="1">
      <c r="A182" s="722"/>
      <c r="B182" s="736"/>
      <c r="C182" s="314" t="s">
        <v>89</v>
      </c>
      <c r="D182" s="249"/>
      <c r="E182" s="249"/>
      <c r="F182" s="186"/>
      <c r="G182" s="167"/>
      <c r="H182" s="272"/>
      <c r="I182" s="272"/>
      <c r="J182" s="272"/>
      <c r="K182" s="272"/>
      <c r="L182" s="723"/>
      <c r="M182" s="333"/>
      <c r="N182" s="333">
        <f>M182</f>
        <v>0</v>
      </c>
      <c r="O182" s="333">
        <f>N182</f>
        <v>0</v>
      </c>
      <c r="P182" s="333"/>
      <c r="Q182" s="333"/>
      <c r="R182" s="333"/>
      <c r="S182" s="333"/>
      <c r="T182" s="313"/>
      <c r="U182" s="313"/>
    </row>
    <row r="183" spans="1:21" s="308" customFormat="1" ht="15.75" hidden="1" customHeight="1" outlineLevel="1">
      <c r="A183" s="722"/>
      <c r="B183" s="736"/>
      <c r="C183" s="314" t="s">
        <v>85</v>
      </c>
      <c r="D183" s="249"/>
      <c r="E183" s="249"/>
      <c r="F183" s="186"/>
      <c r="G183" s="167"/>
      <c r="H183" s="272"/>
      <c r="I183" s="272"/>
      <c r="J183" s="272"/>
      <c r="K183" s="272"/>
      <c r="L183" s="332"/>
      <c r="M183" s="332"/>
      <c r="N183" s="332">
        <f>M183*N186</f>
        <v>0</v>
      </c>
      <c r="O183" s="332">
        <f>N183*O186</f>
        <v>0</v>
      </c>
      <c r="P183" s="332"/>
      <c r="Q183" s="332"/>
      <c r="R183" s="332"/>
      <c r="S183" s="332"/>
      <c r="T183" s="313"/>
      <c r="U183" s="313"/>
    </row>
    <row r="184" spans="1:21" s="308" customFormat="1" ht="15.75" hidden="1" customHeight="1" outlineLevel="1">
      <c r="A184" s="722"/>
      <c r="B184" s="736"/>
      <c r="C184" s="314" t="s">
        <v>88</v>
      </c>
      <c r="D184" s="249"/>
      <c r="E184" s="249"/>
      <c r="F184" s="186"/>
      <c r="G184" s="167"/>
      <c r="H184" s="272"/>
      <c r="I184" s="272"/>
      <c r="J184" s="272"/>
      <c r="K184" s="272"/>
      <c r="L184" s="332"/>
      <c r="M184" s="332"/>
      <c r="N184" s="332">
        <f>M184*N186</f>
        <v>0</v>
      </c>
      <c r="O184" s="332">
        <f>N184*O186</f>
        <v>0</v>
      </c>
      <c r="P184" s="332"/>
      <c r="Q184" s="332"/>
      <c r="R184" s="332"/>
      <c r="S184" s="332"/>
      <c r="T184" s="313"/>
      <c r="U184" s="313"/>
    </row>
    <row r="185" spans="1:21" ht="15.75" hidden="1" customHeight="1" outlineLevel="1">
      <c r="A185" s="295"/>
      <c r="B185" s="168"/>
      <c r="C185" s="246" t="s">
        <v>657</v>
      </c>
      <c r="D185" s="168"/>
      <c r="E185" s="168"/>
      <c r="F185" s="168"/>
      <c r="G185" s="168"/>
      <c r="H185" s="167"/>
      <c r="J185" s="168"/>
      <c r="K185" s="168"/>
      <c r="M185" s="168"/>
      <c r="N185" s="637"/>
      <c r="O185" s="637"/>
      <c r="P185" s="637"/>
      <c r="Q185" s="637"/>
      <c r="R185" s="637"/>
      <c r="S185" s="637"/>
      <c r="T185" s="168"/>
      <c r="U185" s="168"/>
    </row>
    <row r="186" spans="1:21" ht="15.75" hidden="1" customHeight="1" outlineLevel="1">
      <c r="A186" s="295"/>
      <c r="B186" s="168"/>
      <c r="C186" s="601"/>
      <c r="D186" s="168"/>
      <c r="E186" s="168"/>
      <c r="F186" s="168"/>
      <c r="G186" s="168"/>
      <c r="H186" s="167"/>
      <c r="J186" s="168"/>
      <c r="K186" s="168"/>
      <c r="M186" s="168"/>
      <c r="N186" s="638"/>
      <c r="O186" s="638"/>
      <c r="P186" s="638"/>
      <c r="Q186" s="638"/>
      <c r="R186" s="638"/>
      <c r="S186" s="638"/>
      <c r="T186" s="168"/>
      <c r="U186" s="168"/>
    </row>
    <row r="187" spans="1:21" ht="15.75" hidden="1" customHeight="1" outlineLevel="1">
      <c r="A187" s="295"/>
      <c r="B187" s="168"/>
      <c r="C187" s="314"/>
      <c r="D187" s="168"/>
      <c r="E187" s="168"/>
      <c r="F187" s="168"/>
      <c r="G187" s="168"/>
      <c r="H187" s="167"/>
      <c r="J187" s="168"/>
      <c r="K187" s="168"/>
      <c r="M187" s="168"/>
      <c r="N187" s="215"/>
      <c r="O187" s="215"/>
      <c r="P187" s="215"/>
      <c r="Q187" s="215"/>
      <c r="R187" s="215"/>
      <c r="S187" s="215"/>
      <c r="T187" s="168"/>
      <c r="U187" s="168"/>
    </row>
    <row r="188" spans="1:21" ht="15.75" hidden="1" customHeight="1" outlineLevel="1">
      <c r="A188" s="295"/>
      <c r="B188" s="168"/>
      <c r="C188" s="314"/>
      <c r="D188" s="168"/>
      <c r="E188" s="168"/>
      <c r="F188" s="168"/>
      <c r="G188" s="168"/>
      <c r="H188" s="167"/>
      <c r="J188" s="168"/>
      <c r="K188" s="168"/>
      <c r="M188" s="168"/>
      <c r="N188" s="215"/>
      <c r="O188" s="215"/>
      <c r="P188" s="215"/>
      <c r="Q188" s="215"/>
      <c r="R188" s="215"/>
      <c r="S188" s="215"/>
      <c r="T188" s="168"/>
      <c r="U188" s="168"/>
    </row>
    <row r="189" spans="1:21" ht="27" hidden="1" customHeight="1" outlineLevel="1">
      <c r="A189" s="295">
        <v>2</v>
      </c>
      <c r="B189" s="168"/>
      <c r="C189" s="314" t="s">
        <v>107</v>
      </c>
      <c r="D189" s="168"/>
      <c r="E189" s="168"/>
      <c r="F189" s="168"/>
      <c r="G189" s="168"/>
      <c r="H189" s="167"/>
      <c r="J189" s="168"/>
      <c r="K189" s="168"/>
      <c r="M189" s="168"/>
      <c r="N189" s="168"/>
      <c r="O189" s="168"/>
      <c r="P189" s="168"/>
      <c r="Q189" s="168"/>
      <c r="R189" s="168"/>
      <c r="S189" s="168"/>
      <c r="T189" s="168"/>
      <c r="U189" s="168"/>
    </row>
    <row r="190" spans="1:21" ht="3" hidden="1" customHeight="1" outlineLevel="1">
      <c r="A190" s="295">
        <v>3</v>
      </c>
      <c r="B190" s="168"/>
      <c r="C190" s="314"/>
      <c r="D190" s="170"/>
      <c r="E190" s="170"/>
      <c r="F190" s="170"/>
      <c r="G190" s="170"/>
      <c r="H190" s="300"/>
      <c r="I190" s="170"/>
      <c r="J190" s="170"/>
      <c r="K190" s="170"/>
      <c r="L190" s="170"/>
      <c r="M190" s="170"/>
      <c r="N190" s="170"/>
      <c r="O190" s="170"/>
      <c r="P190" s="170"/>
      <c r="Q190" s="170"/>
      <c r="R190" s="170"/>
      <c r="S190" s="170"/>
      <c r="T190" s="168"/>
      <c r="U190" s="168"/>
    </row>
    <row r="191" spans="1:21" ht="15.75" hidden="1" customHeight="1" outlineLevel="1">
      <c r="A191" s="295">
        <v>4</v>
      </c>
      <c r="B191" s="168"/>
      <c r="C191" s="314"/>
      <c r="D191" s="168"/>
      <c r="E191" s="168"/>
      <c r="F191" s="168"/>
      <c r="G191" s="168"/>
      <c r="H191" s="301"/>
      <c r="I191" s="171"/>
      <c r="J191" s="171"/>
      <c r="K191" s="171"/>
      <c r="L191" s="171"/>
      <c r="M191" s="171"/>
      <c r="N191" s="171"/>
      <c r="O191" s="171"/>
      <c r="P191" s="171"/>
      <c r="Q191" s="171"/>
      <c r="R191" s="171"/>
      <c r="S191" s="171"/>
      <c r="T191" s="168"/>
      <c r="U191" s="168"/>
    </row>
    <row r="192" spans="1:21" ht="15.75" hidden="1" customHeight="1" outlineLevel="1">
      <c r="A192" s="295">
        <v>5</v>
      </c>
      <c r="B192" s="168"/>
      <c r="C192" s="314" t="s">
        <v>108</v>
      </c>
      <c r="D192" s="303"/>
      <c r="E192" s="303"/>
      <c r="F192" s="303"/>
      <c r="G192" s="303"/>
      <c r="H192" s="301"/>
      <c r="I192" s="172"/>
      <c r="J192" s="172"/>
      <c r="K192" s="172"/>
      <c r="L192" s="173"/>
      <c r="M192" s="172"/>
      <c r="N192" s="173"/>
      <c r="O192" s="173"/>
      <c r="P192" s="173"/>
      <c r="Q192" s="173"/>
      <c r="R192" s="173"/>
      <c r="S192" s="173"/>
      <c r="T192" s="168"/>
      <c r="U192" s="168"/>
    </row>
    <row r="193" spans="1:21" ht="15.75" hidden="1" customHeight="1" outlineLevel="1">
      <c r="A193" s="169">
        <v>6</v>
      </c>
      <c r="B193" s="215"/>
      <c r="C193" s="314"/>
      <c r="D193" s="233"/>
      <c r="E193" s="233"/>
      <c r="F193" s="233"/>
      <c r="G193" s="338"/>
      <c r="H193" s="174">
        <v>0</v>
      </c>
      <c r="I193" s="174">
        <v>0</v>
      </c>
      <c r="J193" s="174">
        <v>1</v>
      </c>
      <c r="K193" s="174">
        <v>2</v>
      </c>
      <c r="L193" s="175">
        <f>L91</f>
        <v>3</v>
      </c>
      <c r="M193" s="174" t="str">
        <f>M91</f>
        <v>1 Year</v>
      </c>
      <c r="N193" s="174" t="str">
        <f>N91</f>
        <v>2 Year</v>
      </c>
      <c r="O193" s="174" t="str">
        <f t="shared" ref="O193:Q195" si="53">O7</f>
        <v>3 Year</v>
      </c>
      <c r="P193" s="174" t="str">
        <f t="shared" si="53"/>
        <v>4 Year</v>
      </c>
      <c r="Q193" s="174" t="str">
        <f t="shared" si="53"/>
        <v>5 Year</v>
      </c>
      <c r="R193" s="174" t="str">
        <f t="shared" ref="R193:S195" si="54">R7</f>
        <v>6 Year</v>
      </c>
      <c r="S193" s="174" t="str">
        <f t="shared" si="54"/>
        <v>7 Year</v>
      </c>
      <c r="T193" s="168"/>
      <c r="U193" s="168"/>
    </row>
    <row r="194" spans="1:21" ht="15.75" hidden="1" customHeight="1" outlineLevel="1">
      <c r="B194" s="215"/>
      <c r="C194" s="314"/>
      <c r="D194" s="234"/>
      <c r="E194" s="234"/>
      <c r="F194" s="234"/>
      <c r="G194" s="325"/>
      <c r="H194" s="176"/>
      <c r="I194" s="176"/>
      <c r="J194" s="176"/>
      <c r="K194" s="176"/>
      <c r="L194" s="176"/>
      <c r="M194" s="176"/>
      <c r="N194" s="176"/>
      <c r="O194" s="176"/>
      <c r="P194" s="176"/>
      <c r="Q194" s="176"/>
      <c r="R194" s="176"/>
      <c r="S194" s="176"/>
      <c r="T194" s="168"/>
      <c r="U194" s="168"/>
    </row>
    <row r="195" spans="1:21" ht="15.75" hidden="1" customHeight="1" outlineLevel="1">
      <c r="A195" s="169">
        <v>8</v>
      </c>
      <c r="B195" s="215"/>
      <c r="C195" s="314" t="s">
        <v>521</v>
      </c>
      <c r="D195" s="339"/>
      <c r="E195" s="339"/>
      <c r="F195" s="339"/>
      <c r="G195" s="326"/>
      <c r="H195" s="340" t="s">
        <v>499</v>
      </c>
      <c r="I195" s="340" t="s">
        <v>499</v>
      </c>
      <c r="J195" s="340" t="s">
        <v>499</v>
      </c>
      <c r="K195" s="340" t="s">
        <v>499</v>
      </c>
      <c r="L195" s="340" t="str">
        <f>K195</f>
        <v>($)</v>
      </c>
      <c r="M195" s="340" t="str">
        <f>L195</f>
        <v>($)</v>
      </c>
      <c r="N195" s="340" t="str">
        <f>M195</f>
        <v>($)</v>
      </c>
      <c r="O195" s="340" t="str">
        <f t="shared" si="53"/>
        <v>($)</v>
      </c>
      <c r="P195" s="340" t="str">
        <f t="shared" si="53"/>
        <v>($)</v>
      </c>
      <c r="Q195" s="340" t="str">
        <f t="shared" si="53"/>
        <v>($)</v>
      </c>
      <c r="R195" s="340" t="str">
        <f t="shared" si="54"/>
        <v>($)</v>
      </c>
      <c r="S195" s="340" t="str">
        <f t="shared" si="54"/>
        <v>($)</v>
      </c>
      <c r="T195" s="168"/>
      <c r="U195" s="168"/>
    </row>
    <row r="196" spans="1:21" ht="15.75" hidden="1" customHeight="1" outlineLevel="1">
      <c r="A196" s="169">
        <v>9</v>
      </c>
      <c r="B196" s="215"/>
      <c r="C196" s="314"/>
      <c r="D196" s="380"/>
      <c r="E196" s="249"/>
      <c r="F196" s="249"/>
      <c r="G196" s="305"/>
      <c r="H196" s="305"/>
      <c r="I196" s="327"/>
      <c r="J196" s="327"/>
      <c r="K196" s="327"/>
      <c r="L196" s="327"/>
      <c r="M196" s="327"/>
      <c r="N196" s="327"/>
      <c r="O196" s="327"/>
      <c r="P196" s="327"/>
      <c r="Q196" s="327"/>
      <c r="R196" s="327"/>
      <c r="S196" s="327"/>
      <c r="T196" s="168"/>
      <c r="U196" s="168"/>
    </row>
    <row r="197" spans="1:21" ht="15.75" hidden="1" customHeight="1" outlineLevel="1">
      <c r="B197" s="167"/>
      <c r="C197" s="728" t="s">
        <v>73</v>
      </c>
      <c r="D197" s="242"/>
      <c r="E197" s="249"/>
      <c r="F197" s="249"/>
      <c r="G197" s="167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168"/>
      <c r="U197" s="168"/>
    </row>
    <row r="198" spans="1:21" ht="15.75" hidden="1" customHeight="1" outlineLevel="1">
      <c r="B198" s="167"/>
      <c r="C198" s="314" t="s">
        <v>109</v>
      </c>
      <c r="D198" s="242"/>
      <c r="E198" s="249"/>
      <c r="F198" s="249"/>
      <c r="G198" s="167"/>
      <c r="H198" s="167"/>
      <c r="I198" s="272"/>
      <c r="J198" s="272"/>
      <c r="K198" s="272"/>
      <c r="L198" s="272">
        <f t="shared" ref="L198:R198" si="55">L12</f>
        <v>0</v>
      </c>
      <c r="M198" s="272">
        <f t="shared" si="55"/>
        <v>0</v>
      </c>
      <c r="N198" s="272">
        <f t="shared" si="55"/>
        <v>0</v>
      </c>
      <c r="O198" s="272">
        <f t="shared" si="55"/>
        <v>0</v>
      </c>
      <c r="P198" s="272">
        <f t="shared" si="55"/>
        <v>0</v>
      </c>
      <c r="Q198" s="272">
        <f t="shared" si="55"/>
        <v>0</v>
      </c>
      <c r="R198" s="272">
        <f t="shared" si="55"/>
        <v>0</v>
      </c>
      <c r="S198" s="272">
        <f>S12</f>
        <v>0</v>
      </c>
      <c r="T198" s="168"/>
      <c r="U198" s="168"/>
    </row>
    <row r="199" spans="1:21" ht="7.5" hidden="1" customHeight="1" outlineLevel="1">
      <c r="B199" s="167"/>
      <c r="C199" s="314"/>
      <c r="D199" s="242"/>
      <c r="E199" s="249"/>
      <c r="F199" s="249"/>
      <c r="G199" s="167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168"/>
      <c r="U199" s="168"/>
    </row>
    <row r="200" spans="1:21" ht="15.75" hidden="1" customHeight="1" outlineLevel="1">
      <c r="B200" s="167"/>
      <c r="C200" s="314" t="s">
        <v>110</v>
      </c>
      <c r="D200" s="215"/>
      <c r="E200" s="215"/>
      <c r="F200" s="215"/>
      <c r="G200" s="167"/>
      <c r="H200" s="167"/>
      <c r="I200" s="239"/>
      <c r="J200" s="240"/>
      <c r="K200" s="239"/>
      <c r="L200" s="239">
        <f t="shared" ref="L200:R200" si="56">-L95*L31</f>
        <v>0</v>
      </c>
      <c r="M200" s="239">
        <f t="shared" si="56"/>
        <v>0</v>
      </c>
      <c r="N200" s="239">
        <f t="shared" si="56"/>
        <v>0</v>
      </c>
      <c r="O200" s="239">
        <f t="shared" si="56"/>
        <v>0</v>
      </c>
      <c r="P200" s="239">
        <f t="shared" si="56"/>
        <v>0</v>
      </c>
      <c r="Q200" s="239">
        <f t="shared" si="56"/>
        <v>0</v>
      </c>
      <c r="R200" s="239">
        <f t="shared" si="56"/>
        <v>0</v>
      </c>
      <c r="S200" s="239">
        <f>-S95*S31</f>
        <v>0</v>
      </c>
      <c r="T200" s="168"/>
      <c r="U200" s="168"/>
    </row>
    <row r="201" spans="1:21" ht="7.5" hidden="1" customHeight="1" outlineLevel="1">
      <c r="B201" s="167"/>
      <c r="C201" s="314"/>
      <c r="D201" s="215"/>
      <c r="E201" s="215"/>
      <c r="F201" s="215"/>
      <c r="G201" s="167"/>
      <c r="H201" s="239"/>
      <c r="I201" s="239"/>
      <c r="J201" s="239"/>
      <c r="K201" s="239"/>
      <c r="L201" s="239"/>
      <c r="M201" s="239"/>
      <c r="N201" s="637"/>
      <c r="O201" s="637"/>
      <c r="P201" s="637"/>
      <c r="Q201" s="637"/>
      <c r="R201" s="637"/>
      <c r="S201" s="637"/>
      <c r="T201" s="168"/>
      <c r="U201" s="168"/>
    </row>
    <row r="202" spans="1:21" ht="15.75" hidden="1" customHeight="1" outlineLevel="1">
      <c r="B202" s="167"/>
      <c r="C202" s="314" t="s">
        <v>111</v>
      </c>
      <c r="D202" s="242"/>
      <c r="E202" s="249"/>
      <c r="F202" s="249"/>
      <c r="G202" s="167"/>
      <c r="H202" s="167"/>
      <c r="I202" s="346"/>
      <c r="J202" s="346"/>
      <c r="K202" s="346"/>
      <c r="L202" s="239">
        <f t="shared" ref="L202:R202" si="57">-L71*L31</f>
        <v>0</v>
      </c>
      <c r="M202" s="239">
        <f t="shared" si="57"/>
        <v>0</v>
      </c>
      <c r="N202" s="239">
        <f t="shared" si="57"/>
        <v>0</v>
      </c>
      <c r="O202" s="239">
        <f t="shared" si="57"/>
        <v>0</v>
      </c>
      <c r="P202" s="239">
        <f t="shared" si="57"/>
        <v>0</v>
      </c>
      <c r="Q202" s="239">
        <f t="shared" si="57"/>
        <v>0</v>
      </c>
      <c r="R202" s="239">
        <f t="shared" si="57"/>
        <v>0</v>
      </c>
      <c r="S202" s="239">
        <f>-S71*S31</f>
        <v>0</v>
      </c>
      <c r="T202" s="168"/>
      <c r="U202" s="168"/>
    </row>
    <row r="203" spans="1:21" ht="7.5" hidden="1" customHeight="1" outlineLevel="1">
      <c r="B203" s="167"/>
      <c r="C203" s="314"/>
      <c r="D203" s="215"/>
      <c r="E203" s="215"/>
      <c r="F203" s="215"/>
      <c r="G203" s="167"/>
      <c r="H203" s="239"/>
      <c r="I203" s="239"/>
      <c r="J203" s="239"/>
      <c r="K203" s="239"/>
      <c r="L203" s="239"/>
      <c r="M203" s="239"/>
      <c r="N203" s="215"/>
      <c r="O203" s="215"/>
      <c r="P203" s="215"/>
      <c r="Q203" s="215"/>
      <c r="R203" s="215"/>
      <c r="S203" s="215"/>
      <c r="T203" s="168"/>
      <c r="U203" s="168"/>
    </row>
    <row r="204" spans="1:21" ht="15.75" hidden="1" customHeight="1" outlineLevel="1">
      <c r="B204" s="167"/>
      <c r="C204" s="314" t="s">
        <v>144</v>
      </c>
      <c r="D204" s="215"/>
      <c r="E204" s="215"/>
      <c r="F204" s="215"/>
      <c r="G204" s="167"/>
      <c r="H204" s="272"/>
      <c r="I204" s="272"/>
      <c r="J204" s="272"/>
      <c r="K204" s="239"/>
      <c r="L204" s="239">
        <f t="shared" ref="L204:R204" si="58">L198+L200+L202</f>
        <v>0</v>
      </c>
      <c r="M204" s="239">
        <f t="shared" si="58"/>
        <v>0</v>
      </c>
      <c r="N204" s="239">
        <f t="shared" si="58"/>
        <v>0</v>
      </c>
      <c r="O204" s="239">
        <f t="shared" si="58"/>
        <v>0</v>
      </c>
      <c r="P204" s="239">
        <f t="shared" si="58"/>
        <v>0</v>
      </c>
      <c r="Q204" s="239">
        <f t="shared" si="58"/>
        <v>0</v>
      </c>
      <c r="R204" s="239">
        <f t="shared" si="58"/>
        <v>0</v>
      </c>
      <c r="S204" s="239">
        <f>S198+S200+S202</f>
        <v>0</v>
      </c>
      <c r="T204" s="168"/>
      <c r="U204" s="168"/>
    </row>
    <row r="205" spans="1:21" ht="6.75" hidden="1" customHeight="1" outlineLevel="1">
      <c r="B205" s="167"/>
      <c r="C205" s="314"/>
      <c r="D205" s="215"/>
      <c r="E205" s="215"/>
      <c r="F205" s="215"/>
      <c r="G205" s="167"/>
      <c r="H205" s="272"/>
      <c r="I205" s="272"/>
      <c r="J205" s="272"/>
      <c r="K205" s="239"/>
      <c r="L205" s="239"/>
      <c r="M205" s="215"/>
      <c r="N205" s="215"/>
      <c r="O205" s="215"/>
      <c r="P205" s="215"/>
      <c r="Q205" s="215"/>
      <c r="R205" s="215"/>
      <c r="S205" s="215"/>
      <c r="T205" s="168"/>
      <c r="U205" s="168"/>
    </row>
    <row r="206" spans="1:21" ht="15.75" hidden="1" customHeight="1" outlineLevel="1">
      <c r="B206" s="167"/>
      <c r="C206" s="314" t="s">
        <v>145</v>
      </c>
      <c r="D206" s="215"/>
      <c r="E206" s="215"/>
      <c r="F206" s="215"/>
      <c r="G206" s="167"/>
      <c r="H206" s="272"/>
      <c r="I206" s="272"/>
      <c r="J206" s="272"/>
      <c r="K206" s="239"/>
      <c r="L206" s="311"/>
      <c r="M206" s="311"/>
      <c r="N206" s="311"/>
      <c r="O206" s="311"/>
      <c r="P206" s="311"/>
      <c r="Q206" s="311"/>
      <c r="R206" s="311"/>
      <c r="S206" s="311"/>
      <c r="T206" s="168"/>
      <c r="U206" s="168"/>
    </row>
    <row r="207" spans="1:21" ht="15.75" hidden="1" customHeight="1" outlineLevel="1">
      <c r="B207" s="167"/>
      <c r="C207" s="728" t="s">
        <v>74</v>
      </c>
      <c r="D207" s="215"/>
      <c r="E207" s="215"/>
      <c r="F207" s="215"/>
      <c r="G207" s="167"/>
      <c r="H207" s="272"/>
      <c r="I207" s="272"/>
      <c r="J207" s="272"/>
      <c r="K207" s="239"/>
      <c r="L207" s="239"/>
      <c r="M207" s="215"/>
      <c r="N207" s="215"/>
      <c r="O207" s="215"/>
      <c r="P207" s="215"/>
      <c r="Q207" s="215"/>
      <c r="R207" s="215"/>
      <c r="S207" s="215"/>
      <c r="T207" s="168"/>
      <c r="U207" s="168"/>
    </row>
    <row r="208" spans="1:21" ht="15.75" hidden="1" customHeight="1" outlineLevel="1">
      <c r="B208" s="167"/>
      <c r="C208" s="314" t="s">
        <v>109</v>
      </c>
      <c r="D208" s="242"/>
      <c r="E208" s="249"/>
      <c r="F208" s="249"/>
      <c r="G208" s="167"/>
      <c r="H208" s="167"/>
      <c r="I208" s="272"/>
      <c r="J208" s="272"/>
      <c r="K208" s="272"/>
      <c r="L208" s="272">
        <f t="shared" ref="L208:R208" si="59">L13+L14</f>
        <v>0</v>
      </c>
      <c r="M208" s="272">
        <f t="shared" si="59"/>
        <v>0</v>
      </c>
      <c r="N208" s="272">
        <f t="shared" si="59"/>
        <v>0</v>
      </c>
      <c r="O208" s="272">
        <f t="shared" si="59"/>
        <v>0</v>
      </c>
      <c r="P208" s="272">
        <f t="shared" si="59"/>
        <v>0</v>
      </c>
      <c r="Q208" s="272">
        <f t="shared" si="59"/>
        <v>0</v>
      </c>
      <c r="R208" s="272">
        <f t="shared" si="59"/>
        <v>0</v>
      </c>
      <c r="S208" s="272">
        <f>S13+S14</f>
        <v>0</v>
      </c>
      <c r="T208" s="168"/>
      <c r="U208" s="168"/>
    </row>
    <row r="209" spans="2:21" ht="7.5" hidden="1" customHeight="1" outlineLevel="1">
      <c r="B209" s="167"/>
      <c r="C209" s="314"/>
      <c r="D209" s="242"/>
      <c r="E209" s="249"/>
      <c r="F209" s="249"/>
      <c r="G209" s="167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168"/>
      <c r="U209" s="168"/>
    </row>
    <row r="210" spans="2:21" ht="15.75" hidden="1" customHeight="1" outlineLevel="1">
      <c r="B210" s="167"/>
      <c r="C210" s="314" t="s">
        <v>110</v>
      </c>
      <c r="D210" s="215"/>
      <c r="E210" s="215"/>
      <c r="F210" s="215"/>
      <c r="G210" s="167"/>
      <c r="H210" s="167"/>
      <c r="I210" s="239"/>
      <c r="J210" s="240"/>
      <c r="K210" s="239"/>
      <c r="L210" s="239">
        <f t="shared" ref="L210:R210" si="60">-L109*(L32+L33)</f>
        <v>0</v>
      </c>
      <c r="M210" s="239">
        <f t="shared" si="60"/>
        <v>0</v>
      </c>
      <c r="N210" s="239">
        <f t="shared" si="60"/>
        <v>0</v>
      </c>
      <c r="O210" s="239">
        <f t="shared" si="60"/>
        <v>0</v>
      </c>
      <c r="P210" s="239">
        <f t="shared" si="60"/>
        <v>0</v>
      </c>
      <c r="Q210" s="239">
        <f t="shared" si="60"/>
        <v>0</v>
      </c>
      <c r="R210" s="239">
        <f t="shared" si="60"/>
        <v>0</v>
      </c>
      <c r="S210" s="239">
        <f>-S109*(S32+S33)</f>
        <v>0</v>
      </c>
      <c r="T210" s="168"/>
      <c r="U210" s="168"/>
    </row>
    <row r="211" spans="2:21" ht="7.5" hidden="1" customHeight="1" outlineLevel="1">
      <c r="B211" s="167"/>
      <c r="C211" s="314"/>
      <c r="D211" s="215"/>
      <c r="E211" s="215"/>
      <c r="F211" s="215"/>
      <c r="G211" s="167"/>
      <c r="H211" s="239"/>
      <c r="I211" s="239"/>
      <c r="J211" s="239"/>
      <c r="K211" s="239"/>
      <c r="L211" s="239"/>
      <c r="M211" s="239"/>
      <c r="N211" s="637"/>
      <c r="O211" s="637"/>
      <c r="P211" s="637"/>
      <c r="Q211" s="637"/>
      <c r="R211" s="637"/>
      <c r="S211" s="637"/>
      <c r="T211" s="168"/>
      <c r="U211" s="168"/>
    </row>
    <row r="212" spans="2:21" ht="15.75" hidden="1" customHeight="1" outlineLevel="1">
      <c r="B212" s="167"/>
      <c r="C212" s="314" t="s">
        <v>111</v>
      </c>
      <c r="D212" s="242"/>
      <c r="E212" s="249"/>
      <c r="F212" s="249"/>
      <c r="G212" s="167"/>
      <c r="H212" s="167"/>
      <c r="I212" s="346"/>
      <c r="J212" s="346"/>
      <c r="K212" s="346"/>
      <c r="L212" s="239">
        <f>-L65*L33-(L33*L48-L65*L33)*1.5%-L72*(L32+L33)</f>
        <v>0</v>
      </c>
      <c r="M212" s="239">
        <f>-M65*M33-(M33*M48-M65*M33)*1.5%-M72*(M32+M33)</f>
        <v>0</v>
      </c>
      <c r="N212" s="239">
        <f>-N65*N33-(N33*N48-N65*N33)*0.7%-N72*(N32+N33)</f>
        <v>0</v>
      </c>
      <c r="O212" s="239">
        <f>-O65*O33-(O33*O48-O65*O33)*1.5%-O72*(O32+O33)</f>
        <v>0</v>
      </c>
      <c r="P212" s="239">
        <f>-P65*P33-(P33*P48-P65*P33)*1.5%-P72*(P32+P33)</f>
        <v>0</v>
      </c>
      <c r="Q212" s="239">
        <f>-Q65*Q33-(Q33*Q48-Q65*Q33)*1.5%-Q72*(Q32+Q33)</f>
        <v>0</v>
      </c>
      <c r="R212" s="239">
        <f>-R65*R33-(R33*R48-R65*R33)*1.5%-R72*(R32+R33)</f>
        <v>0</v>
      </c>
      <c r="S212" s="239">
        <f>-S65*S33-(S33*S48-S65*S33)*1.5%-S72*(S32+S33)</f>
        <v>0</v>
      </c>
      <c r="T212" s="168"/>
      <c r="U212" s="168"/>
    </row>
    <row r="213" spans="2:21" ht="7.5" hidden="1" customHeight="1" outlineLevel="1">
      <c r="B213" s="167"/>
      <c r="C213" s="314"/>
      <c r="D213" s="215"/>
      <c r="E213" s="215"/>
      <c r="F213" s="215"/>
      <c r="G213" s="167"/>
      <c r="H213" s="239"/>
      <c r="I213" s="239"/>
      <c r="J213" s="239"/>
      <c r="K213" s="239"/>
      <c r="L213" s="239"/>
      <c r="M213" s="239"/>
      <c r="N213" s="215"/>
      <c r="O213" s="215"/>
      <c r="P213" s="215"/>
      <c r="Q213" s="215"/>
      <c r="R213" s="215"/>
      <c r="S213" s="215"/>
      <c r="T213" s="168"/>
      <c r="U213" s="168"/>
    </row>
    <row r="214" spans="2:21" ht="15.75" hidden="1" customHeight="1" outlineLevel="1">
      <c r="B214" s="167"/>
      <c r="C214" s="314" t="s">
        <v>144</v>
      </c>
      <c r="D214" s="215"/>
      <c r="E214" s="215"/>
      <c r="F214" s="215"/>
      <c r="G214" s="167"/>
      <c r="H214" s="272"/>
      <c r="I214" s="272"/>
      <c r="J214" s="272"/>
      <c r="K214" s="239"/>
      <c r="L214" s="239">
        <f t="shared" ref="L214:R214" si="61">L208+L210+L212</f>
        <v>0</v>
      </c>
      <c r="M214" s="239">
        <f t="shared" si="61"/>
        <v>0</v>
      </c>
      <c r="N214" s="239">
        <f t="shared" si="61"/>
        <v>0</v>
      </c>
      <c r="O214" s="239">
        <f t="shared" si="61"/>
        <v>0</v>
      </c>
      <c r="P214" s="239">
        <f t="shared" si="61"/>
        <v>0</v>
      </c>
      <c r="Q214" s="239">
        <f t="shared" si="61"/>
        <v>0</v>
      </c>
      <c r="R214" s="239">
        <f t="shared" si="61"/>
        <v>0</v>
      </c>
      <c r="S214" s="239">
        <f>S208+S210+S212</f>
        <v>0</v>
      </c>
      <c r="T214" s="168"/>
      <c r="U214" s="168"/>
    </row>
    <row r="215" spans="2:21" ht="9" hidden="1" customHeight="1" outlineLevel="1">
      <c r="B215" s="167"/>
      <c r="C215" s="314"/>
      <c r="D215" s="215"/>
      <c r="E215" s="215"/>
      <c r="F215" s="215"/>
      <c r="G215" s="167"/>
      <c r="H215" s="272"/>
      <c r="I215" s="272"/>
      <c r="J215" s="272"/>
      <c r="K215" s="239"/>
      <c r="L215" s="239"/>
      <c r="M215" s="215"/>
      <c r="N215" s="215"/>
      <c r="O215" s="215"/>
      <c r="P215" s="215"/>
      <c r="Q215" s="215"/>
      <c r="R215" s="215"/>
      <c r="S215" s="215"/>
      <c r="T215" s="168"/>
      <c r="U215" s="168"/>
    </row>
    <row r="216" spans="2:21" ht="15.75" hidden="1" customHeight="1" outlineLevel="1">
      <c r="B216" s="167"/>
      <c r="C216" s="314" t="s">
        <v>145</v>
      </c>
      <c r="D216" s="215"/>
      <c r="E216" s="215"/>
      <c r="F216" s="215"/>
      <c r="G216" s="167"/>
      <c r="H216" s="272"/>
      <c r="I216" s="272"/>
      <c r="J216" s="272"/>
      <c r="K216" s="239"/>
      <c r="L216" s="311"/>
      <c r="M216" s="311"/>
      <c r="N216" s="311"/>
      <c r="O216" s="311"/>
      <c r="P216" s="311"/>
      <c r="Q216" s="311"/>
      <c r="R216" s="311"/>
      <c r="S216" s="311"/>
      <c r="T216" s="168"/>
      <c r="U216" s="168"/>
    </row>
    <row r="217" spans="2:21" ht="15.75" hidden="1" customHeight="1" outlineLevel="1">
      <c r="B217" s="167"/>
      <c r="C217" s="728" t="s">
        <v>75</v>
      </c>
      <c r="D217" s="215"/>
      <c r="E217" s="215"/>
      <c r="F217" s="215"/>
      <c r="G217" s="167"/>
      <c r="H217" s="272"/>
      <c r="I217" s="272"/>
      <c r="J217" s="272"/>
      <c r="K217" s="239"/>
      <c r="L217" s="239"/>
      <c r="M217" s="215"/>
      <c r="N217" s="215"/>
      <c r="O217" s="215"/>
      <c r="P217" s="215"/>
      <c r="Q217" s="215"/>
      <c r="R217" s="215"/>
      <c r="S217" s="215"/>
      <c r="T217" s="168"/>
      <c r="U217" s="168"/>
    </row>
    <row r="218" spans="2:21" ht="15.75" hidden="1" customHeight="1" outlineLevel="1">
      <c r="B218" s="167"/>
      <c r="C218" s="314" t="s">
        <v>109</v>
      </c>
      <c r="D218" s="242"/>
      <c r="E218" s="249"/>
      <c r="F218" s="249"/>
      <c r="G218" s="167"/>
      <c r="H218" s="167"/>
      <c r="I218" s="272"/>
      <c r="J218" s="272"/>
      <c r="K218" s="272"/>
      <c r="L218" s="272">
        <f t="shared" ref="L218:R218" si="62">L15+L16</f>
        <v>0</v>
      </c>
      <c r="M218" s="272">
        <f t="shared" si="62"/>
        <v>0</v>
      </c>
      <c r="N218" s="272">
        <f t="shared" si="62"/>
        <v>0</v>
      </c>
      <c r="O218" s="272">
        <f t="shared" si="62"/>
        <v>0</v>
      </c>
      <c r="P218" s="272">
        <f t="shared" si="62"/>
        <v>0</v>
      </c>
      <c r="Q218" s="272">
        <f t="shared" si="62"/>
        <v>0</v>
      </c>
      <c r="R218" s="272">
        <f t="shared" si="62"/>
        <v>0</v>
      </c>
      <c r="S218" s="272">
        <f>S15+S16</f>
        <v>0</v>
      </c>
      <c r="T218" s="168"/>
      <c r="U218" s="168"/>
    </row>
    <row r="219" spans="2:21" ht="7.5" hidden="1" customHeight="1" outlineLevel="1">
      <c r="B219" s="167"/>
      <c r="C219" s="314"/>
      <c r="D219" s="242"/>
      <c r="E219" s="249"/>
      <c r="F219" s="249"/>
      <c r="G219" s="167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168"/>
      <c r="U219" s="168"/>
    </row>
    <row r="220" spans="2:21" ht="15.75" hidden="1" customHeight="1" outlineLevel="1">
      <c r="B220" s="167"/>
      <c r="C220" s="314" t="s">
        <v>110</v>
      </c>
      <c r="D220" s="215"/>
      <c r="E220" s="215"/>
      <c r="F220" s="215"/>
      <c r="G220" s="167"/>
      <c r="H220" s="167"/>
      <c r="I220" s="239"/>
      <c r="J220" s="240"/>
      <c r="K220" s="239"/>
      <c r="L220" s="239">
        <f t="shared" ref="L220:R220" si="63">-L125*(L34+L35)</f>
        <v>0</v>
      </c>
      <c r="M220" s="239">
        <f t="shared" si="63"/>
        <v>0</v>
      </c>
      <c r="N220" s="239">
        <f t="shared" si="63"/>
        <v>0</v>
      </c>
      <c r="O220" s="239">
        <f t="shared" si="63"/>
        <v>0</v>
      </c>
      <c r="P220" s="239">
        <f t="shared" si="63"/>
        <v>0</v>
      </c>
      <c r="Q220" s="239">
        <f t="shared" si="63"/>
        <v>0</v>
      </c>
      <c r="R220" s="239">
        <f t="shared" si="63"/>
        <v>0</v>
      </c>
      <c r="S220" s="239">
        <f>-S125*(S34+S35)</f>
        <v>0</v>
      </c>
      <c r="T220" s="168"/>
      <c r="U220" s="168"/>
    </row>
    <row r="221" spans="2:21" ht="7.5" hidden="1" customHeight="1" outlineLevel="1">
      <c r="B221" s="167"/>
      <c r="C221" s="314"/>
      <c r="D221" s="215"/>
      <c r="E221" s="215"/>
      <c r="F221" s="215"/>
      <c r="G221" s="167"/>
      <c r="H221" s="239"/>
      <c r="I221" s="239"/>
      <c r="J221" s="239"/>
      <c r="K221" s="239"/>
      <c r="L221" s="239"/>
      <c r="M221" s="239"/>
      <c r="N221" s="637"/>
      <c r="O221" s="637"/>
      <c r="P221" s="637"/>
      <c r="Q221" s="637"/>
      <c r="R221" s="637"/>
      <c r="S221" s="637"/>
      <c r="T221" s="168"/>
      <c r="U221" s="168"/>
    </row>
    <row r="222" spans="2:21" ht="15.75" hidden="1" customHeight="1" outlineLevel="1">
      <c r="B222" s="167"/>
      <c r="C222" s="314" t="s">
        <v>111</v>
      </c>
      <c r="D222" s="242"/>
      <c r="E222" s="249"/>
      <c r="F222" s="249"/>
      <c r="G222" s="167"/>
      <c r="H222" s="167"/>
      <c r="I222" s="346"/>
      <c r="J222" s="346"/>
      <c r="K222" s="346"/>
      <c r="L222" s="239">
        <f>-L35*L66-(L35*L51-L66*L35)*1.5%-L73*(L34+L35)</f>
        <v>0</v>
      </c>
      <c r="M222" s="239">
        <f>-M35*M66-(M35*M51-M66*M35)*1.5%-M73*(M34+M35)</f>
        <v>0</v>
      </c>
      <c r="N222" s="239">
        <f>-N35*N66-(N35*N51-N66*N35)*0.7%-N73*(N34+N35)</f>
        <v>0</v>
      </c>
      <c r="O222" s="239">
        <f>-O35*O66-(O35*O51-O66*O35)*1.5%-O73*(O34+O35)</f>
        <v>0</v>
      </c>
      <c r="P222" s="239">
        <f>-P35*P66-(P35*P51-P66*P35)*1.5%-P73*(P34+P35)</f>
        <v>0</v>
      </c>
      <c r="Q222" s="239">
        <f>-Q35*Q66-(Q35*Q51-Q66*Q35)*1.5%-Q73*(Q34+Q35)</f>
        <v>0</v>
      </c>
      <c r="R222" s="239">
        <f>-R35*R66-(R35*R51-R66*R35)*1.5%-R73*(R34+R35)</f>
        <v>0</v>
      </c>
      <c r="S222" s="239">
        <f>-S35*S66-(S35*S51-S66*S35)*1.5%-S73*(S34+S35)</f>
        <v>0</v>
      </c>
      <c r="T222" s="168"/>
      <c r="U222" s="168"/>
    </row>
    <row r="223" spans="2:21" ht="7.5" hidden="1" customHeight="1" outlineLevel="1">
      <c r="B223" s="167"/>
      <c r="C223" s="314"/>
      <c r="D223" s="215"/>
      <c r="E223" s="215"/>
      <c r="F223" s="215"/>
      <c r="G223" s="167"/>
      <c r="H223" s="239"/>
      <c r="I223" s="239"/>
      <c r="J223" s="239"/>
      <c r="K223" s="239"/>
      <c r="L223" s="239"/>
      <c r="M223" s="239"/>
      <c r="N223" s="215"/>
      <c r="O223" s="215"/>
      <c r="P223" s="215"/>
      <c r="Q223" s="215"/>
      <c r="R223" s="215"/>
      <c r="S223" s="215"/>
      <c r="T223" s="168"/>
      <c r="U223" s="168"/>
    </row>
    <row r="224" spans="2:21" ht="15.75" hidden="1" customHeight="1" outlineLevel="1">
      <c r="B224" s="167"/>
      <c r="C224" s="314" t="s">
        <v>144</v>
      </c>
      <c r="D224" s="215"/>
      <c r="E224" s="215"/>
      <c r="F224" s="215"/>
      <c r="G224" s="167"/>
      <c r="H224" s="272"/>
      <c r="I224" s="272"/>
      <c r="J224" s="272"/>
      <c r="K224" s="239"/>
      <c r="L224" s="239">
        <f t="shared" ref="L224:R224" si="64">L218+L220+L222</f>
        <v>0</v>
      </c>
      <c r="M224" s="239">
        <f t="shared" si="64"/>
        <v>0</v>
      </c>
      <c r="N224" s="239">
        <f t="shared" si="64"/>
        <v>0</v>
      </c>
      <c r="O224" s="239">
        <f t="shared" si="64"/>
        <v>0</v>
      </c>
      <c r="P224" s="239">
        <f t="shared" si="64"/>
        <v>0</v>
      </c>
      <c r="Q224" s="239">
        <f t="shared" si="64"/>
        <v>0</v>
      </c>
      <c r="R224" s="239">
        <f t="shared" si="64"/>
        <v>0</v>
      </c>
      <c r="S224" s="239">
        <f>S218+S220+S222</f>
        <v>0</v>
      </c>
      <c r="T224" s="168"/>
      <c r="U224" s="168"/>
    </row>
    <row r="225" spans="2:21" ht="6.75" hidden="1" customHeight="1" outlineLevel="1">
      <c r="B225" s="167"/>
      <c r="C225" s="314"/>
      <c r="D225" s="215"/>
      <c r="E225" s="215"/>
      <c r="F225" s="215"/>
      <c r="G225" s="167"/>
      <c r="H225" s="272"/>
      <c r="I225" s="272"/>
      <c r="J225" s="272"/>
      <c r="K225" s="239"/>
      <c r="L225" s="239"/>
      <c r="M225" s="215"/>
      <c r="N225" s="215"/>
      <c r="O225" s="215"/>
      <c r="P225" s="215"/>
      <c r="Q225" s="215"/>
      <c r="R225" s="215"/>
      <c r="S225" s="215"/>
      <c r="T225" s="168"/>
      <c r="U225" s="168"/>
    </row>
    <row r="226" spans="2:21" ht="15.75" hidden="1" customHeight="1" outlineLevel="1">
      <c r="B226" s="167"/>
      <c r="C226" s="314" t="s">
        <v>145</v>
      </c>
      <c r="D226" s="215"/>
      <c r="E226" s="215"/>
      <c r="F226" s="215"/>
      <c r="G226" s="167"/>
      <c r="H226" s="272"/>
      <c r="I226" s="272"/>
      <c r="J226" s="272"/>
      <c r="K226" s="239"/>
      <c r="L226" s="311"/>
      <c r="M226" s="311"/>
      <c r="N226" s="311"/>
      <c r="O226" s="311"/>
      <c r="P226" s="311"/>
      <c r="Q226" s="311"/>
      <c r="R226" s="311"/>
      <c r="S226" s="311"/>
      <c r="T226" s="168"/>
      <c r="U226" s="168"/>
    </row>
    <row r="227" spans="2:21" ht="15.75" hidden="1" customHeight="1" outlineLevel="1">
      <c r="B227" s="167"/>
      <c r="C227" s="728" t="s">
        <v>76</v>
      </c>
      <c r="D227" s="215"/>
      <c r="E227" s="215"/>
      <c r="F227" s="215"/>
      <c r="G227" s="167"/>
      <c r="H227" s="272"/>
      <c r="I227" s="272"/>
      <c r="J227" s="272"/>
      <c r="K227" s="239"/>
      <c r="L227" s="239"/>
      <c r="M227" s="215"/>
      <c r="N227" s="215"/>
      <c r="O227" s="215"/>
      <c r="P227" s="215"/>
      <c r="Q227" s="215"/>
      <c r="R227" s="215"/>
      <c r="S227" s="215"/>
      <c r="T227" s="168"/>
      <c r="U227" s="168"/>
    </row>
    <row r="228" spans="2:21" ht="15.75" hidden="1" customHeight="1" outlineLevel="1">
      <c r="B228" s="167"/>
      <c r="C228" s="314" t="s">
        <v>109</v>
      </c>
      <c r="D228" s="242"/>
      <c r="E228" s="249"/>
      <c r="F228" s="249"/>
      <c r="G228" s="167"/>
      <c r="H228" s="167"/>
      <c r="I228" s="272"/>
      <c r="J228" s="272"/>
      <c r="K228" s="272"/>
      <c r="L228" s="272">
        <f t="shared" ref="L228:R228" si="65">L17+L18</f>
        <v>0</v>
      </c>
      <c r="M228" s="272">
        <f>M17+M18</f>
        <v>3494120.6762232035</v>
      </c>
      <c r="N228" s="272">
        <f t="shared" si="65"/>
        <v>15412774.327517999</v>
      </c>
      <c r="O228" s="272">
        <f t="shared" si="65"/>
        <v>8541210.9939530361</v>
      </c>
      <c r="P228" s="272">
        <f t="shared" si="65"/>
        <v>0</v>
      </c>
      <c r="Q228" s="272">
        <f t="shared" si="65"/>
        <v>0</v>
      </c>
      <c r="R228" s="272">
        <f t="shared" si="65"/>
        <v>0</v>
      </c>
      <c r="S228" s="272">
        <f>S17+S18</f>
        <v>0</v>
      </c>
      <c r="T228" s="168"/>
      <c r="U228" s="168"/>
    </row>
    <row r="229" spans="2:21" ht="7.5" hidden="1" customHeight="1" outlineLevel="1">
      <c r="B229" s="167"/>
      <c r="C229" s="314"/>
      <c r="D229" s="242"/>
      <c r="E229" s="249"/>
      <c r="F229" s="249"/>
      <c r="G229" s="167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168"/>
      <c r="U229" s="168"/>
    </row>
    <row r="230" spans="2:21" ht="15.75" hidden="1" customHeight="1" outlineLevel="1">
      <c r="B230" s="167"/>
      <c r="C230" s="314" t="s">
        <v>110</v>
      </c>
      <c r="D230" s="215"/>
      <c r="E230" s="215"/>
      <c r="F230" s="215"/>
      <c r="G230" s="167"/>
      <c r="H230" s="167"/>
      <c r="I230" s="239"/>
      <c r="J230" s="240"/>
      <c r="K230" s="239"/>
      <c r="L230" s="239">
        <f t="shared" ref="L230:R230" si="66">-L136*(L36+L37)</f>
        <v>0</v>
      </c>
      <c r="M230" s="239">
        <f t="shared" si="66"/>
        <v>-1475874.30340528</v>
      </c>
      <c r="N230" s="239">
        <f t="shared" si="66"/>
        <v>-9256240.5544476006</v>
      </c>
      <c r="O230" s="239">
        <f t="shared" si="66"/>
        <v>-5457671.4481921019</v>
      </c>
      <c r="P230" s="239">
        <f t="shared" si="66"/>
        <v>0</v>
      </c>
      <c r="Q230" s="239">
        <f t="shared" si="66"/>
        <v>0</v>
      </c>
      <c r="R230" s="239">
        <f t="shared" si="66"/>
        <v>0</v>
      </c>
      <c r="S230" s="239">
        <f>-S136*(S36+S37)</f>
        <v>0</v>
      </c>
      <c r="T230" s="168"/>
      <c r="U230" s="168"/>
    </row>
    <row r="231" spans="2:21" ht="7.5" hidden="1" customHeight="1" outlineLevel="1">
      <c r="B231" s="167"/>
      <c r="C231" s="314"/>
      <c r="D231" s="215"/>
      <c r="E231" s="215"/>
      <c r="F231" s="215"/>
      <c r="G231" s="167"/>
      <c r="H231" s="239"/>
      <c r="I231" s="239"/>
      <c r="J231" s="239"/>
      <c r="K231" s="239"/>
      <c r="L231" s="239"/>
      <c r="M231" s="239"/>
      <c r="N231" s="637"/>
      <c r="O231" s="637"/>
      <c r="P231" s="637"/>
      <c r="Q231" s="637"/>
      <c r="R231" s="637"/>
      <c r="S231" s="637"/>
      <c r="T231" s="168"/>
      <c r="U231" s="168"/>
    </row>
    <row r="232" spans="2:21" ht="15.75" hidden="1" customHeight="1" outlineLevel="1">
      <c r="B232" s="167"/>
      <c r="C232" s="314" t="s">
        <v>111</v>
      </c>
      <c r="D232" s="242"/>
      <c r="E232" s="249"/>
      <c r="F232" s="249"/>
      <c r="G232" s="167"/>
      <c r="H232" s="167"/>
      <c r="I232" s="346"/>
      <c r="J232" s="346"/>
      <c r="K232" s="346"/>
      <c r="L232" s="239">
        <f>-L67*L37-(L54*L37-L37*L67)*1.5%-L74*(L36+L37)</f>
        <v>0</v>
      </c>
      <c r="M232" s="239">
        <f>-M67*M37-(M54*M37-M37*M67)*1.2%-M74*(M36+M37)</f>
        <v>-343857.00438</v>
      </c>
      <c r="N232" s="239">
        <f>-N67*N37-(N54*N37-N37*N67)*0.7%-N74*(N36+N37)</f>
        <v>-1889462.1314336997</v>
      </c>
      <c r="O232" s="239">
        <f>-O67*O37-(O54*O37-O37*O67)*1.5%-O74*(O36+O37)</f>
        <v>-946866.2076666666</v>
      </c>
      <c r="P232" s="239">
        <f>-P67*P37-(P54*P37-P37*P67)*1.5%-P74*(P36+P37)</f>
        <v>0</v>
      </c>
      <c r="Q232" s="239">
        <f>-Q67*Q37-(Q54*Q37-Q37*Q67)*1.5%-Q74*(Q36+Q37)</f>
        <v>0</v>
      </c>
      <c r="R232" s="239">
        <f>-R67*R37-(R54*R37-R37*R67)*1.5%-R74*(R36+R37)</f>
        <v>0</v>
      </c>
      <c r="S232" s="239">
        <f>-S67*S37-(S54*S37-S37*S67)*1.5%-S74*(S36+S37)</f>
        <v>0</v>
      </c>
      <c r="T232" s="168"/>
      <c r="U232" s="168"/>
    </row>
    <row r="233" spans="2:21" ht="7.5" hidden="1" customHeight="1" outlineLevel="1">
      <c r="B233" s="167"/>
      <c r="C233" s="314"/>
      <c r="D233" s="215"/>
      <c r="E233" s="215"/>
      <c r="F233" s="215"/>
      <c r="G233" s="167"/>
      <c r="H233" s="239"/>
      <c r="I233" s="239"/>
      <c r="J233" s="239"/>
      <c r="K233" s="239"/>
      <c r="L233" s="239"/>
      <c r="M233" s="239"/>
      <c r="N233" s="215"/>
      <c r="O233" s="215"/>
      <c r="P233" s="215"/>
      <c r="Q233" s="215"/>
      <c r="R233" s="215"/>
      <c r="S233" s="215"/>
      <c r="T233" s="168"/>
      <c r="U233" s="168"/>
    </row>
    <row r="234" spans="2:21" ht="15.75" hidden="1" customHeight="1" outlineLevel="1">
      <c r="B234" s="167"/>
      <c r="C234" s="314" t="s">
        <v>144</v>
      </c>
      <c r="D234" s="215"/>
      <c r="E234" s="215"/>
      <c r="F234" s="215"/>
      <c r="G234" s="167"/>
      <c r="H234" s="272"/>
      <c r="I234" s="272"/>
      <c r="J234" s="272"/>
      <c r="K234" s="239"/>
      <c r="L234" s="239">
        <f t="shared" ref="L234:R234" si="67">L228+L230+L232</f>
        <v>0</v>
      </c>
      <c r="M234" s="239">
        <f t="shared" si="67"/>
        <v>1674389.3684379235</v>
      </c>
      <c r="N234" s="239">
        <f t="shared" si="67"/>
        <v>4267071.6416366994</v>
      </c>
      <c r="O234" s="239">
        <f t="shared" si="67"/>
        <v>2136673.3380942675</v>
      </c>
      <c r="P234" s="239">
        <f t="shared" si="67"/>
        <v>0</v>
      </c>
      <c r="Q234" s="239">
        <f t="shared" si="67"/>
        <v>0</v>
      </c>
      <c r="R234" s="239">
        <f t="shared" si="67"/>
        <v>0</v>
      </c>
      <c r="S234" s="239">
        <f>S228+S230+S232</f>
        <v>0</v>
      </c>
      <c r="T234" s="168"/>
      <c r="U234" s="168"/>
    </row>
    <row r="235" spans="2:21" ht="6.75" hidden="1" customHeight="1" outlineLevel="1">
      <c r="B235" s="167"/>
      <c r="C235" s="314"/>
      <c r="D235" s="215"/>
      <c r="E235" s="215"/>
      <c r="F235" s="215"/>
      <c r="G235" s="167"/>
      <c r="H235" s="272"/>
      <c r="I235" s="272"/>
      <c r="J235" s="272"/>
      <c r="K235" s="239"/>
      <c r="L235" s="239"/>
      <c r="M235" s="215"/>
      <c r="N235" s="215"/>
      <c r="O235" s="215"/>
      <c r="P235" s="215"/>
      <c r="Q235" s="215"/>
      <c r="R235" s="215"/>
      <c r="S235" s="215"/>
      <c r="T235" s="168"/>
      <c r="U235" s="168"/>
    </row>
    <row r="236" spans="2:21" ht="15.75" hidden="1" customHeight="1" outlineLevel="1">
      <c r="B236" s="167"/>
      <c r="C236" s="314" t="s">
        <v>145</v>
      </c>
      <c r="D236" s="215"/>
      <c r="E236" s="215"/>
      <c r="F236" s="215"/>
      <c r="G236" s="167"/>
      <c r="H236" s="272"/>
      <c r="I236" s="272"/>
      <c r="J236" s="272"/>
      <c r="K236" s="239"/>
      <c r="L236" s="311"/>
      <c r="M236" s="311">
        <f>M234/M228</f>
        <v>0.47920192906667769</v>
      </c>
      <c r="N236" s="311">
        <f>N234/N228</f>
        <v>0.27685292413697776</v>
      </c>
      <c r="O236" s="311">
        <f>O234/O228</f>
        <v>0.25016046783143264</v>
      </c>
      <c r="P236" s="311"/>
      <c r="Q236" s="311"/>
      <c r="R236" s="311"/>
      <c r="S236" s="311"/>
      <c r="T236" s="168"/>
      <c r="U236" s="168"/>
    </row>
    <row r="237" spans="2:21" ht="15.75" hidden="1" customHeight="1" outlineLevel="1">
      <c r="B237" s="167"/>
      <c r="C237" s="728" t="s">
        <v>77</v>
      </c>
      <c r="D237" s="215"/>
      <c r="E237" s="215"/>
      <c r="F237" s="215"/>
      <c r="G237" s="167"/>
      <c r="H237" s="272"/>
      <c r="I237" s="272"/>
      <c r="J237" s="272"/>
      <c r="K237" s="239"/>
      <c r="L237" s="239"/>
      <c r="M237" s="215"/>
      <c r="N237" s="215"/>
      <c r="O237" s="215"/>
      <c r="P237" s="215"/>
      <c r="Q237" s="215"/>
      <c r="R237" s="215"/>
      <c r="S237" s="215"/>
      <c r="T237" s="168"/>
      <c r="U237" s="168"/>
    </row>
    <row r="238" spans="2:21" ht="15.75" hidden="1" customHeight="1" outlineLevel="1">
      <c r="B238" s="167"/>
      <c r="C238" s="314" t="s">
        <v>109</v>
      </c>
      <c r="D238" s="242"/>
      <c r="E238" s="249"/>
      <c r="F238" s="249"/>
      <c r="G238" s="167"/>
      <c r="H238" s="167"/>
      <c r="I238" s="272"/>
      <c r="J238" s="272"/>
      <c r="K238" s="272"/>
      <c r="L238" s="272">
        <f t="shared" ref="L238:R238" si="68">L19</f>
        <v>0</v>
      </c>
      <c r="M238" s="272">
        <f t="shared" si="68"/>
        <v>0</v>
      </c>
      <c r="N238" s="272">
        <f t="shared" si="68"/>
        <v>0</v>
      </c>
      <c r="O238" s="272">
        <f t="shared" si="68"/>
        <v>0</v>
      </c>
      <c r="P238" s="272">
        <f t="shared" si="68"/>
        <v>0</v>
      </c>
      <c r="Q238" s="272">
        <f t="shared" si="68"/>
        <v>0</v>
      </c>
      <c r="R238" s="272">
        <f t="shared" si="68"/>
        <v>0</v>
      </c>
      <c r="S238" s="272">
        <f>S19</f>
        <v>0</v>
      </c>
      <c r="T238" s="168"/>
      <c r="U238" s="168"/>
    </row>
    <row r="239" spans="2:21" ht="7.5" hidden="1" customHeight="1" outlineLevel="1">
      <c r="B239" s="167"/>
      <c r="C239" s="314"/>
      <c r="D239" s="242"/>
      <c r="E239" s="249"/>
      <c r="F239" s="249"/>
      <c r="G239" s="167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168"/>
      <c r="U239" s="168"/>
    </row>
    <row r="240" spans="2:21" ht="15.75" hidden="1" customHeight="1" outlineLevel="1">
      <c r="B240" s="167"/>
      <c r="C240" s="314" t="s">
        <v>110</v>
      </c>
      <c r="D240" s="215"/>
      <c r="E240" s="215"/>
      <c r="F240" s="215"/>
      <c r="G240" s="167"/>
      <c r="H240" s="167"/>
      <c r="I240" s="239"/>
      <c r="J240" s="240"/>
      <c r="K240" s="239"/>
      <c r="L240" s="239">
        <f t="shared" ref="L240:R240" si="69">-L150*L38</f>
        <v>0</v>
      </c>
      <c r="M240" s="239">
        <f t="shared" si="69"/>
        <v>0</v>
      </c>
      <c r="N240" s="239">
        <f t="shared" si="69"/>
        <v>0</v>
      </c>
      <c r="O240" s="239">
        <f t="shared" si="69"/>
        <v>0</v>
      </c>
      <c r="P240" s="239">
        <f t="shared" si="69"/>
        <v>0</v>
      </c>
      <c r="Q240" s="239">
        <f t="shared" si="69"/>
        <v>0</v>
      </c>
      <c r="R240" s="239">
        <f t="shared" si="69"/>
        <v>0</v>
      </c>
      <c r="S240" s="239">
        <f>-S150*S38</f>
        <v>0</v>
      </c>
      <c r="T240" s="168"/>
      <c r="U240" s="168"/>
    </row>
    <row r="241" spans="2:21" ht="7.5" hidden="1" customHeight="1" outlineLevel="1">
      <c r="B241" s="167"/>
      <c r="C241" s="314"/>
      <c r="D241" s="215"/>
      <c r="E241" s="215"/>
      <c r="F241" s="215"/>
      <c r="G241" s="167"/>
      <c r="H241" s="239"/>
      <c r="I241" s="239"/>
      <c r="J241" s="239"/>
      <c r="K241" s="239"/>
      <c r="L241" s="239"/>
      <c r="M241" s="239"/>
      <c r="N241" s="637"/>
      <c r="O241" s="637"/>
      <c r="P241" s="637"/>
      <c r="Q241" s="637"/>
      <c r="R241" s="637"/>
      <c r="S241" s="637"/>
      <c r="T241" s="168"/>
      <c r="U241" s="168"/>
    </row>
    <row r="242" spans="2:21" ht="15.75" hidden="1" customHeight="1" outlineLevel="1">
      <c r="B242" s="167"/>
      <c r="C242" s="314" t="s">
        <v>111</v>
      </c>
      <c r="D242" s="242"/>
      <c r="E242" s="249"/>
      <c r="F242" s="249"/>
      <c r="G242" s="167"/>
      <c r="H242" s="167"/>
      <c r="I242" s="346"/>
      <c r="J242" s="346"/>
      <c r="K242" s="346"/>
      <c r="L242" s="239">
        <f t="shared" ref="L242:R242" si="70">-L75*L38</f>
        <v>0</v>
      </c>
      <c r="M242" s="239">
        <f t="shared" si="70"/>
        <v>0</v>
      </c>
      <c r="N242" s="239">
        <f t="shared" si="70"/>
        <v>0</v>
      </c>
      <c r="O242" s="239">
        <f t="shared" si="70"/>
        <v>0</v>
      </c>
      <c r="P242" s="239">
        <f t="shared" si="70"/>
        <v>0</v>
      </c>
      <c r="Q242" s="239">
        <f t="shared" si="70"/>
        <v>0</v>
      </c>
      <c r="R242" s="239">
        <f t="shared" si="70"/>
        <v>0</v>
      </c>
      <c r="S242" s="239">
        <f>-S75*S38</f>
        <v>0</v>
      </c>
      <c r="T242" s="168"/>
      <c r="U242" s="168"/>
    </row>
    <row r="243" spans="2:21" ht="7.5" hidden="1" customHeight="1" outlineLevel="1">
      <c r="B243" s="167"/>
      <c r="C243" s="314"/>
      <c r="D243" s="215"/>
      <c r="E243" s="215"/>
      <c r="F243" s="215"/>
      <c r="G243" s="167"/>
      <c r="H243" s="239"/>
      <c r="I243" s="239"/>
      <c r="J243" s="239"/>
      <c r="K243" s="239"/>
      <c r="L243" s="239"/>
      <c r="M243" s="239"/>
      <c r="N243" s="215"/>
      <c r="O243" s="215"/>
      <c r="P243" s="215"/>
      <c r="Q243" s="215"/>
      <c r="R243" s="215"/>
      <c r="S243" s="215"/>
      <c r="T243" s="168"/>
      <c r="U243" s="168"/>
    </row>
    <row r="244" spans="2:21" ht="15.75" hidden="1" customHeight="1" outlineLevel="1">
      <c r="B244" s="167"/>
      <c r="C244" s="314" t="s">
        <v>144</v>
      </c>
      <c r="D244" s="215"/>
      <c r="E244" s="215"/>
      <c r="F244" s="215"/>
      <c r="G244" s="167"/>
      <c r="H244" s="272"/>
      <c r="I244" s="272"/>
      <c r="J244" s="272"/>
      <c r="K244" s="239"/>
      <c r="L244" s="239">
        <f t="shared" ref="L244:R244" si="71">L238+L240+L242</f>
        <v>0</v>
      </c>
      <c r="M244" s="239">
        <f t="shared" si="71"/>
        <v>0</v>
      </c>
      <c r="N244" s="239">
        <f t="shared" si="71"/>
        <v>0</v>
      </c>
      <c r="O244" s="239">
        <f t="shared" si="71"/>
        <v>0</v>
      </c>
      <c r="P244" s="239">
        <f t="shared" si="71"/>
        <v>0</v>
      </c>
      <c r="Q244" s="239">
        <f t="shared" si="71"/>
        <v>0</v>
      </c>
      <c r="R244" s="239">
        <f t="shared" si="71"/>
        <v>0</v>
      </c>
      <c r="S244" s="239">
        <f>S238+S240+S242</f>
        <v>0</v>
      </c>
      <c r="T244" s="168"/>
      <c r="U244" s="168"/>
    </row>
    <row r="245" spans="2:21" ht="6.75" hidden="1" customHeight="1" outlineLevel="1">
      <c r="B245" s="167"/>
      <c r="C245" s="314"/>
      <c r="D245" s="215"/>
      <c r="E245" s="215"/>
      <c r="F245" s="215"/>
      <c r="G245" s="167"/>
      <c r="H245" s="272"/>
      <c r="I245" s="272"/>
      <c r="J245" s="272"/>
      <c r="K245" s="239"/>
      <c r="L245" s="239"/>
      <c r="M245" s="215"/>
      <c r="N245" s="215"/>
      <c r="O245" s="215"/>
      <c r="P245" s="215"/>
      <c r="Q245" s="215"/>
      <c r="R245" s="215"/>
      <c r="S245" s="215"/>
      <c r="T245" s="168"/>
      <c r="U245" s="168"/>
    </row>
    <row r="246" spans="2:21" ht="15.75" hidden="1" customHeight="1" outlineLevel="1">
      <c r="B246" s="167"/>
      <c r="C246" s="314" t="s">
        <v>145</v>
      </c>
      <c r="D246" s="215"/>
      <c r="E246" s="215"/>
      <c r="F246" s="215"/>
      <c r="G246" s="167"/>
      <c r="H246" s="272"/>
      <c r="I246" s="272"/>
      <c r="J246" s="272"/>
      <c r="K246" s="239"/>
      <c r="L246" s="311"/>
      <c r="M246" s="311"/>
      <c r="N246" s="311"/>
      <c r="O246" s="311"/>
      <c r="P246" s="311"/>
      <c r="Q246" s="311"/>
      <c r="R246" s="311"/>
      <c r="S246" s="311"/>
      <c r="T246" s="168"/>
      <c r="U246" s="168"/>
    </row>
    <row r="247" spans="2:21" ht="15.75" hidden="1" customHeight="1" outlineLevel="1">
      <c r="B247" s="167"/>
      <c r="C247" s="728" t="s">
        <v>654</v>
      </c>
      <c r="D247" s="215"/>
      <c r="E247" s="215"/>
      <c r="F247" s="215"/>
      <c r="G247" s="167"/>
      <c r="H247" s="272"/>
      <c r="I247" s="272"/>
      <c r="J247" s="272"/>
      <c r="K247" s="239"/>
      <c r="L247" s="239"/>
      <c r="M247" s="215"/>
      <c r="N247" s="215"/>
      <c r="O247" s="215"/>
      <c r="P247" s="215"/>
      <c r="Q247" s="215"/>
      <c r="R247" s="215"/>
      <c r="S247" s="215"/>
      <c r="T247" s="168"/>
      <c r="U247" s="168"/>
    </row>
    <row r="248" spans="2:21" ht="15.75" hidden="1" customHeight="1" outlineLevel="1">
      <c r="B248" s="167"/>
      <c r="C248" s="314" t="s">
        <v>109</v>
      </c>
      <c r="D248" s="242"/>
      <c r="E248" s="249"/>
      <c r="F248" s="249"/>
      <c r="G248" s="167"/>
      <c r="H248" s="167"/>
      <c r="I248" s="272"/>
      <c r="J248" s="272"/>
      <c r="K248" s="272"/>
      <c r="L248" s="272">
        <f t="shared" ref="L248:R248" si="72">L20</f>
        <v>0</v>
      </c>
      <c r="M248" s="272">
        <f t="shared" si="72"/>
        <v>2141595.7333333334</v>
      </c>
      <c r="N248" s="272">
        <f t="shared" si="72"/>
        <v>14019893.997466667</v>
      </c>
      <c r="O248" s="272">
        <f t="shared" si="72"/>
        <v>3790902.0444915257</v>
      </c>
      <c r="P248" s="272">
        <f t="shared" si="72"/>
        <v>0</v>
      </c>
      <c r="Q248" s="272">
        <f t="shared" si="72"/>
        <v>0</v>
      </c>
      <c r="R248" s="272">
        <f t="shared" si="72"/>
        <v>0</v>
      </c>
      <c r="S248" s="272">
        <f>S20</f>
        <v>0</v>
      </c>
      <c r="T248" s="168"/>
      <c r="U248" s="168"/>
    </row>
    <row r="249" spans="2:21" ht="7.5" hidden="1" customHeight="1" outlineLevel="1">
      <c r="B249" s="167"/>
      <c r="C249" s="314"/>
      <c r="D249" s="242"/>
      <c r="E249" s="249"/>
      <c r="F249" s="249"/>
      <c r="G249" s="167"/>
      <c r="H249" s="272"/>
      <c r="I249" s="272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168"/>
      <c r="U249" s="168"/>
    </row>
    <row r="250" spans="2:21" ht="15.75" hidden="1" customHeight="1" outlineLevel="1">
      <c r="B250" s="167"/>
      <c r="C250" s="314" t="s">
        <v>110</v>
      </c>
      <c r="D250" s="215"/>
      <c r="E250" s="215"/>
      <c r="F250" s="215"/>
      <c r="G250" s="167"/>
      <c r="H250" s="167"/>
      <c r="I250" s="239"/>
      <c r="J250" s="240"/>
      <c r="K250" s="239"/>
      <c r="L250" s="239">
        <f t="shared" ref="L250:R250" si="73">-L159*L39</f>
        <v>0</v>
      </c>
      <c r="M250" s="239">
        <f t="shared" si="73"/>
        <v>-1841249.0379933331</v>
      </c>
      <c r="N250" s="239">
        <f t="shared" si="73"/>
        <v>-27009654.002719492</v>
      </c>
      <c r="O250" s="239">
        <f t="shared" si="73"/>
        <v>-7034229.6949971179</v>
      </c>
      <c r="P250" s="239">
        <f t="shared" si="73"/>
        <v>0</v>
      </c>
      <c r="Q250" s="239">
        <f t="shared" si="73"/>
        <v>0</v>
      </c>
      <c r="R250" s="239">
        <f t="shared" si="73"/>
        <v>0</v>
      </c>
      <c r="S250" s="239">
        <f>-S159*S39</f>
        <v>0</v>
      </c>
      <c r="T250" s="168"/>
      <c r="U250" s="168"/>
    </row>
    <row r="251" spans="2:21" ht="7.5" hidden="1" customHeight="1" outlineLevel="1">
      <c r="B251" s="167"/>
      <c r="C251" s="314"/>
      <c r="D251" s="215"/>
      <c r="E251" s="215"/>
      <c r="F251" s="215"/>
      <c r="G251" s="167"/>
      <c r="H251" s="239"/>
      <c r="I251" s="239"/>
      <c r="J251" s="239"/>
      <c r="K251" s="239"/>
      <c r="L251" s="239"/>
      <c r="M251" s="239"/>
      <c r="N251" s="637"/>
      <c r="O251" s="637"/>
      <c r="P251" s="637"/>
      <c r="Q251" s="637"/>
      <c r="R251" s="637"/>
      <c r="S251" s="637"/>
      <c r="T251" s="168"/>
      <c r="U251" s="168"/>
    </row>
    <row r="252" spans="2:21" ht="15.75" hidden="1" customHeight="1" outlineLevel="1">
      <c r="B252" s="167"/>
      <c r="C252" s="314" t="s">
        <v>111</v>
      </c>
      <c r="D252" s="242"/>
      <c r="E252" s="249"/>
      <c r="F252" s="249"/>
      <c r="G252" s="167"/>
      <c r="H252" s="167"/>
      <c r="I252" s="346"/>
      <c r="J252" s="346"/>
      <c r="K252" s="346"/>
      <c r="L252" s="239">
        <f t="shared" ref="L252:R252" si="74">-L76*L39</f>
        <v>0</v>
      </c>
      <c r="M252" s="239">
        <f t="shared" si="74"/>
        <v>-17437</v>
      </c>
      <c r="N252" s="239">
        <f t="shared" si="74"/>
        <v>0</v>
      </c>
      <c r="O252" s="239">
        <f t="shared" si="74"/>
        <v>-36550.135999999991</v>
      </c>
      <c r="P252" s="239">
        <f t="shared" si="74"/>
        <v>0</v>
      </c>
      <c r="Q252" s="239">
        <f t="shared" si="74"/>
        <v>0</v>
      </c>
      <c r="R252" s="239">
        <f t="shared" si="74"/>
        <v>0</v>
      </c>
      <c r="S252" s="239">
        <f>-S76*S39</f>
        <v>0</v>
      </c>
      <c r="T252" s="168"/>
      <c r="U252" s="168"/>
    </row>
    <row r="253" spans="2:21" ht="7.5" hidden="1" customHeight="1" outlineLevel="1">
      <c r="B253" s="167"/>
      <c r="C253" s="314"/>
      <c r="D253" s="215"/>
      <c r="E253" s="215"/>
      <c r="F253" s="215"/>
      <c r="G253" s="167"/>
      <c r="H253" s="239"/>
      <c r="I253" s="239"/>
      <c r="J253" s="239"/>
      <c r="K253" s="239"/>
      <c r="L253" s="239"/>
      <c r="M253" s="239"/>
      <c r="N253" s="215"/>
      <c r="O253" s="215"/>
      <c r="P253" s="215"/>
      <c r="Q253" s="215"/>
      <c r="R253" s="215"/>
      <c r="S253" s="215"/>
      <c r="T253" s="168"/>
      <c r="U253" s="168"/>
    </row>
    <row r="254" spans="2:21" ht="15.75" hidden="1" customHeight="1" outlineLevel="1">
      <c r="B254" s="167"/>
      <c r="C254" s="314" t="s">
        <v>144</v>
      </c>
      <c r="D254" s="215"/>
      <c r="E254" s="215"/>
      <c r="F254" s="215"/>
      <c r="G254" s="167"/>
      <c r="H254" s="272"/>
      <c r="I254" s="272"/>
      <c r="J254" s="272"/>
      <c r="K254" s="239"/>
      <c r="L254" s="239">
        <f t="shared" ref="L254:R254" si="75">L248+L250+L252</f>
        <v>0</v>
      </c>
      <c r="M254" s="239">
        <f t="shared" si="75"/>
        <v>282909.69534000033</v>
      </c>
      <c r="N254" s="239">
        <f t="shared" si="75"/>
        <v>-12989760.005252825</v>
      </c>
      <c r="O254" s="239">
        <f t="shared" si="75"/>
        <v>-3279877.7865055921</v>
      </c>
      <c r="P254" s="239">
        <f t="shared" si="75"/>
        <v>0</v>
      </c>
      <c r="Q254" s="239">
        <f t="shared" si="75"/>
        <v>0</v>
      </c>
      <c r="R254" s="239">
        <f t="shared" si="75"/>
        <v>0</v>
      </c>
      <c r="S254" s="239">
        <f>S248+S250+S252</f>
        <v>0</v>
      </c>
      <c r="T254" s="168"/>
      <c r="U254" s="168"/>
    </row>
    <row r="255" spans="2:21" ht="6.75" hidden="1" customHeight="1" outlineLevel="1">
      <c r="B255" s="167"/>
      <c r="C255" s="314"/>
      <c r="D255" s="215"/>
      <c r="E255" s="215"/>
      <c r="F255" s="215"/>
      <c r="G255" s="167"/>
      <c r="H255" s="272"/>
      <c r="I255" s="272"/>
      <c r="J255" s="272"/>
      <c r="K255" s="239"/>
      <c r="L255" s="239"/>
      <c r="M255" s="215"/>
      <c r="N255" s="215"/>
      <c r="O255" s="215"/>
      <c r="P255" s="215"/>
      <c r="Q255" s="215"/>
      <c r="R255" s="215"/>
      <c r="S255" s="215"/>
      <c r="T255" s="168"/>
      <c r="U255" s="168"/>
    </row>
    <row r="256" spans="2:21" ht="15.75" hidden="1" customHeight="1" outlineLevel="1">
      <c r="B256" s="167"/>
      <c r="C256" s="314" t="s">
        <v>145</v>
      </c>
      <c r="D256" s="215"/>
      <c r="E256" s="215"/>
      <c r="F256" s="215"/>
      <c r="G256" s="167"/>
      <c r="H256" s="272"/>
      <c r="I256" s="272"/>
      <c r="J256" s="272"/>
      <c r="K256" s="239"/>
      <c r="L256" s="311"/>
      <c r="M256" s="311">
        <f>M254/M248</f>
        <v>0.13210228753101752</v>
      </c>
      <c r="N256" s="311">
        <f>N254/N248</f>
        <v>-0.92652341077614553</v>
      </c>
      <c r="O256" s="311">
        <f>O254/O248</f>
        <v>-0.86519718737431073</v>
      </c>
      <c r="P256" s="311"/>
      <c r="Q256" s="311"/>
      <c r="R256" s="311"/>
      <c r="S256" s="311"/>
      <c r="T256" s="168"/>
      <c r="U256" s="168"/>
    </row>
    <row r="257" spans="2:21" ht="15.75" hidden="1" customHeight="1" outlineLevel="1">
      <c r="B257" s="167"/>
      <c r="C257" s="728" t="s">
        <v>146</v>
      </c>
      <c r="D257" s="215"/>
      <c r="E257" s="215"/>
      <c r="F257" s="215"/>
      <c r="G257" s="167"/>
      <c r="H257" s="272"/>
      <c r="I257" s="272"/>
      <c r="J257" s="272"/>
      <c r="K257" s="239"/>
      <c r="L257" s="239"/>
      <c r="M257" s="239"/>
      <c r="N257" s="239"/>
      <c r="O257" s="239"/>
      <c r="P257" s="239"/>
      <c r="Q257" s="239"/>
      <c r="R257" s="239"/>
      <c r="S257" s="239"/>
      <c r="T257" s="168"/>
      <c r="U257" s="168"/>
    </row>
    <row r="258" spans="2:21" ht="15.75" hidden="1" customHeight="1" outlineLevel="1">
      <c r="B258" s="167"/>
      <c r="C258" s="314" t="s">
        <v>109</v>
      </c>
      <c r="D258" s="215"/>
      <c r="E258" s="215"/>
      <c r="F258" s="215"/>
      <c r="G258" s="167"/>
      <c r="H258" s="272"/>
      <c r="I258" s="272"/>
      <c r="J258" s="272"/>
      <c r="K258" s="239"/>
      <c r="L258" s="239">
        <f t="shared" ref="L258:R258" si="76">L21</f>
        <v>0</v>
      </c>
      <c r="M258" s="272">
        <f t="shared" si="76"/>
        <v>0</v>
      </c>
      <c r="N258" s="239">
        <f t="shared" si="76"/>
        <v>0</v>
      </c>
      <c r="O258" s="239">
        <f t="shared" si="76"/>
        <v>0</v>
      </c>
      <c r="P258" s="239">
        <f t="shared" si="76"/>
        <v>0</v>
      </c>
      <c r="Q258" s="239">
        <f t="shared" si="76"/>
        <v>0</v>
      </c>
      <c r="R258" s="239">
        <f t="shared" si="76"/>
        <v>0</v>
      </c>
      <c r="S258" s="239">
        <f>S21</f>
        <v>0</v>
      </c>
      <c r="T258" s="168"/>
      <c r="U258" s="168"/>
    </row>
    <row r="259" spans="2:21" ht="15.75" hidden="1" customHeight="1" outlineLevel="1">
      <c r="B259" s="167"/>
      <c r="C259" s="314"/>
      <c r="D259" s="215"/>
      <c r="E259" s="215"/>
      <c r="F259" s="215"/>
      <c r="G259" s="167"/>
      <c r="H259" s="272"/>
      <c r="I259" s="272"/>
      <c r="J259" s="272"/>
      <c r="K259" s="239"/>
      <c r="L259" s="239"/>
      <c r="M259" s="239"/>
      <c r="N259" s="239"/>
      <c r="O259" s="239"/>
      <c r="P259" s="239"/>
      <c r="Q259" s="239"/>
      <c r="R259" s="239"/>
      <c r="S259" s="239"/>
      <c r="T259" s="168"/>
      <c r="U259" s="168"/>
    </row>
    <row r="260" spans="2:21" ht="15.75" hidden="1" customHeight="1" outlineLevel="1">
      <c r="B260" s="167"/>
      <c r="C260" s="314" t="s">
        <v>110</v>
      </c>
      <c r="D260" s="215"/>
      <c r="E260" s="215"/>
      <c r="F260" s="215"/>
      <c r="G260" s="167"/>
      <c r="H260" s="272"/>
      <c r="I260" s="272"/>
      <c r="J260" s="272"/>
      <c r="K260" s="239"/>
      <c r="L260" s="239">
        <f t="shared" ref="L260:R260" si="77">-L40*L169</f>
        <v>0</v>
      </c>
      <c r="M260" s="239">
        <f t="shared" si="77"/>
        <v>0</v>
      </c>
      <c r="N260" s="239">
        <f t="shared" si="77"/>
        <v>0</v>
      </c>
      <c r="O260" s="239">
        <f t="shared" si="77"/>
        <v>0</v>
      </c>
      <c r="P260" s="239">
        <f t="shared" si="77"/>
        <v>0</v>
      </c>
      <c r="Q260" s="239">
        <f t="shared" si="77"/>
        <v>0</v>
      </c>
      <c r="R260" s="239">
        <f t="shared" si="77"/>
        <v>0</v>
      </c>
      <c r="S260" s="239">
        <f>-S40*S169</f>
        <v>0</v>
      </c>
      <c r="T260" s="168"/>
      <c r="U260" s="168"/>
    </row>
    <row r="261" spans="2:21" ht="15.75" hidden="1" customHeight="1" outlineLevel="1">
      <c r="B261" s="167"/>
      <c r="C261" s="314"/>
      <c r="D261" s="215"/>
      <c r="E261" s="215"/>
      <c r="F261" s="215"/>
      <c r="G261" s="167"/>
      <c r="H261" s="272"/>
      <c r="I261" s="272"/>
      <c r="J261" s="272"/>
      <c r="K261" s="239"/>
      <c r="L261" s="239"/>
      <c r="M261" s="239"/>
      <c r="N261" s="239"/>
      <c r="O261" s="239"/>
      <c r="P261" s="239"/>
      <c r="Q261" s="239"/>
      <c r="R261" s="239"/>
      <c r="S261" s="239"/>
      <c r="T261" s="168"/>
      <c r="U261" s="168"/>
    </row>
    <row r="262" spans="2:21" ht="15.75" hidden="1" customHeight="1" outlineLevel="1">
      <c r="B262" s="167"/>
      <c r="C262" s="314" t="s">
        <v>111</v>
      </c>
      <c r="D262" s="215"/>
      <c r="E262" s="215"/>
      <c r="F262" s="215"/>
      <c r="G262" s="167"/>
      <c r="H262" s="272"/>
      <c r="I262" s="272"/>
      <c r="J262" s="272"/>
      <c r="K262" s="239"/>
      <c r="L262" s="239">
        <v>0</v>
      </c>
      <c r="M262" s="239">
        <v>0</v>
      </c>
      <c r="N262" s="239">
        <v>0</v>
      </c>
      <c r="O262" s="239">
        <v>0</v>
      </c>
      <c r="P262" s="239">
        <v>0</v>
      </c>
      <c r="Q262" s="239">
        <v>0</v>
      </c>
      <c r="R262" s="239">
        <v>0</v>
      </c>
      <c r="S262" s="239">
        <v>0</v>
      </c>
      <c r="T262" s="168"/>
      <c r="U262" s="168"/>
    </row>
    <row r="263" spans="2:21" ht="15.75" hidden="1" customHeight="1" outlineLevel="1">
      <c r="B263" s="167"/>
      <c r="C263" s="314"/>
      <c r="D263" s="215"/>
      <c r="E263" s="215"/>
      <c r="F263" s="215"/>
      <c r="G263" s="167"/>
      <c r="H263" s="272"/>
      <c r="I263" s="272"/>
      <c r="J263" s="272"/>
      <c r="K263" s="239"/>
      <c r="L263" s="239"/>
      <c r="M263" s="239"/>
      <c r="N263" s="239"/>
      <c r="O263" s="239"/>
      <c r="P263" s="239"/>
      <c r="Q263" s="239"/>
      <c r="R263" s="239"/>
      <c r="S263" s="239"/>
      <c r="T263" s="168"/>
      <c r="U263" s="168"/>
    </row>
    <row r="264" spans="2:21" ht="15.75" hidden="1" customHeight="1" outlineLevel="1">
      <c r="B264" s="167"/>
      <c r="C264" s="314" t="s">
        <v>144</v>
      </c>
      <c r="D264" s="215"/>
      <c r="E264" s="215"/>
      <c r="F264" s="215"/>
      <c r="G264" s="167"/>
      <c r="H264" s="272"/>
      <c r="I264" s="272"/>
      <c r="J264" s="272"/>
      <c r="K264" s="239"/>
      <c r="L264" s="239">
        <f t="shared" ref="L264:R264" si="78">L258+L260+L262</f>
        <v>0</v>
      </c>
      <c r="M264" s="239">
        <f t="shared" si="78"/>
        <v>0</v>
      </c>
      <c r="N264" s="239">
        <f t="shared" si="78"/>
        <v>0</v>
      </c>
      <c r="O264" s="239">
        <f t="shared" si="78"/>
        <v>0</v>
      </c>
      <c r="P264" s="239">
        <f t="shared" si="78"/>
        <v>0</v>
      </c>
      <c r="Q264" s="239">
        <f t="shared" si="78"/>
        <v>0</v>
      </c>
      <c r="R264" s="239">
        <f t="shared" si="78"/>
        <v>0</v>
      </c>
      <c r="S264" s="239">
        <f>S258+S260+S262</f>
        <v>0</v>
      </c>
      <c r="T264" s="168"/>
      <c r="U264" s="168"/>
    </row>
    <row r="265" spans="2:21" ht="15.75" hidden="1" customHeight="1" outlineLevel="1">
      <c r="B265" s="167"/>
      <c r="C265" s="314"/>
      <c r="D265" s="215"/>
      <c r="E265" s="215"/>
      <c r="F265" s="215"/>
      <c r="G265" s="167"/>
      <c r="H265" s="272"/>
      <c r="I265" s="272"/>
      <c r="J265" s="272"/>
      <c r="K265" s="239"/>
      <c r="L265" s="215"/>
      <c r="M265" s="239"/>
      <c r="N265" s="215"/>
      <c r="O265" s="215"/>
      <c r="P265" s="215"/>
      <c r="Q265" s="215"/>
      <c r="R265" s="215"/>
      <c r="S265" s="215"/>
      <c r="T265" s="168"/>
      <c r="U265" s="168"/>
    </row>
    <row r="266" spans="2:21" ht="15.75" hidden="1" customHeight="1" outlineLevel="1">
      <c r="B266" s="167"/>
      <c r="C266" s="314" t="s">
        <v>145</v>
      </c>
      <c r="D266" s="215"/>
      <c r="E266" s="215"/>
      <c r="F266" s="215"/>
      <c r="G266" s="167"/>
      <c r="H266" s="272"/>
      <c r="I266" s="272"/>
      <c r="J266" s="272"/>
      <c r="K266" s="239"/>
      <c r="L266" s="239"/>
      <c r="M266" s="239"/>
      <c r="N266" s="239"/>
      <c r="O266" s="239"/>
      <c r="P266" s="239"/>
      <c r="Q266" s="239"/>
      <c r="R266" s="239"/>
      <c r="S266" s="239"/>
      <c r="T266" s="168"/>
      <c r="U266" s="168"/>
    </row>
    <row r="267" spans="2:21" ht="15.75" hidden="1" customHeight="1" outlineLevel="1">
      <c r="B267" s="167"/>
      <c r="C267" s="728"/>
      <c r="D267" s="215"/>
      <c r="E267" s="215"/>
      <c r="F267" s="215"/>
      <c r="G267" s="167"/>
      <c r="H267" s="272"/>
      <c r="I267" s="272"/>
      <c r="J267" s="272"/>
      <c r="K267" s="239"/>
      <c r="L267" s="239"/>
      <c r="M267" s="239"/>
      <c r="N267" s="239"/>
      <c r="O267" s="239"/>
      <c r="P267" s="239"/>
      <c r="Q267" s="239"/>
      <c r="R267" s="239"/>
      <c r="S267" s="239"/>
      <c r="T267" s="168"/>
      <c r="U267" s="168"/>
    </row>
    <row r="268" spans="2:21" ht="15.75" hidden="1" customHeight="1" outlineLevel="1">
      <c r="B268" s="167"/>
      <c r="C268" s="728" t="s">
        <v>147</v>
      </c>
      <c r="D268" s="215"/>
      <c r="E268" s="215"/>
      <c r="F268" s="215"/>
      <c r="G268" s="167"/>
      <c r="H268" s="272"/>
      <c r="I268" s="272"/>
      <c r="J268" s="272"/>
      <c r="K268" s="239"/>
      <c r="L268" s="239">
        <f t="shared" ref="L268:R268" si="79">L22-L41*L176</f>
        <v>0</v>
      </c>
      <c r="M268" s="239">
        <f t="shared" si="79"/>
        <v>0</v>
      </c>
      <c r="N268" s="239">
        <f t="shared" si="79"/>
        <v>0</v>
      </c>
      <c r="O268" s="239">
        <f t="shared" si="79"/>
        <v>0</v>
      </c>
      <c r="P268" s="239">
        <f t="shared" si="79"/>
        <v>0</v>
      </c>
      <c r="Q268" s="239">
        <f t="shared" si="79"/>
        <v>0</v>
      </c>
      <c r="R268" s="239">
        <f t="shared" si="79"/>
        <v>0</v>
      </c>
      <c r="S268" s="239">
        <f>S22-S41*S176</f>
        <v>0</v>
      </c>
      <c r="T268" s="168"/>
      <c r="U268" s="168"/>
    </row>
    <row r="269" spans="2:21" ht="15.75" hidden="1" customHeight="1" outlineLevel="1">
      <c r="B269" s="167"/>
      <c r="C269" s="728" t="s">
        <v>81</v>
      </c>
      <c r="D269" s="215"/>
      <c r="E269" s="215"/>
      <c r="F269" s="215"/>
      <c r="G269" s="167"/>
      <c r="H269" s="272"/>
      <c r="I269" s="272"/>
      <c r="J269" s="272"/>
      <c r="K269" s="239"/>
      <c r="L269" s="239"/>
      <c r="M269" s="215"/>
      <c r="N269" s="215"/>
      <c r="O269" s="215"/>
      <c r="P269" s="215"/>
      <c r="Q269" s="215"/>
      <c r="R269" s="215"/>
      <c r="S269" s="215"/>
      <c r="T269" s="168"/>
      <c r="U269" s="168"/>
    </row>
    <row r="270" spans="2:21" ht="15.75" hidden="1" customHeight="1" outlineLevel="1">
      <c r="B270" s="167"/>
      <c r="C270" s="314" t="s">
        <v>109</v>
      </c>
      <c r="D270" s="242"/>
      <c r="E270" s="249"/>
      <c r="F270" s="249"/>
      <c r="G270" s="167"/>
      <c r="H270" s="167"/>
      <c r="I270" s="272"/>
      <c r="J270" s="272"/>
      <c r="K270" s="272"/>
      <c r="L270" s="272">
        <f t="shared" ref="L270:R270" si="80">L23</f>
        <v>0</v>
      </c>
      <c r="M270" s="272">
        <f t="shared" si="80"/>
        <v>0</v>
      </c>
      <c r="N270" s="272">
        <f t="shared" si="80"/>
        <v>0</v>
      </c>
      <c r="O270" s="272">
        <f t="shared" si="80"/>
        <v>0</v>
      </c>
      <c r="P270" s="272">
        <f t="shared" si="80"/>
        <v>0</v>
      </c>
      <c r="Q270" s="272">
        <f t="shared" si="80"/>
        <v>0</v>
      </c>
      <c r="R270" s="272">
        <f t="shared" si="80"/>
        <v>0</v>
      </c>
      <c r="S270" s="272">
        <f>S23</f>
        <v>0</v>
      </c>
      <c r="T270" s="168"/>
      <c r="U270" s="168"/>
    </row>
    <row r="271" spans="2:21" ht="7.5" hidden="1" customHeight="1" outlineLevel="1">
      <c r="B271" s="167"/>
      <c r="C271" s="314"/>
      <c r="D271" s="242"/>
      <c r="E271" s="249"/>
      <c r="F271" s="249"/>
      <c r="G271" s="167"/>
      <c r="H271" s="272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168"/>
      <c r="U271" s="168"/>
    </row>
    <row r="272" spans="2:21" ht="15.75" hidden="1" customHeight="1" outlineLevel="1">
      <c r="B272" s="167"/>
      <c r="C272" s="314" t="s">
        <v>110</v>
      </c>
      <c r="D272" s="215"/>
      <c r="E272" s="215"/>
      <c r="F272" s="215"/>
      <c r="G272" s="167"/>
      <c r="H272" s="167"/>
      <c r="I272" s="239"/>
      <c r="J272" s="240"/>
      <c r="K272" s="239"/>
      <c r="L272" s="239">
        <f t="shared" ref="L272:R272" si="81">-L177*L42</f>
        <v>0</v>
      </c>
      <c r="M272" s="239">
        <f t="shared" si="81"/>
        <v>0</v>
      </c>
      <c r="N272" s="239">
        <f t="shared" si="81"/>
        <v>0</v>
      </c>
      <c r="O272" s="239">
        <f t="shared" si="81"/>
        <v>0</v>
      </c>
      <c r="P272" s="239">
        <f t="shared" si="81"/>
        <v>0</v>
      </c>
      <c r="Q272" s="239">
        <f t="shared" si="81"/>
        <v>0</v>
      </c>
      <c r="R272" s="239">
        <f t="shared" si="81"/>
        <v>0</v>
      </c>
      <c r="S272" s="239">
        <f>-S177*S42</f>
        <v>0</v>
      </c>
      <c r="T272" s="168"/>
      <c r="U272" s="168"/>
    </row>
    <row r="273" spans="1:21" ht="7.5" hidden="1" customHeight="1" outlineLevel="1">
      <c r="B273" s="167"/>
      <c r="C273" s="314"/>
      <c r="D273" s="215"/>
      <c r="E273" s="215"/>
      <c r="F273" s="215"/>
      <c r="G273" s="167"/>
      <c r="H273" s="239"/>
      <c r="I273" s="239"/>
      <c r="J273" s="239"/>
      <c r="K273" s="239"/>
      <c r="L273" s="239"/>
      <c r="M273" s="239"/>
      <c r="N273" s="637"/>
      <c r="O273" s="637"/>
      <c r="P273" s="637"/>
      <c r="Q273" s="637"/>
      <c r="R273" s="637"/>
      <c r="S273" s="637"/>
      <c r="T273" s="168"/>
      <c r="U273" s="168"/>
    </row>
    <row r="274" spans="1:21" ht="15.75" hidden="1" customHeight="1" outlineLevel="1">
      <c r="B274" s="167"/>
      <c r="C274" s="314" t="s">
        <v>144</v>
      </c>
      <c r="D274" s="215"/>
      <c r="E274" s="215"/>
      <c r="F274" s="215"/>
      <c r="G274" s="167"/>
      <c r="H274" s="272"/>
      <c r="I274" s="272"/>
      <c r="J274" s="272"/>
      <c r="K274" s="239"/>
      <c r="L274" s="239">
        <f t="shared" ref="L274:R274" si="82">L270+L272</f>
        <v>0</v>
      </c>
      <c r="M274" s="239">
        <f t="shared" si="82"/>
        <v>0</v>
      </c>
      <c r="N274" s="239">
        <f t="shared" si="82"/>
        <v>0</v>
      </c>
      <c r="O274" s="239">
        <f t="shared" si="82"/>
        <v>0</v>
      </c>
      <c r="P274" s="239">
        <f t="shared" si="82"/>
        <v>0</v>
      </c>
      <c r="Q274" s="239">
        <f t="shared" si="82"/>
        <v>0</v>
      </c>
      <c r="R274" s="239">
        <f t="shared" si="82"/>
        <v>0</v>
      </c>
      <c r="S274" s="239">
        <f>S270+S272</f>
        <v>0</v>
      </c>
      <c r="T274" s="168"/>
      <c r="U274" s="168"/>
    </row>
    <row r="275" spans="1:21" ht="6.75" hidden="1" customHeight="1" outlineLevel="1">
      <c r="B275" s="167"/>
      <c r="C275" s="314"/>
      <c r="D275" s="215"/>
      <c r="E275" s="215"/>
      <c r="F275" s="215"/>
      <c r="G275" s="167"/>
      <c r="H275" s="272"/>
      <c r="I275" s="272"/>
      <c r="J275" s="272"/>
      <c r="K275" s="239"/>
      <c r="L275" s="239"/>
      <c r="M275" s="215"/>
      <c r="N275" s="215"/>
      <c r="O275" s="215"/>
      <c r="P275" s="215"/>
      <c r="Q275" s="215"/>
      <c r="R275" s="215"/>
      <c r="S275" s="215"/>
      <c r="T275" s="168"/>
      <c r="U275" s="168"/>
    </row>
    <row r="276" spans="1:21" ht="15.75" hidden="1" customHeight="1" outlineLevel="1">
      <c r="B276" s="167"/>
      <c r="C276" s="314" t="s">
        <v>145</v>
      </c>
      <c r="D276" s="215"/>
      <c r="E276" s="215"/>
      <c r="F276" s="215"/>
      <c r="G276" s="167"/>
      <c r="H276" s="272"/>
      <c r="I276" s="272"/>
      <c r="J276" s="272"/>
      <c r="K276" s="239"/>
      <c r="L276" s="311"/>
      <c r="M276" s="311"/>
      <c r="N276" s="311"/>
      <c r="O276" s="311"/>
      <c r="P276" s="311"/>
      <c r="Q276" s="311"/>
      <c r="R276" s="311"/>
      <c r="S276" s="311"/>
      <c r="T276" s="168"/>
      <c r="U276" s="168"/>
    </row>
    <row r="277" spans="1:21" ht="15.75" customHeight="1" collapsed="1">
      <c r="A277" s="295"/>
      <c r="B277" s="168"/>
      <c r="C277" s="314" t="s">
        <v>335</v>
      </c>
      <c r="D277" s="168"/>
      <c r="E277" s="168"/>
      <c r="F277" s="168"/>
      <c r="G277" s="168"/>
      <c r="H277" s="167"/>
      <c r="J277" s="168"/>
      <c r="K277" s="168"/>
      <c r="L277" s="347">
        <f t="shared" ref="L277:R277" si="83">L35+L34</f>
        <v>0</v>
      </c>
      <c r="M277" s="347">
        <f t="shared" si="83"/>
        <v>0</v>
      </c>
      <c r="N277" s="347">
        <f t="shared" si="83"/>
        <v>0</v>
      </c>
      <c r="O277" s="347">
        <f t="shared" si="83"/>
        <v>0</v>
      </c>
      <c r="P277" s="347">
        <f t="shared" si="83"/>
        <v>0</v>
      </c>
      <c r="Q277" s="347">
        <f t="shared" si="83"/>
        <v>0</v>
      </c>
      <c r="R277" s="347">
        <f t="shared" si="83"/>
        <v>0</v>
      </c>
      <c r="S277" s="347">
        <f>S35+S34</f>
        <v>0</v>
      </c>
      <c r="T277" s="168"/>
      <c r="U277" s="168"/>
    </row>
    <row r="278" spans="1:21" ht="15.75" customHeight="1">
      <c r="A278" s="295"/>
      <c r="B278" s="168"/>
      <c r="C278" s="222"/>
      <c r="D278" s="168"/>
      <c r="E278" s="168"/>
      <c r="F278" s="168"/>
      <c r="G278" s="168"/>
      <c r="H278" s="167"/>
      <c r="J278" s="168"/>
      <c r="K278" s="168"/>
      <c r="M278" s="168"/>
      <c r="N278" s="215"/>
      <c r="O278" s="215"/>
      <c r="P278" s="215"/>
      <c r="Q278" s="215"/>
      <c r="R278" s="215"/>
      <c r="S278" s="215"/>
      <c r="T278" s="168"/>
      <c r="U278" s="168"/>
    </row>
    <row r="279" spans="1:21" ht="15.75" customHeight="1">
      <c r="A279" s="295"/>
      <c r="B279" s="168"/>
      <c r="C279" s="296"/>
      <c r="D279" s="168"/>
      <c r="E279" s="168"/>
      <c r="F279" s="168"/>
      <c r="G279" s="168"/>
      <c r="H279" s="167"/>
      <c r="J279" s="168"/>
      <c r="K279" s="168"/>
      <c r="M279" s="168"/>
      <c r="N279" s="215"/>
      <c r="O279" s="215"/>
      <c r="P279" s="215"/>
      <c r="Q279" s="215"/>
      <c r="R279" s="215"/>
      <c r="S279" s="215"/>
      <c r="T279" s="168"/>
      <c r="U279" s="168"/>
    </row>
    <row r="280" spans="1:21" ht="15.75" customHeight="1">
      <c r="A280" s="295"/>
      <c r="B280" s="168"/>
      <c r="C280" s="296"/>
      <c r="D280" s="168"/>
      <c r="E280" s="168"/>
      <c r="F280" s="168"/>
      <c r="G280" s="168"/>
      <c r="H280" s="167"/>
      <c r="J280" s="168"/>
      <c r="K280" s="168"/>
      <c r="M280" s="168"/>
      <c r="N280" s="215"/>
      <c r="O280" s="215"/>
      <c r="P280" s="215"/>
      <c r="Q280" s="215"/>
      <c r="R280" s="215"/>
      <c r="S280" s="215"/>
      <c r="T280" s="168"/>
      <c r="U280" s="168"/>
    </row>
    <row r="281" spans="1:21" ht="27" customHeight="1">
      <c r="A281" s="295"/>
      <c r="B281" s="168"/>
      <c r="C281" s="733" t="s">
        <v>300</v>
      </c>
      <c r="D281" s="168"/>
      <c r="E281" s="168"/>
      <c r="F281" s="168"/>
      <c r="G281" s="168"/>
      <c r="H281" s="167"/>
      <c r="J281" s="168"/>
      <c r="K281" s="168"/>
      <c r="M281" s="168"/>
      <c r="N281" s="168"/>
      <c r="O281" s="168"/>
      <c r="P281" s="168"/>
      <c r="Q281" s="168"/>
      <c r="R281" s="168"/>
      <c r="S281" s="168"/>
      <c r="T281" s="168"/>
      <c r="U281" s="168"/>
    </row>
    <row r="282" spans="1:21" ht="3" customHeight="1">
      <c r="A282" s="295"/>
      <c r="B282" s="168"/>
      <c r="C282" s="299"/>
      <c r="D282" s="170"/>
      <c r="E282" s="170"/>
      <c r="F282" s="170"/>
      <c r="G282" s="170"/>
      <c r="H282" s="300"/>
      <c r="I282" s="170"/>
      <c r="J282" s="170"/>
      <c r="K282" s="170"/>
      <c r="L282" s="170"/>
      <c r="M282" s="170"/>
      <c r="N282" s="170"/>
      <c r="O282" s="170"/>
      <c r="P282" s="170"/>
      <c r="Q282" s="170"/>
      <c r="R282" s="170"/>
      <c r="S282" s="170"/>
      <c r="T282" s="168"/>
      <c r="U282" s="168"/>
    </row>
    <row r="283" spans="1:21" ht="6.75" customHeight="1">
      <c r="A283" s="295"/>
      <c r="B283" s="168"/>
      <c r="C283" s="601"/>
      <c r="D283" s="168"/>
      <c r="E283" s="168"/>
      <c r="F283" s="168"/>
      <c r="G283" s="168"/>
      <c r="H283" s="301"/>
      <c r="I283" s="171"/>
      <c r="J283" s="171"/>
      <c r="K283" s="171"/>
      <c r="L283" s="171"/>
      <c r="M283" s="171"/>
      <c r="N283" s="171"/>
      <c r="O283" s="171"/>
      <c r="P283" s="171"/>
      <c r="Q283" s="171"/>
      <c r="R283" s="171"/>
      <c r="S283" s="171"/>
      <c r="T283" s="168"/>
      <c r="U283" s="168"/>
    </row>
    <row r="284" spans="1:21" ht="9" customHeight="1">
      <c r="A284" s="295"/>
      <c r="B284" s="168"/>
      <c r="C284" s="302"/>
      <c r="D284" s="303"/>
      <c r="E284" s="303"/>
      <c r="F284" s="303"/>
      <c r="G284" s="303"/>
      <c r="H284" s="301"/>
      <c r="I284" s="172"/>
      <c r="J284" s="172"/>
      <c r="K284" s="172"/>
      <c r="L284" s="173"/>
      <c r="M284" s="172"/>
      <c r="N284" s="173"/>
      <c r="O284" s="173"/>
      <c r="P284" s="173"/>
      <c r="Q284" s="173"/>
      <c r="R284" s="173"/>
      <c r="S284" s="173"/>
      <c r="T284" s="168"/>
      <c r="U284" s="168"/>
    </row>
    <row r="285" spans="1:21">
      <c r="B285" s="215"/>
      <c r="C285" s="348"/>
      <c r="D285" s="233"/>
      <c r="E285" s="233"/>
      <c r="F285" s="233"/>
      <c r="G285" s="338"/>
      <c r="H285" s="174">
        <v>0</v>
      </c>
      <c r="I285" s="174">
        <v>0</v>
      </c>
      <c r="J285" s="174">
        <v>1</v>
      </c>
      <c r="K285" s="174">
        <v>2</v>
      </c>
      <c r="L285" s="175">
        <f>K285+1</f>
        <v>3</v>
      </c>
      <c r="M285" s="175" t="str">
        <f>M193</f>
        <v>1 Year</v>
      </c>
      <c r="N285" s="175" t="str">
        <f>N193</f>
        <v>2 Year</v>
      </c>
      <c r="O285" s="175" t="str">
        <f t="shared" ref="O285:Q287" si="84">O7</f>
        <v>3 Year</v>
      </c>
      <c r="P285" s="175" t="str">
        <f t="shared" si="84"/>
        <v>4 Year</v>
      </c>
      <c r="Q285" s="175" t="str">
        <f t="shared" si="84"/>
        <v>5 Year</v>
      </c>
      <c r="R285" s="175" t="str">
        <f t="shared" ref="R285:S287" si="85">R7</f>
        <v>6 Year</v>
      </c>
      <c r="S285" s="175" t="str">
        <f t="shared" si="85"/>
        <v>7 Year</v>
      </c>
      <c r="T285" s="168"/>
      <c r="U285" s="168"/>
    </row>
    <row r="286" spans="1:21">
      <c r="B286" s="215"/>
      <c r="C286" s="349"/>
      <c r="D286" s="234"/>
      <c r="E286" s="234"/>
      <c r="F286" s="234"/>
      <c r="G286" s="325"/>
      <c r="H286" s="176"/>
      <c r="I286" s="176"/>
      <c r="J286" s="176"/>
      <c r="K286" s="176"/>
      <c r="L286" s="176"/>
      <c r="M286" s="176"/>
      <c r="N286" s="176"/>
      <c r="O286" s="176"/>
      <c r="P286" s="176"/>
      <c r="Q286" s="176"/>
      <c r="R286" s="176"/>
      <c r="S286" s="176"/>
      <c r="T286" s="168"/>
      <c r="U286" s="168"/>
    </row>
    <row r="287" spans="1:21">
      <c r="B287" s="215"/>
      <c r="C287" s="350"/>
      <c r="D287" s="339"/>
      <c r="E287" s="339"/>
      <c r="F287" s="339"/>
      <c r="G287" s="326"/>
      <c r="H287" s="340" t="s">
        <v>499</v>
      </c>
      <c r="I287" s="340" t="s">
        <v>499</v>
      </c>
      <c r="J287" s="340" t="s">
        <v>499</v>
      </c>
      <c r="K287" s="340" t="s">
        <v>499</v>
      </c>
      <c r="L287" s="340" t="str">
        <f>K287</f>
        <v>($)</v>
      </c>
      <c r="M287" s="340" t="str">
        <f>L287</f>
        <v>($)</v>
      </c>
      <c r="N287" s="340" t="str">
        <f>M287</f>
        <v>($)</v>
      </c>
      <c r="O287" s="340" t="str">
        <f t="shared" si="84"/>
        <v>($)</v>
      </c>
      <c r="P287" s="340" t="str">
        <f t="shared" si="84"/>
        <v>($)</v>
      </c>
      <c r="Q287" s="340" t="str">
        <f t="shared" si="84"/>
        <v>($)</v>
      </c>
      <c r="R287" s="340" t="str">
        <f t="shared" si="85"/>
        <v>($)</v>
      </c>
      <c r="S287" s="340" t="str">
        <f t="shared" si="85"/>
        <v>($)</v>
      </c>
      <c r="T287" s="168"/>
      <c r="U287" s="168"/>
    </row>
    <row r="288" spans="1:21" ht="9" customHeight="1">
      <c r="B288" s="215"/>
      <c r="C288" s="380"/>
      <c r="D288" s="380"/>
      <c r="E288" s="249"/>
      <c r="F288" s="249"/>
      <c r="G288" s="305"/>
      <c r="H288" s="305"/>
      <c r="I288" s="327"/>
      <c r="J288" s="327"/>
      <c r="K288" s="327"/>
      <c r="L288" s="327"/>
      <c r="M288" s="327"/>
      <c r="N288" s="327"/>
      <c r="O288" s="327"/>
      <c r="P288" s="327"/>
      <c r="Q288" s="327"/>
      <c r="R288" s="327"/>
      <c r="S288" s="327"/>
      <c r="T288" s="168"/>
      <c r="U288" s="168"/>
    </row>
    <row r="289" spans="1:21" ht="15.75" customHeight="1">
      <c r="A289" s="169">
        <v>1</v>
      </c>
      <c r="B289" s="167" t="s">
        <v>522</v>
      </c>
      <c r="C289" s="242" t="s">
        <v>183</v>
      </c>
      <c r="D289" s="242"/>
      <c r="E289" s="249"/>
      <c r="F289" s="249"/>
      <c r="G289" s="167"/>
      <c r="H289" s="272"/>
      <c r="I289" s="272"/>
      <c r="J289" s="272"/>
      <c r="K289" s="272"/>
      <c r="L289" s="272"/>
      <c r="M289" s="272">
        <f t="shared" ref="M289:R289" si="86">M11</f>
        <v>5635716.4095565369</v>
      </c>
      <c r="N289" s="272">
        <f t="shared" si="86"/>
        <v>29432668.324984666</v>
      </c>
      <c r="O289" s="272">
        <f t="shared" si="86"/>
        <v>12424288.038444562</v>
      </c>
      <c r="P289" s="272">
        <f t="shared" si="86"/>
        <v>0</v>
      </c>
      <c r="Q289" s="272">
        <f t="shared" si="86"/>
        <v>0</v>
      </c>
      <c r="R289" s="272">
        <f t="shared" si="86"/>
        <v>0</v>
      </c>
      <c r="S289" s="272">
        <f>S11</f>
        <v>0</v>
      </c>
      <c r="T289" s="168"/>
      <c r="U289" s="168"/>
    </row>
    <row r="290" spans="1:21" ht="6" customHeight="1">
      <c r="B290" s="167"/>
      <c r="C290" s="242"/>
      <c r="D290" s="242"/>
      <c r="E290" s="249"/>
      <c r="F290" s="249"/>
      <c r="G290" s="167"/>
      <c r="H290" s="167"/>
      <c r="I290" s="272"/>
      <c r="J290" s="272"/>
      <c r="K290" s="272"/>
      <c r="L290" s="272"/>
      <c r="M290" s="215"/>
      <c r="N290" s="215"/>
      <c r="O290" s="215"/>
      <c r="P290" s="215"/>
      <c r="Q290" s="215"/>
      <c r="R290" s="215"/>
      <c r="S290" s="215"/>
      <c r="T290" s="168"/>
      <c r="U290" s="168"/>
    </row>
    <row r="291" spans="1:21" ht="15.75" customHeight="1">
      <c r="A291" s="169">
        <v>3</v>
      </c>
      <c r="B291" s="167" t="s">
        <v>523</v>
      </c>
      <c r="C291" s="242" t="s">
        <v>184</v>
      </c>
      <c r="D291" s="242"/>
      <c r="E291" s="249"/>
      <c r="F291" s="249"/>
      <c r="G291" s="167"/>
      <c r="H291" s="272"/>
      <c r="I291" s="272"/>
      <c r="J291" s="272"/>
      <c r="K291" s="272"/>
      <c r="L291" s="272"/>
      <c r="M291" s="272">
        <f ca="1">M200+M210+M212+M202+M220+M222+M230+M232+M240+M242+M250+M252+M272-M169*M40-M41*M176-M306</f>
        <v>-3514977.3457786134</v>
      </c>
      <c r="N291" s="272">
        <f ca="1">N200+N210+N212+N202+N220+N222+N230+N232+N240+N242+N250+N252+N272-N169*N40-N41*N176-N306</f>
        <v>-37244697.353609145</v>
      </c>
      <c r="O291" s="272">
        <f>O200+O210+O212+O202+O220+O222+O230+O232+O240+O242+O250+O252+O272-O169*O40-O41*O176+22565000/'Control list'!K18*5/12-6636000/'Control list'!K18*5/12-O303</f>
        <v>-12408937.601522554</v>
      </c>
      <c r="P291" s="272">
        <f>P200+P210+P212+P202+P220+P222+P230+P232+P240+P242+P250+P252+P272-P169*P40-P41*P176-P306</f>
        <v>0</v>
      </c>
      <c r="Q291" s="272">
        <f>Q200+Q210+Q212+Q202+Q220+Q222+Q230+Q232+Q240+Q242+Q250+Q252+Q272-Q169*Q40-Q41*Q176-Q306</f>
        <v>0</v>
      </c>
      <c r="R291" s="272">
        <f>R200+R210+R212+R202+R220+R222+R230+R232+R240+R242+R250+R252+R272-R169*R40-R41*R176-R306</f>
        <v>0</v>
      </c>
      <c r="S291" s="272">
        <f>S200+S210+S212+S202+S220+S222+S230+S232+S240+S242+S250+S252+S272-S169*S40-S41*S176-S306</f>
        <v>0</v>
      </c>
      <c r="T291" s="168"/>
      <c r="U291" s="168"/>
    </row>
    <row r="292" spans="1:21" ht="15.75" customHeight="1">
      <c r="A292" s="169">
        <v>5</v>
      </c>
      <c r="B292" s="167" t="s">
        <v>523</v>
      </c>
      <c r="C292" s="242" t="s">
        <v>302</v>
      </c>
      <c r="D292" s="242"/>
      <c r="E292" s="249"/>
      <c r="F292" s="249"/>
      <c r="G292" s="167"/>
      <c r="H292" s="272"/>
      <c r="I292" s="272"/>
      <c r="J292" s="272"/>
      <c r="K292" s="272"/>
      <c r="L292" s="239"/>
      <c r="M292" s="239">
        <f>-7395000/'Control list'!I18</f>
        <v>-98600</v>
      </c>
      <c r="N292" s="239">
        <f>-250000*12/'Control list'!J18</f>
        <v>-40000</v>
      </c>
      <c r="O292" s="239">
        <f>-36000000/'Control list'!K18*5/12</f>
        <v>-187500</v>
      </c>
      <c r="P292" s="239"/>
      <c r="Q292" s="239"/>
      <c r="R292" s="239"/>
      <c r="S292" s="239"/>
      <c r="T292" s="168"/>
      <c r="U292" s="168"/>
    </row>
    <row r="293" spans="1:21" ht="17.25" customHeight="1">
      <c r="B293" s="167" t="s">
        <v>522</v>
      </c>
      <c r="C293" s="242" t="s">
        <v>261</v>
      </c>
      <c r="D293" s="215"/>
      <c r="E293" s="215"/>
      <c r="F293" s="215"/>
      <c r="G293" s="167"/>
      <c r="H293" s="167"/>
      <c r="I293" s="239"/>
      <c r="J293" s="240"/>
      <c r="K293" s="239"/>
      <c r="L293" s="239"/>
      <c r="M293" s="215"/>
      <c r="N293" s="215"/>
      <c r="O293" s="215"/>
      <c r="P293" s="215"/>
      <c r="Q293" s="215"/>
      <c r="R293" s="215"/>
      <c r="S293" s="215"/>
      <c r="T293" s="168"/>
      <c r="U293" s="168"/>
    </row>
    <row r="294" spans="1:21" ht="15.75" customHeight="1">
      <c r="B294" s="167" t="s">
        <v>524</v>
      </c>
      <c r="C294" s="242" t="s">
        <v>185</v>
      </c>
      <c r="D294" s="215"/>
      <c r="E294" s="215"/>
      <c r="F294" s="215"/>
      <c r="G294" s="167"/>
      <c r="H294" s="239"/>
      <c r="I294" s="239"/>
      <c r="J294" s="239"/>
      <c r="K294" s="239"/>
      <c r="L294" s="239"/>
      <c r="M294" s="239">
        <f t="shared" ref="M294:S294" ca="1" si="87">M289+M291+M292+M293</f>
        <v>2022139.0637779236</v>
      </c>
      <c r="N294" s="239">
        <f t="shared" ca="1" si="87"/>
        <v>-7852029.0286244787</v>
      </c>
      <c r="O294" s="239">
        <f t="shared" si="87"/>
        <v>-172149.56307799183</v>
      </c>
      <c r="P294" s="239">
        <f t="shared" si="87"/>
        <v>0</v>
      </c>
      <c r="Q294" s="239">
        <f t="shared" si="87"/>
        <v>0</v>
      </c>
      <c r="R294" s="239">
        <f t="shared" si="87"/>
        <v>0</v>
      </c>
      <c r="S294" s="239">
        <f t="shared" si="87"/>
        <v>0</v>
      </c>
      <c r="T294" s="168"/>
      <c r="U294" s="168"/>
    </row>
    <row r="295" spans="1:21" ht="6.75" customHeight="1">
      <c r="B295" s="167"/>
      <c r="C295" s="242"/>
      <c r="D295" s="215"/>
      <c r="E295" s="215"/>
      <c r="F295" s="215"/>
      <c r="G295" s="167"/>
      <c r="H295" s="239"/>
      <c r="I295" s="239"/>
      <c r="J295" s="239"/>
      <c r="K295" s="239"/>
      <c r="L295" s="239"/>
      <c r="M295" s="239"/>
      <c r="N295" s="239"/>
      <c r="O295" s="239"/>
      <c r="P295" s="239"/>
      <c r="Q295" s="239"/>
      <c r="R295" s="239"/>
      <c r="S295" s="239"/>
      <c r="T295" s="168"/>
      <c r="U295" s="168"/>
    </row>
    <row r="296" spans="1:21" ht="15.75" customHeight="1">
      <c r="B296" s="167" t="s">
        <v>523</v>
      </c>
      <c r="C296" s="242" t="s">
        <v>263</v>
      </c>
      <c r="D296" s="215"/>
      <c r="E296" s="215"/>
      <c r="F296" s="215"/>
      <c r="G296" s="167"/>
      <c r="H296" s="239"/>
      <c r="I296" s="239"/>
      <c r="J296" s="239"/>
      <c r="K296" s="239"/>
      <c r="L296" s="239"/>
      <c r="M296" s="239">
        <f t="shared" ref="M296:S296" si="88">M297+M299</f>
        <v>-41080</v>
      </c>
      <c r="N296" s="239">
        <f t="shared" si="88"/>
        <v>-225760</v>
      </c>
      <c r="O296" s="239">
        <f t="shared" si="88"/>
        <v>-258050.37310031251</v>
      </c>
      <c r="P296" s="239">
        <f t="shared" si="88"/>
        <v>0</v>
      </c>
      <c r="Q296" s="239">
        <f t="shared" si="88"/>
        <v>0</v>
      </c>
      <c r="R296" s="239">
        <f t="shared" si="88"/>
        <v>0</v>
      </c>
      <c r="S296" s="239">
        <f t="shared" si="88"/>
        <v>0</v>
      </c>
      <c r="T296" s="168"/>
      <c r="U296" s="168"/>
    </row>
    <row r="297" spans="1:21" ht="15.75" customHeight="1">
      <c r="A297" s="169">
        <v>5</v>
      </c>
      <c r="B297" s="167"/>
      <c r="C297" s="352" t="s">
        <v>301</v>
      </c>
      <c r="D297" s="215"/>
      <c r="E297" s="215"/>
      <c r="F297" s="215"/>
      <c r="G297" s="167"/>
      <c r="H297" s="272"/>
      <c r="I297" s="272"/>
      <c r="J297" s="272"/>
      <c r="K297" s="239"/>
      <c r="L297" s="239"/>
      <c r="M297" s="239">
        <v>0</v>
      </c>
      <c r="N297" s="239">
        <f>N298</f>
        <v>0</v>
      </c>
      <c r="O297" s="239">
        <f t="shared" ref="O297:S298" si="89">N297</f>
        <v>0</v>
      </c>
      <c r="P297" s="239">
        <f t="shared" si="89"/>
        <v>0</v>
      </c>
      <c r="Q297" s="239">
        <f t="shared" si="89"/>
        <v>0</v>
      </c>
      <c r="R297" s="239">
        <f t="shared" si="89"/>
        <v>0</v>
      </c>
      <c r="S297" s="239">
        <f t="shared" si="89"/>
        <v>0</v>
      </c>
      <c r="T297" s="168"/>
      <c r="U297" s="168"/>
    </row>
    <row r="298" spans="1:21" ht="15.75" customHeight="1">
      <c r="B298" s="167"/>
      <c r="C298" s="352" t="s">
        <v>265</v>
      </c>
      <c r="D298" s="215"/>
      <c r="E298" s="215"/>
      <c r="F298" s="215"/>
      <c r="G298" s="167"/>
      <c r="H298" s="272"/>
      <c r="I298" s="272"/>
      <c r="J298" s="272"/>
      <c r="K298" s="239"/>
      <c r="L298" s="239"/>
      <c r="M298" s="239">
        <v>0</v>
      </c>
      <c r="N298" s="239">
        <f>M298*1.1</f>
        <v>0</v>
      </c>
      <c r="O298" s="239">
        <f t="shared" si="89"/>
        <v>0</v>
      </c>
      <c r="P298" s="239">
        <f t="shared" si="89"/>
        <v>0</v>
      </c>
      <c r="Q298" s="239">
        <f t="shared" si="89"/>
        <v>0</v>
      </c>
      <c r="R298" s="239">
        <f t="shared" si="89"/>
        <v>0</v>
      </c>
      <c r="S298" s="239">
        <f t="shared" si="89"/>
        <v>0</v>
      </c>
      <c r="T298" s="168"/>
      <c r="U298" s="168"/>
    </row>
    <row r="299" spans="1:21" ht="15.75" customHeight="1">
      <c r="B299" s="167"/>
      <c r="C299" s="353" t="s">
        <v>303</v>
      </c>
      <c r="D299" s="215"/>
      <c r="E299" s="215"/>
      <c r="F299" s="215"/>
      <c r="G299" s="167"/>
      <c r="H299" s="272"/>
      <c r="I299" s="272"/>
      <c r="J299" s="272"/>
      <c r="K299" s="239"/>
      <c r="L299" s="239"/>
      <c r="M299" s="239">
        <f>M300+M301+M302</f>
        <v>-41080</v>
      </c>
      <c r="N299" s="239">
        <f t="shared" ref="N299:S299" si="90">SUM(N300:N302)</f>
        <v>-225760</v>
      </c>
      <c r="O299" s="239">
        <f t="shared" si="90"/>
        <v>-258050.37310031251</v>
      </c>
      <c r="P299" s="239">
        <f t="shared" si="90"/>
        <v>0</v>
      </c>
      <c r="Q299" s="239">
        <f t="shared" si="90"/>
        <v>0</v>
      </c>
      <c r="R299" s="239">
        <f t="shared" si="90"/>
        <v>0</v>
      </c>
      <c r="S299" s="239">
        <f t="shared" si="90"/>
        <v>0</v>
      </c>
      <c r="T299" s="168"/>
      <c r="U299" s="168"/>
    </row>
    <row r="300" spans="1:21" ht="15.75" customHeight="1">
      <c r="A300" s="169">
        <v>5</v>
      </c>
      <c r="B300" s="167"/>
      <c r="C300" s="352" t="s">
        <v>265</v>
      </c>
      <c r="D300" s="215"/>
      <c r="E300" s="215"/>
      <c r="F300" s="215"/>
      <c r="G300" s="167"/>
      <c r="H300" s="272"/>
      <c r="I300" s="272"/>
      <c r="J300" s="272"/>
      <c r="K300" s="239"/>
      <c r="L300" s="239"/>
      <c r="M300" s="239">
        <f>-975000/'Control list'!I18</f>
        <v>-13000</v>
      </c>
      <c r="N300" s="239">
        <f>-(915000)*12/'Control list'!J18</f>
        <v>-146400</v>
      </c>
      <c r="O300" s="239">
        <v>-155217.03976697917</v>
      </c>
      <c r="P300" s="239"/>
      <c r="Q300" s="239"/>
      <c r="R300" s="239"/>
      <c r="S300" s="239"/>
      <c r="T300" s="168"/>
      <c r="U300" s="168"/>
    </row>
    <row r="301" spans="1:21" ht="15.75" customHeight="1">
      <c r="A301" s="169">
        <v>5</v>
      </c>
      <c r="B301" s="167"/>
      <c r="C301" s="352" t="s">
        <v>304</v>
      </c>
      <c r="D301" s="215"/>
      <c r="E301" s="215"/>
      <c r="F301" s="215"/>
      <c r="G301" s="167"/>
      <c r="H301" s="272"/>
      <c r="I301" s="272"/>
      <c r="J301" s="272"/>
      <c r="K301" s="239"/>
      <c r="L301" s="239"/>
      <c r="M301" s="239">
        <f>-1000/'Control list'!I18</f>
        <v>-13.333333333333334</v>
      </c>
      <c r="N301" s="239">
        <f>-(0)*12/'Control list'!$J$18</f>
        <v>0</v>
      </c>
      <c r="O301" s="239">
        <v>-5833.333333333333</v>
      </c>
      <c r="P301" s="239"/>
      <c r="Q301" s="239"/>
      <c r="R301" s="239"/>
      <c r="S301" s="239"/>
      <c r="T301" s="168"/>
      <c r="U301" s="168"/>
    </row>
    <row r="302" spans="1:21" ht="15.75" customHeight="1">
      <c r="A302" s="169">
        <v>3</v>
      </c>
      <c r="B302" s="167"/>
      <c r="C302" s="352" t="s">
        <v>305</v>
      </c>
      <c r="D302" s="215"/>
      <c r="E302" s="215"/>
      <c r="F302" s="215"/>
      <c r="G302" s="167"/>
      <c r="H302" s="272"/>
      <c r="I302" s="272"/>
      <c r="J302" s="272"/>
      <c r="K302" s="239"/>
      <c r="L302" s="239"/>
      <c r="M302" s="239">
        <f>-(10476000-975000-7395000-1000)/'Control list'!I18</f>
        <v>-28066.666666666668</v>
      </c>
      <c r="N302" s="239">
        <f>-(200000+296000)*12/'Control list'!$J$18</f>
        <v>-79360</v>
      </c>
      <c r="O302" s="239">
        <v>-97000</v>
      </c>
      <c r="P302" s="239"/>
      <c r="Q302" s="239"/>
      <c r="R302" s="239"/>
      <c r="S302" s="239"/>
      <c r="T302" s="168"/>
      <c r="U302" s="168"/>
    </row>
    <row r="303" spans="1:21" ht="12.75" customHeight="1">
      <c r="A303" s="169">
        <v>55</v>
      </c>
      <c r="B303" s="242" t="s">
        <v>523</v>
      </c>
      <c r="C303" s="242" t="s">
        <v>737</v>
      </c>
      <c r="D303" s="351"/>
      <c r="E303" s="249"/>
      <c r="F303" s="249"/>
      <c r="G303" s="167"/>
      <c r="H303" s="167"/>
      <c r="I303" s="346"/>
      <c r="J303" s="346"/>
      <c r="K303" s="346"/>
      <c r="L303" s="346"/>
      <c r="M303" s="215"/>
      <c r="N303" s="215"/>
      <c r="O303" s="171">
        <f>O232+O252</f>
        <v>-983416.34366666654</v>
      </c>
      <c r="P303" s="215"/>
      <c r="Q303" s="215"/>
      <c r="R303" s="215"/>
      <c r="S303" s="215"/>
      <c r="T303" s="168"/>
      <c r="U303" s="168"/>
    </row>
    <row r="304" spans="1:21" ht="15.75" customHeight="1">
      <c r="B304" s="167" t="s">
        <v>524</v>
      </c>
      <c r="C304" s="242" t="s">
        <v>347</v>
      </c>
      <c r="D304" s="215"/>
      <c r="E304" s="215"/>
      <c r="F304" s="215"/>
      <c r="G304" s="167"/>
      <c r="H304" s="239"/>
      <c r="I304" s="239"/>
      <c r="J304" s="239"/>
      <c r="K304" s="239"/>
      <c r="L304" s="239"/>
      <c r="M304" s="239">
        <f t="shared" ref="M304:S304" ca="1" si="91">M294+M296</f>
        <v>1981059.0637779236</v>
      </c>
      <c r="N304" s="239">
        <f t="shared" ca="1" si="91"/>
        <v>-8077789.0286244787</v>
      </c>
      <c r="O304" s="239">
        <f>O294+O296+O303</f>
        <v>-1413616.2798449709</v>
      </c>
      <c r="P304" s="239">
        <f t="shared" si="91"/>
        <v>0</v>
      </c>
      <c r="Q304" s="239">
        <f t="shared" si="91"/>
        <v>0</v>
      </c>
      <c r="R304" s="239">
        <f t="shared" si="91"/>
        <v>0</v>
      </c>
      <c r="S304" s="239">
        <f t="shared" si="91"/>
        <v>0</v>
      </c>
      <c r="T304" s="168"/>
      <c r="U304" s="168"/>
    </row>
    <row r="305" spans="1:21" ht="12" customHeight="1">
      <c r="B305" s="167"/>
      <c r="C305" s="242"/>
      <c r="D305" s="242"/>
      <c r="E305" s="249"/>
      <c r="F305" s="249"/>
      <c r="G305" s="167"/>
      <c r="H305" s="167"/>
      <c r="I305" s="346"/>
      <c r="J305" s="346"/>
      <c r="K305" s="346"/>
      <c r="L305" s="346"/>
      <c r="M305" s="215"/>
      <c r="N305" s="215"/>
      <c r="O305" s="215"/>
      <c r="P305" s="215"/>
      <c r="Q305" s="215"/>
      <c r="R305" s="215"/>
      <c r="S305" s="215"/>
      <c r="T305" s="168"/>
      <c r="U305" s="168"/>
    </row>
    <row r="306" spans="1:21" ht="15.75" customHeight="1">
      <c r="A306" s="169">
        <v>7</v>
      </c>
      <c r="B306" s="167" t="s">
        <v>523</v>
      </c>
      <c r="C306" s="242" t="s">
        <v>193</v>
      </c>
      <c r="D306" s="242"/>
      <c r="E306" s="249"/>
      <c r="F306" s="249"/>
      <c r="G306" s="167"/>
      <c r="H306" s="272"/>
      <c r="I306" s="272"/>
      <c r="J306" s="239"/>
      <c r="K306" s="239"/>
      <c r="L306" s="239"/>
      <c r="M306" s="239">
        <f t="shared" ref="M306:S306" ca="1" si="92">-M544</f>
        <v>-163440</v>
      </c>
      <c r="N306" s="239">
        <f t="shared" ca="1" si="92"/>
        <v>-910659.33499165135</v>
      </c>
      <c r="O306" s="239">
        <f t="shared" ca="1" si="92"/>
        <v>-393224.0986041539</v>
      </c>
      <c r="P306" s="239">
        <f t="shared" si="92"/>
        <v>0</v>
      </c>
      <c r="Q306" s="239">
        <f t="shared" si="92"/>
        <v>0</v>
      </c>
      <c r="R306" s="239">
        <f t="shared" si="92"/>
        <v>0</v>
      </c>
      <c r="S306" s="239">
        <f t="shared" si="92"/>
        <v>0</v>
      </c>
      <c r="T306" s="168"/>
      <c r="U306" s="168"/>
    </row>
    <row r="307" spans="1:21" ht="6.75" customHeight="1">
      <c r="B307" s="167"/>
      <c r="C307" s="242"/>
      <c r="D307" s="242"/>
      <c r="E307" s="249"/>
      <c r="F307" s="249"/>
      <c r="G307" s="167"/>
      <c r="H307" s="167"/>
      <c r="I307" s="239"/>
      <c r="J307" s="239"/>
      <c r="K307" s="239"/>
      <c r="L307" s="239"/>
      <c r="M307" s="215"/>
      <c r="N307" s="215"/>
      <c r="O307" s="215"/>
      <c r="P307" s="215"/>
      <c r="Q307" s="215"/>
      <c r="R307" s="215"/>
      <c r="S307" s="215"/>
      <c r="T307" s="168"/>
      <c r="U307" s="168"/>
    </row>
    <row r="308" spans="1:21" ht="15.75" customHeight="1">
      <c r="B308" s="167" t="s">
        <v>524</v>
      </c>
      <c r="C308" s="242" t="s">
        <v>363</v>
      </c>
      <c r="D308" s="242"/>
      <c r="E308" s="249"/>
      <c r="F308" s="249"/>
      <c r="G308" s="167"/>
      <c r="H308" s="239"/>
      <c r="I308" s="239"/>
      <c r="J308" s="239"/>
      <c r="K308" s="239"/>
      <c r="L308" s="239"/>
      <c r="M308" s="239">
        <f t="shared" ref="M308:R308" ca="1" si="93">M304+M306</f>
        <v>1817619.0637779236</v>
      </c>
      <c r="N308" s="239">
        <f t="shared" ca="1" si="93"/>
        <v>-8988448.3636161294</v>
      </c>
      <c r="O308" s="239">
        <f t="shared" ca="1" si="93"/>
        <v>-1806840.3784491247</v>
      </c>
      <c r="P308" s="239">
        <f t="shared" si="93"/>
        <v>0</v>
      </c>
      <c r="Q308" s="239">
        <f t="shared" si="93"/>
        <v>0</v>
      </c>
      <c r="R308" s="239">
        <f t="shared" si="93"/>
        <v>0</v>
      </c>
      <c r="S308" s="239">
        <f>S304+S306</f>
        <v>0</v>
      </c>
      <c r="T308" s="168"/>
      <c r="U308" s="168"/>
    </row>
    <row r="309" spans="1:21" ht="6" customHeight="1">
      <c r="B309" s="167"/>
      <c r="C309" s="242"/>
      <c r="D309" s="380"/>
      <c r="E309" s="249"/>
      <c r="F309" s="249"/>
      <c r="G309" s="167"/>
      <c r="H309" s="167"/>
      <c r="I309" s="327"/>
      <c r="J309" s="327"/>
      <c r="K309" s="355"/>
      <c r="L309" s="327"/>
      <c r="M309" s="215"/>
      <c r="N309" s="215"/>
      <c r="O309" s="215"/>
      <c r="P309" s="215"/>
      <c r="Q309" s="215"/>
      <c r="R309" s="215"/>
      <c r="S309" s="215"/>
      <c r="T309" s="168"/>
      <c r="U309" s="168"/>
    </row>
    <row r="310" spans="1:21" ht="15.75" customHeight="1">
      <c r="A310" s="169">
        <v>8</v>
      </c>
      <c r="B310" s="167" t="s">
        <v>523</v>
      </c>
      <c r="C310" s="353" t="s">
        <v>203</v>
      </c>
      <c r="D310" s="380"/>
      <c r="E310" s="249"/>
      <c r="F310" s="249"/>
      <c r="G310" s="167"/>
      <c r="H310" s="272"/>
      <c r="I310" s="272"/>
      <c r="J310" s="239"/>
      <c r="K310" s="239"/>
      <c r="L310" s="239"/>
      <c r="M310" s="239">
        <f t="shared" ref="M310:R310" si="94">-M682</f>
        <v>0</v>
      </c>
      <c r="N310" s="239">
        <f t="shared" si="94"/>
        <v>0</v>
      </c>
      <c r="O310" s="239">
        <f t="shared" si="94"/>
        <v>0</v>
      </c>
      <c r="P310" s="239">
        <f t="shared" si="94"/>
        <v>0</v>
      </c>
      <c r="Q310" s="239">
        <f t="shared" si="94"/>
        <v>0</v>
      </c>
      <c r="R310" s="239">
        <f t="shared" si="94"/>
        <v>0</v>
      </c>
      <c r="S310" s="239">
        <f>-S682</f>
        <v>0</v>
      </c>
      <c r="T310" s="168"/>
      <c r="U310" s="168"/>
    </row>
    <row r="311" spans="1:21" ht="15.75" customHeight="1">
      <c r="A311" s="169">
        <v>9</v>
      </c>
      <c r="B311" s="167" t="s">
        <v>525</v>
      </c>
      <c r="C311" s="353" t="s">
        <v>187</v>
      </c>
      <c r="D311" s="380"/>
      <c r="E311" s="249"/>
      <c r="F311" s="249"/>
      <c r="G311" s="167"/>
      <c r="H311" s="272"/>
      <c r="I311" s="272"/>
      <c r="J311" s="239"/>
      <c r="K311" s="239"/>
      <c r="L311" s="239"/>
      <c r="M311" s="239">
        <f t="shared" ref="M311:R311" si="95">M686</f>
        <v>0</v>
      </c>
      <c r="N311" s="239">
        <f t="shared" ca="1" si="95"/>
        <v>0</v>
      </c>
      <c r="O311" s="239">
        <f t="shared" ca="1" si="95"/>
        <v>0</v>
      </c>
      <c r="P311" s="239">
        <f t="shared" si="95"/>
        <v>0</v>
      </c>
      <c r="Q311" s="239">
        <f t="shared" si="95"/>
        <v>0</v>
      </c>
      <c r="R311" s="239">
        <f t="shared" si="95"/>
        <v>0</v>
      </c>
      <c r="S311" s="239">
        <f>S686</f>
        <v>0</v>
      </c>
      <c r="T311" s="168"/>
      <c r="U311" s="168"/>
    </row>
    <row r="312" spans="1:21" ht="12.75" customHeight="1">
      <c r="B312" s="356" t="s">
        <v>195</v>
      </c>
      <c r="C312" s="356" t="s">
        <v>195</v>
      </c>
      <c r="D312" s="380"/>
      <c r="E312" s="249"/>
      <c r="F312" s="249"/>
      <c r="G312" s="167"/>
      <c r="H312" s="167"/>
      <c r="I312" s="327"/>
      <c r="J312" s="327"/>
      <c r="K312" s="355"/>
      <c r="L312" s="239"/>
      <c r="M312" s="239">
        <v>0</v>
      </c>
      <c r="N312" s="215"/>
      <c r="O312" s="239">
        <v>0</v>
      </c>
      <c r="P312" s="215"/>
      <c r="Q312" s="215"/>
      <c r="R312" s="215"/>
      <c r="S312" s="215"/>
      <c r="T312" s="168"/>
      <c r="U312" s="168"/>
    </row>
    <row r="313" spans="1:21" ht="15.75" customHeight="1">
      <c r="B313" s="167" t="s">
        <v>524</v>
      </c>
      <c r="C313" s="242" t="s">
        <v>188</v>
      </c>
      <c r="D313" s="380"/>
      <c r="E313" s="249"/>
      <c r="F313" s="249"/>
      <c r="G313" s="167"/>
      <c r="H313" s="239"/>
      <c r="I313" s="239"/>
      <c r="J313" s="239"/>
      <c r="K313" s="239"/>
      <c r="L313" s="239"/>
      <c r="M313" s="239">
        <f t="shared" ref="M313:R313" ca="1" si="96">M308+M310+M311</f>
        <v>1817619.0637779236</v>
      </c>
      <c r="N313" s="239">
        <f t="shared" ca="1" si="96"/>
        <v>-8988448.3636161294</v>
      </c>
      <c r="O313" s="239">
        <f ca="1">O308+O310+O311</f>
        <v>-1806840.3784491247</v>
      </c>
      <c r="P313" s="239">
        <f t="shared" si="96"/>
        <v>0</v>
      </c>
      <c r="Q313" s="239">
        <f t="shared" si="96"/>
        <v>0</v>
      </c>
      <c r="R313" s="239">
        <f t="shared" si="96"/>
        <v>0</v>
      </c>
      <c r="S313" s="239">
        <f>S308+S310+S311</f>
        <v>0</v>
      </c>
      <c r="T313" s="168"/>
      <c r="U313" s="168"/>
    </row>
    <row r="314" spans="1:21" ht="7.5" customHeight="1">
      <c r="B314" s="167"/>
      <c r="C314" s="242"/>
      <c r="D314" s="380"/>
      <c r="E314" s="249"/>
      <c r="F314" s="249"/>
      <c r="G314" s="167"/>
      <c r="H314" s="167"/>
      <c r="I314" s="327"/>
      <c r="J314" s="327"/>
      <c r="K314" s="355"/>
      <c r="L314" s="327"/>
      <c r="M314" s="215"/>
      <c r="N314" s="215"/>
      <c r="O314" s="215"/>
      <c r="P314" s="215"/>
      <c r="Q314" s="215"/>
      <c r="R314" s="215"/>
      <c r="S314" s="215"/>
      <c r="T314" s="168"/>
      <c r="U314" s="168"/>
    </row>
    <row r="315" spans="1:21" ht="15.75" customHeight="1">
      <c r="A315" s="169">
        <v>10</v>
      </c>
      <c r="B315" s="167" t="s">
        <v>523</v>
      </c>
      <c r="C315" s="242" t="s">
        <v>306</v>
      </c>
      <c r="D315" s="215"/>
      <c r="E315" s="215"/>
      <c r="F315" s="215"/>
      <c r="G315" s="167"/>
      <c r="H315" s="239"/>
      <c r="I315" s="239"/>
      <c r="J315" s="239"/>
      <c r="K315" s="239"/>
      <c r="L315" s="239"/>
      <c r="M315" s="239">
        <f>M316+M317</f>
        <v>0</v>
      </c>
      <c r="N315" s="239">
        <f>N316+N317</f>
        <v>0</v>
      </c>
      <c r="O315" s="239">
        <f ca="1">O316+O317</f>
        <v>361368.075689825</v>
      </c>
      <c r="P315" s="239">
        <v>0</v>
      </c>
      <c r="Q315" s="239">
        <v>0</v>
      </c>
      <c r="R315" s="239">
        <v>0</v>
      </c>
      <c r="S315" s="239">
        <v>0</v>
      </c>
      <c r="T315" s="168"/>
      <c r="U315" s="168"/>
    </row>
    <row r="316" spans="1:21" ht="15.75" customHeight="1">
      <c r="B316" s="167"/>
      <c r="C316" s="353" t="s">
        <v>308</v>
      </c>
      <c r="D316" s="215"/>
      <c r="E316" s="215"/>
      <c r="F316" s="215"/>
      <c r="G316" s="167"/>
      <c r="H316" s="272"/>
      <c r="I316" s="272"/>
      <c r="J316" s="272"/>
      <c r="K316" s="239"/>
      <c r="L316" s="239"/>
      <c r="M316" s="239">
        <v>0</v>
      </c>
      <c r="N316" s="239">
        <v>0</v>
      </c>
      <c r="O316" s="239">
        <v>0</v>
      </c>
      <c r="P316" s="239">
        <v>0</v>
      </c>
      <c r="Q316" s="239">
        <v>0</v>
      </c>
      <c r="R316" s="239">
        <v>0</v>
      </c>
      <c r="S316" s="239">
        <v>0</v>
      </c>
      <c r="T316" s="168"/>
      <c r="U316" s="168"/>
    </row>
    <row r="317" spans="1:21" ht="15.75" customHeight="1">
      <c r="B317" s="167"/>
      <c r="C317" s="353" t="s">
        <v>307</v>
      </c>
      <c r="D317" s="215"/>
      <c r="E317" s="215"/>
      <c r="F317" s="215"/>
      <c r="G317" s="167"/>
      <c r="H317" s="272"/>
      <c r="I317" s="272"/>
      <c r="J317" s="272"/>
      <c r="K317" s="272"/>
      <c r="L317" s="272"/>
      <c r="M317" s="239">
        <v>0</v>
      </c>
      <c r="N317" s="272">
        <v>0</v>
      </c>
      <c r="O317" s="272">
        <f ca="1">-O313*O349</f>
        <v>361368.075689825</v>
      </c>
      <c r="P317" s="272">
        <f>-P313*P349</f>
        <v>0</v>
      </c>
      <c r="Q317" s="272">
        <f>-Q313*Q349</f>
        <v>0</v>
      </c>
      <c r="R317" s="272">
        <f>-R313*R349</f>
        <v>0</v>
      </c>
      <c r="S317" s="272">
        <f>-S313*S349</f>
        <v>0</v>
      </c>
      <c r="T317" s="168"/>
      <c r="U317" s="168"/>
    </row>
    <row r="318" spans="1:21" ht="6.75" customHeight="1">
      <c r="B318" s="167"/>
      <c r="C318" s="242"/>
      <c r="D318" s="215"/>
      <c r="E318" s="215"/>
      <c r="F318" s="215"/>
      <c r="G318" s="725"/>
      <c r="H318" s="725"/>
      <c r="I318" s="239"/>
      <c r="J318" s="239"/>
      <c r="K318" s="239"/>
      <c r="L318" s="239"/>
      <c r="M318" s="215"/>
      <c r="N318" s="215"/>
      <c r="O318" s="215"/>
      <c r="P318" s="215"/>
      <c r="Q318" s="215"/>
      <c r="R318" s="215"/>
      <c r="S318" s="215"/>
      <c r="T318" s="168"/>
      <c r="U318" s="168"/>
    </row>
    <row r="319" spans="1:21" ht="15.75" customHeight="1">
      <c r="B319" s="167" t="s">
        <v>524</v>
      </c>
      <c r="C319" s="260" t="s">
        <v>190</v>
      </c>
      <c r="D319" s="357"/>
      <c r="E319" s="357"/>
      <c r="F319" s="357"/>
      <c r="G319" s="400"/>
      <c r="H319" s="358"/>
      <c r="I319" s="358"/>
      <c r="J319" s="358"/>
      <c r="K319" s="358"/>
      <c r="L319" s="358"/>
      <c r="M319" s="358">
        <f t="shared" ref="M319:R319" ca="1" si="97">M313+M315</f>
        <v>1817619.0637779236</v>
      </c>
      <c r="N319" s="358">
        <f t="shared" ca="1" si="97"/>
        <v>-8988448.3636161294</v>
      </c>
      <c r="O319" s="358">
        <f t="shared" ca="1" si="97"/>
        <v>-1445472.3027592998</v>
      </c>
      <c r="P319" s="358">
        <f t="shared" si="97"/>
        <v>0</v>
      </c>
      <c r="Q319" s="358">
        <f t="shared" si="97"/>
        <v>0</v>
      </c>
      <c r="R319" s="358">
        <f t="shared" si="97"/>
        <v>0</v>
      </c>
      <c r="S319" s="358">
        <f>S313+S315</f>
        <v>0</v>
      </c>
      <c r="T319" s="168"/>
      <c r="U319" s="168"/>
    </row>
    <row r="320" spans="1:21" ht="15.75" customHeight="1">
      <c r="B320" s="167"/>
      <c r="C320" s="242"/>
      <c r="D320" s="215"/>
      <c r="E320" s="215"/>
      <c r="F320" s="215"/>
      <c r="G320" s="167"/>
      <c r="H320" s="167"/>
      <c r="I320" s="239"/>
      <c r="J320" s="239"/>
      <c r="K320" s="239"/>
      <c r="L320" s="239"/>
      <c r="M320" s="215"/>
      <c r="N320" s="215"/>
      <c r="O320" s="215"/>
      <c r="P320" s="215"/>
      <c r="Q320" s="215"/>
      <c r="R320" s="215"/>
      <c r="S320" s="215"/>
      <c r="T320" s="168"/>
      <c r="U320" s="168"/>
    </row>
    <row r="321" spans="2:21" ht="15.75" customHeight="1">
      <c r="B321" s="167"/>
      <c r="C321" s="242"/>
      <c r="D321" s="215"/>
      <c r="E321" s="215"/>
      <c r="F321" s="215"/>
      <c r="G321" s="167"/>
      <c r="H321" s="167"/>
      <c r="I321" s="239"/>
      <c r="J321" s="239"/>
      <c r="K321" s="239"/>
      <c r="L321" s="239"/>
      <c r="M321" s="215"/>
      <c r="N321" s="215"/>
      <c r="O321" s="215"/>
      <c r="P321" s="215"/>
      <c r="Q321" s="215"/>
      <c r="R321" s="215"/>
      <c r="S321" s="215"/>
      <c r="T321" s="168"/>
      <c r="U321" s="168"/>
    </row>
    <row r="322" spans="2:21" ht="15.75" customHeight="1">
      <c r="B322" s="167"/>
      <c r="C322" s="242"/>
      <c r="D322" s="215"/>
      <c r="E322" s="215"/>
      <c r="F322" s="215"/>
      <c r="G322" s="167"/>
      <c r="H322" s="167"/>
      <c r="I322" s="239"/>
      <c r="J322" s="239"/>
      <c r="K322" s="239"/>
      <c r="L322" s="239"/>
      <c r="M322" s="215"/>
      <c r="N322" s="215"/>
      <c r="O322" s="215"/>
      <c r="P322" s="215"/>
      <c r="Q322" s="215"/>
      <c r="R322" s="215"/>
      <c r="S322" s="215"/>
      <c r="T322" s="168"/>
      <c r="U322" s="168"/>
    </row>
    <row r="323" spans="2:21" ht="15.75" customHeight="1">
      <c r="B323" s="167"/>
      <c r="C323" s="242"/>
      <c r="D323" s="215"/>
      <c r="E323" s="215"/>
      <c r="F323" s="215"/>
      <c r="G323" s="167"/>
      <c r="H323" s="167"/>
      <c r="I323" s="239"/>
      <c r="J323" s="239"/>
      <c r="K323" s="239"/>
      <c r="L323" s="239"/>
      <c r="M323" s="215"/>
      <c r="N323" s="215"/>
      <c r="O323" s="215"/>
      <c r="P323" s="215"/>
      <c r="Q323" s="215"/>
      <c r="R323" s="215"/>
      <c r="S323" s="215"/>
      <c r="T323" s="168"/>
      <c r="U323" s="168"/>
    </row>
    <row r="324" spans="2:21" ht="27" hidden="1" customHeight="1" outlineLevel="1">
      <c r="B324" s="738"/>
      <c r="C324" s="733" t="s">
        <v>500</v>
      </c>
      <c r="D324" s="168"/>
      <c r="E324" s="168"/>
      <c r="F324" s="168"/>
      <c r="G324" s="168"/>
      <c r="H324" s="323"/>
      <c r="I324" s="323"/>
      <c r="J324" s="323"/>
      <c r="K324" s="323"/>
      <c r="L324" s="323"/>
      <c r="M324" s="323"/>
      <c r="N324" s="323"/>
      <c r="O324" s="323"/>
      <c r="P324" s="323"/>
      <c r="Q324" s="323"/>
      <c r="R324" s="323"/>
      <c r="S324" s="323"/>
      <c r="T324" s="168"/>
      <c r="U324" s="168"/>
    </row>
    <row r="325" spans="2:21" ht="3" hidden="1" customHeight="1" outlineLevel="1">
      <c r="B325" s="738"/>
      <c r="C325" s="299"/>
      <c r="D325" s="170"/>
      <c r="E325" s="170"/>
      <c r="F325" s="170"/>
      <c r="G325" s="170"/>
      <c r="H325" s="212"/>
      <c r="I325" s="212"/>
      <c r="J325" s="212"/>
      <c r="K325" s="212"/>
      <c r="L325" s="212"/>
      <c r="M325" s="212"/>
      <c r="N325" s="212"/>
      <c r="O325" s="212"/>
      <c r="P325" s="212"/>
      <c r="Q325" s="212"/>
      <c r="R325" s="212"/>
      <c r="S325" s="212"/>
      <c r="T325" s="168"/>
      <c r="U325" s="168"/>
    </row>
    <row r="326" spans="2:21" ht="15.75" hidden="1" customHeight="1" outlineLevel="1">
      <c r="B326" s="738"/>
      <c r="C326" s="601"/>
      <c r="D326" s="168"/>
      <c r="E326" s="168"/>
      <c r="F326" s="168"/>
      <c r="G326" s="168"/>
      <c r="H326" s="323"/>
      <c r="I326" s="323"/>
      <c r="J326" s="323"/>
      <c r="K326" s="323"/>
      <c r="L326" s="323"/>
      <c r="M326" s="323"/>
      <c r="N326" s="323"/>
      <c r="O326" s="323"/>
      <c r="P326" s="323"/>
      <c r="Q326" s="323"/>
      <c r="R326" s="323"/>
      <c r="S326" s="323"/>
      <c r="T326" s="168"/>
      <c r="U326" s="168"/>
    </row>
    <row r="327" spans="2:21" ht="15.75" hidden="1" customHeight="1" outlineLevel="1">
      <c r="B327" s="738"/>
      <c r="C327" s="302" t="s">
        <v>433</v>
      </c>
      <c r="D327" s="303"/>
      <c r="E327" s="303"/>
      <c r="F327" s="303"/>
      <c r="G327" s="303"/>
      <c r="H327" s="172"/>
      <c r="I327" s="172"/>
      <c r="J327" s="172"/>
      <c r="K327" s="172"/>
      <c r="L327" s="173"/>
      <c r="M327" s="172"/>
      <c r="N327" s="173"/>
      <c r="O327" s="173"/>
      <c r="P327" s="173"/>
      <c r="Q327" s="173"/>
      <c r="R327" s="173"/>
      <c r="S327" s="173"/>
      <c r="T327" s="168"/>
      <c r="U327" s="168"/>
    </row>
    <row r="328" spans="2:21" ht="15.75" hidden="1" customHeight="1" outlineLevel="1">
      <c r="B328" s="215"/>
      <c r="C328" s="348"/>
      <c r="D328" s="233"/>
      <c r="E328" s="233"/>
      <c r="F328" s="233"/>
      <c r="G328" s="338"/>
      <c r="H328" s="174">
        <v>0</v>
      </c>
      <c r="I328" s="174">
        <v>0</v>
      </c>
      <c r="J328" s="174">
        <v>1</v>
      </c>
      <c r="K328" s="174">
        <v>2</v>
      </c>
      <c r="L328" s="174">
        <f t="shared" ref="L328:M330" si="98">L285</f>
        <v>3</v>
      </c>
      <c r="M328" s="174" t="str">
        <f t="shared" si="98"/>
        <v>1 Year</v>
      </c>
      <c r="N328" s="174" t="str">
        <f t="shared" ref="N328:Q330" si="99">N285</f>
        <v>2 Year</v>
      </c>
      <c r="O328" s="174" t="str">
        <f t="shared" si="99"/>
        <v>3 Year</v>
      </c>
      <c r="P328" s="174" t="str">
        <f t="shared" si="99"/>
        <v>4 Year</v>
      </c>
      <c r="Q328" s="174" t="str">
        <f t="shared" si="99"/>
        <v>5 Year</v>
      </c>
      <c r="R328" s="174" t="str">
        <f t="shared" ref="R328:S330" si="100">R285</f>
        <v>6 Year</v>
      </c>
      <c r="S328" s="174" t="str">
        <f t="shared" si="100"/>
        <v>7 Year</v>
      </c>
      <c r="T328" s="168"/>
      <c r="U328" s="168"/>
    </row>
    <row r="329" spans="2:21" ht="15.75" hidden="1" customHeight="1" outlineLevel="1">
      <c r="B329" s="739"/>
      <c r="C329" s="349"/>
      <c r="D329" s="234"/>
      <c r="E329" s="234"/>
      <c r="F329" s="234"/>
      <c r="G329" s="325"/>
      <c r="H329" s="176"/>
      <c r="I329" s="176"/>
      <c r="J329" s="176"/>
      <c r="K329" s="176"/>
      <c r="L329" s="176"/>
      <c r="M329" s="176"/>
      <c r="N329" s="176"/>
      <c r="O329" s="176"/>
      <c r="P329" s="176"/>
      <c r="Q329" s="176"/>
      <c r="R329" s="176"/>
      <c r="S329" s="176"/>
      <c r="T329" s="168"/>
      <c r="U329" s="168"/>
    </row>
    <row r="330" spans="2:21" ht="15.75" hidden="1" customHeight="1" outlineLevel="1">
      <c r="B330" s="167"/>
      <c r="C330" s="359">
        <v>0</v>
      </c>
      <c r="D330" s="260"/>
      <c r="E330" s="235"/>
      <c r="F330" s="235"/>
      <c r="G330" s="326"/>
      <c r="H330" s="213" t="s">
        <v>499</v>
      </c>
      <c r="I330" s="213" t="s">
        <v>499</v>
      </c>
      <c r="J330" s="213" t="s">
        <v>499</v>
      </c>
      <c r="K330" s="213" t="s">
        <v>499</v>
      </c>
      <c r="L330" s="213" t="str">
        <f t="shared" si="98"/>
        <v>($)</v>
      </c>
      <c r="M330" s="213" t="str">
        <f t="shared" si="98"/>
        <v>($)</v>
      </c>
      <c r="N330" s="213" t="str">
        <f t="shared" si="99"/>
        <v>($)</v>
      </c>
      <c r="O330" s="213" t="str">
        <f t="shared" si="99"/>
        <v>($)</v>
      </c>
      <c r="P330" s="213" t="str">
        <f t="shared" si="99"/>
        <v>($)</v>
      </c>
      <c r="Q330" s="213" t="str">
        <f t="shared" si="99"/>
        <v>($)</v>
      </c>
      <c r="R330" s="213" t="str">
        <f t="shared" si="100"/>
        <v>($)</v>
      </c>
      <c r="S330" s="213" t="str">
        <f t="shared" si="100"/>
        <v>($)</v>
      </c>
      <c r="T330" s="168"/>
      <c r="U330" s="168"/>
    </row>
    <row r="331" spans="2:21" ht="15.75" hidden="1" customHeight="1" outlineLevel="1">
      <c r="B331" s="167"/>
      <c r="C331" s="242"/>
      <c r="D331" s="242"/>
      <c r="E331" s="249"/>
      <c r="F331" s="242"/>
      <c r="G331" s="167"/>
      <c r="H331" s="167"/>
      <c r="I331" s="242"/>
      <c r="J331" s="288"/>
      <c r="K331" s="288"/>
      <c r="L331" s="288"/>
      <c r="M331" s="288"/>
      <c r="N331" s="288"/>
      <c r="O331" s="288"/>
      <c r="P331" s="288"/>
      <c r="Q331" s="288"/>
      <c r="R331" s="288"/>
      <c r="S331" s="288"/>
      <c r="T331" s="168"/>
      <c r="U331" s="168"/>
    </row>
    <row r="332" spans="2:21" ht="15.75" hidden="1" customHeight="1" outlineLevel="1">
      <c r="B332" s="167"/>
      <c r="C332" s="242" t="s">
        <v>434</v>
      </c>
      <c r="D332" s="215"/>
      <c r="E332" s="270"/>
      <c r="F332" s="248"/>
      <c r="G332" s="360"/>
      <c r="H332" s="360"/>
      <c r="I332" s="361"/>
      <c r="J332" s="240"/>
      <c r="K332" s="240"/>
      <c r="L332" s="240"/>
      <c r="M332" s="215"/>
      <c r="N332" s="215"/>
      <c r="O332" s="215"/>
      <c r="P332" s="215"/>
      <c r="Q332" s="215"/>
      <c r="R332" s="215"/>
      <c r="S332" s="215"/>
      <c r="T332" s="168"/>
      <c r="U332" s="168"/>
    </row>
    <row r="333" spans="2:21" ht="15.75" hidden="1" customHeight="1" outlineLevel="1">
      <c r="B333" s="167"/>
      <c r="C333" s="353" t="s">
        <v>435</v>
      </c>
      <c r="D333" s="215"/>
      <c r="E333" s="270"/>
      <c r="F333" s="248"/>
      <c r="G333" s="362"/>
      <c r="H333" s="274"/>
      <c r="I333" s="274"/>
      <c r="J333" s="274"/>
      <c r="K333" s="274"/>
      <c r="L333" s="274"/>
      <c r="M333" s="274">
        <f ca="1">M294/M289</f>
        <v>0.35880781019232327</v>
      </c>
      <c r="N333" s="274">
        <f ca="1">N294/N289</f>
        <v>-0.26677938071823021</v>
      </c>
      <c r="O333" s="274">
        <f>O294/O289</f>
        <v>-1.3855889572529888E-2</v>
      </c>
      <c r="P333" s="274"/>
      <c r="Q333" s="274"/>
      <c r="R333" s="274"/>
      <c r="S333" s="274"/>
      <c r="T333" s="168"/>
      <c r="U333" s="168"/>
    </row>
    <row r="334" spans="2:21" ht="15.75" hidden="1" customHeight="1" outlineLevel="1">
      <c r="B334" s="167"/>
      <c r="C334" s="353"/>
      <c r="D334" s="215"/>
      <c r="E334" s="270"/>
      <c r="F334" s="248"/>
      <c r="G334" s="360"/>
      <c r="H334" s="360"/>
      <c r="I334" s="242"/>
      <c r="J334" s="240"/>
      <c r="K334" s="274"/>
      <c r="L334" s="240"/>
      <c r="M334" s="240"/>
      <c r="N334" s="240"/>
      <c r="O334" s="240"/>
      <c r="P334" s="240"/>
      <c r="Q334" s="240"/>
      <c r="R334" s="240"/>
      <c r="S334" s="240"/>
      <c r="T334" s="168"/>
      <c r="U334" s="168"/>
    </row>
    <row r="335" spans="2:21" ht="15.75" hidden="1" customHeight="1" outlineLevel="1">
      <c r="B335" s="167"/>
      <c r="C335" s="353" t="s">
        <v>461</v>
      </c>
      <c r="D335" s="242"/>
      <c r="E335" s="363"/>
      <c r="F335" s="246"/>
      <c r="G335" s="362"/>
      <c r="H335" s="274"/>
      <c r="I335" s="274"/>
      <c r="J335" s="274"/>
      <c r="K335" s="274"/>
      <c r="L335" s="274"/>
      <c r="M335" s="274">
        <f>-M296/M289</f>
        <v>7.2892241224807299E-3</v>
      </c>
      <c r="N335" s="274">
        <f>-N296/N289</f>
        <v>7.6703884781101515E-3</v>
      </c>
      <c r="O335" s="274">
        <f>-O296/O289</f>
        <v>2.0769831824715059E-2</v>
      </c>
      <c r="P335" s="274"/>
      <c r="Q335" s="274"/>
      <c r="R335" s="274"/>
      <c r="S335" s="274"/>
      <c r="T335" s="168"/>
      <c r="U335" s="168"/>
    </row>
    <row r="336" spans="2:21" ht="15.75" hidden="1" customHeight="1" outlineLevel="1">
      <c r="B336" s="242"/>
      <c r="C336" s="353"/>
      <c r="D336" s="242"/>
      <c r="E336" s="249"/>
      <c r="F336" s="335"/>
      <c r="G336" s="362"/>
      <c r="H336" s="362"/>
      <c r="I336" s="240"/>
      <c r="J336" s="274"/>
      <c r="K336" s="240"/>
      <c r="L336" s="240"/>
      <c r="M336" s="240"/>
      <c r="N336" s="240"/>
      <c r="O336" s="240"/>
      <c r="P336" s="240"/>
      <c r="Q336" s="240"/>
      <c r="R336" s="240"/>
      <c r="S336" s="240"/>
      <c r="T336" s="168"/>
      <c r="U336" s="168"/>
    </row>
    <row r="337" spans="2:21" ht="15.75" hidden="1" customHeight="1" outlineLevel="1">
      <c r="B337" s="242"/>
      <c r="C337" s="353" t="s">
        <v>436</v>
      </c>
      <c r="D337" s="242"/>
      <c r="E337" s="249"/>
      <c r="F337" s="242"/>
      <c r="G337" s="362"/>
      <c r="H337" s="274"/>
      <c r="I337" s="274"/>
      <c r="J337" s="274"/>
      <c r="K337" s="274"/>
      <c r="L337" s="274"/>
      <c r="M337" s="274">
        <f ca="1">M304/M289</f>
        <v>0.35151858606984254</v>
      </c>
      <c r="N337" s="274">
        <f ca="1">N304/N289</f>
        <v>-0.27444976919634034</v>
      </c>
      <c r="O337" s="274">
        <f>O304/O289</f>
        <v>-0.11377845357985972</v>
      </c>
      <c r="P337" s="274"/>
      <c r="Q337" s="274"/>
      <c r="R337" s="274"/>
      <c r="S337" s="274"/>
      <c r="T337" s="168"/>
      <c r="U337" s="168"/>
    </row>
    <row r="338" spans="2:21" ht="15.75" hidden="1" customHeight="1" outlineLevel="1">
      <c r="B338" s="167"/>
      <c r="C338" s="353" t="s">
        <v>437</v>
      </c>
      <c r="D338" s="215"/>
      <c r="E338" s="270"/>
      <c r="F338" s="248"/>
      <c r="G338" s="362"/>
      <c r="H338" s="274"/>
      <c r="I338" s="274"/>
      <c r="J338" s="274"/>
      <c r="K338" s="274"/>
      <c r="L338" s="274"/>
      <c r="M338" s="274">
        <f ca="1">M308/M289</f>
        <v>0.32251783654262128</v>
      </c>
      <c r="N338" s="274">
        <f ca="1">N308/N289</f>
        <v>-0.30539019651120308</v>
      </c>
      <c r="O338" s="274">
        <f ca="1">O308/O289</f>
        <v>-0.14542808190362344</v>
      </c>
      <c r="P338" s="274"/>
      <c r="Q338" s="274"/>
      <c r="R338" s="274"/>
      <c r="S338" s="274"/>
      <c r="T338" s="168"/>
      <c r="U338" s="168"/>
    </row>
    <row r="339" spans="2:21" ht="15.75" hidden="1" customHeight="1" outlineLevel="1">
      <c r="B339" s="167"/>
      <c r="C339" s="353" t="s">
        <v>438</v>
      </c>
      <c r="D339" s="242"/>
      <c r="E339" s="270"/>
      <c r="F339" s="335"/>
      <c r="G339" s="362"/>
      <c r="H339" s="274"/>
      <c r="I339" s="274"/>
      <c r="J339" s="274"/>
      <c r="K339" s="274"/>
      <c r="L339" s="274"/>
      <c r="M339" s="274">
        <f ca="1">M319/M289</f>
        <v>0.32251783654262128</v>
      </c>
      <c r="N339" s="274">
        <f ca="1">N319/N289</f>
        <v>-0.30539019651120308</v>
      </c>
      <c r="O339" s="274">
        <f ca="1">O319/O289</f>
        <v>-0.11634246552289874</v>
      </c>
      <c r="P339" s="274"/>
      <c r="Q339" s="274"/>
      <c r="R339" s="274"/>
      <c r="S339" s="274"/>
      <c r="T339" s="168"/>
      <c r="U339" s="168"/>
    </row>
    <row r="340" spans="2:21" ht="15.75" hidden="1" customHeight="1" outlineLevel="1">
      <c r="B340" s="167"/>
      <c r="C340" s="242"/>
      <c r="D340" s="242"/>
      <c r="E340" s="249"/>
      <c r="F340" s="335"/>
      <c r="G340" s="362"/>
      <c r="H340" s="362"/>
      <c r="I340" s="240"/>
      <c r="J340" s="240"/>
      <c r="K340" s="240"/>
      <c r="L340" s="240"/>
      <c r="M340" s="240"/>
      <c r="N340" s="240"/>
      <c r="O340" s="240"/>
      <c r="P340" s="240"/>
      <c r="Q340" s="240"/>
      <c r="R340" s="240"/>
      <c r="S340" s="240"/>
      <c r="T340" s="168"/>
      <c r="U340" s="168"/>
    </row>
    <row r="341" spans="2:21" ht="15.75" hidden="1" customHeight="1" outlineLevel="1">
      <c r="B341" s="167"/>
      <c r="C341" s="242" t="s">
        <v>439</v>
      </c>
      <c r="D341" s="215"/>
      <c r="E341" s="270"/>
      <c r="F341" s="248"/>
      <c r="G341" s="360"/>
      <c r="H341" s="360"/>
      <c r="I341" s="267"/>
      <c r="J341" s="364"/>
      <c r="K341" s="364"/>
      <c r="L341" s="364"/>
      <c r="M341" s="364"/>
      <c r="N341" s="364"/>
      <c r="O341" s="364"/>
      <c r="P341" s="364"/>
      <c r="Q341" s="364"/>
      <c r="R341" s="364"/>
      <c r="S341" s="364"/>
      <c r="T341" s="168"/>
      <c r="U341" s="168"/>
    </row>
    <row r="342" spans="2:21" ht="15.75" hidden="1" customHeight="1" outlineLevel="1">
      <c r="B342" s="167"/>
      <c r="C342" s="353" t="s">
        <v>440</v>
      </c>
      <c r="D342" s="242"/>
      <c r="E342" s="363"/>
      <c r="F342" s="246"/>
      <c r="G342" s="362"/>
      <c r="H342" s="362"/>
      <c r="I342" s="274"/>
      <c r="J342" s="274"/>
      <c r="K342" s="274"/>
      <c r="L342" s="274"/>
      <c r="M342" s="274"/>
      <c r="N342" s="274">
        <f>N289/M289-1</f>
        <v>4.2225247308532801</v>
      </c>
      <c r="O342" s="274">
        <f>O289/N289-1</f>
        <v>-0.5778742212136474</v>
      </c>
      <c r="P342" s="274"/>
      <c r="Q342" s="274"/>
      <c r="R342" s="274"/>
      <c r="S342" s="274"/>
      <c r="T342" s="168"/>
      <c r="U342" s="168"/>
    </row>
    <row r="343" spans="2:21" ht="15.75" hidden="1" customHeight="1" outlineLevel="1">
      <c r="B343" s="167"/>
      <c r="C343" s="353" t="s">
        <v>532</v>
      </c>
      <c r="D343" s="242"/>
      <c r="E343" s="363"/>
      <c r="F343" s="246"/>
      <c r="G343" s="362"/>
      <c r="H343" s="362"/>
      <c r="I343" s="274"/>
      <c r="J343" s="274"/>
      <c r="K343" s="274"/>
      <c r="L343" s="274"/>
      <c r="M343" s="274"/>
      <c r="N343" s="274">
        <f ca="1">N333/M333-1</f>
        <v>-1.7435160917351125</v>
      </c>
      <c r="O343" s="274">
        <f ca="1">O333/N333-1</f>
        <v>-0.94806236698193569</v>
      </c>
      <c r="P343" s="274"/>
      <c r="Q343" s="274"/>
      <c r="R343" s="274"/>
      <c r="S343" s="274"/>
      <c r="T343" s="168"/>
      <c r="U343" s="168"/>
    </row>
    <row r="344" spans="2:21" ht="15.75" hidden="1" customHeight="1" outlineLevel="1">
      <c r="B344" s="167"/>
      <c r="C344" s="353" t="s">
        <v>533</v>
      </c>
      <c r="D344" s="242"/>
      <c r="E344" s="363"/>
      <c r="F344" s="246"/>
      <c r="G344" s="362"/>
      <c r="H344" s="362"/>
      <c r="I344" s="274"/>
      <c r="J344" s="274"/>
      <c r="K344" s="274"/>
      <c r="L344" s="274"/>
      <c r="M344" s="274"/>
      <c r="N344" s="274">
        <f>N335/M335-1</f>
        <v>5.2291485242423885E-2</v>
      </c>
      <c r="O344" s="274">
        <f>O335/N335-1</f>
        <v>1.7077939903550203</v>
      </c>
      <c r="P344" s="274"/>
      <c r="Q344" s="274"/>
      <c r="R344" s="274"/>
      <c r="S344" s="274"/>
      <c r="T344" s="168"/>
      <c r="U344" s="168"/>
    </row>
    <row r="345" spans="2:21" ht="15.75" hidden="1" customHeight="1" outlineLevel="1">
      <c r="B345" s="215"/>
      <c r="C345" s="353" t="s">
        <v>441</v>
      </c>
      <c r="D345" s="242"/>
      <c r="E345" s="249"/>
      <c r="F345" s="246"/>
      <c r="G345" s="362"/>
      <c r="H345" s="362"/>
      <c r="I345" s="274"/>
      <c r="J345" s="274"/>
      <c r="K345" s="274"/>
      <c r="L345" s="274"/>
      <c r="M345" s="274"/>
      <c r="N345" s="274">
        <f ca="1">N304/M304-1</f>
        <v>-5.0775104469727195</v>
      </c>
      <c r="O345" s="274">
        <f ca="1">O304/N304-1</f>
        <v>-0.82499960387233739</v>
      </c>
      <c r="P345" s="274"/>
      <c r="Q345" s="274"/>
      <c r="R345" s="274"/>
      <c r="S345" s="274"/>
      <c r="T345" s="168"/>
      <c r="U345" s="168"/>
    </row>
    <row r="346" spans="2:21" ht="15.75" hidden="1" customHeight="1" outlineLevel="1">
      <c r="B346" s="167"/>
      <c r="C346" s="353" t="s">
        <v>442</v>
      </c>
      <c r="D346" s="242"/>
      <c r="E346" s="363"/>
      <c r="F346" s="246"/>
      <c r="G346" s="362"/>
      <c r="H346" s="362"/>
      <c r="I346" s="274"/>
      <c r="J346" s="274"/>
      <c r="K346" s="274"/>
      <c r="L346" s="274"/>
      <c r="M346" s="274"/>
      <c r="N346" s="274">
        <f ca="1">N308/M308-1</f>
        <v>-5.9451772061268038</v>
      </c>
      <c r="O346" s="274">
        <f ca="1">O308/N308-1</f>
        <v>-0.79898194823447621</v>
      </c>
      <c r="P346" s="274"/>
      <c r="Q346" s="274"/>
      <c r="R346" s="274"/>
      <c r="S346" s="274"/>
      <c r="T346" s="168"/>
      <c r="U346" s="168"/>
    </row>
    <row r="347" spans="2:21" ht="15.75" hidden="1" customHeight="1" outlineLevel="1">
      <c r="B347" s="242"/>
      <c r="C347" s="353" t="s">
        <v>443</v>
      </c>
      <c r="D347" s="242"/>
      <c r="E347" s="363"/>
      <c r="F347" s="246"/>
      <c r="G347" s="362"/>
      <c r="H347" s="362"/>
      <c r="I347" s="274"/>
      <c r="J347" s="274"/>
      <c r="K347" s="274"/>
      <c r="L347" s="274"/>
      <c r="M347" s="274"/>
      <c r="N347" s="274">
        <f ca="1">N319/M319-1</f>
        <v>-5.9451772061268038</v>
      </c>
      <c r="O347" s="274">
        <f ca="1">O319/N319-1</f>
        <v>-0.83918555858758093</v>
      </c>
      <c r="P347" s="274"/>
      <c r="Q347" s="274"/>
      <c r="R347" s="274"/>
      <c r="S347" s="274"/>
      <c r="T347" s="168"/>
      <c r="U347" s="168"/>
    </row>
    <row r="348" spans="2:21" ht="15.75" hidden="1" customHeight="1" outlineLevel="1">
      <c r="B348" s="167"/>
      <c r="C348" s="356"/>
      <c r="D348" s="242"/>
      <c r="E348" s="363"/>
      <c r="F348" s="246"/>
      <c r="G348" s="365"/>
      <c r="H348" s="365"/>
      <c r="I348" s="240"/>
      <c r="J348" s="246"/>
      <c r="K348" s="246"/>
      <c r="L348" s="246"/>
      <c r="M348" s="215"/>
      <c r="N348" s="215"/>
      <c r="O348" s="215"/>
      <c r="P348" s="215"/>
      <c r="Q348" s="215"/>
      <c r="R348" s="215"/>
      <c r="S348" s="215"/>
      <c r="T348" s="168"/>
      <c r="U348" s="168"/>
    </row>
    <row r="349" spans="2:21" ht="15.75" hidden="1" customHeight="1" outlineLevel="1">
      <c r="B349" s="167"/>
      <c r="C349" s="356" t="s">
        <v>444</v>
      </c>
      <c r="D349" s="242"/>
      <c r="E349" s="249"/>
      <c r="F349" s="242"/>
      <c r="G349" s="362"/>
      <c r="H349" s="362"/>
      <c r="I349" s="243"/>
      <c r="J349" s="243"/>
      <c r="K349" s="243"/>
      <c r="L349" s="243"/>
      <c r="M349" s="243">
        <v>0.24</v>
      </c>
      <c r="N349" s="243">
        <f>M349</f>
        <v>0.24</v>
      </c>
      <c r="O349" s="243">
        <v>0.2</v>
      </c>
      <c r="P349" s="243"/>
      <c r="Q349" s="243"/>
      <c r="R349" s="243"/>
      <c r="S349" s="243"/>
      <c r="T349" s="168"/>
      <c r="U349" s="168"/>
    </row>
    <row r="350" spans="2:21" ht="15.75" hidden="1" customHeight="1" outlineLevel="1">
      <c r="B350" s="167"/>
      <c r="C350" s="356" t="s">
        <v>454</v>
      </c>
      <c r="D350" s="242"/>
      <c r="E350" s="363"/>
      <c r="F350" s="246"/>
      <c r="G350" s="362"/>
      <c r="H350" s="362"/>
      <c r="I350" s="243"/>
      <c r="J350" s="243"/>
      <c r="K350" s="243"/>
      <c r="L350" s="243"/>
      <c r="M350" s="243">
        <v>0.04</v>
      </c>
      <c r="N350" s="243">
        <f>M350</f>
        <v>0.04</v>
      </c>
      <c r="O350" s="243">
        <f>N350</f>
        <v>0.04</v>
      </c>
      <c r="P350" s="243"/>
      <c r="Q350" s="243"/>
      <c r="R350" s="243"/>
      <c r="S350" s="243"/>
      <c r="T350" s="168"/>
      <c r="U350" s="168"/>
    </row>
    <row r="351" spans="2:21" ht="15.75" hidden="1" customHeight="1" outlineLevel="1">
      <c r="B351" s="167"/>
      <c r="C351" s="242"/>
      <c r="D351" s="242"/>
      <c r="E351" s="249"/>
      <c r="F351" s="246"/>
      <c r="G351" s="365"/>
      <c r="H351" s="365"/>
      <c r="I351" s="240"/>
      <c r="J351" s="240"/>
      <c r="K351" s="240"/>
      <c r="L351" s="240"/>
      <c r="M351" s="215"/>
      <c r="N351" s="215"/>
      <c r="O351" s="215"/>
      <c r="P351" s="215"/>
      <c r="Q351" s="215"/>
      <c r="R351" s="215"/>
      <c r="S351" s="215"/>
      <c r="T351" s="168"/>
      <c r="U351" s="168"/>
    </row>
    <row r="352" spans="2:21" ht="15.75" hidden="1" customHeight="1" outlineLevel="1">
      <c r="B352" s="167"/>
      <c r="C352" s="242"/>
      <c r="D352" s="242"/>
      <c r="E352" s="249"/>
      <c r="F352" s="242"/>
      <c r="G352" s="167"/>
      <c r="H352" s="167"/>
      <c r="I352" s="240"/>
      <c r="J352" s="240"/>
      <c r="K352" s="240"/>
      <c r="L352" s="240"/>
      <c r="M352" s="215"/>
      <c r="N352" s="215"/>
      <c r="O352" s="215"/>
      <c r="P352" s="215"/>
      <c r="Q352" s="215"/>
      <c r="R352" s="215"/>
      <c r="S352" s="215"/>
      <c r="T352" s="168"/>
      <c r="U352" s="168"/>
    </row>
    <row r="353" spans="2:21" ht="15.75" hidden="1" customHeight="1" outlineLevel="1">
      <c r="B353" s="167"/>
      <c r="C353" s="242"/>
      <c r="D353" s="242"/>
      <c r="E353" s="249"/>
      <c r="F353" s="242"/>
      <c r="G353" s="167"/>
      <c r="H353" s="167"/>
      <c r="I353" s="240"/>
      <c r="J353" s="240"/>
      <c r="K353" s="240"/>
      <c r="L353" s="240"/>
      <c r="M353" s="215"/>
      <c r="N353" s="215"/>
      <c r="O353" s="215"/>
      <c r="P353" s="215"/>
      <c r="Q353" s="215"/>
      <c r="R353" s="215"/>
      <c r="S353" s="215"/>
      <c r="T353" s="168"/>
      <c r="U353" s="168"/>
    </row>
    <row r="354" spans="2:21" ht="15.75" hidden="1" customHeight="1" outlineLevel="1">
      <c r="B354" s="167"/>
      <c r="C354" s="242"/>
      <c r="D354" s="242"/>
      <c r="E354" s="249"/>
      <c r="F354" s="242"/>
      <c r="G354" s="167"/>
      <c r="H354" s="167"/>
      <c r="I354" s="240"/>
      <c r="J354" s="240"/>
      <c r="K354" s="275"/>
      <c r="L354" s="240"/>
      <c r="M354" s="215"/>
      <c r="N354" s="215"/>
      <c r="O354" s="215"/>
      <c r="P354" s="215"/>
      <c r="Q354" s="215"/>
      <c r="R354" s="215"/>
      <c r="S354" s="215"/>
      <c r="T354" s="168"/>
      <c r="U354" s="168"/>
    </row>
    <row r="355" spans="2:21" ht="15.75" hidden="1" customHeight="1" outlineLevel="1">
      <c r="B355" s="167"/>
      <c r="C355" s="242"/>
      <c r="D355" s="242"/>
      <c r="E355" s="249"/>
      <c r="F355" s="242"/>
      <c r="G355" s="167"/>
      <c r="H355" s="167"/>
      <c r="I355" s="240"/>
      <c r="J355" s="240"/>
      <c r="K355" s="240"/>
      <c r="L355" s="240"/>
      <c r="M355" s="215"/>
      <c r="N355" s="215"/>
      <c r="O355" s="215"/>
      <c r="P355" s="215"/>
      <c r="Q355" s="215"/>
      <c r="R355" s="215"/>
      <c r="S355" s="215"/>
      <c r="T355" s="168"/>
      <c r="U355" s="168"/>
    </row>
    <row r="356" spans="2:21" ht="27" hidden="1" customHeight="1" outlineLevel="1">
      <c r="B356" s="242"/>
      <c r="C356" s="366" t="s">
        <v>370</v>
      </c>
      <c r="D356" s="168"/>
      <c r="E356" s="168"/>
      <c r="F356" s="168"/>
      <c r="G356" s="167"/>
      <c r="H356" s="167"/>
      <c r="I356" s="254"/>
      <c r="J356" s="254"/>
      <c r="K356" s="367"/>
      <c r="L356" s="368"/>
      <c r="M356" s="367"/>
      <c r="N356" s="368"/>
      <c r="O356" s="368"/>
      <c r="P356" s="368"/>
      <c r="Q356" s="368"/>
      <c r="R356" s="368"/>
      <c r="S356" s="368"/>
      <c r="T356" s="168"/>
      <c r="U356" s="168"/>
    </row>
    <row r="357" spans="2:21" ht="3" hidden="1" customHeight="1" outlineLevel="1">
      <c r="B357" s="242"/>
      <c r="C357" s="229"/>
      <c r="D357" s="229"/>
      <c r="E357" s="229"/>
      <c r="F357" s="229"/>
      <c r="G357" s="300"/>
      <c r="H357" s="300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168"/>
      <c r="U357" s="168"/>
    </row>
    <row r="358" spans="2:21" ht="15.75" hidden="1" customHeight="1" outlineLevel="1">
      <c r="B358" s="242"/>
      <c r="C358" s="168"/>
      <c r="D358" s="168"/>
      <c r="E358" s="168"/>
      <c r="F358" s="168"/>
      <c r="G358" s="167"/>
      <c r="H358" s="167"/>
      <c r="I358" s="254"/>
      <c r="J358" s="254"/>
      <c r="K358" s="367"/>
      <c r="L358" s="368"/>
      <c r="M358" s="367"/>
      <c r="N358" s="368"/>
      <c r="O358" s="368"/>
      <c r="P358" s="368"/>
      <c r="Q358" s="368"/>
      <c r="R358" s="368"/>
      <c r="S358" s="368"/>
      <c r="T358" s="168"/>
      <c r="U358" s="168"/>
    </row>
    <row r="359" spans="2:21" ht="15.75" hidden="1" customHeight="1" outlineLevel="1">
      <c r="B359" s="215"/>
      <c r="C359" s="313" t="s">
        <v>418</v>
      </c>
      <c r="D359" s="168"/>
      <c r="E359" s="168"/>
      <c r="F359" s="168"/>
      <c r="G359" s="167"/>
      <c r="H359" s="167"/>
      <c r="I359" s="254"/>
      <c r="J359" s="254"/>
      <c r="K359" s="367"/>
      <c r="L359" s="368"/>
      <c r="M359" s="367"/>
      <c r="N359" s="368"/>
      <c r="O359" s="368"/>
      <c r="P359" s="368"/>
      <c r="Q359" s="368"/>
      <c r="R359" s="368"/>
      <c r="S359" s="368"/>
      <c r="T359" s="168"/>
      <c r="U359" s="168"/>
    </row>
    <row r="360" spans="2:21" ht="15.75" hidden="1" customHeight="1" outlineLevel="1">
      <c r="B360" s="215"/>
      <c r="C360" s="348"/>
      <c r="D360" s="233"/>
      <c r="E360" s="233"/>
      <c r="F360" s="233"/>
      <c r="G360" s="338"/>
      <c r="H360" s="174">
        <v>0</v>
      </c>
      <c r="I360" s="174">
        <v>0</v>
      </c>
      <c r="J360" s="174">
        <v>1</v>
      </c>
      <c r="K360" s="174">
        <v>2</v>
      </c>
      <c r="L360" s="174">
        <f t="shared" ref="L360:M362" si="101">L285</f>
        <v>3</v>
      </c>
      <c r="M360" s="174" t="str">
        <f t="shared" si="101"/>
        <v>1 Year</v>
      </c>
      <c r="N360" s="174" t="str">
        <f t="shared" ref="N360:Q362" si="102">N285</f>
        <v>2 Year</v>
      </c>
      <c r="O360" s="174" t="str">
        <f t="shared" si="102"/>
        <v>3 Year</v>
      </c>
      <c r="P360" s="174" t="str">
        <f t="shared" si="102"/>
        <v>4 Year</v>
      </c>
      <c r="Q360" s="174" t="str">
        <f t="shared" si="102"/>
        <v>5 Year</v>
      </c>
      <c r="R360" s="174" t="str">
        <f t="shared" ref="R360:S362" si="103">R285</f>
        <v>6 Year</v>
      </c>
      <c r="S360" s="174" t="str">
        <f t="shared" si="103"/>
        <v>7 Year</v>
      </c>
      <c r="T360" s="168"/>
      <c r="U360" s="168"/>
    </row>
    <row r="361" spans="2:21" ht="15.75" hidden="1" customHeight="1" outlineLevel="1">
      <c r="B361" s="215"/>
      <c r="C361" s="349"/>
      <c r="D361" s="234"/>
      <c r="E361" s="234"/>
      <c r="F361" s="234"/>
      <c r="G361" s="325"/>
      <c r="H361" s="176"/>
      <c r="I361" s="176"/>
      <c r="J361" s="176"/>
      <c r="K361" s="176"/>
      <c r="L361" s="176"/>
      <c r="M361" s="176"/>
      <c r="N361" s="176"/>
      <c r="O361" s="176"/>
      <c r="P361" s="176"/>
      <c r="Q361" s="176"/>
      <c r="R361" s="176"/>
      <c r="S361" s="176"/>
      <c r="T361" s="168"/>
      <c r="U361" s="168"/>
    </row>
    <row r="362" spans="2:21" ht="15.75" hidden="1" customHeight="1" outlineLevel="1">
      <c r="B362" s="215"/>
      <c r="C362" s="359"/>
      <c r="D362" s="260"/>
      <c r="E362" s="235"/>
      <c r="F362" s="235"/>
      <c r="G362" s="326"/>
      <c r="H362" s="213" t="s">
        <v>499</v>
      </c>
      <c r="I362" s="213" t="s">
        <v>499</v>
      </c>
      <c r="J362" s="213" t="s">
        <v>499</v>
      </c>
      <c r="K362" s="213" t="s">
        <v>499</v>
      </c>
      <c r="L362" s="213" t="str">
        <f t="shared" si="101"/>
        <v>($)</v>
      </c>
      <c r="M362" s="213" t="str">
        <f t="shared" si="101"/>
        <v>($)</v>
      </c>
      <c r="N362" s="213" t="str">
        <f t="shared" si="102"/>
        <v>($)</v>
      </c>
      <c r="O362" s="213" t="str">
        <f t="shared" si="102"/>
        <v>($)</v>
      </c>
      <c r="P362" s="213" t="str">
        <f t="shared" si="102"/>
        <v>($)</v>
      </c>
      <c r="Q362" s="213" t="str">
        <f t="shared" si="102"/>
        <v>($)</v>
      </c>
      <c r="R362" s="213" t="str">
        <f t="shared" si="103"/>
        <v>($)</v>
      </c>
      <c r="S362" s="213" t="str">
        <f t="shared" si="103"/>
        <v>($)</v>
      </c>
      <c r="T362" s="168"/>
      <c r="U362" s="168"/>
    </row>
    <row r="363" spans="2:21" ht="15.75" hidden="1" customHeight="1" outlineLevel="1">
      <c r="B363" s="215"/>
      <c r="C363" s="242"/>
      <c r="D363" s="242"/>
      <c r="E363" s="276"/>
      <c r="F363" s="246"/>
      <c r="G363" s="365"/>
      <c r="H363" s="365"/>
      <c r="I363" s="242"/>
      <c r="J363" s="242"/>
      <c r="K363" s="246"/>
      <c r="L363" s="246"/>
      <c r="M363" s="246"/>
      <c r="N363" s="246"/>
      <c r="O363" s="246"/>
      <c r="P363" s="246"/>
      <c r="Q363" s="246"/>
      <c r="R363" s="246"/>
      <c r="S363" s="246"/>
      <c r="T363" s="168"/>
      <c r="U363" s="168"/>
    </row>
    <row r="364" spans="2:21" ht="15.75" hidden="1" customHeight="1" outlineLevel="1">
      <c r="B364" s="215"/>
      <c r="C364" s="369" t="s">
        <v>378</v>
      </c>
      <c r="D364" s="215"/>
      <c r="E364" s="248"/>
      <c r="F364" s="248"/>
      <c r="G364" s="360"/>
      <c r="H364" s="360"/>
      <c r="I364" s="242"/>
      <c r="J364" s="242"/>
      <c r="K364" s="370"/>
      <c r="L364" s="370"/>
      <c r="M364" s="370"/>
      <c r="N364" s="370"/>
      <c r="O364" s="370"/>
      <c r="P364" s="370"/>
      <c r="Q364" s="370"/>
      <c r="R364" s="370"/>
      <c r="S364" s="370"/>
      <c r="T364" s="168"/>
      <c r="U364" s="168"/>
    </row>
    <row r="365" spans="2:21" ht="15.75" hidden="1" customHeight="1" outlineLevel="1">
      <c r="B365" s="215"/>
      <c r="C365" s="242" t="s">
        <v>379</v>
      </c>
      <c r="D365" s="215"/>
      <c r="E365" s="249"/>
      <c r="F365" s="249"/>
      <c r="G365" s="167"/>
      <c r="H365" s="246"/>
      <c r="I365" s="246"/>
      <c r="J365" s="246"/>
      <c r="K365" s="246"/>
      <c r="L365" s="246"/>
      <c r="M365" s="246">
        <f t="shared" ref="M365:S365" ca="1" si="104">M449</f>
        <v>1491546.8054916763</v>
      </c>
      <c r="N365" s="246">
        <f t="shared" ca="1" si="104"/>
        <v>-7919819.4968412239</v>
      </c>
      <c r="O365" s="246">
        <f t="shared" ca="1" si="104"/>
        <v>-9008526.0343297031</v>
      </c>
      <c r="P365" s="246">
        <f t="shared" si="104"/>
        <v>0</v>
      </c>
      <c r="Q365" s="246">
        <f t="shared" si="104"/>
        <v>0</v>
      </c>
      <c r="R365" s="246">
        <f t="shared" si="104"/>
        <v>0</v>
      </c>
      <c r="S365" s="246">
        <f t="shared" si="104"/>
        <v>0</v>
      </c>
      <c r="T365" s="168"/>
      <c r="U365" s="168"/>
    </row>
    <row r="366" spans="2:21" ht="15.75" hidden="1" customHeight="1" outlineLevel="1">
      <c r="B366" s="215"/>
      <c r="C366" s="242" t="s">
        <v>380</v>
      </c>
      <c r="D366" s="242"/>
      <c r="E366" s="242"/>
      <c r="F366" s="242"/>
      <c r="G366" s="167"/>
      <c r="H366" s="246"/>
      <c r="I366" s="246"/>
      <c r="J366" s="246"/>
      <c r="K366" s="246"/>
      <c r="L366" s="246"/>
      <c r="M366" s="246">
        <f t="shared" ref="M366:R366" si="105">SUM(M367:M368)</f>
        <v>460250.17344711721</v>
      </c>
      <c r="N366" s="246">
        <f t="shared" si="105"/>
        <v>2403667.9132070811</v>
      </c>
      <c r="O366" s="246">
        <f t="shared" si="105"/>
        <v>2403667.9132070811</v>
      </c>
      <c r="P366" s="246">
        <f t="shared" si="105"/>
        <v>0</v>
      </c>
      <c r="Q366" s="246">
        <f t="shared" si="105"/>
        <v>0</v>
      </c>
      <c r="R366" s="246">
        <f t="shared" si="105"/>
        <v>0</v>
      </c>
      <c r="S366" s="246">
        <f>SUM(S367:S368)</f>
        <v>0</v>
      </c>
      <c r="T366" s="168"/>
      <c r="U366" s="168"/>
    </row>
    <row r="367" spans="2:21" ht="15.75" hidden="1" customHeight="1" outlineLevel="1">
      <c r="B367" s="215"/>
      <c r="C367" s="371" t="s">
        <v>381</v>
      </c>
      <c r="D367" s="242"/>
      <c r="E367" s="276"/>
      <c r="F367" s="246"/>
      <c r="G367" s="167"/>
      <c r="H367" s="246"/>
      <c r="I367" s="246"/>
      <c r="J367" s="246"/>
      <c r="K367" s="246"/>
      <c r="L367" s="246"/>
      <c r="M367" s="246">
        <f t="shared" ref="M367:Q369" si="106">M477</f>
        <v>234821.5170648557</v>
      </c>
      <c r="N367" s="246">
        <f>N477</f>
        <v>1226361.1802076944</v>
      </c>
      <c r="O367" s="246">
        <f t="shared" si="106"/>
        <v>1226361.1802076944</v>
      </c>
      <c r="P367" s="246">
        <f t="shared" si="106"/>
        <v>0</v>
      </c>
      <c r="Q367" s="246">
        <f t="shared" si="106"/>
        <v>0</v>
      </c>
      <c r="R367" s="246">
        <f t="shared" ref="R367:S369" si="107">R477</f>
        <v>0</v>
      </c>
      <c r="S367" s="246">
        <f t="shared" si="107"/>
        <v>0</v>
      </c>
      <c r="T367" s="168"/>
      <c r="U367" s="168"/>
    </row>
    <row r="368" spans="2:21" ht="15.75" hidden="1" customHeight="1" outlineLevel="1">
      <c r="B368" s="215"/>
      <c r="C368" s="371" t="s">
        <v>382</v>
      </c>
      <c r="D368" s="242"/>
      <c r="E368" s="276"/>
      <c r="F368" s="246"/>
      <c r="G368" s="167"/>
      <c r="H368" s="246"/>
      <c r="I368" s="246"/>
      <c r="J368" s="246"/>
      <c r="K368" s="246"/>
      <c r="L368" s="246"/>
      <c r="M368" s="246">
        <f t="shared" si="106"/>
        <v>225428.65638226148</v>
      </c>
      <c r="N368" s="246">
        <f>N478</f>
        <v>1177306.7329993867</v>
      </c>
      <c r="O368" s="246">
        <f t="shared" si="106"/>
        <v>1177306.7329993867</v>
      </c>
      <c r="P368" s="246">
        <f t="shared" si="106"/>
        <v>0</v>
      </c>
      <c r="Q368" s="246">
        <f t="shared" si="106"/>
        <v>0</v>
      </c>
      <c r="R368" s="246">
        <f t="shared" si="107"/>
        <v>0</v>
      </c>
      <c r="S368" s="246">
        <f t="shared" si="107"/>
        <v>0</v>
      </c>
      <c r="T368" s="168"/>
      <c r="U368" s="168"/>
    </row>
    <row r="369" spans="2:21" ht="15.75" hidden="1" customHeight="1" outlineLevel="1">
      <c r="B369" s="215"/>
      <c r="C369" s="242" t="s">
        <v>383</v>
      </c>
      <c r="D369" s="242"/>
      <c r="E369" s="276"/>
      <c r="F369" s="246"/>
      <c r="G369" s="167"/>
      <c r="H369" s="246"/>
      <c r="I369" s="246"/>
      <c r="J369" s="246"/>
      <c r="K369" s="246"/>
      <c r="L369" s="246"/>
      <c r="M369" s="246">
        <f t="shared" ca="1" si="106"/>
        <v>246048.41420450294</v>
      </c>
      <c r="N369" s="246">
        <f ca="1">N479</f>
        <v>2607128.8147526402</v>
      </c>
      <c r="O369" s="246">
        <f t="shared" ca="1" si="106"/>
        <v>2607128.8147526402</v>
      </c>
      <c r="P369" s="246">
        <f t="shared" si="106"/>
        <v>0</v>
      </c>
      <c r="Q369" s="246">
        <f t="shared" si="106"/>
        <v>0</v>
      </c>
      <c r="R369" s="246">
        <f t="shared" si="107"/>
        <v>0</v>
      </c>
      <c r="S369" s="246">
        <f t="shared" si="107"/>
        <v>0</v>
      </c>
      <c r="T369" s="168"/>
      <c r="U369" s="168"/>
    </row>
    <row r="370" spans="2:21" ht="15.75" hidden="1" customHeight="1" outlineLevel="1">
      <c r="B370" s="215"/>
      <c r="C370" s="242" t="s">
        <v>344</v>
      </c>
      <c r="D370" s="242"/>
      <c r="E370" s="276"/>
      <c r="F370" s="246"/>
      <c r="G370" s="167"/>
      <c r="H370" s="246"/>
      <c r="I370" s="246"/>
      <c r="J370" s="246"/>
      <c r="K370" s="246"/>
      <c r="L370" s="246"/>
      <c r="M370" s="246">
        <f t="shared" ref="M370:S370" si="108">L370</f>
        <v>0</v>
      </c>
      <c r="N370" s="246">
        <f t="shared" si="108"/>
        <v>0</v>
      </c>
      <c r="O370" s="246">
        <f t="shared" si="108"/>
        <v>0</v>
      </c>
      <c r="P370" s="246">
        <f t="shared" si="108"/>
        <v>0</v>
      </c>
      <c r="Q370" s="246">
        <f t="shared" si="108"/>
        <v>0</v>
      </c>
      <c r="R370" s="246">
        <f t="shared" si="108"/>
        <v>0</v>
      </c>
      <c r="S370" s="246">
        <f t="shared" si="108"/>
        <v>0</v>
      </c>
      <c r="T370" s="168"/>
      <c r="U370" s="168"/>
    </row>
    <row r="371" spans="2:21" ht="15.75" hidden="1" customHeight="1" outlineLevel="1">
      <c r="B371" s="215"/>
      <c r="C371" s="242" t="s">
        <v>536</v>
      </c>
      <c r="D371" s="242"/>
      <c r="E371" s="276"/>
      <c r="F371" s="246"/>
      <c r="G371" s="167"/>
      <c r="H371" s="246"/>
      <c r="I371" s="246"/>
      <c r="J371" s="246"/>
      <c r="K371" s="246"/>
      <c r="L371" s="246"/>
      <c r="M371" s="246">
        <f t="shared" ref="M371:R371" si="109">M493</f>
        <v>0</v>
      </c>
      <c r="N371" s="246">
        <f t="shared" si="109"/>
        <v>0</v>
      </c>
      <c r="O371" s="246">
        <f t="shared" si="109"/>
        <v>0</v>
      </c>
      <c r="P371" s="246">
        <f t="shared" si="109"/>
        <v>0</v>
      </c>
      <c r="Q371" s="246">
        <f t="shared" si="109"/>
        <v>0</v>
      </c>
      <c r="R371" s="246">
        <f t="shared" si="109"/>
        <v>0</v>
      </c>
      <c r="S371" s="246">
        <f>S493</f>
        <v>0</v>
      </c>
      <c r="T371" s="168"/>
      <c r="U371" s="168"/>
    </row>
    <row r="372" spans="2:21" ht="15.75" hidden="1" customHeight="1" outlineLevel="1">
      <c r="B372" s="215"/>
      <c r="C372" s="242" t="s">
        <v>384</v>
      </c>
      <c r="D372" s="242"/>
      <c r="E372" s="276"/>
      <c r="F372" s="246"/>
      <c r="G372" s="167"/>
      <c r="H372" s="246"/>
      <c r="I372" s="246"/>
      <c r="J372" s="246"/>
      <c r="K372" s="246"/>
      <c r="L372" s="246"/>
      <c r="M372" s="246">
        <f t="shared" ref="M372:S372" ca="1" si="110">SUM(M365:M366,M369:M371)</f>
        <v>2197845.3931432962</v>
      </c>
      <c r="N372" s="246">
        <f t="shared" ca="1" si="110"/>
        <v>-2909022.7688815026</v>
      </c>
      <c r="O372" s="246">
        <f t="shared" ca="1" si="110"/>
        <v>-3997729.3063699817</v>
      </c>
      <c r="P372" s="246">
        <f t="shared" si="110"/>
        <v>0</v>
      </c>
      <c r="Q372" s="246">
        <f t="shared" si="110"/>
        <v>0</v>
      </c>
      <c r="R372" s="246">
        <f t="shared" si="110"/>
        <v>0</v>
      </c>
      <c r="S372" s="246">
        <f t="shared" si="110"/>
        <v>0</v>
      </c>
      <c r="T372" s="168"/>
      <c r="U372" s="168"/>
    </row>
    <row r="373" spans="2:21" ht="15.75" hidden="1" customHeight="1" outlineLevel="1">
      <c r="B373" s="215"/>
      <c r="C373" s="242"/>
      <c r="D373" s="242"/>
      <c r="E373" s="276"/>
      <c r="F373" s="246"/>
      <c r="G373" s="167"/>
      <c r="H373" s="246"/>
      <c r="I373" s="246"/>
      <c r="J373" s="246"/>
      <c r="K373" s="246"/>
      <c r="L373" s="246"/>
      <c r="M373" s="246"/>
      <c r="N373" s="246"/>
      <c r="O373" s="246"/>
      <c r="P373" s="246"/>
      <c r="Q373" s="246"/>
      <c r="R373" s="246"/>
      <c r="S373" s="246"/>
      <c r="T373" s="168"/>
      <c r="U373" s="168"/>
    </row>
    <row r="374" spans="2:21" ht="15.75" hidden="1" customHeight="1" outlineLevel="1">
      <c r="B374" s="215"/>
      <c r="C374" s="242" t="s">
        <v>150</v>
      </c>
      <c r="D374" s="242"/>
      <c r="E374" s="242"/>
      <c r="F374" s="242"/>
      <c r="G374" s="167"/>
      <c r="H374" s="246"/>
      <c r="I374" s="246"/>
      <c r="J374" s="246"/>
      <c r="K374" s="246"/>
      <c r="L374" s="246"/>
      <c r="M374" s="246">
        <f t="shared" ref="M374:R374" si="111">M521</f>
        <v>645480</v>
      </c>
      <c r="N374" s="246">
        <f t="shared" si="111"/>
        <v>619400</v>
      </c>
      <c r="O374" s="246">
        <f t="shared" si="111"/>
        <v>608533.33333333337</v>
      </c>
      <c r="P374" s="246">
        <f t="shared" si="111"/>
        <v>0</v>
      </c>
      <c r="Q374" s="246">
        <f t="shared" si="111"/>
        <v>0</v>
      </c>
      <c r="R374" s="246">
        <f t="shared" si="111"/>
        <v>0</v>
      </c>
      <c r="S374" s="246">
        <f>S521</f>
        <v>0</v>
      </c>
      <c r="T374" s="168"/>
      <c r="U374" s="168"/>
    </row>
    <row r="375" spans="2:21" ht="15.75" hidden="1" customHeight="1" outlineLevel="1">
      <c r="B375" s="215"/>
      <c r="C375" s="242" t="s">
        <v>151</v>
      </c>
      <c r="D375" s="242"/>
      <c r="E375" s="276"/>
      <c r="F375" s="246"/>
      <c r="G375" s="167"/>
      <c r="H375" s="246"/>
      <c r="I375" s="246"/>
      <c r="J375" s="246"/>
      <c r="K375" s="246"/>
      <c r="L375" s="246"/>
      <c r="M375" s="246">
        <f t="shared" ref="M375:R375" ca="1" si="112">M527</f>
        <v>4118813.3333333335</v>
      </c>
      <c r="N375" s="246">
        <f t="shared" ca="1" si="112"/>
        <v>3528560.6815915285</v>
      </c>
      <c r="O375" s="246">
        <f t="shared" ca="1" si="112"/>
        <v>3182661.5829873746</v>
      </c>
      <c r="P375" s="246">
        <f t="shared" si="112"/>
        <v>0</v>
      </c>
      <c r="Q375" s="246">
        <f t="shared" si="112"/>
        <v>0</v>
      </c>
      <c r="R375" s="246">
        <f t="shared" si="112"/>
        <v>0</v>
      </c>
      <c r="S375" s="246">
        <f>S527</f>
        <v>0</v>
      </c>
      <c r="T375" s="168"/>
      <c r="U375" s="168"/>
    </row>
    <row r="376" spans="2:21" ht="15.75" hidden="1" customHeight="1" outlineLevel="1">
      <c r="B376" s="215"/>
      <c r="C376" s="242" t="s">
        <v>497</v>
      </c>
      <c r="D376" s="242"/>
      <c r="E376" s="276"/>
      <c r="F376" s="246"/>
      <c r="G376" s="167"/>
      <c r="H376" s="246"/>
      <c r="I376" s="246"/>
      <c r="J376" s="246"/>
      <c r="K376" s="246"/>
      <c r="L376" s="246"/>
      <c r="M376" s="246">
        <f t="shared" ref="M376:R376" si="113">M494</f>
        <v>441269.36034103058</v>
      </c>
      <c r="N376" s="246">
        <f t="shared" si="113"/>
        <v>0</v>
      </c>
      <c r="O376" s="246">
        <f t="shared" si="113"/>
        <v>0</v>
      </c>
      <c r="P376" s="246">
        <f t="shared" si="113"/>
        <v>0</v>
      </c>
      <c r="Q376" s="246">
        <f t="shared" si="113"/>
        <v>0</v>
      </c>
      <c r="R376" s="246">
        <f t="shared" si="113"/>
        <v>0</v>
      </c>
      <c r="S376" s="246">
        <f>S494</f>
        <v>0</v>
      </c>
      <c r="T376" s="168"/>
      <c r="U376" s="168"/>
    </row>
    <row r="377" spans="2:21" ht="15.75" hidden="1" customHeight="1" outlineLevel="1">
      <c r="B377" s="215"/>
      <c r="C377" s="242" t="s">
        <v>535</v>
      </c>
      <c r="D377" s="242"/>
      <c r="E377" s="276"/>
      <c r="F377" s="246"/>
      <c r="G377" s="167"/>
      <c r="H377" s="246"/>
      <c r="I377" s="246"/>
      <c r="J377" s="246"/>
      <c r="K377" s="246"/>
      <c r="L377" s="246"/>
      <c r="M377" s="246">
        <f t="shared" ref="M377:S377" si="114">L377</f>
        <v>0</v>
      </c>
      <c r="N377" s="246">
        <f t="shared" si="114"/>
        <v>0</v>
      </c>
      <c r="O377" s="246">
        <f t="shared" si="114"/>
        <v>0</v>
      </c>
      <c r="P377" s="246">
        <f t="shared" si="114"/>
        <v>0</v>
      </c>
      <c r="Q377" s="246">
        <f t="shared" si="114"/>
        <v>0</v>
      </c>
      <c r="R377" s="246">
        <f t="shared" si="114"/>
        <v>0</v>
      </c>
      <c r="S377" s="246">
        <f t="shared" si="114"/>
        <v>0</v>
      </c>
      <c r="T377" s="168"/>
      <c r="U377" s="168"/>
    </row>
    <row r="378" spans="2:21" ht="15.75" hidden="1" customHeight="1" outlineLevel="1">
      <c r="B378" s="215"/>
      <c r="C378" s="242"/>
      <c r="D378" s="242"/>
      <c r="E378" s="276"/>
      <c r="F378" s="246"/>
      <c r="G378" s="167"/>
      <c r="H378" s="246"/>
      <c r="I378" s="246"/>
      <c r="J378" s="246"/>
      <c r="K378" s="246"/>
      <c r="L378" s="246"/>
      <c r="M378" s="246"/>
      <c r="N378" s="246"/>
      <c r="O378" s="246"/>
      <c r="P378" s="246"/>
      <c r="Q378" s="246"/>
      <c r="R378" s="246"/>
      <c r="S378" s="246"/>
      <c r="T378" s="168"/>
      <c r="U378" s="168"/>
    </row>
    <row r="379" spans="2:21" ht="15.75" hidden="1" customHeight="1" outlineLevel="1">
      <c r="B379" s="215"/>
      <c r="C379" s="242" t="s">
        <v>385</v>
      </c>
      <c r="D379" s="242"/>
      <c r="E379" s="276"/>
      <c r="F379" s="246"/>
      <c r="G379" s="167"/>
      <c r="H379" s="246"/>
      <c r="I379" s="246"/>
      <c r="J379" s="246"/>
      <c r="K379" s="246"/>
      <c r="L379" s="246"/>
      <c r="M379" s="246">
        <f t="shared" ref="M379:S379" ca="1" si="115">SUM(M372:M377)</f>
        <v>7403408.0868176604</v>
      </c>
      <c r="N379" s="246">
        <f t="shared" ca="1" si="115"/>
        <v>1238937.9127100259</v>
      </c>
      <c r="O379" s="246">
        <f t="shared" ca="1" si="115"/>
        <v>-206534.39004927361</v>
      </c>
      <c r="P379" s="246">
        <f t="shared" si="115"/>
        <v>0</v>
      </c>
      <c r="Q379" s="246">
        <f t="shared" si="115"/>
        <v>0</v>
      </c>
      <c r="R379" s="246">
        <f t="shared" si="115"/>
        <v>0</v>
      </c>
      <c r="S379" s="246">
        <f t="shared" si="115"/>
        <v>0</v>
      </c>
      <c r="T379" s="168"/>
      <c r="U379" s="168"/>
    </row>
    <row r="380" spans="2:21" ht="15.75" hidden="1" customHeight="1" outlineLevel="1">
      <c r="B380" s="215"/>
      <c r="C380" s="372"/>
      <c r="D380" s="242"/>
      <c r="E380" s="242"/>
      <c r="F380" s="242"/>
      <c r="G380" s="167"/>
      <c r="H380" s="246"/>
      <c r="I380" s="246"/>
      <c r="J380" s="246"/>
      <c r="K380" s="246"/>
      <c r="L380" s="246"/>
      <c r="M380" s="246"/>
      <c r="N380" s="246"/>
      <c r="O380" s="246"/>
      <c r="P380" s="246"/>
      <c r="Q380" s="246"/>
      <c r="R380" s="246"/>
      <c r="S380" s="246"/>
      <c r="T380" s="168"/>
      <c r="U380" s="168"/>
    </row>
    <row r="381" spans="2:21" ht="15.75" hidden="1" customHeight="1" outlineLevel="1">
      <c r="B381" s="215"/>
      <c r="C381" s="369" t="s">
        <v>386</v>
      </c>
      <c r="D381" s="242"/>
      <c r="E381" s="242"/>
      <c r="F381" s="242"/>
      <c r="G381" s="167"/>
      <c r="H381" s="246"/>
      <c r="I381" s="246"/>
      <c r="J381" s="246"/>
      <c r="K381" s="246"/>
      <c r="L381" s="246"/>
      <c r="M381" s="246"/>
      <c r="N381" s="246"/>
      <c r="O381" s="246"/>
      <c r="P381" s="246"/>
      <c r="Q381" s="246"/>
      <c r="R381" s="246"/>
      <c r="S381" s="246"/>
      <c r="T381" s="168"/>
      <c r="U381" s="168"/>
    </row>
    <row r="382" spans="2:21" ht="15.75" hidden="1" customHeight="1" outlineLevel="1">
      <c r="B382" s="215"/>
      <c r="C382" s="242" t="s">
        <v>387</v>
      </c>
      <c r="D382" s="242"/>
      <c r="E382" s="242"/>
      <c r="F382" s="242"/>
      <c r="G382" s="167"/>
      <c r="H382" s="246"/>
      <c r="I382" s="246"/>
      <c r="J382" s="246"/>
      <c r="K382" s="246"/>
      <c r="L382" s="246"/>
      <c r="M382" s="246">
        <f t="shared" ref="M382:S382" si="116">SUM(M383:M384)</f>
        <v>665119.55237028608</v>
      </c>
      <c r="N382" s="246">
        <f t="shared" si="116"/>
        <v>3473603.3112278823</v>
      </c>
      <c r="O382" s="246">
        <f t="shared" si="116"/>
        <v>3473603.3112278823</v>
      </c>
      <c r="P382" s="246">
        <f t="shared" si="116"/>
        <v>0</v>
      </c>
      <c r="Q382" s="246">
        <f t="shared" si="116"/>
        <v>0</v>
      </c>
      <c r="R382" s="246">
        <f t="shared" si="116"/>
        <v>0</v>
      </c>
      <c r="S382" s="246">
        <f t="shared" si="116"/>
        <v>0</v>
      </c>
      <c r="T382" s="168"/>
      <c r="U382" s="168"/>
    </row>
    <row r="383" spans="2:21" ht="15.75" hidden="1" customHeight="1" outlineLevel="1">
      <c r="B383" s="215"/>
      <c r="C383" s="371" t="s">
        <v>388</v>
      </c>
      <c r="D383" s="242"/>
      <c r="E383" s="276"/>
      <c r="F383" s="246"/>
      <c r="G383" s="167"/>
      <c r="H383" s="246"/>
      <c r="I383" s="246"/>
      <c r="J383" s="246"/>
      <c r="K383" s="246"/>
      <c r="L383" s="246"/>
      <c r="M383" s="246">
        <f t="shared" ref="M383:R383" si="117">M481</f>
        <v>547916.87315132993</v>
      </c>
      <c r="N383" s="246">
        <f t="shared" si="117"/>
        <v>2861509.4204846201</v>
      </c>
      <c r="O383" s="246">
        <f t="shared" si="117"/>
        <v>2861509.4204846201</v>
      </c>
      <c r="P383" s="246">
        <f t="shared" si="117"/>
        <v>0</v>
      </c>
      <c r="Q383" s="246">
        <f t="shared" si="117"/>
        <v>0</v>
      </c>
      <c r="R383" s="246">
        <f t="shared" si="117"/>
        <v>0</v>
      </c>
      <c r="S383" s="246">
        <f>S481</f>
        <v>0</v>
      </c>
      <c r="T383" s="168"/>
      <c r="U383" s="168"/>
    </row>
    <row r="384" spans="2:21" ht="15.75" hidden="1" customHeight="1" outlineLevel="1">
      <c r="B384" s="215"/>
      <c r="C384" s="371" t="s">
        <v>389</v>
      </c>
      <c r="D384" s="242"/>
      <c r="E384" s="276"/>
      <c r="F384" s="246"/>
      <c r="G384" s="167"/>
      <c r="H384" s="246"/>
      <c r="I384" s="246"/>
      <c r="J384" s="246"/>
      <c r="K384" s="246"/>
      <c r="L384" s="246"/>
      <c r="M384" s="246">
        <f t="shared" ref="M384:R384" si="118">M498</f>
        <v>117202.67921895611</v>
      </c>
      <c r="N384" s="246">
        <f t="shared" si="118"/>
        <v>612093.89074326202</v>
      </c>
      <c r="O384" s="246">
        <f t="shared" si="118"/>
        <v>612093.89074326202</v>
      </c>
      <c r="P384" s="246">
        <f t="shared" si="118"/>
        <v>0</v>
      </c>
      <c r="Q384" s="246">
        <f t="shared" si="118"/>
        <v>0</v>
      </c>
      <c r="R384" s="246">
        <f t="shared" si="118"/>
        <v>0</v>
      </c>
      <c r="S384" s="246">
        <f>S498</f>
        <v>0</v>
      </c>
      <c r="T384" s="168"/>
      <c r="U384" s="168"/>
    </row>
    <row r="385" spans="1:21" ht="15.75" hidden="1" customHeight="1" outlineLevel="1">
      <c r="B385" s="215"/>
      <c r="C385" s="242" t="s">
        <v>390</v>
      </c>
      <c r="D385" s="242"/>
      <c r="E385" s="276"/>
      <c r="F385" s="246"/>
      <c r="G385" s="167"/>
      <c r="H385" s="246"/>
      <c r="I385" s="246"/>
      <c r="J385" s="246"/>
      <c r="K385" s="246"/>
      <c r="L385" s="246"/>
      <c r="M385" s="246">
        <f t="shared" ref="M385:R385" si="119">M497</f>
        <v>3669.4706694508586</v>
      </c>
      <c r="N385" s="246">
        <f t="shared" si="119"/>
        <v>19163.90132034785</v>
      </c>
      <c r="O385" s="246">
        <f t="shared" si="119"/>
        <v>19163.90132034785</v>
      </c>
      <c r="P385" s="246">
        <f t="shared" si="119"/>
        <v>0</v>
      </c>
      <c r="Q385" s="246">
        <f t="shared" si="119"/>
        <v>0</v>
      </c>
      <c r="R385" s="246">
        <f t="shared" si="119"/>
        <v>0</v>
      </c>
      <c r="S385" s="246">
        <f>S497</f>
        <v>0</v>
      </c>
      <c r="T385" s="168"/>
      <c r="U385" s="168"/>
    </row>
    <row r="386" spans="1:21" ht="15.75" hidden="1" customHeight="1" outlineLevel="1">
      <c r="B386" s="215"/>
      <c r="C386" s="242" t="s">
        <v>391</v>
      </c>
      <c r="D386" s="242"/>
      <c r="E386" s="276"/>
      <c r="F386" s="246"/>
      <c r="G386" s="167"/>
      <c r="H386" s="246"/>
      <c r="I386" s="246"/>
      <c r="J386" s="246"/>
      <c r="K386" s="246"/>
      <c r="L386" s="246"/>
      <c r="M386" s="246">
        <f t="shared" ref="M386:R386" si="120">SUM(M385,M382)</f>
        <v>668789.0230397369</v>
      </c>
      <c r="N386" s="246">
        <f t="shared" si="120"/>
        <v>3492767.2125482303</v>
      </c>
      <c r="O386" s="246">
        <f t="shared" si="120"/>
        <v>3492767.2125482303</v>
      </c>
      <c r="P386" s="246">
        <f t="shared" si="120"/>
        <v>0</v>
      </c>
      <c r="Q386" s="246">
        <f t="shared" si="120"/>
        <v>0</v>
      </c>
      <c r="R386" s="246">
        <f t="shared" si="120"/>
        <v>0</v>
      </c>
      <c r="S386" s="246">
        <f>SUM(S385,S382)</f>
        <v>0</v>
      </c>
      <c r="T386" s="168"/>
      <c r="U386" s="168"/>
    </row>
    <row r="387" spans="1:21" ht="15.75" hidden="1" customHeight="1" outlineLevel="1">
      <c r="B387" s="215"/>
      <c r="C387" s="242"/>
      <c r="D387" s="242"/>
      <c r="E387" s="242"/>
      <c r="F387" s="242"/>
      <c r="G387" s="167"/>
      <c r="H387" s="246"/>
      <c r="I387" s="246"/>
      <c r="J387" s="246"/>
      <c r="K387" s="246"/>
      <c r="L387" s="246"/>
      <c r="M387" s="246"/>
      <c r="N387" s="246"/>
      <c r="O387" s="246"/>
      <c r="P387" s="246"/>
      <c r="Q387" s="246"/>
      <c r="R387" s="246"/>
      <c r="S387" s="246"/>
      <c r="T387" s="168"/>
      <c r="U387" s="168"/>
    </row>
    <row r="388" spans="1:21" ht="15.75" hidden="1" customHeight="1" outlineLevel="1">
      <c r="B388" s="215"/>
      <c r="C388" s="242" t="s">
        <v>392</v>
      </c>
      <c r="D388" s="242"/>
      <c r="E388" s="242"/>
      <c r="F388" s="242"/>
      <c r="G388" s="167"/>
      <c r="H388" s="246"/>
      <c r="I388" s="246"/>
      <c r="J388" s="246"/>
      <c r="K388" s="246"/>
      <c r="L388" s="246"/>
      <c r="M388" s="246">
        <f t="shared" ref="M388:R388" si="121">M637</f>
        <v>0</v>
      </c>
      <c r="N388" s="246">
        <f t="shared" si="121"/>
        <v>0</v>
      </c>
      <c r="O388" s="246">
        <f t="shared" si="121"/>
        <v>0</v>
      </c>
      <c r="P388" s="246">
        <f t="shared" si="121"/>
        <v>0</v>
      </c>
      <c r="Q388" s="246">
        <f t="shared" si="121"/>
        <v>0</v>
      </c>
      <c r="R388" s="246">
        <f t="shared" si="121"/>
        <v>0</v>
      </c>
      <c r="S388" s="246">
        <f>S637</f>
        <v>0</v>
      </c>
      <c r="T388" s="168"/>
      <c r="U388" s="168"/>
    </row>
    <row r="389" spans="1:21" ht="15.75" hidden="1" customHeight="1" outlineLevel="1">
      <c r="B389" s="215"/>
      <c r="C389" s="242" t="s">
        <v>496</v>
      </c>
      <c r="D389" s="242"/>
      <c r="E389" s="276"/>
      <c r="F389" s="246"/>
      <c r="G389" s="167"/>
      <c r="H389" s="246"/>
      <c r="I389" s="246"/>
      <c r="J389" s="246"/>
      <c r="K389" s="246"/>
      <c r="L389" s="246"/>
      <c r="M389" s="246">
        <f t="shared" ref="M389:R389" si="122">M623</f>
        <v>0</v>
      </c>
      <c r="N389" s="246">
        <f t="shared" si="122"/>
        <v>0</v>
      </c>
      <c r="O389" s="246">
        <f t="shared" si="122"/>
        <v>0</v>
      </c>
      <c r="P389" s="246">
        <f t="shared" si="122"/>
        <v>0</v>
      </c>
      <c r="Q389" s="246">
        <f t="shared" si="122"/>
        <v>0</v>
      </c>
      <c r="R389" s="246">
        <f t="shared" si="122"/>
        <v>0</v>
      </c>
      <c r="S389" s="246">
        <f>S623</f>
        <v>0</v>
      </c>
      <c r="T389" s="168"/>
      <c r="U389" s="168"/>
    </row>
    <row r="390" spans="1:21" ht="15.75" hidden="1" customHeight="1" outlineLevel="1">
      <c r="B390" s="215"/>
      <c r="C390" s="242" t="s">
        <v>534</v>
      </c>
      <c r="D390" s="242"/>
      <c r="E390" s="276"/>
      <c r="F390" s="246"/>
      <c r="G390" s="167"/>
      <c r="H390" s="246"/>
      <c r="I390" s="246"/>
      <c r="J390" s="246"/>
      <c r="K390" s="246"/>
      <c r="L390" s="246"/>
      <c r="M390" s="246">
        <f t="shared" ref="M390:S390" si="123">L390</f>
        <v>0</v>
      </c>
      <c r="N390" s="246">
        <f t="shared" si="123"/>
        <v>0</v>
      </c>
      <c r="O390" s="246">
        <f t="shared" si="123"/>
        <v>0</v>
      </c>
      <c r="P390" s="246">
        <f t="shared" si="123"/>
        <v>0</v>
      </c>
      <c r="Q390" s="246">
        <f t="shared" si="123"/>
        <v>0</v>
      </c>
      <c r="R390" s="246">
        <f t="shared" si="123"/>
        <v>0</v>
      </c>
      <c r="S390" s="246">
        <f t="shared" si="123"/>
        <v>0</v>
      </c>
      <c r="T390" s="168"/>
      <c r="U390" s="168"/>
    </row>
    <row r="391" spans="1:21" ht="15.75" hidden="1" customHeight="1" outlineLevel="1">
      <c r="B391" s="215"/>
      <c r="C391" s="242"/>
      <c r="D391" s="242"/>
      <c r="E391" s="242"/>
      <c r="F391" s="242"/>
      <c r="G391" s="167"/>
      <c r="H391" s="246"/>
      <c r="I391" s="246"/>
      <c r="J391" s="246"/>
      <c r="K391" s="246"/>
      <c r="L391" s="246"/>
      <c r="M391" s="246"/>
      <c r="N391" s="246"/>
      <c r="O391" s="246"/>
      <c r="P391" s="246"/>
      <c r="Q391" s="246"/>
      <c r="R391" s="246"/>
      <c r="S391" s="246"/>
      <c r="T391" s="168"/>
      <c r="U391" s="168"/>
    </row>
    <row r="392" spans="1:21" ht="15.75" hidden="1" customHeight="1" outlineLevel="1">
      <c r="B392" s="215"/>
      <c r="C392" s="242" t="s">
        <v>393</v>
      </c>
      <c r="D392" s="242"/>
      <c r="E392" s="242"/>
      <c r="F392" s="242"/>
      <c r="G392" s="167"/>
      <c r="H392" s="246"/>
      <c r="I392" s="246"/>
      <c r="J392" s="246"/>
      <c r="K392" s="246"/>
      <c r="L392" s="246"/>
      <c r="M392" s="246">
        <f t="shared" ref="M392:S392" si="124">SUM(M386:M390)</f>
        <v>668789.0230397369</v>
      </c>
      <c r="N392" s="246">
        <f t="shared" si="124"/>
        <v>3492767.2125482303</v>
      </c>
      <c r="O392" s="246">
        <f t="shared" si="124"/>
        <v>3492767.2125482303</v>
      </c>
      <c r="P392" s="246">
        <f t="shared" si="124"/>
        <v>0</v>
      </c>
      <c r="Q392" s="246">
        <f t="shared" si="124"/>
        <v>0</v>
      </c>
      <c r="R392" s="246">
        <f t="shared" si="124"/>
        <v>0</v>
      </c>
      <c r="S392" s="246">
        <f t="shared" si="124"/>
        <v>0</v>
      </c>
      <c r="T392" s="168"/>
      <c r="U392" s="168"/>
    </row>
    <row r="393" spans="1:21" ht="15.75" hidden="1" customHeight="1" outlineLevel="1">
      <c r="B393" s="215"/>
      <c r="C393" s="372"/>
      <c r="D393" s="242"/>
      <c r="E393" s="276"/>
      <c r="F393" s="246"/>
      <c r="G393" s="167"/>
      <c r="H393" s="246"/>
      <c r="I393" s="246"/>
      <c r="J393" s="246"/>
      <c r="K393" s="246"/>
      <c r="L393" s="246"/>
      <c r="M393" s="246"/>
      <c r="N393" s="246"/>
      <c r="O393" s="246"/>
      <c r="P393" s="246"/>
      <c r="Q393" s="246"/>
      <c r="R393" s="246"/>
      <c r="S393" s="246"/>
      <c r="T393" s="168"/>
      <c r="U393" s="168"/>
    </row>
    <row r="394" spans="1:21" ht="15.75" hidden="1" customHeight="1" outlineLevel="1">
      <c r="B394" s="215"/>
      <c r="C394" s="242" t="s">
        <v>394</v>
      </c>
      <c r="D394" s="242"/>
      <c r="E394" s="242"/>
      <c r="F394" s="242"/>
      <c r="G394" s="167"/>
      <c r="H394" s="246"/>
      <c r="I394" s="246"/>
      <c r="J394" s="246"/>
      <c r="K394" s="246"/>
      <c r="L394" s="246"/>
      <c r="M394" s="246">
        <f t="shared" ref="M394:S394" ca="1" si="125">M568</f>
        <v>6734619.0637779236</v>
      </c>
      <c r="N394" s="246">
        <f t="shared" ca="1" si="125"/>
        <v>-2253829.2998382058</v>
      </c>
      <c r="O394" s="246">
        <f t="shared" ca="1" si="125"/>
        <v>-3699301.6025975058</v>
      </c>
      <c r="P394" s="246">
        <f t="shared" si="125"/>
        <v>0</v>
      </c>
      <c r="Q394" s="246">
        <f t="shared" si="125"/>
        <v>0</v>
      </c>
      <c r="R394" s="246">
        <f t="shared" si="125"/>
        <v>0</v>
      </c>
      <c r="S394" s="246">
        <f t="shared" si="125"/>
        <v>0</v>
      </c>
      <c r="T394" s="168"/>
      <c r="U394" s="168"/>
    </row>
    <row r="395" spans="1:21" ht="15.75" hidden="1" customHeight="1" outlineLevel="1">
      <c r="B395" s="215"/>
      <c r="C395" s="242"/>
      <c r="D395" s="242"/>
      <c r="E395" s="276"/>
      <c r="F395" s="246"/>
      <c r="G395" s="365"/>
      <c r="H395" s="246"/>
      <c r="I395" s="246"/>
      <c r="J395" s="246"/>
      <c r="K395" s="246"/>
      <c r="L395" s="246"/>
      <c r="M395" s="246"/>
      <c r="N395" s="246"/>
      <c r="O395" s="246"/>
      <c r="P395" s="246"/>
      <c r="Q395" s="246"/>
      <c r="R395" s="246"/>
      <c r="S395" s="246"/>
      <c r="T395" s="168"/>
      <c r="U395" s="168"/>
    </row>
    <row r="396" spans="1:21" ht="15.75" hidden="1" customHeight="1" outlineLevel="1">
      <c r="B396" s="215"/>
      <c r="C396" s="260" t="s">
        <v>395</v>
      </c>
      <c r="D396" s="260"/>
      <c r="E396" s="373"/>
      <c r="F396" s="250"/>
      <c r="G396" s="400"/>
      <c r="H396" s="250"/>
      <c r="I396" s="250"/>
      <c r="J396" s="250"/>
      <c r="K396" s="250"/>
      <c r="L396" s="250"/>
      <c r="M396" s="250">
        <f t="shared" ref="M396:R396" ca="1" si="126">SUM(M392:M394)</f>
        <v>7403408.0868176604</v>
      </c>
      <c r="N396" s="250">
        <f t="shared" ca="1" si="126"/>
        <v>1238937.9127100245</v>
      </c>
      <c r="O396" s="250">
        <f t="shared" ca="1" si="126"/>
        <v>-206534.39004927548</v>
      </c>
      <c r="P396" s="250">
        <f t="shared" si="126"/>
        <v>0</v>
      </c>
      <c r="Q396" s="250">
        <f t="shared" si="126"/>
        <v>0</v>
      </c>
      <c r="R396" s="250">
        <f t="shared" si="126"/>
        <v>0</v>
      </c>
      <c r="S396" s="250">
        <f>SUM(S392:S394)</f>
        <v>0</v>
      </c>
      <c r="T396" s="168"/>
      <c r="U396" s="168"/>
    </row>
    <row r="397" spans="1:21" ht="15.75" hidden="1" customHeight="1" outlineLevel="1">
      <c r="B397" s="215"/>
      <c r="C397" s="423"/>
      <c r="D397" s="242"/>
      <c r="E397" s="276"/>
      <c r="F397" s="246"/>
      <c r="G397" s="365"/>
      <c r="H397" s="365"/>
      <c r="I397" s="242"/>
      <c r="J397" s="242"/>
      <c r="K397" s="242"/>
      <c r="L397" s="242"/>
      <c r="M397" s="242"/>
      <c r="N397" s="242"/>
      <c r="O397" s="242"/>
      <c r="P397" s="242"/>
      <c r="Q397" s="242"/>
      <c r="R397" s="242"/>
      <c r="S397" s="242"/>
      <c r="T397" s="168"/>
      <c r="U397" s="168"/>
    </row>
    <row r="398" spans="1:21" s="730" customFormat="1" ht="15.75" hidden="1" customHeight="1" outlineLevel="1">
      <c r="A398" s="622"/>
      <c r="B398" s="740"/>
      <c r="C398" s="390" t="s">
        <v>365</v>
      </c>
      <c r="D398" s="390"/>
      <c r="E398" s="390"/>
      <c r="F398" s="390"/>
      <c r="G398" s="390"/>
      <c r="H398" s="376">
        <v>0</v>
      </c>
      <c r="I398" s="376">
        <v>0.10916979610919952</v>
      </c>
      <c r="J398" s="376">
        <f t="shared" ref="J398:R398" si="127">J396-J379</f>
        <v>0</v>
      </c>
      <c r="K398" s="376">
        <f t="shared" si="127"/>
        <v>0</v>
      </c>
      <c r="L398" s="376">
        <f t="shared" si="127"/>
        <v>0</v>
      </c>
      <c r="M398" s="376">
        <f ca="1">M396-M379</f>
        <v>0</v>
      </c>
      <c r="N398" s="376">
        <f t="shared" ca="1" si="127"/>
        <v>0</v>
      </c>
      <c r="O398" s="376">
        <f t="shared" ca="1" si="127"/>
        <v>-1.862645149230957E-9</v>
      </c>
      <c r="P398" s="376">
        <f t="shared" si="127"/>
        <v>0</v>
      </c>
      <c r="Q398" s="376">
        <f t="shared" si="127"/>
        <v>0</v>
      </c>
      <c r="R398" s="376">
        <f t="shared" si="127"/>
        <v>0</v>
      </c>
      <c r="S398" s="376">
        <f>S396-S379</f>
        <v>0</v>
      </c>
      <c r="T398" s="741"/>
      <c r="U398" s="741"/>
    </row>
    <row r="399" spans="1:21" ht="15.75" hidden="1" customHeight="1" outlineLevel="1">
      <c r="B399" s="215"/>
      <c r="C399" s="254"/>
      <c r="D399" s="254"/>
      <c r="E399" s="254"/>
      <c r="F399" s="254"/>
      <c r="G399" s="167"/>
      <c r="H399" s="376"/>
      <c r="I399" s="254"/>
      <c r="J399" s="254"/>
      <c r="K399" s="254"/>
      <c r="L399" s="255"/>
      <c r="M399" s="255"/>
      <c r="N399" s="255"/>
      <c r="O399" s="255"/>
      <c r="P399" s="255"/>
      <c r="Q399" s="255"/>
      <c r="R399" s="255"/>
      <c r="S399" s="255"/>
      <c r="T399" s="168"/>
      <c r="U399" s="168"/>
    </row>
    <row r="400" spans="1:21" ht="15.75" hidden="1" customHeight="1" outlineLevel="1">
      <c r="B400" s="215"/>
      <c r="C400" s="168"/>
      <c r="D400" s="242" t="s">
        <v>447</v>
      </c>
      <c r="E400" s="242"/>
      <c r="F400" s="242"/>
      <c r="G400" s="167"/>
      <c r="H400" s="167"/>
      <c r="I400" s="378"/>
      <c r="J400" s="378"/>
      <c r="K400" s="378"/>
      <c r="L400" s="378"/>
      <c r="M400" s="378">
        <f ca="1">M394/SUM(M388:M389,M394)</f>
        <v>1</v>
      </c>
      <c r="N400" s="378">
        <f ca="1">N394/SUM(N388:N389,N394)</f>
        <v>1</v>
      </c>
      <c r="O400" s="378">
        <f ca="1">O394/SUM(O388:O389,O394)</f>
        <v>1</v>
      </c>
      <c r="P400" s="378"/>
      <c r="Q400" s="378"/>
      <c r="R400" s="378"/>
      <c r="S400" s="378"/>
      <c r="T400" s="168"/>
      <c r="U400" s="168"/>
    </row>
    <row r="401" spans="2:21" ht="15.75" hidden="1" customHeight="1" outlineLevel="1">
      <c r="B401" s="215"/>
      <c r="C401" s="168"/>
      <c r="D401" s="242" t="s">
        <v>448</v>
      </c>
      <c r="E401" s="242"/>
      <c r="F401" s="242"/>
      <c r="G401" s="167"/>
      <c r="H401" s="167"/>
      <c r="I401" s="378"/>
      <c r="J401" s="378"/>
      <c r="K401" s="378"/>
      <c r="L401" s="378"/>
      <c r="M401" s="378">
        <f ca="1">1-M400</f>
        <v>0</v>
      </c>
      <c r="N401" s="378">
        <f ca="1">1-N400</f>
        <v>0</v>
      </c>
      <c r="O401" s="378">
        <f ca="1">1-O400</f>
        <v>0</v>
      </c>
      <c r="P401" s="378"/>
      <c r="Q401" s="378"/>
      <c r="R401" s="378"/>
      <c r="S401" s="378"/>
      <c r="T401" s="168"/>
      <c r="U401" s="168"/>
    </row>
    <row r="402" spans="2:21" ht="15.75" hidden="1" customHeight="1" outlineLevel="1">
      <c r="B402" s="215"/>
      <c r="C402" s="168"/>
      <c r="D402" s="168"/>
      <c r="E402" s="168"/>
      <c r="F402" s="168"/>
      <c r="G402" s="168"/>
      <c r="H402" s="168"/>
      <c r="J402" s="168"/>
      <c r="K402" s="168"/>
      <c r="M402" s="215"/>
      <c r="N402" s="215"/>
      <c r="O402" s="215"/>
      <c r="P402" s="215"/>
      <c r="Q402" s="215"/>
      <c r="R402" s="215"/>
      <c r="S402" s="215"/>
      <c r="T402" s="168"/>
      <c r="U402" s="168"/>
    </row>
    <row r="403" spans="2:21" ht="15.75" hidden="1" customHeight="1" outlineLevel="1">
      <c r="B403" s="242"/>
      <c r="C403" s="254"/>
      <c r="D403" s="254"/>
      <c r="E403" s="254"/>
      <c r="F403" s="254"/>
      <c r="G403" s="167"/>
      <c r="H403" s="167"/>
      <c r="I403" s="254"/>
      <c r="J403" s="254"/>
      <c r="K403" s="255"/>
      <c r="L403" s="222"/>
      <c r="M403" s="222"/>
      <c r="N403" s="222"/>
      <c r="O403" s="222"/>
      <c r="P403" s="222"/>
      <c r="Q403" s="222"/>
      <c r="R403" s="222"/>
      <c r="S403" s="222"/>
      <c r="T403" s="168"/>
      <c r="U403" s="168"/>
    </row>
    <row r="404" spans="2:21" ht="15.75" customHeight="1" collapsed="1">
      <c r="B404" s="215"/>
      <c r="C404" s="168"/>
      <c r="D404" s="168"/>
      <c r="E404" s="168"/>
      <c r="F404" s="168"/>
      <c r="G404" s="167"/>
      <c r="H404" s="167"/>
      <c r="I404" s="254"/>
      <c r="J404" s="254"/>
      <c r="K404" s="367"/>
      <c r="L404" s="368"/>
      <c r="M404" s="215"/>
      <c r="N404" s="742"/>
      <c r="O404" s="742"/>
      <c r="P404" s="742"/>
      <c r="Q404" s="742"/>
      <c r="R404" s="742"/>
      <c r="S404" s="742"/>
      <c r="T404" s="168"/>
      <c r="U404" s="168"/>
    </row>
    <row r="405" spans="2:21" ht="15.75" customHeight="1">
      <c r="B405" s="242"/>
      <c r="C405" s="254"/>
      <c r="D405" s="254"/>
      <c r="E405" s="254"/>
      <c r="F405" s="254"/>
      <c r="G405" s="167"/>
      <c r="H405" s="167"/>
      <c r="I405" s="254"/>
      <c r="J405" s="254"/>
      <c r="K405" s="255"/>
      <c r="L405" s="255"/>
      <c r="M405" s="215"/>
      <c r="N405" s="215"/>
      <c r="O405" s="215"/>
      <c r="P405" s="215"/>
      <c r="Q405" s="215"/>
      <c r="R405" s="215"/>
      <c r="S405" s="215"/>
      <c r="T405" s="168"/>
      <c r="U405" s="168"/>
    </row>
    <row r="406" spans="2:21" ht="27">
      <c r="B406" s="242"/>
      <c r="C406" s="366" t="s">
        <v>309</v>
      </c>
      <c r="D406" s="168"/>
      <c r="E406" s="168"/>
      <c r="F406" s="168"/>
      <c r="G406" s="167"/>
      <c r="H406" s="167"/>
      <c r="I406" s="254"/>
      <c r="J406" s="254"/>
      <c r="K406" s="367"/>
      <c r="L406" s="368"/>
      <c r="M406" s="367"/>
      <c r="N406" s="368"/>
      <c r="O406" s="368"/>
      <c r="P406" s="368"/>
      <c r="Q406" s="368"/>
      <c r="R406" s="368"/>
      <c r="S406" s="368"/>
      <c r="T406" s="168"/>
      <c r="U406" s="168"/>
    </row>
    <row r="407" spans="2:21" ht="3" customHeight="1">
      <c r="B407" s="242"/>
      <c r="C407" s="229"/>
      <c r="D407" s="229"/>
      <c r="E407" s="229"/>
      <c r="F407" s="229"/>
      <c r="G407" s="300"/>
      <c r="H407" s="300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168"/>
      <c r="U407" s="168"/>
    </row>
    <row r="408" spans="2:21" ht="9.75" customHeight="1">
      <c r="B408" s="242"/>
      <c r="C408" s="168"/>
      <c r="D408" s="168"/>
      <c r="E408" s="168"/>
      <c r="F408" s="168"/>
      <c r="G408" s="167"/>
      <c r="H408" s="167"/>
      <c r="I408" s="254"/>
      <c r="J408" s="254"/>
      <c r="K408" s="367"/>
      <c r="L408" s="368"/>
      <c r="M408" s="367"/>
      <c r="N408" s="368"/>
      <c r="O408" s="368"/>
      <c r="P408" s="368"/>
      <c r="Q408" s="368"/>
      <c r="R408" s="368"/>
      <c r="S408" s="368"/>
      <c r="T408" s="168"/>
      <c r="U408" s="168"/>
    </row>
    <row r="409" spans="2:21" ht="12" customHeight="1">
      <c r="B409" s="215"/>
      <c r="C409" s="313" t="s">
        <v>196</v>
      </c>
      <c r="D409" s="168"/>
      <c r="E409" s="168"/>
      <c r="F409" s="168"/>
      <c r="G409" s="167"/>
      <c r="H409" s="167"/>
      <c r="I409" s="254"/>
      <c r="J409" s="254"/>
      <c r="K409" s="367"/>
      <c r="L409" s="368"/>
      <c r="M409" s="367"/>
      <c r="N409" s="368"/>
      <c r="O409" s="368"/>
      <c r="P409" s="368"/>
      <c r="Q409" s="368"/>
      <c r="R409" s="368"/>
      <c r="S409" s="368"/>
      <c r="T409" s="168"/>
      <c r="U409" s="168"/>
    </row>
    <row r="410" spans="2:21">
      <c r="B410" s="215"/>
      <c r="C410" s="348"/>
      <c r="D410" s="233"/>
      <c r="E410" s="233"/>
      <c r="F410" s="233"/>
      <c r="G410" s="338"/>
      <c r="H410" s="174">
        <v>0</v>
      </c>
      <c r="I410" s="174">
        <v>0</v>
      </c>
      <c r="J410" s="174">
        <v>1</v>
      </c>
      <c r="K410" s="174">
        <v>2</v>
      </c>
      <c r="L410" s="175">
        <f t="shared" ref="L410:M412" si="128">L285</f>
        <v>3</v>
      </c>
      <c r="M410" s="175" t="str">
        <f t="shared" si="128"/>
        <v>1 Year</v>
      </c>
      <c r="N410" s="175" t="str">
        <f t="shared" ref="N410:Q412" si="129">N285</f>
        <v>2 Year</v>
      </c>
      <c r="O410" s="175" t="str">
        <f t="shared" si="129"/>
        <v>3 Year</v>
      </c>
      <c r="P410" s="175" t="str">
        <f t="shared" si="129"/>
        <v>4 Year</v>
      </c>
      <c r="Q410" s="175" t="str">
        <f t="shared" si="129"/>
        <v>5 Year</v>
      </c>
      <c r="R410" s="175" t="str">
        <f t="shared" ref="R410:S412" si="130">R285</f>
        <v>6 Year</v>
      </c>
      <c r="S410" s="175" t="str">
        <f t="shared" si="130"/>
        <v>7 Year</v>
      </c>
      <c r="T410" s="168"/>
      <c r="U410" s="168"/>
    </row>
    <row r="411" spans="2:21">
      <c r="B411" s="215"/>
      <c r="C411" s="349"/>
      <c r="D411" s="234"/>
      <c r="E411" s="234"/>
      <c r="F411" s="234"/>
      <c r="G411" s="325"/>
      <c r="H411" s="176"/>
      <c r="I411" s="176"/>
      <c r="J411" s="176"/>
      <c r="K411" s="176"/>
      <c r="L411" s="176"/>
      <c r="M411" s="176"/>
      <c r="N411" s="176"/>
      <c r="O411" s="176"/>
      <c r="P411" s="176"/>
      <c r="Q411" s="176"/>
      <c r="R411" s="176"/>
      <c r="S411" s="176"/>
      <c r="T411" s="168"/>
      <c r="U411" s="168"/>
    </row>
    <row r="412" spans="2:21">
      <c r="B412" s="215"/>
      <c r="C412" s="359"/>
      <c r="D412" s="260"/>
      <c r="E412" s="235"/>
      <c r="F412" s="235"/>
      <c r="G412" s="326"/>
      <c r="H412" s="213" t="s">
        <v>499</v>
      </c>
      <c r="I412" s="213" t="s">
        <v>499</v>
      </c>
      <c r="J412" s="213" t="s">
        <v>499</v>
      </c>
      <c r="K412" s="213" t="s">
        <v>499</v>
      </c>
      <c r="L412" s="213" t="str">
        <f t="shared" si="128"/>
        <v>($)</v>
      </c>
      <c r="M412" s="213" t="str">
        <f t="shared" si="128"/>
        <v>($)</v>
      </c>
      <c r="N412" s="213" t="str">
        <f t="shared" si="129"/>
        <v>($)</v>
      </c>
      <c r="O412" s="213" t="str">
        <f t="shared" si="129"/>
        <v>($)</v>
      </c>
      <c r="P412" s="213" t="str">
        <f t="shared" si="129"/>
        <v>($)</v>
      </c>
      <c r="Q412" s="213" t="str">
        <f t="shared" si="129"/>
        <v>($)</v>
      </c>
      <c r="R412" s="213" t="str">
        <f t="shared" si="130"/>
        <v>($)</v>
      </c>
      <c r="S412" s="213" t="str">
        <f t="shared" si="130"/>
        <v>($)</v>
      </c>
      <c r="T412" s="168"/>
      <c r="U412" s="168"/>
    </row>
    <row r="413" spans="2:21" ht="6" customHeight="1">
      <c r="B413" s="242"/>
      <c r="C413" s="242"/>
      <c r="D413" s="242"/>
      <c r="E413" s="242"/>
      <c r="F413" s="242"/>
      <c r="G413" s="167"/>
      <c r="H413" s="167"/>
      <c r="I413" s="242"/>
      <c r="J413" s="242"/>
      <c r="K413" s="243"/>
      <c r="L413" s="243"/>
      <c r="M413" s="243"/>
      <c r="N413" s="243"/>
      <c r="O413" s="243"/>
      <c r="P413" s="243"/>
      <c r="Q413" s="243"/>
      <c r="R413" s="243"/>
      <c r="S413" s="243"/>
      <c r="T413" s="168"/>
      <c r="U413" s="168"/>
    </row>
    <row r="414" spans="2:21" ht="15.75" customHeight="1">
      <c r="B414" s="215"/>
      <c r="C414" s="186" t="s">
        <v>198</v>
      </c>
      <c r="D414" s="242"/>
      <c r="E414" s="242"/>
      <c r="F414" s="242"/>
      <c r="G414" s="167"/>
      <c r="H414" s="167"/>
      <c r="I414" s="242"/>
      <c r="J414" s="242"/>
      <c r="K414" s="242"/>
      <c r="L414" s="242"/>
      <c r="M414" s="215"/>
      <c r="N414" s="215"/>
      <c r="O414" s="215"/>
      <c r="P414" s="215"/>
      <c r="Q414" s="215"/>
      <c r="R414" s="215"/>
      <c r="S414" s="215"/>
      <c r="T414" s="168"/>
      <c r="U414" s="168"/>
    </row>
    <row r="415" spans="2:21" ht="15.75" customHeight="1">
      <c r="B415" s="215"/>
      <c r="C415" s="371" t="s">
        <v>363</v>
      </c>
      <c r="D415" s="242"/>
      <c r="E415" s="276"/>
      <c r="F415" s="246"/>
      <c r="G415" s="167"/>
      <c r="H415" s="240"/>
      <c r="I415" s="240"/>
      <c r="J415" s="240"/>
      <c r="K415" s="240"/>
      <c r="L415" s="240"/>
      <c r="M415" s="240">
        <f t="shared" ref="M415:S415" ca="1" si="131">M308</f>
        <v>1817619.0637779236</v>
      </c>
      <c r="N415" s="240">
        <f t="shared" ca="1" si="131"/>
        <v>-8988448.3636161294</v>
      </c>
      <c r="O415" s="240">
        <f t="shared" ca="1" si="131"/>
        <v>-1806840.3784491247</v>
      </c>
      <c r="P415" s="240">
        <f t="shared" si="131"/>
        <v>0</v>
      </c>
      <c r="Q415" s="240">
        <f t="shared" si="131"/>
        <v>0</v>
      </c>
      <c r="R415" s="240">
        <f t="shared" si="131"/>
        <v>0</v>
      </c>
      <c r="S415" s="240">
        <f t="shared" si="131"/>
        <v>0</v>
      </c>
      <c r="T415" s="168"/>
      <c r="U415" s="168"/>
    </row>
    <row r="416" spans="2:21" ht="15.75" customHeight="1">
      <c r="B416" s="215"/>
      <c r="C416" s="371" t="s">
        <v>199</v>
      </c>
      <c r="D416" s="242"/>
      <c r="E416" s="276"/>
      <c r="F416" s="246"/>
      <c r="G416" s="167"/>
      <c r="H416" s="167"/>
      <c r="I416" s="240"/>
      <c r="J416" s="240"/>
      <c r="K416" s="240"/>
      <c r="L416" s="240"/>
      <c r="M416" s="240">
        <f t="shared" ref="M416:R416" ca="1" si="132">M544</f>
        <v>163440</v>
      </c>
      <c r="N416" s="240">
        <f t="shared" ca="1" si="132"/>
        <v>910659.33499165135</v>
      </c>
      <c r="O416" s="240">
        <f t="shared" ca="1" si="132"/>
        <v>393224.0986041539</v>
      </c>
      <c r="P416" s="240">
        <f t="shared" si="132"/>
        <v>0</v>
      </c>
      <c r="Q416" s="240">
        <f t="shared" si="132"/>
        <v>0</v>
      </c>
      <c r="R416" s="240">
        <f t="shared" si="132"/>
        <v>0</v>
      </c>
      <c r="S416" s="240">
        <f>S544</f>
        <v>0</v>
      </c>
      <c r="T416" s="168"/>
      <c r="U416" s="168"/>
    </row>
    <row r="417" spans="1:21" ht="15.75" customHeight="1">
      <c r="A417" s="169">
        <v>11</v>
      </c>
      <c r="B417" s="215"/>
      <c r="C417" s="371" t="s">
        <v>200</v>
      </c>
      <c r="D417" s="242"/>
      <c r="E417" s="276"/>
      <c r="F417" s="246"/>
      <c r="G417" s="167"/>
      <c r="H417" s="167"/>
      <c r="I417" s="240"/>
      <c r="J417" s="240"/>
      <c r="K417" s="240"/>
      <c r="L417" s="240"/>
      <c r="M417" s="240">
        <f t="shared" ref="M417:R417" ca="1" si="133">-M485</f>
        <v>-158381.71450029023</v>
      </c>
      <c r="N417" s="240">
        <f t="shared" ca="1" si="133"/>
        <v>-1990905.5929748109</v>
      </c>
      <c r="O417" s="240">
        <f t="shared" ca="1" si="133"/>
        <v>0</v>
      </c>
      <c r="P417" s="240">
        <f t="shared" si="133"/>
        <v>0</v>
      </c>
      <c r="Q417" s="240">
        <f t="shared" si="133"/>
        <v>0</v>
      </c>
      <c r="R417" s="240">
        <f t="shared" si="133"/>
        <v>0</v>
      </c>
      <c r="S417" s="240">
        <f>-S485</f>
        <v>0</v>
      </c>
      <c r="T417" s="168"/>
      <c r="U417" s="168"/>
    </row>
    <row r="418" spans="1:21" ht="15.75" customHeight="1">
      <c r="A418" s="169">
        <v>12</v>
      </c>
      <c r="B418" s="215"/>
      <c r="C418" s="371" t="s">
        <v>201</v>
      </c>
      <c r="D418" s="242"/>
      <c r="E418" s="242"/>
      <c r="F418" s="242"/>
      <c r="G418" s="167"/>
      <c r="H418" s="167"/>
      <c r="I418" s="240"/>
      <c r="J418" s="240"/>
      <c r="K418" s="240"/>
      <c r="L418" s="240"/>
      <c r="M418" s="240">
        <f t="shared" ref="M418:R418" si="134">-M501</f>
        <v>-320397.21045262361</v>
      </c>
      <c r="N418" s="240">
        <f t="shared" si="134"/>
        <v>951655.00251623336</v>
      </c>
      <c r="O418" s="240">
        <f t="shared" si="134"/>
        <v>0</v>
      </c>
      <c r="P418" s="240">
        <f t="shared" si="134"/>
        <v>0</v>
      </c>
      <c r="Q418" s="240">
        <f t="shared" si="134"/>
        <v>0</v>
      </c>
      <c r="R418" s="240">
        <f t="shared" si="134"/>
        <v>0</v>
      </c>
      <c r="S418" s="240">
        <f>-S501</f>
        <v>0</v>
      </c>
      <c r="T418" s="168"/>
      <c r="U418" s="168"/>
    </row>
    <row r="419" spans="1:21" ht="15.75" customHeight="1">
      <c r="B419" s="215"/>
      <c r="C419" s="356" t="s">
        <v>202</v>
      </c>
      <c r="D419" s="242"/>
      <c r="E419" s="276"/>
      <c r="F419" s="246"/>
      <c r="G419" s="167"/>
      <c r="H419" s="167"/>
      <c r="I419" s="246"/>
      <c r="J419" s="246"/>
      <c r="K419" s="246"/>
      <c r="L419" s="246"/>
      <c r="M419" s="246">
        <f t="shared" ref="M419:R419" ca="1" si="135">SUM(M415:M418)</f>
        <v>1502280.1388250096</v>
      </c>
      <c r="N419" s="246">
        <f t="shared" ca="1" si="135"/>
        <v>-9117039.6190830544</v>
      </c>
      <c r="O419" s="246">
        <f t="shared" ca="1" si="135"/>
        <v>-1413616.2798449709</v>
      </c>
      <c r="P419" s="246">
        <f t="shared" si="135"/>
        <v>0</v>
      </c>
      <c r="Q419" s="246">
        <f t="shared" si="135"/>
        <v>0</v>
      </c>
      <c r="R419" s="246">
        <f t="shared" si="135"/>
        <v>0</v>
      </c>
      <c r="S419" s="246">
        <f>SUM(S415:S418)</f>
        <v>0</v>
      </c>
      <c r="T419" s="168"/>
      <c r="U419" s="168"/>
    </row>
    <row r="420" spans="1:21" ht="15.75" customHeight="1">
      <c r="A420" s="169">
        <v>13</v>
      </c>
      <c r="B420" s="215"/>
      <c r="C420" s="371" t="s">
        <v>203</v>
      </c>
      <c r="D420" s="242"/>
      <c r="E420" s="242"/>
      <c r="F420" s="242"/>
      <c r="G420" s="167"/>
      <c r="H420" s="167"/>
      <c r="I420" s="240"/>
      <c r="J420" s="240"/>
      <c r="K420" s="240"/>
      <c r="L420" s="240"/>
      <c r="M420" s="240">
        <f t="shared" ref="M420:Q421" si="136">M310</f>
        <v>0</v>
      </c>
      <c r="N420" s="240">
        <f t="shared" si="136"/>
        <v>0</v>
      </c>
      <c r="O420" s="240">
        <f t="shared" si="136"/>
        <v>0</v>
      </c>
      <c r="P420" s="240">
        <f t="shared" si="136"/>
        <v>0</v>
      </c>
      <c r="Q420" s="240">
        <f t="shared" si="136"/>
        <v>0</v>
      </c>
      <c r="R420" s="240">
        <f>R310</f>
        <v>0</v>
      </c>
      <c r="S420" s="240">
        <f>S310</f>
        <v>0</v>
      </c>
      <c r="T420" s="168"/>
      <c r="U420" s="168"/>
    </row>
    <row r="421" spans="1:21" ht="15.75" customHeight="1">
      <c r="A421" s="169">
        <v>14</v>
      </c>
      <c r="B421" s="215"/>
      <c r="C421" s="371" t="s">
        <v>187</v>
      </c>
      <c r="D421" s="242"/>
      <c r="E421" s="242"/>
      <c r="F421" s="242"/>
      <c r="G421" s="167"/>
      <c r="H421" s="167"/>
      <c r="I421" s="240"/>
      <c r="J421" s="240"/>
      <c r="K421" s="240"/>
      <c r="L421" s="240"/>
      <c r="M421" s="240">
        <f>M311</f>
        <v>0</v>
      </c>
      <c r="N421" s="240">
        <f ca="1">N311</f>
        <v>0</v>
      </c>
      <c r="O421" s="240">
        <f t="shared" ca="1" si="136"/>
        <v>0</v>
      </c>
      <c r="P421" s="240">
        <f t="shared" si="136"/>
        <v>0</v>
      </c>
      <c r="Q421" s="240">
        <f t="shared" si="136"/>
        <v>0</v>
      </c>
      <c r="R421" s="240">
        <f>R311</f>
        <v>0</v>
      </c>
      <c r="S421" s="240">
        <f>S311</f>
        <v>0</v>
      </c>
      <c r="T421" s="168"/>
      <c r="U421" s="168"/>
    </row>
    <row r="422" spans="1:21" ht="15.75" customHeight="1">
      <c r="A422" s="169">
        <v>15</v>
      </c>
      <c r="B422" s="215"/>
      <c r="C422" s="371" t="s">
        <v>204</v>
      </c>
      <c r="D422" s="380"/>
      <c r="E422" s="381"/>
      <c r="F422" s="258"/>
      <c r="G422" s="167"/>
      <c r="H422" s="167"/>
      <c r="I422" s="240"/>
      <c r="J422" s="240"/>
      <c r="K422" s="240"/>
      <c r="L422" s="240"/>
      <c r="M422" s="240">
        <f t="shared" ref="M422:R422" si="137">M315</f>
        <v>0</v>
      </c>
      <c r="N422" s="240">
        <f t="shared" si="137"/>
        <v>0</v>
      </c>
      <c r="O422" s="240">
        <f t="shared" ca="1" si="137"/>
        <v>361368.075689825</v>
      </c>
      <c r="P422" s="240">
        <f t="shared" si="137"/>
        <v>0</v>
      </c>
      <c r="Q422" s="240">
        <f t="shared" si="137"/>
        <v>0</v>
      </c>
      <c r="R422" s="240">
        <f t="shared" si="137"/>
        <v>0</v>
      </c>
      <c r="S422" s="240">
        <f>S315</f>
        <v>0</v>
      </c>
      <c r="T422" s="168"/>
      <c r="U422" s="168"/>
    </row>
    <row r="423" spans="1:21" s="308" customFormat="1" ht="15.75" customHeight="1">
      <c r="A423" s="169"/>
      <c r="B423" s="743"/>
      <c r="C423" s="186" t="s">
        <v>205</v>
      </c>
      <c r="D423" s="380"/>
      <c r="E423" s="380"/>
      <c r="F423" s="380"/>
      <c r="G423" s="305"/>
      <c r="H423" s="305"/>
      <c r="I423" s="383"/>
      <c r="J423" s="383"/>
      <c r="K423" s="383"/>
      <c r="L423" s="383"/>
      <c r="M423" s="383">
        <f t="shared" ref="M423:R423" ca="1" si="138">SUM(M419:M422)</f>
        <v>1502280.1388250096</v>
      </c>
      <c r="N423" s="383">
        <f t="shared" ca="1" si="138"/>
        <v>-9117039.6190830544</v>
      </c>
      <c r="O423" s="383">
        <f t="shared" ca="1" si="138"/>
        <v>-1052248.2041551459</v>
      </c>
      <c r="P423" s="383">
        <f t="shared" si="138"/>
        <v>0</v>
      </c>
      <c r="Q423" s="383">
        <f t="shared" si="138"/>
        <v>0</v>
      </c>
      <c r="R423" s="383">
        <f t="shared" si="138"/>
        <v>0</v>
      </c>
      <c r="S423" s="383">
        <f>SUM(S419:S422)</f>
        <v>0</v>
      </c>
      <c r="T423" s="313"/>
      <c r="U423" s="313"/>
    </row>
    <row r="424" spans="1:21" ht="9" customHeight="1">
      <c r="B424" s="215"/>
      <c r="C424" s="242"/>
      <c r="D424" s="242"/>
      <c r="E424" s="242"/>
      <c r="F424" s="242"/>
      <c r="G424" s="167"/>
      <c r="H424" s="167"/>
      <c r="I424" s="242"/>
      <c r="J424" s="242"/>
      <c r="K424" s="242"/>
      <c r="L424" s="242"/>
      <c r="M424" s="242"/>
      <c r="N424" s="242"/>
      <c r="O424" s="242"/>
      <c r="P424" s="242"/>
      <c r="Q424" s="242"/>
      <c r="R424" s="242"/>
      <c r="S424" s="242"/>
      <c r="T424" s="168"/>
      <c r="U424" s="168"/>
    </row>
    <row r="425" spans="1:21" ht="15.75" customHeight="1">
      <c r="B425" s="215"/>
      <c r="C425" s="186" t="s">
        <v>206</v>
      </c>
      <c r="D425" s="215"/>
      <c r="E425" s="215"/>
      <c r="F425" s="215"/>
      <c r="G425" s="167"/>
      <c r="H425" s="167"/>
      <c r="I425" s="240"/>
      <c r="J425" s="240"/>
      <c r="K425" s="240"/>
      <c r="L425" s="240"/>
      <c r="M425" s="240"/>
      <c r="N425" s="240"/>
      <c r="O425" s="240"/>
      <c r="P425" s="240"/>
      <c r="Q425" s="240"/>
      <c r="R425" s="240"/>
      <c r="S425" s="240"/>
      <c r="T425" s="168"/>
      <c r="U425" s="168"/>
    </row>
    <row r="426" spans="1:21" ht="15.75" customHeight="1">
      <c r="A426" s="169">
        <v>16</v>
      </c>
      <c r="B426" s="215"/>
      <c r="C426" s="371" t="s">
        <v>312</v>
      </c>
      <c r="D426" s="215"/>
      <c r="E426" s="215"/>
      <c r="F426" s="215"/>
      <c r="G426" s="167"/>
      <c r="H426" s="167"/>
      <c r="I426" s="240"/>
      <c r="J426" s="240"/>
      <c r="K426" s="240"/>
      <c r="L426" s="240"/>
      <c r="M426" s="240">
        <f t="shared" ref="M426:R426" si="139">-M514</f>
        <v>-10733.333333333334</v>
      </c>
      <c r="N426" s="240">
        <f t="shared" si="139"/>
        <v>-294326.68324984668</v>
      </c>
      <c r="O426" s="240">
        <f t="shared" si="139"/>
        <v>-36458.333333333336</v>
      </c>
      <c r="P426" s="240">
        <f t="shared" si="139"/>
        <v>0</v>
      </c>
      <c r="Q426" s="240">
        <f t="shared" si="139"/>
        <v>0</v>
      </c>
      <c r="R426" s="240">
        <f t="shared" si="139"/>
        <v>0</v>
      </c>
      <c r="S426" s="240">
        <f>-S514</f>
        <v>0</v>
      </c>
      <c r="T426" s="168"/>
      <c r="U426" s="168"/>
    </row>
    <row r="427" spans="1:21" ht="15.75" hidden="1" customHeight="1" outlineLevel="1">
      <c r="B427" s="215"/>
      <c r="C427" s="371" t="s">
        <v>208</v>
      </c>
      <c r="D427" s="215"/>
      <c r="E427" s="215"/>
      <c r="F427" s="215"/>
      <c r="G427" s="167"/>
      <c r="H427" s="167"/>
      <c r="I427" s="240"/>
      <c r="J427" s="240"/>
      <c r="K427" s="240"/>
      <c r="L427" s="240"/>
      <c r="M427" s="240">
        <f t="shared" ref="M427:R427" si="140">-M520</f>
        <v>0</v>
      </c>
      <c r="N427" s="240">
        <f t="shared" si="140"/>
        <v>0</v>
      </c>
      <c r="O427" s="240">
        <f t="shared" si="140"/>
        <v>0</v>
      </c>
      <c r="P427" s="240">
        <f t="shared" si="140"/>
        <v>0</v>
      </c>
      <c r="Q427" s="240">
        <f t="shared" si="140"/>
        <v>0</v>
      </c>
      <c r="R427" s="240">
        <f t="shared" si="140"/>
        <v>0</v>
      </c>
      <c r="S427" s="240">
        <f>-S520</f>
        <v>0</v>
      </c>
      <c r="T427" s="168"/>
      <c r="U427" s="168"/>
    </row>
    <row r="428" spans="1:21" ht="15.75" hidden="1" customHeight="1" outlineLevel="1">
      <c r="B428" s="215"/>
      <c r="C428" s="371" t="s">
        <v>209</v>
      </c>
      <c r="D428" s="242"/>
      <c r="E428" s="242"/>
      <c r="F428" s="242"/>
      <c r="G428" s="167"/>
      <c r="H428" s="167"/>
      <c r="I428" s="239"/>
      <c r="J428" s="239"/>
      <c r="K428" s="239"/>
      <c r="L428" s="239"/>
      <c r="M428" s="239">
        <f>L428</f>
        <v>0</v>
      </c>
      <c r="N428" s="239">
        <f>M428</f>
        <v>0</v>
      </c>
      <c r="O428" s="239">
        <f t="shared" ref="O428:S429" si="141">N428</f>
        <v>0</v>
      </c>
      <c r="P428" s="239">
        <f t="shared" si="141"/>
        <v>0</v>
      </c>
      <c r="Q428" s="239">
        <f t="shared" si="141"/>
        <v>0</v>
      </c>
      <c r="R428" s="239">
        <f t="shared" si="141"/>
        <v>0</v>
      </c>
      <c r="S428" s="239">
        <f t="shared" si="141"/>
        <v>0</v>
      </c>
      <c r="T428" s="168"/>
      <c r="U428" s="168"/>
    </row>
    <row r="429" spans="1:21" ht="15.75" hidden="1" customHeight="1" outlineLevel="1">
      <c r="B429" s="215"/>
      <c r="C429" s="371" t="s">
        <v>210</v>
      </c>
      <c r="D429" s="242"/>
      <c r="E429" s="242"/>
      <c r="F429" s="242"/>
      <c r="G429" s="167"/>
      <c r="H429" s="167"/>
      <c r="I429" s="239"/>
      <c r="J429" s="239"/>
      <c r="K429" s="239"/>
      <c r="L429" s="239"/>
      <c r="M429" s="239">
        <f>L429</f>
        <v>0</v>
      </c>
      <c r="N429" s="239">
        <f>M429</f>
        <v>0</v>
      </c>
      <c r="O429" s="239">
        <f t="shared" si="141"/>
        <v>0</v>
      </c>
      <c r="P429" s="239">
        <f t="shared" si="141"/>
        <v>0</v>
      </c>
      <c r="Q429" s="239">
        <f t="shared" si="141"/>
        <v>0</v>
      </c>
      <c r="R429" s="239">
        <f t="shared" si="141"/>
        <v>0</v>
      </c>
      <c r="S429" s="239">
        <f t="shared" si="141"/>
        <v>0</v>
      </c>
      <c r="T429" s="168"/>
      <c r="U429" s="168"/>
    </row>
    <row r="430" spans="1:21" s="308" customFormat="1" ht="15.75" customHeight="1" collapsed="1">
      <c r="A430" s="169"/>
      <c r="B430" s="743"/>
      <c r="C430" s="186" t="s">
        <v>211</v>
      </c>
      <c r="D430" s="380"/>
      <c r="E430" s="380"/>
      <c r="F430" s="380"/>
      <c r="G430" s="305"/>
      <c r="H430" s="305"/>
      <c r="I430" s="383"/>
      <c r="J430" s="383"/>
      <c r="K430" s="383"/>
      <c r="L430" s="383"/>
      <c r="M430" s="383">
        <f t="shared" ref="M430:R430" si="142">SUM(M426:M429)</f>
        <v>-10733.333333333334</v>
      </c>
      <c r="N430" s="383">
        <f t="shared" si="142"/>
        <v>-294326.68324984668</v>
      </c>
      <c r="O430" s="383">
        <f t="shared" si="142"/>
        <v>-36458.333333333336</v>
      </c>
      <c r="P430" s="383">
        <f t="shared" si="142"/>
        <v>0</v>
      </c>
      <c r="Q430" s="383">
        <f t="shared" si="142"/>
        <v>0</v>
      </c>
      <c r="R430" s="383">
        <f t="shared" si="142"/>
        <v>0</v>
      </c>
      <c r="S430" s="383">
        <f>SUM(S426:S429)</f>
        <v>0</v>
      </c>
      <c r="T430" s="313"/>
      <c r="U430" s="313"/>
    </row>
    <row r="431" spans="1:21" ht="4.5" customHeight="1">
      <c r="B431" s="215"/>
      <c r="C431" s="242"/>
      <c r="D431" s="242"/>
      <c r="E431" s="242"/>
      <c r="F431" s="242"/>
      <c r="G431" s="167"/>
      <c r="H431" s="167"/>
      <c r="I431" s="240"/>
      <c r="J431" s="240"/>
      <c r="K431" s="240"/>
      <c r="L431" s="240"/>
      <c r="M431" s="240"/>
      <c r="N431" s="240"/>
      <c r="O431" s="240"/>
      <c r="P431" s="240"/>
      <c r="Q431" s="240"/>
      <c r="R431" s="240"/>
      <c r="S431" s="240"/>
      <c r="T431" s="168"/>
      <c r="U431" s="168"/>
    </row>
    <row r="432" spans="1:21" s="308" customFormat="1" ht="15.75" customHeight="1">
      <c r="A432" s="169"/>
      <c r="B432" s="743"/>
      <c r="C432" s="186" t="s">
        <v>212</v>
      </c>
      <c r="D432" s="380"/>
      <c r="E432" s="380"/>
      <c r="F432" s="380"/>
      <c r="G432" s="305"/>
      <c r="H432" s="305"/>
      <c r="I432" s="383"/>
      <c r="J432" s="383"/>
      <c r="K432" s="383"/>
      <c r="L432" s="383"/>
      <c r="M432" s="383">
        <f t="shared" ref="M432:R432" ca="1" si="143">SUM(M430,M423)</f>
        <v>1491546.8054916763</v>
      </c>
      <c r="N432" s="383">
        <f t="shared" ca="1" si="143"/>
        <v>-9411366.3023329005</v>
      </c>
      <c r="O432" s="383">
        <f t="shared" ca="1" si="143"/>
        <v>-1088706.5374884792</v>
      </c>
      <c r="P432" s="383">
        <f t="shared" si="143"/>
        <v>0</v>
      </c>
      <c r="Q432" s="383">
        <f t="shared" si="143"/>
        <v>0</v>
      </c>
      <c r="R432" s="383">
        <f t="shared" si="143"/>
        <v>0</v>
      </c>
      <c r="S432" s="383">
        <f>SUM(S430,S423)</f>
        <v>0</v>
      </c>
      <c r="T432" s="313"/>
      <c r="U432" s="313"/>
    </row>
    <row r="433" spans="1:21" ht="9" customHeight="1">
      <c r="B433" s="215"/>
      <c r="C433" s="186"/>
      <c r="D433" s="248"/>
      <c r="E433" s="248"/>
      <c r="F433" s="248"/>
      <c r="G433" s="360"/>
      <c r="H433" s="360"/>
      <c r="I433" s="240"/>
      <c r="J433" s="240"/>
      <c r="K433" s="240"/>
      <c r="L433" s="240"/>
      <c r="M433" s="240"/>
      <c r="N433" s="240"/>
      <c r="O433" s="240"/>
      <c r="P433" s="240"/>
      <c r="Q433" s="240"/>
      <c r="R433" s="240"/>
      <c r="S433" s="240"/>
      <c r="T433" s="168"/>
      <c r="U433" s="168"/>
    </row>
    <row r="434" spans="1:21" ht="15.75" hidden="1" customHeight="1" outlineLevel="1">
      <c r="B434" s="215"/>
      <c r="C434" s="242" t="s">
        <v>310</v>
      </c>
      <c r="D434" s="242"/>
      <c r="E434" s="242"/>
      <c r="F434" s="242"/>
      <c r="G434" s="167"/>
      <c r="H434" s="167"/>
      <c r="I434" s="240"/>
      <c r="J434" s="240"/>
      <c r="K434" s="240"/>
      <c r="L434" s="240"/>
      <c r="M434" s="240">
        <f t="shared" ref="M434:R434" ca="1" si="144">IF(M432&lt;0,M432,0)</f>
        <v>0</v>
      </c>
      <c r="N434" s="240">
        <f t="shared" ca="1" si="144"/>
        <v>-9411366.3023329005</v>
      </c>
      <c r="O434" s="240">
        <f t="shared" ca="1" si="144"/>
        <v>-1088706.5374884792</v>
      </c>
      <c r="P434" s="240">
        <f t="shared" si="144"/>
        <v>0</v>
      </c>
      <c r="Q434" s="240">
        <f t="shared" si="144"/>
        <v>0</v>
      </c>
      <c r="R434" s="240">
        <f t="shared" si="144"/>
        <v>0</v>
      </c>
      <c r="S434" s="240">
        <f>IF(S432&lt;0,S432,0)</f>
        <v>0</v>
      </c>
      <c r="T434" s="168"/>
      <c r="U434" s="168"/>
    </row>
    <row r="435" spans="1:21" ht="15.75" hidden="1" customHeight="1" outlineLevel="1">
      <c r="B435" s="215"/>
      <c r="C435" s="242"/>
      <c r="D435" s="242"/>
      <c r="E435" s="242"/>
      <c r="F435" s="242"/>
      <c r="G435" s="167"/>
      <c r="H435" s="167"/>
      <c r="I435" s="242"/>
      <c r="J435" s="242"/>
      <c r="K435" s="242"/>
      <c r="L435" s="242"/>
      <c r="M435" s="242"/>
      <c r="N435" s="242"/>
      <c r="O435" s="242"/>
      <c r="P435" s="242"/>
      <c r="Q435" s="242"/>
      <c r="R435" s="242"/>
      <c r="S435" s="242"/>
      <c r="T435" s="168"/>
      <c r="U435" s="168"/>
    </row>
    <row r="436" spans="1:21" ht="15.75" customHeight="1" collapsed="1">
      <c r="B436" s="215"/>
      <c r="C436" s="186" t="s">
        <v>213</v>
      </c>
      <c r="D436" s="215"/>
      <c r="E436" s="249"/>
      <c r="F436" s="249"/>
      <c r="G436" s="167"/>
      <c r="H436" s="167"/>
      <c r="I436" s="240"/>
      <c r="J436" s="240"/>
      <c r="K436" s="240"/>
      <c r="L436" s="240"/>
      <c r="M436" s="240"/>
      <c r="N436" s="240"/>
      <c r="O436" s="240"/>
      <c r="P436" s="240"/>
      <c r="Q436" s="240"/>
      <c r="R436" s="240"/>
      <c r="S436" s="240"/>
      <c r="T436" s="168"/>
      <c r="U436" s="168"/>
    </row>
    <row r="437" spans="1:21" ht="15.75" customHeight="1">
      <c r="A437" s="169">
        <v>17</v>
      </c>
      <c r="B437" s="215"/>
      <c r="C437" s="353" t="s">
        <v>214</v>
      </c>
      <c r="D437" s="242"/>
      <c r="E437" s="242"/>
      <c r="F437" s="242"/>
      <c r="G437" s="167"/>
      <c r="H437" s="167"/>
      <c r="I437" s="240"/>
      <c r="J437" s="240"/>
      <c r="K437" s="240"/>
      <c r="L437" s="240"/>
      <c r="M437" s="240">
        <f t="shared" ref="M437:R437" si="145">M630</f>
        <v>0</v>
      </c>
      <c r="N437" s="240">
        <f t="shared" si="145"/>
        <v>0</v>
      </c>
      <c r="O437" s="240">
        <f t="shared" si="145"/>
        <v>0</v>
      </c>
      <c r="P437" s="240">
        <f t="shared" si="145"/>
        <v>0</v>
      </c>
      <c r="Q437" s="240">
        <f t="shared" si="145"/>
        <v>0</v>
      </c>
      <c r="R437" s="240">
        <f t="shared" si="145"/>
        <v>0</v>
      </c>
      <c r="S437" s="240">
        <f>S630</f>
        <v>0</v>
      </c>
      <c r="T437" s="168"/>
      <c r="U437" s="168"/>
    </row>
    <row r="438" spans="1:21" ht="15.75" customHeight="1">
      <c r="A438" s="169">
        <v>18</v>
      </c>
      <c r="B438" s="215"/>
      <c r="C438" s="353" t="s">
        <v>215</v>
      </c>
      <c r="D438" s="242"/>
      <c r="E438" s="242"/>
      <c r="F438" s="242"/>
      <c r="G438" s="167"/>
      <c r="H438" s="167"/>
      <c r="I438" s="240"/>
      <c r="J438" s="240"/>
      <c r="K438" s="240"/>
      <c r="L438" s="240"/>
      <c r="M438" s="240">
        <f t="shared" ref="M438:R438" si="146">M636</f>
        <v>0</v>
      </c>
      <c r="N438" s="240">
        <f t="shared" si="146"/>
        <v>0</v>
      </c>
      <c r="O438" s="240">
        <f t="shared" si="146"/>
        <v>0</v>
      </c>
      <c r="P438" s="240">
        <f t="shared" si="146"/>
        <v>0</v>
      </c>
      <c r="Q438" s="240">
        <f t="shared" si="146"/>
        <v>0</v>
      </c>
      <c r="R438" s="240">
        <f t="shared" si="146"/>
        <v>0</v>
      </c>
      <c r="S438" s="240">
        <f>S636</f>
        <v>0</v>
      </c>
      <c r="T438" s="168"/>
      <c r="U438" s="168"/>
    </row>
    <row r="439" spans="1:21" ht="15.75" hidden="1" customHeight="1" outlineLevel="1">
      <c r="A439" s="169">
        <v>19</v>
      </c>
      <c r="B439" s="215"/>
      <c r="C439" s="353" t="s">
        <v>451</v>
      </c>
      <c r="D439" s="242"/>
      <c r="E439" s="242"/>
      <c r="F439" s="242"/>
      <c r="G439" s="167"/>
      <c r="H439" s="167"/>
      <c r="I439" s="240"/>
      <c r="J439" s="240"/>
      <c r="K439" s="240"/>
      <c r="L439" s="240"/>
      <c r="M439" s="240">
        <f>M562</f>
        <v>0</v>
      </c>
      <c r="N439" s="240">
        <f t="shared" ref="N439:Q440" si="147">N562</f>
        <v>0</v>
      </c>
      <c r="O439" s="240">
        <f t="shared" si="147"/>
        <v>0</v>
      </c>
      <c r="P439" s="240">
        <f t="shared" si="147"/>
        <v>0</v>
      </c>
      <c r="Q439" s="240">
        <f t="shared" si="147"/>
        <v>0</v>
      </c>
      <c r="R439" s="240">
        <f>R562</f>
        <v>0</v>
      </c>
      <c r="S439" s="240">
        <f>S562</f>
        <v>0</v>
      </c>
      <c r="T439" s="168"/>
      <c r="U439" s="168"/>
    </row>
    <row r="440" spans="1:21" ht="15.75" customHeight="1" collapsed="1">
      <c r="A440" s="169">
        <v>20</v>
      </c>
      <c r="B440" s="215"/>
      <c r="C440" s="353" t="s">
        <v>311</v>
      </c>
      <c r="D440" s="242"/>
      <c r="E440" s="242"/>
      <c r="F440" s="242"/>
      <c r="G440" s="167"/>
      <c r="H440" s="167"/>
      <c r="I440" s="240"/>
      <c r="J440" s="240"/>
      <c r="K440" s="240"/>
      <c r="L440" s="240"/>
      <c r="M440" s="240">
        <f>M563</f>
        <v>0</v>
      </c>
      <c r="N440" s="240">
        <f t="shared" si="147"/>
        <v>0</v>
      </c>
      <c r="O440" s="240">
        <f t="shared" si="147"/>
        <v>0</v>
      </c>
      <c r="P440" s="240">
        <f t="shared" si="147"/>
        <v>0</v>
      </c>
      <c r="Q440" s="240">
        <f t="shared" si="147"/>
        <v>0</v>
      </c>
      <c r="R440" s="240">
        <f>R563</f>
        <v>0</v>
      </c>
      <c r="S440" s="240">
        <f>S563</f>
        <v>0</v>
      </c>
      <c r="T440" s="168"/>
      <c r="U440" s="168"/>
    </row>
    <row r="441" spans="1:21" ht="15.75" hidden="1" customHeight="1" outlineLevel="1">
      <c r="A441" s="169">
        <v>21</v>
      </c>
      <c r="B441" s="215"/>
      <c r="C441" s="353" t="s">
        <v>373</v>
      </c>
      <c r="D441" s="242"/>
      <c r="E441" s="242"/>
      <c r="F441" s="242"/>
      <c r="G441" s="167"/>
      <c r="H441" s="167"/>
      <c r="I441" s="240"/>
      <c r="J441" s="240"/>
      <c r="K441" s="240"/>
      <c r="L441" s="240"/>
      <c r="M441" s="240">
        <f>-M581</f>
        <v>0</v>
      </c>
      <c r="N441" s="240">
        <f ca="1">-N581</f>
        <v>0</v>
      </c>
      <c r="O441" s="240">
        <v>0</v>
      </c>
      <c r="P441" s="240">
        <v>0</v>
      </c>
      <c r="Q441" s="240">
        <v>0</v>
      </c>
      <c r="R441" s="240">
        <v>0</v>
      </c>
      <c r="S441" s="240">
        <v>0</v>
      </c>
      <c r="T441" s="168"/>
      <c r="U441" s="168"/>
    </row>
    <row r="442" spans="1:21" ht="15.75" hidden="1" customHeight="1" outlineLevel="1">
      <c r="A442" s="169">
        <v>22</v>
      </c>
      <c r="B442" s="215"/>
      <c r="C442" s="353" t="s">
        <v>374</v>
      </c>
      <c r="D442" s="242"/>
      <c r="E442" s="242"/>
      <c r="F442" s="242"/>
      <c r="G442" s="167"/>
      <c r="H442" s="167"/>
      <c r="I442" s="240"/>
      <c r="J442" s="240"/>
      <c r="K442" s="240"/>
      <c r="L442" s="240"/>
      <c r="M442" s="240">
        <f t="shared" ref="M442:R442" si="148">M586</f>
        <v>0</v>
      </c>
      <c r="N442" s="240">
        <f t="shared" si="148"/>
        <v>0</v>
      </c>
      <c r="O442" s="240">
        <f t="shared" si="148"/>
        <v>0</v>
      </c>
      <c r="P442" s="240">
        <f t="shared" si="148"/>
        <v>0</v>
      </c>
      <c r="Q442" s="240">
        <f t="shared" si="148"/>
        <v>0</v>
      </c>
      <c r="R442" s="240">
        <f t="shared" si="148"/>
        <v>0</v>
      </c>
      <c r="S442" s="240">
        <f>S586</f>
        <v>0</v>
      </c>
      <c r="T442" s="168"/>
      <c r="U442" s="168"/>
    </row>
    <row r="443" spans="1:21" ht="15.75" hidden="1" customHeight="1" outlineLevel="1">
      <c r="A443" s="169">
        <v>23</v>
      </c>
      <c r="B443" s="215"/>
      <c r="C443" s="353" t="s">
        <v>368</v>
      </c>
      <c r="D443" s="242"/>
      <c r="E443" s="242"/>
      <c r="F443" s="242"/>
      <c r="G443" s="167"/>
      <c r="H443" s="167"/>
      <c r="I443" s="240"/>
      <c r="J443" s="240"/>
      <c r="K443" s="240"/>
      <c r="L443" s="240"/>
      <c r="M443" s="240"/>
      <c r="N443" s="240">
        <v>0</v>
      </c>
      <c r="O443" s="240">
        <v>0</v>
      </c>
      <c r="P443" s="240">
        <v>0</v>
      </c>
      <c r="Q443" s="240">
        <v>0</v>
      </c>
      <c r="R443" s="240">
        <v>0</v>
      </c>
      <c r="S443" s="240">
        <v>0</v>
      </c>
      <c r="T443" s="168"/>
      <c r="U443" s="168"/>
    </row>
    <row r="444" spans="1:21" s="308" customFormat="1" ht="15.75" customHeight="1" collapsed="1">
      <c r="A444" s="169"/>
      <c r="B444" s="743"/>
      <c r="C444" s="186" t="s">
        <v>217</v>
      </c>
      <c r="D444" s="380"/>
      <c r="E444" s="731"/>
      <c r="F444" s="731"/>
      <c r="G444" s="305"/>
      <c r="H444" s="305"/>
      <c r="I444" s="383"/>
      <c r="J444" s="383"/>
      <c r="K444" s="383"/>
      <c r="L444" s="383"/>
      <c r="M444" s="383">
        <f t="shared" ref="M444:R444" si="149">SUM(M437:M443)</f>
        <v>0</v>
      </c>
      <c r="N444" s="383">
        <f t="shared" ca="1" si="149"/>
        <v>0</v>
      </c>
      <c r="O444" s="383">
        <f t="shared" si="149"/>
        <v>0</v>
      </c>
      <c r="P444" s="383">
        <f t="shared" si="149"/>
        <v>0</v>
      </c>
      <c r="Q444" s="383">
        <f t="shared" si="149"/>
        <v>0</v>
      </c>
      <c r="R444" s="383">
        <f t="shared" si="149"/>
        <v>0</v>
      </c>
      <c r="S444" s="383">
        <f>SUM(S437:S443)</f>
        <v>0</v>
      </c>
      <c r="T444" s="313"/>
      <c r="U444" s="313"/>
    </row>
    <row r="445" spans="1:21" ht="7.5" customHeight="1">
      <c r="B445" s="215"/>
      <c r="C445" s="242"/>
      <c r="D445" s="242"/>
      <c r="E445" s="243"/>
      <c r="F445" s="243"/>
      <c r="G445" s="385"/>
      <c r="H445" s="385"/>
      <c r="I445" s="240"/>
      <c r="J445" s="240"/>
      <c r="K445" s="240"/>
      <c r="L445" s="240"/>
      <c r="M445" s="240"/>
      <c r="N445" s="240"/>
      <c r="O445" s="240"/>
      <c r="P445" s="240"/>
      <c r="Q445" s="240"/>
      <c r="R445" s="240"/>
      <c r="S445" s="240"/>
      <c r="T445" s="168"/>
      <c r="U445" s="168"/>
    </row>
    <row r="446" spans="1:21" ht="15.75" customHeight="1">
      <c r="B446" s="242"/>
      <c r="C446" s="186" t="s">
        <v>218</v>
      </c>
      <c r="D446" s="242"/>
      <c r="E446" s="243"/>
      <c r="F446" s="243"/>
      <c r="G446" s="167"/>
      <c r="H446" s="167"/>
      <c r="I446" s="240"/>
      <c r="J446" s="240"/>
      <c r="K446" s="240"/>
      <c r="L446" s="240"/>
      <c r="M446" s="240">
        <f t="shared" ref="M446:S446" ca="1" si="150">M423+M430+M444</f>
        <v>1491546.8054916763</v>
      </c>
      <c r="N446" s="240">
        <f t="shared" ca="1" si="150"/>
        <v>-9411366.3023329005</v>
      </c>
      <c r="O446" s="240">
        <f t="shared" ca="1" si="150"/>
        <v>-1088706.5374884792</v>
      </c>
      <c r="P446" s="240">
        <f t="shared" si="150"/>
        <v>0</v>
      </c>
      <c r="Q446" s="240">
        <f t="shared" si="150"/>
        <v>0</v>
      </c>
      <c r="R446" s="240">
        <f t="shared" si="150"/>
        <v>0</v>
      </c>
      <c r="S446" s="240">
        <f t="shared" si="150"/>
        <v>0</v>
      </c>
      <c r="T446" s="168"/>
      <c r="U446" s="168"/>
    </row>
    <row r="447" spans="1:21" ht="15.75" customHeight="1">
      <c r="B447" s="242"/>
      <c r="C447" s="242"/>
      <c r="D447" s="215"/>
      <c r="E447" s="271"/>
      <c r="F447" s="243"/>
      <c r="G447" s="385"/>
      <c r="H447" s="385"/>
      <c r="I447" s="240"/>
      <c r="J447" s="240"/>
      <c r="K447" s="240"/>
      <c r="L447" s="240"/>
      <c r="M447" s="240"/>
      <c r="N447" s="240"/>
      <c r="O447" s="240"/>
      <c r="P447" s="240"/>
      <c r="Q447" s="240"/>
      <c r="R447" s="240"/>
      <c r="S447" s="240"/>
      <c r="T447" s="168"/>
      <c r="U447" s="168"/>
    </row>
    <row r="448" spans="1:21" ht="15.75" hidden="1" customHeight="1" outlineLevel="1">
      <c r="B448" s="242"/>
      <c r="C448" s="356" t="s">
        <v>376</v>
      </c>
      <c r="D448" s="242"/>
      <c r="E448" s="242"/>
      <c r="F448" s="242"/>
      <c r="G448" s="167"/>
      <c r="H448" s="167"/>
      <c r="I448" s="240"/>
      <c r="J448" s="744"/>
      <c r="K448" s="240"/>
      <c r="L448" s="240"/>
      <c r="M448" s="240">
        <v>0</v>
      </c>
      <c r="N448" s="240">
        <f t="shared" ref="N448:S448" ca="1" si="151">M449</f>
        <v>1491546.8054916763</v>
      </c>
      <c r="O448" s="240">
        <f t="shared" ca="1" si="151"/>
        <v>-7919819.4968412239</v>
      </c>
      <c r="P448" s="240"/>
      <c r="Q448" s="240">
        <f t="shared" si="151"/>
        <v>0</v>
      </c>
      <c r="R448" s="240">
        <f t="shared" si="151"/>
        <v>0</v>
      </c>
      <c r="S448" s="240">
        <f t="shared" si="151"/>
        <v>0</v>
      </c>
      <c r="T448" s="168"/>
      <c r="U448" s="168"/>
    </row>
    <row r="449" spans="2:21" ht="15.75" hidden="1" customHeight="1" outlineLevel="1">
      <c r="B449" s="242"/>
      <c r="C449" s="386" t="s">
        <v>377</v>
      </c>
      <c r="D449" s="260"/>
      <c r="E449" s="260"/>
      <c r="F449" s="260"/>
      <c r="G449" s="400"/>
      <c r="H449" s="400"/>
      <c r="I449" s="261"/>
      <c r="J449" s="261"/>
      <c r="K449" s="261"/>
      <c r="L449" s="261"/>
      <c r="M449" s="261">
        <f t="shared" ref="M449:R449" ca="1" si="152">M446+M448</f>
        <v>1491546.8054916763</v>
      </c>
      <c r="N449" s="261">
        <f t="shared" ca="1" si="152"/>
        <v>-7919819.4968412239</v>
      </c>
      <c r="O449" s="261">
        <f t="shared" ca="1" si="152"/>
        <v>-9008526.0343297031</v>
      </c>
      <c r="P449" s="261">
        <f t="shared" si="152"/>
        <v>0</v>
      </c>
      <c r="Q449" s="261">
        <f t="shared" si="152"/>
        <v>0</v>
      </c>
      <c r="R449" s="261">
        <f t="shared" si="152"/>
        <v>0</v>
      </c>
      <c r="S449" s="261">
        <f>S446+S448</f>
        <v>0</v>
      </c>
      <c r="T449" s="168"/>
      <c r="U449" s="168"/>
    </row>
    <row r="450" spans="2:21" ht="15.75" hidden="1" customHeight="1" outlineLevel="1">
      <c r="B450" s="242"/>
      <c r="C450" s="356"/>
      <c r="D450" s="242"/>
      <c r="E450" s="242"/>
      <c r="F450" s="242"/>
      <c r="G450" s="167"/>
      <c r="H450" s="167"/>
      <c r="I450" s="240"/>
      <c r="J450" s="240"/>
      <c r="K450" s="240"/>
      <c r="L450" s="240"/>
      <c r="M450" s="240"/>
      <c r="N450" s="240"/>
      <c r="O450" s="240"/>
      <c r="P450" s="240"/>
      <c r="Q450" s="240"/>
      <c r="R450" s="240"/>
      <c r="S450" s="240"/>
      <c r="T450" s="168"/>
      <c r="U450" s="168"/>
    </row>
    <row r="451" spans="2:21" ht="15.75" hidden="1" customHeight="1" outlineLevel="1">
      <c r="B451" s="242"/>
      <c r="C451" s="356"/>
      <c r="D451" s="242"/>
      <c r="E451" s="242"/>
      <c r="F451" s="242"/>
      <c r="G451" s="167"/>
      <c r="H451" s="167"/>
      <c r="I451" s="240"/>
      <c r="J451" s="240"/>
      <c r="K451" s="240"/>
      <c r="L451" s="240"/>
      <c r="M451" s="215"/>
      <c r="N451" s="215"/>
      <c r="O451" s="215"/>
      <c r="P451" s="215"/>
      <c r="Q451" s="215"/>
      <c r="R451" s="215"/>
      <c r="S451" s="215"/>
      <c r="T451" s="168"/>
      <c r="U451" s="168"/>
    </row>
    <row r="452" spans="2:21" ht="15.75" hidden="1" customHeight="1" outlineLevel="1">
      <c r="B452" s="242"/>
      <c r="C452" s="254"/>
      <c r="D452" s="254"/>
      <c r="E452" s="254"/>
      <c r="F452" s="254"/>
      <c r="G452" s="167"/>
      <c r="H452" s="167"/>
      <c r="I452" s="254"/>
      <c r="J452" s="254"/>
      <c r="K452" s="255"/>
      <c r="L452" s="255"/>
      <c r="M452" s="215"/>
      <c r="N452" s="215"/>
      <c r="O452" s="215"/>
      <c r="P452" s="215"/>
      <c r="Q452" s="215"/>
      <c r="R452" s="215"/>
      <c r="S452" s="215"/>
      <c r="T452" s="168"/>
      <c r="U452" s="168"/>
    </row>
    <row r="453" spans="2:21" ht="15.75" hidden="1" customHeight="1" outlineLevel="1">
      <c r="B453" s="242"/>
      <c r="C453" s="254"/>
      <c r="D453" s="254"/>
      <c r="E453" s="254"/>
      <c r="F453" s="254"/>
      <c r="G453" s="167"/>
      <c r="H453" s="167"/>
      <c r="I453" s="254"/>
      <c r="J453" s="254"/>
      <c r="K453" s="255"/>
      <c r="L453" s="255"/>
      <c r="M453" s="215"/>
      <c r="N453" s="215"/>
      <c r="O453" s="215"/>
      <c r="P453" s="215"/>
      <c r="Q453" s="215"/>
      <c r="R453" s="215"/>
      <c r="S453" s="215"/>
      <c r="T453" s="168"/>
      <c r="U453" s="168"/>
    </row>
    <row r="454" spans="2:21" ht="15.75" hidden="1" customHeight="1" outlineLevel="1">
      <c r="B454" s="242"/>
      <c r="C454" s="254"/>
      <c r="D454" s="254"/>
      <c r="E454" s="254"/>
      <c r="F454" s="254"/>
      <c r="G454" s="167"/>
      <c r="H454" s="167"/>
      <c r="I454" s="254"/>
      <c r="J454" s="254"/>
      <c r="K454" s="255"/>
      <c r="L454" s="255"/>
      <c r="M454" s="215"/>
      <c r="N454" s="215"/>
      <c r="O454" s="215"/>
      <c r="P454" s="215"/>
      <c r="Q454" s="215"/>
      <c r="R454" s="215"/>
      <c r="S454" s="215"/>
      <c r="T454" s="168"/>
      <c r="U454" s="168"/>
    </row>
    <row r="455" spans="2:21" ht="27" hidden="1" outlineLevel="1">
      <c r="B455" s="242"/>
      <c r="C455" s="366" t="s">
        <v>445</v>
      </c>
      <c r="D455" s="168"/>
      <c r="E455" s="168"/>
      <c r="F455" s="168"/>
      <c r="G455" s="167"/>
      <c r="H455" s="167"/>
      <c r="I455" s="254"/>
      <c r="J455" s="254"/>
      <c r="K455" s="367"/>
      <c r="L455" s="368"/>
      <c r="M455" s="367"/>
      <c r="N455" s="368"/>
      <c r="O455" s="368"/>
      <c r="P455" s="368"/>
      <c r="Q455" s="368"/>
      <c r="R455" s="368"/>
      <c r="S455" s="368"/>
      <c r="T455" s="168"/>
      <c r="U455" s="168"/>
    </row>
    <row r="456" spans="2:21" ht="3" hidden="1" customHeight="1" outlineLevel="1">
      <c r="B456" s="242"/>
      <c r="C456" s="229"/>
      <c r="D456" s="229"/>
      <c r="E456" s="229"/>
      <c r="F456" s="229"/>
      <c r="G456" s="300"/>
      <c r="H456" s="300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168"/>
      <c r="U456" s="168"/>
    </row>
    <row r="457" spans="2:21" ht="15.75" hidden="1" customHeight="1" outlineLevel="1">
      <c r="B457" s="242"/>
      <c r="C457" s="168"/>
      <c r="D457" s="168"/>
      <c r="E457" s="168"/>
      <c r="F457" s="168"/>
      <c r="G457" s="167"/>
      <c r="H457" s="167"/>
      <c r="I457" s="254"/>
      <c r="J457" s="254"/>
      <c r="K457" s="367"/>
      <c r="L457" s="368"/>
      <c r="M457" s="367"/>
      <c r="N457" s="368"/>
      <c r="O457" s="368"/>
      <c r="P457" s="368"/>
      <c r="Q457" s="368"/>
      <c r="R457" s="368"/>
      <c r="S457" s="368"/>
      <c r="T457" s="168"/>
      <c r="U457" s="168"/>
    </row>
    <row r="458" spans="2:21" ht="15.75" hidden="1" customHeight="1" outlineLevel="1">
      <c r="B458" s="215"/>
      <c r="C458" s="313" t="s">
        <v>417</v>
      </c>
      <c r="D458" s="168"/>
      <c r="E458" s="168"/>
      <c r="F458" s="168"/>
      <c r="G458" s="167"/>
      <c r="H458" s="167"/>
      <c r="I458" s="254"/>
      <c r="J458" s="254"/>
      <c r="K458" s="367"/>
      <c r="L458" s="368"/>
      <c r="M458" s="367"/>
      <c r="N458" s="368"/>
      <c r="O458" s="368"/>
      <c r="P458" s="368"/>
      <c r="Q458" s="368"/>
      <c r="R458" s="368"/>
      <c r="S458" s="368"/>
      <c r="T458" s="168"/>
      <c r="U458" s="168"/>
    </row>
    <row r="459" spans="2:21" ht="15.75" hidden="1" customHeight="1" outlineLevel="1">
      <c r="B459" s="215"/>
      <c r="C459" s="348"/>
      <c r="D459" s="233"/>
      <c r="E459" s="233"/>
      <c r="F459" s="233"/>
      <c r="G459" s="338"/>
      <c r="H459" s="174">
        <v>0</v>
      </c>
      <c r="I459" s="174">
        <v>0</v>
      </c>
      <c r="J459" s="174">
        <v>1</v>
      </c>
      <c r="K459" s="174">
        <v>2</v>
      </c>
      <c r="L459" s="174">
        <f t="shared" ref="L459:M461" si="153">L285</f>
        <v>3</v>
      </c>
      <c r="M459" s="174" t="str">
        <f t="shared" si="153"/>
        <v>1 Year</v>
      </c>
      <c r="N459" s="174" t="str">
        <f t="shared" ref="N459:Q461" si="154">N285</f>
        <v>2 Year</v>
      </c>
      <c r="O459" s="174" t="str">
        <f t="shared" si="154"/>
        <v>3 Year</v>
      </c>
      <c r="P459" s="174" t="str">
        <f t="shared" si="154"/>
        <v>4 Year</v>
      </c>
      <c r="Q459" s="174" t="str">
        <f t="shared" si="154"/>
        <v>5 Year</v>
      </c>
      <c r="R459" s="174" t="str">
        <f t="shared" ref="R459:S461" si="155">R285</f>
        <v>6 Year</v>
      </c>
      <c r="S459" s="174" t="str">
        <f t="shared" si="155"/>
        <v>7 Year</v>
      </c>
      <c r="T459" s="168"/>
      <c r="U459" s="168"/>
    </row>
    <row r="460" spans="2:21" ht="15.75" hidden="1" customHeight="1" outlineLevel="1">
      <c r="B460" s="215"/>
      <c r="C460" s="349"/>
      <c r="D460" s="234"/>
      <c r="E460" s="234"/>
      <c r="F460" s="234"/>
      <c r="G460" s="325"/>
      <c r="H460" s="176"/>
      <c r="I460" s="176"/>
      <c r="J460" s="176"/>
      <c r="K460" s="176"/>
      <c r="L460" s="176"/>
      <c r="M460" s="176"/>
      <c r="N460" s="176"/>
      <c r="O460" s="176"/>
      <c r="P460" s="176"/>
      <c r="Q460" s="176"/>
      <c r="R460" s="176"/>
      <c r="S460" s="176"/>
      <c r="T460" s="168"/>
      <c r="U460" s="168"/>
    </row>
    <row r="461" spans="2:21" ht="15.75" hidden="1" customHeight="1" outlineLevel="1">
      <c r="B461" s="242"/>
      <c r="C461" s="359"/>
      <c r="D461" s="260"/>
      <c r="E461" s="235"/>
      <c r="F461" s="235"/>
      <c r="G461" s="326"/>
      <c r="H461" s="213" t="s">
        <v>499</v>
      </c>
      <c r="I461" s="213" t="s">
        <v>499</v>
      </c>
      <c r="J461" s="213" t="s">
        <v>499</v>
      </c>
      <c r="K461" s="213" t="s">
        <v>499</v>
      </c>
      <c r="L461" s="213" t="str">
        <f t="shared" si="153"/>
        <v>($)</v>
      </c>
      <c r="M461" s="213" t="str">
        <f t="shared" si="153"/>
        <v>($)</v>
      </c>
      <c r="N461" s="213" t="str">
        <f t="shared" si="154"/>
        <v>($)</v>
      </c>
      <c r="O461" s="213" t="str">
        <f t="shared" si="154"/>
        <v>($)</v>
      </c>
      <c r="P461" s="213" t="str">
        <f t="shared" si="154"/>
        <v>($)</v>
      </c>
      <c r="Q461" s="213" t="str">
        <f t="shared" si="154"/>
        <v>($)</v>
      </c>
      <c r="R461" s="213" t="str">
        <f t="shared" si="155"/>
        <v>($)</v>
      </c>
      <c r="S461" s="213" t="str">
        <f t="shared" si="155"/>
        <v>($)</v>
      </c>
      <c r="T461" s="168"/>
      <c r="U461" s="168"/>
    </row>
    <row r="462" spans="2:21" ht="15.75" hidden="1" customHeight="1" outlineLevel="1">
      <c r="B462" s="215"/>
      <c r="C462" s="242"/>
      <c r="D462" s="242"/>
      <c r="E462" s="242"/>
      <c r="F462" s="242"/>
      <c r="G462" s="167"/>
      <c r="H462" s="167"/>
      <c r="I462" s="242"/>
      <c r="J462" s="243"/>
      <c r="K462" s="243"/>
      <c r="L462" s="243"/>
      <c r="M462" s="243"/>
      <c r="N462" s="243"/>
      <c r="O462" s="243"/>
      <c r="P462" s="243"/>
      <c r="Q462" s="243"/>
      <c r="R462" s="243"/>
      <c r="S462" s="243"/>
      <c r="T462" s="168"/>
      <c r="U462" s="168"/>
    </row>
    <row r="463" spans="2:21" ht="15.75" hidden="1" customHeight="1" outlineLevel="1">
      <c r="B463" s="215"/>
      <c r="C463" s="242" t="s">
        <v>458</v>
      </c>
      <c r="D463" s="215"/>
      <c r="E463" s="271"/>
      <c r="F463" s="243"/>
      <c r="G463" s="167"/>
      <c r="H463" s="246"/>
      <c r="I463" s="246"/>
      <c r="J463" s="246"/>
      <c r="K463" s="246"/>
      <c r="L463" s="246"/>
      <c r="M463" s="246">
        <f t="shared" ref="M463:R463" si="156">M289</f>
        <v>5635716.4095565369</v>
      </c>
      <c r="N463" s="246">
        <f t="shared" si="156"/>
        <v>29432668.324984666</v>
      </c>
      <c r="O463" s="246">
        <f t="shared" si="156"/>
        <v>12424288.038444562</v>
      </c>
      <c r="P463" s="246">
        <f t="shared" si="156"/>
        <v>0</v>
      </c>
      <c r="Q463" s="246">
        <f t="shared" si="156"/>
        <v>0</v>
      </c>
      <c r="R463" s="246">
        <f t="shared" si="156"/>
        <v>0</v>
      </c>
      <c r="S463" s="246">
        <f>S289</f>
        <v>0</v>
      </c>
      <c r="T463" s="168"/>
      <c r="U463" s="168"/>
    </row>
    <row r="464" spans="2:21" ht="15.75" hidden="1" customHeight="1" outlineLevel="1">
      <c r="B464" s="215"/>
      <c r="C464" s="242" t="s">
        <v>450</v>
      </c>
      <c r="D464" s="215"/>
      <c r="E464" s="215"/>
      <c r="F464" s="215"/>
      <c r="G464" s="167"/>
      <c r="H464" s="246"/>
      <c r="I464" s="246"/>
      <c r="J464" s="246"/>
      <c r="K464" s="246"/>
      <c r="L464" s="246"/>
      <c r="M464" s="246">
        <f t="shared" ref="M464:R464" ca="1" si="157">-M291</f>
        <v>3514977.3457786134</v>
      </c>
      <c r="N464" s="246">
        <f t="shared" ca="1" si="157"/>
        <v>37244697.353609145</v>
      </c>
      <c r="O464" s="246">
        <f t="shared" si="157"/>
        <v>12408937.601522554</v>
      </c>
      <c r="P464" s="246">
        <f t="shared" si="157"/>
        <v>0</v>
      </c>
      <c r="Q464" s="246">
        <f t="shared" si="157"/>
        <v>0</v>
      </c>
      <c r="R464" s="246">
        <f t="shared" si="157"/>
        <v>0</v>
      </c>
      <c r="S464" s="246">
        <f>-S291</f>
        <v>0</v>
      </c>
      <c r="T464" s="168"/>
      <c r="U464" s="168"/>
    </row>
    <row r="465" spans="2:21" ht="15.75" hidden="1" customHeight="1" outlineLevel="1">
      <c r="B465" s="215"/>
      <c r="C465" s="387"/>
      <c r="D465" s="215"/>
      <c r="E465" s="215"/>
      <c r="F465" s="215"/>
      <c r="G465" s="167"/>
      <c r="H465" s="167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168"/>
      <c r="U465" s="168"/>
    </row>
    <row r="466" spans="2:21" ht="15.75" hidden="1" customHeight="1" outlineLevel="1">
      <c r="B466" s="215"/>
      <c r="C466" s="380" t="s">
        <v>396</v>
      </c>
      <c r="D466" s="262"/>
      <c r="E466" s="262"/>
      <c r="F466" s="262"/>
      <c r="G466" s="305"/>
      <c r="H466" s="305"/>
      <c r="I466" s="262"/>
      <c r="J466" s="262"/>
      <c r="K466" s="263"/>
      <c r="L466" s="263"/>
      <c r="M466" s="263"/>
      <c r="N466" s="263"/>
      <c r="O466" s="263"/>
      <c r="P466" s="263"/>
      <c r="Q466" s="263"/>
      <c r="R466" s="263"/>
      <c r="S466" s="263"/>
      <c r="T466" s="168"/>
      <c r="U466" s="168"/>
    </row>
    <row r="467" spans="2:21" ht="15.75" hidden="1" customHeight="1" outlineLevel="1">
      <c r="B467" s="215"/>
      <c r="C467" s="353" t="s">
        <v>341</v>
      </c>
      <c r="D467" s="262"/>
      <c r="E467" s="388"/>
      <c r="F467" s="264"/>
      <c r="G467" s="167"/>
      <c r="H467" s="265"/>
      <c r="I467" s="265"/>
      <c r="J467" s="265"/>
      <c r="K467" s="265"/>
      <c r="L467" s="265"/>
      <c r="M467" s="265">
        <v>4.2000000000000003E-2</v>
      </c>
      <c r="N467" s="265">
        <f>N477/N463</f>
        <v>4.1666666666666664E-2</v>
      </c>
      <c r="O467" s="265">
        <f>O477/O463</f>
        <v>9.8706756991865957E-2</v>
      </c>
      <c r="P467" s="265"/>
      <c r="Q467" s="265"/>
      <c r="R467" s="265"/>
      <c r="S467" s="265"/>
      <c r="T467" s="168"/>
      <c r="U467" s="168"/>
    </row>
    <row r="468" spans="2:21" ht="15.75" hidden="1" customHeight="1" outlineLevel="1">
      <c r="B468" s="215"/>
      <c r="C468" s="353" t="s">
        <v>397</v>
      </c>
      <c r="D468" s="215"/>
      <c r="E468" s="271"/>
      <c r="F468" s="243"/>
      <c r="G468" s="167"/>
      <c r="H468" s="243"/>
      <c r="I468" s="243"/>
      <c r="J468" s="243"/>
      <c r="K468" s="243"/>
      <c r="L468" s="243"/>
      <c r="M468" s="243">
        <v>0.04</v>
      </c>
      <c r="N468" s="243">
        <v>0.04</v>
      </c>
      <c r="O468" s="243">
        <f>N468</f>
        <v>0.04</v>
      </c>
      <c r="P468" s="243"/>
      <c r="Q468" s="243"/>
      <c r="R468" s="243"/>
      <c r="S468" s="243"/>
      <c r="T468" s="168"/>
      <c r="U468" s="168"/>
    </row>
    <row r="469" spans="2:21" ht="15.75" hidden="1" customHeight="1" outlineLevel="1">
      <c r="B469" s="215"/>
      <c r="C469" s="353" t="s">
        <v>340</v>
      </c>
      <c r="D469" s="242"/>
      <c r="E469" s="242"/>
      <c r="F469" s="242"/>
      <c r="G469" s="167"/>
      <c r="H469" s="243"/>
      <c r="I469" s="243"/>
      <c r="J469" s="243"/>
      <c r="K469" s="243"/>
      <c r="L469" s="243"/>
      <c r="M469" s="243">
        <v>7.0000000000000007E-2</v>
      </c>
      <c r="N469" s="243">
        <v>7.0000000000000007E-2</v>
      </c>
      <c r="O469" s="243">
        <f>N469</f>
        <v>7.0000000000000007E-2</v>
      </c>
      <c r="P469" s="243"/>
      <c r="Q469" s="243"/>
      <c r="R469" s="243"/>
      <c r="S469" s="243"/>
      <c r="T469" s="168"/>
      <c r="U469" s="168"/>
    </row>
    <row r="470" spans="2:21" ht="15.75" hidden="1" customHeight="1" outlineLevel="1">
      <c r="B470" s="215"/>
      <c r="C470" s="353" t="s">
        <v>342</v>
      </c>
      <c r="D470" s="242"/>
      <c r="E470" s="242"/>
      <c r="F470" s="242"/>
      <c r="G470" s="167"/>
      <c r="H470" s="267"/>
      <c r="I470" s="267"/>
      <c r="J470" s="267"/>
      <c r="K470" s="267"/>
      <c r="L470" s="267"/>
      <c r="M470" s="267">
        <v>9.7000000000000003E-2</v>
      </c>
      <c r="N470" s="267">
        <f>N481/N463</f>
        <v>9.7222222222222224E-2</v>
      </c>
      <c r="O470" s="267">
        <f>O481/O463</f>
        <v>0.23031576631435391</v>
      </c>
      <c r="P470" s="267"/>
      <c r="Q470" s="267"/>
      <c r="R470" s="267"/>
      <c r="S470" s="267"/>
      <c r="T470" s="168"/>
      <c r="U470" s="168"/>
    </row>
    <row r="471" spans="2:21" ht="15.75" hidden="1" customHeight="1" outlineLevel="1">
      <c r="B471" s="215"/>
      <c r="C471" s="353" t="s">
        <v>457</v>
      </c>
      <c r="D471" s="242"/>
      <c r="E471" s="242"/>
      <c r="F471" s="242"/>
      <c r="G471" s="167"/>
      <c r="H471" s="246"/>
      <c r="I471" s="246"/>
      <c r="J471" s="269"/>
      <c r="K471" s="269"/>
      <c r="L471" s="269"/>
      <c r="M471" s="269">
        <v>360</v>
      </c>
      <c r="N471" s="269">
        <f>M471</f>
        <v>360</v>
      </c>
      <c r="O471" s="269">
        <f>N471</f>
        <v>360</v>
      </c>
      <c r="P471" s="269"/>
      <c r="Q471" s="269"/>
      <c r="R471" s="269"/>
      <c r="S471" s="269"/>
      <c r="T471" s="168"/>
      <c r="U471" s="168"/>
    </row>
    <row r="472" spans="2:21" ht="15.75" hidden="1" customHeight="1" outlineLevel="1">
      <c r="B472" s="215"/>
      <c r="C472" s="353" t="s">
        <v>459</v>
      </c>
      <c r="D472" s="215"/>
      <c r="E472" s="271"/>
      <c r="F472" s="243"/>
      <c r="G472" s="167"/>
      <c r="H472" s="389"/>
      <c r="I472" s="389"/>
      <c r="J472" s="269"/>
      <c r="K472" s="269"/>
      <c r="L472" s="269"/>
      <c r="M472" s="269">
        <v>15</v>
      </c>
      <c r="N472" s="269">
        <v>15</v>
      </c>
      <c r="O472" s="269">
        <f>N472</f>
        <v>15</v>
      </c>
      <c r="P472" s="269"/>
      <c r="Q472" s="269"/>
      <c r="R472" s="269"/>
      <c r="S472" s="269"/>
      <c r="T472" s="168"/>
      <c r="U472" s="168"/>
    </row>
    <row r="473" spans="2:21" ht="15.75" hidden="1" customHeight="1" outlineLevel="1">
      <c r="B473" s="215"/>
      <c r="C473" s="353" t="s">
        <v>460</v>
      </c>
      <c r="D473" s="242"/>
      <c r="E473" s="242"/>
      <c r="F473" s="242"/>
      <c r="G473" s="167"/>
      <c r="H473" s="389"/>
      <c r="I473" s="389"/>
      <c r="J473" s="269"/>
      <c r="K473" s="269"/>
      <c r="L473" s="269"/>
      <c r="M473" s="269">
        <v>35</v>
      </c>
      <c r="N473" s="269">
        <v>35</v>
      </c>
      <c r="O473" s="269">
        <f>N473</f>
        <v>35</v>
      </c>
      <c r="P473" s="269"/>
      <c r="Q473" s="269"/>
      <c r="R473" s="269"/>
      <c r="S473" s="269"/>
      <c r="T473" s="168"/>
      <c r="U473" s="168"/>
    </row>
    <row r="474" spans="2:21" ht="15.75" hidden="1" customHeight="1" outlineLevel="1">
      <c r="B474" s="215"/>
      <c r="C474" s="353" t="s">
        <v>339</v>
      </c>
      <c r="D474" s="242"/>
      <c r="E474" s="242"/>
      <c r="F474" s="242"/>
      <c r="G474" s="167"/>
      <c r="H474" s="389"/>
      <c r="I474" s="389"/>
      <c r="J474" s="389"/>
      <c r="K474" s="389"/>
      <c r="L474" s="389"/>
      <c r="M474" s="389">
        <v>25</v>
      </c>
      <c r="N474" s="389">
        <f>N469*N471</f>
        <v>25.200000000000003</v>
      </c>
      <c r="O474" s="389">
        <f>O469*O471</f>
        <v>25.200000000000003</v>
      </c>
      <c r="P474" s="389"/>
      <c r="Q474" s="389"/>
      <c r="R474" s="389"/>
      <c r="S474" s="389"/>
      <c r="T474" s="168"/>
      <c r="U474" s="168"/>
    </row>
    <row r="475" spans="2:21" ht="15.75" hidden="1" customHeight="1" outlineLevel="1">
      <c r="B475" s="215"/>
      <c r="C475" s="353"/>
      <c r="D475" s="242"/>
      <c r="E475" s="242"/>
      <c r="F475" s="242"/>
      <c r="G475" s="167"/>
      <c r="H475" s="167"/>
      <c r="I475" s="242"/>
      <c r="J475" s="242"/>
      <c r="K475" s="242"/>
      <c r="L475" s="242"/>
      <c r="M475" s="242"/>
      <c r="N475" s="242"/>
      <c r="O475" s="242"/>
      <c r="P475" s="242"/>
      <c r="Q475" s="242"/>
      <c r="R475" s="242"/>
      <c r="S475" s="242"/>
      <c r="T475" s="168"/>
      <c r="U475" s="168"/>
    </row>
    <row r="476" spans="2:21" ht="15.75" hidden="1" customHeight="1" outlineLevel="1">
      <c r="B476" s="215"/>
      <c r="C476" s="380" t="s">
        <v>398</v>
      </c>
      <c r="D476" s="215"/>
      <c r="E476" s="271"/>
      <c r="F476" s="243"/>
      <c r="G476" s="385"/>
      <c r="H476" s="385"/>
      <c r="I476" s="242"/>
      <c r="J476" s="242"/>
      <c r="K476" s="269"/>
      <c r="L476" s="269"/>
      <c r="M476" s="269"/>
      <c r="N476" s="269"/>
      <c r="O476" s="269"/>
      <c r="P476" s="269"/>
      <c r="Q476" s="269"/>
      <c r="R476" s="269"/>
      <c r="S476" s="269"/>
      <c r="T476" s="168"/>
      <c r="U476" s="168"/>
    </row>
    <row r="477" spans="2:21" ht="15.75" hidden="1" customHeight="1" outlineLevel="1">
      <c r="B477" s="215"/>
      <c r="C477" s="310" t="s">
        <v>456</v>
      </c>
      <c r="D477" s="242"/>
      <c r="E477" s="243"/>
      <c r="F477" s="243"/>
      <c r="G477" s="167"/>
      <c r="H477" s="269"/>
      <c r="I477" s="269"/>
      <c r="J477" s="269"/>
      <c r="K477" s="269"/>
      <c r="L477" s="269"/>
      <c r="M477" s="269">
        <f>M463/(M471/M472)</f>
        <v>234821.5170648557</v>
      </c>
      <c r="N477" s="269">
        <f>N463/(N471/N472)</f>
        <v>1226361.1802076944</v>
      </c>
      <c r="O477" s="269">
        <f>N477</f>
        <v>1226361.1802076944</v>
      </c>
      <c r="P477" s="269"/>
      <c r="Q477" s="269"/>
      <c r="R477" s="269"/>
      <c r="S477" s="269"/>
      <c r="T477" s="168"/>
      <c r="U477" s="168"/>
    </row>
    <row r="478" spans="2:21" ht="15.75" hidden="1" customHeight="1" outlineLevel="1">
      <c r="B478" s="215"/>
      <c r="C478" s="310" t="s">
        <v>382</v>
      </c>
      <c r="D478" s="215"/>
      <c r="E478" s="215"/>
      <c r="F478" s="215"/>
      <c r="G478" s="167"/>
      <c r="H478" s="269"/>
      <c r="I478" s="269"/>
      <c r="J478" s="246"/>
      <c r="K478" s="246"/>
      <c r="L478" s="246"/>
      <c r="M478" s="246">
        <f>M468*M463</f>
        <v>225428.65638226148</v>
      </c>
      <c r="N478" s="246">
        <f>N468*N463</f>
        <v>1177306.7329993867</v>
      </c>
      <c r="O478" s="246">
        <f>N478</f>
        <v>1177306.7329993867</v>
      </c>
      <c r="P478" s="246"/>
      <c r="Q478" s="246"/>
      <c r="R478" s="246"/>
      <c r="S478" s="246"/>
      <c r="T478" s="168"/>
      <c r="U478" s="168"/>
    </row>
    <row r="479" spans="2:21" ht="15.75" hidden="1" customHeight="1" outlineLevel="1">
      <c r="B479" s="215"/>
      <c r="C479" s="310" t="s">
        <v>383</v>
      </c>
      <c r="D479" s="215"/>
      <c r="E479" s="248"/>
      <c r="F479" s="248"/>
      <c r="G479" s="167"/>
      <c r="H479" s="246"/>
      <c r="I479" s="246"/>
      <c r="J479" s="246"/>
      <c r="K479" s="246"/>
      <c r="L479" s="246"/>
      <c r="M479" s="246">
        <f ca="1">M469*M464</f>
        <v>246048.41420450294</v>
      </c>
      <c r="N479" s="246">
        <f ca="1">N469*N464</f>
        <v>2607128.8147526402</v>
      </c>
      <c r="O479" s="246">
        <f ca="1">N479</f>
        <v>2607128.8147526402</v>
      </c>
      <c r="P479" s="246"/>
      <c r="Q479" s="246"/>
      <c r="R479" s="246"/>
      <c r="S479" s="246"/>
      <c r="T479" s="168"/>
      <c r="U479" s="168"/>
    </row>
    <row r="480" spans="2:21" ht="15.75" hidden="1" customHeight="1" outlineLevel="1">
      <c r="B480" s="242"/>
      <c r="C480" s="353" t="s">
        <v>399</v>
      </c>
      <c r="D480" s="215"/>
      <c r="E480" s="215"/>
      <c r="F480" s="215"/>
      <c r="G480" s="167"/>
      <c r="H480" s="269"/>
      <c r="I480" s="269"/>
      <c r="J480" s="269"/>
      <c r="K480" s="269"/>
      <c r="L480" s="269"/>
      <c r="M480" s="269">
        <f ca="1">SUM(M477:M479)</f>
        <v>706298.58765162015</v>
      </c>
      <c r="N480" s="269">
        <f ca="1">SUM(N477:N479)</f>
        <v>5010796.7279597213</v>
      </c>
      <c r="O480" s="269">
        <f ca="1">SUM(O477:O479)</f>
        <v>5010796.7279597213</v>
      </c>
      <c r="P480" s="269"/>
      <c r="Q480" s="269"/>
      <c r="R480" s="269"/>
      <c r="S480" s="269"/>
      <c r="T480" s="168"/>
      <c r="U480" s="168"/>
    </row>
    <row r="481" spans="2:21" ht="15.75" hidden="1" customHeight="1" outlineLevel="1">
      <c r="B481" s="242"/>
      <c r="C481" s="310" t="s">
        <v>400</v>
      </c>
      <c r="D481" s="242"/>
      <c r="E481" s="242"/>
      <c r="F481" s="242"/>
      <c r="G481" s="167"/>
      <c r="H481" s="269"/>
      <c r="I481" s="269"/>
      <c r="J481" s="269"/>
      <c r="K481" s="269"/>
      <c r="L481" s="269"/>
      <c r="M481" s="269">
        <f>IF(M473=0,0,M463/(M471/M473))</f>
        <v>547916.87315132993</v>
      </c>
      <c r="N481" s="269">
        <f>IF(N473=0,0,N463/(N471/N473))</f>
        <v>2861509.4204846201</v>
      </c>
      <c r="O481" s="269">
        <f>N481</f>
        <v>2861509.4204846201</v>
      </c>
      <c r="P481" s="269"/>
      <c r="Q481" s="269"/>
      <c r="R481" s="269"/>
      <c r="S481" s="269"/>
      <c r="T481" s="168"/>
      <c r="U481" s="168"/>
    </row>
    <row r="482" spans="2:21" ht="15.75" hidden="1" customHeight="1" outlineLevel="1">
      <c r="B482" s="242"/>
      <c r="C482" s="353" t="s">
        <v>446</v>
      </c>
      <c r="D482" s="242"/>
      <c r="E482" s="242"/>
      <c r="F482" s="242"/>
      <c r="G482" s="167"/>
      <c r="H482" s="246"/>
      <c r="I482" s="246"/>
      <c r="J482" s="246"/>
      <c r="K482" s="246"/>
      <c r="L482" s="246"/>
      <c r="M482" s="246">
        <f>SUM(M481)</f>
        <v>547916.87315132993</v>
      </c>
      <c r="N482" s="246">
        <f>SUM(N481)</f>
        <v>2861509.4204846201</v>
      </c>
      <c r="O482" s="246">
        <f>SUM(O481)</f>
        <v>2861509.4204846201</v>
      </c>
      <c r="P482" s="246"/>
      <c r="Q482" s="246"/>
      <c r="R482" s="246"/>
      <c r="S482" s="246"/>
      <c r="T482" s="168"/>
      <c r="U482" s="168"/>
    </row>
    <row r="483" spans="2:21" ht="15.75" hidden="1" customHeight="1" outlineLevel="1">
      <c r="B483" s="215"/>
      <c r="C483" s="353"/>
      <c r="D483" s="242"/>
      <c r="E483" s="242"/>
      <c r="F483" s="242"/>
      <c r="G483" s="167"/>
      <c r="H483" s="167"/>
      <c r="I483" s="242"/>
      <c r="J483" s="242"/>
      <c r="K483" s="268"/>
      <c r="L483" s="268"/>
      <c r="M483" s="268"/>
      <c r="N483" s="268"/>
      <c r="O483" s="268"/>
      <c r="P483" s="268"/>
      <c r="Q483" s="268"/>
      <c r="R483" s="268"/>
      <c r="S483" s="268"/>
      <c r="T483" s="168"/>
      <c r="U483" s="168"/>
    </row>
    <row r="484" spans="2:21" ht="15.75" hidden="1" customHeight="1" outlineLevel="1">
      <c r="B484" s="242"/>
      <c r="C484" s="380" t="s">
        <v>401</v>
      </c>
      <c r="D484" s="242"/>
      <c r="E484" s="242"/>
      <c r="F484" s="242"/>
      <c r="G484" s="167"/>
      <c r="H484" s="269"/>
      <c r="I484" s="269"/>
      <c r="J484" s="269"/>
      <c r="K484" s="269"/>
      <c r="L484" s="269"/>
      <c r="M484" s="269">
        <f ca="1">M480-M482</f>
        <v>158381.71450029023</v>
      </c>
      <c r="N484" s="269">
        <f ca="1">N480-N482</f>
        <v>2149287.3074751012</v>
      </c>
      <c r="O484" s="269">
        <f ca="1">O480-O482</f>
        <v>2149287.3074751012</v>
      </c>
      <c r="P484" s="269"/>
      <c r="Q484" s="269"/>
      <c r="R484" s="269"/>
      <c r="S484" s="269"/>
      <c r="T484" s="168"/>
      <c r="U484" s="168"/>
    </row>
    <row r="485" spans="2:21" ht="15.75" hidden="1" customHeight="1" outlineLevel="1">
      <c r="B485" s="242"/>
      <c r="C485" s="380" t="s">
        <v>402</v>
      </c>
      <c r="D485" s="242"/>
      <c r="E485" s="242"/>
      <c r="F485" s="242"/>
      <c r="G485" s="167"/>
      <c r="H485" s="167"/>
      <c r="I485" s="269"/>
      <c r="J485" s="269"/>
      <c r="K485" s="269"/>
      <c r="L485" s="269"/>
      <c r="M485" s="269">
        <f ca="1">M484-L484</f>
        <v>158381.71450029023</v>
      </c>
      <c r="N485" s="269">
        <f ca="1">N484-M484</f>
        <v>1990905.5929748109</v>
      </c>
      <c r="O485" s="269">
        <f ca="1">O484-N484</f>
        <v>0</v>
      </c>
      <c r="P485" s="269"/>
      <c r="Q485" s="269"/>
      <c r="R485" s="269"/>
      <c r="S485" s="269"/>
      <c r="T485" s="168"/>
      <c r="U485" s="168"/>
    </row>
    <row r="486" spans="2:21" ht="15.75" hidden="1" customHeight="1" outlineLevel="1">
      <c r="B486" s="242"/>
      <c r="C486" s="353" t="s">
        <v>345</v>
      </c>
      <c r="D486" s="215"/>
      <c r="E486" s="271"/>
      <c r="F486" s="243"/>
      <c r="G486" s="167"/>
      <c r="H486" s="243"/>
      <c r="I486" s="243"/>
      <c r="J486" s="243"/>
      <c r="K486" s="293"/>
      <c r="L486" s="293"/>
      <c r="M486" s="293">
        <v>0</v>
      </c>
      <c r="N486" s="293">
        <f>M486</f>
        <v>0</v>
      </c>
      <c r="O486" s="293">
        <f>N486</f>
        <v>0</v>
      </c>
      <c r="P486" s="293"/>
      <c r="Q486" s="293"/>
      <c r="R486" s="293"/>
      <c r="S486" s="293"/>
      <c r="T486" s="168"/>
      <c r="U486" s="168"/>
    </row>
    <row r="487" spans="2:21" ht="15.75" hidden="1" customHeight="1" outlineLevel="1">
      <c r="B487" s="242"/>
      <c r="C487" s="353" t="s">
        <v>539</v>
      </c>
      <c r="D487" s="215"/>
      <c r="E487" s="293"/>
      <c r="F487" s="243"/>
      <c r="G487" s="167"/>
      <c r="H487" s="243"/>
      <c r="I487" s="243"/>
      <c r="J487" s="243"/>
      <c r="K487" s="293"/>
      <c r="L487" s="293"/>
      <c r="M487" s="293">
        <v>0</v>
      </c>
      <c r="N487" s="293">
        <f>M487</f>
        <v>0</v>
      </c>
      <c r="O487" s="293">
        <f>N487</f>
        <v>0</v>
      </c>
      <c r="P487" s="293"/>
      <c r="Q487" s="293"/>
      <c r="R487" s="293"/>
      <c r="S487" s="293"/>
      <c r="T487" s="168"/>
      <c r="U487" s="168"/>
    </row>
    <row r="488" spans="2:21" ht="15.75" hidden="1" customHeight="1" outlineLevel="1">
      <c r="B488" s="242"/>
      <c r="C488" s="353" t="s">
        <v>343</v>
      </c>
      <c r="D488" s="215"/>
      <c r="E488" s="215"/>
      <c r="F488" s="243"/>
      <c r="G488" s="167"/>
      <c r="H488" s="243"/>
      <c r="I488" s="243"/>
      <c r="J488" s="243"/>
      <c r="K488" s="293"/>
      <c r="L488" s="293"/>
      <c r="M488" s="293">
        <v>7.8298716307436261E-2</v>
      </c>
      <c r="N488" s="293">
        <v>0</v>
      </c>
      <c r="O488" s="293">
        <f>N488</f>
        <v>0</v>
      </c>
      <c r="P488" s="293"/>
      <c r="Q488" s="293"/>
      <c r="R488" s="293"/>
      <c r="S488" s="293"/>
      <c r="T488" s="168"/>
      <c r="U488" s="168"/>
    </row>
    <row r="489" spans="2:21" ht="15.75" hidden="1" customHeight="1" outlineLevel="1">
      <c r="B489" s="242"/>
      <c r="C489" s="353" t="s">
        <v>498</v>
      </c>
      <c r="D489" s="242"/>
      <c r="E489" s="242"/>
      <c r="F489" s="242"/>
      <c r="G489" s="167"/>
      <c r="H489" s="243"/>
      <c r="I489" s="243"/>
      <c r="J489" s="243"/>
      <c r="K489" s="293"/>
      <c r="L489" s="293"/>
      <c r="M489" s="293">
        <v>6.511098860880407E-4</v>
      </c>
      <c r="N489" s="293">
        <f>M489</f>
        <v>6.511098860880407E-4</v>
      </c>
      <c r="O489" s="293">
        <f>N489</f>
        <v>6.511098860880407E-4</v>
      </c>
      <c r="P489" s="293"/>
      <c r="Q489" s="293"/>
      <c r="R489" s="293"/>
      <c r="S489" s="293"/>
      <c r="T489" s="168"/>
      <c r="U489" s="168"/>
    </row>
    <row r="490" spans="2:21" ht="15.75" hidden="1" customHeight="1" outlineLevel="1">
      <c r="B490" s="242"/>
      <c r="C490" s="353" t="s">
        <v>403</v>
      </c>
      <c r="D490" s="215"/>
      <c r="E490" s="215"/>
      <c r="F490" s="243"/>
      <c r="G490" s="167"/>
      <c r="H490" s="243"/>
      <c r="I490" s="243"/>
      <c r="J490" s="243"/>
      <c r="K490" s="293"/>
      <c r="L490" s="293"/>
      <c r="M490" s="293">
        <v>2.0796411796060999E-2</v>
      </c>
      <c r="N490" s="293">
        <f>M490</f>
        <v>2.0796411796060999E-2</v>
      </c>
      <c r="O490" s="293">
        <f>N490</f>
        <v>2.0796411796060999E-2</v>
      </c>
      <c r="P490" s="293"/>
      <c r="Q490" s="293"/>
      <c r="R490" s="293"/>
      <c r="S490" s="293"/>
      <c r="T490" s="168"/>
      <c r="U490" s="168"/>
    </row>
    <row r="491" spans="2:21" ht="15.75" hidden="1" customHeight="1" outlineLevel="1">
      <c r="B491" s="242"/>
      <c r="C491" s="242"/>
      <c r="D491" s="215"/>
      <c r="E491" s="215"/>
      <c r="F491" s="215"/>
      <c r="G491" s="167"/>
      <c r="H491" s="167"/>
      <c r="I491" s="242"/>
      <c r="J491" s="242"/>
      <c r="K491" s="222"/>
      <c r="L491" s="272"/>
      <c r="M491" s="272"/>
      <c r="N491" s="272"/>
      <c r="O491" s="272"/>
      <c r="P491" s="272"/>
      <c r="Q491" s="272"/>
      <c r="R491" s="272"/>
      <c r="S491" s="272"/>
      <c r="T491" s="168"/>
      <c r="U491" s="168"/>
    </row>
    <row r="492" spans="2:21" ht="15.75" hidden="1" customHeight="1" outlineLevel="1">
      <c r="B492" s="242"/>
      <c r="C492" s="353" t="s">
        <v>344</v>
      </c>
      <c r="D492" s="215"/>
      <c r="E492" s="215"/>
      <c r="F492" s="215"/>
      <c r="G492" s="167"/>
      <c r="H492" s="269"/>
      <c r="I492" s="269"/>
      <c r="J492" s="269"/>
      <c r="K492" s="269"/>
      <c r="L492" s="269"/>
      <c r="M492" s="269">
        <f>M370</f>
        <v>0</v>
      </c>
      <c r="N492" s="269">
        <f>N370</f>
        <v>0</v>
      </c>
      <c r="O492" s="269">
        <f>O370</f>
        <v>0</v>
      </c>
      <c r="P492" s="269"/>
      <c r="Q492" s="269"/>
      <c r="R492" s="269"/>
      <c r="S492" s="269"/>
      <c r="T492" s="168"/>
      <c r="U492" s="168"/>
    </row>
    <row r="493" spans="2:21" ht="15.75" hidden="1" customHeight="1" outlineLevel="1">
      <c r="B493" s="215"/>
      <c r="C493" s="353" t="s">
        <v>536</v>
      </c>
      <c r="D493" s="215"/>
      <c r="E493" s="215"/>
      <c r="F493" s="215"/>
      <c r="G493" s="167"/>
      <c r="H493" s="269"/>
      <c r="I493" s="269"/>
      <c r="J493" s="269"/>
      <c r="K493" s="269"/>
      <c r="L493" s="269"/>
      <c r="M493" s="269">
        <f t="shared" ref="M493:O494" si="158">M487*M$463</f>
        <v>0</v>
      </c>
      <c r="N493" s="269">
        <f t="shared" si="158"/>
        <v>0</v>
      </c>
      <c r="O493" s="269">
        <f t="shared" si="158"/>
        <v>0</v>
      </c>
      <c r="P493" s="269"/>
      <c r="Q493" s="269"/>
      <c r="R493" s="269"/>
      <c r="S493" s="269"/>
      <c r="T493" s="168"/>
      <c r="U493" s="168"/>
    </row>
    <row r="494" spans="2:21" ht="15.75" hidden="1" customHeight="1" outlineLevel="1">
      <c r="B494" s="215"/>
      <c r="C494" s="353" t="s">
        <v>497</v>
      </c>
      <c r="D494" s="215"/>
      <c r="E494" s="215"/>
      <c r="F494" s="215"/>
      <c r="G494" s="167"/>
      <c r="H494" s="269"/>
      <c r="I494" s="269"/>
      <c r="J494" s="269"/>
      <c r="K494" s="269"/>
      <c r="L494" s="269"/>
      <c r="M494" s="269">
        <f t="shared" si="158"/>
        <v>441269.36034103058</v>
      </c>
      <c r="N494" s="269">
        <f t="shared" si="158"/>
        <v>0</v>
      </c>
      <c r="O494" s="269">
        <f t="shared" si="158"/>
        <v>0</v>
      </c>
      <c r="P494" s="269"/>
      <c r="Q494" s="269"/>
      <c r="R494" s="269"/>
      <c r="S494" s="269"/>
      <c r="T494" s="168"/>
      <c r="U494" s="168"/>
    </row>
    <row r="495" spans="2:21" ht="15.75" hidden="1" customHeight="1" outlineLevel="1">
      <c r="B495" s="215"/>
      <c r="C495" s="242" t="s">
        <v>404</v>
      </c>
      <c r="D495" s="242"/>
      <c r="E495" s="242"/>
      <c r="F495" s="242"/>
      <c r="G495" s="167"/>
      <c r="H495" s="269"/>
      <c r="I495" s="269"/>
      <c r="J495" s="269"/>
      <c r="K495" s="269"/>
      <c r="L495" s="269"/>
      <c r="M495" s="269">
        <f>SUM(M492:M494)</f>
        <v>441269.36034103058</v>
      </c>
      <c r="N495" s="269">
        <f>SUM(N492:N494)</f>
        <v>0</v>
      </c>
      <c r="O495" s="269">
        <f>SUM(O492:O494)</f>
        <v>0</v>
      </c>
      <c r="P495" s="269"/>
      <c r="Q495" s="269"/>
      <c r="R495" s="269"/>
      <c r="S495" s="269"/>
      <c r="T495" s="168"/>
      <c r="U495" s="168"/>
    </row>
    <row r="496" spans="2:21" ht="15.75" hidden="1" customHeight="1" outlineLevel="1">
      <c r="B496" s="215"/>
      <c r="C496" s="390" t="s">
        <v>405</v>
      </c>
      <c r="D496" s="215"/>
      <c r="E496" s="215"/>
      <c r="F496" s="215"/>
      <c r="G496" s="167"/>
      <c r="H496" s="167"/>
      <c r="I496" s="269"/>
      <c r="J496" s="269"/>
      <c r="K496" s="269"/>
      <c r="L496" s="269"/>
      <c r="M496" s="269">
        <f>M495-L495</f>
        <v>441269.36034103058</v>
      </c>
      <c r="N496" s="269">
        <f>N495-M495</f>
        <v>-441269.36034103058</v>
      </c>
      <c r="O496" s="269">
        <f>O495-N495</f>
        <v>0</v>
      </c>
      <c r="P496" s="269"/>
      <c r="Q496" s="269"/>
      <c r="R496" s="269"/>
      <c r="S496" s="269"/>
      <c r="T496" s="168"/>
      <c r="U496" s="168"/>
    </row>
    <row r="497" spans="2:21" ht="15.75" hidden="1" customHeight="1" outlineLevel="1">
      <c r="B497" s="215"/>
      <c r="C497" s="353" t="s">
        <v>406</v>
      </c>
      <c r="D497" s="215"/>
      <c r="E497" s="248"/>
      <c r="F497" s="248"/>
      <c r="G497" s="167"/>
      <c r="H497" s="269"/>
      <c r="I497" s="269"/>
      <c r="J497" s="269"/>
      <c r="K497" s="269"/>
      <c r="L497" s="269"/>
      <c r="M497" s="269">
        <f>M489*M$289</f>
        <v>3669.4706694508586</v>
      </c>
      <c r="N497" s="269">
        <f>N489*N$289</f>
        <v>19163.90132034785</v>
      </c>
      <c r="O497" s="269">
        <f>N497</f>
        <v>19163.90132034785</v>
      </c>
      <c r="P497" s="269"/>
      <c r="Q497" s="269"/>
      <c r="R497" s="269"/>
      <c r="S497" s="269"/>
      <c r="T497" s="168"/>
      <c r="U497" s="168"/>
    </row>
    <row r="498" spans="2:21" ht="15.75" hidden="1" customHeight="1" outlineLevel="1">
      <c r="B498" s="215"/>
      <c r="C498" s="353" t="s">
        <v>389</v>
      </c>
      <c r="D498" s="215"/>
      <c r="E498" s="249"/>
      <c r="F498" s="270"/>
      <c r="G498" s="167"/>
      <c r="H498" s="269"/>
      <c r="I498" s="269"/>
      <c r="J498" s="269"/>
      <c r="K498" s="269"/>
      <c r="L498" s="269"/>
      <c r="M498" s="269">
        <f>M490*M$289</f>
        <v>117202.67921895611</v>
      </c>
      <c r="N498" s="269">
        <f>N490*N$289</f>
        <v>612093.89074326202</v>
      </c>
      <c r="O498" s="269">
        <f>N498</f>
        <v>612093.89074326202</v>
      </c>
      <c r="P498" s="269"/>
      <c r="Q498" s="269"/>
      <c r="R498" s="269"/>
      <c r="S498" s="269"/>
      <c r="T498" s="168"/>
      <c r="U498" s="168"/>
    </row>
    <row r="499" spans="2:21" ht="15.75" hidden="1" customHeight="1" outlineLevel="1">
      <c r="B499" s="242"/>
      <c r="C499" s="242" t="s">
        <v>407</v>
      </c>
      <c r="D499" s="356"/>
      <c r="E499" s="391"/>
      <c r="F499" s="271"/>
      <c r="G499" s="392"/>
      <c r="H499" s="269"/>
      <c r="I499" s="269"/>
      <c r="J499" s="269"/>
      <c r="K499" s="269"/>
      <c r="L499" s="269"/>
      <c r="M499" s="269">
        <f>SUM(M497:M498)</f>
        <v>120872.14988840697</v>
      </c>
      <c r="N499" s="269">
        <f>SUM(N497:N498)</f>
        <v>631257.79206360981</v>
      </c>
      <c r="O499" s="269">
        <f>SUM(O497:O498)</f>
        <v>631257.79206360981</v>
      </c>
      <c r="P499" s="269"/>
      <c r="Q499" s="269"/>
      <c r="R499" s="269"/>
      <c r="S499" s="269"/>
      <c r="T499" s="168"/>
      <c r="U499" s="168"/>
    </row>
    <row r="500" spans="2:21" ht="15.75" hidden="1" customHeight="1" outlineLevel="1">
      <c r="B500" s="242"/>
      <c r="C500" s="390" t="s">
        <v>408</v>
      </c>
      <c r="D500" s="356"/>
      <c r="E500" s="391"/>
      <c r="F500" s="272"/>
      <c r="G500" s="167"/>
      <c r="H500" s="167"/>
      <c r="I500" s="269"/>
      <c r="J500" s="269"/>
      <c r="K500" s="269"/>
      <c r="L500" s="269"/>
      <c r="M500" s="269">
        <f>M499-L499</f>
        <v>120872.14988840697</v>
      </c>
      <c r="N500" s="269">
        <f>N499-M499</f>
        <v>510385.64217520284</v>
      </c>
      <c r="O500" s="269">
        <f>O499-N499</f>
        <v>0</v>
      </c>
      <c r="P500" s="269"/>
      <c r="Q500" s="269"/>
      <c r="R500" s="269"/>
      <c r="S500" s="269"/>
      <c r="T500" s="168"/>
      <c r="U500" s="168"/>
    </row>
    <row r="501" spans="2:21" ht="15.75" hidden="1" customHeight="1" outlineLevel="1">
      <c r="B501" s="242"/>
      <c r="C501" s="353" t="s">
        <v>409</v>
      </c>
      <c r="D501" s="269"/>
      <c r="E501" s="269">
        <f>E496-E500</f>
        <v>0</v>
      </c>
      <c r="F501" s="269"/>
      <c r="G501" s="269"/>
      <c r="H501" s="269"/>
      <c r="I501" s="269"/>
      <c r="J501" s="269"/>
      <c r="K501" s="269"/>
      <c r="L501" s="269"/>
      <c r="M501" s="269">
        <f>M496-M500</f>
        <v>320397.21045262361</v>
      </c>
      <c r="N501" s="269">
        <f>N496-N500</f>
        <v>-951655.00251623336</v>
      </c>
      <c r="O501" s="269">
        <f>O496-O500</f>
        <v>0</v>
      </c>
      <c r="P501" s="269"/>
      <c r="Q501" s="269"/>
      <c r="R501" s="269"/>
      <c r="S501" s="269"/>
      <c r="T501" s="168"/>
      <c r="U501" s="168"/>
    </row>
    <row r="502" spans="2:21" ht="15.75" customHeight="1" collapsed="1">
      <c r="B502" s="242"/>
      <c r="C502" s="353"/>
      <c r="D502" s="242"/>
      <c r="E502" s="242"/>
      <c r="F502" s="242"/>
      <c r="G502" s="167"/>
      <c r="H502" s="167"/>
      <c r="I502" s="242"/>
      <c r="J502" s="242"/>
      <c r="K502" s="393"/>
      <c r="L502" s="393"/>
      <c r="M502" s="215"/>
      <c r="N502" s="215"/>
      <c r="O502" s="215"/>
      <c r="P502" s="215"/>
      <c r="Q502" s="215"/>
      <c r="R502" s="215"/>
      <c r="S502" s="215"/>
      <c r="T502" s="168"/>
      <c r="U502" s="168"/>
    </row>
    <row r="503" spans="2:21" ht="15.75" customHeight="1">
      <c r="B503" s="215"/>
      <c r="C503" s="168"/>
      <c r="D503" s="168"/>
      <c r="E503" s="168"/>
      <c r="F503" s="168"/>
      <c r="G503" s="167"/>
      <c r="H503" s="167"/>
      <c r="I503" s="254"/>
      <c r="J503" s="254"/>
      <c r="K503" s="367"/>
      <c r="L503" s="368"/>
      <c r="M503" s="215"/>
      <c r="N503" s="742"/>
      <c r="O503" s="742"/>
      <c r="P503" s="742"/>
      <c r="Q503" s="742"/>
      <c r="R503" s="742"/>
      <c r="S503" s="742"/>
      <c r="T503" s="168"/>
      <c r="U503" s="168"/>
    </row>
    <row r="504" spans="2:21" ht="15.75" customHeight="1">
      <c r="B504" s="242"/>
      <c r="C504" s="254"/>
      <c r="D504" s="254"/>
      <c r="E504" s="254"/>
      <c r="F504" s="254"/>
      <c r="G504" s="167"/>
      <c r="H504" s="167"/>
      <c r="I504" s="254"/>
      <c r="J504" s="254"/>
      <c r="K504" s="255"/>
      <c r="L504" s="255"/>
      <c r="M504" s="215"/>
      <c r="N504" s="215"/>
      <c r="O504" s="215"/>
      <c r="P504" s="215"/>
      <c r="Q504" s="215"/>
      <c r="R504" s="215"/>
      <c r="S504" s="215"/>
      <c r="T504" s="168"/>
      <c r="U504" s="168"/>
    </row>
    <row r="505" spans="2:21" ht="27" outlineLevel="1">
      <c r="B505" s="242"/>
      <c r="C505" s="366" t="s">
        <v>313</v>
      </c>
      <c r="D505" s="168"/>
      <c r="E505" s="168"/>
      <c r="F505" s="168"/>
      <c r="G505" s="167"/>
      <c r="H505" s="167"/>
      <c r="I505" s="254"/>
      <c r="J505" s="254"/>
      <c r="K505" s="367"/>
      <c r="L505" s="368"/>
      <c r="M505" s="367"/>
      <c r="N505" s="368"/>
      <c r="O505" s="368"/>
      <c r="P505" s="368"/>
      <c r="Q505" s="368"/>
      <c r="R505" s="368"/>
      <c r="S505" s="368"/>
      <c r="T505" s="168"/>
      <c r="U505" s="168"/>
    </row>
    <row r="506" spans="2:21" ht="3" customHeight="1" outlineLevel="1">
      <c r="B506" s="242"/>
      <c r="C506" s="229"/>
      <c r="D506" s="229"/>
      <c r="E506" s="229"/>
      <c r="F506" s="229"/>
      <c r="G506" s="300"/>
      <c r="H506" s="300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168"/>
      <c r="U506" s="168"/>
    </row>
    <row r="507" spans="2:21" ht="15.75" customHeight="1" outlineLevel="1">
      <c r="B507" s="242"/>
      <c r="C507" s="168"/>
      <c r="D507" s="168"/>
      <c r="E507" s="168"/>
      <c r="F507" s="168"/>
      <c r="G507" s="167"/>
      <c r="H507" s="167"/>
      <c r="I507" s="254"/>
      <c r="J507" s="254"/>
      <c r="K507" s="367"/>
      <c r="L507" s="368"/>
      <c r="M507" s="367"/>
      <c r="N507" s="368"/>
      <c r="O507" s="368"/>
      <c r="P507" s="368"/>
      <c r="Q507" s="368"/>
      <c r="R507" s="368"/>
      <c r="S507" s="368"/>
      <c r="T507" s="168"/>
      <c r="U507" s="168"/>
    </row>
    <row r="508" spans="2:21" ht="15.75" customHeight="1" outlineLevel="1">
      <c r="B508" s="242"/>
      <c r="C508" s="313"/>
      <c r="D508" s="168"/>
      <c r="E508" s="168"/>
      <c r="F508" s="168"/>
      <c r="G508" s="167"/>
      <c r="H508" s="167"/>
      <c r="I508" s="254"/>
      <c r="J508" s="230"/>
      <c r="K508" s="231"/>
      <c r="L508" s="232"/>
      <c r="M508" s="231"/>
      <c r="N508" s="232"/>
      <c r="O508" s="232"/>
      <c r="P508" s="232"/>
      <c r="Q508" s="232"/>
      <c r="R508" s="232"/>
      <c r="S508" s="232"/>
      <c r="T508" s="168"/>
      <c r="U508" s="168"/>
    </row>
    <row r="509" spans="2:21" ht="15.75" customHeight="1" outlineLevel="1">
      <c r="B509" s="242"/>
      <c r="C509" s="348"/>
      <c r="D509" s="233"/>
      <c r="E509" s="233"/>
      <c r="F509" s="233"/>
      <c r="G509" s="338"/>
      <c r="H509" s="174">
        <v>0</v>
      </c>
      <c r="I509" s="174">
        <v>0</v>
      </c>
      <c r="J509" s="174">
        <v>1</v>
      </c>
      <c r="K509" s="174">
        <v>2</v>
      </c>
      <c r="L509" s="175">
        <f t="shared" ref="L509:M511" si="159">L285</f>
        <v>3</v>
      </c>
      <c r="M509" s="175" t="str">
        <f t="shared" si="159"/>
        <v>1 Year</v>
      </c>
      <c r="N509" s="175" t="str">
        <f t="shared" ref="N509:Q511" si="160">N285</f>
        <v>2 Year</v>
      </c>
      <c r="O509" s="175" t="str">
        <f t="shared" si="160"/>
        <v>3 Year</v>
      </c>
      <c r="P509" s="175" t="str">
        <f t="shared" si="160"/>
        <v>4 Year</v>
      </c>
      <c r="Q509" s="175" t="str">
        <f t="shared" si="160"/>
        <v>5 Year</v>
      </c>
      <c r="R509" s="175" t="str">
        <f t="shared" ref="R509:S511" si="161">R285</f>
        <v>6 Year</v>
      </c>
      <c r="S509" s="175" t="str">
        <f t="shared" si="161"/>
        <v>7 Year</v>
      </c>
      <c r="T509" s="168"/>
      <c r="U509" s="168"/>
    </row>
    <row r="510" spans="2:21" ht="15.75" customHeight="1" outlineLevel="1">
      <c r="B510" s="242"/>
      <c r="C510" s="349"/>
      <c r="D510" s="234"/>
      <c r="E510" s="234"/>
      <c r="F510" s="234"/>
      <c r="G510" s="325"/>
      <c r="H510" s="176"/>
      <c r="I510" s="176"/>
      <c r="J510" s="176"/>
      <c r="K510" s="176"/>
      <c r="L510" s="176"/>
      <c r="M510" s="176"/>
      <c r="N510" s="176"/>
      <c r="O510" s="176"/>
      <c r="P510" s="176"/>
      <c r="Q510" s="176"/>
      <c r="R510" s="176"/>
      <c r="S510" s="176"/>
      <c r="T510" s="168"/>
      <c r="U510" s="168"/>
    </row>
    <row r="511" spans="2:21" ht="15.75" customHeight="1" outlineLevel="1">
      <c r="B511" s="242"/>
      <c r="C511" s="359"/>
      <c r="D511" s="260"/>
      <c r="E511" s="235"/>
      <c r="F511" s="235"/>
      <c r="G511" s="326"/>
      <c r="H511" s="213" t="s">
        <v>499</v>
      </c>
      <c r="I511" s="213" t="s">
        <v>499</v>
      </c>
      <c r="J511" s="213" t="s">
        <v>499</v>
      </c>
      <c r="K511" s="213" t="s">
        <v>499</v>
      </c>
      <c r="L511" s="213" t="str">
        <f t="shared" si="159"/>
        <v>($)</v>
      </c>
      <c r="M511" s="213" t="str">
        <f t="shared" si="159"/>
        <v>($)</v>
      </c>
      <c r="N511" s="213" t="str">
        <f t="shared" si="160"/>
        <v>($)</v>
      </c>
      <c r="O511" s="213" t="str">
        <f t="shared" si="160"/>
        <v>($)</v>
      </c>
      <c r="P511" s="213" t="str">
        <f t="shared" si="160"/>
        <v>($)</v>
      </c>
      <c r="Q511" s="213" t="str">
        <f t="shared" si="160"/>
        <v>($)</v>
      </c>
      <c r="R511" s="213" t="str">
        <f t="shared" si="161"/>
        <v>($)</v>
      </c>
      <c r="S511" s="213" t="str">
        <f t="shared" si="161"/>
        <v>($)</v>
      </c>
      <c r="T511" s="168"/>
      <c r="U511" s="168"/>
    </row>
    <row r="512" spans="2:21" ht="15.75" customHeight="1" outlineLevel="1">
      <c r="B512" s="242"/>
      <c r="C512" s="237"/>
      <c r="D512" s="237"/>
      <c r="E512" s="237"/>
      <c r="F512" s="237"/>
      <c r="G512" s="305"/>
      <c r="H512" s="305"/>
      <c r="I512" s="276"/>
      <c r="J512" s="288"/>
      <c r="K512" s="288"/>
      <c r="L512" s="288"/>
      <c r="M512" s="215"/>
      <c r="N512" s="215"/>
      <c r="O512" s="215"/>
      <c r="P512" s="215"/>
      <c r="Q512" s="215"/>
      <c r="R512" s="215"/>
      <c r="S512" s="215"/>
      <c r="T512" s="168"/>
      <c r="U512" s="168"/>
    </row>
    <row r="513" spans="2:21" ht="15.75" customHeight="1" outlineLevel="1">
      <c r="B513" s="215"/>
      <c r="C513" s="242" t="s">
        <v>298</v>
      </c>
      <c r="D513" s="242"/>
      <c r="E513" s="242"/>
      <c r="F513" s="242"/>
      <c r="G513" s="167"/>
      <c r="H513" s="269"/>
      <c r="I513" s="269"/>
      <c r="J513" s="269"/>
      <c r="K513" s="269"/>
      <c r="L513" s="269"/>
      <c r="M513" s="269">
        <f t="shared" ref="M513:R513" si="162">M289</f>
        <v>5635716.4095565369</v>
      </c>
      <c r="N513" s="269">
        <f t="shared" si="162"/>
        <v>29432668.324984666</v>
      </c>
      <c r="O513" s="269">
        <f t="shared" si="162"/>
        <v>12424288.038444562</v>
      </c>
      <c r="P513" s="269">
        <f t="shared" si="162"/>
        <v>0</v>
      </c>
      <c r="Q513" s="269">
        <f t="shared" si="162"/>
        <v>0</v>
      </c>
      <c r="R513" s="269">
        <f t="shared" si="162"/>
        <v>0</v>
      </c>
      <c r="S513" s="269">
        <f>S289</f>
        <v>0</v>
      </c>
      <c r="T513" s="168"/>
      <c r="U513" s="168"/>
    </row>
    <row r="514" spans="2:21" ht="15.75" customHeight="1" outlineLevel="1">
      <c r="B514" s="215"/>
      <c r="C514" s="242" t="s">
        <v>337</v>
      </c>
      <c r="D514" s="242"/>
      <c r="E514" s="242"/>
      <c r="F514" s="242"/>
      <c r="G514" s="167"/>
      <c r="H514" s="239"/>
      <c r="I514" s="239"/>
      <c r="J514" s="239"/>
      <c r="K514" s="239"/>
      <c r="L514" s="239"/>
      <c r="M514" s="239">
        <f>805000/'Control list'!I18</f>
        <v>10733.333333333334</v>
      </c>
      <c r="N514" s="239">
        <f>N513*N515</f>
        <v>294326.68324984668</v>
      </c>
      <c r="O514" s="239">
        <f>7000000/'Control list'!K18*5/12</f>
        <v>36458.333333333336</v>
      </c>
      <c r="P514" s="239">
        <f>P513*P515</f>
        <v>0</v>
      </c>
      <c r="Q514" s="239">
        <f>Q513*Q515</f>
        <v>0</v>
      </c>
      <c r="R514" s="239">
        <f>R513*R515</f>
        <v>0</v>
      </c>
      <c r="S514" s="239">
        <f>S513*S515</f>
        <v>0</v>
      </c>
      <c r="T514" s="168"/>
      <c r="U514" s="168"/>
    </row>
    <row r="515" spans="2:21" ht="15.75" customHeight="1" outlineLevel="1">
      <c r="B515" s="215"/>
      <c r="C515" s="242" t="s">
        <v>314</v>
      </c>
      <c r="D515" s="242"/>
      <c r="E515" s="242"/>
      <c r="F515" s="242"/>
      <c r="G515" s="167"/>
      <c r="H515" s="274"/>
      <c r="I515" s="394"/>
      <c r="J515" s="394"/>
      <c r="K515" s="274"/>
      <c r="L515" s="274"/>
      <c r="M515" s="275">
        <f>M514/M513</f>
        <v>1.9045197723456633E-3</v>
      </c>
      <c r="N515" s="274">
        <v>0.01</v>
      </c>
      <c r="O515" s="275">
        <f>O514/O513</f>
        <v>2.9344404460456856E-3</v>
      </c>
      <c r="P515" s="274"/>
      <c r="Q515" s="274"/>
      <c r="R515" s="274"/>
      <c r="S515" s="274"/>
      <c r="T515" s="168"/>
      <c r="U515" s="168"/>
    </row>
    <row r="516" spans="2:21" ht="7.5" customHeight="1" outlineLevel="1">
      <c r="B516" s="242"/>
      <c r="C516" s="242"/>
      <c r="D516" s="242"/>
      <c r="E516" s="242"/>
      <c r="F516" s="242"/>
      <c r="G516" s="167"/>
      <c r="H516" s="167"/>
      <c r="I516" s="275"/>
      <c r="J516" s="246"/>
      <c r="K516" s="246"/>
      <c r="L516" s="246"/>
      <c r="M516" s="215"/>
      <c r="N516" s="215"/>
      <c r="O516" s="215"/>
      <c r="P516" s="215"/>
      <c r="Q516" s="215"/>
      <c r="R516" s="215"/>
      <c r="S516" s="215"/>
      <c r="T516" s="168"/>
      <c r="U516" s="168"/>
    </row>
    <row r="517" spans="2:21" ht="15.75" customHeight="1" outlineLevel="1">
      <c r="B517" s="242"/>
      <c r="C517" s="242" t="s">
        <v>269</v>
      </c>
      <c r="D517" s="242"/>
      <c r="E517" s="242"/>
      <c r="F517" s="242"/>
      <c r="G517" s="167"/>
      <c r="H517" s="167"/>
      <c r="I517" s="246"/>
      <c r="J517" s="246"/>
      <c r="K517" s="246"/>
      <c r="L517" s="246"/>
      <c r="M517" s="246">
        <v>0</v>
      </c>
      <c r="N517" s="246">
        <f t="shared" ref="N517:S517" si="163">M521</f>
        <v>645480</v>
      </c>
      <c r="O517" s="246">
        <f t="shared" si="163"/>
        <v>619400</v>
      </c>
      <c r="P517" s="246"/>
      <c r="Q517" s="246">
        <f t="shared" si="163"/>
        <v>0</v>
      </c>
      <c r="R517" s="246">
        <f t="shared" si="163"/>
        <v>0</v>
      </c>
      <c r="S517" s="246">
        <f t="shared" si="163"/>
        <v>0</v>
      </c>
      <c r="T517" s="168"/>
      <c r="U517" s="168"/>
    </row>
    <row r="518" spans="2:21" ht="15.75" customHeight="1" outlineLevel="2">
      <c r="B518" s="242"/>
      <c r="C518" s="353" t="s">
        <v>281</v>
      </c>
      <c r="D518" s="242"/>
      <c r="E518" s="242"/>
      <c r="F518" s="242"/>
      <c r="G518" s="167"/>
      <c r="H518" s="167"/>
      <c r="I518" s="269"/>
      <c r="J518" s="269"/>
      <c r="K518" s="269"/>
      <c r="L518" s="269"/>
      <c r="M518" s="269">
        <f>F530</f>
        <v>652000</v>
      </c>
      <c r="N518" s="269">
        <v>0</v>
      </c>
      <c r="O518" s="269">
        <v>0</v>
      </c>
      <c r="P518" s="269">
        <v>0</v>
      </c>
      <c r="Q518" s="269">
        <v>0</v>
      </c>
      <c r="R518" s="269">
        <v>0</v>
      </c>
      <c r="S518" s="269">
        <v>0</v>
      </c>
      <c r="T518" s="168"/>
      <c r="U518" s="168"/>
    </row>
    <row r="519" spans="2:21" ht="15.75" customHeight="1" outlineLevel="1">
      <c r="B519" s="242"/>
      <c r="C519" s="353" t="s">
        <v>186</v>
      </c>
      <c r="D519" s="242"/>
      <c r="E519" s="242"/>
      <c r="F519" s="242"/>
      <c r="G519" s="167"/>
      <c r="H519" s="167"/>
      <c r="I519" s="246"/>
      <c r="J519" s="246"/>
      <c r="K519" s="246"/>
      <c r="L519" s="246"/>
      <c r="M519" s="246">
        <f>-M530</f>
        <v>-6520</v>
      </c>
      <c r="N519" s="246">
        <f>-N530</f>
        <v>-26080</v>
      </c>
      <c r="O519" s="246">
        <f>-O530</f>
        <v>-10866.666666666666</v>
      </c>
      <c r="P519" s="246"/>
      <c r="Q519" s="246"/>
      <c r="R519" s="246"/>
      <c r="S519" s="246"/>
      <c r="T519" s="168"/>
      <c r="U519" s="168"/>
    </row>
    <row r="520" spans="2:21" ht="15.75" customHeight="1" outlineLevel="2">
      <c r="B520" s="242"/>
      <c r="C520" s="353" t="s">
        <v>186</v>
      </c>
      <c r="D520" s="242"/>
      <c r="E520" s="242"/>
      <c r="F520" s="242"/>
      <c r="G520" s="167"/>
      <c r="H520" s="167"/>
      <c r="I520" s="246"/>
      <c r="J520" s="239"/>
      <c r="K520" s="239"/>
      <c r="L520" s="239"/>
      <c r="M520" s="239">
        <f t="shared" ref="M520:S520" si="164">L520</f>
        <v>0</v>
      </c>
      <c r="N520" s="239">
        <f t="shared" si="164"/>
        <v>0</v>
      </c>
      <c r="O520" s="239">
        <f t="shared" si="164"/>
        <v>0</v>
      </c>
      <c r="P520" s="239">
        <f t="shared" si="164"/>
        <v>0</v>
      </c>
      <c r="Q520" s="239">
        <f t="shared" si="164"/>
        <v>0</v>
      </c>
      <c r="R520" s="239">
        <f t="shared" si="164"/>
        <v>0</v>
      </c>
      <c r="S520" s="239">
        <f t="shared" si="164"/>
        <v>0</v>
      </c>
      <c r="T520" s="168"/>
      <c r="U520" s="168"/>
    </row>
    <row r="521" spans="2:21" ht="15.75" customHeight="1" outlineLevel="1">
      <c r="B521" s="242"/>
      <c r="C521" s="242" t="s">
        <v>282</v>
      </c>
      <c r="D521" s="246"/>
      <c r="E521" s="246">
        <f>SUM(E517:E520)</f>
        <v>0</v>
      </c>
      <c r="F521" s="246"/>
      <c r="G521" s="246"/>
      <c r="H521" s="246"/>
      <c r="I521" s="246"/>
      <c r="J521" s="246"/>
      <c r="K521" s="246"/>
      <c r="L521" s="246"/>
      <c r="M521" s="246">
        <f t="shared" ref="M521:S521" si="165">SUM(M517:M520)</f>
        <v>645480</v>
      </c>
      <c r="N521" s="246">
        <f t="shared" si="165"/>
        <v>619400</v>
      </c>
      <c r="O521" s="246">
        <f t="shared" si="165"/>
        <v>608533.33333333337</v>
      </c>
      <c r="P521" s="246">
        <f t="shared" si="165"/>
        <v>0</v>
      </c>
      <c r="Q521" s="246">
        <f t="shared" si="165"/>
        <v>0</v>
      </c>
      <c r="R521" s="246">
        <f t="shared" si="165"/>
        <v>0</v>
      </c>
      <c r="S521" s="246">
        <f t="shared" si="165"/>
        <v>0</v>
      </c>
      <c r="T521" s="168"/>
      <c r="U521" s="168"/>
    </row>
    <row r="522" spans="2:21" ht="6.75" customHeight="1" outlineLevel="1">
      <c r="B522" s="242"/>
      <c r="C522" s="242"/>
      <c r="D522" s="242"/>
      <c r="E522" s="242"/>
      <c r="F522" s="288"/>
      <c r="G522" s="167"/>
      <c r="H522" s="167"/>
      <c r="I522" s="246"/>
      <c r="J522" s="246"/>
      <c r="K522" s="246"/>
      <c r="L522" s="246"/>
      <c r="M522" s="215"/>
      <c r="N522" s="215"/>
      <c r="O522" s="215"/>
      <c r="P522" s="215"/>
      <c r="Q522" s="215"/>
      <c r="R522" s="215"/>
      <c r="S522" s="215"/>
      <c r="T522" s="168"/>
      <c r="U522" s="168"/>
    </row>
    <row r="523" spans="2:21" ht="15.75" customHeight="1" outlineLevel="1">
      <c r="B523" s="242"/>
      <c r="C523" s="242" t="s">
        <v>171</v>
      </c>
      <c r="D523" s="242"/>
      <c r="E523" s="242"/>
      <c r="F523" s="242"/>
      <c r="G523" s="167"/>
      <c r="H523" s="167"/>
      <c r="I523" s="246"/>
      <c r="J523" s="246"/>
      <c r="K523" s="246"/>
      <c r="L523" s="246"/>
      <c r="M523" s="246">
        <v>0</v>
      </c>
      <c r="N523" s="246">
        <f t="shared" ref="N523:S523" ca="1" si="166">M527</f>
        <v>4118813.3333333335</v>
      </c>
      <c r="O523" s="246">
        <f t="shared" ca="1" si="166"/>
        <v>3528560.6815915285</v>
      </c>
      <c r="P523" s="246"/>
      <c r="Q523" s="246">
        <f t="shared" si="166"/>
        <v>0</v>
      </c>
      <c r="R523" s="246">
        <f t="shared" si="166"/>
        <v>0</v>
      </c>
      <c r="S523" s="246">
        <f t="shared" si="166"/>
        <v>0</v>
      </c>
      <c r="T523" s="168"/>
      <c r="U523" s="168"/>
    </row>
    <row r="524" spans="2:21" ht="15.75" customHeight="1" outlineLevel="1">
      <c r="B524" s="242"/>
      <c r="C524" s="353" t="s">
        <v>315</v>
      </c>
      <c r="D524" s="242"/>
      <c r="E524" s="242"/>
      <c r="F524" s="242"/>
      <c r="G524" s="167"/>
      <c r="H524" s="167"/>
      <c r="I524" s="269"/>
      <c r="J524" s="269"/>
      <c r="K524" s="269"/>
      <c r="L524" s="269"/>
      <c r="M524" s="269">
        <f t="shared" ref="M524:R524" si="167">M514</f>
        <v>10733.333333333334</v>
      </c>
      <c r="N524" s="269">
        <f t="shared" si="167"/>
        <v>294326.68324984668</v>
      </c>
      <c r="O524" s="269">
        <f t="shared" si="167"/>
        <v>36458.333333333336</v>
      </c>
      <c r="P524" s="269">
        <f t="shared" si="167"/>
        <v>0</v>
      </c>
      <c r="Q524" s="269">
        <f t="shared" si="167"/>
        <v>0</v>
      </c>
      <c r="R524" s="269">
        <f t="shared" si="167"/>
        <v>0</v>
      </c>
      <c r="S524" s="269">
        <f>S514</f>
        <v>0</v>
      </c>
      <c r="T524" s="168"/>
      <c r="U524" s="168"/>
    </row>
    <row r="525" spans="2:21" ht="15.75" customHeight="1" outlineLevel="1">
      <c r="B525" s="242"/>
      <c r="C525" s="353" t="s">
        <v>316</v>
      </c>
      <c r="D525" s="242"/>
      <c r="E525" s="242"/>
      <c r="F525" s="242"/>
      <c r="G525" s="167"/>
      <c r="H525" s="167"/>
      <c r="I525" s="246"/>
      <c r="J525" s="269"/>
      <c r="K525" s="246"/>
      <c r="L525" s="246"/>
      <c r="M525" s="246">
        <f ca="1">-M544-M519</f>
        <v>-156920</v>
      </c>
      <c r="N525" s="246">
        <f ca="1">-N544-N519</f>
        <v>-884579.33499165135</v>
      </c>
      <c r="O525" s="246">
        <f ca="1">-O544-O519</f>
        <v>-382357.43193748721</v>
      </c>
      <c r="P525" s="246"/>
      <c r="Q525" s="246"/>
      <c r="R525" s="246"/>
      <c r="S525" s="246"/>
      <c r="T525" s="168"/>
      <c r="U525" s="168"/>
    </row>
    <row r="526" spans="2:21" ht="15.75" customHeight="1" outlineLevel="1">
      <c r="B526" s="242"/>
      <c r="C526" s="353" t="s">
        <v>280</v>
      </c>
      <c r="D526" s="242"/>
      <c r="E526" s="242"/>
      <c r="F526" s="242"/>
      <c r="G526" s="167"/>
      <c r="H526" s="167"/>
      <c r="I526" s="246"/>
      <c r="J526" s="239"/>
      <c r="K526" s="239"/>
      <c r="L526" s="239"/>
      <c r="M526" s="239">
        <f>F531</f>
        <v>4265000</v>
      </c>
      <c r="N526" s="239">
        <v>0</v>
      </c>
      <c r="O526" s="239">
        <v>0</v>
      </c>
      <c r="P526" s="239">
        <f>O526</f>
        <v>0</v>
      </c>
      <c r="Q526" s="239">
        <f>P526</f>
        <v>0</v>
      </c>
      <c r="R526" s="239">
        <f>Q526</f>
        <v>0</v>
      </c>
      <c r="S526" s="239">
        <f>R526</f>
        <v>0</v>
      </c>
      <c r="T526" s="168"/>
      <c r="U526" s="168"/>
    </row>
    <row r="527" spans="2:21" ht="15.75" customHeight="1" outlineLevel="1">
      <c r="B527" s="242"/>
      <c r="C527" s="242" t="s">
        <v>172</v>
      </c>
      <c r="D527" s="242"/>
      <c r="E527" s="242"/>
      <c r="F527" s="242"/>
      <c r="G527" s="167"/>
      <c r="H527" s="246"/>
      <c r="I527" s="246"/>
      <c r="J527" s="246"/>
      <c r="K527" s="246"/>
      <c r="L527" s="246"/>
      <c r="M527" s="246">
        <f t="shared" ref="M527:S527" ca="1" si="168">SUM(M523:M526)</f>
        <v>4118813.3333333335</v>
      </c>
      <c r="N527" s="246">
        <f t="shared" ca="1" si="168"/>
        <v>3528560.6815915285</v>
      </c>
      <c r="O527" s="246">
        <f t="shared" ca="1" si="168"/>
        <v>3182661.5829873746</v>
      </c>
      <c r="P527" s="246">
        <f t="shared" si="168"/>
        <v>0</v>
      </c>
      <c r="Q527" s="246">
        <f t="shared" si="168"/>
        <v>0</v>
      </c>
      <c r="R527" s="246">
        <f t="shared" si="168"/>
        <v>0</v>
      </c>
      <c r="S527" s="246">
        <f t="shared" si="168"/>
        <v>0</v>
      </c>
      <c r="T527" s="168"/>
      <c r="U527" s="168"/>
    </row>
    <row r="528" spans="2:21" ht="15.75" customHeight="1" outlineLevel="1">
      <c r="B528" s="242"/>
      <c r="C528" s="242"/>
      <c r="D528" s="242"/>
      <c r="E528" s="242"/>
      <c r="F528" s="288"/>
      <c r="G528" s="167"/>
      <c r="H528" s="167"/>
      <c r="I528" s="246"/>
      <c r="J528" s="246"/>
      <c r="K528" s="246"/>
      <c r="L528" s="246"/>
      <c r="M528" s="215"/>
      <c r="N528" s="215"/>
      <c r="O528" s="215"/>
      <c r="P528" s="215"/>
      <c r="Q528" s="215"/>
      <c r="R528" s="215"/>
      <c r="S528" s="215"/>
      <c r="T528" s="168"/>
      <c r="U528" s="168"/>
    </row>
    <row r="529" spans="2:21" ht="15.75" customHeight="1" outlineLevel="2">
      <c r="B529" s="168"/>
      <c r="C529" s="242"/>
      <c r="D529" s="242"/>
      <c r="E529" s="246"/>
      <c r="F529" s="288"/>
      <c r="G529" s="167"/>
      <c r="H529" s="246" t="s">
        <v>462</v>
      </c>
      <c r="I529" s="254"/>
      <c r="J529" s="246"/>
      <c r="K529" s="246"/>
      <c r="L529" s="246"/>
      <c r="M529" s="215"/>
      <c r="N529" s="215"/>
      <c r="O529" s="215"/>
      <c r="P529" s="215"/>
      <c r="Q529" s="215"/>
      <c r="R529" s="215"/>
      <c r="S529" s="215"/>
      <c r="T529" s="168"/>
      <c r="U529" s="168"/>
    </row>
    <row r="530" spans="2:21" ht="15.75" customHeight="1" outlineLevel="2">
      <c r="B530" s="168"/>
      <c r="C530" s="353"/>
      <c r="D530" s="242"/>
      <c r="E530" s="249" t="s">
        <v>148</v>
      </c>
      <c r="F530" s="246">
        <v>652000</v>
      </c>
      <c r="G530" s="246"/>
      <c r="H530" s="246">
        <v>25</v>
      </c>
      <c r="I530" s="246" t="s">
        <v>449</v>
      </c>
      <c r="J530" s="246"/>
      <c r="K530" s="246"/>
      <c r="L530" s="246"/>
      <c r="M530" s="246">
        <f>SLN($F$530,0,$H$530)/12*3</f>
        <v>6520</v>
      </c>
      <c r="N530" s="246">
        <f>SLN($F$530,0,$H$530)</f>
        <v>26080</v>
      </c>
      <c r="O530" s="246">
        <f>SLN($F$530,0,$H$530)*5/12</f>
        <v>10866.666666666666</v>
      </c>
      <c r="P530" s="246"/>
      <c r="Q530" s="246"/>
      <c r="R530" s="246"/>
      <c r="S530" s="246"/>
      <c r="T530" s="168"/>
      <c r="U530" s="168"/>
    </row>
    <row r="531" spans="2:21" ht="15.75" customHeight="1" outlineLevel="2">
      <c r="B531" s="168"/>
      <c r="C531" s="353"/>
      <c r="D531" s="242"/>
      <c r="E531" s="249" t="s">
        <v>149</v>
      </c>
      <c r="F531" s="246">
        <v>4265000</v>
      </c>
      <c r="G531" s="246"/>
      <c r="H531" s="246">
        <v>5</v>
      </c>
      <c r="I531" s="246" t="s">
        <v>449</v>
      </c>
      <c r="J531" s="246"/>
      <c r="K531" s="246"/>
      <c r="L531" s="246"/>
      <c r="M531" s="246">
        <f>SLN($F$531,0,$H$531)/12*2.2</f>
        <v>156383.33333333334</v>
      </c>
      <c r="N531" s="246">
        <f>SLN($F$531,0,$H$531)</f>
        <v>853000</v>
      </c>
      <c r="O531" s="246">
        <f>SLN($F$531,0,$H$531)*5/12</f>
        <v>355416.66666666669</v>
      </c>
      <c r="P531" s="246"/>
      <c r="Q531" s="246"/>
      <c r="R531" s="246"/>
      <c r="S531" s="246"/>
      <c r="T531" s="168"/>
      <c r="U531" s="168"/>
    </row>
    <row r="532" spans="2:21" ht="15.75" customHeight="1" outlineLevel="2">
      <c r="B532" s="168"/>
      <c r="C532" s="353"/>
      <c r="D532" s="168"/>
      <c r="E532" s="168"/>
      <c r="F532" s="288"/>
      <c r="G532" s="365"/>
      <c r="H532" s="167"/>
      <c r="J532" s="168"/>
      <c r="K532" s="168"/>
      <c r="M532" s="215"/>
      <c r="N532" s="215"/>
      <c r="O532" s="215"/>
      <c r="P532" s="215"/>
      <c r="Q532" s="215"/>
      <c r="R532" s="215"/>
      <c r="S532" s="215"/>
      <c r="T532" s="168"/>
      <c r="U532" s="168"/>
    </row>
    <row r="533" spans="2:21" ht="15.75" customHeight="1" outlineLevel="2">
      <c r="B533" s="242"/>
      <c r="C533" s="242"/>
      <c r="D533" s="242"/>
      <c r="E533" s="242"/>
      <c r="F533" s="246"/>
      <c r="G533" s="365"/>
      <c r="H533" s="365"/>
      <c r="I533" s="276"/>
      <c r="J533" s="254"/>
      <c r="K533" s="246"/>
      <c r="L533" s="246"/>
      <c r="M533" s="215"/>
      <c r="N533" s="215"/>
      <c r="O533" s="215"/>
      <c r="P533" s="215"/>
      <c r="Q533" s="215"/>
      <c r="R533" s="215"/>
      <c r="S533" s="215"/>
      <c r="T533" s="168"/>
      <c r="U533" s="168"/>
    </row>
    <row r="534" spans="2:21" ht="15.75" customHeight="1" outlineLevel="2">
      <c r="B534" s="242"/>
      <c r="C534" s="353"/>
      <c r="D534" s="242"/>
      <c r="E534" s="242"/>
      <c r="F534" s="272" t="str">
        <f>C514</f>
        <v>CAPEX (cement sector expantion&amp; sustaining)</v>
      </c>
      <c r="G534" s="168"/>
      <c r="H534" s="246" t="s">
        <v>462</v>
      </c>
      <c r="I534" s="365"/>
      <c r="J534" s="246"/>
      <c r="K534" s="254"/>
      <c r="L534" s="255"/>
      <c r="M534" s="215"/>
      <c r="N534" s="215"/>
      <c r="O534" s="215"/>
      <c r="P534" s="215"/>
      <c r="Q534" s="215"/>
      <c r="R534" s="215"/>
      <c r="S534" s="215"/>
      <c r="T534" s="168"/>
      <c r="U534" s="168"/>
    </row>
    <row r="535" spans="2:21" ht="15.75" customHeight="1" outlineLevel="2">
      <c r="B535" s="242"/>
      <c r="C535" s="353"/>
      <c r="D535" s="242"/>
      <c r="E535" s="732">
        <f>J509</f>
        <v>1</v>
      </c>
      <c r="F535" s="246"/>
      <c r="G535" s="168"/>
      <c r="H535" s="272">
        <v>5</v>
      </c>
      <c r="I535" s="246"/>
      <c r="J535" s="246"/>
      <c r="K535" s="246"/>
      <c r="L535" s="246"/>
      <c r="M535" s="215"/>
      <c r="N535" s="215"/>
      <c r="O535" s="215"/>
      <c r="P535" s="215"/>
      <c r="Q535" s="215"/>
      <c r="R535" s="215"/>
      <c r="S535" s="215"/>
      <c r="T535" s="168"/>
      <c r="U535" s="168"/>
    </row>
    <row r="536" spans="2:21" ht="15.75" customHeight="1" outlineLevel="2">
      <c r="B536" s="242"/>
      <c r="C536" s="242"/>
      <c r="D536" s="242"/>
      <c r="E536" s="732">
        <f>K509</f>
        <v>2</v>
      </c>
      <c r="F536" s="246">
        <v>0</v>
      </c>
      <c r="G536" s="168"/>
      <c r="H536" s="272">
        <v>5</v>
      </c>
      <c r="I536" s="365"/>
      <c r="J536" s="246"/>
      <c r="K536" s="246"/>
      <c r="L536" s="246"/>
      <c r="M536" s="246">
        <f>$F$536/$H$536</f>
        <v>0</v>
      </c>
      <c r="N536" s="246">
        <f>$F$536/$H$536</f>
        <v>0</v>
      </c>
      <c r="O536" s="246">
        <f>$F$536/$H$536*5/12</f>
        <v>0</v>
      </c>
      <c r="P536" s="246"/>
      <c r="Q536" s="246"/>
      <c r="R536" s="246"/>
      <c r="S536" s="246"/>
      <c r="T536" s="168"/>
      <c r="U536" s="168"/>
    </row>
    <row r="537" spans="2:21" ht="15.75" customHeight="1" outlineLevel="2">
      <c r="B537" s="242"/>
      <c r="C537" s="242"/>
      <c r="D537" s="745"/>
      <c r="E537" s="732">
        <f t="shared" ref="E537:E543" si="169">E536+1</f>
        <v>3</v>
      </c>
      <c r="F537" s="246">
        <v>0</v>
      </c>
      <c r="G537" s="168"/>
      <c r="H537" s="272">
        <v>5</v>
      </c>
      <c r="I537" s="365"/>
      <c r="J537" s="246"/>
      <c r="K537" s="246"/>
      <c r="L537" s="246"/>
      <c r="M537" s="246">
        <f>$F$537/$H$537</f>
        <v>0</v>
      </c>
      <c r="N537" s="246">
        <f>$F$537/$H$537</f>
        <v>0</v>
      </c>
      <c r="O537" s="246">
        <f>$F$537/$H$537*5/12</f>
        <v>0</v>
      </c>
      <c r="P537" s="246"/>
      <c r="Q537" s="246"/>
      <c r="R537" s="246"/>
      <c r="S537" s="246"/>
      <c r="T537" s="168"/>
      <c r="U537" s="168"/>
    </row>
    <row r="538" spans="2:21" ht="15.75" customHeight="1" outlineLevel="2">
      <c r="B538" s="242"/>
      <c r="C538" s="242"/>
      <c r="D538" s="746"/>
      <c r="E538" s="732">
        <f t="shared" si="169"/>
        <v>4</v>
      </c>
      <c r="F538" s="246">
        <f ca="1">OFFSET($I$514,0,E538)</f>
        <v>10733.333333333334</v>
      </c>
      <c r="G538" s="168"/>
      <c r="H538" s="272">
        <v>5</v>
      </c>
      <c r="I538" s="365"/>
      <c r="J538" s="246"/>
      <c r="K538" s="246"/>
      <c r="L538" s="246"/>
      <c r="M538" s="246">
        <f ca="1">$F$538/$H$538/12*3</f>
        <v>536.66666666666674</v>
      </c>
      <c r="N538" s="246">
        <f ca="1">$F$538/$H$538</f>
        <v>2146.666666666667</v>
      </c>
      <c r="O538" s="246">
        <f ca="1">$F$538/$H$538*5/12</f>
        <v>894.44444444444468</v>
      </c>
      <c r="P538" s="246"/>
      <c r="Q538" s="246"/>
      <c r="R538" s="246"/>
      <c r="S538" s="246"/>
      <c r="T538" s="168"/>
      <c r="U538" s="168"/>
    </row>
    <row r="539" spans="2:21" ht="15.75" customHeight="1" outlineLevel="2">
      <c r="B539" s="242"/>
      <c r="C539" s="242"/>
      <c r="D539" s="242"/>
      <c r="E539" s="732">
        <f t="shared" si="169"/>
        <v>5</v>
      </c>
      <c r="F539" s="246">
        <f>N514</f>
        <v>294326.68324984668</v>
      </c>
      <c r="G539" s="168"/>
      <c r="H539" s="272">
        <v>5</v>
      </c>
      <c r="I539" s="365"/>
      <c r="J539" s="246"/>
      <c r="K539" s="246"/>
      <c r="L539" s="246"/>
      <c r="M539" s="215"/>
      <c r="N539" s="246">
        <f>$F$539/$H$539/2</f>
        <v>29432.668324984668</v>
      </c>
      <c r="O539" s="246">
        <f>$F$539/$H$539*5/12</f>
        <v>24527.223604153889</v>
      </c>
      <c r="P539" s="246"/>
      <c r="Q539" s="246"/>
      <c r="R539" s="246"/>
      <c r="S539" s="246"/>
      <c r="T539" s="168"/>
      <c r="U539" s="168"/>
    </row>
    <row r="540" spans="2:21" ht="15.75" customHeight="1" outlineLevel="2">
      <c r="B540" s="242"/>
      <c r="C540" s="242"/>
      <c r="D540" s="242"/>
      <c r="E540" s="732">
        <f t="shared" si="169"/>
        <v>6</v>
      </c>
      <c r="F540" s="246">
        <f>O514</f>
        <v>36458.333333333336</v>
      </c>
      <c r="G540" s="168"/>
      <c r="H540" s="272">
        <v>5</v>
      </c>
      <c r="I540" s="365"/>
      <c r="J540" s="246"/>
      <c r="K540" s="246"/>
      <c r="L540" s="246"/>
      <c r="M540" s="215"/>
      <c r="N540" s="215"/>
      <c r="O540" s="246">
        <f>$F$540/$H$540/2*5/12</f>
        <v>1519.0972222222224</v>
      </c>
      <c r="P540" s="246"/>
      <c r="Q540" s="246"/>
      <c r="R540" s="246"/>
      <c r="S540" s="246"/>
      <c r="T540" s="168"/>
      <c r="U540" s="168"/>
    </row>
    <row r="541" spans="2:21" ht="15.75" customHeight="1" outlineLevel="2">
      <c r="B541" s="242"/>
      <c r="C541" s="254"/>
      <c r="D541" s="254"/>
      <c r="E541" s="732">
        <f t="shared" si="169"/>
        <v>7</v>
      </c>
      <c r="F541" s="246">
        <f>P514</f>
        <v>0</v>
      </c>
      <c r="G541" s="168"/>
      <c r="H541" s="272">
        <v>5</v>
      </c>
      <c r="I541" s="365"/>
      <c r="J541" s="168"/>
      <c r="K541" s="168"/>
      <c r="M541" s="215"/>
      <c r="N541" s="215"/>
      <c r="O541" s="215"/>
      <c r="P541" s="246"/>
      <c r="Q541" s="246"/>
      <c r="R541" s="246"/>
      <c r="S541" s="246"/>
      <c r="T541" s="168"/>
      <c r="U541" s="168"/>
    </row>
    <row r="542" spans="2:21" ht="15.75" customHeight="1" outlineLevel="2">
      <c r="B542" s="242"/>
      <c r="C542" s="254"/>
      <c r="D542" s="254"/>
      <c r="E542" s="732">
        <f t="shared" si="169"/>
        <v>8</v>
      </c>
      <c r="F542" s="321">
        <f>Q514</f>
        <v>0</v>
      </c>
      <c r="G542" s="168"/>
      <c r="H542" s="272">
        <v>5</v>
      </c>
      <c r="I542" s="365"/>
      <c r="J542" s="168"/>
      <c r="K542" s="168"/>
      <c r="M542" s="215"/>
      <c r="N542" s="215"/>
      <c r="O542" s="215"/>
      <c r="P542" s="246"/>
      <c r="Q542" s="246"/>
      <c r="R542" s="246"/>
      <c r="S542" s="246"/>
      <c r="T542" s="168"/>
      <c r="U542" s="168"/>
    </row>
    <row r="543" spans="2:21" ht="15.75" customHeight="1" outlineLevel="2">
      <c r="B543" s="242"/>
      <c r="C543" s="254"/>
      <c r="D543" s="254"/>
      <c r="E543" s="732">
        <f t="shared" si="169"/>
        <v>9</v>
      </c>
      <c r="F543" s="321">
        <f>R514</f>
        <v>0</v>
      </c>
      <c r="G543" s="168"/>
      <c r="H543" s="272">
        <v>5</v>
      </c>
      <c r="I543" s="365"/>
      <c r="J543" s="168"/>
      <c r="K543" s="168"/>
      <c r="M543" s="215"/>
      <c r="N543" s="215"/>
      <c r="O543" s="215"/>
      <c r="P543" s="246"/>
      <c r="Q543" s="246"/>
      <c r="R543" s="246"/>
      <c r="S543" s="246"/>
      <c r="T543" s="168"/>
      <c r="U543" s="168"/>
    </row>
    <row r="544" spans="2:21" ht="15.75" customHeight="1" outlineLevel="2">
      <c r="B544" s="242"/>
      <c r="C544" s="242" t="s">
        <v>463</v>
      </c>
      <c r="D544" s="242"/>
      <c r="E544" s="242"/>
      <c r="F544" s="242"/>
      <c r="G544" s="167"/>
      <c r="H544" s="239"/>
      <c r="I544" s="239"/>
      <c r="J544" s="239"/>
      <c r="K544" s="239"/>
      <c r="L544" s="239"/>
      <c r="M544" s="239">
        <f t="shared" ref="M544:R544" ca="1" si="170">SUM(M535:M540,M530)+M531</f>
        <v>163440</v>
      </c>
      <c r="N544" s="239">
        <f t="shared" ca="1" si="170"/>
        <v>910659.33499165135</v>
      </c>
      <c r="O544" s="239">
        <f t="shared" ca="1" si="170"/>
        <v>393224.0986041539</v>
      </c>
      <c r="P544" s="239">
        <f t="shared" si="170"/>
        <v>0</v>
      </c>
      <c r="Q544" s="239">
        <f t="shared" si="170"/>
        <v>0</v>
      </c>
      <c r="R544" s="239">
        <f t="shared" si="170"/>
        <v>0</v>
      </c>
      <c r="S544" s="239">
        <f>SUM(S535:S540,S530)+S531</f>
        <v>0</v>
      </c>
      <c r="T544" s="168"/>
      <c r="U544" s="168"/>
    </row>
    <row r="545" spans="2:21" ht="15.75" customHeight="1" outlineLevel="2">
      <c r="B545" s="242"/>
      <c r="C545" s="242"/>
      <c r="D545" s="242"/>
      <c r="E545" s="242"/>
      <c r="F545" s="242"/>
      <c r="G545" s="167"/>
      <c r="H545" s="167"/>
      <c r="I545" s="242"/>
      <c r="J545" s="242"/>
      <c r="K545" s="249"/>
      <c r="L545" s="249"/>
      <c r="M545" s="215"/>
      <c r="N545" s="215"/>
      <c r="O545" s="215"/>
      <c r="P545" s="215"/>
      <c r="Q545" s="215"/>
      <c r="R545" s="215"/>
      <c r="S545" s="215"/>
      <c r="T545" s="168"/>
      <c r="U545" s="168"/>
    </row>
    <row r="546" spans="2:21" ht="15.75" customHeight="1" outlineLevel="2">
      <c r="B546" s="242"/>
      <c r="C546" s="242"/>
      <c r="D546" s="242"/>
      <c r="E546" s="242"/>
      <c r="F546" s="242"/>
      <c r="G546" s="167"/>
      <c r="H546" s="167"/>
      <c r="I546" s="242"/>
      <c r="J546" s="242"/>
      <c r="K546" s="249"/>
      <c r="L546" s="249"/>
      <c r="M546" s="215"/>
      <c r="N546" s="215"/>
      <c r="O546" s="215"/>
      <c r="P546" s="215"/>
      <c r="Q546" s="215"/>
      <c r="R546" s="215"/>
      <c r="S546" s="215"/>
      <c r="T546" s="168"/>
      <c r="U546" s="168"/>
    </row>
    <row r="547" spans="2:21" ht="15.75" customHeight="1" outlineLevel="2">
      <c r="B547" s="242"/>
      <c r="C547" s="242"/>
      <c r="D547" s="242"/>
      <c r="E547" s="242"/>
      <c r="F547" s="242"/>
      <c r="G547" s="167"/>
      <c r="H547" s="167"/>
      <c r="I547" s="242"/>
      <c r="J547" s="242"/>
      <c r="K547" s="249"/>
      <c r="L547" s="249"/>
      <c r="M547" s="215"/>
      <c r="N547" s="215"/>
      <c r="O547" s="215"/>
      <c r="P547" s="215"/>
      <c r="Q547" s="215"/>
      <c r="R547" s="215"/>
      <c r="S547" s="215"/>
      <c r="T547" s="168"/>
      <c r="U547" s="168"/>
    </row>
    <row r="548" spans="2:21" ht="15.75" customHeight="1" outlineLevel="2">
      <c r="B548" s="242"/>
      <c r="C548" s="242"/>
      <c r="D548" s="242"/>
      <c r="E548" s="242"/>
      <c r="F548" s="242"/>
      <c r="G548" s="167"/>
      <c r="H548" s="167"/>
      <c r="I548" s="242"/>
      <c r="J548" s="242"/>
      <c r="K548" s="249"/>
      <c r="L548" s="249"/>
      <c r="M548" s="215"/>
      <c r="N548" s="215"/>
      <c r="O548" s="215"/>
      <c r="P548" s="215"/>
      <c r="Q548" s="215"/>
      <c r="R548" s="215"/>
      <c r="S548" s="215"/>
      <c r="T548" s="168"/>
      <c r="U548" s="168"/>
    </row>
    <row r="549" spans="2:21" ht="15.75" customHeight="1" outlineLevel="2">
      <c r="B549" s="242"/>
      <c r="C549" s="242"/>
      <c r="D549" s="242"/>
      <c r="E549" s="242"/>
      <c r="F549" s="242"/>
      <c r="G549" s="167"/>
      <c r="H549" s="167"/>
      <c r="I549" s="242"/>
      <c r="J549" s="242"/>
      <c r="K549" s="249"/>
      <c r="L549" s="249"/>
      <c r="M549" s="215"/>
      <c r="N549" s="215"/>
      <c r="O549" s="215"/>
      <c r="P549" s="215"/>
      <c r="Q549" s="215"/>
      <c r="R549" s="215"/>
      <c r="S549" s="215"/>
      <c r="T549" s="168"/>
      <c r="U549" s="168"/>
    </row>
    <row r="550" spans="2:21" ht="15.75" customHeight="1" outlineLevel="2">
      <c r="B550" s="215"/>
      <c r="C550" s="168"/>
      <c r="D550" s="168"/>
      <c r="E550" s="168"/>
      <c r="F550" s="168"/>
      <c r="G550" s="167"/>
      <c r="H550" s="167"/>
      <c r="I550" s="254"/>
      <c r="J550" s="254"/>
      <c r="K550" s="367"/>
      <c r="L550" s="368"/>
      <c r="M550" s="215"/>
      <c r="N550" s="742"/>
      <c r="O550" s="742"/>
      <c r="P550" s="742"/>
      <c r="Q550" s="742"/>
      <c r="R550" s="742"/>
      <c r="S550" s="742"/>
      <c r="T550" s="168"/>
      <c r="U550" s="168"/>
    </row>
    <row r="551" spans="2:21" ht="15.75" customHeight="1" outlineLevel="2">
      <c r="B551" s="242"/>
      <c r="C551" s="242"/>
      <c r="D551" s="242"/>
      <c r="E551" s="242"/>
      <c r="F551" s="242"/>
      <c r="G551" s="167"/>
      <c r="H551" s="167"/>
      <c r="I551" s="397"/>
      <c r="J551" s="246"/>
      <c r="K551" s="413"/>
      <c r="L551" s="413"/>
      <c r="M551" s="215"/>
      <c r="N551" s="215"/>
      <c r="O551" s="215"/>
      <c r="P551" s="215"/>
      <c r="Q551" s="215"/>
      <c r="R551" s="215"/>
      <c r="S551" s="215"/>
      <c r="T551" s="168"/>
      <c r="U551" s="168"/>
    </row>
    <row r="552" spans="2:21" ht="27" outlineLevel="2">
      <c r="B552" s="242"/>
      <c r="C552" s="366" t="s">
        <v>431</v>
      </c>
      <c r="D552" s="168"/>
      <c r="E552" s="168"/>
      <c r="F552" s="168"/>
      <c r="G552" s="167"/>
      <c r="H552" s="167"/>
      <c r="I552" s="254"/>
      <c r="J552" s="254"/>
      <c r="K552" s="367"/>
      <c r="L552" s="368"/>
      <c r="M552" s="367"/>
      <c r="N552" s="368"/>
      <c r="O552" s="368"/>
      <c r="P552" s="368"/>
      <c r="Q552" s="368"/>
      <c r="R552" s="368"/>
      <c r="S552" s="368"/>
      <c r="T552" s="168"/>
      <c r="U552" s="168"/>
    </row>
    <row r="553" spans="2:21" ht="3" customHeight="1" outlineLevel="2">
      <c r="B553" s="242"/>
      <c r="C553" s="229"/>
      <c r="D553" s="229"/>
      <c r="E553" s="229"/>
      <c r="F553" s="229"/>
      <c r="G553" s="300"/>
      <c r="H553" s="300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168"/>
      <c r="U553" s="168"/>
    </row>
    <row r="554" spans="2:21" ht="15.75" customHeight="1" outlineLevel="2">
      <c r="B554" s="242"/>
      <c r="C554" s="168"/>
      <c r="D554" s="168"/>
      <c r="E554" s="168"/>
      <c r="F554" s="168"/>
      <c r="G554" s="167"/>
      <c r="H554" s="167"/>
      <c r="I554" s="254"/>
      <c r="J554" s="254"/>
      <c r="K554" s="367"/>
      <c r="L554" s="368"/>
      <c r="M554" s="367"/>
      <c r="N554" s="368"/>
      <c r="O554" s="368"/>
      <c r="P554" s="368"/>
      <c r="Q554" s="368"/>
      <c r="R554" s="368"/>
      <c r="S554" s="368"/>
      <c r="T554" s="168"/>
      <c r="U554" s="168"/>
    </row>
    <row r="555" spans="2:21" ht="15.75" customHeight="1" outlineLevel="2">
      <c r="B555" s="242"/>
      <c r="C555" s="399" t="s">
        <v>416</v>
      </c>
      <c r="D555" s="303"/>
      <c r="E555" s="303"/>
      <c r="F555" s="303"/>
      <c r="G555" s="400"/>
      <c r="H555" s="400"/>
      <c r="I555" s="230"/>
      <c r="J555" s="230"/>
      <c r="K555" s="231"/>
      <c r="L555" s="232"/>
      <c r="M555" s="231"/>
      <c r="N555" s="232"/>
      <c r="O555" s="232"/>
      <c r="P555" s="232"/>
      <c r="Q555" s="232"/>
      <c r="R555" s="232"/>
      <c r="S555" s="232"/>
      <c r="T555" s="168"/>
      <c r="U555" s="168"/>
    </row>
    <row r="556" spans="2:21" ht="15.75" customHeight="1" outlineLevel="2">
      <c r="B556" s="242"/>
      <c r="C556" s="380"/>
      <c r="D556" s="254"/>
      <c r="E556" s="254"/>
      <c r="F556" s="254"/>
      <c r="G556" s="167"/>
      <c r="H556" s="174">
        <v>0</v>
      </c>
      <c r="I556" s="174">
        <v>0</v>
      </c>
      <c r="J556" s="174">
        <v>1</v>
      </c>
      <c r="K556" s="174">
        <v>2</v>
      </c>
      <c r="L556" s="174">
        <f t="shared" ref="L556:M558" si="171">L285</f>
        <v>3</v>
      </c>
      <c r="M556" s="174" t="str">
        <f t="shared" si="171"/>
        <v>1 Year</v>
      </c>
      <c r="N556" s="174" t="str">
        <f t="shared" ref="N556:Q558" si="172">N285</f>
        <v>2 Year</v>
      </c>
      <c r="O556" s="174" t="str">
        <f t="shared" si="172"/>
        <v>3 Year</v>
      </c>
      <c r="P556" s="174" t="str">
        <f t="shared" si="172"/>
        <v>4 Year</v>
      </c>
      <c r="Q556" s="174" t="str">
        <f t="shared" si="172"/>
        <v>5 Year</v>
      </c>
      <c r="R556" s="174" t="str">
        <f t="shared" ref="R556:S558" si="173">R285</f>
        <v>6 Year</v>
      </c>
      <c r="S556" s="174" t="str">
        <f t="shared" si="173"/>
        <v>7 Year</v>
      </c>
      <c r="T556" s="168"/>
      <c r="U556" s="168"/>
    </row>
    <row r="557" spans="2:21" ht="15.75" customHeight="1" outlineLevel="2">
      <c r="B557" s="242"/>
      <c r="C557" s="349"/>
      <c r="D557" s="234"/>
      <c r="E557" s="234"/>
      <c r="F557" s="234"/>
      <c r="G557" s="325"/>
      <c r="H557" s="176"/>
      <c r="I557" s="176"/>
      <c r="J557" s="176"/>
      <c r="K557" s="176"/>
      <c r="L557" s="176"/>
      <c r="M557" s="176"/>
      <c r="N557" s="176"/>
      <c r="O557" s="176"/>
      <c r="P557" s="176"/>
      <c r="Q557" s="176"/>
      <c r="R557" s="176"/>
      <c r="S557" s="176"/>
      <c r="T557" s="168"/>
      <c r="U557" s="168"/>
    </row>
    <row r="558" spans="2:21" ht="15.75" customHeight="1" outlineLevel="2">
      <c r="B558" s="242"/>
      <c r="C558" s="359"/>
      <c r="D558" s="260"/>
      <c r="E558" s="235"/>
      <c r="F558" s="235"/>
      <c r="G558" s="326"/>
      <c r="H558" s="213" t="s">
        <v>499</v>
      </c>
      <c r="I558" s="213" t="s">
        <v>499</v>
      </c>
      <c r="J558" s="213" t="s">
        <v>499</v>
      </c>
      <c r="K558" s="213" t="s">
        <v>499</v>
      </c>
      <c r="L558" s="213" t="str">
        <f t="shared" si="171"/>
        <v>($)</v>
      </c>
      <c r="M558" s="213" t="str">
        <f t="shared" si="171"/>
        <v>($)</v>
      </c>
      <c r="N558" s="213" t="str">
        <f t="shared" si="172"/>
        <v>($)</v>
      </c>
      <c r="O558" s="213" t="str">
        <f t="shared" si="172"/>
        <v>($)</v>
      </c>
      <c r="P558" s="213" t="str">
        <f t="shared" si="172"/>
        <v>($)</v>
      </c>
      <c r="Q558" s="213" t="str">
        <f t="shared" si="172"/>
        <v>($)</v>
      </c>
      <c r="R558" s="213" t="str">
        <f t="shared" si="173"/>
        <v>($)</v>
      </c>
      <c r="S558" s="213" t="str">
        <f t="shared" si="173"/>
        <v>($)</v>
      </c>
      <c r="T558" s="168"/>
      <c r="U558" s="168"/>
    </row>
    <row r="559" spans="2:21" ht="15.75" customHeight="1" outlineLevel="2">
      <c r="B559" s="242"/>
      <c r="C559" s="254"/>
      <c r="D559" s="254"/>
      <c r="E559" s="254"/>
      <c r="F559" s="254"/>
      <c r="G559" s="167"/>
      <c r="H559" s="167"/>
      <c r="I559" s="254"/>
      <c r="J559" s="254"/>
      <c r="K559" s="254"/>
      <c r="L559" s="255"/>
      <c r="M559" s="215"/>
      <c r="N559" s="215"/>
      <c r="O559" s="215"/>
      <c r="P559" s="215"/>
      <c r="Q559" s="215"/>
      <c r="R559" s="215"/>
      <c r="S559" s="215"/>
      <c r="T559" s="168"/>
      <c r="U559" s="168"/>
    </row>
    <row r="560" spans="2:21" ht="15.75" customHeight="1" outlineLevel="2">
      <c r="B560" s="242"/>
      <c r="C560" s="242" t="s">
        <v>410</v>
      </c>
      <c r="D560" s="242"/>
      <c r="E560" s="242"/>
      <c r="F560" s="242"/>
      <c r="G560" s="167"/>
      <c r="H560" s="167"/>
      <c r="I560" s="246"/>
      <c r="J560" s="747"/>
      <c r="K560" s="246"/>
      <c r="L560" s="246"/>
      <c r="M560" s="246">
        <v>0</v>
      </c>
      <c r="N560" s="246">
        <f t="shared" ref="N560:S560" ca="1" si="174">M568</f>
        <v>6734619.0637779236</v>
      </c>
      <c r="O560" s="246">
        <f t="shared" ca="1" si="174"/>
        <v>-2253829.2998382058</v>
      </c>
      <c r="P560" s="246"/>
      <c r="Q560" s="246">
        <f t="shared" si="174"/>
        <v>0</v>
      </c>
      <c r="R560" s="246">
        <f t="shared" si="174"/>
        <v>0</v>
      </c>
      <c r="S560" s="246">
        <f t="shared" si="174"/>
        <v>0</v>
      </c>
      <c r="T560" s="168"/>
      <c r="U560" s="168"/>
    </row>
    <row r="561" spans="2:21" ht="15.75" customHeight="1" outlineLevel="2">
      <c r="B561" s="242"/>
      <c r="C561" s="353" t="s">
        <v>366</v>
      </c>
      <c r="D561" s="254"/>
      <c r="E561" s="242"/>
      <c r="F561" s="242"/>
      <c r="G561" s="167"/>
      <c r="H561" s="167"/>
      <c r="I561" s="246"/>
      <c r="J561" s="246"/>
      <c r="K561" s="246"/>
      <c r="L561" s="246"/>
      <c r="M561" s="246">
        <f t="shared" ref="M561:S561" ca="1" si="175">M319</f>
        <v>1817619.0637779236</v>
      </c>
      <c r="N561" s="246">
        <f t="shared" ca="1" si="175"/>
        <v>-8988448.3636161294</v>
      </c>
      <c r="O561" s="246">
        <f t="shared" ca="1" si="175"/>
        <v>-1445472.3027592998</v>
      </c>
      <c r="P561" s="246">
        <f t="shared" si="175"/>
        <v>0</v>
      </c>
      <c r="Q561" s="246">
        <f t="shared" si="175"/>
        <v>0</v>
      </c>
      <c r="R561" s="246">
        <f t="shared" si="175"/>
        <v>0</v>
      </c>
      <c r="S561" s="246">
        <f t="shared" si="175"/>
        <v>0</v>
      </c>
      <c r="T561" s="168"/>
      <c r="U561" s="168"/>
    </row>
    <row r="562" spans="2:21" ht="15.75" customHeight="1" outlineLevel="2">
      <c r="B562" s="242"/>
      <c r="C562" s="353" t="s">
        <v>411</v>
      </c>
      <c r="D562" s="254"/>
      <c r="E562" s="242"/>
      <c r="F562" s="242"/>
      <c r="G562" s="167"/>
      <c r="H562" s="167"/>
      <c r="I562" s="246"/>
      <c r="J562" s="239"/>
      <c r="K562" s="239"/>
      <c r="L562" s="239"/>
      <c r="M562" s="239"/>
      <c r="N562" s="239">
        <v>0</v>
      </c>
      <c r="O562" s="239">
        <v>0</v>
      </c>
      <c r="P562" s="239">
        <v>0</v>
      </c>
      <c r="Q562" s="239">
        <v>0</v>
      </c>
      <c r="R562" s="239">
        <v>0</v>
      </c>
      <c r="S562" s="239">
        <v>0</v>
      </c>
      <c r="T562" s="168"/>
      <c r="U562" s="168"/>
    </row>
    <row r="563" spans="2:21" ht="15.75" customHeight="1" outlineLevel="2">
      <c r="B563" s="242"/>
      <c r="C563" s="353" t="s">
        <v>367</v>
      </c>
      <c r="D563" s="254"/>
      <c r="E563" s="242"/>
      <c r="F563" s="242"/>
      <c r="G563" s="167"/>
      <c r="H563" s="167"/>
      <c r="I563" s="246"/>
      <c r="J563" s="272"/>
      <c r="K563" s="272"/>
      <c r="L563" s="272"/>
      <c r="M563" s="272">
        <f t="shared" ref="M563:R563" si="176">-M595</f>
        <v>0</v>
      </c>
      <c r="N563" s="272">
        <f t="shared" si="176"/>
        <v>0</v>
      </c>
      <c r="O563" s="272">
        <f t="shared" si="176"/>
        <v>0</v>
      </c>
      <c r="P563" s="272">
        <f t="shared" si="176"/>
        <v>0</v>
      </c>
      <c r="Q563" s="272">
        <f t="shared" si="176"/>
        <v>0</v>
      </c>
      <c r="R563" s="272">
        <f t="shared" si="176"/>
        <v>0</v>
      </c>
      <c r="S563" s="272">
        <f>-S595</f>
        <v>0</v>
      </c>
      <c r="T563" s="168"/>
      <c r="U563" s="168"/>
    </row>
    <row r="564" spans="2:21" ht="15.75" customHeight="1" outlineLevel="2">
      <c r="B564" s="242"/>
      <c r="C564" s="353" t="s">
        <v>373</v>
      </c>
      <c r="D564" s="254"/>
      <c r="E564" s="242"/>
      <c r="F564" s="242"/>
      <c r="G564" s="167"/>
      <c r="H564" s="167"/>
      <c r="I564" s="246"/>
      <c r="J564" s="246"/>
      <c r="K564" s="246"/>
      <c r="L564" s="246"/>
      <c r="M564" s="246">
        <v>0</v>
      </c>
      <c r="N564" s="246">
        <v>0</v>
      </c>
      <c r="O564" s="246">
        <v>0</v>
      </c>
      <c r="P564" s="246">
        <v>0</v>
      </c>
      <c r="Q564" s="246">
        <v>0</v>
      </c>
      <c r="R564" s="246">
        <v>0</v>
      </c>
      <c r="S564" s="246">
        <v>0</v>
      </c>
      <c r="T564" s="168"/>
      <c r="U564" s="168"/>
    </row>
    <row r="565" spans="2:21" ht="15.75" customHeight="1" outlineLevel="2">
      <c r="B565" s="242"/>
      <c r="C565" s="353" t="s">
        <v>368</v>
      </c>
      <c r="D565" s="254"/>
      <c r="E565" s="242"/>
      <c r="F565" s="242"/>
      <c r="G565" s="167"/>
      <c r="H565" s="167"/>
      <c r="J565" s="239"/>
      <c r="K565" s="239"/>
      <c r="L565" s="239"/>
      <c r="M565" s="239">
        <f>M518+M526</f>
        <v>4917000</v>
      </c>
      <c r="N565" s="239">
        <f t="shared" ref="N565:S565" si="177">N526</f>
        <v>0</v>
      </c>
      <c r="O565" s="239">
        <f t="shared" si="177"/>
        <v>0</v>
      </c>
      <c r="P565" s="239">
        <f t="shared" si="177"/>
        <v>0</v>
      </c>
      <c r="Q565" s="239">
        <f t="shared" si="177"/>
        <v>0</v>
      </c>
      <c r="R565" s="239">
        <f t="shared" si="177"/>
        <v>0</v>
      </c>
      <c r="S565" s="239">
        <f t="shared" si="177"/>
        <v>0</v>
      </c>
      <c r="T565" s="168"/>
      <c r="U565" s="168"/>
    </row>
    <row r="566" spans="2:21" ht="15.75" customHeight="1" outlineLevel="2">
      <c r="B566" s="242"/>
      <c r="C566" s="353" t="s">
        <v>412</v>
      </c>
      <c r="D566" s="254"/>
      <c r="E566" s="242"/>
      <c r="F566" s="242"/>
      <c r="G566" s="167"/>
      <c r="H566" s="167"/>
      <c r="I566" s="246"/>
      <c r="J566" s="246"/>
      <c r="K566" s="246"/>
      <c r="L566" s="246"/>
      <c r="M566" s="246">
        <f t="shared" ref="M566:R566" si="178">M586</f>
        <v>0</v>
      </c>
      <c r="N566" s="246">
        <f t="shared" si="178"/>
        <v>0</v>
      </c>
      <c r="O566" s="246">
        <f t="shared" si="178"/>
        <v>0</v>
      </c>
      <c r="P566" s="246">
        <f t="shared" si="178"/>
        <v>0</v>
      </c>
      <c r="Q566" s="246">
        <f t="shared" si="178"/>
        <v>0</v>
      </c>
      <c r="R566" s="246">
        <f t="shared" si="178"/>
        <v>0</v>
      </c>
      <c r="S566" s="246">
        <f>S586</f>
        <v>0</v>
      </c>
      <c r="T566" s="168"/>
      <c r="U566" s="168"/>
    </row>
    <row r="567" spans="2:21" ht="15.75" customHeight="1" outlineLevel="2">
      <c r="B567" s="242"/>
      <c r="C567" s="353" t="s">
        <v>375</v>
      </c>
      <c r="D567" s="254"/>
      <c r="E567" s="242"/>
      <c r="F567" s="242"/>
      <c r="G567" s="167"/>
      <c r="H567" s="167"/>
      <c r="I567" s="246"/>
      <c r="J567" s="239"/>
      <c r="K567" s="239"/>
      <c r="L567" s="239"/>
      <c r="M567" s="239">
        <v>0</v>
      </c>
      <c r="N567" s="239">
        <v>0</v>
      </c>
      <c r="O567" s="239">
        <v>0</v>
      </c>
      <c r="P567" s="239">
        <v>0</v>
      </c>
      <c r="Q567" s="239">
        <v>0</v>
      </c>
      <c r="R567" s="239">
        <v>0</v>
      </c>
      <c r="S567" s="239">
        <v>0</v>
      </c>
      <c r="T567" s="168"/>
      <c r="U567" s="168"/>
    </row>
    <row r="568" spans="2:21" ht="15.75" customHeight="1" outlineLevel="2">
      <c r="B568" s="242"/>
      <c r="C568" s="242" t="s">
        <v>413</v>
      </c>
      <c r="D568" s="242"/>
      <c r="E568" s="242"/>
      <c r="F568" s="242"/>
      <c r="G568" s="167"/>
      <c r="H568" s="246"/>
      <c r="I568" s="246"/>
      <c r="J568" s="246"/>
      <c r="K568" s="246"/>
      <c r="L568" s="246"/>
      <c r="M568" s="246">
        <f t="shared" ref="M568:S568" ca="1" si="179">SUM(M560:M567)</f>
        <v>6734619.0637779236</v>
      </c>
      <c r="N568" s="246">
        <f t="shared" ca="1" si="179"/>
        <v>-2253829.2998382058</v>
      </c>
      <c r="O568" s="246">
        <f t="shared" ca="1" si="179"/>
        <v>-3699301.6025975058</v>
      </c>
      <c r="P568" s="246">
        <f t="shared" si="179"/>
        <v>0</v>
      </c>
      <c r="Q568" s="246">
        <f t="shared" si="179"/>
        <v>0</v>
      </c>
      <c r="R568" s="246">
        <f t="shared" si="179"/>
        <v>0</v>
      </c>
      <c r="S568" s="246">
        <f t="shared" si="179"/>
        <v>0</v>
      </c>
      <c r="T568" s="168"/>
      <c r="U568" s="168"/>
    </row>
    <row r="569" spans="2:21" ht="15.75" customHeight="1" outlineLevel="2">
      <c r="B569" s="242"/>
      <c r="C569" s="254"/>
      <c r="D569" s="254"/>
      <c r="E569" s="254"/>
      <c r="F569" s="254"/>
      <c r="G569" s="167"/>
      <c r="H569" s="167"/>
      <c r="J569" s="254"/>
      <c r="K569" s="254"/>
      <c r="L569" s="255"/>
      <c r="M569" s="215"/>
      <c r="N569" s="215"/>
      <c r="O569" s="215"/>
      <c r="P569" s="215"/>
      <c r="Q569" s="215"/>
      <c r="R569" s="215"/>
      <c r="S569" s="215"/>
      <c r="T569" s="168"/>
      <c r="U569" s="168"/>
    </row>
    <row r="570" spans="2:21" ht="15.75" customHeight="1" outlineLevel="2">
      <c r="B570" s="242"/>
      <c r="C570" s="242" t="s">
        <v>464</v>
      </c>
      <c r="D570" s="242"/>
      <c r="E570" s="242"/>
      <c r="F570" s="242"/>
      <c r="G570" s="167"/>
      <c r="H570" s="167"/>
      <c r="I570" s="167"/>
      <c r="J570" s="272"/>
      <c r="K570" s="272"/>
      <c r="L570" s="272"/>
      <c r="M570" s="215"/>
      <c r="N570" s="215"/>
      <c r="O570" s="215"/>
      <c r="P570" s="215"/>
      <c r="Q570" s="215"/>
      <c r="R570" s="215"/>
      <c r="S570" s="215"/>
      <c r="T570" s="168"/>
      <c r="U570" s="168"/>
    </row>
    <row r="571" spans="2:21" ht="15.75" customHeight="1" outlineLevel="2">
      <c r="B571" s="242"/>
      <c r="C571" s="353" t="s">
        <v>414</v>
      </c>
      <c r="D571" s="254"/>
      <c r="E571" s="242"/>
      <c r="F571" s="242"/>
      <c r="G571" s="167"/>
      <c r="H571" s="301"/>
      <c r="I571" s="301"/>
      <c r="J571" s="239"/>
      <c r="K571" s="246"/>
      <c r="L571" s="246"/>
      <c r="M571" s="246">
        <f t="shared" ref="M571:S571" si="180">L574</f>
        <v>0</v>
      </c>
      <c r="N571" s="246">
        <f t="shared" si="180"/>
        <v>0</v>
      </c>
      <c r="O571" s="246">
        <f t="shared" si="180"/>
        <v>0</v>
      </c>
      <c r="P571" s="246">
        <f t="shared" si="180"/>
        <v>0</v>
      </c>
      <c r="Q571" s="246">
        <f t="shared" si="180"/>
        <v>0</v>
      </c>
      <c r="R571" s="246">
        <f t="shared" si="180"/>
        <v>0</v>
      </c>
      <c r="S571" s="246">
        <f t="shared" si="180"/>
        <v>0</v>
      </c>
      <c r="T571" s="168"/>
      <c r="U571" s="168"/>
    </row>
    <row r="572" spans="2:21" ht="15.75" customHeight="1" outlineLevel="2">
      <c r="B572" s="242"/>
      <c r="C572" s="353" t="s">
        <v>465</v>
      </c>
      <c r="D572" s="254"/>
      <c r="E572" s="242"/>
      <c r="F572" s="242"/>
      <c r="G572" s="167"/>
      <c r="H572" s="301"/>
      <c r="I572" s="301"/>
      <c r="J572" s="239"/>
      <c r="K572" s="239"/>
      <c r="L572" s="239"/>
      <c r="M572" s="239">
        <v>0</v>
      </c>
      <c r="N572" s="239">
        <v>0</v>
      </c>
      <c r="O572" s="239">
        <v>0</v>
      </c>
      <c r="P572" s="239">
        <v>0</v>
      </c>
      <c r="Q572" s="239">
        <v>0</v>
      </c>
      <c r="R572" s="239">
        <v>0</v>
      </c>
      <c r="S572" s="239">
        <v>0</v>
      </c>
      <c r="T572" s="168"/>
      <c r="U572" s="168"/>
    </row>
    <row r="573" spans="2:21" ht="15.75" customHeight="1" outlineLevel="2">
      <c r="B573" s="242"/>
      <c r="C573" s="353" t="s">
        <v>466</v>
      </c>
      <c r="D573" s="254"/>
      <c r="E573" s="242"/>
      <c r="F573" s="242"/>
      <c r="G573" s="167"/>
      <c r="H573" s="301"/>
      <c r="I573" s="301"/>
      <c r="J573" s="239"/>
      <c r="K573" s="239"/>
      <c r="L573" s="239"/>
      <c r="M573" s="239">
        <v>0</v>
      </c>
      <c r="N573" s="239">
        <v>0</v>
      </c>
      <c r="O573" s="239">
        <v>0</v>
      </c>
      <c r="P573" s="239">
        <v>0</v>
      </c>
      <c r="Q573" s="239">
        <v>0</v>
      </c>
      <c r="R573" s="239">
        <v>0</v>
      </c>
      <c r="S573" s="239">
        <v>0</v>
      </c>
      <c r="T573" s="168"/>
      <c r="U573" s="168"/>
    </row>
    <row r="574" spans="2:21" ht="15.75" customHeight="1" outlineLevel="2">
      <c r="B574" s="242"/>
      <c r="C574" s="353" t="s">
        <v>415</v>
      </c>
      <c r="D574" s="254"/>
      <c r="E574" s="242"/>
      <c r="F574" s="242"/>
      <c r="G574" s="167"/>
      <c r="H574" s="301"/>
      <c r="I574" s="301"/>
      <c r="J574" s="246"/>
      <c r="K574" s="246"/>
      <c r="L574" s="246"/>
      <c r="M574" s="246">
        <f t="shared" ref="M574:R574" si="181">SUM(M571:M573)</f>
        <v>0</v>
      </c>
      <c r="N574" s="246">
        <f t="shared" si="181"/>
        <v>0</v>
      </c>
      <c r="O574" s="246">
        <f t="shared" si="181"/>
        <v>0</v>
      </c>
      <c r="P574" s="246">
        <f t="shared" si="181"/>
        <v>0</v>
      </c>
      <c r="Q574" s="246">
        <f t="shared" si="181"/>
        <v>0</v>
      </c>
      <c r="R574" s="246">
        <f t="shared" si="181"/>
        <v>0</v>
      </c>
      <c r="S574" s="246">
        <f>SUM(S571:S573)</f>
        <v>0</v>
      </c>
      <c r="T574" s="168"/>
      <c r="U574" s="168"/>
    </row>
    <row r="575" spans="2:21" ht="15.75" customHeight="1" outlineLevel="2">
      <c r="B575" s="242"/>
      <c r="C575" s="254"/>
      <c r="D575" s="254"/>
      <c r="E575" s="254"/>
      <c r="F575" s="254"/>
      <c r="G575" s="167"/>
      <c r="H575" s="167"/>
      <c r="I575" s="167"/>
      <c r="J575" s="254"/>
      <c r="K575" s="254"/>
      <c r="L575" s="254"/>
      <c r="M575" s="215"/>
      <c r="N575" s="215"/>
      <c r="O575" s="215"/>
      <c r="P575" s="215"/>
      <c r="Q575" s="215"/>
      <c r="R575" s="215"/>
      <c r="S575" s="215"/>
      <c r="T575" s="168"/>
      <c r="U575" s="168"/>
    </row>
    <row r="576" spans="2:21" ht="15.75" customHeight="1" outlineLevel="2">
      <c r="B576" s="242"/>
      <c r="C576" s="242" t="s">
        <v>467</v>
      </c>
      <c r="D576" s="242"/>
      <c r="E576" s="242"/>
      <c r="F576" s="242"/>
      <c r="G576" s="167"/>
      <c r="H576" s="167"/>
      <c r="I576" s="167"/>
      <c r="J576" s="242"/>
      <c r="K576" s="249"/>
      <c r="L576" s="249"/>
      <c r="M576" s="215"/>
      <c r="N576" s="215"/>
      <c r="O576" s="215"/>
      <c r="P576" s="215"/>
      <c r="Q576" s="215"/>
      <c r="R576" s="215"/>
      <c r="S576" s="215"/>
      <c r="T576" s="168"/>
      <c r="U576" s="168"/>
    </row>
    <row r="577" spans="2:21" ht="15.75" customHeight="1" outlineLevel="2">
      <c r="B577" s="242"/>
      <c r="C577" s="353" t="s">
        <v>346</v>
      </c>
      <c r="D577" s="242"/>
      <c r="E577" s="242"/>
      <c r="F577" s="242"/>
      <c r="G577" s="167"/>
      <c r="H577" s="167"/>
      <c r="I577" s="167"/>
      <c r="J577" s="246"/>
      <c r="K577" s="246"/>
      <c r="L577" s="246"/>
      <c r="M577" s="246">
        <f ca="1">IF(M319/M592&lt;0,0,M319/M592)</f>
        <v>18176.190637779237</v>
      </c>
      <c r="N577" s="246">
        <f ca="1">IF(N319/N592&lt;0,0,N319/N592)</f>
        <v>0</v>
      </c>
      <c r="O577" s="246">
        <f ca="1">IF(O319/O592&lt;0,0,O319/O592)</f>
        <v>0</v>
      </c>
      <c r="P577" s="246"/>
      <c r="Q577" s="246"/>
      <c r="R577" s="246"/>
      <c r="S577" s="246"/>
      <c r="T577" s="168"/>
      <c r="U577" s="168"/>
    </row>
    <row r="578" spans="2:21" ht="15.75" customHeight="1" outlineLevel="2">
      <c r="B578" s="242"/>
      <c r="C578" s="353" t="s">
        <v>468</v>
      </c>
      <c r="D578" s="254"/>
      <c r="E578" s="242"/>
      <c r="F578" s="242"/>
      <c r="G578" s="167"/>
      <c r="H578" s="167"/>
      <c r="I578" s="167"/>
      <c r="J578" s="402"/>
      <c r="K578" s="402"/>
      <c r="L578" s="402"/>
      <c r="M578" s="402">
        <f>L578</f>
        <v>0</v>
      </c>
      <c r="N578" s="402">
        <f>M578</f>
        <v>0</v>
      </c>
      <c r="O578" s="402">
        <f>N578</f>
        <v>0</v>
      </c>
      <c r="P578" s="402"/>
      <c r="Q578" s="402"/>
      <c r="R578" s="402"/>
      <c r="S578" s="402"/>
      <c r="T578" s="168"/>
      <c r="U578" s="168"/>
    </row>
    <row r="579" spans="2:21" ht="15.75" customHeight="1" outlineLevel="2">
      <c r="B579" s="242"/>
      <c r="C579" s="353" t="s">
        <v>469</v>
      </c>
      <c r="D579" s="254"/>
      <c r="E579" s="242"/>
      <c r="F579" s="242"/>
      <c r="G579" s="167"/>
      <c r="H579" s="167"/>
      <c r="I579" s="167"/>
      <c r="J579" s="246"/>
      <c r="K579" s="246"/>
      <c r="L579" s="246"/>
      <c r="M579" s="246">
        <v>0</v>
      </c>
      <c r="N579" s="246">
        <f ca="1">N577*N578</f>
        <v>0</v>
      </c>
      <c r="O579" s="246">
        <v>0</v>
      </c>
      <c r="P579" s="246">
        <v>0</v>
      </c>
      <c r="Q579" s="246">
        <v>0</v>
      </c>
      <c r="R579" s="246">
        <v>0</v>
      </c>
      <c r="S579" s="246">
        <v>0</v>
      </c>
      <c r="T579" s="168"/>
      <c r="U579" s="168"/>
    </row>
    <row r="580" spans="2:21" ht="15.75" customHeight="1" outlineLevel="2">
      <c r="B580" s="242"/>
      <c r="C580" s="353" t="s">
        <v>470</v>
      </c>
      <c r="D580" s="254"/>
      <c r="E580" s="242"/>
      <c r="F580" s="242"/>
      <c r="G580" s="167"/>
      <c r="H580" s="167"/>
      <c r="I580" s="167"/>
      <c r="J580" s="239"/>
      <c r="K580" s="239"/>
      <c r="L580" s="239"/>
      <c r="M580" s="239">
        <v>0</v>
      </c>
      <c r="N580" s="239">
        <v>0</v>
      </c>
      <c r="O580" s="239">
        <v>0</v>
      </c>
      <c r="P580" s="239">
        <v>0</v>
      </c>
      <c r="Q580" s="239">
        <v>0</v>
      </c>
      <c r="R580" s="239">
        <v>0</v>
      </c>
      <c r="S580" s="239">
        <v>0</v>
      </c>
      <c r="T580" s="168"/>
      <c r="U580" s="168"/>
    </row>
    <row r="581" spans="2:21" ht="15.75" customHeight="1" outlineLevel="2">
      <c r="B581" s="242"/>
      <c r="C581" s="353" t="s">
        <v>471</v>
      </c>
      <c r="D581" s="254"/>
      <c r="E581" s="242"/>
      <c r="F581" s="242"/>
      <c r="G581" s="167"/>
      <c r="H581" s="167"/>
      <c r="I581" s="167"/>
      <c r="J581" s="246"/>
      <c r="K581" s="246"/>
      <c r="L581" s="246"/>
      <c r="M581" s="246">
        <f t="shared" ref="M581:R581" si="182">M580*M579</f>
        <v>0</v>
      </c>
      <c r="N581" s="246">
        <f t="shared" ca="1" si="182"/>
        <v>0</v>
      </c>
      <c r="O581" s="246">
        <f t="shared" si="182"/>
        <v>0</v>
      </c>
      <c r="P581" s="246">
        <f t="shared" si="182"/>
        <v>0</v>
      </c>
      <c r="Q581" s="246">
        <f t="shared" si="182"/>
        <v>0</v>
      </c>
      <c r="R581" s="246">
        <f t="shared" si="182"/>
        <v>0</v>
      </c>
      <c r="S581" s="246">
        <f>S580*S579</f>
        <v>0</v>
      </c>
      <c r="T581" s="168"/>
      <c r="U581" s="168"/>
    </row>
    <row r="582" spans="2:21" ht="15.75" customHeight="1" outlineLevel="2">
      <c r="B582" s="242"/>
      <c r="C582" s="254"/>
      <c r="D582" s="254"/>
      <c r="E582" s="254"/>
      <c r="F582" s="254"/>
      <c r="G582" s="167"/>
      <c r="H582" s="167"/>
      <c r="I582" s="167"/>
      <c r="J582" s="254"/>
      <c r="K582" s="254"/>
      <c r="L582" s="255"/>
      <c r="M582" s="215"/>
      <c r="N582" s="215"/>
      <c r="O582" s="215"/>
      <c r="P582" s="215"/>
      <c r="Q582" s="215"/>
      <c r="R582" s="215"/>
      <c r="S582" s="215"/>
      <c r="T582" s="168"/>
      <c r="U582" s="168"/>
    </row>
    <row r="583" spans="2:21" ht="15.75" customHeight="1" outlineLevel="2">
      <c r="B583" s="242"/>
      <c r="C583" s="242" t="s">
        <v>472</v>
      </c>
      <c r="D583" s="242"/>
      <c r="E583" s="242"/>
      <c r="F583" s="242"/>
      <c r="G583" s="167"/>
      <c r="H583" s="167"/>
      <c r="I583" s="167"/>
      <c r="J583" s="242"/>
      <c r="K583" s="249"/>
      <c r="L583" s="249"/>
      <c r="M583" s="215"/>
      <c r="N583" s="215"/>
      <c r="O583" s="215"/>
      <c r="P583" s="215"/>
      <c r="Q583" s="215"/>
      <c r="R583" s="215"/>
      <c r="S583" s="215"/>
      <c r="T583" s="168"/>
      <c r="U583" s="168"/>
    </row>
    <row r="584" spans="2:21" ht="15.75" customHeight="1" outlineLevel="2">
      <c r="B584" s="242"/>
      <c r="C584" s="353" t="s">
        <v>473</v>
      </c>
      <c r="D584" s="254"/>
      <c r="E584" s="242"/>
      <c r="F584" s="242"/>
      <c r="G584" s="167"/>
      <c r="H584" s="167"/>
      <c r="I584" s="167"/>
      <c r="J584" s="239"/>
      <c r="K584" s="239"/>
      <c r="L584" s="239"/>
      <c r="M584" s="239">
        <v>0</v>
      </c>
      <c r="N584" s="239">
        <v>0</v>
      </c>
      <c r="O584" s="239">
        <v>0</v>
      </c>
      <c r="P584" s="239">
        <v>0</v>
      </c>
      <c r="Q584" s="239">
        <v>0</v>
      </c>
      <c r="R584" s="239">
        <v>0</v>
      </c>
      <c r="S584" s="239">
        <v>0</v>
      </c>
      <c r="T584" s="168"/>
      <c r="U584" s="168"/>
    </row>
    <row r="585" spans="2:21" ht="15.75" customHeight="1" outlineLevel="2">
      <c r="B585" s="242"/>
      <c r="C585" s="353" t="s">
        <v>474</v>
      </c>
      <c r="D585" s="254"/>
      <c r="E585" s="242"/>
      <c r="F585" s="242"/>
      <c r="G585" s="167"/>
      <c r="H585" s="167"/>
      <c r="I585" s="167"/>
      <c r="J585" s="239"/>
      <c r="K585" s="239"/>
      <c r="L585" s="239"/>
      <c r="M585" s="239">
        <v>0</v>
      </c>
      <c r="N585" s="239">
        <v>0</v>
      </c>
      <c r="O585" s="239">
        <v>0</v>
      </c>
      <c r="P585" s="239">
        <v>0</v>
      </c>
      <c r="Q585" s="239">
        <v>0</v>
      </c>
      <c r="R585" s="239">
        <v>0</v>
      </c>
      <c r="S585" s="239">
        <v>0</v>
      </c>
      <c r="T585" s="168"/>
      <c r="U585" s="168"/>
    </row>
    <row r="586" spans="2:21" ht="15.75" customHeight="1" outlineLevel="2">
      <c r="B586" s="242"/>
      <c r="C586" s="353" t="s">
        <v>475</v>
      </c>
      <c r="D586" s="254"/>
      <c r="E586" s="242"/>
      <c r="F586" s="242"/>
      <c r="G586" s="167"/>
      <c r="H586" s="167"/>
      <c r="I586" s="167"/>
      <c r="J586" s="246"/>
      <c r="K586" s="246"/>
      <c r="L586" s="246"/>
      <c r="M586" s="246">
        <f t="shared" ref="M586:R586" si="183">M585*M584</f>
        <v>0</v>
      </c>
      <c r="N586" s="246">
        <f t="shared" si="183"/>
        <v>0</v>
      </c>
      <c r="O586" s="246">
        <f t="shared" si="183"/>
        <v>0</v>
      </c>
      <c r="P586" s="246">
        <f t="shared" si="183"/>
        <v>0</v>
      </c>
      <c r="Q586" s="246">
        <f t="shared" si="183"/>
        <v>0</v>
      </c>
      <c r="R586" s="246">
        <f t="shared" si="183"/>
        <v>0</v>
      </c>
      <c r="S586" s="246">
        <f>S585*S584</f>
        <v>0</v>
      </c>
      <c r="T586" s="168"/>
      <c r="U586" s="168"/>
    </row>
    <row r="587" spans="2:21" ht="15.75" customHeight="1" outlineLevel="2">
      <c r="B587" s="242"/>
      <c r="C587" s="254"/>
      <c r="D587" s="254"/>
      <c r="E587" s="254"/>
      <c r="F587" s="254"/>
      <c r="G587" s="167"/>
      <c r="H587" s="167"/>
      <c r="I587" s="167"/>
      <c r="J587" s="254"/>
      <c r="K587" s="254"/>
      <c r="L587" s="255"/>
      <c r="M587" s="215"/>
      <c r="N587" s="215"/>
      <c r="O587" s="215"/>
      <c r="P587" s="215"/>
      <c r="Q587" s="215"/>
      <c r="R587" s="215"/>
      <c r="S587" s="215"/>
      <c r="T587" s="168"/>
      <c r="U587" s="168"/>
    </row>
    <row r="588" spans="2:21" ht="15.75" customHeight="1" outlineLevel="2">
      <c r="B588" s="242"/>
      <c r="C588" s="242" t="s">
        <v>476</v>
      </c>
      <c r="D588" s="242"/>
      <c r="E588" s="242"/>
      <c r="F588" s="242"/>
      <c r="G588" s="167"/>
      <c r="H588" s="167"/>
      <c r="I588" s="167"/>
      <c r="J588" s="242"/>
      <c r="K588" s="249"/>
      <c r="L588" s="249"/>
      <c r="M588" s="215"/>
      <c r="N588" s="215"/>
      <c r="O588" s="215"/>
      <c r="P588" s="215"/>
      <c r="Q588" s="215"/>
      <c r="R588" s="215"/>
      <c r="S588" s="215"/>
      <c r="T588" s="168"/>
      <c r="U588" s="168"/>
    </row>
    <row r="589" spans="2:21" ht="15.75" customHeight="1" outlineLevel="2">
      <c r="B589" s="242"/>
      <c r="C589" s="353" t="s">
        <v>477</v>
      </c>
      <c r="D589" s="254"/>
      <c r="E589" s="242"/>
      <c r="F589" s="242"/>
      <c r="G589" s="167"/>
      <c r="H589" s="167"/>
      <c r="I589" s="167"/>
      <c r="J589" s="747"/>
      <c r="K589" s="246"/>
      <c r="L589" s="246"/>
      <c r="M589" s="246">
        <v>100</v>
      </c>
      <c r="N589" s="246">
        <f>M592</f>
        <v>100</v>
      </c>
      <c r="O589" s="246">
        <v>100</v>
      </c>
      <c r="P589" s="246"/>
      <c r="Q589" s="246"/>
      <c r="R589" s="246"/>
      <c r="S589" s="246"/>
      <c r="T589" s="168"/>
      <c r="U589" s="168"/>
    </row>
    <row r="590" spans="2:21" ht="15.75" customHeight="1" outlineLevel="2">
      <c r="B590" s="242"/>
      <c r="C590" s="353" t="s">
        <v>478</v>
      </c>
      <c r="D590" s="254"/>
      <c r="E590" s="242"/>
      <c r="F590" s="242"/>
      <c r="G590" s="167"/>
      <c r="H590" s="167"/>
      <c r="I590" s="167"/>
      <c r="J590" s="246"/>
      <c r="K590" s="246"/>
      <c r="L590" s="246"/>
      <c r="M590" s="246">
        <f t="shared" ref="M590:R590" si="184">M584</f>
        <v>0</v>
      </c>
      <c r="N590" s="246">
        <f t="shared" si="184"/>
        <v>0</v>
      </c>
      <c r="O590" s="246">
        <f t="shared" si="184"/>
        <v>0</v>
      </c>
      <c r="P590" s="246">
        <f t="shared" si="184"/>
        <v>0</v>
      </c>
      <c r="Q590" s="246">
        <f t="shared" si="184"/>
        <v>0</v>
      </c>
      <c r="R590" s="246">
        <f t="shared" si="184"/>
        <v>0</v>
      </c>
      <c r="S590" s="246">
        <f>S584</f>
        <v>0</v>
      </c>
      <c r="T590" s="168"/>
      <c r="U590" s="168"/>
    </row>
    <row r="591" spans="2:21" ht="15.75" customHeight="1" outlineLevel="2">
      <c r="B591" s="242"/>
      <c r="C591" s="353" t="s">
        <v>479</v>
      </c>
      <c r="D591" s="254"/>
      <c r="E591" s="242"/>
      <c r="F591" s="242"/>
      <c r="G591" s="167"/>
      <c r="H591" s="167"/>
      <c r="I591" s="167"/>
      <c r="J591" s="246"/>
      <c r="K591" s="246"/>
      <c r="L591" s="246"/>
      <c r="M591" s="246">
        <f t="shared" ref="M591:R591" si="185">-M580</f>
        <v>0</v>
      </c>
      <c r="N591" s="246">
        <f t="shared" si="185"/>
        <v>0</v>
      </c>
      <c r="O591" s="246">
        <f t="shared" si="185"/>
        <v>0</v>
      </c>
      <c r="P591" s="246">
        <f t="shared" si="185"/>
        <v>0</v>
      </c>
      <c r="Q591" s="246">
        <f t="shared" si="185"/>
        <v>0</v>
      </c>
      <c r="R591" s="246">
        <f t="shared" si="185"/>
        <v>0</v>
      </c>
      <c r="S591" s="246">
        <f>-S580</f>
        <v>0</v>
      </c>
      <c r="T591" s="168"/>
      <c r="U591" s="168"/>
    </row>
    <row r="592" spans="2:21" ht="15.75" customHeight="1" outlineLevel="2">
      <c r="B592" s="242"/>
      <c r="C592" s="353" t="s">
        <v>480</v>
      </c>
      <c r="D592" s="254"/>
      <c r="E592" s="242"/>
      <c r="F592" s="242"/>
      <c r="G592" s="167"/>
      <c r="H592" s="167"/>
      <c r="I592" s="167"/>
      <c r="J592" s="403"/>
      <c r="K592" s="403"/>
      <c r="L592" s="403"/>
      <c r="M592" s="403">
        <f t="shared" ref="M592:R592" si="186">SUM(M589:M591)</f>
        <v>100</v>
      </c>
      <c r="N592" s="403">
        <f t="shared" si="186"/>
        <v>100</v>
      </c>
      <c r="O592" s="403">
        <f t="shared" si="186"/>
        <v>100</v>
      </c>
      <c r="P592" s="403">
        <f t="shared" si="186"/>
        <v>0</v>
      </c>
      <c r="Q592" s="403">
        <f t="shared" si="186"/>
        <v>0</v>
      </c>
      <c r="R592" s="403">
        <f t="shared" si="186"/>
        <v>0</v>
      </c>
      <c r="S592" s="403">
        <f>SUM(S589:S591)</f>
        <v>0</v>
      </c>
      <c r="T592" s="168"/>
      <c r="U592" s="168"/>
    </row>
    <row r="593" spans="2:21" ht="15.75" customHeight="1" outlineLevel="2">
      <c r="B593" s="242"/>
      <c r="C593" s="254"/>
      <c r="D593" s="254"/>
      <c r="E593" s="254"/>
      <c r="F593" s="254"/>
      <c r="G593" s="167"/>
      <c r="H593" s="167"/>
      <c r="I593" s="167"/>
      <c r="J593" s="254"/>
      <c r="K593" s="254"/>
      <c r="L593" s="255"/>
      <c r="M593" s="215"/>
      <c r="N593" s="215"/>
      <c r="O593" s="215"/>
      <c r="P593" s="215"/>
      <c r="Q593" s="215"/>
      <c r="R593" s="215"/>
      <c r="S593" s="215"/>
      <c r="T593" s="168"/>
      <c r="U593" s="168"/>
    </row>
    <row r="594" spans="2:21" ht="15.75" customHeight="1" outlineLevel="2">
      <c r="B594" s="242"/>
      <c r="C594" s="242" t="s">
        <v>481</v>
      </c>
      <c r="D594" s="242"/>
      <c r="E594" s="242"/>
      <c r="F594" s="242"/>
      <c r="G594" s="167"/>
      <c r="H594" s="167"/>
      <c r="I594" s="167"/>
      <c r="J594" s="246"/>
      <c r="K594" s="246"/>
      <c r="L594" s="246"/>
      <c r="M594" s="246">
        <v>0</v>
      </c>
      <c r="N594" s="246">
        <f>N595/N592</f>
        <v>0</v>
      </c>
      <c r="O594" s="246">
        <f>O595/O592</f>
        <v>0</v>
      </c>
      <c r="P594" s="246"/>
      <c r="Q594" s="246"/>
      <c r="R594" s="246"/>
      <c r="S594" s="246"/>
      <c r="T594" s="168"/>
      <c r="U594" s="168"/>
    </row>
    <row r="595" spans="2:21" ht="15.75" customHeight="1" outlineLevel="2">
      <c r="B595" s="242"/>
      <c r="C595" s="242" t="s">
        <v>482</v>
      </c>
      <c r="D595" s="242"/>
      <c r="E595" s="242"/>
      <c r="F595" s="242"/>
      <c r="G595" s="167"/>
      <c r="H595" s="167"/>
      <c r="I595" s="167"/>
      <c r="J595" s="242"/>
      <c r="K595" s="242"/>
      <c r="L595" s="239"/>
      <c r="M595" s="239">
        <v>0</v>
      </c>
      <c r="N595" s="239">
        <v>0</v>
      </c>
      <c r="O595" s="239">
        <v>0</v>
      </c>
      <c r="P595" s="239">
        <v>0</v>
      </c>
      <c r="Q595" s="239">
        <v>0</v>
      </c>
      <c r="R595" s="239">
        <v>0</v>
      </c>
      <c r="S595" s="239">
        <v>0</v>
      </c>
      <c r="T595" s="168"/>
      <c r="U595" s="168"/>
    </row>
    <row r="596" spans="2:21" ht="15.75" customHeight="1" outlineLevel="2">
      <c r="B596" s="242"/>
      <c r="C596" s="242" t="s">
        <v>483</v>
      </c>
      <c r="D596" s="242"/>
      <c r="E596" s="242"/>
      <c r="F596" s="242"/>
      <c r="G596" s="167"/>
      <c r="H596" s="167"/>
      <c r="I596" s="167"/>
      <c r="J596" s="243"/>
      <c r="K596" s="243"/>
      <c r="L596" s="243"/>
      <c r="M596" s="243">
        <f>L596</f>
        <v>0</v>
      </c>
      <c r="N596" s="215"/>
      <c r="O596" s="215"/>
      <c r="P596" s="215"/>
      <c r="Q596" s="215"/>
      <c r="R596" s="215"/>
      <c r="S596" s="215"/>
      <c r="T596" s="168"/>
      <c r="U596" s="168"/>
    </row>
    <row r="597" spans="2:21" ht="15.75" customHeight="1" outlineLevel="1">
      <c r="B597" s="242"/>
      <c r="C597" s="242"/>
      <c r="D597" s="242"/>
      <c r="E597" s="242"/>
      <c r="F597" s="242"/>
      <c r="G597" s="167"/>
      <c r="H597" s="167"/>
      <c r="I597" s="243"/>
      <c r="J597" s="243"/>
      <c r="K597" s="243"/>
      <c r="L597" s="243"/>
      <c r="M597" s="215"/>
      <c r="N597" s="215"/>
      <c r="O597" s="215"/>
      <c r="P597" s="215"/>
      <c r="Q597" s="215"/>
      <c r="R597" s="215"/>
      <c r="S597" s="215"/>
      <c r="T597" s="168"/>
      <c r="U597" s="168"/>
    </row>
    <row r="598" spans="2:21" ht="15.75" customHeight="1" outlineLevel="1">
      <c r="B598" s="242"/>
      <c r="C598" s="242"/>
      <c r="D598" s="242"/>
      <c r="E598" s="242"/>
      <c r="F598" s="242"/>
      <c r="G598" s="167"/>
      <c r="H598" s="167"/>
      <c r="I598" s="242"/>
      <c r="J598" s="242"/>
      <c r="K598" s="249"/>
      <c r="L598" s="249"/>
      <c r="M598" s="215"/>
      <c r="N598" s="215"/>
      <c r="O598" s="215"/>
      <c r="P598" s="215"/>
      <c r="Q598" s="215"/>
      <c r="R598" s="215"/>
      <c r="S598" s="215"/>
      <c r="T598" s="168"/>
      <c r="U598" s="168"/>
    </row>
    <row r="599" spans="2:21" ht="15.75" customHeight="1" outlineLevel="1">
      <c r="B599" s="242"/>
      <c r="C599" s="242"/>
      <c r="D599" s="242"/>
      <c r="E599" s="242"/>
      <c r="F599" s="242"/>
      <c r="G599" s="167"/>
      <c r="H599" s="167"/>
      <c r="I599" s="242"/>
      <c r="J599" s="242"/>
      <c r="K599" s="249"/>
      <c r="L599" s="249"/>
      <c r="M599" s="215"/>
      <c r="N599" s="215"/>
      <c r="O599" s="215"/>
      <c r="P599" s="215"/>
      <c r="Q599" s="215"/>
      <c r="R599" s="215"/>
      <c r="S599" s="215"/>
      <c r="T599" s="168"/>
      <c r="U599" s="168"/>
    </row>
    <row r="600" spans="2:21" ht="15.75" customHeight="1" outlineLevel="1">
      <c r="B600" s="215"/>
      <c r="C600" s="168"/>
      <c r="D600" s="168"/>
      <c r="E600" s="168"/>
      <c r="F600" s="168"/>
      <c r="G600" s="167"/>
      <c r="H600" s="167"/>
      <c r="I600" s="254"/>
      <c r="J600" s="254"/>
      <c r="K600" s="367"/>
      <c r="L600" s="368"/>
      <c r="M600" s="215"/>
      <c r="N600" s="742"/>
      <c r="O600" s="742"/>
      <c r="P600" s="742"/>
      <c r="Q600" s="742"/>
      <c r="R600" s="742"/>
      <c r="S600" s="742"/>
      <c r="T600" s="168"/>
      <c r="U600" s="168"/>
    </row>
    <row r="601" spans="2:21" ht="15.75" customHeight="1" outlineLevel="1">
      <c r="B601" s="242"/>
      <c r="C601" s="254"/>
      <c r="D601" s="254"/>
      <c r="E601" s="254"/>
      <c r="F601" s="254"/>
      <c r="G601" s="167"/>
      <c r="H601" s="167"/>
      <c r="I601" s="254"/>
      <c r="J601" s="254"/>
      <c r="K601" s="255"/>
      <c r="L601" s="255"/>
      <c r="M601" s="215"/>
      <c r="N601" s="215"/>
      <c r="O601" s="215"/>
      <c r="P601" s="215"/>
      <c r="Q601" s="215"/>
      <c r="R601" s="215"/>
      <c r="S601" s="215"/>
      <c r="T601" s="168"/>
      <c r="U601" s="168"/>
    </row>
    <row r="602" spans="2:21" ht="27" outlineLevel="1">
      <c r="B602" s="242"/>
      <c r="C602" s="733" t="s">
        <v>322</v>
      </c>
      <c r="D602" s="168"/>
      <c r="E602" s="168"/>
      <c r="F602" s="168"/>
      <c r="G602" s="167"/>
      <c r="H602" s="167"/>
      <c r="I602" s="254"/>
      <c r="J602" s="254"/>
      <c r="K602" s="367"/>
      <c r="L602" s="368"/>
      <c r="M602" s="367"/>
      <c r="N602" s="368"/>
      <c r="O602" s="368"/>
      <c r="P602" s="368"/>
      <c r="Q602" s="368"/>
      <c r="R602" s="368"/>
      <c r="S602" s="368"/>
      <c r="T602" s="168"/>
      <c r="U602" s="168"/>
    </row>
    <row r="603" spans="2:21" ht="3" customHeight="1" outlineLevel="1">
      <c r="B603" s="242"/>
      <c r="C603" s="299"/>
      <c r="D603" s="229"/>
      <c r="E603" s="229"/>
      <c r="F603" s="229"/>
      <c r="G603" s="300"/>
      <c r="H603" s="300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168"/>
      <c r="U603" s="168"/>
    </row>
    <row r="604" spans="2:21" ht="15.75" customHeight="1" outlineLevel="1">
      <c r="B604" s="242"/>
      <c r="C604" s="601"/>
      <c r="D604" s="168"/>
      <c r="E604" s="168"/>
      <c r="F604" s="168"/>
      <c r="G604" s="167"/>
      <c r="H604" s="167"/>
      <c r="I604" s="254"/>
      <c r="J604" s="254"/>
      <c r="K604" s="367"/>
      <c r="L604" s="368"/>
      <c r="M604" s="367"/>
      <c r="N604" s="368"/>
      <c r="O604" s="368"/>
      <c r="P604" s="368"/>
      <c r="Q604" s="368"/>
      <c r="R604" s="368"/>
      <c r="S604" s="368"/>
      <c r="T604" s="168"/>
      <c r="U604" s="168"/>
    </row>
    <row r="605" spans="2:21" ht="15.75" customHeight="1" outlineLevel="1">
      <c r="B605" s="242"/>
      <c r="C605" s="302" t="s">
        <v>283</v>
      </c>
      <c r="D605" s="168"/>
      <c r="E605" s="168"/>
      <c r="F605" s="168"/>
      <c r="G605" s="167"/>
      <c r="H605" s="167"/>
      <c r="I605" s="254"/>
      <c r="J605" s="230"/>
      <c r="K605" s="231"/>
      <c r="L605" s="232"/>
      <c r="M605" s="231"/>
      <c r="N605" s="232"/>
      <c r="O605" s="232"/>
      <c r="P605" s="232"/>
      <c r="Q605" s="232"/>
      <c r="R605" s="232"/>
      <c r="S605" s="232"/>
      <c r="T605" s="168"/>
      <c r="U605" s="168"/>
    </row>
    <row r="606" spans="2:21" ht="15.75" customHeight="1" outlineLevel="1">
      <c r="B606" s="242"/>
      <c r="C606" s="348"/>
      <c r="D606" s="233"/>
      <c r="E606" s="233"/>
      <c r="F606" s="233"/>
      <c r="G606" s="338"/>
      <c r="H606" s="174">
        <v>0</v>
      </c>
      <c r="I606" s="174">
        <v>0</v>
      </c>
      <c r="J606" s="174">
        <v>1</v>
      </c>
      <c r="K606" s="174">
        <v>2</v>
      </c>
      <c r="L606" s="175">
        <f t="shared" ref="L606:M608" si="187">L285</f>
        <v>3</v>
      </c>
      <c r="M606" s="175" t="str">
        <f t="shared" si="187"/>
        <v>1 Year</v>
      </c>
      <c r="N606" s="175" t="str">
        <f t="shared" ref="N606:Q608" si="188">N285</f>
        <v>2 Year</v>
      </c>
      <c r="O606" s="175" t="str">
        <f t="shared" si="188"/>
        <v>3 Year</v>
      </c>
      <c r="P606" s="175" t="str">
        <f t="shared" si="188"/>
        <v>4 Year</v>
      </c>
      <c r="Q606" s="175" t="str">
        <f t="shared" si="188"/>
        <v>5 Year</v>
      </c>
      <c r="R606" s="175" t="str">
        <f t="shared" ref="R606:S608" si="189">R285</f>
        <v>6 Year</v>
      </c>
      <c r="S606" s="175" t="str">
        <f t="shared" si="189"/>
        <v>7 Year</v>
      </c>
      <c r="T606" s="168"/>
      <c r="U606" s="168"/>
    </row>
    <row r="607" spans="2:21" ht="15.75" customHeight="1" outlineLevel="1">
      <c r="B607" s="242"/>
      <c r="C607" s="349"/>
      <c r="D607" s="234"/>
      <c r="E607" s="234"/>
      <c r="F607" s="234"/>
      <c r="G607" s="325"/>
      <c r="H607" s="176"/>
      <c r="I607" s="176"/>
      <c r="J607" s="176"/>
      <c r="K607" s="176"/>
      <c r="L607" s="176"/>
      <c r="M607" s="176"/>
      <c r="N607" s="176"/>
      <c r="O607" s="176"/>
      <c r="P607" s="176"/>
      <c r="Q607" s="176"/>
      <c r="R607" s="176"/>
      <c r="S607" s="176"/>
      <c r="T607" s="168"/>
      <c r="U607" s="168"/>
    </row>
    <row r="608" spans="2:21" ht="15.75" customHeight="1" outlineLevel="1">
      <c r="B608" s="242"/>
      <c r="C608" s="359"/>
      <c r="D608" s="260"/>
      <c r="E608" s="235"/>
      <c r="F608" s="235"/>
      <c r="G608" s="326"/>
      <c r="H608" s="213" t="s">
        <v>499</v>
      </c>
      <c r="I608" s="213" t="s">
        <v>499</v>
      </c>
      <c r="J608" s="213" t="s">
        <v>499</v>
      </c>
      <c r="K608" s="213" t="s">
        <v>499</v>
      </c>
      <c r="L608" s="213" t="str">
        <f t="shared" si="187"/>
        <v>($)</v>
      </c>
      <c r="M608" s="213" t="str">
        <f t="shared" si="187"/>
        <v>($)</v>
      </c>
      <c r="N608" s="213" t="str">
        <f t="shared" si="188"/>
        <v>($)</v>
      </c>
      <c r="O608" s="213" t="str">
        <f t="shared" si="188"/>
        <v>($)</v>
      </c>
      <c r="P608" s="213" t="str">
        <f t="shared" si="188"/>
        <v>($)</v>
      </c>
      <c r="Q608" s="213" t="str">
        <f t="shared" si="188"/>
        <v>($)</v>
      </c>
      <c r="R608" s="213" t="str">
        <f t="shared" si="189"/>
        <v>($)</v>
      </c>
      <c r="S608" s="213" t="str">
        <f t="shared" si="189"/>
        <v>($)</v>
      </c>
      <c r="T608" s="168"/>
      <c r="U608" s="168"/>
    </row>
    <row r="609" spans="2:21" ht="15.75" customHeight="1" outlineLevel="1">
      <c r="B609" s="242"/>
      <c r="C609" s="254"/>
      <c r="D609" s="254"/>
      <c r="E609" s="254"/>
      <c r="F609" s="254"/>
      <c r="G609" s="167"/>
      <c r="H609" s="167"/>
      <c r="I609" s="254"/>
      <c r="J609" s="254"/>
      <c r="K609" s="254"/>
      <c r="L609" s="255"/>
      <c r="M609" s="215"/>
      <c r="N609" s="215"/>
      <c r="O609" s="215"/>
      <c r="P609" s="215"/>
      <c r="Q609" s="215"/>
      <c r="R609" s="215"/>
      <c r="S609" s="215"/>
      <c r="T609" s="168"/>
      <c r="U609" s="168"/>
    </row>
    <row r="610" spans="2:21" ht="15.75" customHeight="1" outlineLevel="1">
      <c r="B610" s="242"/>
      <c r="C610" s="246" t="s">
        <v>212</v>
      </c>
      <c r="D610" s="246"/>
      <c r="E610" s="246"/>
      <c r="F610" s="246"/>
      <c r="G610" s="167"/>
      <c r="H610" s="167"/>
      <c r="I610" s="246"/>
      <c r="J610" s="246"/>
      <c r="K610" s="246"/>
      <c r="L610" s="246"/>
      <c r="M610" s="246">
        <f t="shared" ref="M610:R610" ca="1" si="190">M432</f>
        <v>1491546.8054916763</v>
      </c>
      <c r="N610" s="246">
        <f t="shared" ca="1" si="190"/>
        <v>-9411366.3023329005</v>
      </c>
      <c r="O610" s="246">
        <f t="shared" ca="1" si="190"/>
        <v>-1088706.5374884792</v>
      </c>
      <c r="P610" s="246">
        <f t="shared" si="190"/>
        <v>0</v>
      </c>
      <c r="Q610" s="246">
        <f t="shared" si="190"/>
        <v>0</v>
      </c>
      <c r="R610" s="246">
        <f t="shared" si="190"/>
        <v>0</v>
      </c>
      <c r="S610" s="246">
        <f>S432</f>
        <v>0</v>
      </c>
      <c r="T610" s="168"/>
      <c r="U610" s="168"/>
    </row>
    <row r="611" spans="2:21" ht="15.75" customHeight="1" outlineLevel="2">
      <c r="B611" s="242"/>
      <c r="C611" s="246" t="s">
        <v>452</v>
      </c>
      <c r="D611" s="246"/>
      <c r="E611" s="246"/>
      <c r="F611" s="246"/>
      <c r="G611" s="167"/>
      <c r="H611" s="167"/>
      <c r="I611" s="246"/>
      <c r="J611" s="246"/>
      <c r="K611" s="246"/>
      <c r="L611" s="246"/>
      <c r="M611" s="246">
        <f t="shared" ref="M611:Q612" si="191">M562</f>
        <v>0</v>
      </c>
      <c r="N611" s="246">
        <f t="shared" si="191"/>
        <v>0</v>
      </c>
      <c r="O611" s="246">
        <f t="shared" si="191"/>
        <v>0</v>
      </c>
      <c r="P611" s="246">
        <f t="shared" si="191"/>
        <v>0</v>
      </c>
      <c r="Q611" s="246">
        <f t="shared" si="191"/>
        <v>0</v>
      </c>
      <c r="R611" s="246">
        <f>R562</f>
        <v>0</v>
      </c>
      <c r="S611" s="246">
        <f>S562</f>
        <v>0</v>
      </c>
      <c r="T611" s="168"/>
      <c r="U611" s="168"/>
    </row>
    <row r="612" spans="2:21" ht="15.75" customHeight="1" outlineLevel="1">
      <c r="B612" s="242"/>
      <c r="C612" s="246" t="s">
        <v>317</v>
      </c>
      <c r="D612" s="246"/>
      <c r="E612" s="246"/>
      <c r="F612" s="246"/>
      <c r="G612" s="167"/>
      <c r="H612" s="167"/>
      <c r="I612" s="246"/>
      <c r="J612" s="246"/>
      <c r="K612" s="246"/>
      <c r="L612" s="246"/>
      <c r="M612" s="246">
        <f t="shared" si="191"/>
        <v>0</v>
      </c>
      <c r="N612" s="246">
        <f t="shared" si="191"/>
        <v>0</v>
      </c>
      <c r="O612" s="246">
        <f t="shared" si="191"/>
        <v>0</v>
      </c>
      <c r="P612" s="246">
        <f t="shared" si="191"/>
        <v>0</v>
      </c>
      <c r="Q612" s="246">
        <f t="shared" si="191"/>
        <v>0</v>
      </c>
      <c r="R612" s="246">
        <f>R563</f>
        <v>0</v>
      </c>
      <c r="S612" s="246">
        <f>S563</f>
        <v>0</v>
      </c>
      <c r="T612" s="168"/>
      <c r="U612" s="168"/>
    </row>
    <row r="613" spans="2:21" ht="15.75" customHeight="1" outlineLevel="1">
      <c r="B613" s="242"/>
      <c r="C613" s="246" t="s">
        <v>375</v>
      </c>
      <c r="D613" s="246"/>
      <c r="E613" s="246"/>
      <c r="F613" s="246"/>
      <c r="G613" s="167"/>
      <c r="H613" s="167"/>
      <c r="I613" s="246"/>
      <c r="J613" s="246"/>
      <c r="K613" s="246"/>
      <c r="L613" s="246"/>
      <c r="M613" s="246">
        <f t="shared" ref="M613:R613" si="192">M567</f>
        <v>0</v>
      </c>
      <c r="N613" s="246">
        <f t="shared" si="192"/>
        <v>0</v>
      </c>
      <c r="O613" s="246">
        <f t="shared" si="192"/>
        <v>0</v>
      </c>
      <c r="P613" s="246">
        <f t="shared" si="192"/>
        <v>0</v>
      </c>
      <c r="Q613" s="246">
        <f t="shared" si="192"/>
        <v>0</v>
      </c>
      <c r="R613" s="246">
        <f t="shared" si="192"/>
        <v>0</v>
      </c>
      <c r="S613" s="246">
        <f>S567</f>
        <v>0</v>
      </c>
      <c r="T613" s="168"/>
      <c r="U613" s="168"/>
    </row>
    <row r="614" spans="2:21" ht="15.75" customHeight="1" outlineLevel="1">
      <c r="B614" s="242"/>
      <c r="C614" s="246" t="s">
        <v>285</v>
      </c>
      <c r="D614" s="246"/>
      <c r="E614" s="246"/>
      <c r="F614" s="246"/>
      <c r="G614" s="167"/>
      <c r="H614" s="167"/>
      <c r="I614" s="246"/>
      <c r="J614" s="246"/>
      <c r="K614" s="246"/>
      <c r="L614" s="246"/>
      <c r="M614" s="246">
        <f t="shared" ref="M614:R614" si="193">M448</f>
        <v>0</v>
      </c>
      <c r="N614" s="246">
        <f t="shared" ca="1" si="193"/>
        <v>1491546.8054916763</v>
      </c>
      <c r="O614" s="246">
        <f ca="1">O448</f>
        <v>-7919819.4968412239</v>
      </c>
      <c r="P614" s="246">
        <f t="shared" si="193"/>
        <v>0</v>
      </c>
      <c r="Q614" s="246">
        <f t="shared" si="193"/>
        <v>0</v>
      </c>
      <c r="R614" s="246">
        <f t="shared" si="193"/>
        <v>0</v>
      </c>
      <c r="S614" s="246">
        <f>S448</f>
        <v>0</v>
      </c>
      <c r="T614" s="168"/>
      <c r="U614" s="168"/>
    </row>
    <row r="615" spans="2:21" ht="15.75" customHeight="1" outlineLevel="1">
      <c r="B615" s="242"/>
      <c r="C615" s="246" t="s">
        <v>286</v>
      </c>
      <c r="D615" s="246"/>
      <c r="E615" s="246"/>
      <c r="F615" s="246"/>
      <c r="G615" s="167"/>
      <c r="H615" s="167"/>
      <c r="I615" s="239"/>
      <c r="J615" s="239"/>
      <c r="K615" s="239"/>
      <c r="L615" s="239"/>
      <c r="M615" s="239">
        <f t="shared" ref="M615:S615" si="194">-M289*M350</f>
        <v>-225428.65638226148</v>
      </c>
      <c r="N615" s="239">
        <f t="shared" si="194"/>
        <v>-1177306.7329993867</v>
      </c>
      <c r="O615" s="239">
        <f t="shared" si="194"/>
        <v>-496971.52153778251</v>
      </c>
      <c r="P615" s="239">
        <f t="shared" si="194"/>
        <v>0</v>
      </c>
      <c r="Q615" s="239">
        <f t="shared" si="194"/>
        <v>0</v>
      </c>
      <c r="R615" s="239">
        <f t="shared" si="194"/>
        <v>0</v>
      </c>
      <c r="S615" s="239">
        <f t="shared" si="194"/>
        <v>0</v>
      </c>
      <c r="T615" s="168"/>
      <c r="U615" s="168"/>
    </row>
    <row r="616" spans="2:21" ht="15.75" customHeight="1" outlineLevel="1">
      <c r="B616" s="242"/>
      <c r="C616" s="258" t="s">
        <v>287</v>
      </c>
      <c r="D616" s="246"/>
      <c r="E616" s="246"/>
      <c r="F616" s="246"/>
      <c r="G616" s="167"/>
      <c r="H616" s="167"/>
      <c r="I616" s="282"/>
      <c r="J616" s="282"/>
      <c r="K616" s="282"/>
      <c r="L616" s="282"/>
      <c r="M616" s="282">
        <f t="shared" ref="M616:R616" ca="1" si="195">SUM(M610:M615)</f>
        <v>1266118.1491094148</v>
      </c>
      <c r="N616" s="282">
        <f t="shared" ca="1" si="195"/>
        <v>-9097126.2298406102</v>
      </c>
      <c r="O616" s="282">
        <f ca="1">SUM(O610:O615)</f>
        <v>-9505497.5558674857</v>
      </c>
      <c r="P616" s="282">
        <f t="shared" si="195"/>
        <v>0</v>
      </c>
      <c r="Q616" s="282">
        <f t="shared" si="195"/>
        <v>0</v>
      </c>
      <c r="R616" s="282">
        <f t="shared" si="195"/>
        <v>0</v>
      </c>
      <c r="S616" s="282">
        <f>SUM(S610:S615)</f>
        <v>0</v>
      </c>
      <c r="T616" s="168"/>
      <c r="U616" s="168"/>
    </row>
    <row r="617" spans="2:21" ht="4.5" customHeight="1" outlineLevel="1">
      <c r="B617" s="242"/>
      <c r="C617" s="246"/>
      <c r="D617" s="246"/>
      <c r="E617" s="246"/>
      <c r="F617" s="246"/>
      <c r="G617" s="365"/>
      <c r="H617" s="365"/>
      <c r="I617" s="246"/>
      <c r="J617" s="246"/>
      <c r="K617" s="246"/>
      <c r="L617" s="272"/>
      <c r="M617" s="272"/>
      <c r="N617" s="272"/>
      <c r="O617" s="272"/>
      <c r="P617" s="272"/>
      <c r="Q617" s="272"/>
      <c r="R617" s="272"/>
      <c r="S617" s="272"/>
      <c r="T617" s="168"/>
      <c r="U617" s="168"/>
    </row>
    <row r="618" spans="2:21" ht="15.75" customHeight="1" outlineLevel="1">
      <c r="B618" s="242"/>
      <c r="C618" s="215" t="s">
        <v>288</v>
      </c>
      <c r="D618" s="246"/>
      <c r="E618" s="246"/>
      <c r="F618" s="246"/>
      <c r="G618" s="365"/>
      <c r="H618" s="365"/>
      <c r="I618" s="246"/>
      <c r="J618" s="246"/>
      <c r="K618" s="246"/>
      <c r="L618" s="272"/>
      <c r="M618" s="272"/>
      <c r="N618" s="272"/>
      <c r="O618" s="272"/>
      <c r="P618" s="272"/>
      <c r="Q618" s="272"/>
      <c r="R618" s="272"/>
      <c r="S618" s="272"/>
      <c r="T618" s="168"/>
      <c r="U618" s="168"/>
    </row>
    <row r="619" spans="2:21" ht="15.75" customHeight="1" outlineLevel="1">
      <c r="B619" s="242"/>
      <c r="C619" s="353" t="s">
        <v>653</v>
      </c>
      <c r="D619" s="246"/>
      <c r="E619" s="246"/>
      <c r="F619" s="246"/>
      <c r="G619" s="167"/>
      <c r="H619" s="167"/>
      <c r="I619" s="246"/>
      <c r="J619" s="747"/>
      <c r="K619" s="246"/>
      <c r="L619" s="246"/>
      <c r="M619" s="246">
        <v>0</v>
      </c>
      <c r="N619" s="246">
        <f>M619+N626</f>
        <v>0</v>
      </c>
      <c r="O619" s="246">
        <f t="shared" ref="O619:S622" si="196">N619+O626</f>
        <v>0</v>
      </c>
      <c r="P619" s="246">
        <f t="shared" si="196"/>
        <v>0</v>
      </c>
      <c r="Q619" s="246">
        <f t="shared" si="196"/>
        <v>0</v>
      </c>
      <c r="R619" s="246">
        <f t="shared" si="196"/>
        <v>0</v>
      </c>
      <c r="S619" s="246">
        <f t="shared" si="196"/>
        <v>0</v>
      </c>
      <c r="T619" s="168"/>
      <c r="U619" s="168"/>
    </row>
    <row r="620" spans="2:21" ht="15.75" customHeight="1" outlineLevel="1">
      <c r="B620" s="242"/>
      <c r="C620" s="353" t="s">
        <v>652</v>
      </c>
      <c r="D620" s="246"/>
      <c r="E620" s="246"/>
      <c r="F620" s="246"/>
      <c r="G620" s="167"/>
      <c r="H620" s="167"/>
      <c r="I620" s="246"/>
      <c r="J620" s="246"/>
      <c r="K620" s="246"/>
      <c r="L620" s="272"/>
      <c r="M620" s="272">
        <v>0</v>
      </c>
      <c r="N620" s="272">
        <f>M620+N627</f>
        <v>0</v>
      </c>
      <c r="O620" s="272">
        <f t="shared" si="196"/>
        <v>0</v>
      </c>
      <c r="P620" s="272">
        <f t="shared" si="196"/>
        <v>0</v>
      </c>
      <c r="Q620" s="272">
        <f t="shared" si="196"/>
        <v>0</v>
      </c>
      <c r="R620" s="272">
        <f t="shared" si="196"/>
        <v>0</v>
      </c>
      <c r="S620" s="272">
        <f t="shared" si="196"/>
        <v>0</v>
      </c>
      <c r="T620" s="168"/>
      <c r="U620" s="168"/>
    </row>
    <row r="621" spans="2:21" ht="15.75" customHeight="1" outlineLevel="1">
      <c r="B621" s="242"/>
      <c r="C621" s="353" t="s">
        <v>489</v>
      </c>
      <c r="D621" s="246"/>
      <c r="E621" s="246"/>
      <c r="F621" s="246"/>
      <c r="G621" s="167"/>
      <c r="H621" s="167"/>
      <c r="I621" s="246"/>
      <c r="J621" s="246"/>
      <c r="K621" s="246"/>
      <c r="L621" s="246"/>
      <c r="M621" s="246">
        <v>0</v>
      </c>
      <c r="N621" s="246">
        <f>M621+N628</f>
        <v>0</v>
      </c>
      <c r="O621" s="246">
        <f t="shared" si="196"/>
        <v>0</v>
      </c>
      <c r="P621" s="246">
        <f t="shared" si="196"/>
        <v>0</v>
      </c>
      <c r="Q621" s="246">
        <f t="shared" si="196"/>
        <v>0</v>
      </c>
      <c r="R621" s="246">
        <f t="shared" si="196"/>
        <v>0</v>
      </c>
      <c r="S621" s="246">
        <f t="shared" si="196"/>
        <v>0</v>
      </c>
      <c r="T621" s="168"/>
      <c r="U621" s="168"/>
    </row>
    <row r="622" spans="2:21" ht="15.75" customHeight="1" outlineLevel="1">
      <c r="B622" s="242"/>
      <c r="C622" s="353" t="s">
        <v>489</v>
      </c>
      <c r="D622" s="246"/>
      <c r="E622" s="246"/>
      <c r="F622" s="246"/>
      <c r="G622" s="167"/>
      <c r="H622" s="167"/>
      <c r="I622" s="246"/>
      <c r="J622" s="246"/>
      <c r="K622" s="246"/>
      <c r="L622" s="246"/>
      <c r="M622" s="246">
        <v>0</v>
      </c>
      <c r="N622" s="246">
        <f>M622+N629</f>
        <v>0</v>
      </c>
      <c r="O622" s="246">
        <f t="shared" si="196"/>
        <v>0</v>
      </c>
      <c r="P622" s="246">
        <f t="shared" si="196"/>
        <v>0</v>
      </c>
      <c r="Q622" s="246">
        <f t="shared" si="196"/>
        <v>0</v>
      </c>
      <c r="R622" s="246">
        <f t="shared" si="196"/>
        <v>0</v>
      </c>
      <c r="S622" s="246">
        <f t="shared" si="196"/>
        <v>0</v>
      </c>
      <c r="T622" s="168"/>
      <c r="U622" s="168"/>
    </row>
    <row r="623" spans="2:21" ht="15.75" customHeight="1" outlineLevel="1">
      <c r="B623" s="242"/>
      <c r="C623" s="215" t="s">
        <v>289</v>
      </c>
      <c r="D623" s="246"/>
      <c r="E623" s="246"/>
      <c r="F623" s="246"/>
      <c r="G623" s="167"/>
      <c r="H623" s="167"/>
      <c r="I623" s="246"/>
      <c r="J623" s="246"/>
      <c r="K623" s="246"/>
      <c r="L623" s="272"/>
      <c r="M623" s="272">
        <f>SUM(M619:M621)</f>
        <v>0</v>
      </c>
      <c r="N623" s="272">
        <f t="shared" ref="N623:S623" si="197">SUM(N619:N622)</f>
        <v>0</v>
      </c>
      <c r="O623" s="272">
        <f t="shared" si="197"/>
        <v>0</v>
      </c>
      <c r="P623" s="272">
        <f t="shared" si="197"/>
        <v>0</v>
      </c>
      <c r="Q623" s="272">
        <f t="shared" si="197"/>
        <v>0</v>
      </c>
      <c r="R623" s="272">
        <f t="shared" si="197"/>
        <v>0</v>
      </c>
      <c r="S623" s="272">
        <f t="shared" si="197"/>
        <v>0</v>
      </c>
      <c r="T623" s="168"/>
      <c r="U623" s="168"/>
    </row>
    <row r="624" spans="2:21" ht="4.5" customHeight="1" outlineLevel="1">
      <c r="B624" s="242"/>
      <c r="C624" s="254"/>
      <c r="D624" s="254"/>
      <c r="E624" s="254"/>
      <c r="F624" s="254"/>
      <c r="G624" s="167"/>
      <c r="H624" s="167"/>
      <c r="I624" s="254"/>
      <c r="J624" s="254"/>
      <c r="K624" s="254"/>
      <c r="L624" s="255"/>
      <c r="M624" s="215"/>
      <c r="N624" s="215"/>
      <c r="O624" s="215"/>
      <c r="P624" s="215"/>
      <c r="Q624" s="215"/>
      <c r="R624" s="215"/>
      <c r="S624" s="215"/>
      <c r="T624" s="168"/>
      <c r="U624" s="168"/>
    </row>
    <row r="625" spans="2:21" ht="15.75" customHeight="1" outlineLevel="1">
      <c r="B625" s="242"/>
      <c r="C625" s="215" t="s">
        <v>290</v>
      </c>
      <c r="D625" s="246"/>
      <c r="E625" s="246"/>
      <c r="F625" s="246"/>
      <c r="G625" s="167"/>
      <c r="H625" s="167"/>
      <c r="I625" s="246"/>
      <c r="J625" s="246"/>
      <c r="K625" s="246"/>
      <c r="L625" s="272"/>
      <c r="M625" s="215"/>
      <c r="N625" s="215"/>
      <c r="O625" s="215"/>
      <c r="P625" s="215"/>
      <c r="Q625" s="215"/>
      <c r="R625" s="215"/>
      <c r="S625" s="215"/>
      <c r="T625" s="168"/>
      <c r="U625" s="168"/>
    </row>
    <row r="626" spans="2:21" ht="15.75" customHeight="1" outlineLevel="1">
      <c r="B626" s="242"/>
      <c r="C626" s="353" t="s">
        <v>653</v>
      </c>
      <c r="D626" s="246"/>
      <c r="E626" s="246"/>
      <c r="F626" s="246"/>
      <c r="G626" s="167"/>
      <c r="H626" s="167"/>
      <c r="I626" s="239"/>
      <c r="J626" s="239"/>
      <c r="K626" s="239"/>
      <c r="L626" s="239"/>
      <c r="M626" s="239">
        <v>0</v>
      </c>
      <c r="N626" s="239">
        <v>0</v>
      </c>
      <c r="O626" s="239">
        <v>0</v>
      </c>
      <c r="P626" s="239">
        <v>0</v>
      </c>
      <c r="Q626" s="239">
        <v>0</v>
      </c>
      <c r="R626" s="239">
        <v>0</v>
      </c>
      <c r="S626" s="239">
        <v>0</v>
      </c>
      <c r="T626" s="168"/>
      <c r="U626" s="168"/>
    </row>
    <row r="627" spans="2:21" ht="15.75" customHeight="1" outlineLevel="1">
      <c r="B627" s="242"/>
      <c r="C627" s="353" t="s">
        <v>652</v>
      </c>
      <c r="D627" s="246"/>
      <c r="E627" s="246"/>
      <c r="F627" s="246"/>
      <c r="G627" s="167"/>
      <c r="H627" s="167"/>
      <c r="I627" s="239"/>
      <c r="J627" s="239"/>
      <c r="K627" s="239"/>
      <c r="L627" s="239"/>
      <c r="M627" s="239">
        <v>0</v>
      </c>
      <c r="N627" s="239">
        <f>-M620</f>
        <v>0</v>
      </c>
      <c r="O627" s="215">
        <v>0</v>
      </c>
      <c r="P627" s="215">
        <v>0</v>
      </c>
      <c r="Q627" s="239">
        <v>0</v>
      </c>
      <c r="R627" s="239">
        <v>0</v>
      </c>
      <c r="S627" s="239">
        <v>0</v>
      </c>
      <c r="T627" s="168"/>
      <c r="U627" s="168"/>
    </row>
    <row r="628" spans="2:21" ht="15.75" customHeight="1" outlineLevel="1">
      <c r="B628" s="242"/>
      <c r="C628" s="353" t="s">
        <v>489</v>
      </c>
      <c r="D628" s="246"/>
      <c r="E628" s="246"/>
      <c r="F628" s="246"/>
      <c r="G628" s="167"/>
      <c r="H628" s="167"/>
      <c r="I628" s="239"/>
      <c r="J628" s="239"/>
      <c r="K628" s="239"/>
      <c r="L628" s="239"/>
      <c r="M628" s="239">
        <v>0</v>
      </c>
      <c r="N628" s="239">
        <v>0</v>
      </c>
      <c r="O628" s="239">
        <v>0</v>
      </c>
      <c r="P628" s="239">
        <v>0</v>
      </c>
      <c r="Q628" s="239">
        <v>0</v>
      </c>
      <c r="R628" s="239">
        <v>0</v>
      </c>
      <c r="S628" s="239">
        <v>0</v>
      </c>
      <c r="T628" s="168"/>
      <c r="U628" s="168"/>
    </row>
    <row r="629" spans="2:21" ht="15.75" customHeight="1" outlineLevel="1">
      <c r="B629" s="242"/>
      <c r="C629" s="353" t="s">
        <v>489</v>
      </c>
      <c r="D629" s="246"/>
      <c r="E629" s="246"/>
      <c r="F629" s="246"/>
      <c r="G629" s="167"/>
      <c r="H629" s="167"/>
      <c r="I629" s="239"/>
      <c r="J629" s="239"/>
      <c r="K629" s="239"/>
      <c r="L629" s="239"/>
      <c r="M629" s="239"/>
      <c r="N629" s="239">
        <v>0</v>
      </c>
      <c r="O629" s="239">
        <v>0</v>
      </c>
      <c r="P629" s="239">
        <v>0</v>
      </c>
      <c r="Q629" s="239">
        <v>0</v>
      </c>
      <c r="R629" s="239">
        <v>0</v>
      </c>
      <c r="S629" s="239">
        <v>0</v>
      </c>
      <c r="T629" s="168"/>
      <c r="U629" s="168"/>
    </row>
    <row r="630" spans="2:21" ht="15.75" customHeight="1" outlineLevel="1">
      <c r="B630" s="242"/>
      <c r="C630" s="215" t="s">
        <v>290</v>
      </c>
      <c r="D630" s="272"/>
      <c r="E630" s="272"/>
      <c r="F630" s="272"/>
      <c r="G630" s="272"/>
      <c r="H630" s="272"/>
      <c r="I630" s="272"/>
      <c r="J630" s="272"/>
      <c r="K630" s="272"/>
      <c r="L630" s="272"/>
      <c r="M630" s="272">
        <f>SUM(M626:M628)</f>
        <v>0</v>
      </c>
      <c r="N630" s="272">
        <f t="shared" ref="N630:S630" si="198">SUM(N626:N629)</f>
        <v>0</v>
      </c>
      <c r="O630" s="272">
        <f t="shared" si="198"/>
        <v>0</v>
      </c>
      <c r="P630" s="272">
        <f t="shared" si="198"/>
        <v>0</v>
      </c>
      <c r="Q630" s="272">
        <f t="shared" si="198"/>
        <v>0</v>
      </c>
      <c r="R630" s="272">
        <f t="shared" si="198"/>
        <v>0</v>
      </c>
      <c r="S630" s="272">
        <f t="shared" si="198"/>
        <v>0</v>
      </c>
      <c r="T630" s="168"/>
      <c r="U630" s="168"/>
    </row>
    <row r="631" spans="2:21" ht="6" customHeight="1" outlineLevel="1">
      <c r="B631" s="242"/>
      <c r="C631" s="254"/>
      <c r="D631" s="254"/>
      <c r="E631" s="254"/>
      <c r="F631" s="254"/>
      <c r="G631" s="167"/>
      <c r="H631" s="167"/>
      <c r="I631" s="254"/>
      <c r="J631" s="254"/>
      <c r="K631" s="254"/>
      <c r="L631" s="255"/>
      <c r="M631" s="215"/>
      <c r="N631" s="215"/>
      <c r="O631" s="215"/>
      <c r="P631" s="215"/>
      <c r="Q631" s="215"/>
      <c r="R631" s="215"/>
      <c r="S631" s="215"/>
      <c r="T631" s="168"/>
      <c r="U631" s="168"/>
    </row>
    <row r="632" spans="2:21" ht="15.75" customHeight="1" outlineLevel="1">
      <c r="B632" s="242"/>
      <c r="C632" s="215" t="s">
        <v>291</v>
      </c>
      <c r="D632" s="246"/>
      <c r="E632" s="246"/>
      <c r="F632" s="246"/>
      <c r="G632" s="167"/>
      <c r="H632" s="167"/>
      <c r="I632" s="246"/>
      <c r="J632" s="246"/>
      <c r="K632" s="246"/>
      <c r="L632" s="246"/>
      <c r="M632" s="246">
        <f t="shared" ref="M632:R632" ca="1" si="199">M616+M630</f>
        <v>1266118.1491094148</v>
      </c>
      <c r="N632" s="246">
        <f t="shared" ca="1" si="199"/>
        <v>-9097126.2298406102</v>
      </c>
      <c r="O632" s="246">
        <f t="shared" ca="1" si="199"/>
        <v>-9505497.5558674857</v>
      </c>
      <c r="P632" s="246">
        <f t="shared" si="199"/>
        <v>0</v>
      </c>
      <c r="Q632" s="246">
        <f t="shared" si="199"/>
        <v>0</v>
      </c>
      <c r="R632" s="246">
        <f t="shared" si="199"/>
        <v>0</v>
      </c>
      <c r="S632" s="246">
        <f>S616+S630</f>
        <v>0</v>
      </c>
      <c r="T632" s="168"/>
      <c r="U632" s="168"/>
    </row>
    <row r="633" spans="2:21" ht="6.75" customHeight="1" outlineLevel="1">
      <c r="B633" s="242"/>
      <c r="C633" s="254"/>
      <c r="D633" s="258"/>
      <c r="E633" s="258"/>
      <c r="F633" s="258"/>
      <c r="G633" s="405"/>
      <c r="H633" s="405"/>
      <c r="I633" s="258"/>
      <c r="J633" s="246"/>
      <c r="K633" s="246"/>
      <c r="L633" s="246"/>
      <c r="M633" s="246"/>
      <c r="N633" s="246"/>
      <c r="O633" s="246"/>
      <c r="P633" s="246"/>
      <c r="Q633" s="246"/>
      <c r="R633" s="246"/>
      <c r="S633" s="246"/>
      <c r="T633" s="168"/>
      <c r="U633" s="168"/>
    </row>
    <row r="634" spans="2:21" ht="15.75" customHeight="1" outlineLevel="1">
      <c r="B634" s="242"/>
      <c r="C634" s="215" t="s">
        <v>292</v>
      </c>
      <c r="D634" s="258"/>
      <c r="E634" s="258"/>
      <c r="F634" s="258"/>
      <c r="G634" s="405"/>
      <c r="H634" s="405"/>
      <c r="I634" s="258"/>
      <c r="J634" s="246"/>
      <c r="K634" s="246"/>
      <c r="L634" s="246"/>
      <c r="M634" s="246"/>
      <c r="N634" s="246"/>
      <c r="O634" s="246"/>
      <c r="P634" s="246"/>
      <c r="Q634" s="246"/>
      <c r="R634" s="246"/>
      <c r="S634" s="246"/>
      <c r="T634" s="168"/>
      <c r="U634" s="168"/>
    </row>
    <row r="635" spans="2:21" ht="15.75" customHeight="1" outlineLevel="1">
      <c r="B635" s="242"/>
      <c r="C635" s="353" t="s">
        <v>320</v>
      </c>
      <c r="D635" s="272"/>
      <c r="E635" s="222"/>
      <c r="F635" s="246"/>
      <c r="G635" s="167"/>
      <c r="H635" s="167"/>
      <c r="I635" s="288"/>
      <c r="J635" s="288"/>
      <c r="K635" s="288"/>
      <c r="L635" s="288"/>
      <c r="M635" s="288">
        <v>0</v>
      </c>
      <c r="N635" s="288">
        <f t="shared" ref="N635:S635" si="200">M388</f>
        <v>0</v>
      </c>
      <c r="O635" s="288">
        <f t="shared" si="200"/>
        <v>0</v>
      </c>
      <c r="P635" s="288">
        <f t="shared" si="200"/>
        <v>0</v>
      </c>
      <c r="Q635" s="288">
        <f t="shared" si="200"/>
        <v>0</v>
      </c>
      <c r="R635" s="288">
        <f t="shared" si="200"/>
        <v>0</v>
      </c>
      <c r="S635" s="288">
        <f t="shared" si="200"/>
        <v>0</v>
      </c>
      <c r="T635" s="168"/>
      <c r="U635" s="168"/>
    </row>
    <row r="636" spans="2:21" ht="15.75" customHeight="1" outlineLevel="1">
      <c r="B636" s="242"/>
      <c r="C636" s="353" t="s">
        <v>294</v>
      </c>
      <c r="D636" s="246"/>
      <c r="E636" s="246"/>
      <c r="F636" s="246"/>
      <c r="G636" s="167"/>
      <c r="H636" s="167"/>
      <c r="I636" s="288"/>
      <c r="J636" s="288"/>
      <c r="K636" s="288"/>
      <c r="L636" s="288"/>
      <c r="M636" s="239">
        <v>0</v>
      </c>
      <c r="N636" s="288">
        <v>0</v>
      </c>
      <c r="O636" s="288">
        <v>0</v>
      </c>
      <c r="P636" s="288">
        <v>0</v>
      </c>
      <c r="Q636" s="288">
        <v>0</v>
      </c>
      <c r="R636" s="288">
        <v>0</v>
      </c>
      <c r="S636" s="288">
        <v>0</v>
      </c>
      <c r="T636" s="168"/>
      <c r="U636" s="168"/>
    </row>
    <row r="637" spans="2:21" ht="15.75" customHeight="1" outlineLevel="1">
      <c r="B637" s="242"/>
      <c r="C637" s="353" t="s">
        <v>321</v>
      </c>
      <c r="D637" s="246"/>
      <c r="E637" s="246"/>
      <c r="F637" s="246"/>
      <c r="G637" s="167"/>
      <c r="H637" s="167"/>
      <c r="I637" s="285"/>
      <c r="J637" s="285"/>
      <c r="K637" s="285"/>
      <c r="L637" s="285"/>
      <c r="M637" s="285">
        <f t="shared" ref="M637:R637" si="201">M635+M636</f>
        <v>0</v>
      </c>
      <c r="N637" s="285">
        <f t="shared" si="201"/>
        <v>0</v>
      </c>
      <c r="O637" s="285">
        <f t="shared" si="201"/>
        <v>0</v>
      </c>
      <c r="P637" s="285">
        <f t="shared" si="201"/>
        <v>0</v>
      </c>
      <c r="Q637" s="285">
        <f t="shared" si="201"/>
        <v>0</v>
      </c>
      <c r="R637" s="285">
        <f t="shared" si="201"/>
        <v>0</v>
      </c>
      <c r="S637" s="285">
        <f>S635+S636</f>
        <v>0</v>
      </c>
      <c r="T637" s="168"/>
      <c r="U637" s="168"/>
    </row>
    <row r="638" spans="2:21" ht="9" customHeight="1" outlineLevel="1">
      <c r="B638" s="242"/>
      <c r="C638" s="254"/>
      <c r="D638" s="246"/>
      <c r="E638" s="246"/>
      <c r="F638" s="246"/>
      <c r="G638" s="167"/>
      <c r="H638" s="167"/>
      <c r="I638" s="246"/>
      <c r="J638" s="246"/>
      <c r="K638" s="246"/>
      <c r="L638" s="246"/>
      <c r="M638" s="246"/>
      <c r="N638" s="246"/>
      <c r="O638" s="246"/>
      <c r="P638" s="246"/>
      <c r="Q638" s="246"/>
      <c r="R638" s="246"/>
      <c r="S638" s="246"/>
      <c r="T638" s="168"/>
      <c r="U638" s="168"/>
    </row>
    <row r="639" spans="2:21" ht="15.75" customHeight="1" outlineLevel="1">
      <c r="B639" s="242"/>
      <c r="C639" s="215" t="s">
        <v>296</v>
      </c>
      <c r="D639" s="288"/>
      <c r="E639" s="288"/>
      <c r="F639" s="288"/>
      <c r="G639" s="288"/>
      <c r="H639" s="288"/>
      <c r="I639" s="288"/>
      <c r="J639" s="288"/>
      <c r="K639" s="288"/>
      <c r="L639" s="288"/>
      <c r="M639" s="288">
        <f t="shared" ref="M639:R639" ca="1" si="202">M632+M636</f>
        <v>1266118.1491094148</v>
      </c>
      <c r="N639" s="288">
        <f t="shared" ca="1" si="202"/>
        <v>-9097126.2298406102</v>
      </c>
      <c r="O639" s="288">
        <f t="shared" ca="1" si="202"/>
        <v>-9505497.5558674857</v>
      </c>
      <c r="P639" s="288">
        <f t="shared" si="202"/>
        <v>0</v>
      </c>
      <c r="Q639" s="288">
        <f t="shared" si="202"/>
        <v>0</v>
      </c>
      <c r="R639" s="288">
        <f t="shared" si="202"/>
        <v>0</v>
      </c>
      <c r="S639" s="288">
        <f>S632+S636</f>
        <v>0</v>
      </c>
      <c r="T639" s="168"/>
      <c r="U639" s="168"/>
    </row>
    <row r="640" spans="2:21" ht="15.75" customHeight="1" outlineLevel="2">
      <c r="B640" s="242"/>
      <c r="C640" s="215"/>
      <c r="D640" s="246"/>
      <c r="E640" s="246"/>
      <c r="F640" s="246"/>
      <c r="G640" s="167"/>
      <c r="H640" s="167"/>
      <c r="I640" s="246"/>
      <c r="J640" s="246"/>
      <c r="K640" s="246"/>
      <c r="L640" s="246"/>
      <c r="M640" s="246"/>
      <c r="N640" s="246"/>
      <c r="O640" s="246"/>
      <c r="P640" s="246"/>
      <c r="Q640" s="246"/>
      <c r="R640" s="246"/>
      <c r="S640" s="246"/>
      <c r="T640" s="168"/>
      <c r="U640" s="168"/>
    </row>
    <row r="641" spans="1:21" ht="15.75" customHeight="1" outlineLevel="2">
      <c r="B641" s="242"/>
      <c r="C641" s="215" t="s">
        <v>318</v>
      </c>
      <c r="D641" s="246"/>
      <c r="E641" s="246"/>
      <c r="F641" s="246"/>
      <c r="G641" s="167"/>
      <c r="H641" s="167"/>
      <c r="I641" s="288"/>
      <c r="J641" s="288"/>
      <c r="K641" s="288"/>
      <c r="L641" s="288"/>
      <c r="M641" s="288">
        <f t="shared" ref="M641:R641" si="203">-M615</f>
        <v>225428.65638226148</v>
      </c>
      <c r="N641" s="288">
        <f t="shared" si="203"/>
        <v>1177306.7329993867</v>
      </c>
      <c r="O641" s="288">
        <f t="shared" si="203"/>
        <v>496971.52153778251</v>
      </c>
      <c r="P641" s="288">
        <f t="shared" si="203"/>
        <v>0</v>
      </c>
      <c r="Q641" s="288">
        <f t="shared" si="203"/>
        <v>0</v>
      </c>
      <c r="R641" s="288">
        <f t="shared" si="203"/>
        <v>0</v>
      </c>
      <c r="S641" s="288">
        <f>-S615</f>
        <v>0</v>
      </c>
      <c r="T641" s="168"/>
      <c r="U641" s="168"/>
    </row>
    <row r="642" spans="1:21" ht="15.75" customHeight="1" outlineLevel="2">
      <c r="B642" s="242"/>
      <c r="C642" s="215" t="s">
        <v>319</v>
      </c>
      <c r="D642" s="288"/>
      <c r="E642" s="288"/>
      <c r="F642" s="288"/>
      <c r="G642" s="288"/>
      <c r="H642" s="288"/>
      <c r="I642" s="288"/>
      <c r="J642" s="288"/>
      <c r="K642" s="288"/>
      <c r="L642" s="288"/>
      <c r="M642" s="288">
        <f t="shared" ref="M642:R642" ca="1" si="204">SUM(M639:M641)</f>
        <v>1491546.8054916763</v>
      </c>
      <c r="N642" s="288">
        <f t="shared" ca="1" si="204"/>
        <v>-7919819.4968412239</v>
      </c>
      <c r="O642" s="288">
        <f t="shared" ca="1" si="204"/>
        <v>-9008526.0343297031</v>
      </c>
      <c r="P642" s="288">
        <f t="shared" si="204"/>
        <v>0</v>
      </c>
      <c r="Q642" s="288">
        <f t="shared" si="204"/>
        <v>0</v>
      </c>
      <c r="R642" s="288">
        <f t="shared" si="204"/>
        <v>0</v>
      </c>
      <c r="S642" s="288">
        <f>SUM(S639:S641)</f>
        <v>0</v>
      </c>
      <c r="T642" s="168"/>
      <c r="U642" s="168"/>
    </row>
    <row r="643" spans="1:21" ht="15.75" customHeight="1" outlineLevel="1">
      <c r="B643" s="242"/>
      <c r="C643" s="254"/>
      <c r="D643" s="254"/>
      <c r="E643" s="254"/>
      <c r="F643" s="254"/>
      <c r="G643" s="167"/>
      <c r="H643" s="167"/>
      <c r="I643" s="254"/>
      <c r="J643" s="254"/>
      <c r="K643" s="254"/>
      <c r="L643" s="255"/>
      <c r="M643" s="215"/>
      <c r="N643" s="215"/>
      <c r="O643" s="215"/>
      <c r="P643" s="215"/>
      <c r="Q643" s="215"/>
      <c r="R643" s="215"/>
      <c r="S643" s="215"/>
      <c r="T643" s="168"/>
      <c r="U643" s="168"/>
    </row>
    <row r="644" spans="1:21" ht="15.75" customHeight="1" outlineLevel="1">
      <c r="B644" s="242"/>
      <c r="C644" s="254"/>
      <c r="D644" s="254"/>
      <c r="E644" s="254"/>
      <c r="F644" s="254"/>
      <c r="G644" s="167"/>
      <c r="H644" s="167"/>
      <c r="I644" s="254"/>
      <c r="J644" s="254"/>
      <c r="K644" s="254"/>
      <c r="L644" s="255"/>
      <c r="M644" s="215"/>
      <c r="N644" s="215"/>
      <c r="O644" s="215"/>
      <c r="P644" s="215"/>
      <c r="Q644" s="215"/>
      <c r="R644" s="215"/>
      <c r="S644" s="215"/>
      <c r="T644" s="168"/>
      <c r="U644" s="168"/>
    </row>
    <row r="645" spans="1:21" ht="15.75" customHeight="1" outlineLevel="1">
      <c r="B645" s="242"/>
      <c r="C645" s="254"/>
      <c r="D645" s="254"/>
      <c r="E645" s="254"/>
      <c r="F645" s="254"/>
      <c r="G645" s="167"/>
      <c r="H645" s="167"/>
      <c r="I645" s="254"/>
      <c r="J645" s="254"/>
      <c r="K645" s="254"/>
      <c r="L645" s="255"/>
      <c r="M645" s="215"/>
      <c r="N645" s="215"/>
      <c r="O645" s="215"/>
      <c r="P645" s="215"/>
      <c r="Q645" s="215"/>
      <c r="R645" s="215"/>
      <c r="S645" s="215"/>
      <c r="T645" s="168"/>
      <c r="U645" s="168"/>
    </row>
    <row r="646" spans="1:21" ht="15.75" customHeight="1" outlineLevel="1">
      <c r="B646" s="242"/>
      <c r="C646" s="254"/>
      <c r="D646" s="254"/>
      <c r="E646" s="254"/>
      <c r="F646" s="254"/>
      <c r="G646" s="167"/>
      <c r="H646" s="167"/>
      <c r="I646" s="254"/>
      <c r="J646" s="254"/>
      <c r="K646" s="254"/>
      <c r="L646" s="255"/>
      <c r="M646" s="215"/>
      <c r="N646" s="215"/>
      <c r="O646" s="215"/>
      <c r="P646" s="215"/>
      <c r="Q646" s="215"/>
      <c r="R646" s="215"/>
      <c r="S646" s="215"/>
      <c r="T646" s="168"/>
      <c r="U646" s="168"/>
    </row>
    <row r="647" spans="1:21" ht="15.75" customHeight="1">
      <c r="B647" s="242"/>
      <c r="C647" s="254"/>
      <c r="D647" s="254"/>
      <c r="E647" s="254"/>
      <c r="F647" s="254"/>
      <c r="G647" s="167"/>
      <c r="H647" s="167"/>
      <c r="I647" s="254"/>
      <c r="J647" s="254"/>
      <c r="K647" s="254"/>
      <c r="L647" s="255"/>
      <c r="M647" s="215"/>
      <c r="N647" s="215"/>
      <c r="O647" s="215"/>
      <c r="P647" s="215"/>
      <c r="Q647" s="215"/>
      <c r="R647" s="215"/>
      <c r="S647" s="215"/>
      <c r="T647" s="168"/>
      <c r="U647" s="168"/>
    </row>
    <row r="648" spans="1:21" ht="27" hidden="1" outlineLevel="1">
      <c r="A648" s="169">
        <v>402</v>
      </c>
      <c r="B648" s="242"/>
      <c r="C648" s="366" t="s">
        <v>432</v>
      </c>
      <c r="D648" s="168"/>
      <c r="E648" s="168"/>
      <c r="F648" s="168"/>
      <c r="G648" s="167"/>
      <c r="H648" s="167"/>
      <c r="I648" s="254"/>
      <c r="J648" s="254"/>
      <c r="K648" s="367"/>
      <c r="L648" s="368"/>
      <c r="M648" s="367"/>
      <c r="N648" s="368"/>
      <c r="O648" s="368"/>
      <c r="P648" s="368"/>
      <c r="Q648" s="368"/>
      <c r="R648" s="368"/>
      <c r="S648" s="368"/>
      <c r="T648" s="168"/>
      <c r="U648" s="168"/>
    </row>
    <row r="649" spans="1:21" ht="3" hidden="1" customHeight="1" outlineLevel="1">
      <c r="A649" s="169">
        <v>403</v>
      </c>
      <c r="B649" s="242"/>
      <c r="C649" s="229"/>
      <c r="D649" s="229"/>
      <c r="E649" s="229"/>
      <c r="F649" s="229"/>
      <c r="G649" s="300"/>
      <c r="H649" s="300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168"/>
      <c r="U649" s="168"/>
    </row>
    <row r="650" spans="1:21" ht="15.75" hidden="1" customHeight="1" outlineLevel="1">
      <c r="A650" s="169">
        <v>404</v>
      </c>
      <c r="B650" s="242"/>
      <c r="C650" s="168"/>
      <c r="D650" s="168"/>
      <c r="E650" s="168"/>
      <c r="F650" s="168"/>
      <c r="G650" s="167"/>
      <c r="H650" s="167"/>
      <c r="I650" s="254"/>
      <c r="J650" s="254"/>
      <c r="K650" s="367"/>
      <c r="L650" s="368"/>
      <c r="M650" s="367"/>
      <c r="N650" s="368"/>
      <c r="O650" s="368"/>
      <c r="P650" s="368"/>
      <c r="Q650" s="368"/>
      <c r="R650" s="368"/>
      <c r="S650" s="368"/>
      <c r="T650" s="168"/>
      <c r="U650" s="168"/>
    </row>
    <row r="651" spans="1:21" ht="15.75" hidden="1" customHeight="1" outlineLevel="1">
      <c r="A651" s="169">
        <v>405</v>
      </c>
      <c r="B651" s="242"/>
      <c r="C651" s="313" t="s">
        <v>427</v>
      </c>
      <c r="D651" s="168"/>
      <c r="E651" s="168"/>
      <c r="F651" s="168"/>
      <c r="G651" s="167"/>
      <c r="H651" s="167"/>
      <c r="I651" s="254"/>
      <c r="J651" s="230"/>
      <c r="K651" s="231"/>
      <c r="L651" s="232"/>
      <c r="M651" s="231"/>
      <c r="N651" s="232"/>
      <c r="O651" s="232"/>
      <c r="P651" s="232"/>
      <c r="Q651" s="232"/>
      <c r="R651" s="232"/>
      <c r="S651" s="232"/>
      <c r="T651" s="168"/>
      <c r="U651" s="168"/>
    </row>
    <row r="652" spans="1:21" ht="15.75" hidden="1" customHeight="1" outlineLevel="1">
      <c r="A652" s="169">
        <v>406</v>
      </c>
      <c r="B652" s="242"/>
      <c r="C652" s="348"/>
      <c r="D652" s="233"/>
      <c r="E652" s="233"/>
      <c r="F652" s="233"/>
      <c r="G652" s="338"/>
      <c r="H652" s="174">
        <v>0</v>
      </c>
      <c r="I652" s="174">
        <v>0</v>
      </c>
      <c r="J652" s="174">
        <v>1</v>
      </c>
      <c r="K652" s="174">
        <v>2</v>
      </c>
      <c r="L652" s="174">
        <f t="shared" ref="L652:M654" si="205">L285</f>
        <v>3</v>
      </c>
      <c r="M652" s="174" t="str">
        <f t="shared" si="205"/>
        <v>1 Year</v>
      </c>
      <c r="N652" s="174" t="str">
        <f t="shared" ref="N652:Q654" si="206">N285</f>
        <v>2 Year</v>
      </c>
      <c r="O652" s="174" t="str">
        <f t="shared" si="206"/>
        <v>3 Year</v>
      </c>
      <c r="P652" s="174" t="str">
        <f t="shared" si="206"/>
        <v>4 Year</v>
      </c>
      <c r="Q652" s="174" t="str">
        <f t="shared" si="206"/>
        <v>5 Year</v>
      </c>
      <c r="R652" s="174" t="str">
        <f t="shared" ref="R652:S654" si="207">R285</f>
        <v>6 Year</v>
      </c>
      <c r="S652" s="174" t="str">
        <f t="shared" si="207"/>
        <v>7 Year</v>
      </c>
      <c r="T652" s="168"/>
      <c r="U652" s="168"/>
    </row>
    <row r="653" spans="1:21" ht="15.75" hidden="1" customHeight="1" outlineLevel="1">
      <c r="B653" s="242"/>
      <c r="C653" s="349"/>
      <c r="D653" s="234"/>
      <c r="E653" s="234"/>
      <c r="F653" s="234"/>
      <c r="G653" s="325"/>
      <c r="H653" s="176"/>
      <c r="I653" s="176"/>
      <c r="J653" s="176"/>
      <c r="K653" s="176"/>
      <c r="L653" s="176"/>
      <c r="M653" s="176"/>
      <c r="N653" s="176"/>
      <c r="O653" s="176"/>
      <c r="P653" s="176"/>
      <c r="Q653" s="176"/>
      <c r="R653" s="176"/>
      <c r="S653" s="176"/>
      <c r="T653" s="168"/>
      <c r="U653" s="168"/>
    </row>
    <row r="654" spans="1:21" ht="15.75" hidden="1" customHeight="1" outlineLevel="1">
      <c r="A654" s="169">
        <v>408</v>
      </c>
      <c r="B654" s="242"/>
      <c r="C654" s="359"/>
      <c r="D654" s="260"/>
      <c r="E654" s="235"/>
      <c r="F654" s="235"/>
      <c r="G654" s="326"/>
      <c r="H654" s="213" t="s">
        <v>499</v>
      </c>
      <c r="I654" s="213" t="s">
        <v>499</v>
      </c>
      <c r="J654" s="213" t="s">
        <v>499</v>
      </c>
      <c r="K654" s="176" t="s">
        <v>499</v>
      </c>
      <c r="L654" s="176" t="str">
        <f t="shared" si="205"/>
        <v>($)</v>
      </c>
      <c r="M654" s="176" t="str">
        <f t="shared" si="205"/>
        <v>($)</v>
      </c>
      <c r="N654" s="176" t="str">
        <f t="shared" si="206"/>
        <v>($)</v>
      </c>
      <c r="O654" s="176" t="str">
        <f t="shared" si="206"/>
        <v>($)</v>
      </c>
      <c r="P654" s="176" t="str">
        <f t="shared" si="206"/>
        <v>($)</v>
      </c>
      <c r="Q654" s="176" t="str">
        <f t="shared" si="206"/>
        <v>($)</v>
      </c>
      <c r="R654" s="176" t="str">
        <f t="shared" si="207"/>
        <v>($)</v>
      </c>
      <c r="S654" s="176" t="str">
        <f t="shared" si="207"/>
        <v>($)</v>
      </c>
      <c r="T654" s="168"/>
      <c r="U654" s="168"/>
    </row>
    <row r="655" spans="1:21" ht="15.75" hidden="1" customHeight="1" outlineLevel="1">
      <c r="A655" s="169">
        <v>409</v>
      </c>
      <c r="B655" s="242"/>
      <c r="C655" s="233"/>
      <c r="D655" s="233"/>
      <c r="E655" s="233"/>
      <c r="F655" s="233"/>
      <c r="G655" s="167"/>
      <c r="H655" s="167"/>
      <c r="I655" s="233"/>
      <c r="J655" s="233"/>
      <c r="K655" s="233"/>
      <c r="L655" s="292"/>
      <c r="M655" s="233"/>
      <c r="N655" s="292"/>
      <c r="O655" s="292"/>
      <c r="P655" s="292"/>
      <c r="Q655" s="292"/>
      <c r="R655" s="292"/>
      <c r="S655" s="292"/>
      <c r="T655" s="168"/>
      <c r="U655" s="168"/>
    </row>
    <row r="656" spans="1:21" ht="15.75" hidden="1" customHeight="1" outlineLevel="1">
      <c r="A656" s="169">
        <v>410</v>
      </c>
      <c r="B656" s="242"/>
      <c r="C656" s="215" t="s">
        <v>490</v>
      </c>
      <c r="D656" s="254"/>
      <c r="E656" s="254"/>
      <c r="F656" s="254"/>
      <c r="G656" s="167"/>
      <c r="H656" s="167"/>
      <c r="I656" s="254"/>
      <c r="J656" s="254"/>
      <c r="K656" s="254"/>
      <c r="L656" s="255"/>
      <c r="M656" s="215"/>
      <c r="N656" s="215"/>
      <c r="O656" s="215"/>
      <c r="P656" s="215"/>
      <c r="Q656" s="215"/>
      <c r="R656" s="215"/>
      <c r="S656" s="215"/>
      <c r="T656" s="168"/>
      <c r="U656" s="168"/>
    </row>
    <row r="657" spans="1:21" ht="15.75" hidden="1" customHeight="1" outlineLevel="1">
      <c r="A657" s="169">
        <v>411</v>
      </c>
      <c r="B657" s="242"/>
      <c r="C657" s="353" t="s">
        <v>653</v>
      </c>
      <c r="D657" s="242"/>
      <c r="E657" s="242"/>
      <c r="F657" s="242"/>
      <c r="G657" s="167"/>
      <c r="H657" s="167"/>
      <c r="I657" s="246"/>
      <c r="J657" s="246"/>
      <c r="K657" s="246"/>
      <c r="L657" s="246"/>
      <c r="M657" s="246">
        <v>0</v>
      </c>
      <c r="N657" s="246">
        <f>AVERAGE(M619:N619)</f>
        <v>0</v>
      </c>
      <c r="O657" s="246">
        <f t="shared" ref="O657:S660" si="208">AVERAGE(N619:O619)</f>
        <v>0</v>
      </c>
      <c r="P657" s="246">
        <f t="shared" si="208"/>
        <v>0</v>
      </c>
      <c r="Q657" s="246">
        <f t="shared" si="208"/>
        <v>0</v>
      </c>
      <c r="R657" s="246">
        <f t="shared" si="208"/>
        <v>0</v>
      </c>
      <c r="S657" s="246">
        <f t="shared" si="208"/>
        <v>0</v>
      </c>
      <c r="T657" s="168"/>
      <c r="U657" s="168"/>
    </row>
    <row r="658" spans="1:21" ht="15.75" hidden="1" customHeight="1" outlineLevel="1">
      <c r="A658" s="169">
        <v>412</v>
      </c>
      <c r="B658" s="242"/>
      <c r="C658" s="353" t="s">
        <v>652</v>
      </c>
      <c r="D658" s="242"/>
      <c r="E658" s="242"/>
      <c r="F658" s="242"/>
      <c r="G658" s="167"/>
      <c r="H658" s="167"/>
      <c r="I658" s="246"/>
      <c r="J658" s="246"/>
      <c r="K658" s="246"/>
      <c r="L658" s="246"/>
      <c r="M658" s="246">
        <v>0</v>
      </c>
      <c r="N658" s="246">
        <f>AVERAGE(M620:N620)</f>
        <v>0</v>
      </c>
      <c r="O658" s="246">
        <f t="shared" si="208"/>
        <v>0</v>
      </c>
      <c r="P658" s="246">
        <f t="shared" si="208"/>
        <v>0</v>
      </c>
      <c r="Q658" s="246">
        <f t="shared" si="208"/>
        <v>0</v>
      </c>
      <c r="R658" s="246">
        <f t="shared" si="208"/>
        <v>0</v>
      </c>
      <c r="S658" s="246">
        <f t="shared" si="208"/>
        <v>0</v>
      </c>
      <c r="T658" s="168"/>
      <c r="U658" s="168"/>
    </row>
    <row r="659" spans="1:21" ht="15.75" hidden="1" customHeight="1" outlineLevel="1">
      <c r="A659" s="169">
        <v>413</v>
      </c>
      <c r="B659" s="242"/>
      <c r="C659" s="353" t="s">
        <v>489</v>
      </c>
      <c r="D659" s="242"/>
      <c r="E659" s="242"/>
      <c r="F659" s="242"/>
      <c r="G659" s="167"/>
      <c r="H659" s="167"/>
      <c r="I659" s="246"/>
      <c r="J659" s="246"/>
      <c r="K659" s="246"/>
      <c r="L659" s="246"/>
      <c r="M659" s="246">
        <f>AVERAGE(L621:M621)</f>
        <v>0</v>
      </c>
      <c r="N659" s="246">
        <f>AVERAGE(M621:N621)</f>
        <v>0</v>
      </c>
      <c r="O659" s="246">
        <f t="shared" si="208"/>
        <v>0</v>
      </c>
      <c r="P659" s="246">
        <f t="shared" si="208"/>
        <v>0</v>
      </c>
      <c r="Q659" s="246">
        <f t="shared" si="208"/>
        <v>0</v>
      </c>
      <c r="R659" s="246">
        <f t="shared" si="208"/>
        <v>0</v>
      </c>
      <c r="S659" s="246">
        <f t="shared" si="208"/>
        <v>0</v>
      </c>
      <c r="T659" s="168"/>
      <c r="U659" s="168"/>
    </row>
    <row r="660" spans="1:21" ht="15.75" hidden="1" customHeight="1" outlineLevel="1">
      <c r="B660" s="242"/>
      <c r="C660" s="353" t="s">
        <v>489</v>
      </c>
      <c r="D660" s="242"/>
      <c r="E660" s="242"/>
      <c r="F660" s="242"/>
      <c r="G660" s="167"/>
      <c r="H660" s="167"/>
      <c r="I660" s="246"/>
      <c r="J660" s="246"/>
      <c r="K660" s="246"/>
      <c r="L660" s="246"/>
      <c r="M660" s="246"/>
      <c r="N660" s="246">
        <f>AVERAGE(M622:N622)</f>
        <v>0</v>
      </c>
      <c r="O660" s="246">
        <f t="shared" si="208"/>
        <v>0</v>
      </c>
      <c r="P660" s="246">
        <f t="shared" si="208"/>
        <v>0</v>
      </c>
      <c r="Q660" s="246">
        <f t="shared" si="208"/>
        <v>0</v>
      </c>
      <c r="R660" s="246">
        <f t="shared" si="208"/>
        <v>0</v>
      </c>
      <c r="S660" s="246">
        <f t="shared" si="208"/>
        <v>0</v>
      </c>
      <c r="T660" s="168"/>
      <c r="U660" s="168"/>
    </row>
    <row r="661" spans="1:21" ht="15.75" hidden="1" customHeight="1" outlineLevel="1">
      <c r="A661" s="169">
        <v>414</v>
      </c>
      <c r="B661" s="242"/>
      <c r="C661" s="353" t="s">
        <v>392</v>
      </c>
      <c r="D661" s="242"/>
      <c r="E661" s="242"/>
      <c r="F661" s="242"/>
      <c r="G661" s="167"/>
      <c r="H661" s="167"/>
      <c r="I661" s="246"/>
      <c r="J661" s="246"/>
      <c r="K661" s="246"/>
      <c r="L661" s="246"/>
      <c r="M661" s="246">
        <v>0</v>
      </c>
      <c r="N661" s="246">
        <f t="shared" ref="N661:S661" si="209">M637</f>
        <v>0</v>
      </c>
      <c r="O661" s="246">
        <f t="shared" si="209"/>
        <v>0</v>
      </c>
      <c r="P661" s="246">
        <f t="shared" si="209"/>
        <v>0</v>
      </c>
      <c r="Q661" s="246">
        <f t="shared" si="209"/>
        <v>0</v>
      </c>
      <c r="R661" s="246">
        <f t="shared" si="209"/>
        <v>0</v>
      </c>
      <c r="S661" s="246">
        <f t="shared" si="209"/>
        <v>0</v>
      </c>
      <c r="T661" s="168"/>
      <c r="U661" s="168"/>
    </row>
    <row r="662" spans="1:21" ht="15.75" hidden="1" customHeight="1" outlineLevel="1">
      <c r="A662" s="169">
        <v>415</v>
      </c>
      <c r="B662" s="242"/>
      <c r="C662" s="353" t="s">
        <v>379</v>
      </c>
      <c r="D662" s="242"/>
      <c r="E662" s="242"/>
      <c r="F662" s="242"/>
      <c r="G662" s="167"/>
      <c r="H662" s="167"/>
      <c r="I662" s="246"/>
      <c r="J662" s="246"/>
      <c r="K662" s="246"/>
      <c r="L662" s="246"/>
      <c r="M662" s="246">
        <f t="shared" ref="M662:S662" si="210">L642</f>
        <v>0</v>
      </c>
      <c r="N662" s="246">
        <f t="shared" ca="1" si="210"/>
        <v>1491546.8054916763</v>
      </c>
      <c r="O662" s="246">
        <f ca="1">N642</f>
        <v>-7919819.4968412239</v>
      </c>
      <c r="P662" s="246"/>
      <c r="Q662" s="246">
        <f t="shared" si="210"/>
        <v>0</v>
      </c>
      <c r="R662" s="246">
        <f t="shared" si="210"/>
        <v>0</v>
      </c>
      <c r="S662" s="246">
        <f t="shared" si="210"/>
        <v>0</v>
      </c>
      <c r="T662" s="168"/>
      <c r="U662" s="168"/>
    </row>
    <row r="663" spans="1:21" ht="15.75" hidden="1" customHeight="1" outlineLevel="1">
      <c r="A663" s="169">
        <v>416</v>
      </c>
      <c r="B663" s="242"/>
      <c r="C663" s="254"/>
      <c r="D663" s="254"/>
      <c r="E663" s="254"/>
      <c r="F663" s="254"/>
      <c r="G663" s="167"/>
      <c r="H663" s="167"/>
      <c r="I663" s="254"/>
      <c r="J663" s="254"/>
      <c r="K663" s="254"/>
      <c r="L663" s="254"/>
      <c r="M663" s="254"/>
      <c r="N663" s="254"/>
      <c r="O663" s="254"/>
      <c r="P663" s="254"/>
      <c r="Q663" s="254"/>
      <c r="R663" s="254"/>
      <c r="S663" s="254"/>
      <c r="T663" s="168"/>
      <c r="U663" s="168"/>
    </row>
    <row r="664" spans="1:21" ht="15.75" hidden="1" customHeight="1" outlineLevel="1">
      <c r="A664" s="169">
        <v>417</v>
      </c>
      <c r="B664" s="242"/>
      <c r="C664" s="215" t="s">
        <v>428</v>
      </c>
      <c r="D664" s="242"/>
      <c r="E664" s="242"/>
      <c r="F664" s="242"/>
      <c r="G664" s="167"/>
      <c r="H664" s="167"/>
      <c r="I664" s="242"/>
      <c r="J664" s="242"/>
      <c r="K664" s="242"/>
      <c r="L664" s="249"/>
      <c r="M664" s="249"/>
      <c r="N664" s="249"/>
      <c r="O664" s="249"/>
      <c r="P664" s="249"/>
      <c r="Q664" s="249"/>
      <c r="R664" s="249"/>
      <c r="S664" s="249"/>
      <c r="T664" s="168"/>
      <c r="U664" s="168"/>
    </row>
    <row r="665" spans="1:21" ht="15.75" hidden="1" customHeight="1" outlineLevel="1">
      <c r="A665" s="169">
        <v>418</v>
      </c>
      <c r="B665" s="242"/>
      <c r="C665" s="353" t="s">
        <v>653</v>
      </c>
      <c r="D665" s="242"/>
      <c r="E665" s="242"/>
      <c r="F665" s="242"/>
      <c r="G665" s="167"/>
      <c r="H665" s="167"/>
      <c r="I665" s="318"/>
      <c r="J665" s="293"/>
      <c r="K665" s="293"/>
      <c r="L665" s="293"/>
      <c r="M665" s="293">
        <f>L665</f>
        <v>0</v>
      </c>
      <c r="N665" s="293">
        <v>7.0000000000000007E-2</v>
      </c>
      <c r="O665" s="293">
        <f t="shared" ref="O665:O670" si="211">N665</f>
        <v>7.0000000000000007E-2</v>
      </c>
      <c r="P665" s="293"/>
      <c r="Q665" s="293"/>
      <c r="R665" s="293"/>
      <c r="S665" s="293"/>
      <c r="T665" s="168"/>
      <c r="U665" s="168"/>
    </row>
    <row r="666" spans="1:21" ht="15.75" hidden="1" customHeight="1" outlineLevel="1">
      <c r="A666" s="169">
        <v>419</v>
      </c>
      <c r="B666" s="242"/>
      <c r="C666" s="353" t="s">
        <v>652</v>
      </c>
      <c r="D666" s="242"/>
      <c r="E666" s="242"/>
      <c r="F666" s="242"/>
      <c r="G666" s="167"/>
      <c r="H666" s="167"/>
      <c r="I666" s="293"/>
      <c r="J666" s="293"/>
      <c r="K666" s="293"/>
      <c r="L666" s="293"/>
      <c r="M666" s="243">
        <f>'Control list'!G15+0.035</f>
        <v>4.1000000000000002E-2</v>
      </c>
      <c r="N666" s="293">
        <f>M666</f>
        <v>4.1000000000000002E-2</v>
      </c>
      <c r="O666" s="293">
        <f t="shared" si="211"/>
        <v>4.1000000000000002E-2</v>
      </c>
      <c r="P666" s="293"/>
      <c r="Q666" s="293"/>
      <c r="R666" s="293"/>
      <c r="S666" s="293"/>
      <c r="T666" s="168"/>
      <c r="U666" s="168"/>
    </row>
    <row r="667" spans="1:21" ht="15.75" hidden="1" customHeight="1" outlineLevel="1">
      <c r="A667" s="169">
        <v>420</v>
      </c>
      <c r="B667" s="242"/>
      <c r="C667" s="353" t="s">
        <v>489</v>
      </c>
      <c r="D667" s="242"/>
      <c r="E667" s="242"/>
      <c r="F667" s="242"/>
      <c r="G667" s="167"/>
      <c r="H667" s="167"/>
      <c r="I667" s="293"/>
      <c r="J667" s="293"/>
      <c r="K667" s="243"/>
      <c r="L667" s="243"/>
      <c r="M667" s="243">
        <f>10%</f>
        <v>0.1</v>
      </c>
      <c r="N667" s="243">
        <v>0.12</v>
      </c>
      <c r="O667" s="243">
        <f t="shared" si="211"/>
        <v>0.12</v>
      </c>
      <c r="P667" s="243"/>
      <c r="Q667" s="243"/>
      <c r="R667" s="243"/>
      <c r="S667" s="243"/>
      <c r="T667" s="168"/>
      <c r="U667" s="168"/>
    </row>
    <row r="668" spans="1:21" ht="15.75" hidden="1" customHeight="1" outlineLevel="1">
      <c r="B668" s="242"/>
      <c r="C668" s="353" t="s">
        <v>489</v>
      </c>
      <c r="D668" s="242"/>
      <c r="E668" s="242"/>
      <c r="F668" s="242"/>
      <c r="G668" s="167"/>
      <c r="H668" s="167"/>
      <c r="I668" s="293"/>
      <c r="J668" s="293"/>
      <c r="K668" s="243"/>
      <c r="L668" s="243"/>
      <c r="M668" s="243"/>
      <c r="N668" s="243">
        <v>0.1</v>
      </c>
      <c r="O668" s="243">
        <v>0.1</v>
      </c>
      <c r="P668" s="243"/>
      <c r="Q668" s="243"/>
      <c r="R668" s="243"/>
      <c r="S668" s="243"/>
      <c r="T668" s="168"/>
      <c r="U668" s="168"/>
    </row>
    <row r="669" spans="1:21" ht="15.75" hidden="1" customHeight="1" outlineLevel="1">
      <c r="A669" s="169">
        <v>421</v>
      </c>
      <c r="B669" s="242"/>
      <c r="C669" s="353" t="s">
        <v>392</v>
      </c>
      <c r="D669" s="242"/>
      <c r="E669" s="242"/>
      <c r="F669" s="242"/>
      <c r="G669" s="167"/>
      <c r="H669" s="167"/>
      <c r="I669" s="243"/>
      <c r="J669" s="243"/>
      <c r="K669" s="243"/>
      <c r="L669" s="293"/>
      <c r="M669" s="293">
        <f>10%</f>
        <v>0.1</v>
      </c>
      <c r="N669" s="293">
        <f>M669</f>
        <v>0.1</v>
      </c>
      <c r="O669" s="293">
        <f t="shared" si="211"/>
        <v>0.1</v>
      </c>
      <c r="P669" s="293"/>
      <c r="Q669" s="293"/>
      <c r="R669" s="293"/>
      <c r="S669" s="293"/>
      <c r="T669" s="168"/>
      <c r="U669" s="168"/>
    </row>
    <row r="670" spans="1:21" ht="15.75" hidden="1" customHeight="1" outlineLevel="1">
      <c r="A670" s="169">
        <v>422</v>
      </c>
      <c r="B670" s="242"/>
      <c r="C670" s="353" t="s">
        <v>379</v>
      </c>
      <c r="D670" s="242"/>
      <c r="E670" s="242"/>
      <c r="F670" s="242"/>
      <c r="G670" s="167"/>
      <c r="H670" s="167"/>
      <c r="I670" s="243"/>
      <c r="J670" s="243"/>
      <c r="K670" s="243"/>
      <c r="L670" s="243"/>
      <c r="M670" s="243">
        <f>L670</f>
        <v>0</v>
      </c>
      <c r="N670" s="243">
        <f>M670</f>
        <v>0</v>
      </c>
      <c r="O670" s="243">
        <f t="shared" si="211"/>
        <v>0</v>
      </c>
      <c r="P670" s="243"/>
      <c r="Q670" s="243"/>
      <c r="R670" s="243"/>
      <c r="S670" s="243"/>
      <c r="T670" s="168"/>
      <c r="U670" s="168"/>
    </row>
    <row r="671" spans="1:21" ht="15.75" hidden="1" customHeight="1" outlineLevel="1">
      <c r="A671" s="169">
        <v>423</v>
      </c>
      <c r="B671" s="242"/>
      <c r="C671" s="254"/>
      <c r="D671" s="254"/>
      <c r="E671" s="254"/>
      <c r="F671" s="254"/>
      <c r="G671" s="167"/>
      <c r="H671" s="167"/>
      <c r="I671" s="254"/>
      <c r="J671" s="254"/>
      <c r="K671" s="254"/>
      <c r="L671" s="254"/>
      <c r="M671" s="254"/>
      <c r="N671" s="254"/>
      <c r="O671" s="254"/>
      <c r="P671" s="254"/>
      <c r="Q671" s="254"/>
      <c r="R671" s="254"/>
      <c r="S671" s="254"/>
      <c r="T671" s="168"/>
      <c r="U671" s="168"/>
    </row>
    <row r="672" spans="1:21" ht="15.75" hidden="1" customHeight="1" outlineLevel="1">
      <c r="A672" s="169">
        <v>424</v>
      </c>
      <c r="B672" s="242"/>
      <c r="C672" s="215" t="s">
        <v>491</v>
      </c>
      <c r="D672" s="242"/>
      <c r="E672" s="242"/>
      <c r="F672" s="242"/>
      <c r="G672" s="167"/>
      <c r="H672" s="167"/>
      <c r="I672" s="242"/>
      <c r="J672" s="726"/>
      <c r="K672" s="294"/>
      <c r="L672" s="294"/>
      <c r="M672" s="294"/>
      <c r="N672" s="294"/>
      <c r="O672" s="294"/>
      <c r="P672" s="294"/>
      <c r="Q672" s="294"/>
      <c r="R672" s="294"/>
      <c r="S672" s="294"/>
      <c r="T672" s="168"/>
      <c r="U672" s="168"/>
    </row>
    <row r="673" spans="1:21" ht="15.75" hidden="1" customHeight="1" outlineLevel="1">
      <c r="A673" s="169">
        <v>425</v>
      </c>
      <c r="B673" s="242"/>
      <c r="C673" s="353" t="s">
        <v>653</v>
      </c>
      <c r="D673" s="242"/>
      <c r="E673" s="242"/>
      <c r="F673" s="242"/>
      <c r="G673" s="167"/>
      <c r="H673" s="167"/>
      <c r="I673" s="239"/>
      <c r="J673" s="239"/>
      <c r="K673" s="239"/>
      <c r="L673" s="239"/>
      <c r="M673" s="239">
        <f>M657*M665</f>
        <v>0</v>
      </c>
      <c r="N673" s="239">
        <f>N657*N665</f>
        <v>0</v>
      </c>
      <c r="O673" s="239">
        <f t="shared" ref="N673:R677" si="212">O657*O665</f>
        <v>0</v>
      </c>
      <c r="P673" s="239">
        <f t="shared" si="212"/>
        <v>0</v>
      </c>
      <c r="Q673" s="239">
        <f t="shared" si="212"/>
        <v>0</v>
      </c>
      <c r="R673" s="239">
        <f t="shared" si="212"/>
        <v>0</v>
      </c>
      <c r="S673" s="239">
        <f>S657*S665</f>
        <v>0</v>
      </c>
      <c r="T673" s="168"/>
      <c r="U673" s="168"/>
    </row>
    <row r="674" spans="1:21" ht="15.75" hidden="1" customHeight="1" outlineLevel="1">
      <c r="A674" s="169">
        <v>426</v>
      </c>
      <c r="B674" s="242"/>
      <c r="C674" s="353" t="s">
        <v>652</v>
      </c>
      <c r="D674" s="242"/>
      <c r="E674" s="242"/>
      <c r="F674" s="242"/>
      <c r="G674" s="167"/>
      <c r="H674" s="167"/>
      <c r="I674" s="239"/>
      <c r="J674" s="239"/>
      <c r="K674" s="239"/>
      <c r="L674" s="239"/>
      <c r="M674" s="239">
        <f>M658*M666</f>
        <v>0</v>
      </c>
      <c r="N674" s="239">
        <f t="shared" si="212"/>
        <v>0</v>
      </c>
      <c r="O674" s="239">
        <f t="shared" si="212"/>
        <v>0</v>
      </c>
      <c r="P674" s="239">
        <f t="shared" si="212"/>
        <v>0</v>
      </c>
      <c r="Q674" s="239">
        <f t="shared" si="212"/>
        <v>0</v>
      </c>
      <c r="R674" s="239">
        <f t="shared" si="212"/>
        <v>0</v>
      </c>
      <c r="S674" s="239">
        <f>S658*S666</f>
        <v>0</v>
      </c>
      <c r="T674" s="168"/>
      <c r="U674" s="168"/>
    </row>
    <row r="675" spans="1:21" ht="15.75" hidden="1" customHeight="1" outlineLevel="1">
      <c r="A675" s="169">
        <v>427</v>
      </c>
      <c r="B675" s="242"/>
      <c r="C675" s="353" t="s">
        <v>489</v>
      </c>
      <c r="D675" s="242"/>
      <c r="E675" s="242"/>
      <c r="F675" s="242"/>
      <c r="G675" s="167"/>
      <c r="H675" s="167"/>
      <c r="I675" s="239"/>
      <c r="J675" s="239"/>
      <c r="K675" s="239"/>
      <c r="L675" s="239"/>
      <c r="M675" s="239">
        <f>M659*M667</f>
        <v>0</v>
      </c>
      <c r="N675" s="239">
        <f t="shared" si="212"/>
        <v>0</v>
      </c>
      <c r="O675" s="239">
        <f t="shared" si="212"/>
        <v>0</v>
      </c>
      <c r="P675" s="239">
        <f t="shared" si="212"/>
        <v>0</v>
      </c>
      <c r="Q675" s="239">
        <f t="shared" si="212"/>
        <v>0</v>
      </c>
      <c r="R675" s="239">
        <f t="shared" si="212"/>
        <v>0</v>
      </c>
      <c r="S675" s="239">
        <f>S659*S667</f>
        <v>0</v>
      </c>
      <c r="T675" s="168"/>
      <c r="U675" s="168"/>
    </row>
    <row r="676" spans="1:21" ht="15.75" hidden="1" customHeight="1" outlineLevel="1">
      <c r="B676" s="242"/>
      <c r="C676" s="353" t="s">
        <v>489</v>
      </c>
      <c r="D676" s="242"/>
      <c r="E676" s="242"/>
      <c r="F676" s="242"/>
      <c r="G676" s="167"/>
      <c r="H676" s="167"/>
      <c r="I676" s="239"/>
      <c r="J676" s="239"/>
      <c r="K676" s="239"/>
      <c r="L676" s="239"/>
      <c r="M676" s="239"/>
      <c r="N676" s="239">
        <f t="shared" si="212"/>
        <v>0</v>
      </c>
      <c r="O676" s="239">
        <f t="shared" si="212"/>
        <v>0</v>
      </c>
      <c r="P676" s="239">
        <f t="shared" si="212"/>
        <v>0</v>
      </c>
      <c r="Q676" s="239">
        <f t="shared" si="212"/>
        <v>0</v>
      </c>
      <c r="R676" s="239">
        <f t="shared" si="212"/>
        <v>0</v>
      </c>
      <c r="S676" s="239">
        <f>S660*S668</f>
        <v>0</v>
      </c>
      <c r="T676" s="168"/>
      <c r="U676" s="168"/>
    </row>
    <row r="677" spans="1:21" ht="15.75" hidden="1" customHeight="1" outlineLevel="1">
      <c r="A677" s="169">
        <v>428</v>
      </c>
      <c r="B677" s="242"/>
      <c r="C677" s="353" t="s">
        <v>392</v>
      </c>
      <c r="D677" s="242"/>
      <c r="E677" s="242"/>
      <c r="F677" s="242"/>
      <c r="G677" s="167"/>
      <c r="H677" s="167"/>
      <c r="I677" s="239"/>
      <c r="J677" s="239"/>
      <c r="K677" s="239"/>
      <c r="L677" s="239"/>
      <c r="M677" s="239">
        <f>M661*M669</f>
        <v>0</v>
      </c>
      <c r="N677" s="239">
        <f t="shared" si="212"/>
        <v>0</v>
      </c>
      <c r="O677" s="239">
        <f t="shared" si="212"/>
        <v>0</v>
      </c>
      <c r="P677" s="239">
        <f t="shared" si="212"/>
        <v>0</v>
      </c>
      <c r="Q677" s="239">
        <f t="shared" si="212"/>
        <v>0</v>
      </c>
      <c r="R677" s="239">
        <f t="shared" si="212"/>
        <v>0</v>
      </c>
      <c r="S677" s="239">
        <f>S661*S669</f>
        <v>0</v>
      </c>
      <c r="T677" s="168"/>
      <c r="U677" s="168"/>
    </row>
    <row r="678" spans="1:21" ht="15.75" hidden="1" customHeight="1" outlineLevel="1">
      <c r="A678" s="169">
        <v>429</v>
      </c>
      <c r="B678" s="242"/>
      <c r="C678" s="353" t="s">
        <v>492</v>
      </c>
      <c r="D678" s="242"/>
      <c r="E678" s="242"/>
      <c r="F678" s="242"/>
      <c r="G678" s="167"/>
      <c r="H678" s="167"/>
      <c r="I678" s="246"/>
      <c r="J678" s="246"/>
      <c r="K678" s="246"/>
      <c r="L678" s="246"/>
      <c r="M678" s="246">
        <f t="shared" ref="M678:S678" si="213">SUM(M673:M677)</f>
        <v>0</v>
      </c>
      <c r="N678" s="246">
        <f t="shared" si="213"/>
        <v>0</v>
      </c>
      <c r="O678" s="246">
        <f t="shared" si="213"/>
        <v>0</v>
      </c>
      <c r="P678" s="246">
        <f t="shared" si="213"/>
        <v>0</v>
      </c>
      <c r="Q678" s="246">
        <f t="shared" si="213"/>
        <v>0</v>
      </c>
      <c r="R678" s="246">
        <f t="shared" si="213"/>
        <v>0</v>
      </c>
      <c r="S678" s="246">
        <f t="shared" si="213"/>
        <v>0</v>
      </c>
      <c r="T678" s="168"/>
      <c r="U678" s="168"/>
    </row>
    <row r="679" spans="1:21" ht="15.75" hidden="1" customHeight="1" outlineLevel="1">
      <c r="A679" s="169">
        <v>430</v>
      </c>
      <c r="B679" s="242"/>
      <c r="C679" s="254"/>
      <c r="D679" s="254"/>
      <c r="E679" s="254"/>
      <c r="F679" s="254"/>
      <c r="G679" s="167"/>
      <c r="H679" s="167"/>
      <c r="I679" s="254"/>
      <c r="J679" s="254"/>
      <c r="K679" s="254"/>
      <c r="L679" s="254"/>
      <c r="M679" s="254"/>
      <c r="N679" s="254"/>
      <c r="O679" s="254"/>
      <c r="P679" s="254"/>
      <c r="Q679" s="254"/>
      <c r="R679" s="254"/>
      <c r="S679" s="254"/>
      <c r="T679" s="168"/>
      <c r="U679" s="168"/>
    </row>
    <row r="680" spans="1:21" ht="15.75" hidden="1" customHeight="1" outlineLevel="1">
      <c r="A680" s="169">
        <v>431</v>
      </c>
      <c r="B680" s="242"/>
      <c r="C680" s="356" t="s">
        <v>493</v>
      </c>
      <c r="D680" s="242"/>
      <c r="E680" s="242"/>
      <c r="F680" s="242"/>
      <c r="G680" s="167"/>
      <c r="H680" s="167"/>
      <c r="I680" s="239"/>
      <c r="J680" s="239"/>
      <c r="K680" s="239"/>
      <c r="L680" s="239"/>
      <c r="M680" s="239">
        <v>0</v>
      </c>
      <c r="N680" s="239">
        <v>0</v>
      </c>
      <c r="O680" s="239">
        <f>N680</f>
        <v>0</v>
      </c>
      <c r="P680" s="239">
        <f>O680</f>
        <v>0</v>
      </c>
      <c r="Q680" s="239">
        <f>P680</f>
        <v>0</v>
      </c>
      <c r="R680" s="239">
        <f>Q680</f>
        <v>0</v>
      </c>
      <c r="S680" s="239">
        <f>R680</f>
        <v>0</v>
      </c>
      <c r="T680" s="168"/>
      <c r="U680" s="168"/>
    </row>
    <row r="681" spans="1:21" ht="15.75" hidden="1" customHeight="1" outlineLevel="1">
      <c r="A681" s="169">
        <v>432</v>
      </c>
      <c r="B681" s="242"/>
      <c r="C681" s="254"/>
      <c r="D681" s="254"/>
      <c r="E681" s="254"/>
      <c r="F681" s="254"/>
      <c r="G681" s="167"/>
      <c r="H681" s="167"/>
      <c r="I681" s="254"/>
      <c r="J681" s="254"/>
      <c r="K681" s="254"/>
      <c r="L681" s="254"/>
      <c r="M681" s="254"/>
      <c r="N681" s="254"/>
      <c r="O681" s="254"/>
      <c r="P681" s="254"/>
      <c r="Q681" s="254"/>
      <c r="R681" s="254"/>
      <c r="S681" s="254"/>
      <c r="T681" s="168"/>
      <c r="U681" s="168"/>
    </row>
    <row r="682" spans="1:21" ht="15.75" hidden="1" customHeight="1" outlineLevel="1">
      <c r="A682" s="169">
        <v>433</v>
      </c>
      <c r="B682" s="242"/>
      <c r="C682" s="356" t="s">
        <v>429</v>
      </c>
      <c r="D682" s="242"/>
      <c r="E682" s="242"/>
      <c r="F682" s="242"/>
      <c r="G682" s="167"/>
      <c r="H682" s="167"/>
      <c r="I682" s="246"/>
      <c r="J682" s="246"/>
      <c r="K682" s="246"/>
      <c r="L682" s="246"/>
      <c r="M682" s="246">
        <f t="shared" ref="M682:R682" si="214">M678+M680</f>
        <v>0</v>
      </c>
      <c r="N682" s="246">
        <f t="shared" si="214"/>
        <v>0</v>
      </c>
      <c r="O682" s="246">
        <f t="shared" si="214"/>
        <v>0</v>
      </c>
      <c r="P682" s="246">
        <f t="shared" si="214"/>
        <v>0</v>
      </c>
      <c r="Q682" s="246">
        <f t="shared" si="214"/>
        <v>0</v>
      </c>
      <c r="R682" s="246">
        <f t="shared" si="214"/>
        <v>0</v>
      </c>
      <c r="S682" s="246">
        <f>S678+S680</f>
        <v>0</v>
      </c>
      <c r="T682" s="168"/>
      <c r="U682" s="168"/>
    </row>
    <row r="683" spans="1:21" ht="15.75" hidden="1" customHeight="1" outlineLevel="1">
      <c r="A683" s="169">
        <v>434</v>
      </c>
      <c r="B683" s="242"/>
      <c r="C683" s="254"/>
      <c r="D683" s="242"/>
      <c r="E683" s="242"/>
      <c r="F683" s="242"/>
      <c r="G683" s="167"/>
      <c r="H683" s="167"/>
      <c r="I683" s="242"/>
      <c r="J683" s="242"/>
      <c r="K683" s="249"/>
      <c r="L683" s="249"/>
      <c r="M683" s="249"/>
      <c r="N683" s="249"/>
      <c r="O683" s="249"/>
      <c r="P683" s="249"/>
      <c r="Q683" s="249"/>
      <c r="R683" s="249"/>
      <c r="S683" s="249"/>
      <c r="T683" s="168"/>
      <c r="U683" s="168"/>
    </row>
    <row r="684" spans="1:21" ht="15.75" hidden="1" customHeight="1" outlineLevel="1">
      <c r="A684" s="169">
        <v>435</v>
      </c>
      <c r="B684" s="242"/>
      <c r="C684" s="215" t="s">
        <v>430</v>
      </c>
      <c r="D684" s="242"/>
      <c r="E684" s="242"/>
      <c r="F684" s="242"/>
      <c r="G684" s="167"/>
      <c r="H684" s="167"/>
      <c r="I684" s="239"/>
      <c r="J684" s="239"/>
      <c r="K684" s="239"/>
      <c r="L684" s="239"/>
      <c r="M684" s="239">
        <f t="shared" ref="M684:R684" si="215">M662*M670</f>
        <v>0</v>
      </c>
      <c r="N684" s="239">
        <f t="shared" ca="1" si="215"/>
        <v>0</v>
      </c>
      <c r="O684" s="239">
        <f t="shared" ca="1" si="215"/>
        <v>0</v>
      </c>
      <c r="P684" s="239">
        <f t="shared" si="215"/>
        <v>0</v>
      </c>
      <c r="Q684" s="239">
        <f t="shared" si="215"/>
        <v>0</v>
      </c>
      <c r="R684" s="239">
        <f t="shared" si="215"/>
        <v>0</v>
      </c>
      <c r="S684" s="239">
        <f>S662*S670</f>
        <v>0</v>
      </c>
      <c r="T684" s="168"/>
      <c r="U684" s="168"/>
    </row>
    <row r="685" spans="1:21" ht="15.75" hidden="1" customHeight="1" outlineLevel="1">
      <c r="A685" s="169">
        <v>436</v>
      </c>
      <c r="B685" s="242"/>
      <c r="C685" s="215" t="s">
        <v>494</v>
      </c>
      <c r="D685" s="242"/>
      <c r="E685" s="242"/>
      <c r="F685" s="242"/>
      <c r="G685" s="167"/>
      <c r="H685" s="167"/>
      <c r="I685" s="239"/>
      <c r="J685" s="239"/>
      <c r="K685" s="239"/>
      <c r="L685" s="239"/>
      <c r="M685" s="239">
        <f t="shared" ref="M685:S685" si="216">L685</f>
        <v>0</v>
      </c>
      <c r="N685" s="239">
        <f t="shared" si="216"/>
        <v>0</v>
      </c>
      <c r="O685" s="239">
        <f t="shared" si="216"/>
        <v>0</v>
      </c>
      <c r="P685" s="239">
        <f t="shared" si="216"/>
        <v>0</v>
      </c>
      <c r="Q685" s="239">
        <f t="shared" si="216"/>
        <v>0</v>
      </c>
      <c r="R685" s="239">
        <f t="shared" si="216"/>
        <v>0</v>
      </c>
      <c r="S685" s="239">
        <f t="shared" si="216"/>
        <v>0</v>
      </c>
      <c r="T685" s="168"/>
      <c r="U685" s="168"/>
    </row>
    <row r="686" spans="1:21" ht="15.75" hidden="1" customHeight="1" outlineLevel="1">
      <c r="A686" s="169">
        <v>437</v>
      </c>
      <c r="B686" s="242"/>
      <c r="C686" s="356" t="s">
        <v>495</v>
      </c>
      <c r="D686" s="242"/>
      <c r="E686" s="242"/>
      <c r="F686" s="242"/>
      <c r="G686" s="167"/>
      <c r="H686" s="167"/>
      <c r="I686" s="246"/>
      <c r="J686" s="246"/>
      <c r="K686" s="246"/>
      <c r="L686" s="246"/>
      <c r="M686" s="246">
        <f t="shared" ref="M686:R686" si="217">SUM(M684:M685)</f>
        <v>0</v>
      </c>
      <c r="N686" s="246">
        <f t="shared" ca="1" si="217"/>
        <v>0</v>
      </c>
      <c r="O686" s="246">
        <f t="shared" ca="1" si="217"/>
        <v>0</v>
      </c>
      <c r="P686" s="246">
        <f t="shared" si="217"/>
        <v>0</v>
      </c>
      <c r="Q686" s="246">
        <f t="shared" si="217"/>
        <v>0</v>
      </c>
      <c r="R686" s="246">
        <f t="shared" si="217"/>
        <v>0</v>
      </c>
      <c r="S686" s="246">
        <f>SUM(S684:S685)</f>
        <v>0</v>
      </c>
      <c r="T686" s="168"/>
      <c r="U686" s="168"/>
    </row>
    <row r="687" spans="1:21" ht="15.75" hidden="1" customHeight="1" outlineLevel="1">
      <c r="A687" s="169">
        <v>438</v>
      </c>
      <c r="B687" s="242"/>
      <c r="C687" s="254"/>
      <c r="D687" s="254"/>
      <c r="E687" s="254"/>
      <c r="F687" s="254"/>
      <c r="G687" s="167"/>
      <c r="H687" s="167"/>
      <c r="I687" s="254"/>
      <c r="J687" s="254"/>
      <c r="K687" s="254"/>
      <c r="L687" s="254"/>
      <c r="M687" s="215"/>
      <c r="N687" s="215"/>
      <c r="O687" s="215"/>
      <c r="P687" s="215"/>
      <c r="Q687" s="215"/>
      <c r="R687" s="215"/>
      <c r="S687" s="215"/>
      <c r="T687" s="168"/>
      <c r="U687" s="168"/>
    </row>
    <row r="688" spans="1:21" ht="15.75" hidden="1" customHeight="1" outlineLevel="1">
      <c r="A688" s="169">
        <v>439</v>
      </c>
      <c r="B688" s="242"/>
      <c r="C688" s="254"/>
      <c r="D688" s="254"/>
      <c r="E688" s="254"/>
      <c r="F688" s="254"/>
      <c r="G688" s="167"/>
      <c r="H688" s="167"/>
      <c r="I688" s="254"/>
      <c r="J688" s="254"/>
      <c r="K688" s="254"/>
      <c r="L688" s="255"/>
      <c r="M688" s="215"/>
      <c r="N688" s="215"/>
      <c r="O688" s="215"/>
      <c r="P688" s="215"/>
      <c r="Q688" s="215"/>
      <c r="R688" s="215"/>
      <c r="S688" s="215"/>
      <c r="T688" s="168"/>
      <c r="U688" s="168"/>
    </row>
    <row r="689" spans="2:21" hidden="1" outlineLevel="1">
      <c r="B689" s="168"/>
      <c r="C689" s="601"/>
      <c r="D689" s="168"/>
      <c r="E689" s="168"/>
      <c r="F689" s="168"/>
      <c r="G689" s="167"/>
      <c r="H689" s="167"/>
      <c r="J689" s="168"/>
      <c r="K689" s="168"/>
      <c r="M689" s="321"/>
      <c r="N689" s="321"/>
      <c r="O689" s="321"/>
      <c r="P689" s="321"/>
      <c r="Q689" s="321"/>
      <c r="R689" s="321"/>
      <c r="S689" s="321"/>
      <c r="T689" s="168"/>
      <c r="U689" s="168"/>
    </row>
    <row r="690" spans="2:21" collapsed="1">
      <c r="B690" s="168"/>
      <c r="C690" s="601"/>
      <c r="D690" s="168"/>
      <c r="E690" s="168"/>
      <c r="F690" s="168"/>
      <c r="G690" s="167"/>
      <c r="H690" s="167"/>
      <c r="J690" s="168"/>
      <c r="K690" s="168"/>
      <c r="M690" s="321"/>
      <c r="N690" s="321"/>
      <c r="O690" s="321"/>
      <c r="P690" s="321"/>
      <c r="Q690" s="321"/>
      <c r="R690" s="321"/>
      <c r="S690" s="321"/>
      <c r="T690" s="168"/>
      <c r="U690" s="168"/>
    </row>
    <row r="691" spans="2:21">
      <c r="B691" s="168"/>
      <c r="C691" s="601"/>
      <c r="D691" s="168"/>
      <c r="E691" s="168"/>
      <c r="F691" s="168"/>
      <c r="G691" s="167"/>
      <c r="H691" s="167"/>
      <c r="J691" s="168"/>
      <c r="K691" s="168"/>
      <c r="M691" s="168"/>
      <c r="N691" s="168"/>
      <c r="O691" s="168"/>
      <c r="P691" s="168"/>
      <c r="Q691" s="168"/>
      <c r="R691" s="168"/>
      <c r="S691" s="168"/>
      <c r="T691" s="168"/>
      <c r="U691" s="168"/>
    </row>
    <row r="692" spans="2:21">
      <c r="B692" s="168"/>
      <c r="C692" s="601"/>
      <c r="D692" s="168"/>
      <c r="E692" s="168"/>
      <c r="F692" s="168"/>
      <c r="G692" s="167"/>
      <c r="H692" s="167"/>
      <c r="J692" s="168"/>
      <c r="K692" s="168"/>
      <c r="M692" s="168"/>
      <c r="N692" s="168"/>
      <c r="O692" s="168"/>
      <c r="P692" s="168"/>
      <c r="Q692" s="168"/>
      <c r="R692" s="168"/>
      <c r="S692" s="168"/>
      <c r="T692" s="168"/>
      <c r="U692" s="168"/>
    </row>
    <row r="693" spans="2:21">
      <c r="B693" s="168"/>
      <c r="C693" s="601"/>
      <c r="D693" s="168"/>
      <c r="E693" s="168"/>
      <c r="F693" s="168"/>
      <c r="G693" s="167"/>
      <c r="H693" s="167"/>
      <c r="J693" s="168"/>
      <c r="K693" s="168"/>
      <c r="M693" s="168"/>
      <c r="N693" s="168"/>
      <c r="O693" s="168"/>
      <c r="P693" s="168"/>
      <c r="Q693" s="168"/>
      <c r="R693" s="168"/>
      <c r="S693" s="168"/>
      <c r="T693" s="168"/>
      <c r="U693" s="168"/>
    </row>
    <row r="694" spans="2:21">
      <c r="B694" s="168"/>
      <c r="C694" s="601"/>
      <c r="D694" s="168"/>
      <c r="E694" s="168"/>
      <c r="F694" s="168"/>
      <c r="G694" s="167"/>
      <c r="H694" s="167"/>
      <c r="J694" s="168"/>
      <c r="K694" s="168"/>
      <c r="M694" s="168"/>
      <c r="N694" s="168"/>
      <c r="O694" s="168"/>
      <c r="P694" s="168"/>
      <c r="Q694" s="168"/>
      <c r="R694" s="168"/>
      <c r="S694" s="168"/>
      <c r="T694" s="168"/>
      <c r="U694" s="168"/>
    </row>
    <row r="695" spans="2:21">
      <c r="B695" s="168"/>
      <c r="C695" s="601"/>
      <c r="D695" s="168"/>
      <c r="E695" s="168"/>
      <c r="F695" s="168"/>
      <c r="G695" s="167"/>
      <c r="H695" s="167"/>
      <c r="J695" s="168"/>
      <c r="K695" s="168"/>
      <c r="M695" s="168"/>
      <c r="N695" s="168"/>
      <c r="O695" s="168"/>
      <c r="P695" s="168"/>
      <c r="Q695" s="168"/>
      <c r="R695" s="168"/>
      <c r="S695" s="168"/>
      <c r="T695" s="168"/>
      <c r="U695" s="168"/>
    </row>
    <row r="696" spans="2:21">
      <c r="B696" s="168"/>
      <c r="C696" s="601"/>
      <c r="D696" s="168"/>
      <c r="E696" s="168"/>
      <c r="F696" s="168"/>
      <c r="G696" s="167"/>
      <c r="H696" s="167"/>
      <c r="J696" s="168"/>
      <c r="K696" s="168"/>
      <c r="M696" s="168"/>
      <c r="N696" s="168"/>
      <c r="O696" s="168"/>
      <c r="P696" s="168"/>
      <c r="Q696" s="168"/>
      <c r="R696" s="168"/>
      <c r="S696" s="168"/>
      <c r="T696" s="168"/>
      <c r="U696" s="168"/>
    </row>
    <row r="697" spans="2:21">
      <c r="B697" s="168"/>
      <c r="C697" s="601"/>
      <c r="D697" s="168"/>
      <c r="E697" s="168"/>
      <c r="F697" s="168"/>
      <c r="G697" s="167"/>
      <c r="H697" s="167"/>
      <c r="J697" s="168"/>
      <c r="K697" s="168"/>
      <c r="M697" s="168"/>
      <c r="N697" s="168"/>
      <c r="O697" s="168"/>
      <c r="P697" s="168"/>
      <c r="Q697" s="168"/>
      <c r="R697" s="168"/>
      <c r="S697" s="168"/>
      <c r="T697" s="168"/>
      <c r="U697" s="168"/>
    </row>
    <row r="698" spans="2:21">
      <c r="B698" s="168"/>
      <c r="C698" s="601"/>
      <c r="D698" s="168"/>
      <c r="E698" s="168"/>
      <c r="F698" s="168"/>
      <c r="G698" s="167"/>
      <c r="H698" s="167"/>
      <c r="J698" s="168"/>
      <c r="K698" s="168"/>
      <c r="M698" s="168"/>
      <c r="N698" s="168"/>
      <c r="O698" s="168"/>
      <c r="P698" s="168"/>
      <c r="Q698" s="168"/>
      <c r="R698" s="168"/>
      <c r="S698" s="168"/>
      <c r="T698" s="168"/>
      <c r="U698" s="168"/>
    </row>
    <row r="699" spans="2:21">
      <c r="B699" s="168"/>
      <c r="C699" s="601"/>
      <c r="D699" s="168"/>
      <c r="E699" s="168"/>
      <c r="F699" s="168"/>
      <c r="G699" s="167"/>
      <c r="H699" s="167"/>
      <c r="J699" s="168"/>
      <c r="K699" s="168"/>
      <c r="M699" s="168"/>
      <c r="N699" s="168"/>
      <c r="O699" s="168"/>
      <c r="P699" s="168"/>
      <c r="Q699" s="168"/>
      <c r="R699" s="168"/>
      <c r="S699" s="168"/>
      <c r="T699" s="168"/>
      <c r="U699" s="168"/>
    </row>
    <row r="700" spans="2:21">
      <c r="B700" s="168"/>
      <c r="C700" s="601"/>
      <c r="D700" s="168"/>
      <c r="E700" s="168"/>
      <c r="F700" s="168"/>
      <c r="G700" s="167"/>
      <c r="H700" s="167"/>
      <c r="J700" s="168"/>
      <c r="K700" s="168"/>
      <c r="M700" s="168"/>
      <c r="N700" s="168"/>
      <c r="O700" s="168"/>
      <c r="P700" s="168"/>
      <c r="Q700" s="168"/>
      <c r="R700" s="168"/>
      <c r="S700" s="168"/>
      <c r="T700" s="168"/>
      <c r="U700" s="168"/>
    </row>
    <row r="701" spans="2:21">
      <c r="B701" s="168"/>
      <c r="C701" s="601"/>
      <c r="D701" s="168"/>
      <c r="E701" s="168"/>
      <c r="F701" s="168"/>
      <c r="G701" s="167"/>
      <c r="H701" s="167"/>
      <c r="J701" s="168"/>
      <c r="K701" s="168"/>
      <c r="M701" s="168"/>
      <c r="N701" s="168"/>
      <c r="O701" s="168"/>
      <c r="P701" s="168"/>
      <c r="Q701" s="168"/>
      <c r="R701" s="168"/>
      <c r="S701" s="168"/>
      <c r="T701" s="168"/>
      <c r="U701" s="168"/>
    </row>
    <row r="702" spans="2:21">
      <c r="B702" s="168"/>
      <c r="C702" s="601"/>
      <c r="D702" s="168"/>
      <c r="E702" s="168"/>
      <c r="F702" s="168"/>
      <c r="G702" s="167"/>
      <c r="H702" s="167"/>
      <c r="J702" s="168"/>
      <c r="K702" s="168"/>
      <c r="M702" s="168"/>
      <c r="N702" s="168"/>
      <c r="O702" s="168"/>
      <c r="P702" s="168"/>
      <c r="Q702" s="168"/>
      <c r="R702" s="168"/>
      <c r="S702" s="168"/>
      <c r="T702" s="168"/>
      <c r="U702" s="168"/>
    </row>
    <row r="703" spans="2:21">
      <c r="B703" s="168"/>
      <c r="C703" s="601"/>
      <c r="D703" s="168"/>
      <c r="E703" s="168"/>
      <c r="F703" s="168"/>
      <c r="G703" s="167"/>
      <c r="H703" s="167"/>
      <c r="J703" s="168"/>
      <c r="K703" s="168"/>
      <c r="M703" s="168"/>
      <c r="N703" s="168"/>
      <c r="O703" s="168"/>
      <c r="P703" s="168"/>
      <c r="Q703" s="168"/>
      <c r="R703" s="168"/>
      <c r="S703" s="168"/>
      <c r="T703" s="168"/>
      <c r="U703" s="168"/>
    </row>
    <row r="704" spans="2:21">
      <c r="B704" s="168"/>
      <c r="C704" s="601"/>
      <c r="D704" s="168"/>
      <c r="E704" s="168"/>
      <c r="F704" s="168"/>
      <c r="G704" s="167"/>
      <c r="H704" s="167"/>
      <c r="J704" s="168"/>
      <c r="K704" s="168"/>
      <c r="M704" s="168"/>
      <c r="N704" s="168"/>
      <c r="O704" s="168"/>
      <c r="P704" s="168"/>
      <c r="Q704" s="168"/>
      <c r="R704" s="168"/>
      <c r="S704" s="168"/>
      <c r="T704" s="168"/>
      <c r="U704" s="168"/>
    </row>
    <row r="705" spans="2:21">
      <c r="B705" s="168"/>
      <c r="C705" s="601"/>
      <c r="D705" s="168"/>
      <c r="E705" s="168"/>
      <c r="F705" s="168"/>
      <c r="G705" s="167"/>
      <c r="H705" s="167"/>
      <c r="J705" s="168"/>
      <c r="K705" s="168"/>
      <c r="M705" s="168"/>
      <c r="N705" s="168"/>
      <c r="O705" s="168"/>
      <c r="P705" s="168"/>
      <c r="Q705" s="168"/>
      <c r="R705" s="168"/>
      <c r="S705" s="168"/>
      <c r="T705" s="168"/>
      <c r="U705" s="168"/>
    </row>
    <row r="706" spans="2:21">
      <c r="B706" s="168"/>
      <c r="C706" s="601"/>
      <c r="D706" s="168"/>
      <c r="E706" s="168"/>
      <c r="F706" s="168"/>
      <c r="G706" s="167"/>
      <c r="H706" s="167"/>
      <c r="J706" s="168"/>
      <c r="K706" s="168"/>
      <c r="M706" s="168"/>
      <c r="N706" s="168"/>
      <c r="O706" s="168"/>
      <c r="P706" s="168"/>
      <c r="Q706" s="168"/>
      <c r="R706" s="168"/>
      <c r="S706" s="168"/>
      <c r="T706" s="168"/>
      <c r="U706" s="168"/>
    </row>
    <row r="707" spans="2:21">
      <c r="B707" s="168"/>
      <c r="C707" s="601"/>
      <c r="D707" s="168"/>
      <c r="E707" s="168"/>
      <c r="F707" s="168"/>
      <c r="G707" s="167"/>
      <c r="H707" s="167"/>
      <c r="J707" s="168"/>
      <c r="K707" s="168"/>
      <c r="M707" s="168"/>
      <c r="N707" s="168"/>
      <c r="O707" s="168"/>
      <c r="P707" s="168"/>
      <c r="Q707" s="168"/>
      <c r="R707" s="168"/>
      <c r="S707" s="168"/>
      <c r="T707" s="168"/>
      <c r="U707" s="168"/>
    </row>
    <row r="708" spans="2:21">
      <c r="B708" s="168"/>
      <c r="C708" s="601"/>
      <c r="D708" s="168"/>
      <c r="E708" s="168"/>
      <c r="F708" s="168"/>
      <c r="G708" s="167"/>
      <c r="H708" s="167"/>
      <c r="J708" s="168"/>
      <c r="K708" s="168"/>
      <c r="M708" s="168"/>
      <c r="N708" s="168"/>
      <c r="O708" s="168"/>
      <c r="P708" s="168"/>
      <c r="Q708" s="168"/>
      <c r="R708" s="168"/>
      <c r="S708" s="168"/>
      <c r="T708" s="168"/>
      <c r="U708" s="168"/>
    </row>
    <row r="709" spans="2:21">
      <c r="B709" s="168"/>
      <c r="C709" s="601"/>
      <c r="D709" s="168"/>
      <c r="E709" s="168"/>
      <c r="F709" s="168"/>
      <c r="G709" s="167"/>
      <c r="H709" s="167"/>
      <c r="J709" s="168"/>
      <c r="K709" s="168"/>
      <c r="M709" s="168"/>
      <c r="N709" s="168"/>
      <c r="O709" s="168"/>
      <c r="P709" s="168"/>
      <c r="Q709" s="168"/>
      <c r="R709" s="168"/>
      <c r="S709" s="168"/>
      <c r="T709" s="168"/>
      <c r="U709" s="168"/>
    </row>
    <row r="710" spans="2:21">
      <c r="B710" s="168"/>
      <c r="C710" s="601"/>
      <c r="D710" s="168"/>
      <c r="E710" s="168"/>
      <c r="F710" s="168"/>
      <c r="G710" s="167"/>
      <c r="H710" s="167"/>
      <c r="J710" s="168"/>
      <c r="K710" s="168"/>
      <c r="M710" s="168"/>
      <c r="N710" s="168"/>
      <c r="O710" s="168"/>
      <c r="P710" s="168"/>
      <c r="Q710" s="168"/>
      <c r="R710" s="168"/>
      <c r="S710" s="168"/>
      <c r="T710" s="168"/>
      <c r="U710" s="168"/>
    </row>
    <row r="711" spans="2:21">
      <c r="B711" s="168"/>
      <c r="C711" s="601"/>
      <c r="D711" s="168"/>
      <c r="E711" s="168"/>
      <c r="F711" s="168"/>
      <c r="G711" s="167"/>
      <c r="H711" s="167"/>
      <c r="J711" s="168"/>
      <c r="K711" s="168"/>
      <c r="M711" s="168"/>
      <c r="N711" s="168"/>
      <c r="O711" s="168"/>
      <c r="P711" s="168"/>
      <c r="Q711" s="168"/>
      <c r="R711" s="168"/>
      <c r="S711" s="168"/>
      <c r="T711" s="168"/>
      <c r="U711" s="168"/>
    </row>
    <row r="712" spans="2:21">
      <c r="B712" s="168"/>
      <c r="C712" s="601"/>
      <c r="D712" s="168"/>
      <c r="E712" s="168"/>
      <c r="F712" s="168"/>
      <c r="G712" s="167"/>
      <c r="H712" s="167"/>
      <c r="J712" s="168"/>
      <c r="K712" s="168"/>
      <c r="M712" s="168"/>
      <c r="N712" s="168"/>
      <c r="O712" s="168"/>
      <c r="P712" s="168"/>
      <c r="Q712" s="168"/>
      <c r="R712" s="168"/>
      <c r="S712" s="168"/>
      <c r="T712" s="168"/>
      <c r="U712" s="168"/>
    </row>
    <row r="713" spans="2:21">
      <c r="B713" s="168"/>
      <c r="C713" s="601"/>
      <c r="D713" s="168"/>
      <c r="E713" s="168"/>
      <c r="F713" s="168"/>
      <c r="G713" s="167"/>
      <c r="H713" s="167"/>
      <c r="J713" s="168"/>
      <c r="K713" s="168"/>
      <c r="M713" s="168"/>
      <c r="N713" s="168"/>
      <c r="O713" s="168"/>
      <c r="P713" s="168"/>
      <c r="Q713" s="168"/>
      <c r="R713" s="168"/>
      <c r="S713" s="168"/>
      <c r="T713" s="168"/>
      <c r="U713" s="168"/>
    </row>
    <row r="714" spans="2:21">
      <c r="B714" s="168"/>
      <c r="C714" s="601"/>
      <c r="D714" s="168"/>
      <c r="E714" s="168"/>
      <c r="F714" s="168"/>
      <c r="G714" s="167"/>
      <c r="H714" s="167"/>
      <c r="J714" s="168"/>
      <c r="K714" s="168"/>
      <c r="M714" s="168"/>
      <c r="N714" s="168"/>
      <c r="O714" s="168"/>
      <c r="P714" s="168"/>
      <c r="Q714" s="168"/>
      <c r="R714" s="168"/>
      <c r="S714" s="168"/>
      <c r="T714" s="168"/>
      <c r="U714" s="168"/>
    </row>
    <row r="715" spans="2:21">
      <c r="B715" s="168"/>
      <c r="C715" s="601"/>
      <c r="D715" s="168"/>
      <c r="E715" s="168"/>
      <c r="F715" s="168"/>
      <c r="G715" s="167"/>
      <c r="H715" s="167"/>
      <c r="J715" s="168"/>
      <c r="K715" s="168"/>
      <c r="M715" s="168"/>
      <c r="N715" s="168"/>
      <c r="O715" s="168"/>
      <c r="P715" s="168"/>
      <c r="Q715" s="168"/>
      <c r="R715" s="168"/>
      <c r="S715" s="168"/>
      <c r="T715" s="168"/>
      <c r="U715" s="168"/>
    </row>
    <row r="716" spans="2:21">
      <c r="B716" s="168"/>
      <c r="C716" s="601"/>
      <c r="D716" s="168"/>
      <c r="E716" s="168"/>
      <c r="F716" s="168"/>
      <c r="G716" s="167"/>
      <c r="H716" s="167"/>
      <c r="J716" s="168"/>
      <c r="K716" s="168"/>
      <c r="M716" s="168"/>
      <c r="N716" s="168"/>
      <c r="O716" s="168"/>
      <c r="P716" s="168"/>
      <c r="Q716" s="168"/>
      <c r="R716" s="168"/>
      <c r="S716" s="168"/>
      <c r="T716" s="168"/>
      <c r="U716" s="168"/>
    </row>
    <row r="717" spans="2:21">
      <c r="B717" s="168"/>
      <c r="C717" s="601"/>
      <c r="D717" s="168"/>
      <c r="E717" s="168"/>
      <c r="F717" s="168"/>
      <c r="G717" s="167"/>
      <c r="H717" s="167"/>
      <c r="J717" s="168"/>
      <c r="K717" s="168"/>
      <c r="M717" s="168"/>
      <c r="N717" s="168"/>
      <c r="O717" s="168"/>
      <c r="P717" s="168"/>
      <c r="Q717" s="168"/>
      <c r="R717" s="168"/>
      <c r="S717" s="168"/>
      <c r="T717" s="168"/>
      <c r="U717" s="168"/>
    </row>
    <row r="718" spans="2:21">
      <c r="B718" s="168"/>
      <c r="C718" s="601"/>
      <c r="D718" s="168"/>
      <c r="E718" s="168"/>
      <c r="F718" s="168"/>
      <c r="G718" s="167"/>
      <c r="H718" s="167"/>
      <c r="J718" s="168"/>
      <c r="K718" s="168"/>
      <c r="M718" s="168"/>
      <c r="N718" s="168"/>
      <c r="O718" s="168"/>
      <c r="P718" s="168"/>
      <c r="Q718" s="168"/>
      <c r="R718" s="168"/>
      <c r="S718" s="168"/>
      <c r="T718" s="168"/>
      <c r="U718" s="168"/>
    </row>
    <row r="719" spans="2:21">
      <c r="B719" s="168"/>
      <c r="C719" s="601"/>
      <c r="D719" s="168"/>
      <c r="E719" s="168"/>
      <c r="F719" s="168"/>
      <c r="G719" s="167"/>
      <c r="H719" s="167"/>
      <c r="J719" s="168"/>
      <c r="K719" s="168"/>
      <c r="M719" s="168"/>
      <c r="N719" s="168"/>
      <c r="O719" s="168"/>
      <c r="P719" s="168"/>
      <c r="Q719" s="168"/>
      <c r="R719" s="168"/>
      <c r="S719" s="168"/>
      <c r="T719" s="168"/>
      <c r="U719" s="168"/>
    </row>
    <row r="720" spans="2:21">
      <c r="B720" s="168"/>
      <c r="C720" s="601"/>
      <c r="D720" s="168"/>
      <c r="E720" s="168"/>
      <c r="F720" s="168"/>
      <c r="G720" s="167"/>
      <c r="H720" s="167"/>
      <c r="J720" s="168"/>
      <c r="K720" s="168"/>
      <c r="M720" s="168"/>
      <c r="N720" s="168"/>
      <c r="O720" s="168"/>
      <c r="P720" s="168"/>
      <c r="Q720" s="168"/>
      <c r="R720" s="168"/>
      <c r="S720" s="168"/>
      <c r="T720" s="168"/>
      <c r="U720" s="168"/>
    </row>
    <row r="721" spans="2:21">
      <c r="B721" s="168"/>
      <c r="C721" s="601"/>
      <c r="D721" s="168"/>
      <c r="E721" s="168"/>
      <c r="F721" s="168"/>
      <c r="G721" s="167"/>
      <c r="H721" s="167"/>
      <c r="J721" s="168"/>
      <c r="K721" s="168"/>
      <c r="M721" s="168"/>
      <c r="N721" s="168"/>
      <c r="O721" s="168"/>
      <c r="P721" s="168"/>
      <c r="Q721" s="168"/>
      <c r="R721" s="168"/>
      <c r="S721" s="168"/>
      <c r="T721" s="168"/>
      <c r="U721" s="168"/>
    </row>
    <row r="722" spans="2:21">
      <c r="B722" s="168"/>
      <c r="C722" s="601"/>
      <c r="D722" s="168"/>
      <c r="E722" s="168"/>
      <c r="F722" s="168"/>
      <c r="G722" s="167"/>
      <c r="H722" s="167"/>
      <c r="J722" s="168"/>
      <c r="K722" s="168"/>
      <c r="M722" s="168"/>
      <c r="N722" s="168"/>
      <c r="O722" s="168"/>
      <c r="P722" s="168"/>
      <c r="Q722" s="168"/>
      <c r="R722" s="168"/>
      <c r="S722" s="168"/>
      <c r="T722" s="168"/>
      <c r="U722" s="168"/>
    </row>
    <row r="723" spans="2:21">
      <c r="B723" s="168"/>
      <c r="C723" s="601"/>
      <c r="D723" s="168"/>
      <c r="E723" s="168"/>
      <c r="F723" s="168"/>
      <c r="G723" s="167"/>
      <c r="H723" s="167"/>
      <c r="J723" s="168"/>
      <c r="K723" s="168"/>
      <c r="M723" s="168"/>
      <c r="N723" s="168"/>
      <c r="O723" s="168"/>
      <c r="P723" s="168"/>
      <c r="Q723" s="168"/>
      <c r="R723" s="168"/>
      <c r="S723" s="168"/>
      <c r="T723" s="168"/>
      <c r="U723" s="168"/>
    </row>
    <row r="724" spans="2:21">
      <c r="B724" s="168"/>
      <c r="C724" s="601"/>
      <c r="D724" s="168"/>
      <c r="E724" s="168"/>
      <c r="F724" s="168"/>
      <c r="G724" s="167"/>
      <c r="H724" s="167"/>
      <c r="J724" s="168"/>
      <c r="K724" s="168"/>
      <c r="M724" s="168"/>
      <c r="N724" s="168"/>
      <c r="O724" s="168"/>
      <c r="P724" s="168"/>
      <c r="Q724" s="168"/>
      <c r="R724" s="168"/>
      <c r="S724" s="168"/>
      <c r="T724" s="168"/>
      <c r="U724" s="168"/>
    </row>
    <row r="725" spans="2:21">
      <c r="B725" s="168"/>
      <c r="C725" s="601"/>
      <c r="D725" s="168"/>
      <c r="E725" s="168"/>
      <c r="F725" s="168"/>
      <c r="G725" s="167"/>
      <c r="H725" s="167"/>
      <c r="J725" s="168"/>
      <c r="K725" s="168"/>
      <c r="M725" s="168"/>
      <c r="N725" s="168"/>
      <c r="O725" s="168"/>
      <c r="P725" s="168"/>
      <c r="Q725" s="168"/>
      <c r="R725" s="168"/>
      <c r="S725" s="168"/>
      <c r="T725" s="168"/>
      <c r="U725" s="168"/>
    </row>
    <row r="726" spans="2:21">
      <c r="B726" s="168"/>
      <c r="C726" s="601"/>
      <c r="D726" s="168"/>
      <c r="E726" s="168"/>
      <c r="F726" s="168"/>
      <c r="G726" s="167"/>
      <c r="H726" s="167"/>
      <c r="J726" s="168"/>
      <c r="K726" s="168"/>
      <c r="M726" s="168"/>
      <c r="N726" s="168"/>
      <c r="O726" s="168"/>
      <c r="P726" s="168"/>
      <c r="Q726" s="168"/>
      <c r="R726" s="168"/>
      <c r="S726" s="168"/>
      <c r="T726" s="168"/>
      <c r="U726" s="168"/>
    </row>
    <row r="727" spans="2:21">
      <c r="B727" s="168"/>
      <c r="C727" s="601"/>
      <c r="D727" s="168"/>
      <c r="E727" s="168"/>
      <c r="F727" s="168"/>
      <c r="G727" s="167"/>
      <c r="H727" s="167"/>
      <c r="J727" s="168"/>
      <c r="K727" s="168"/>
      <c r="M727" s="168"/>
      <c r="N727" s="168"/>
      <c r="O727" s="168"/>
      <c r="P727" s="168"/>
      <c r="Q727" s="168"/>
      <c r="R727" s="168"/>
      <c r="S727" s="168"/>
      <c r="T727" s="168"/>
      <c r="U727" s="168"/>
    </row>
    <row r="728" spans="2:21">
      <c r="B728" s="168"/>
      <c r="C728" s="601"/>
      <c r="D728" s="168"/>
      <c r="E728" s="168"/>
      <c r="F728" s="168"/>
      <c r="G728" s="167"/>
      <c r="H728" s="167"/>
      <c r="J728" s="168"/>
      <c r="K728" s="168"/>
      <c r="M728" s="168"/>
      <c r="N728" s="168"/>
      <c r="O728" s="168"/>
      <c r="P728" s="168"/>
      <c r="Q728" s="168"/>
      <c r="R728" s="168"/>
      <c r="S728" s="168"/>
      <c r="T728" s="168"/>
      <c r="U728" s="168"/>
    </row>
    <row r="729" spans="2:21">
      <c r="B729" s="168"/>
      <c r="C729" s="601"/>
      <c r="D729" s="168"/>
      <c r="E729" s="168"/>
      <c r="F729" s="168"/>
      <c r="G729" s="167"/>
      <c r="H729" s="167"/>
      <c r="J729" s="168"/>
      <c r="K729" s="168"/>
      <c r="M729" s="168"/>
      <c r="N729" s="168"/>
      <c r="O729" s="168"/>
      <c r="P729" s="168"/>
      <c r="Q729" s="168"/>
      <c r="R729" s="168"/>
      <c r="S729" s="168"/>
      <c r="T729" s="168"/>
      <c r="U729" s="168"/>
    </row>
    <row r="730" spans="2:21">
      <c r="B730" s="168"/>
      <c r="C730" s="601"/>
      <c r="D730" s="168"/>
      <c r="E730" s="168"/>
      <c r="F730" s="168"/>
      <c r="G730" s="167"/>
      <c r="H730" s="167"/>
      <c r="J730" s="168"/>
      <c r="K730" s="168"/>
      <c r="M730" s="168"/>
      <c r="N730" s="168"/>
      <c r="O730" s="168"/>
      <c r="P730" s="168"/>
      <c r="Q730" s="168"/>
      <c r="R730" s="168"/>
      <c r="S730" s="168"/>
      <c r="T730" s="168"/>
      <c r="U730" s="168"/>
    </row>
    <row r="731" spans="2:21">
      <c r="B731" s="168"/>
      <c r="C731" s="601"/>
      <c r="D731" s="168"/>
      <c r="E731" s="168"/>
      <c r="F731" s="168"/>
      <c r="G731" s="167"/>
      <c r="H731" s="167"/>
      <c r="J731" s="168"/>
      <c r="K731" s="168"/>
      <c r="M731" s="168"/>
      <c r="N731" s="168"/>
      <c r="O731" s="168"/>
      <c r="P731" s="168"/>
      <c r="Q731" s="168"/>
      <c r="R731" s="168"/>
      <c r="S731" s="168"/>
      <c r="T731" s="168"/>
      <c r="U731" s="168"/>
    </row>
    <row r="732" spans="2:21">
      <c r="B732" s="168"/>
      <c r="C732" s="601"/>
      <c r="D732" s="168"/>
      <c r="E732" s="168"/>
      <c r="F732" s="168"/>
      <c r="G732" s="167"/>
      <c r="H732" s="167"/>
      <c r="J732" s="168"/>
      <c r="K732" s="168"/>
      <c r="M732" s="168"/>
      <c r="N732" s="168"/>
      <c r="O732" s="168"/>
      <c r="P732" s="168"/>
      <c r="Q732" s="168"/>
      <c r="R732" s="168"/>
      <c r="S732" s="168"/>
      <c r="T732" s="168"/>
      <c r="U732" s="168"/>
    </row>
    <row r="733" spans="2:21">
      <c r="B733" s="168"/>
      <c r="C733" s="601"/>
      <c r="D733" s="168"/>
      <c r="E733" s="168"/>
      <c r="F733" s="168"/>
      <c r="G733" s="167"/>
      <c r="H733" s="167"/>
      <c r="J733" s="168"/>
      <c r="K733" s="168"/>
      <c r="M733" s="168"/>
      <c r="N733" s="168"/>
      <c r="O733" s="168"/>
      <c r="P733" s="168"/>
      <c r="Q733" s="168"/>
      <c r="R733" s="168"/>
      <c r="S733" s="168"/>
      <c r="T733" s="168"/>
      <c r="U733" s="168"/>
    </row>
    <row r="734" spans="2:21">
      <c r="B734" s="168"/>
      <c r="C734" s="601"/>
      <c r="D734" s="168"/>
      <c r="E734" s="168"/>
      <c r="F734" s="168"/>
      <c r="G734" s="167"/>
      <c r="H734" s="167"/>
      <c r="J734" s="168"/>
      <c r="K734" s="168"/>
      <c r="M734" s="168"/>
      <c r="N734" s="168"/>
      <c r="O734" s="168"/>
      <c r="P734" s="168"/>
      <c r="Q734" s="168"/>
      <c r="R734" s="168"/>
      <c r="S734" s="168"/>
      <c r="T734" s="168"/>
      <c r="U734" s="168"/>
    </row>
    <row r="735" spans="2:21">
      <c r="B735" s="168"/>
      <c r="C735" s="601"/>
      <c r="D735" s="168"/>
      <c r="E735" s="168"/>
      <c r="F735" s="168"/>
      <c r="G735" s="167"/>
      <c r="H735" s="167"/>
      <c r="J735" s="168"/>
      <c r="K735" s="168"/>
      <c r="M735" s="168"/>
      <c r="N735" s="168"/>
      <c r="O735" s="168"/>
      <c r="P735" s="168"/>
      <c r="Q735" s="168"/>
      <c r="R735" s="168"/>
      <c r="S735" s="168"/>
      <c r="T735" s="168"/>
      <c r="U735" s="168"/>
    </row>
    <row r="736" spans="2:21">
      <c r="B736" s="168"/>
      <c r="C736" s="601"/>
      <c r="D736" s="168"/>
      <c r="E736" s="168"/>
      <c r="F736" s="168"/>
      <c r="G736" s="167"/>
      <c r="H736" s="167"/>
      <c r="J736" s="168"/>
      <c r="K736" s="168"/>
      <c r="M736" s="168"/>
      <c r="N736" s="168"/>
      <c r="O736" s="168"/>
      <c r="P736" s="168"/>
      <c r="Q736" s="168"/>
      <c r="R736" s="168"/>
      <c r="S736" s="168"/>
      <c r="T736" s="168"/>
      <c r="U736" s="168"/>
    </row>
    <row r="737" spans="2:21">
      <c r="B737" s="168"/>
      <c r="C737" s="601"/>
      <c r="D737" s="168"/>
      <c r="E737" s="168"/>
      <c r="F737" s="168"/>
      <c r="G737" s="167"/>
      <c r="H737" s="167"/>
      <c r="J737" s="168"/>
      <c r="K737" s="168"/>
      <c r="M737" s="168"/>
      <c r="N737" s="168"/>
      <c r="O737" s="168"/>
      <c r="P737" s="168"/>
      <c r="Q737" s="168"/>
      <c r="R737" s="168"/>
      <c r="S737" s="168"/>
      <c r="T737" s="168"/>
      <c r="U737" s="168"/>
    </row>
    <row r="738" spans="2:21">
      <c r="B738" s="168"/>
      <c r="C738" s="601"/>
      <c r="D738" s="168"/>
      <c r="E738" s="168"/>
      <c r="F738" s="168"/>
      <c r="G738" s="167"/>
      <c r="H738" s="167"/>
      <c r="J738" s="168"/>
      <c r="K738" s="168"/>
      <c r="M738" s="168"/>
      <c r="N738" s="168"/>
      <c r="O738" s="168"/>
      <c r="P738" s="168"/>
      <c r="Q738" s="168"/>
      <c r="R738" s="168"/>
      <c r="S738" s="168"/>
      <c r="T738" s="168"/>
      <c r="U738" s="168"/>
    </row>
    <row r="739" spans="2:21">
      <c r="B739" s="168"/>
      <c r="C739" s="601"/>
      <c r="D739" s="168"/>
      <c r="E739" s="168"/>
      <c r="F739" s="168"/>
      <c r="G739" s="167"/>
      <c r="H739" s="167"/>
      <c r="J739" s="168"/>
      <c r="K739" s="168"/>
      <c r="M739" s="168"/>
      <c r="N739" s="168"/>
      <c r="O739" s="168"/>
      <c r="P739" s="168"/>
      <c r="Q739" s="168"/>
      <c r="R739" s="168"/>
      <c r="S739" s="168"/>
      <c r="T739" s="168"/>
      <c r="U739" s="168"/>
    </row>
    <row r="740" spans="2:21">
      <c r="B740" s="168"/>
      <c r="C740" s="601"/>
      <c r="D740" s="168"/>
      <c r="E740" s="168"/>
      <c r="F740" s="168"/>
      <c r="G740" s="167"/>
      <c r="H740" s="167"/>
      <c r="J740" s="168"/>
      <c r="K740" s="168"/>
      <c r="M740" s="168"/>
      <c r="N740" s="168"/>
      <c r="O740" s="168"/>
      <c r="P740" s="168"/>
      <c r="Q740" s="168"/>
      <c r="R740" s="168"/>
      <c r="S740" s="168"/>
      <c r="T740" s="168"/>
      <c r="U740" s="168"/>
    </row>
    <row r="741" spans="2:21">
      <c r="B741" s="168"/>
      <c r="C741" s="601"/>
      <c r="D741" s="168"/>
      <c r="E741" s="168"/>
      <c r="F741" s="168"/>
      <c r="G741" s="167"/>
      <c r="H741" s="167"/>
      <c r="J741" s="168"/>
      <c r="K741" s="168"/>
      <c r="M741" s="168"/>
      <c r="N741" s="168"/>
      <c r="O741" s="168"/>
      <c r="P741" s="168"/>
      <c r="Q741" s="168"/>
      <c r="R741" s="168"/>
      <c r="S741" s="168"/>
      <c r="T741" s="168"/>
      <c r="U741" s="168"/>
    </row>
    <row r="742" spans="2:21">
      <c r="B742" s="168"/>
      <c r="C742" s="601"/>
      <c r="D742" s="168"/>
      <c r="E742" s="168"/>
      <c r="F742" s="168"/>
      <c r="G742" s="167"/>
      <c r="H742" s="167"/>
      <c r="J742" s="168"/>
      <c r="K742" s="168"/>
      <c r="M742" s="168"/>
      <c r="N742" s="168"/>
      <c r="O742" s="168"/>
      <c r="P742" s="168"/>
      <c r="Q742" s="168"/>
      <c r="R742" s="168"/>
      <c r="S742" s="168"/>
      <c r="T742" s="168"/>
      <c r="U742" s="168"/>
    </row>
    <row r="743" spans="2:21">
      <c r="B743" s="168"/>
      <c r="C743" s="601"/>
      <c r="D743" s="168"/>
      <c r="E743" s="168"/>
      <c r="F743" s="168"/>
      <c r="G743" s="167"/>
      <c r="H743" s="167"/>
      <c r="J743" s="168"/>
      <c r="K743" s="168"/>
      <c r="M743" s="168"/>
      <c r="N743" s="168"/>
      <c r="O743" s="168"/>
      <c r="P743" s="168"/>
      <c r="Q743" s="168"/>
      <c r="R743" s="168"/>
      <c r="S743" s="168"/>
      <c r="T743" s="168"/>
      <c r="U743" s="168"/>
    </row>
    <row r="744" spans="2:21">
      <c r="B744" s="168"/>
      <c r="C744" s="601"/>
      <c r="D744" s="168"/>
      <c r="E744" s="168"/>
      <c r="F744" s="168"/>
      <c r="G744" s="167"/>
      <c r="H744" s="167"/>
      <c r="J744" s="168"/>
      <c r="K744" s="168"/>
      <c r="M744" s="168"/>
      <c r="N744" s="168"/>
      <c r="O744" s="168"/>
      <c r="P744" s="168"/>
      <c r="Q744" s="168"/>
      <c r="R744" s="168"/>
      <c r="S744" s="168"/>
      <c r="T744" s="168"/>
      <c r="U744" s="168"/>
    </row>
    <row r="745" spans="2:21">
      <c r="B745" s="168"/>
      <c r="C745" s="601"/>
      <c r="D745" s="168"/>
      <c r="E745" s="168"/>
      <c r="F745" s="168"/>
      <c r="G745" s="167"/>
      <c r="H745" s="167"/>
      <c r="J745" s="168"/>
      <c r="K745" s="168"/>
      <c r="M745" s="168"/>
      <c r="N745" s="168"/>
      <c r="O745" s="168"/>
      <c r="P745" s="168"/>
      <c r="Q745" s="168"/>
      <c r="R745" s="168"/>
      <c r="S745" s="168"/>
      <c r="T745" s="168"/>
      <c r="U745" s="168"/>
    </row>
    <row r="746" spans="2:21">
      <c r="B746" s="168"/>
      <c r="C746" s="601"/>
      <c r="D746" s="168"/>
      <c r="E746" s="168"/>
      <c r="F746" s="168"/>
      <c r="G746" s="167"/>
      <c r="H746" s="167"/>
      <c r="J746" s="168"/>
      <c r="K746" s="168"/>
      <c r="M746" s="168"/>
      <c r="N746" s="168"/>
      <c r="O746" s="168"/>
      <c r="P746" s="168"/>
      <c r="Q746" s="168"/>
      <c r="R746" s="168"/>
      <c r="S746" s="168"/>
      <c r="T746" s="168"/>
      <c r="U746" s="168"/>
    </row>
    <row r="747" spans="2:21">
      <c r="B747" s="168"/>
      <c r="C747" s="601"/>
      <c r="D747" s="168"/>
      <c r="E747" s="168"/>
      <c r="F747" s="168"/>
      <c r="G747" s="167"/>
      <c r="H747" s="167"/>
      <c r="J747" s="168"/>
      <c r="K747" s="168"/>
      <c r="M747" s="168"/>
      <c r="N747" s="168"/>
      <c r="O747" s="168"/>
      <c r="P747" s="168"/>
      <c r="Q747" s="168"/>
      <c r="R747" s="168"/>
      <c r="S747" s="168"/>
      <c r="T747" s="168"/>
      <c r="U747" s="168"/>
    </row>
    <row r="748" spans="2:21">
      <c r="B748" s="168"/>
      <c r="C748" s="601"/>
      <c r="D748" s="168"/>
      <c r="E748" s="168"/>
      <c r="F748" s="168"/>
      <c r="G748" s="167"/>
      <c r="H748" s="167"/>
      <c r="J748" s="168"/>
      <c r="K748" s="168"/>
      <c r="M748" s="168"/>
      <c r="N748" s="168"/>
      <c r="O748" s="168"/>
      <c r="P748" s="168"/>
      <c r="Q748" s="168"/>
      <c r="R748" s="168"/>
      <c r="S748" s="168"/>
      <c r="T748" s="168"/>
      <c r="U748" s="168"/>
    </row>
    <row r="749" spans="2:21">
      <c r="B749" s="168"/>
      <c r="C749" s="601"/>
      <c r="D749" s="168"/>
      <c r="E749" s="168"/>
      <c r="F749" s="168"/>
      <c r="G749" s="167"/>
      <c r="H749" s="167"/>
      <c r="J749" s="168"/>
      <c r="K749" s="168"/>
      <c r="M749" s="168"/>
      <c r="N749" s="168"/>
      <c r="O749" s="168"/>
      <c r="P749" s="168"/>
      <c r="Q749" s="168"/>
      <c r="R749" s="168"/>
      <c r="S749" s="168"/>
      <c r="T749" s="168"/>
      <c r="U749" s="168"/>
    </row>
    <row r="750" spans="2:21">
      <c r="B750" s="168"/>
      <c r="C750" s="601"/>
      <c r="D750" s="168"/>
      <c r="E750" s="168"/>
      <c r="F750" s="168"/>
      <c r="G750" s="167"/>
      <c r="H750" s="167"/>
      <c r="J750" s="168"/>
      <c r="K750" s="168"/>
      <c r="M750" s="168"/>
      <c r="N750" s="168"/>
      <c r="O750" s="168"/>
      <c r="P750" s="168"/>
      <c r="Q750" s="168"/>
      <c r="R750" s="168"/>
      <c r="S750" s="168"/>
      <c r="T750" s="168"/>
      <c r="U750" s="168"/>
    </row>
    <row r="751" spans="2:21">
      <c r="B751" s="168"/>
      <c r="C751" s="601"/>
      <c r="D751" s="168"/>
      <c r="E751" s="168"/>
      <c r="F751" s="168"/>
      <c r="G751" s="167"/>
      <c r="H751" s="167"/>
      <c r="J751" s="168"/>
      <c r="K751" s="168"/>
      <c r="M751" s="168"/>
      <c r="N751" s="168"/>
      <c r="O751" s="168"/>
      <c r="P751" s="168"/>
      <c r="Q751" s="168"/>
      <c r="R751" s="168"/>
      <c r="S751" s="168"/>
      <c r="T751" s="168"/>
      <c r="U751" s="168"/>
    </row>
    <row r="752" spans="2:21">
      <c r="B752" s="168"/>
      <c r="C752" s="601"/>
      <c r="D752" s="168"/>
      <c r="E752" s="168"/>
      <c r="F752" s="168"/>
      <c r="G752" s="167"/>
      <c r="H752" s="167"/>
      <c r="J752" s="168"/>
      <c r="K752" s="168"/>
      <c r="M752" s="168"/>
      <c r="N752" s="168"/>
      <c r="O752" s="168"/>
      <c r="P752" s="168"/>
      <c r="Q752" s="168"/>
      <c r="R752" s="168"/>
      <c r="S752" s="168"/>
      <c r="T752" s="168"/>
      <c r="U752" s="168"/>
    </row>
    <row r="753" spans="2:21">
      <c r="B753" s="168"/>
      <c r="C753" s="601"/>
      <c r="D753" s="168"/>
      <c r="E753" s="168"/>
      <c r="F753" s="168"/>
      <c r="G753" s="167"/>
      <c r="H753" s="167"/>
      <c r="J753" s="168"/>
      <c r="K753" s="168"/>
      <c r="M753" s="168"/>
      <c r="N753" s="168"/>
      <c r="O753" s="168"/>
      <c r="P753" s="168"/>
      <c r="Q753" s="168"/>
      <c r="R753" s="168"/>
      <c r="S753" s="168"/>
      <c r="T753" s="168"/>
      <c r="U753" s="168"/>
    </row>
    <row r="754" spans="2:21">
      <c r="B754" s="168"/>
      <c r="C754" s="601"/>
      <c r="D754" s="168"/>
      <c r="E754" s="168"/>
      <c r="F754" s="168"/>
      <c r="G754" s="167"/>
      <c r="H754" s="167"/>
      <c r="J754" s="168"/>
      <c r="K754" s="168"/>
      <c r="M754" s="168"/>
      <c r="N754" s="168"/>
      <c r="O754" s="168"/>
      <c r="P754" s="168"/>
      <c r="Q754" s="168"/>
      <c r="R754" s="168"/>
      <c r="S754" s="168"/>
      <c r="T754" s="168"/>
      <c r="U754" s="168"/>
    </row>
    <row r="755" spans="2:21">
      <c r="B755" s="168"/>
      <c r="C755" s="601"/>
      <c r="D755" s="168"/>
      <c r="E755" s="168"/>
      <c r="F755" s="168"/>
      <c r="G755" s="167"/>
      <c r="H755" s="167"/>
      <c r="J755" s="168"/>
      <c r="K755" s="168"/>
      <c r="M755" s="168"/>
      <c r="N755" s="168"/>
      <c r="O755" s="168"/>
      <c r="P755" s="168"/>
      <c r="Q755" s="168"/>
      <c r="R755" s="168"/>
      <c r="S755" s="168"/>
      <c r="T755" s="168"/>
      <c r="U755" s="168"/>
    </row>
    <row r="756" spans="2:21">
      <c r="B756" s="168"/>
      <c r="C756" s="601"/>
      <c r="D756" s="168"/>
      <c r="E756" s="168"/>
      <c r="F756" s="168"/>
      <c r="G756" s="167"/>
      <c r="H756" s="167"/>
      <c r="J756" s="168"/>
      <c r="K756" s="168"/>
      <c r="M756" s="168"/>
      <c r="N756" s="168"/>
      <c r="O756" s="168"/>
      <c r="P756" s="168"/>
      <c r="Q756" s="168"/>
      <c r="R756" s="168"/>
      <c r="S756" s="168"/>
      <c r="T756" s="168"/>
      <c r="U756" s="168"/>
    </row>
    <row r="757" spans="2:21">
      <c r="B757" s="168"/>
      <c r="C757" s="601"/>
      <c r="D757" s="168"/>
      <c r="E757" s="168"/>
      <c r="F757" s="168"/>
      <c r="G757" s="167"/>
      <c r="H757" s="167"/>
      <c r="J757" s="168"/>
      <c r="K757" s="168"/>
      <c r="M757" s="168"/>
      <c r="N757" s="168"/>
      <c r="O757" s="168"/>
      <c r="P757" s="168"/>
      <c r="Q757" s="168"/>
      <c r="R757" s="168"/>
      <c r="S757" s="168"/>
      <c r="T757" s="168"/>
      <c r="U757" s="168"/>
    </row>
    <row r="758" spans="2:21">
      <c r="B758" s="168"/>
      <c r="C758" s="601"/>
      <c r="D758" s="168"/>
      <c r="E758" s="168"/>
      <c r="F758" s="168"/>
      <c r="G758" s="167"/>
      <c r="H758" s="167"/>
      <c r="J758" s="168"/>
      <c r="K758" s="168"/>
      <c r="M758" s="168"/>
      <c r="N758" s="168"/>
      <c r="O758" s="168"/>
      <c r="P758" s="168"/>
      <c r="Q758" s="168"/>
      <c r="R758" s="168"/>
      <c r="S758" s="168"/>
      <c r="T758" s="168"/>
      <c r="U758" s="168"/>
    </row>
    <row r="759" spans="2:21">
      <c r="B759" s="168"/>
      <c r="C759" s="601"/>
      <c r="D759" s="168"/>
      <c r="E759" s="168"/>
      <c r="F759" s="168"/>
      <c r="G759" s="167"/>
      <c r="H759" s="167"/>
      <c r="J759" s="168"/>
      <c r="K759" s="168"/>
      <c r="M759" s="168"/>
      <c r="N759" s="168"/>
      <c r="O759" s="168"/>
      <c r="P759" s="168"/>
      <c r="Q759" s="168"/>
      <c r="R759" s="168"/>
      <c r="S759" s="168"/>
      <c r="T759" s="168"/>
      <c r="U759" s="168"/>
    </row>
    <row r="760" spans="2:21">
      <c r="B760" s="168"/>
      <c r="C760" s="601"/>
      <c r="D760" s="168"/>
      <c r="E760" s="168"/>
      <c r="F760" s="168"/>
      <c r="G760" s="167"/>
      <c r="H760" s="167"/>
      <c r="J760" s="168"/>
      <c r="K760" s="168"/>
      <c r="M760" s="168"/>
      <c r="N760" s="168"/>
      <c r="O760" s="168"/>
      <c r="P760" s="168"/>
      <c r="Q760" s="168"/>
      <c r="R760" s="168"/>
      <c r="S760" s="168"/>
      <c r="T760" s="168"/>
      <c r="U760" s="168"/>
    </row>
    <row r="761" spans="2:21">
      <c r="B761" s="168"/>
      <c r="C761" s="601"/>
      <c r="D761" s="168"/>
      <c r="E761" s="168"/>
      <c r="F761" s="168"/>
      <c r="G761" s="167"/>
      <c r="H761" s="167"/>
      <c r="J761" s="168"/>
      <c r="K761" s="168"/>
      <c r="M761" s="168"/>
      <c r="N761" s="168"/>
      <c r="O761" s="168"/>
      <c r="P761" s="168"/>
      <c r="Q761" s="168"/>
      <c r="R761" s="168"/>
      <c r="S761" s="168"/>
      <c r="T761" s="168"/>
      <c r="U761" s="168"/>
    </row>
    <row r="762" spans="2:21">
      <c r="B762" s="168"/>
      <c r="C762" s="601"/>
      <c r="D762" s="168"/>
      <c r="E762" s="168"/>
      <c r="F762" s="168"/>
      <c r="G762" s="167"/>
      <c r="H762" s="167"/>
      <c r="J762" s="168"/>
      <c r="K762" s="168"/>
      <c r="M762" s="168"/>
      <c r="N762" s="168"/>
      <c r="O762" s="168"/>
      <c r="P762" s="168"/>
      <c r="Q762" s="168"/>
      <c r="R762" s="168"/>
      <c r="S762" s="168"/>
      <c r="T762" s="168"/>
      <c r="U762" s="168"/>
    </row>
    <row r="763" spans="2:21">
      <c r="B763" s="168"/>
      <c r="C763" s="601"/>
      <c r="D763" s="168"/>
      <c r="E763" s="168"/>
      <c r="F763" s="168"/>
      <c r="G763" s="167"/>
      <c r="H763" s="167"/>
      <c r="J763" s="168"/>
      <c r="K763" s="168"/>
      <c r="M763" s="168"/>
      <c r="N763" s="168"/>
      <c r="O763" s="168"/>
      <c r="P763" s="168"/>
      <c r="Q763" s="168"/>
      <c r="R763" s="168"/>
      <c r="S763" s="168"/>
      <c r="T763" s="168"/>
      <c r="U763" s="168"/>
    </row>
    <row r="764" spans="2:21">
      <c r="B764" s="168"/>
      <c r="C764" s="601"/>
      <c r="D764" s="168"/>
      <c r="E764" s="168"/>
      <c r="F764" s="168"/>
      <c r="G764" s="167"/>
      <c r="H764" s="167"/>
      <c r="J764" s="168"/>
      <c r="K764" s="168"/>
      <c r="M764" s="168"/>
      <c r="N764" s="168"/>
      <c r="O764" s="168"/>
      <c r="P764" s="168"/>
      <c r="Q764" s="168"/>
      <c r="R764" s="168"/>
      <c r="S764" s="168"/>
      <c r="T764" s="168"/>
      <c r="U764" s="168"/>
    </row>
    <row r="765" spans="2:21">
      <c r="B765" s="168"/>
      <c r="C765" s="601"/>
      <c r="D765" s="168"/>
      <c r="E765" s="168"/>
      <c r="F765" s="168"/>
      <c r="G765" s="167"/>
      <c r="H765" s="167"/>
      <c r="J765" s="168"/>
      <c r="K765" s="168"/>
      <c r="M765" s="168"/>
      <c r="N765" s="168"/>
      <c r="O765" s="168"/>
      <c r="P765" s="168"/>
      <c r="Q765" s="168"/>
      <c r="R765" s="168"/>
      <c r="S765" s="168"/>
      <c r="T765" s="168"/>
      <c r="U765" s="168"/>
    </row>
    <row r="766" spans="2:21">
      <c r="B766" s="168"/>
      <c r="C766" s="601"/>
      <c r="D766" s="168"/>
      <c r="E766" s="168"/>
      <c r="F766" s="168"/>
      <c r="G766" s="167"/>
      <c r="H766" s="167"/>
      <c r="J766" s="168"/>
      <c r="K766" s="168"/>
      <c r="M766" s="168"/>
      <c r="N766" s="168"/>
      <c r="O766" s="168"/>
      <c r="P766" s="168"/>
      <c r="Q766" s="168"/>
      <c r="R766" s="168"/>
      <c r="S766" s="168"/>
      <c r="T766" s="168"/>
      <c r="U766" s="168"/>
    </row>
    <row r="767" spans="2:21">
      <c r="B767" s="168"/>
      <c r="C767" s="601"/>
      <c r="D767" s="168"/>
      <c r="E767" s="168"/>
      <c r="F767" s="168"/>
      <c r="G767" s="167"/>
      <c r="H767" s="167"/>
      <c r="J767" s="168"/>
      <c r="K767" s="168"/>
      <c r="M767" s="168"/>
      <c r="N767" s="168"/>
      <c r="O767" s="168"/>
      <c r="P767" s="168"/>
      <c r="Q767" s="168"/>
      <c r="R767" s="168"/>
      <c r="S767" s="168"/>
      <c r="T767" s="168"/>
      <c r="U767" s="168"/>
    </row>
    <row r="768" spans="2:21">
      <c r="B768" s="168"/>
      <c r="C768" s="601"/>
      <c r="D768" s="168"/>
      <c r="E768" s="168"/>
      <c r="F768" s="168"/>
      <c r="G768" s="167"/>
      <c r="H768" s="167"/>
      <c r="J768" s="168"/>
      <c r="K768" s="168"/>
      <c r="M768" s="168"/>
      <c r="N768" s="168"/>
      <c r="O768" s="168"/>
      <c r="P768" s="168"/>
      <c r="Q768" s="168"/>
      <c r="R768" s="168"/>
      <c r="S768" s="168"/>
      <c r="T768" s="168"/>
      <c r="U768" s="168"/>
    </row>
    <row r="769" spans="2:21">
      <c r="B769" s="168"/>
      <c r="C769" s="601"/>
      <c r="D769" s="168"/>
      <c r="E769" s="168"/>
      <c r="F769" s="168"/>
      <c r="G769" s="167"/>
      <c r="H769" s="167"/>
      <c r="J769" s="168"/>
      <c r="K769" s="168"/>
      <c r="M769" s="168"/>
      <c r="N769" s="168"/>
      <c r="O769" s="168"/>
      <c r="P769" s="168"/>
      <c r="Q769" s="168"/>
      <c r="R769" s="168"/>
      <c r="S769" s="168"/>
      <c r="T769" s="168"/>
      <c r="U769" s="168"/>
    </row>
    <row r="770" spans="2:21">
      <c r="B770" s="168"/>
      <c r="C770" s="601"/>
      <c r="D770" s="168"/>
      <c r="E770" s="168"/>
      <c r="F770" s="168"/>
      <c r="G770" s="167"/>
      <c r="H770" s="167"/>
      <c r="J770" s="168"/>
      <c r="K770" s="168"/>
      <c r="M770" s="168"/>
      <c r="N770" s="168"/>
      <c r="O770" s="168"/>
      <c r="P770" s="168"/>
      <c r="Q770" s="168"/>
      <c r="R770" s="168"/>
      <c r="S770" s="168"/>
      <c r="T770" s="168"/>
      <c r="U770" s="168"/>
    </row>
    <row r="771" spans="2:21">
      <c r="B771" s="168"/>
      <c r="C771" s="601"/>
      <c r="D771" s="168"/>
      <c r="E771" s="168"/>
      <c r="F771" s="168"/>
      <c r="G771" s="167"/>
      <c r="H771" s="167"/>
      <c r="J771" s="168"/>
      <c r="K771" s="168"/>
      <c r="M771" s="168"/>
      <c r="N771" s="168"/>
      <c r="O771" s="168"/>
      <c r="P771" s="168"/>
      <c r="Q771" s="168"/>
      <c r="R771" s="168"/>
      <c r="S771" s="168"/>
      <c r="T771" s="168"/>
      <c r="U771" s="168"/>
    </row>
    <row r="772" spans="2:21">
      <c r="B772" s="168"/>
      <c r="C772" s="601"/>
      <c r="D772" s="168"/>
      <c r="E772" s="168"/>
      <c r="F772" s="168"/>
      <c r="G772" s="167"/>
      <c r="H772" s="167"/>
      <c r="J772" s="168"/>
      <c r="K772" s="168"/>
      <c r="M772" s="168"/>
      <c r="N772" s="168"/>
      <c r="O772" s="168"/>
      <c r="P772" s="168"/>
      <c r="Q772" s="168"/>
      <c r="R772" s="168"/>
      <c r="S772" s="168"/>
      <c r="T772" s="168"/>
      <c r="U772" s="168"/>
    </row>
    <row r="773" spans="2:21">
      <c r="B773" s="168"/>
      <c r="C773" s="601"/>
      <c r="D773" s="168"/>
      <c r="E773" s="168"/>
      <c r="F773" s="168"/>
      <c r="G773" s="167"/>
      <c r="H773" s="167"/>
      <c r="J773" s="168"/>
      <c r="K773" s="168"/>
      <c r="M773" s="168"/>
      <c r="N773" s="168"/>
      <c r="O773" s="168"/>
      <c r="P773" s="168"/>
      <c r="Q773" s="168"/>
      <c r="R773" s="168"/>
      <c r="S773" s="168"/>
      <c r="T773" s="168"/>
      <c r="U773" s="168"/>
    </row>
    <row r="774" spans="2:21">
      <c r="B774" s="168"/>
      <c r="C774" s="601"/>
      <c r="D774" s="168"/>
      <c r="E774" s="168"/>
      <c r="F774" s="168"/>
      <c r="G774" s="167"/>
      <c r="H774" s="167"/>
      <c r="J774" s="168"/>
      <c r="K774" s="168"/>
      <c r="M774" s="168"/>
      <c r="N774" s="168"/>
      <c r="O774" s="168"/>
      <c r="P774" s="168"/>
      <c r="Q774" s="168"/>
      <c r="R774" s="168"/>
      <c r="S774" s="168"/>
      <c r="T774" s="168"/>
      <c r="U774" s="168"/>
    </row>
    <row r="775" spans="2:21">
      <c r="B775" s="168"/>
      <c r="C775" s="601"/>
      <c r="D775" s="168"/>
      <c r="E775" s="168"/>
      <c r="F775" s="168"/>
      <c r="G775" s="167"/>
      <c r="H775" s="167"/>
      <c r="J775" s="168"/>
      <c r="K775" s="168"/>
      <c r="M775" s="168"/>
      <c r="N775" s="168"/>
      <c r="O775" s="168"/>
      <c r="P775" s="168"/>
      <c r="Q775" s="168"/>
      <c r="R775" s="168"/>
      <c r="S775" s="168"/>
      <c r="T775" s="168"/>
      <c r="U775" s="168"/>
    </row>
    <row r="776" spans="2:21">
      <c r="B776" s="168"/>
      <c r="C776" s="601"/>
      <c r="D776" s="168"/>
      <c r="E776" s="168"/>
      <c r="F776" s="168"/>
      <c r="G776" s="167"/>
      <c r="H776" s="167"/>
      <c r="J776" s="168"/>
      <c r="K776" s="168"/>
      <c r="M776" s="168"/>
      <c r="N776" s="168"/>
      <c r="O776" s="168"/>
      <c r="P776" s="168"/>
      <c r="Q776" s="168"/>
      <c r="R776" s="168"/>
      <c r="S776" s="168"/>
      <c r="T776" s="168"/>
      <c r="U776" s="168"/>
    </row>
    <row r="777" spans="2:21">
      <c r="B777" s="168"/>
      <c r="C777" s="601"/>
      <c r="D777" s="168"/>
      <c r="E777" s="168"/>
      <c r="F777" s="168"/>
      <c r="G777" s="167"/>
      <c r="H777" s="167"/>
      <c r="J777" s="168"/>
      <c r="K777" s="168"/>
      <c r="M777" s="168"/>
      <c r="N777" s="168"/>
      <c r="O777" s="168"/>
      <c r="P777" s="168"/>
      <c r="Q777" s="168"/>
      <c r="R777" s="168"/>
      <c r="S777" s="168"/>
      <c r="T777" s="168"/>
      <c r="U777" s="168"/>
    </row>
    <row r="778" spans="2:21">
      <c r="B778" s="168"/>
      <c r="C778" s="601"/>
      <c r="D778" s="168"/>
      <c r="E778" s="168"/>
      <c r="F778" s="168"/>
      <c r="G778" s="167"/>
      <c r="H778" s="167"/>
      <c r="J778" s="168"/>
      <c r="K778" s="168"/>
      <c r="M778" s="168"/>
      <c r="N778" s="168"/>
      <c r="O778" s="168"/>
      <c r="P778" s="168"/>
      <c r="Q778" s="168"/>
      <c r="R778" s="168"/>
      <c r="S778" s="168"/>
      <c r="T778" s="168"/>
      <c r="U778" s="168"/>
    </row>
    <row r="779" spans="2:21">
      <c r="B779" s="168"/>
      <c r="C779" s="601"/>
      <c r="D779" s="168"/>
      <c r="E779" s="168"/>
      <c r="F779" s="168"/>
      <c r="G779" s="167"/>
      <c r="H779" s="167"/>
      <c r="J779" s="168"/>
      <c r="K779" s="168"/>
      <c r="M779" s="168"/>
      <c r="N779" s="168"/>
      <c r="O779" s="168"/>
      <c r="P779" s="168"/>
      <c r="Q779" s="168"/>
      <c r="R779" s="168"/>
      <c r="S779" s="168"/>
      <c r="T779" s="168"/>
      <c r="U779" s="168"/>
    </row>
    <row r="780" spans="2:21">
      <c r="B780" s="168"/>
      <c r="C780" s="601"/>
      <c r="D780" s="168"/>
      <c r="E780" s="168"/>
      <c r="F780" s="168"/>
      <c r="G780" s="167"/>
      <c r="H780" s="167"/>
      <c r="J780" s="168"/>
      <c r="K780" s="168"/>
      <c r="M780" s="168"/>
      <c r="N780" s="168"/>
      <c r="O780" s="168"/>
      <c r="P780" s="168"/>
      <c r="Q780" s="168"/>
      <c r="R780" s="168"/>
      <c r="S780" s="168"/>
      <c r="T780" s="168"/>
      <c r="U780" s="168"/>
    </row>
    <row r="781" spans="2:21">
      <c r="B781" s="168"/>
      <c r="C781" s="601"/>
      <c r="D781" s="168"/>
      <c r="E781" s="168"/>
      <c r="F781" s="168"/>
      <c r="G781" s="167"/>
      <c r="H781" s="167"/>
      <c r="J781" s="168"/>
      <c r="K781" s="168"/>
      <c r="M781" s="168"/>
      <c r="N781" s="168"/>
      <c r="O781" s="168"/>
      <c r="P781" s="168"/>
      <c r="Q781" s="168"/>
      <c r="R781" s="168"/>
      <c r="S781" s="168"/>
      <c r="T781" s="168"/>
      <c r="U781" s="168"/>
    </row>
    <row r="782" spans="2:21">
      <c r="B782" s="168"/>
      <c r="C782" s="601"/>
      <c r="D782" s="168"/>
      <c r="E782" s="168"/>
      <c r="F782" s="168"/>
      <c r="G782" s="167"/>
      <c r="H782" s="167"/>
      <c r="J782" s="168"/>
      <c r="K782" s="168"/>
      <c r="M782" s="168"/>
      <c r="N782" s="168"/>
      <c r="O782" s="168"/>
      <c r="P782" s="168"/>
      <c r="Q782" s="168"/>
      <c r="R782" s="168"/>
      <c r="S782" s="168"/>
      <c r="T782" s="168"/>
      <c r="U782" s="168"/>
    </row>
    <row r="783" spans="2:21">
      <c r="B783" s="168"/>
      <c r="C783" s="601"/>
      <c r="D783" s="168"/>
      <c r="E783" s="168"/>
      <c r="F783" s="168"/>
      <c r="G783" s="167"/>
      <c r="H783" s="167"/>
      <c r="J783" s="168"/>
      <c r="K783" s="168"/>
      <c r="M783" s="168"/>
      <c r="N783" s="168"/>
      <c r="O783" s="168"/>
      <c r="P783" s="168"/>
      <c r="Q783" s="168"/>
      <c r="R783" s="168"/>
      <c r="S783" s="168"/>
      <c r="T783" s="168"/>
      <c r="U783" s="168"/>
    </row>
    <row r="784" spans="2:21">
      <c r="B784" s="168"/>
      <c r="C784" s="601"/>
      <c r="D784" s="168"/>
      <c r="E784" s="168"/>
      <c r="F784" s="168"/>
      <c r="G784" s="167"/>
      <c r="H784" s="167"/>
      <c r="J784" s="168"/>
      <c r="K784" s="168"/>
      <c r="M784" s="168"/>
      <c r="N784" s="168"/>
      <c r="O784" s="168"/>
      <c r="P784" s="168"/>
      <c r="Q784" s="168"/>
      <c r="R784" s="168"/>
      <c r="S784" s="168"/>
      <c r="T784" s="168"/>
      <c r="U784" s="168"/>
    </row>
    <row r="785" spans="2:21">
      <c r="B785" s="168"/>
      <c r="C785" s="601"/>
      <c r="D785" s="168"/>
      <c r="E785" s="168"/>
      <c r="F785" s="168"/>
      <c r="G785" s="167"/>
      <c r="H785" s="167"/>
      <c r="J785" s="168"/>
      <c r="K785" s="168"/>
      <c r="M785" s="168"/>
      <c r="N785" s="168"/>
      <c r="O785" s="168"/>
      <c r="P785" s="168"/>
      <c r="Q785" s="168"/>
      <c r="R785" s="168"/>
      <c r="S785" s="168"/>
      <c r="T785" s="168"/>
      <c r="U785" s="168"/>
    </row>
    <row r="786" spans="2:21">
      <c r="B786" s="168"/>
      <c r="C786" s="601"/>
      <c r="D786" s="168"/>
      <c r="E786" s="168"/>
      <c r="F786" s="168"/>
      <c r="G786" s="167"/>
      <c r="H786" s="167"/>
      <c r="J786" s="168"/>
      <c r="K786" s="168"/>
      <c r="M786" s="168"/>
      <c r="N786" s="168"/>
      <c r="O786" s="168"/>
      <c r="P786" s="168"/>
      <c r="Q786" s="168"/>
      <c r="R786" s="168"/>
      <c r="S786" s="168"/>
      <c r="T786" s="168"/>
      <c r="U786" s="168"/>
    </row>
    <row r="787" spans="2:21">
      <c r="B787" s="168"/>
      <c r="C787" s="601"/>
      <c r="D787" s="168"/>
      <c r="E787" s="168"/>
      <c r="F787" s="168"/>
      <c r="G787" s="167"/>
      <c r="H787" s="167"/>
      <c r="J787" s="168"/>
      <c r="K787" s="168"/>
      <c r="M787" s="168"/>
      <c r="N787" s="168"/>
      <c r="O787" s="168"/>
      <c r="P787" s="168"/>
      <c r="Q787" s="168"/>
      <c r="R787" s="168"/>
      <c r="S787" s="168"/>
      <c r="T787" s="168"/>
      <c r="U787" s="168"/>
    </row>
    <row r="788" spans="2:21">
      <c r="B788" s="168"/>
      <c r="C788" s="601"/>
      <c r="D788" s="168"/>
      <c r="E788" s="168"/>
      <c r="F788" s="168"/>
      <c r="G788" s="167"/>
      <c r="H788" s="167"/>
      <c r="J788" s="168"/>
      <c r="K788" s="168"/>
      <c r="M788" s="168"/>
      <c r="N788" s="168"/>
      <c r="O788" s="168"/>
      <c r="P788" s="168"/>
      <c r="Q788" s="168"/>
      <c r="R788" s="168"/>
      <c r="S788" s="168"/>
      <c r="T788" s="168"/>
      <c r="U788" s="168"/>
    </row>
    <row r="789" spans="2:21">
      <c r="B789" s="168"/>
      <c r="C789" s="601"/>
      <c r="D789" s="168"/>
      <c r="E789" s="168"/>
      <c r="F789" s="168"/>
      <c r="G789" s="167"/>
      <c r="H789" s="167"/>
      <c r="J789" s="168"/>
      <c r="K789" s="168"/>
      <c r="M789" s="168"/>
      <c r="N789" s="168"/>
      <c r="O789" s="168"/>
      <c r="P789" s="168"/>
      <c r="Q789" s="168"/>
      <c r="R789" s="168"/>
      <c r="S789" s="168"/>
      <c r="T789" s="168"/>
      <c r="U789" s="168"/>
    </row>
    <row r="790" spans="2:21">
      <c r="B790" s="168"/>
      <c r="C790" s="601"/>
      <c r="D790" s="168"/>
      <c r="E790" s="168"/>
      <c r="F790" s="168"/>
      <c r="G790" s="167"/>
      <c r="H790" s="167"/>
      <c r="J790" s="168"/>
      <c r="K790" s="168"/>
      <c r="M790" s="168"/>
      <c r="N790" s="168"/>
      <c r="O790" s="168"/>
      <c r="P790" s="168"/>
      <c r="Q790" s="168"/>
      <c r="R790" s="168"/>
      <c r="S790" s="168"/>
      <c r="T790" s="168"/>
      <c r="U790" s="168"/>
    </row>
    <row r="791" spans="2:21">
      <c r="B791" s="168"/>
      <c r="C791" s="601"/>
      <c r="D791" s="168"/>
      <c r="E791" s="168"/>
      <c r="F791" s="168"/>
      <c r="G791" s="167"/>
      <c r="H791" s="167"/>
      <c r="J791" s="168"/>
      <c r="K791" s="168"/>
      <c r="M791" s="168"/>
      <c r="N791" s="168"/>
      <c r="O791" s="168"/>
      <c r="P791" s="168"/>
      <c r="Q791" s="168"/>
      <c r="R791" s="168"/>
      <c r="S791" s="168"/>
      <c r="T791" s="168"/>
      <c r="U791" s="168"/>
    </row>
    <row r="792" spans="2:21">
      <c r="B792" s="168"/>
      <c r="C792" s="601"/>
      <c r="D792" s="168"/>
      <c r="E792" s="168"/>
      <c r="F792" s="168"/>
      <c r="G792" s="167"/>
      <c r="H792" s="167"/>
      <c r="J792" s="168"/>
      <c r="K792" s="168"/>
      <c r="M792" s="168"/>
      <c r="N792" s="168"/>
      <c r="O792" s="168"/>
      <c r="P792" s="168"/>
      <c r="Q792" s="168"/>
      <c r="R792" s="168"/>
      <c r="S792" s="168"/>
      <c r="T792" s="168"/>
      <c r="U792" s="168"/>
    </row>
    <row r="793" spans="2:21">
      <c r="B793" s="168"/>
      <c r="C793" s="601"/>
      <c r="D793" s="168"/>
      <c r="E793" s="168"/>
      <c r="F793" s="168"/>
      <c r="G793" s="167"/>
      <c r="H793" s="167"/>
      <c r="J793" s="168"/>
      <c r="K793" s="168"/>
      <c r="M793" s="168"/>
      <c r="N793" s="168"/>
      <c r="O793" s="168"/>
      <c r="P793" s="168"/>
      <c r="Q793" s="168"/>
      <c r="R793" s="168"/>
      <c r="S793" s="168"/>
      <c r="T793" s="168"/>
      <c r="U793" s="168"/>
    </row>
    <row r="794" spans="2:21">
      <c r="B794" s="168"/>
      <c r="C794" s="601"/>
      <c r="D794" s="168"/>
      <c r="E794" s="168"/>
      <c r="F794" s="168"/>
      <c r="G794" s="167"/>
      <c r="H794" s="167"/>
      <c r="J794" s="168"/>
      <c r="K794" s="168"/>
      <c r="M794" s="168"/>
      <c r="N794" s="168"/>
      <c r="O794" s="168"/>
      <c r="P794" s="168"/>
      <c r="Q794" s="168"/>
      <c r="R794" s="168"/>
      <c r="S794" s="168"/>
      <c r="T794" s="168"/>
      <c r="U794" s="168"/>
    </row>
    <row r="795" spans="2:21">
      <c r="B795" s="168"/>
      <c r="C795" s="601"/>
      <c r="D795" s="168"/>
      <c r="E795" s="168"/>
      <c r="F795" s="168"/>
      <c r="G795" s="167"/>
      <c r="H795" s="167"/>
      <c r="J795" s="168"/>
      <c r="K795" s="168"/>
      <c r="M795" s="168"/>
      <c r="N795" s="168"/>
      <c r="O795" s="168"/>
      <c r="P795" s="168"/>
      <c r="Q795" s="168"/>
      <c r="R795" s="168"/>
      <c r="S795" s="168"/>
      <c r="T795" s="168"/>
      <c r="U795" s="168"/>
    </row>
    <row r="796" spans="2:21">
      <c r="B796" s="168"/>
      <c r="C796" s="601"/>
      <c r="D796" s="168"/>
      <c r="E796" s="168"/>
      <c r="F796" s="168"/>
      <c r="G796" s="167"/>
      <c r="H796" s="167"/>
      <c r="J796" s="168"/>
      <c r="K796" s="168"/>
      <c r="M796" s="168"/>
      <c r="N796" s="168"/>
      <c r="O796" s="168"/>
      <c r="P796" s="168"/>
      <c r="Q796" s="168"/>
      <c r="R796" s="168"/>
      <c r="S796" s="168"/>
      <c r="T796" s="168"/>
      <c r="U796" s="168"/>
    </row>
    <row r="797" spans="2:21">
      <c r="B797" s="168"/>
      <c r="C797" s="601"/>
      <c r="D797" s="168"/>
      <c r="E797" s="168"/>
      <c r="F797" s="168"/>
      <c r="G797" s="167"/>
      <c r="H797" s="167"/>
      <c r="J797" s="168"/>
      <c r="K797" s="168"/>
      <c r="M797" s="168"/>
      <c r="N797" s="168"/>
      <c r="O797" s="168"/>
      <c r="P797" s="168"/>
      <c r="Q797" s="168"/>
      <c r="R797" s="168"/>
      <c r="S797" s="168"/>
      <c r="T797" s="168"/>
      <c r="U797" s="168"/>
    </row>
    <row r="798" spans="2:21">
      <c r="B798" s="168"/>
      <c r="C798" s="601"/>
      <c r="D798" s="168"/>
      <c r="E798" s="168"/>
      <c r="F798" s="168"/>
      <c r="G798" s="167"/>
      <c r="H798" s="167"/>
      <c r="J798" s="168"/>
      <c r="K798" s="168"/>
      <c r="M798" s="168"/>
      <c r="N798" s="168"/>
      <c r="O798" s="168"/>
      <c r="P798" s="168"/>
      <c r="Q798" s="168"/>
      <c r="R798" s="168"/>
      <c r="S798" s="168"/>
      <c r="T798" s="168"/>
      <c r="U798" s="168"/>
    </row>
    <row r="799" spans="2:21">
      <c r="B799" s="168"/>
      <c r="C799" s="601"/>
      <c r="D799" s="168"/>
      <c r="E799" s="168"/>
      <c r="F799" s="168"/>
      <c r="G799" s="167"/>
      <c r="H799" s="167"/>
      <c r="J799" s="168"/>
      <c r="K799" s="168"/>
      <c r="M799" s="168"/>
      <c r="N799" s="168"/>
      <c r="O799" s="168"/>
      <c r="P799" s="168"/>
      <c r="Q799" s="168"/>
      <c r="R799" s="168"/>
      <c r="S799" s="168"/>
      <c r="T799" s="168"/>
      <c r="U799" s="168"/>
    </row>
    <row r="800" spans="2:21">
      <c r="B800" s="168"/>
      <c r="C800" s="601"/>
      <c r="D800" s="168"/>
      <c r="E800" s="168"/>
      <c r="F800" s="168"/>
      <c r="G800" s="167"/>
      <c r="H800" s="167"/>
      <c r="J800" s="168"/>
      <c r="K800" s="168"/>
      <c r="M800" s="168"/>
      <c r="N800" s="168"/>
      <c r="O800" s="168"/>
      <c r="P800" s="168"/>
      <c r="Q800" s="168"/>
      <c r="R800" s="168"/>
      <c r="S800" s="168"/>
      <c r="T800" s="168"/>
      <c r="U800" s="168"/>
    </row>
    <row r="801" spans="2:21">
      <c r="B801" s="168"/>
      <c r="C801" s="601"/>
      <c r="D801" s="168"/>
      <c r="E801" s="168"/>
      <c r="F801" s="168"/>
      <c r="G801" s="167"/>
      <c r="H801" s="167"/>
      <c r="J801" s="168"/>
      <c r="K801" s="168"/>
      <c r="M801" s="168"/>
      <c r="N801" s="168"/>
      <c r="O801" s="168"/>
      <c r="P801" s="168"/>
      <c r="Q801" s="168"/>
      <c r="R801" s="168"/>
      <c r="S801" s="168"/>
      <c r="T801" s="168"/>
      <c r="U801" s="168"/>
    </row>
    <row r="802" spans="2:21">
      <c r="B802" s="168"/>
      <c r="C802" s="601"/>
      <c r="D802" s="168"/>
      <c r="E802" s="168"/>
      <c r="F802" s="168"/>
      <c r="G802" s="167"/>
      <c r="H802" s="167"/>
      <c r="J802" s="168"/>
      <c r="K802" s="168"/>
      <c r="M802" s="168"/>
      <c r="N802" s="168"/>
      <c r="O802" s="168"/>
      <c r="P802" s="168"/>
      <c r="Q802" s="168"/>
      <c r="R802" s="168"/>
      <c r="S802" s="168"/>
      <c r="T802" s="168"/>
      <c r="U802" s="168"/>
    </row>
    <row r="803" spans="2:21">
      <c r="B803" s="168"/>
      <c r="C803" s="601"/>
      <c r="D803" s="168"/>
      <c r="E803" s="168"/>
      <c r="F803" s="168"/>
      <c r="G803" s="167"/>
      <c r="H803" s="167"/>
      <c r="J803" s="168"/>
      <c r="K803" s="168"/>
      <c r="M803" s="168"/>
      <c r="N803" s="168"/>
      <c r="O803" s="168"/>
      <c r="P803" s="168"/>
      <c r="Q803" s="168"/>
      <c r="R803" s="168"/>
      <c r="S803" s="168"/>
      <c r="T803" s="168"/>
      <c r="U803" s="168"/>
    </row>
    <row r="804" spans="2:21">
      <c r="B804" s="168"/>
      <c r="C804" s="601"/>
      <c r="D804" s="168"/>
      <c r="E804" s="168"/>
      <c r="F804" s="168"/>
      <c r="G804" s="167"/>
      <c r="H804" s="167"/>
      <c r="J804" s="168"/>
      <c r="K804" s="168"/>
      <c r="M804" s="168"/>
      <c r="N804" s="168"/>
      <c r="O804" s="168"/>
      <c r="P804" s="168"/>
      <c r="Q804" s="168"/>
      <c r="R804" s="168"/>
      <c r="S804" s="168"/>
      <c r="T804" s="168"/>
      <c r="U804" s="168"/>
    </row>
    <row r="805" spans="2:21">
      <c r="B805" s="168"/>
      <c r="C805" s="601"/>
      <c r="D805" s="168"/>
      <c r="E805" s="168"/>
      <c r="F805" s="168"/>
      <c r="G805" s="167"/>
      <c r="H805" s="167"/>
      <c r="J805" s="168"/>
      <c r="K805" s="168"/>
      <c r="M805" s="168"/>
      <c r="N805" s="168"/>
      <c r="O805" s="168"/>
      <c r="P805" s="168"/>
      <c r="Q805" s="168"/>
      <c r="R805" s="168"/>
      <c r="S805" s="168"/>
      <c r="T805" s="168"/>
      <c r="U805" s="168"/>
    </row>
    <row r="806" spans="2:21">
      <c r="B806" s="168"/>
      <c r="C806" s="601"/>
      <c r="D806" s="168"/>
      <c r="E806" s="168"/>
      <c r="F806" s="168"/>
      <c r="G806" s="167"/>
      <c r="H806" s="167"/>
      <c r="J806" s="168"/>
      <c r="K806" s="168"/>
      <c r="M806" s="168"/>
      <c r="N806" s="168"/>
      <c r="O806" s="168"/>
      <c r="P806" s="168"/>
      <c r="Q806" s="168"/>
      <c r="R806" s="168"/>
      <c r="S806" s="168"/>
      <c r="T806" s="168"/>
      <c r="U806" s="168"/>
    </row>
    <row r="807" spans="2:21">
      <c r="B807" s="168"/>
      <c r="C807" s="601"/>
      <c r="D807" s="168"/>
      <c r="E807" s="168"/>
      <c r="F807" s="168"/>
      <c r="G807" s="167"/>
      <c r="H807" s="167"/>
      <c r="J807" s="168"/>
      <c r="K807" s="168"/>
      <c r="M807" s="168"/>
      <c r="N807" s="168"/>
      <c r="O807" s="168"/>
      <c r="P807" s="168"/>
      <c r="Q807" s="168"/>
      <c r="R807" s="168"/>
      <c r="S807" s="168"/>
      <c r="T807" s="168"/>
      <c r="U807" s="168"/>
    </row>
    <row r="808" spans="2:21">
      <c r="B808" s="168"/>
      <c r="C808" s="601"/>
      <c r="D808" s="168"/>
      <c r="E808" s="168"/>
      <c r="F808" s="168"/>
      <c r="G808" s="167"/>
      <c r="H808" s="167"/>
      <c r="J808" s="168"/>
      <c r="K808" s="168"/>
      <c r="M808" s="168"/>
      <c r="N808" s="168"/>
      <c r="O808" s="168"/>
      <c r="P808" s="168"/>
      <c r="Q808" s="168"/>
      <c r="R808" s="168"/>
      <c r="S808" s="168"/>
      <c r="T808" s="168"/>
      <c r="U808" s="168"/>
    </row>
    <row r="809" spans="2:21">
      <c r="B809" s="168"/>
      <c r="C809" s="601"/>
      <c r="D809" s="168"/>
      <c r="E809" s="168"/>
      <c r="F809" s="168"/>
      <c r="G809" s="167"/>
      <c r="H809" s="167"/>
      <c r="J809" s="168"/>
      <c r="K809" s="168"/>
      <c r="M809" s="168"/>
      <c r="N809" s="168"/>
      <c r="O809" s="168"/>
      <c r="P809" s="168"/>
      <c r="Q809" s="168"/>
      <c r="R809" s="168"/>
      <c r="S809" s="168"/>
      <c r="T809" s="168"/>
      <c r="U809" s="168"/>
    </row>
    <row r="810" spans="2:21">
      <c r="B810" s="168"/>
      <c r="C810" s="601"/>
      <c r="D810" s="168"/>
      <c r="E810" s="168"/>
      <c r="F810" s="168"/>
      <c r="G810" s="167"/>
      <c r="H810" s="167"/>
      <c r="J810" s="168"/>
      <c r="K810" s="168"/>
      <c r="M810" s="168"/>
      <c r="N810" s="168"/>
      <c r="O810" s="168"/>
      <c r="P810" s="168"/>
      <c r="Q810" s="168"/>
      <c r="R810" s="168"/>
      <c r="S810" s="168"/>
      <c r="T810" s="168"/>
      <c r="U810" s="168"/>
    </row>
    <row r="811" spans="2:21">
      <c r="B811" s="168"/>
      <c r="C811" s="601"/>
      <c r="D811" s="168"/>
      <c r="E811" s="168"/>
      <c r="F811" s="168"/>
      <c r="G811" s="167"/>
      <c r="H811" s="167"/>
      <c r="J811" s="168"/>
      <c r="K811" s="168"/>
      <c r="M811" s="168"/>
      <c r="N811" s="168"/>
      <c r="O811" s="168"/>
      <c r="P811" s="168"/>
      <c r="Q811" s="168"/>
      <c r="R811" s="168"/>
      <c r="S811" s="168"/>
      <c r="T811" s="168"/>
      <c r="U811" s="168"/>
    </row>
    <row r="812" spans="2:21">
      <c r="B812" s="168"/>
      <c r="C812" s="601"/>
      <c r="D812" s="168"/>
      <c r="E812" s="168"/>
      <c r="F812" s="168"/>
      <c r="G812" s="167"/>
      <c r="H812" s="167"/>
      <c r="J812" s="168"/>
      <c r="K812" s="168"/>
      <c r="M812" s="168"/>
      <c r="N812" s="168"/>
      <c r="O812" s="168"/>
      <c r="P812" s="168"/>
      <c r="Q812" s="168"/>
      <c r="R812" s="168"/>
      <c r="S812" s="168"/>
      <c r="T812" s="168"/>
      <c r="U812" s="168"/>
    </row>
    <row r="813" spans="2:21">
      <c r="B813" s="168"/>
      <c r="C813" s="601"/>
      <c r="D813" s="168"/>
      <c r="E813" s="168"/>
      <c r="F813" s="168"/>
      <c r="G813" s="167"/>
      <c r="H813" s="167"/>
      <c r="J813" s="168"/>
      <c r="K813" s="168"/>
      <c r="M813" s="168"/>
      <c r="N813" s="168"/>
      <c r="O813" s="168"/>
      <c r="P813" s="168"/>
      <c r="Q813" s="168"/>
      <c r="R813" s="168"/>
      <c r="S813" s="168"/>
      <c r="T813" s="168"/>
      <c r="U813" s="168"/>
    </row>
    <row r="814" spans="2:21">
      <c r="B814" s="168"/>
      <c r="C814" s="601"/>
      <c r="D814" s="168"/>
      <c r="E814" s="168"/>
      <c r="F814" s="168"/>
      <c r="G814" s="167"/>
      <c r="H814" s="167"/>
      <c r="J814" s="168"/>
      <c r="K814" s="168"/>
      <c r="M814" s="168"/>
      <c r="N814" s="168"/>
      <c r="O814" s="168"/>
      <c r="P814" s="168"/>
      <c r="Q814" s="168"/>
      <c r="R814" s="168"/>
      <c r="S814" s="168"/>
      <c r="T814" s="168"/>
      <c r="U814" s="168"/>
    </row>
    <row r="815" spans="2:21">
      <c r="B815" s="168"/>
      <c r="C815" s="601"/>
      <c r="D815" s="168"/>
      <c r="E815" s="168"/>
      <c r="F815" s="168"/>
      <c r="G815" s="167"/>
      <c r="H815" s="167"/>
      <c r="J815" s="168"/>
      <c r="K815" s="168"/>
      <c r="M815" s="168"/>
      <c r="N815" s="168"/>
      <c r="O815" s="168"/>
      <c r="P815" s="168"/>
      <c r="Q815" s="168"/>
      <c r="R815" s="168"/>
      <c r="S815" s="168"/>
      <c r="T815" s="168"/>
      <c r="U815" s="168"/>
    </row>
    <row r="816" spans="2:21">
      <c r="B816" s="168"/>
      <c r="C816" s="601"/>
      <c r="D816" s="168"/>
      <c r="E816" s="168"/>
      <c r="F816" s="168"/>
      <c r="G816" s="167"/>
      <c r="H816" s="167"/>
      <c r="J816" s="168"/>
      <c r="K816" s="168"/>
      <c r="M816" s="168"/>
      <c r="N816" s="168"/>
      <c r="O816" s="168"/>
      <c r="P816" s="168"/>
      <c r="Q816" s="168"/>
      <c r="R816" s="168"/>
      <c r="S816" s="168"/>
      <c r="T816" s="168"/>
      <c r="U816" s="168"/>
    </row>
    <row r="817" spans="2:21">
      <c r="B817" s="168"/>
      <c r="C817" s="601"/>
      <c r="D817" s="168"/>
      <c r="E817" s="168"/>
      <c r="F817" s="168"/>
      <c r="G817" s="167"/>
      <c r="H817" s="167"/>
      <c r="J817" s="168"/>
      <c r="K817" s="168"/>
      <c r="M817" s="168"/>
      <c r="N817" s="168"/>
      <c r="O817" s="168"/>
      <c r="P817" s="168"/>
      <c r="Q817" s="168"/>
      <c r="R817" s="168"/>
      <c r="S817" s="168"/>
      <c r="T817" s="168"/>
      <c r="U817" s="168"/>
    </row>
    <row r="818" spans="2:21">
      <c r="B818" s="168"/>
      <c r="C818" s="601"/>
      <c r="D818" s="168"/>
      <c r="E818" s="168"/>
      <c r="F818" s="168"/>
      <c r="G818" s="167"/>
      <c r="H818" s="167"/>
      <c r="J818" s="168"/>
      <c r="K818" s="168"/>
      <c r="M818" s="168"/>
      <c r="N818" s="168"/>
      <c r="O818" s="168"/>
      <c r="P818" s="168"/>
      <c r="Q818" s="168"/>
      <c r="R818" s="168"/>
      <c r="S818" s="168"/>
      <c r="T818" s="168"/>
      <c r="U818" s="168"/>
    </row>
    <row r="819" spans="2:21">
      <c r="B819" s="168"/>
      <c r="C819" s="601"/>
      <c r="D819" s="168"/>
      <c r="E819" s="168"/>
      <c r="F819" s="168"/>
      <c r="G819" s="167"/>
      <c r="H819" s="167"/>
      <c r="J819" s="168"/>
      <c r="K819" s="168"/>
      <c r="M819" s="168"/>
      <c r="N819" s="168"/>
      <c r="O819" s="168"/>
      <c r="P819" s="168"/>
      <c r="Q819" s="168"/>
      <c r="R819" s="168"/>
      <c r="S819" s="168"/>
      <c r="T819" s="168"/>
      <c r="U819" s="168"/>
    </row>
    <row r="820" spans="2:21">
      <c r="B820" s="168"/>
      <c r="C820" s="601"/>
      <c r="D820" s="168"/>
      <c r="E820" s="168"/>
      <c r="F820" s="168"/>
      <c r="G820" s="167"/>
      <c r="H820" s="167"/>
      <c r="J820" s="168"/>
      <c r="K820" s="168"/>
      <c r="M820" s="168"/>
      <c r="N820" s="168"/>
      <c r="O820" s="168"/>
      <c r="P820" s="168"/>
      <c r="Q820" s="168"/>
      <c r="R820" s="168"/>
      <c r="S820" s="168"/>
      <c r="T820" s="168"/>
      <c r="U820" s="168"/>
    </row>
    <row r="821" spans="2:21">
      <c r="B821" s="168"/>
      <c r="C821" s="601"/>
      <c r="D821" s="168"/>
      <c r="E821" s="168"/>
      <c r="F821" s="168"/>
      <c r="G821" s="167"/>
      <c r="H821" s="167"/>
      <c r="J821" s="168"/>
      <c r="K821" s="168"/>
      <c r="M821" s="168"/>
      <c r="N821" s="168"/>
      <c r="O821" s="168"/>
      <c r="P821" s="168"/>
      <c r="Q821" s="168"/>
      <c r="R821" s="168"/>
      <c r="S821" s="168"/>
      <c r="T821" s="168"/>
      <c r="U821" s="168"/>
    </row>
    <row r="822" spans="2:21">
      <c r="B822" s="168"/>
      <c r="C822" s="601"/>
      <c r="D822" s="168"/>
      <c r="E822" s="168"/>
      <c r="F822" s="168"/>
      <c r="G822" s="167"/>
      <c r="H822" s="167"/>
      <c r="J822" s="168"/>
      <c r="K822" s="168"/>
      <c r="M822" s="168"/>
      <c r="N822" s="168"/>
      <c r="O822" s="168"/>
      <c r="P822" s="168"/>
      <c r="Q822" s="168"/>
      <c r="R822" s="168"/>
      <c r="S822" s="168"/>
      <c r="T822" s="168"/>
      <c r="U822" s="168"/>
    </row>
    <row r="823" spans="2:21">
      <c r="B823" s="168"/>
      <c r="C823" s="601"/>
      <c r="D823" s="168"/>
      <c r="E823" s="168"/>
      <c r="F823" s="168"/>
      <c r="G823" s="167"/>
      <c r="H823" s="167"/>
      <c r="J823" s="168"/>
      <c r="K823" s="168"/>
      <c r="M823" s="168"/>
      <c r="N823" s="168"/>
      <c r="O823" s="168"/>
      <c r="P823" s="168"/>
      <c r="Q823" s="168"/>
      <c r="R823" s="168"/>
      <c r="S823" s="168"/>
      <c r="T823" s="168"/>
      <c r="U823" s="168"/>
    </row>
    <row r="824" spans="2:21">
      <c r="B824" s="168"/>
      <c r="C824" s="601"/>
      <c r="D824" s="168"/>
      <c r="E824" s="168"/>
      <c r="F824" s="168"/>
      <c r="G824" s="167"/>
      <c r="H824" s="167"/>
      <c r="J824" s="168"/>
      <c r="K824" s="168"/>
      <c r="M824" s="168"/>
      <c r="N824" s="168"/>
      <c r="O824" s="168"/>
      <c r="P824" s="168"/>
      <c r="Q824" s="168"/>
      <c r="R824" s="168"/>
      <c r="S824" s="168"/>
      <c r="T824" s="168"/>
      <c r="U824" s="168"/>
    </row>
    <row r="825" spans="2:21">
      <c r="B825" s="168"/>
      <c r="C825" s="601"/>
      <c r="D825" s="168"/>
      <c r="E825" s="168"/>
      <c r="F825" s="168"/>
      <c r="G825" s="167"/>
      <c r="H825" s="167"/>
      <c r="J825" s="168"/>
      <c r="K825" s="168"/>
      <c r="M825" s="168"/>
      <c r="N825" s="168"/>
      <c r="O825" s="168"/>
      <c r="P825" s="168"/>
      <c r="Q825" s="168"/>
      <c r="R825" s="168"/>
      <c r="S825" s="168"/>
      <c r="T825" s="168"/>
      <c r="U825" s="168"/>
    </row>
    <row r="826" spans="2:21">
      <c r="B826" s="168"/>
      <c r="C826" s="601"/>
      <c r="D826" s="168"/>
      <c r="E826" s="168"/>
      <c r="F826" s="168"/>
      <c r="G826" s="167"/>
      <c r="H826" s="167"/>
      <c r="J826" s="168"/>
      <c r="K826" s="168"/>
      <c r="M826" s="168"/>
      <c r="N826" s="168"/>
      <c r="O826" s="168"/>
      <c r="P826" s="168"/>
      <c r="Q826" s="168"/>
      <c r="R826" s="168"/>
      <c r="S826" s="168"/>
      <c r="T826" s="168"/>
      <c r="U826" s="168"/>
    </row>
    <row r="827" spans="2:21">
      <c r="B827" s="168"/>
      <c r="C827" s="601"/>
      <c r="D827" s="168"/>
      <c r="E827" s="168"/>
      <c r="F827" s="168"/>
      <c r="G827" s="167"/>
      <c r="H827" s="167"/>
      <c r="J827" s="168"/>
      <c r="K827" s="168"/>
      <c r="M827" s="168"/>
      <c r="N827" s="168"/>
      <c r="O827" s="168"/>
      <c r="P827" s="168"/>
      <c r="Q827" s="168"/>
      <c r="R827" s="168"/>
      <c r="S827" s="168"/>
      <c r="T827" s="168"/>
      <c r="U827" s="168"/>
    </row>
    <row r="828" spans="2:21">
      <c r="B828" s="168"/>
      <c r="C828" s="601"/>
      <c r="D828" s="168"/>
      <c r="E828" s="168"/>
      <c r="F828" s="168"/>
      <c r="G828" s="167"/>
      <c r="H828" s="167"/>
      <c r="J828" s="168"/>
      <c r="K828" s="168"/>
      <c r="M828" s="168"/>
      <c r="N828" s="168"/>
      <c r="O828" s="168"/>
      <c r="P828" s="168"/>
      <c r="Q828" s="168"/>
      <c r="R828" s="168"/>
      <c r="S828" s="168"/>
      <c r="T828" s="168"/>
      <c r="U828" s="168"/>
    </row>
    <row r="829" spans="2:21">
      <c r="B829" s="168"/>
      <c r="C829" s="601"/>
      <c r="D829" s="168"/>
      <c r="E829" s="168"/>
      <c r="F829" s="168"/>
      <c r="G829" s="167"/>
      <c r="H829" s="167"/>
      <c r="J829" s="168"/>
      <c r="K829" s="168"/>
      <c r="M829" s="168"/>
      <c r="N829" s="168"/>
      <c r="O829" s="168"/>
      <c r="P829" s="168"/>
      <c r="Q829" s="168"/>
      <c r="R829" s="168"/>
      <c r="S829" s="168"/>
      <c r="T829" s="168"/>
      <c r="U829" s="168"/>
    </row>
    <row r="830" spans="2:21">
      <c r="B830" s="168"/>
      <c r="C830" s="601"/>
      <c r="D830" s="168"/>
      <c r="E830" s="168"/>
      <c r="F830" s="168"/>
      <c r="G830" s="167"/>
      <c r="H830" s="167"/>
      <c r="J830" s="168"/>
      <c r="K830" s="168"/>
      <c r="M830" s="168"/>
      <c r="N830" s="168"/>
      <c r="O830" s="168"/>
      <c r="P830" s="168"/>
      <c r="Q830" s="168"/>
      <c r="R830" s="168"/>
      <c r="S830" s="168"/>
      <c r="T830" s="168"/>
      <c r="U830" s="168"/>
    </row>
    <row r="831" spans="2:21">
      <c r="B831" s="168"/>
      <c r="C831" s="601"/>
      <c r="D831" s="168"/>
      <c r="E831" s="168"/>
      <c r="F831" s="168"/>
      <c r="G831" s="167"/>
      <c r="H831" s="167"/>
      <c r="J831" s="168"/>
      <c r="K831" s="168"/>
      <c r="M831" s="168"/>
      <c r="N831" s="168"/>
      <c r="O831" s="168"/>
      <c r="P831" s="168"/>
      <c r="Q831" s="168"/>
      <c r="R831" s="168"/>
      <c r="S831" s="168"/>
      <c r="T831" s="168"/>
      <c r="U831" s="168"/>
    </row>
    <row r="832" spans="2:21">
      <c r="B832" s="168"/>
      <c r="C832" s="601"/>
      <c r="D832" s="168"/>
      <c r="E832" s="168"/>
      <c r="F832" s="168"/>
      <c r="G832" s="167"/>
      <c r="H832" s="167"/>
      <c r="J832" s="168"/>
      <c r="K832" s="168"/>
      <c r="M832" s="168"/>
      <c r="N832" s="168"/>
      <c r="O832" s="168"/>
      <c r="P832" s="168"/>
      <c r="Q832" s="168"/>
      <c r="R832" s="168"/>
      <c r="S832" s="168"/>
      <c r="T832" s="168"/>
      <c r="U832" s="168"/>
    </row>
    <row r="833" spans="2:21">
      <c r="B833" s="168"/>
      <c r="C833" s="601"/>
      <c r="D833" s="168"/>
      <c r="E833" s="168"/>
      <c r="F833" s="168"/>
      <c r="G833" s="167"/>
      <c r="H833" s="167"/>
      <c r="J833" s="168"/>
      <c r="K833" s="168"/>
      <c r="M833" s="168"/>
      <c r="N833" s="168"/>
      <c r="O833" s="168"/>
      <c r="P833" s="168"/>
      <c r="Q833" s="168"/>
      <c r="R833" s="168"/>
      <c r="S833" s="168"/>
      <c r="T833" s="168"/>
      <c r="U833" s="168"/>
    </row>
    <row r="834" spans="2:21">
      <c r="B834" s="168"/>
      <c r="C834" s="601"/>
      <c r="D834" s="168"/>
      <c r="E834" s="168"/>
      <c r="F834" s="168"/>
      <c r="G834" s="167"/>
      <c r="H834" s="167"/>
      <c r="J834" s="168"/>
      <c r="K834" s="168"/>
      <c r="M834" s="168"/>
      <c r="N834" s="168"/>
      <c r="O834" s="168"/>
      <c r="P834" s="168"/>
      <c r="Q834" s="168"/>
      <c r="R834" s="168"/>
      <c r="S834" s="168"/>
      <c r="T834" s="168"/>
      <c r="U834" s="168"/>
    </row>
    <row r="835" spans="2:21">
      <c r="B835" s="168"/>
      <c r="C835" s="601"/>
      <c r="D835" s="168"/>
      <c r="E835" s="168"/>
      <c r="F835" s="168"/>
      <c r="G835" s="167"/>
      <c r="H835" s="167"/>
      <c r="J835" s="168"/>
      <c r="K835" s="168"/>
      <c r="M835" s="168"/>
      <c r="N835" s="168"/>
      <c r="O835" s="168"/>
      <c r="P835" s="168"/>
      <c r="Q835" s="168"/>
      <c r="R835" s="168"/>
      <c r="S835" s="168"/>
      <c r="T835" s="168"/>
      <c r="U835" s="168"/>
    </row>
    <row r="836" spans="2:21">
      <c r="B836" s="168"/>
      <c r="C836" s="601"/>
      <c r="D836" s="168"/>
      <c r="E836" s="168"/>
      <c r="F836" s="168"/>
      <c r="G836" s="167"/>
      <c r="H836" s="167"/>
      <c r="J836" s="168"/>
      <c r="K836" s="168"/>
      <c r="M836" s="168"/>
      <c r="N836" s="168"/>
      <c r="O836" s="168"/>
      <c r="P836" s="168"/>
      <c r="Q836" s="168"/>
      <c r="R836" s="168"/>
      <c r="S836" s="168"/>
      <c r="T836" s="168"/>
      <c r="U836" s="168"/>
    </row>
    <row r="837" spans="2:21">
      <c r="B837" s="168"/>
      <c r="C837" s="601"/>
      <c r="D837" s="168"/>
      <c r="E837" s="168"/>
      <c r="F837" s="168"/>
      <c r="G837" s="167"/>
      <c r="H837" s="167"/>
      <c r="J837" s="168"/>
      <c r="K837" s="168"/>
      <c r="M837" s="168"/>
      <c r="N837" s="168"/>
      <c r="O837" s="168"/>
      <c r="P837" s="168"/>
      <c r="Q837" s="168"/>
      <c r="R837" s="168"/>
      <c r="S837" s="168"/>
      <c r="T837" s="168"/>
      <c r="U837" s="168"/>
    </row>
    <row r="838" spans="2:21">
      <c r="B838" s="168"/>
      <c r="C838" s="601"/>
      <c r="D838" s="168"/>
      <c r="E838" s="168"/>
      <c r="F838" s="168"/>
      <c r="G838" s="167"/>
      <c r="H838" s="167"/>
      <c r="J838" s="168"/>
      <c r="K838" s="168"/>
      <c r="M838" s="168"/>
      <c r="N838" s="168"/>
      <c r="O838" s="168"/>
      <c r="P838" s="168"/>
      <c r="Q838" s="168"/>
      <c r="R838" s="168"/>
      <c r="S838" s="168"/>
      <c r="T838" s="168"/>
      <c r="U838" s="168"/>
    </row>
    <row r="839" spans="2:21">
      <c r="B839" s="168"/>
      <c r="C839" s="601"/>
      <c r="D839" s="168"/>
      <c r="E839" s="168"/>
      <c r="F839" s="168"/>
      <c r="G839" s="167"/>
      <c r="H839" s="167"/>
      <c r="J839" s="168"/>
      <c r="K839" s="168"/>
      <c r="M839" s="168"/>
      <c r="N839" s="168"/>
      <c r="O839" s="168"/>
      <c r="P839" s="168"/>
      <c r="Q839" s="168"/>
      <c r="R839" s="168"/>
      <c r="S839" s="168"/>
      <c r="T839" s="168"/>
      <c r="U839" s="168"/>
    </row>
    <row r="840" spans="2:21">
      <c r="B840" s="168"/>
      <c r="C840" s="601"/>
      <c r="D840" s="168"/>
      <c r="E840" s="168"/>
      <c r="F840" s="168"/>
      <c r="G840" s="167"/>
      <c r="H840" s="167"/>
      <c r="J840" s="168"/>
      <c r="K840" s="168"/>
      <c r="M840" s="168"/>
      <c r="N840" s="168"/>
      <c r="O840" s="168"/>
      <c r="P840" s="168"/>
      <c r="Q840" s="168"/>
      <c r="R840" s="168"/>
      <c r="S840" s="168"/>
      <c r="T840" s="168"/>
      <c r="U840" s="168"/>
    </row>
    <row r="841" spans="2:21">
      <c r="B841" s="168"/>
      <c r="C841" s="601"/>
      <c r="D841" s="168"/>
      <c r="E841" s="168"/>
      <c r="F841" s="168"/>
      <c r="G841" s="167"/>
      <c r="H841" s="167"/>
      <c r="J841" s="168"/>
      <c r="K841" s="168"/>
      <c r="M841" s="168"/>
      <c r="N841" s="168"/>
      <c r="O841" s="168"/>
      <c r="P841" s="168"/>
      <c r="Q841" s="168"/>
      <c r="R841" s="168"/>
      <c r="S841" s="168"/>
      <c r="T841" s="168"/>
      <c r="U841" s="168"/>
    </row>
    <row r="842" spans="2:21">
      <c r="B842" s="168"/>
      <c r="C842" s="601"/>
      <c r="D842" s="168"/>
      <c r="E842" s="168"/>
      <c r="F842" s="168"/>
      <c r="G842" s="167"/>
      <c r="H842" s="167"/>
      <c r="J842" s="168"/>
      <c r="K842" s="168"/>
      <c r="M842" s="168"/>
      <c r="N842" s="168"/>
      <c r="O842" s="168"/>
      <c r="P842" s="168"/>
      <c r="Q842" s="168"/>
      <c r="R842" s="168"/>
      <c r="S842" s="168"/>
      <c r="T842" s="168"/>
      <c r="U842" s="168"/>
    </row>
    <row r="843" spans="2:21">
      <c r="B843" s="168"/>
      <c r="C843" s="601"/>
      <c r="D843" s="168"/>
      <c r="E843" s="168"/>
      <c r="F843" s="168"/>
      <c r="G843" s="167"/>
      <c r="H843" s="167"/>
      <c r="J843" s="168"/>
      <c r="K843" s="168"/>
      <c r="M843" s="168"/>
      <c r="N843" s="168"/>
      <c r="O843" s="168"/>
      <c r="P843" s="168"/>
      <c r="Q843" s="168"/>
      <c r="R843" s="168"/>
      <c r="S843" s="168"/>
      <c r="T843" s="168"/>
      <c r="U843" s="168"/>
    </row>
    <row r="844" spans="2:21">
      <c r="B844" s="168"/>
      <c r="C844" s="601"/>
      <c r="D844" s="168"/>
      <c r="E844" s="168"/>
      <c r="F844" s="168"/>
      <c r="G844" s="167"/>
      <c r="H844" s="167"/>
      <c r="J844" s="168"/>
      <c r="K844" s="168"/>
      <c r="M844" s="168"/>
      <c r="N844" s="168"/>
      <c r="O844" s="168"/>
      <c r="P844" s="168"/>
      <c r="Q844" s="168"/>
      <c r="R844" s="168"/>
      <c r="S844" s="168"/>
      <c r="T844" s="168"/>
      <c r="U844" s="168"/>
    </row>
    <row r="845" spans="2:21">
      <c r="B845" s="168"/>
      <c r="C845" s="601"/>
      <c r="D845" s="168"/>
      <c r="E845" s="168"/>
      <c r="F845" s="168"/>
      <c r="G845" s="167"/>
      <c r="H845" s="167"/>
      <c r="J845" s="168"/>
      <c r="K845" s="168"/>
      <c r="M845" s="168"/>
      <c r="N845" s="168"/>
      <c r="O845" s="168"/>
      <c r="P845" s="168"/>
      <c r="Q845" s="168"/>
      <c r="R845" s="168"/>
      <c r="S845" s="168"/>
      <c r="T845" s="168"/>
      <c r="U845" s="168"/>
    </row>
    <row r="846" spans="2:21">
      <c r="B846" s="168"/>
      <c r="C846" s="601"/>
      <c r="D846" s="168"/>
      <c r="E846" s="168"/>
      <c r="F846" s="168"/>
      <c r="G846" s="167"/>
      <c r="H846" s="167"/>
      <c r="J846" s="168"/>
      <c r="K846" s="168"/>
      <c r="M846" s="168"/>
      <c r="N846" s="168"/>
      <c r="O846" s="168"/>
      <c r="P846" s="168"/>
      <c r="Q846" s="168"/>
      <c r="R846" s="168"/>
      <c r="S846" s="168"/>
      <c r="T846" s="168"/>
      <c r="U846" s="168"/>
    </row>
    <row r="847" spans="2:21">
      <c r="B847" s="168"/>
      <c r="C847" s="601"/>
      <c r="D847" s="168"/>
      <c r="E847" s="168"/>
      <c r="F847" s="168"/>
      <c r="G847" s="167"/>
      <c r="H847" s="167"/>
      <c r="J847" s="168"/>
      <c r="K847" s="168"/>
      <c r="M847" s="168"/>
      <c r="N847" s="168"/>
      <c r="O847" s="168"/>
      <c r="P847" s="168"/>
      <c r="Q847" s="168"/>
      <c r="R847" s="168"/>
      <c r="S847" s="168"/>
      <c r="T847" s="168"/>
      <c r="U847" s="168"/>
    </row>
    <row r="848" spans="2:21">
      <c r="B848" s="168"/>
      <c r="C848" s="601"/>
      <c r="D848" s="168"/>
      <c r="E848" s="168"/>
      <c r="F848" s="168"/>
      <c r="G848" s="167"/>
      <c r="H848" s="167"/>
      <c r="J848" s="168"/>
      <c r="K848" s="168"/>
      <c r="M848" s="168"/>
      <c r="N848" s="168"/>
      <c r="O848" s="168"/>
      <c r="P848" s="168"/>
      <c r="Q848" s="168"/>
      <c r="R848" s="168"/>
      <c r="S848" s="168"/>
      <c r="T848" s="168"/>
      <c r="U848" s="168"/>
    </row>
    <row r="849" spans="2:21">
      <c r="B849" s="168"/>
      <c r="C849" s="601"/>
      <c r="D849" s="168"/>
      <c r="E849" s="168"/>
      <c r="F849" s="168"/>
      <c r="G849" s="167"/>
      <c r="H849" s="167"/>
      <c r="J849" s="168"/>
      <c r="K849" s="168"/>
      <c r="M849" s="168"/>
      <c r="N849" s="168"/>
      <c r="O849" s="168"/>
      <c r="P849" s="168"/>
      <c r="Q849" s="168"/>
      <c r="R849" s="168"/>
      <c r="S849" s="168"/>
      <c r="T849" s="168"/>
      <c r="U849" s="168"/>
    </row>
    <row r="850" spans="2:21">
      <c r="B850" s="168"/>
      <c r="C850" s="601"/>
      <c r="D850" s="168"/>
      <c r="E850" s="168"/>
      <c r="F850" s="168"/>
      <c r="G850" s="167"/>
      <c r="H850" s="167"/>
      <c r="J850" s="168"/>
      <c r="K850" s="168"/>
      <c r="M850" s="168"/>
      <c r="N850" s="168"/>
      <c r="O850" s="168"/>
      <c r="P850" s="168"/>
      <c r="Q850" s="168"/>
      <c r="R850" s="168"/>
      <c r="S850" s="168"/>
      <c r="T850" s="168"/>
      <c r="U850" s="168"/>
    </row>
    <row r="851" spans="2:21">
      <c r="B851" s="168"/>
      <c r="C851" s="601"/>
      <c r="D851" s="168"/>
      <c r="E851" s="168"/>
      <c r="F851" s="168"/>
      <c r="G851" s="167"/>
      <c r="H851" s="167"/>
      <c r="J851" s="168"/>
      <c r="K851" s="168"/>
      <c r="M851" s="168"/>
      <c r="N851" s="168"/>
      <c r="O851" s="168"/>
      <c r="P851" s="168"/>
      <c r="Q851" s="168"/>
      <c r="R851" s="168"/>
      <c r="S851" s="168"/>
      <c r="T851" s="168"/>
      <c r="U851" s="168"/>
    </row>
    <row r="852" spans="2:21">
      <c r="B852" s="168"/>
      <c r="C852" s="601"/>
      <c r="D852" s="168"/>
      <c r="E852" s="168"/>
      <c r="F852" s="168"/>
      <c r="G852" s="167"/>
      <c r="H852" s="167"/>
      <c r="J852" s="168"/>
      <c r="K852" s="168"/>
      <c r="M852" s="168"/>
      <c r="N852" s="168"/>
      <c r="O852" s="168"/>
      <c r="P852" s="168"/>
      <c r="Q852" s="168"/>
      <c r="R852" s="168"/>
      <c r="S852" s="168"/>
      <c r="T852" s="168"/>
      <c r="U852" s="168"/>
    </row>
  </sheetData>
  <conditionalFormatting sqref="I340:I341">
    <cfRule type="cellIs" dxfId="0" priority="2" stopIfTrue="1" operator="notEqual">
      <formula>1</formula>
    </cfRule>
  </conditionalFormatting>
  <printOptions horizontalCentered="1"/>
  <pageMargins left="0.23622047244094491" right="0.35433070866141736" top="0.23622047244094491" bottom="1.67" header="0.23622047244094491" footer="1.65"/>
  <pageSetup paperSize="9" scale="37" fitToHeight="11" orientation="portrait" r:id="rId1"/>
  <headerFooter alignWithMargins="0"/>
  <rowBreaks count="5" manualBreakCount="5">
    <brk id="403" min="1" max="17" man="1"/>
    <brk id="452" min="1" max="17" man="1"/>
    <brk id="502" min="1" max="17" man="1"/>
    <brk id="549" min="1" max="18" man="1"/>
    <brk id="599" min="1" max="17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16</vt:i4>
      </vt:variant>
    </vt:vector>
  </HeadingPairs>
  <TitlesOfParts>
    <vt:vector size="32" baseType="lpstr">
      <vt:lpstr>Control list</vt:lpstr>
      <vt:lpstr>Commodities_prices</vt:lpstr>
      <vt:lpstr>Total</vt:lpstr>
      <vt:lpstr>Financing</vt:lpstr>
      <vt:lpstr>Ni segment</vt:lpstr>
      <vt:lpstr>Fenix</vt:lpstr>
      <vt:lpstr>Acquila</vt:lpstr>
      <vt:lpstr>Indonesia Aquila</vt:lpstr>
      <vt:lpstr>DSO</vt:lpstr>
      <vt:lpstr>Kurilgeo</vt:lpstr>
      <vt:lpstr>Cu segment</vt:lpstr>
      <vt:lpstr>Zn Pb segment</vt:lpstr>
      <vt:lpstr>Real Estate</vt:lpstr>
      <vt:lpstr>Total Chemical</vt:lpstr>
      <vt:lpstr>M</vt:lpstr>
      <vt:lpstr>S</vt:lpstr>
      <vt:lpstr>draft</vt:lpstr>
      <vt:lpstr>Acquila!Область_печати</vt:lpstr>
      <vt:lpstr>Commodities_prices!Область_печати</vt:lpstr>
      <vt:lpstr>'Control list'!Область_печати</vt:lpstr>
      <vt:lpstr>'Cu segment'!Область_печати</vt:lpstr>
      <vt:lpstr>DSO!Область_печати</vt:lpstr>
      <vt:lpstr>Fenix!Область_печати</vt:lpstr>
      <vt:lpstr>Kurilgeo!Область_печати</vt:lpstr>
      <vt:lpstr>M!Область_печати</vt:lpstr>
      <vt:lpstr>'Ni segment'!Область_печати</vt:lpstr>
      <vt:lpstr>'Real Estate'!Область_печати</vt:lpstr>
      <vt:lpstr>S!Область_печати</vt:lpstr>
      <vt:lpstr>Total!Область_печати</vt:lpstr>
      <vt:lpstr>'Total Chemical'!Область_печати</vt:lpstr>
      <vt:lpstr>'Zn Pb segment'!Область_печати</vt:lpstr>
      <vt:lpstr>Commodities_prices!СтавкаДисконта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2022-05-20T10:21:18Z</dcterms:created>
  <dcterms:modified xsi:type="dcterms:W3CDTF">2022-05-20T10:26:35Z</dcterms:modified>
</cp:coreProperties>
</file>